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D:\TRANSPARENCIA\202412DIC\ART 8, FRACC V, INV P\"/>
    </mc:Choice>
  </mc:AlternateContent>
  <xr:revisionPtr revIDLastSave="0" documentId="13_ncr:1_{B88D3D39-F32E-477F-8E04-0C28AE6C6D27}" xr6:coauthVersionLast="47" xr6:coauthVersionMax="47" xr10:uidLastSave="{00000000-0000-0000-0000-000000000000}"/>
  <bookViews>
    <workbookView xWindow="-120" yWindow="-120" windowWidth="29040" windowHeight="15720" firstSheet="5" activeTab="5" xr2:uid="{00000000-000D-0000-FFFF-FFFF00000000}"/>
  </bookViews>
  <sheets>
    <sheet name="OBRA" sheetId="1" state="hidden" r:id="rId1"/>
    <sheet name="GRAL" sheetId="6" state="hidden" r:id="rId2"/>
    <sheet name="PE" sheetId="19" state="hidden" r:id="rId3"/>
    <sheet name="ADJUDICACION" sheetId="4" state="hidden" r:id="rId4"/>
    <sheet name="ADJ-SERV" sheetId="15" state="hidden" r:id="rId5"/>
    <sheet name="INVITACION" sheetId="5"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'ADJ-SERV'!$A$6:$AD$872</definedName>
    <definedName name="_xlnm._FilterDatabase" localSheetId="3" hidden="1">ADJUDICACION!$A$6:$AE$894</definedName>
    <definedName name="_xlnm._FilterDatabase" localSheetId="10" hidden="1">GESTIÓN!$B$4:$R$83</definedName>
    <definedName name="_xlnm._FilterDatabase" localSheetId="1" hidden="1">GRAL!$A$7:$AS$875</definedName>
    <definedName name="_xlnm._FilterDatabase" localSheetId="5" hidden="1">INVITACION!$A$6:$AM$855</definedName>
    <definedName name="_xlnm._FilterDatabase" localSheetId="6" hidden="1">MAQ!$A$6:$S$127</definedName>
    <definedName name="_xlnm._FilterDatabase" localSheetId="0" hidden="1">OBRA!$B$5:$CC$875</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4">'ADJ-SERV'!$A$1:$AD$885</definedName>
    <definedName name="_xlnm.Print_Area" localSheetId="3">ADJUDICACION!$A$1:$AE$906</definedName>
    <definedName name="_xlnm.Print_Area" localSheetId="1">GRAL!$A$1:$AS$884</definedName>
    <definedName name="_xlnm.Print_Area" localSheetId="5">INVITACION!$A$1:$AM$868</definedName>
    <definedName name="_xlnm.Print_Area" localSheetId="6">MAQ!$A$1:$S$134</definedName>
    <definedName name="_xlnm.Print_Area" localSheetId="0">OBRA!$A$1:$CC$885</definedName>
  </definedNames>
  <calcPr calcId="191029"/>
</workbook>
</file>

<file path=xl/calcChain.xml><?xml version="1.0" encoding="utf-8"?>
<calcChain xmlns="http://schemas.openxmlformats.org/spreadsheetml/2006/main">
  <c r="AR859" i="1" l="1"/>
  <c r="AR858" i="1"/>
  <c r="AR857" i="1" l="1"/>
  <c r="BI856" i="1"/>
  <c r="AR856" i="1"/>
  <c r="AR855" i="1"/>
  <c r="AR854" i="1" l="1"/>
  <c r="AR853" i="1"/>
  <c r="AR852" i="1"/>
  <c r="AR851" i="1"/>
  <c r="AR850" i="1"/>
  <c r="AR849" i="1"/>
  <c r="AR848" i="1"/>
  <c r="AR847" i="1"/>
  <c r="AR846" i="1"/>
  <c r="AR845" i="1" l="1"/>
  <c r="BI843" i="1"/>
  <c r="AR843" i="1"/>
  <c r="AR842" i="1"/>
  <c r="BI841" i="1"/>
  <c r="AR841" i="1"/>
  <c r="BI825" i="1" l="1"/>
  <c r="AT829" i="6"/>
  <c r="AT826" i="6"/>
  <c r="AH610" i="6" l="1"/>
  <c r="R823" i="1"/>
  <c r="R822" i="1"/>
  <c r="R821" i="1"/>
  <c r="AD820" i="5" s="1"/>
  <c r="R820" i="1"/>
  <c r="R819" i="1"/>
  <c r="AD818" i="5" s="1"/>
  <c r="R817" i="1"/>
  <c r="R816" i="1"/>
  <c r="R814" i="1"/>
  <c r="AD813" i="5" s="1"/>
  <c r="R813" i="1"/>
  <c r="R812" i="1"/>
  <c r="R811" i="1"/>
  <c r="AD810" i="5" s="1"/>
  <c r="R810" i="1"/>
  <c r="R809" i="1"/>
  <c r="R808" i="1"/>
  <c r="R807" i="1"/>
  <c r="R806" i="1"/>
  <c r="Q801" i="15" s="1"/>
  <c r="R805" i="1"/>
  <c r="R804" i="1"/>
  <c r="R803" i="1"/>
  <c r="R802" i="1"/>
  <c r="R801" i="1"/>
  <c r="R800" i="1"/>
  <c r="R797" i="1"/>
  <c r="R798" i="1"/>
  <c r="R799" i="1"/>
  <c r="R796" i="1"/>
  <c r="R795" i="1"/>
  <c r="R794" i="1"/>
  <c r="R793" i="1"/>
  <c r="R792" i="1"/>
  <c r="R791" i="1"/>
  <c r="R790" i="1"/>
  <c r="Q785" i="15" s="1"/>
  <c r="R789" i="1"/>
  <c r="R788" i="1"/>
  <c r="R787" i="1"/>
  <c r="R786" i="1"/>
  <c r="AD784" i="5" s="1"/>
  <c r="R785" i="1"/>
  <c r="AD783" i="5" s="1"/>
  <c r="R784" i="1"/>
  <c r="Q782" i="4" s="1"/>
  <c r="R783" i="1"/>
  <c r="Q781" i="4" s="1"/>
  <c r="R782" i="1"/>
  <c r="Q777" i="15" s="1"/>
  <c r="R781" i="1"/>
  <c r="AD779" i="5" s="1"/>
  <c r="R780" i="1"/>
  <c r="R779" i="1"/>
  <c r="R778" i="1"/>
  <c r="R777" i="1"/>
  <c r="R776" i="1"/>
  <c r="R775" i="1"/>
  <c r="R774" i="1"/>
  <c r="Q769" i="15" s="1"/>
  <c r="R772" i="1"/>
  <c r="R771" i="1"/>
  <c r="A820" i="5"/>
  <c r="H820" i="5"/>
  <c r="J820" i="5"/>
  <c r="L820" i="5"/>
  <c r="N820" i="5"/>
  <c r="R820" i="5"/>
  <c r="T820" i="5"/>
  <c r="U820" i="5"/>
  <c r="W820" i="5"/>
  <c r="Z820" i="5"/>
  <c r="AB820" i="5"/>
  <c r="AC820" i="5"/>
  <c r="AE820" i="5"/>
  <c r="AF820" i="5"/>
  <c r="AG820" i="5"/>
  <c r="AM820" i="5"/>
  <c r="A821" i="5"/>
  <c r="H821" i="5"/>
  <c r="J821" i="5"/>
  <c r="L821" i="5"/>
  <c r="N821" i="5"/>
  <c r="R821" i="5"/>
  <c r="T821" i="5"/>
  <c r="U821" i="5"/>
  <c r="W821" i="5"/>
  <c r="Z821" i="5"/>
  <c r="AB821" i="5"/>
  <c r="AC821" i="5"/>
  <c r="AD821" i="5"/>
  <c r="AE821" i="5"/>
  <c r="AF821" i="5"/>
  <c r="AG821" i="5"/>
  <c r="AM821" i="5"/>
  <c r="A822" i="5"/>
  <c r="H822" i="5"/>
  <c r="J822" i="5"/>
  <c r="L822" i="5"/>
  <c r="N822" i="5"/>
  <c r="R822" i="5"/>
  <c r="T822" i="5"/>
  <c r="U822" i="5"/>
  <c r="W822" i="5"/>
  <c r="Z822" i="5"/>
  <c r="AB822" i="5"/>
  <c r="AC822" i="5"/>
  <c r="AD822" i="5"/>
  <c r="AE822" i="5"/>
  <c r="AF822" i="5"/>
  <c r="AG822" i="5"/>
  <c r="AM822" i="5"/>
  <c r="A806" i="5"/>
  <c r="H806" i="5"/>
  <c r="J806" i="5"/>
  <c r="L806" i="5"/>
  <c r="N806" i="5"/>
  <c r="R806" i="5"/>
  <c r="T806" i="5"/>
  <c r="U806" i="5"/>
  <c r="W806" i="5"/>
  <c r="Z806" i="5"/>
  <c r="AB806" i="5"/>
  <c r="AC806" i="5"/>
  <c r="AD806" i="5"/>
  <c r="AE806" i="5"/>
  <c r="AF806" i="5"/>
  <c r="AG806" i="5"/>
  <c r="AM806" i="5"/>
  <c r="A807" i="5"/>
  <c r="H807" i="5"/>
  <c r="J807" i="5"/>
  <c r="L807" i="5"/>
  <c r="N807" i="5"/>
  <c r="R807" i="5"/>
  <c r="T807" i="5"/>
  <c r="U807" i="5"/>
  <c r="W807" i="5"/>
  <c r="Z807" i="5"/>
  <c r="AB807" i="5"/>
  <c r="AC807" i="5"/>
  <c r="AD807" i="5"/>
  <c r="AE807" i="5"/>
  <c r="AF807" i="5"/>
  <c r="AG807" i="5"/>
  <c r="AM807" i="5"/>
  <c r="A808" i="5"/>
  <c r="H808" i="5"/>
  <c r="J808" i="5"/>
  <c r="L808" i="5"/>
  <c r="N808" i="5"/>
  <c r="R808" i="5"/>
  <c r="T808" i="5"/>
  <c r="U808" i="5"/>
  <c r="W808" i="5"/>
  <c r="Z808" i="5"/>
  <c r="AB808" i="5"/>
  <c r="AC808" i="5"/>
  <c r="AD808" i="5"/>
  <c r="AE808" i="5"/>
  <c r="AF808" i="5"/>
  <c r="AG808" i="5"/>
  <c r="AM808" i="5"/>
  <c r="A809" i="5"/>
  <c r="H809" i="5"/>
  <c r="J809" i="5"/>
  <c r="L809" i="5"/>
  <c r="N809" i="5"/>
  <c r="R809" i="5"/>
  <c r="T809" i="5"/>
  <c r="U809" i="5"/>
  <c r="W809" i="5"/>
  <c r="Z809" i="5"/>
  <c r="AB809" i="5"/>
  <c r="AC809" i="5"/>
  <c r="AD809" i="5"/>
  <c r="AE809" i="5"/>
  <c r="AF809" i="5"/>
  <c r="AG809" i="5"/>
  <c r="AM809" i="5"/>
  <c r="A810" i="5"/>
  <c r="H810" i="5"/>
  <c r="J810" i="5"/>
  <c r="L810" i="5"/>
  <c r="N810" i="5"/>
  <c r="R810" i="5"/>
  <c r="T810" i="5"/>
  <c r="U810" i="5"/>
  <c r="W810" i="5"/>
  <c r="Z810" i="5"/>
  <c r="AB810" i="5"/>
  <c r="AC810" i="5"/>
  <c r="AE810" i="5"/>
  <c r="AF810" i="5"/>
  <c r="AG810" i="5"/>
  <c r="AM810" i="5"/>
  <c r="A811" i="5"/>
  <c r="H811" i="5"/>
  <c r="J811" i="5"/>
  <c r="L811" i="5"/>
  <c r="N811" i="5"/>
  <c r="R811" i="5"/>
  <c r="T811" i="5"/>
  <c r="U811" i="5"/>
  <c r="W811" i="5"/>
  <c r="Z811" i="5"/>
  <c r="AB811" i="5"/>
  <c r="AC811" i="5"/>
  <c r="AD811" i="5"/>
  <c r="AE811" i="5"/>
  <c r="AF811" i="5"/>
  <c r="AG811" i="5"/>
  <c r="AM811" i="5"/>
  <c r="A812" i="5"/>
  <c r="H812" i="5"/>
  <c r="J812" i="5"/>
  <c r="L812" i="5"/>
  <c r="N812" i="5"/>
  <c r="R812" i="5"/>
  <c r="T812" i="5"/>
  <c r="U812" i="5"/>
  <c r="W812" i="5"/>
  <c r="Z812" i="5"/>
  <c r="AB812" i="5"/>
  <c r="AC812" i="5"/>
  <c r="AD812" i="5"/>
  <c r="AE812" i="5"/>
  <c r="AF812" i="5"/>
  <c r="AG812" i="5"/>
  <c r="AM812" i="5"/>
  <c r="A813" i="5"/>
  <c r="H813" i="5"/>
  <c r="J813" i="5"/>
  <c r="L813" i="5"/>
  <c r="N813" i="5"/>
  <c r="R813" i="5"/>
  <c r="T813" i="5"/>
  <c r="U813" i="5"/>
  <c r="W813" i="5"/>
  <c r="Z813" i="5"/>
  <c r="AB813" i="5"/>
  <c r="AC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E818" i="5"/>
  <c r="AF818" i="5"/>
  <c r="AG818" i="5"/>
  <c r="AM818" i="5"/>
  <c r="A819" i="5"/>
  <c r="H819" i="5"/>
  <c r="J819" i="5"/>
  <c r="L819" i="5"/>
  <c r="N819" i="5"/>
  <c r="R819" i="5"/>
  <c r="T819" i="5"/>
  <c r="U819" i="5"/>
  <c r="W819" i="5"/>
  <c r="Z819" i="5"/>
  <c r="AB819" i="5"/>
  <c r="AC819" i="5"/>
  <c r="AD819" i="5"/>
  <c r="AE819" i="5"/>
  <c r="AF819" i="5"/>
  <c r="AG819" i="5"/>
  <c r="AM819" i="5"/>
  <c r="A795" i="5"/>
  <c r="H795" i="5"/>
  <c r="J795" i="5"/>
  <c r="L795" i="5"/>
  <c r="N795" i="5"/>
  <c r="R795" i="5"/>
  <c r="T795" i="5"/>
  <c r="U795" i="5"/>
  <c r="W795" i="5"/>
  <c r="Z795" i="5"/>
  <c r="AB795" i="5"/>
  <c r="AC795" i="5"/>
  <c r="AD795" i="5"/>
  <c r="AE795" i="5"/>
  <c r="AF795" i="5"/>
  <c r="AG795" i="5"/>
  <c r="AM795" i="5"/>
  <c r="A779" i="5"/>
  <c r="H779" i="5"/>
  <c r="J779" i="5"/>
  <c r="L779" i="5"/>
  <c r="N779" i="5"/>
  <c r="R779" i="5"/>
  <c r="T779" i="5"/>
  <c r="U779" i="5"/>
  <c r="W779" i="5"/>
  <c r="Z779" i="5"/>
  <c r="AB779" i="5"/>
  <c r="AC779" i="5"/>
  <c r="AE779" i="5"/>
  <c r="AF779" i="5"/>
  <c r="AG779" i="5"/>
  <c r="AM779" i="5"/>
  <c r="A780" i="5"/>
  <c r="H780" i="5"/>
  <c r="J780" i="5"/>
  <c r="L780" i="5"/>
  <c r="N780" i="5"/>
  <c r="R780" i="5"/>
  <c r="T780" i="5"/>
  <c r="U780" i="5"/>
  <c r="W780" i="5"/>
  <c r="Z780" i="5"/>
  <c r="AB780" i="5"/>
  <c r="AC780" i="5"/>
  <c r="AE780" i="5"/>
  <c r="AF780" i="5"/>
  <c r="AG780" i="5"/>
  <c r="AM780" i="5"/>
  <c r="A781" i="5"/>
  <c r="H781" i="5"/>
  <c r="J781" i="5"/>
  <c r="L781" i="5"/>
  <c r="N781" i="5"/>
  <c r="R781" i="5"/>
  <c r="T781" i="5"/>
  <c r="U781" i="5"/>
  <c r="W781" i="5"/>
  <c r="Z781" i="5"/>
  <c r="AB781" i="5"/>
  <c r="AC781" i="5"/>
  <c r="AE781" i="5"/>
  <c r="AF781" i="5"/>
  <c r="AG781" i="5"/>
  <c r="AM781" i="5"/>
  <c r="A782" i="5"/>
  <c r="H782" i="5"/>
  <c r="J782" i="5"/>
  <c r="L782" i="5"/>
  <c r="N782" i="5"/>
  <c r="R782" i="5"/>
  <c r="T782" i="5"/>
  <c r="U782" i="5"/>
  <c r="W782" i="5"/>
  <c r="Z782" i="5"/>
  <c r="AB782" i="5"/>
  <c r="AC782" i="5"/>
  <c r="AE782" i="5"/>
  <c r="AF782" i="5"/>
  <c r="AG782" i="5"/>
  <c r="AM782" i="5"/>
  <c r="A783" i="5"/>
  <c r="H783" i="5"/>
  <c r="J783" i="5"/>
  <c r="L783" i="5"/>
  <c r="N783" i="5"/>
  <c r="R783" i="5"/>
  <c r="T783" i="5"/>
  <c r="U783" i="5"/>
  <c r="W783" i="5"/>
  <c r="Z783" i="5"/>
  <c r="AB783" i="5"/>
  <c r="AC783" i="5"/>
  <c r="AE783" i="5"/>
  <c r="AF783" i="5"/>
  <c r="AG783" i="5"/>
  <c r="AM783" i="5"/>
  <c r="A784" i="5"/>
  <c r="H784" i="5"/>
  <c r="J784" i="5"/>
  <c r="L784" i="5"/>
  <c r="N784" i="5"/>
  <c r="R784" i="5"/>
  <c r="T784" i="5"/>
  <c r="U784" i="5"/>
  <c r="W784" i="5"/>
  <c r="Z784" i="5"/>
  <c r="AB784" i="5"/>
  <c r="AC784" i="5"/>
  <c r="AE784" i="5"/>
  <c r="AF784" i="5"/>
  <c r="AG784" i="5"/>
  <c r="AM784" i="5"/>
  <c r="A785" i="5"/>
  <c r="H785" i="5"/>
  <c r="J785" i="5"/>
  <c r="L785" i="5"/>
  <c r="N785" i="5"/>
  <c r="R785" i="5"/>
  <c r="T785" i="5"/>
  <c r="U785" i="5"/>
  <c r="W785" i="5"/>
  <c r="Z785" i="5"/>
  <c r="AB785" i="5"/>
  <c r="AC785" i="5"/>
  <c r="AD785" i="5"/>
  <c r="AE785" i="5"/>
  <c r="AF785" i="5"/>
  <c r="AG785" i="5"/>
  <c r="AM785" i="5"/>
  <c r="A786" i="5"/>
  <c r="H786" i="5"/>
  <c r="J786" i="5"/>
  <c r="L786" i="5"/>
  <c r="N786" i="5"/>
  <c r="R786" i="5"/>
  <c r="T786" i="5"/>
  <c r="U786" i="5"/>
  <c r="W786" i="5"/>
  <c r="Z786" i="5"/>
  <c r="AB786" i="5"/>
  <c r="AC786" i="5"/>
  <c r="AD786" i="5"/>
  <c r="AE786" i="5"/>
  <c r="AF786" i="5"/>
  <c r="AG786" i="5"/>
  <c r="AM786" i="5"/>
  <c r="A787" i="5"/>
  <c r="H787" i="5"/>
  <c r="J787" i="5"/>
  <c r="L787" i="5"/>
  <c r="N787" i="5"/>
  <c r="R787" i="5"/>
  <c r="T787" i="5"/>
  <c r="U787" i="5"/>
  <c r="W787" i="5"/>
  <c r="Z787" i="5"/>
  <c r="AB787" i="5"/>
  <c r="AC787" i="5"/>
  <c r="AD787" i="5"/>
  <c r="AE787" i="5"/>
  <c r="AF787" i="5"/>
  <c r="AG787" i="5"/>
  <c r="AM787" i="5"/>
  <c r="A788" i="5"/>
  <c r="H788" i="5"/>
  <c r="J788" i="5"/>
  <c r="L788" i="5"/>
  <c r="N788" i="5"/>
  <c r="R788" i="5"/>
  <c r="T788" i="5"/>
  <c r="U788" i="5"/>
  <c r="W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D790" i="5"/>
  <c r="AE790" i="5"/>
  <c r="AF790" i="5"/>
  <c r="AG790" i="5"/>
  <c r="AM790" i="5"/>
  <c r="A791" i="5"/>
  <c r="H791" i="5"/>
  <c r="J791" i="5"/>
  <c r="L791" i="5"/>
  <c r="N791" i="5"/>
  <c r="R791" i="5"/>
  <c r="T791" i="5"/>
  <c r="U791" i="5"/>
  <c r="W791" i="5"/>
  <c r="Z791" i="5"/>
  <c r="AB791" i="5"/>
  <c r="AC791" i="5"/>
  <c r="AD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Q802" i="15"/>
  <c r="S802" i="15"/>
  <c r="T802" i="15"/>
  <c r="AC802" i="15"/>
  <c r="B803" i="15"/>
  <c r="C803" i="15"/>
  <c r="D803" i="15"/>
  <c r="I803" i="15"/>
  <c r="J803" i="15"/>
  <c r="K803" i="15"/>
  <c r="L803" i="15"/>
  <c r="M803" i="15"/>
  <c r="P803" i="15"/>
  <c r="Q803" i="15"/>
  <c r="S803" i="15"/>
  <c r="T803" i="15"/>
  <c r="AC803" i="15"/>
  <c r="B804" i="15"/>
  <c r="C804" i="15"/>
  <c r="D804" i="15"/>
  <c r="I804" i="15"/>
  <c r="J804" i="15"/>
  <c r="K804" i="15"/>
  <c r="L804" i="15"/>
  <c r="M804" i="15"/>
  <c r="P804" i="15"/>
  <c r="Q804" i="15"/>
  <c r="S804" i="15"/>
  <c r="T804" i="15"/>
  <c r="AC804" i="15"/>
  <c r="B805" i="15"/>
  <c r="C805" i="15"/>
  <c r="D805" i="15"/>
  <c r="I805" i="15"/>
  <c r="J805" i="15"/>
  <c r="K805" i="15"/>
  <c r="L805" i="15"/>
  <c r="M805" i="15"/>
  <c r="P805" i="15"/>
  <c r="Q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Q807" i="15"/>
  <c r="S807" i="15"/>
  <c r="T807" i="15"/>
  <c r="AC807" i="15"/>
  <c r="B808" i="15"/>
  <c r="C808" i="15"/>
  <c r="D808" i="15"/>
  <c r="I808" i="15"/>
  <c r="J808" i="15"/>
  <c r="K808" i="15"/>
  <c r="L808" i="15"/>
  <c r="M808" i="15"/>
  <c r="P808" i="15"/>
  <c r="Q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Q811" i="15"/>
  <c r="S811" i="15"/>
  <c r="T811" i="15"/>
  <c r="AC811" i="15"/>
  <c r="B812" i="15"/>
  <c r="C812" i="15"/>
  <c r="D812" i="15"/>
  <c r="I812" i="15"/>
  <c r="J812" i="15"/>
  <c r="K812" i="15"/>
  <c r="L812" i="15"/>
  <c r="M812" i="15"/>
  <c r="P812" i="15"/>
  <c r="Q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Q779" i="15"/>
  <c r="S779" i="15"/>
  <c r="T779" i="15"/>
  <c r="AC779" i="15"/>
  <c r="B780" i="15"/>
  <c r="C780" i="15"/>
  <c r="D780" i="15"/>
  <c r="I780" i="15"/>
  <c r="J780" i="15"/>
  <c r="K780" i="15"/>
  <c r="L780" i="15"/>
  <c r="M780" i="15"/>
  <c r="P780" i="15"/>
  <c r="Q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Q786" i="15"/>
  <c r="S786" i="15"/>
  <c r="T786" i="15"/>
  <c r="AC786" i="15"/>
  <c r="B787" i="15"/>
  <c r="C787" i="15"/>
  <c r="D787" i="15"/>
  <c r="I787" i="15"/>
  <c r="J787" i="15"/>
  <c r="K787" i="15"/>
  <c r="L787" i="15"/>
  <c r="M787" i="15"/>
  <c r="P787" i="15"/>
  <c r="Q787" i="15"/>
  <c r="S787" i="15"/>
  <c r="T787" i="15"/>
  <c r="AC787" i="15"/>
  <c r="B788" i="15"/>
  <c r="C788" i="15"/>
  <c r="D788" i="15"/>
  <c r="I788" i="15"/>
  <c r="J788" i="15"/>
  <c r="K788" i="15"/>
  <c r="L788" i="15"/>
  <c r="M788" i="15"/>
  <c r="P788" i="15"/>
  <c r="Q788" i="15"/>
  <c r="S788" i="15"/>
  <c r="T788" i="15"/>
  <c r="AC788" i="15"/>
  <c r="B789" i="15"/>
  <c r="C789" i="15"/>
  <c r="D789" i="15"/>
  <c r="I789" i="15"/>
  <c r="J789" i="15"/>
  <c r="K789" i="15"/>
  <c r="L789" i="15"/>
  <c r="M789" i="15"/>
  <c r="P789" i="15"/>
  <c r="Q789" i="15"/>
  <c r="S789" i="15"/>
  <c r="T789" i="15"/>
  <c r="AC789" i="15"/>
  <c r="B790" i="15"/>
  <c r="C790" i="15"/>
  <c r="D790" i="15"/>
  <c r="I790" i="15"/>
  <c r="J790" i="15"/>
  <c r="K790" i="15"/>
  <c r="L790" i="15"/>
  <c r="M790" i="15"/>
  <c r="P790" i="15"/>
  <c r="Q790" i="15"/>
  <c r="S790" i="15"/>
  <c r="T790" i="15"/>
  <c r="AC790" i="15"/>
  <c r="B791" i="15"/>
  <c r="C791" i="15"/>
  <c r="D791" i="15"/>
  <c r="I791" i="15"/>
  <c r="J791" i="15"/>
  <c r="K791" i="15"/>
  <c r="L791" i="15"/>
  <c r="M791" i="15"/>
  <c r="P791" i="15"/>
  <c r="Q791" i="15"/>
  <c r="S791" i="15"/>
  <c r="T791" i="15"/>
  <c r="AC791" i="15"/>
  <c r="B792" i="15"/>
  <c r="C792" i="15"/>
  <c r="D792" i="15"/>
  <c r="I792" i="15"/>
  <c r="J792" i="15"/>
  <c r="K792" i="15"/>
  <c r="L792" i="15"/>
  <c r="M792" i="15"/>
  <c r="P792" i="15"/>
  <c r="Q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Q794" i="15"/>
  <c r="S794" i="15"/>
  <c r="T794" i="15"/>
  <c r="AC794" i="15"/>
  <c r="B795" i="15"/>
  <c r="C795" i="15"/>
  <c r="D795" i="15"/>
  <c r="I795" i="15"/>
  <c r="J795" i="15"/>
  <c r="K795" i="15"/>
  <c r="L795" i="15"/>
  <c r="M795" i="15"/>
  <c r="P795" i="15"/>
  <c r="Q795" i="15"/>
  <c r="S795" i="15"/>
  <c r="T795" i="15"/>
  <c r="AC795" i="15"/>
  <c r="B796" i="15"/>
  <c r="C796" i="15"/>
  <c r="D796" i="15"/>
  <c r="I796" i="15"/>
  <c r="J796" i="15"/>
  <c r="K796" i="15"/>
  <c r="L796" i="15"/>
  <c r="M796" i="15"/>
  <c r="P796" i="15"/>
  <c r="Q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Q770" i="15"/>
  <c r="S770" i="15"/>
  <c r="T770" i="15"/>
  <c r="AC770" i="15"/>
  <c r="B771" i="15"/>
  <c r="C771" i="15"/>
  <c r="D771" i="15"/>
  <c r="I771" i="15"/>
  <c r="J771" i="15"/>
  <c r="K771" i="15"/>
  <c r="L771" i="15"/>
  <c r="M771" i="15"/>
  <c r="P771" i="15"/>
  <c r="Q771" i="15"/>
  <c r="S771" i="15"/>
  <c r="T771" i="15"/>
  <c r="AC771" i="15"/>
  <c r="B772" i="15"/>
  <c r="C772" i="15"/>
  <c r="D772" i="15"/>
  <c r="I772" i="15"/>
  <c r="J772" i="15"/>
  <c r="K772" i="15"/>
  <c r="L772" i="15"/>
  <c r="M772" i="15"/>
  <c r="P772" i="15"/>
  <c r="Q772" i="15"/>
  <c r="S772" i="15"/>
  <c r="T772" i="15"/>
  <c r="AC772" i="15"/>
  <c r="B773" i="15"/>
  <c r="C773" i="15"/>
  <c r="D773" i="15"/>
  <c r="I773" i="15"/>
  <c r="J773" i="15"/>
  <c r="K773" i="15"/>
  <c r="L773" i="15"/>
  <c r="M773" i="15"/>
  <c r="P773" i="15"/>
  <c r="Q773" i="15"/>
  <c r="S773" i="15"/>
  <c r="T773" i="15"/>
  <c r="AC773" i="15"/>
  <c r="B774" i="15"/>
  <c r="C774" i="15"/>
  <c r="D774" i="15"/>
  <c r="I774" i="15"/>
  <c r="J774" i="15"/>
  <c r="K774" i="15"/>
  <c r="L774" i="15"/>
  <c r="M774" i="15"/>
  <c r="P774" i="15"/>
  <c r="Q774" i="15"/>
  <c r="S774" i="15"/>
  <c r="T774" i="15"/>
  <c r="AC774" i="15"/>
  <c r="B775" i="15"/>
  <c r="C775" i="15"/>
  <c r="D775" i="15"/>
  <c r="I775" i="15"/>
  <c r="J775" i="15"/>
  <c r="K775" i="15"/>
  <c r="L775" i="15"/>
  <c r="M775" i="15"/>
  <c r="P775" i="15"/>
  <c r="Q775" i="15"/>
  <c r="S775" i="15"/>
  <c r="T775" i="15"/>
  <c r="AC775" i="15"/>
  <c r="B776" i="15"/>
  <c r="C776" i="15"/>
  <c r="D776" i="15"/>
  <c r="I776" i="15"/>
  <c r="J776" i="15"/>
  <c r="K776" i="15"/>
  <c r="L776" i="15"/>
  <c r="M776" i="15"/>
  <c r="P776" i="15"/>
  <c r="Q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2" i="4"/>
  <c r="X822" i="4"/>
  <c r="S822" i="4"/>
  <c r="R822" i="4"/>
  <c r="Q822" i="4"/>
  <c r="P822" i="4"/>
  <c r="N822" i="4"/>
  <c r="M822" i="4"/>
  <c r="L822" i="4"/>
  <c r="E822" i="4"/>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Q815" i="4"/>
  <c r="P815" i="4"/>
  <c r="N815" i="4"/>
  <c r="M815" i="4"/>
  <c r="L815" i="4"/>
  <c r="E815" i="4"/>
  <c r="AC814" i="4"/>
  <c r="X814" i="4"/>
  <c r="S814" i="4"/>
  <c r="R814" i="4"/>
  <c r="Q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Q811" i="4"/>
  <c r="P811" i="4"/>
  <c r="N811" i="4"/>
  <c r="M811" i="4"/>
  <c r="L811" i="4"/>
  <c r="E811" i="4"/>
  <c r="AC810" i="4"/>
  <c r="X810" i="4"/>
  <c r="S810" i="4"/>
  <c r="R810" i="4"/>
  <c r="Q810" i="4"/>
  <c r="P810" i="4"/>
  <c r="N810" i="4"/>
  <c r="M810" i="4"/>
  <c r="L810" i="4"/>
  <c r="E810" i="4"/>
  <c r="AC809" i="4"/>
  <c r="X809" i="4"/>
  <c r="S809" i="4"/>
  <c r="R809" i="4"/>
  <c r="Q809" i="4"/>
  <c r="P809" i="4"/>
  <c r="N809" i="4"/>
  <c r="M809" i="4"/>
  <c r="L809" i="4"/>
  <c r="E809" i="4"/>
  <c r="AC808" i="4"/>
  <c r="X808" i="4"/>
  <c r="S808" i="4"/>
  <c r="R808" i="4"/>
  <c r="Q808" i="4"/>
  <c r="P808" i="4"/>
  <c r="N808" i="4"/>
  <c r="M808" i="4"/>
  <c r="L808" i="4"/>
  <c r="E808" i="4"/>
  <c r="AC807" i="4"/>
  <c r="X807" i="4"/>
  <c r="S807" i="4"/>
  <c r="R807" i="4"/>
  <c r="Q807" i="4"/>
  <c r="P807" i="4"/>
  <c r="N807" i="4"/>
  <c r="M807" i="4"/>
  <c r="L807" i="4"/>
  <c r="E807" i="4"/>
  <c r="AC806" i="4"/>
  <c r="X806" i="4"/>
  <c r="S806" i="4"/>
  <c r="R806" i="4"/>
  <c r="Q806" i="4"/>
  <c r="P806" i="4"/>
  <c r="N806" i="4"/>
  <c r="M806" i="4"/>
  <c r="L806" i="4"/>
  <c r="E806" i="4"/>
  <c r="C822" i="4"/>
  <c r="B822"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AC795" i="4"/>
  <c r="X795" i="4"/>
  <c r="S795" i="4"/>
  <c r="R795" i="4"/>
  <c r="Q795" i="4"/>
  <c r="P795" i="4"/>
  <c r="N795" i="4"/>
  <c r="M795" i="4"/>
  <c r="L795" i="4"/>
  <c r="E795" i="4"/>
  <c r="C795" i="4"/>
  <c r="B795" i="4"/>
  <c r="AC794" i="4"/>
  <c r="X794" i="4"/>
  <c r="S794" i="4"/>
  <c r="R794" i="4"/>
  <c r="Q794" i="4"/>
  <c r="P794" i="4"/>
  <c r="N794" i="4"/>
  <c r="M794" i="4"/>
  <c r="L794" i="4"/>
  <c r="E794" i="4"/>
  <c r="AC793" i="4"/>
  <c r="X793" i="4"/>
  <c r="S793" i="4"/>
  <c r="R793" i="4"/>
  <c r="Q793" i="4"/>
  <c r="P793" i="4"/>
  <c r="N793" i="4"/>
  <c r="M793" i="4"/>
  <c r="L793" i="4"/>
  <c r="E793" i="4"/>
  <c r="AC792" i="4"/>
  <c r="X792" i="4"/>
  <c r="S792" i="4"/>
  <c r="R792" i="4"/>
  <c r="Q792" i="4"/>
  <c r="P792" i="4"/>
  <c r="N792" i="4"/>
  <c r="M792" i="4"/>
  <c r="L792" i="4"/>
  <c r="E792" i="4"/>
  <c r="AC791" i="4"/>
  <c r="X791" i="4"/>
  <c r="S791" i="4"/>
  <c r="R791" i="4"/>
  <c r="Q791" i="4"/>
  <c r="P791" i="4"/>
  <c r="N791" i="4"/>
  <c r="M791" i="4"/>
  <c r="L791" i="4"/>
  <c r="E791" i="4"/>
  <c r="AC790" i="4"/>
  <c r="X790" i="4"/>
  <c r="S790" i="4"/>
  <c r="R790" i="4"/>
  <c r="Q790" i="4"/>
  <c r="P790" i="4"/>
  <c r="N790" i="4"/>
  <c r="M790" i="4"/>
  <c r="L790" i="4"/>
  <c r="E790" i="4"/>
  <c r="AC789" i="4"/>
  <c r="X789" i="4"/>
  <c r="S789" i="4"/>
  <c r="R789" i="4"/>
  <c r="Q789" i="4"/>
  <c r="P789" i="4"/>
  <c r="N789" i="4"/>
  <c r="M789" i="4"/>
  <c r="L789" i="4"/>
  <c r="E789" i="4"/>
  <c r="AC788" i="4"/>
  <c r="X788" i="4"/>
  <c r="S788" i="4"/>
  <c r="R788" i="4"/>
  <c r="Q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Q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Q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P821" i="6"/>
  <c r="Q821" i="6" s="1"/>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P819" i="6"/>
  <c r="Q819" i="6" s="1"/>
  <c r="N819" i="6"/>
  <c r="J819" i="6"/>
  <c r="I819" i="6"/>
  <c r="H819" i="6"/>
  <c r="AE818" i="6"/>
  <c r="Z818" i="6"/>
  <c r="X818" i="6"/>
  <c r="V818" i="6"/>
  <c r="U818" i="6"/>
  <c r="T818" i="6"/>
  <c r="S818" i="6"/>
  <c r="P818" i="6"/>
  <c r="Q818" i="6" s="1"/>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P815" i="6"/>
  <c r="Q815" i="6" s="1"/>
  <c r="N815" i="6"/>
  <c r="J815" i="6"/>
  <c r="I815" i="6"/>
  <c r="H815" i="6"/>
  <c r="AE814" i="6"/>
  <c r="Z814" i="6"/>
  <c r="X814" i="6"/>
  <c r="V814" i="6"/>
  <c r="U814" i="6"/>
  <c r="T814" i="6"/>
  <c r="S814" i="6"/>
  <c r="P814" i="6"/>
  <c r="Q814" i="6" s="1"/>
  <c r="N814" i="6"/>
  <c r="J814" i="6"/>
  <c r="I814" i="6"/>
  <c r="H814" i="6"/>
  <c r="AE813" i="6"/>
  <c r="Z813" i="6"/>
  <c r="X813" i="6"/>
  <c r="V813" i="6"/>
  <c r="U813" i="6"/>
  <c r="T813" i="6"/>
  <c r="S813" i="6"/>
  <c r="P813" i="6"/>
  <c r="Q813" i="6" s="1"/>
  <c r="N813" i="6"/>
  <c r="J813" i="6"/>
  <c r="I813" i="6"/>
  <c r="H813" i="6"/>
  <c r="AE812" i="6"/>
  <c r="Z812" i="6"/>
  <c r="X812" i="6"/>
  <c r="V812" i="6"/>
  <c r="U812" i="6"/>
  <c r="T812" i="6"/>
  <c r="S812" i="6"/>
  <c r="P812" i="6"/>
  <c r="Q812" i="6" s="1"/>
  <c r="N812" i="6"/>
  <c r="J812" i="6"/>
  <c r="I812" i="6"/>
  <c r="H812" i="6"/>
  <c r="AE811" i="6"/>
  <c r="Z811" i="6"/>
  <c r="X811" i="6"/>
  <c r="V811" i="6"/>
  <c r="U811" i="6"/>
  <c r="T811" i="6"/>
  <c r="S811" i="6"/>
  <c r="P811" i="6"/>
  <c r="Q811" i="6" s="1"/>
  <c r="N811" i="6"/>
  <c r="J811" i="6"/>
  <c r="I811" i="6"/>
  <c r="H811" i="6"/>
  <c r="AE810" i="6"/>
  <c r="Z810" i="6"/>
  <c r="X810" i="6"/>
  <c r="V810" i="6"/>
  <c r="U810" i="6"/>
  <c r="T810" i="6"/>
  <c r="S810" i="6"/>
  <c r="P810" i="6"/>
  <c r="Q810" i="6" s="1"/>
  <c r="N810" i="6"/>
  <c r="J810" i="6"/>
  <c r="I810" i="6"/>
  <c r="H810" i="6"/>
  <c r="AE809" i="6"/>
  <c r="Z809" i="6"/>
  <c r="X809" i="6"/>
  <c r="V809" i="6"/>
  <c r="U809" i="6"/>
  <c r="T809" i="6"/>
  <c r="S809" i="6"/>
  <c r="P809" i="6"/>
  <c r="Q809" i="6" s="1"/>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P798" i="6"/>
  <c r="Q798" i="6" s="1"/>
  <c r="N798" i="6"/>
  <c r="J798" i="6"/>
  <c r="I798" i="6"/>
  <c r="H798" i="6"/>
  <c r="AE797" i="6"/>
  <c r="Z797" i="6"/>
  <c r="X797" i="6"/>
  <c r="V797" i="6"/>
  <c r="U797" i="6"/>
  <c r="T797" i="6"/>
  <c r="S797" i="6"/>
  <c r="P797" i="6"/>
  <c r="Q797" i="6" s="1"/>
  <c r="N797" i="6"/>
  <c r="J797" i="6"/>
  <c r="I797" i="6"/>
  <c r="H797" i="6"/>
  <c r="AE796" i="6"/>
  <c r="Z796" i="6"/>
  <c r="X796" i="6"/>
  <c r="V796" i="6"/>
  <c r="U796" i="6"/>
  <c r="T796" i="6"/>
  <c r="S796" i="6"/>
  <c r="P796" i="6"/>
  <c r="Q796" i="6" s="1"/>
  <c r="N796" i="6"/>
  <c r="J796" i="6"/>
  <c r="I796" i="6"/>
  <c r="H796" i="6"/>
  <c r="AE795" i="6"/>
  <c r="Z795" i="6"/>
  <c r="X795" i="6"/>
  <c r="V795" i="6"/>
  <c r="U795" i="6"/>
  <c r="T795" i="6"/>
  <c r="S795" i="6"/>
  <c r="P795" i="6"/>
  <c r="Q795" i="6" s="1"/>
  <c r="N795" i="6"/>
  <c r="J795" i="6"/>
  <c r="I795" i="6"/>
  <c r="H795" i="6"/>
  <c r="AE794" i="6"/>
  <c r="Z794" i="6"/>
  <c r="X794" i="6"/>
  <c r="V794" i="6"/>
  <c r="U794" i="6"/>
  <c r="T794" i="6"/>
  <c r="S794" i="6"/>
  <c r="P794" i="6"/>
  <c r="Q794" i="6" s="1"/>
  <c r="N794" i="6"/>
  <c r="J794" i="6"/>
  <c r="I794" i="6"/>
  <c r="H794" i="6"/>
  <c r="AE793" i="6"/>
  <c r="Z793" i="6"/>
  <c r="X793" i="6"/>
  <c r="V793" i="6"/>
  <c r="U793" i="6"/>
  <c r="T793" i="6"/>
  <c r="S793" i="6"/>
  <c r="P793" i="6"/>
  <c r="Q793" i="6" s="1"/>
  <c r="N793" i="6"/>
  <c r="J793" i="6"/>
  <c r="I793" i="6"/>
  <c r="H793" i="6"/>
  <c r="E798" i="6"/>
  <c r="E797" i="6"/>
  <c r="E796" i="6"/>
  <c r="E795" i="6"/>
  <c r="E794" i="6"/>
  <c r="E793" i="6"/>
  <c r="A798" i="6"/>
  <c r="A797" i="6"/>
  <c r="A796" i="6"/>
  <c r="A795" i="6"/>
  <c r="A794" i="6"/>
  <c r="A793" i="6"/>
  <c r="AE792" i="6"/>
  <c r="Z792" i="6"/>
  <c r="AB792" i="6" s="1"/>
  <c r="X792" i="6"/>
  <c r="V792" i="6"/>
  <c r="U792" i="6"/>
  <c r="T792" i="6"/>
  <c r="S792" i="6"/>
  <c r="P792" i="6"/>
  <c r="Q792" i="6" s="1"/>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P786" i="6"/>
  <c r="Q786" i="6" s="1"/>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P783" i="6"/>
  <c r="Q783" i="6" s="1"/>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M844" i="5"/>
  <c r="AF840" i="6"/>
  <c r="BI769" i="1"/>
  <c r="AR766" i="1"/>
  <c r="Q806" i="15" l="1"/>
  <c r="AH794" i="6"/>
  <c r="AH810" i="6"/>
  <c r="AH795" i="6"/>
  <c r="AH811" i="6"/>
  <c r="AH796" i="6"/>
  <c r="AH812" i="6"/>
  <c r="AH797" i="6"/>
  <c r="AH813" i="6"/>
  <c r="AH798" i="6"/>
  <c r="AH814" i="6"/>
  <c r="AH783" i="6"/>
  <c r="AH815" i="6"/>
  <c r="AH816" i="6"/>
  <c r="AH818" i="6"/>
  <c r="AH786" i="6"/>
  <c r="AH819" i="6"/>
  <c r="AH787" i="6"/>
  <c r="AH821" i="6"/>
  <c r="AH788" i="6"/>
  <c r="AH822" i="6"/>
  <c r="AH789" i="6"/>
  <c r="AH823" i="6"/>
  <c r="AH790" i="6"/>
  <c r="AH824" i="6"/>
  <c r="AH791" i="6"/>
  <c r="AH825" i="6"/>
  <c r="AH792" i="6"/>
  <c r="AH793" i="6"/>
  <c r="AH809" i="6"/>
  <c r="Q780" i="4"/>
  <c r="AD782" i="5"/>
  <c r="AD781" i="5"/>
  <c r="P785" i="6"/>
  <c r="AD780" i="5"/>
  <c r="P784" i="6"/>
  <c r="BI765" i="1"/>
  <c r="Q784" i="6" l="1"/>
  <c r="W784" i="6"/>
  <c r="AH784" i="6"/>
  <c r="Q785" i="6"/>
  <c r="AH785" i="6"/>
  <c r="AR765" i="1"/>
  <c r="AD869" i="4"/>
  <c r="AD868" i="4"/>
  <c r="AD867" i="4"/>
  <c r="AD866" i="4"/>
  <c r="AD865" i="4"/>
  <c r="AD863" i="4"/>
  <c r="AD862" i="4"/>
  <c r="AD861" i="4"/>
  <c r="AD860" i="4"/>
  <c r="AD859" i="4"/>
  <c r="AD858" i="4"/>
  <c r="AD857" i="4"/>
  <c r="AD856" i="4"/>
  <c r="AD854" i="4"/>
  <c r="AD855" i="4"/>
  <c r="AD853" i="4"/>
  <c r="AR758" i="1" l="1"/>
  <c r="I760" i="6"/>
  <c r="BI756" i="1"/>
  <c r="AR754" i="1"/>
  <c r="BI764" i="1" l="1"/>
  <c r="AR764" i="1"/>
  <c r="BI763" i="1"/>
  <c r="AR762" i="1"/>
  <c r="BI761" i="1"/>
  <c r="AR761" i="1"/>
  <c r="AR753" i="1"/>
  <c r="AR840" i="1" l="1"/>
  <c r="Y835" i="15" s="1"/>
  <c r="BI837" i="1"/>
  <c r="AR837" i="1"/>
  <c r="Y832" i="15" s="1"/>
  <c r="BI836" i="1"/>
  <c r="AR836" i="1"/>
  <c r="Y831" i="15" s="1"/>
  <c r="AR835" i="1"/>
  <c r="Y830" i="15" s="1"/>
  <c r="BI869" i="1"/>
  <c r="BI868" i="1"/>
  <c r="BI867" i="1"/>
  <c r="BI866" i="1"/>
  <c r="BI864" i="1"/>
  <c r="BI863" i="1"/>
  <c r="BI862" i="1"/>
  <c r="BI861" i="1"/>
  <c r="BI860" i="1"/>
  <c r="BI859" i="1"/>
  <c r="BI858" i="1"/>
  <c r="BI857" i="1"/>
  <c r="BI855" i="1"/>
  <c r="BI854" i="1"/>
  <c r="BI853" i="1"/>
  <c r="BI852" i="1"/>
  <c r="BI851" i="1"/>
  <c r="BI850" i="1"/>
  <c r="BI849" i="1"/>
  <c r="BI848" i="1"/>
  <c r="BI847" i="1"/>
  <c r="BI846" i="1"/>
  <c r="BI845" i="1"/>
  <c r="BI844" i="1"/>
  <c r="BI842" i="1"/>
  <c r="BI840" i="1"/>
  <c r="BI839" i="1"/>
  <c r="BI835" i="1"/>
  <c r="BI834" i="1"/>
  <c r="BI828" i="1"/>
  <c r="BI827" i="1"/>
  <c r="BI826" i="1"/>
  <c r="BI824" i="1"/>
  <c r="AR769" i="1" l="1"/>
  <c r="AR844" i="1"/>
  <c r="Y839" i="15" s="1"/>
  <c r="AR767" i="1"/>
  <c r="AR763" i="1"/>
  <c r="AR834" i="1"/>
  <c r="Y829" i="15" s="1"/>
  <c r="AR746" i="1"/>
  <c r="AR590" i="1" l="1"/>
  <c r="R881" i="1"/>
  <c r="AG882" i="6"/>
  <c r="V881" i="6"/>
  <c r="AF877" i="6"/>
  <c r="L87" i="18"/>
  <c r="M64" i="14"/>
  <c r="K64" i="14"/>
  <c r="AD881" i="6" l="1"/>
  <c r="AD882" i="6" s="1"/>
  <c r="J350" i="6"/>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B864" i="4"/>
  <c r="C864" i="4"/>
  <c r="E864" i="4"/>
  <c r="J864" i="4"/>
  <c r="K864" i="4"/>
  <c r="L864" i="4"/>
  <c r="M864" i="4"/>
  <c r="N864" i="4"/>
  <c r="P864" i="4"/>
  <c r="Q864" i="4"/>
  <c r="R864" i="4"/>
  <c r="S864" i="4"/>
  <c r="X864" i="4"/>
  <c r="AC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B872" i="4"/>
  <c r="C872" i="4"/>
  <c r="E872" i="4"/>
  <c r="J872" i="4"/>
  <c r="K872" i="4"/>
  <c r="L872" i="4"/>
  <c r="M872" i="4"/>
  <c r="N872" i="4"/>
  <c r="P872" i="4"/>
  <c r="Q872" i="4"/>
  <c r="R872" i="4"/>
  <c r="S872" i="4"/>
  <c r="X872" i="4"/>
  <c r="AC872" i="4"/>
  <c r="B873" i="4"/>
  <c r="C873" i="4"/>
  <c r="E873" i="4"/>
  <c r="J873" i="4"/>
  <c r="K873" i="4"/>
  <c r="L873" i="4"/>
  <c r="M873" i="4"/>
  <c r="N873" i="4"/>
  <c r="P873" i="4"/>
  <c r="Q873" i="4"/>
  <c r="R873" i="4"/>
  <c r="S873" i="4"/>
  <c r="X873" i="4"/>
  <c r="AC873" i="4"/>
  <c r="B874" i="4"/>
  <c r="C874" i="4"/>
  <c r="E874" i="4"/>
  <c r="J874" i="4"/>
  <c r="K874" i="4"/>
  <c r="L874" i="4"/>
  <c r="M874" i="4"/>
  <c r="N874" i="4"/>
  <c r="P874" i="4"/>
  <c r="Q874" i="4"/>
  <c r="R874" i="4"/>
  <c r="S874" i="4"/>
  <c r="X874" i="4"/>
  <c r="AC874" i="4"/>
  <c r="B875" i="4"/>
  <c r="C875" i="4"/>
  <c r="E875" i="4"/>
  <c r="J875" i="4"/>
  <c r="K875" i="4"/>
  <c r="L875" i="4"/>
  <c r="M875" i="4"/>
  <c r="N875" i="4"/>
  <c r="P875" i="4"/>
  <c r="Q875" i="4"/>
  <c r="R875" i="4"/>
  <c r="S875" i="4"/>
  <c r="X875" i="4"/>
  <c r="AC875" i="4"/>
  <c r="B876" i="4"/>
  <c r="C876" i="4"/>
  <c r="E876" i="4"/>
  <c r="J876" i="4"/>
  <c r="K876" i="4"/>
  <c r="L876" i="4"/>
  <c r="M876" i="4"/>
  <c r="N876" i="4"/>
  <c r="P876" i="4"/>
  <c r="Q876" i="4"/>
  <c r="R876" i="4"/>
  <c r="S876" i="4"/>
  <c r="X876" i="4"/>
  <c r="AC876" i="4"/>
  <c r="B877" i="4"/>
  <c r="C877" i="4"/>
  <c r="E877" i="4"/>
  <c r="J877" i="4"/>
  <c r="K877" i="4"/>
  <c r="L877" i="4"/>
  <c r="M877" i="4"/>
  <c r="N877" i="4"/>
  <c r="P877" i="4"/>
  <c r="Q877" i="4"/>
  <c r="R877" i="4"/>
  <c r="S877" i="4"/>
  <c r="X877" i="4"/>
  <c r="AC877" i="4"/>
  <c r="B878" i="4"/>
  <c r="C878" i="4"/>
  <c r="E878" i="4"/>
  <c r="J878" i="4"/>
  <c r="K878" i="4"/>
  <c r="L878" i="4"/>
  <c r="M878" i="4"/>
  <c r="N878" i="4"/>
  <c r="P878" i="4"/>
  <c r="Q878" i="4"/>
  <c r="R878" i="4"/>
  <c r="S878" i="4"/>
  <c r="X878" i="4"/>
  <c r="AC878" i="4"/>
  <c r="B879" i="4"/>
  <c r="C879" i="4"/>
  <c r="E879" i="4"/>
  <c r="J879" i="4"/>
  <c r="K879" i="4"/>
  <c r="L879" i="4"/>
  <c r="M879" i="4"/>
  <c r="N879" i="4"/>
  <c r="P879" i="4"/>
  <c r="Q879" i="4"/>
  <c r="R879" i="4"/>
  <c r="S879" i="4"/>
  <c r="X879" i="4"/>
  <c r="AC879" i="4"/>
  <c r="B880" i="4"/>
  <c r="C880" i="4"/>
  <c r="E880" i="4"/>
  <c r="J880" i="4"/>
  <c r="K880" i="4"/>
  <c r="L880" i="4"/>
  <c r="M880" i="4"/>
  <c r="N880" i="4"/>
  <c r="P880" i="4"/>
  <c r="Q880" i="4"/>
  <c r="R880" i="4"/>
  <c r="S880" i="4"/>
  <c r="X880" i="4"/>
  <c r="AC880" i="4"/>
  <c r="B881" i="4"/>
  <c r="C881" i="4"/>
  <c r="E881" i="4"/>
  <c r="J881" i="4"/>
  <c r="K881" i="4"/>
  <c r="L881" i="4"/>
  <c r="M881" i="4"/>
  <c r="N881" i="4"/>
  <c r="P881" i="4"/>
  <c r="Q881" i="4"/>
  <c r="R881" i="4"/>
  <c r="S881" i="4"/>
  <c r="X881" i="4"/>
  <c r="AC881" i="4"/>
  <c r="B882" i="4"/>
  <c r="C882" i="4"/>
  <c r="E882" i="4"/>
  <c r="J882" i="4"/>
  <c r="K882" i="4"/>
  <c r="L882" i="4"/>
  <c r="M882" i="4"/>
  <c r="N882" i="4"/>
  <c r="P882" i="4"/>
  <c r="Q882" i="4"/>
  <c r="R882" i="4"/>
  <c r="S882" i="4"/>
  <c r="X882" i="4"/>
  <c r="AC882" i="4"/>
  <c r="B883" i="4"/>
  <c r="C883" i="4"/>
  <c r="E883" i="4"/>
  <c r="J883" i="4"/>
  <c r="K883" i="4"/>
  <c r="L883" i="4"/>
  <c r="M883" i="4"/>
  <c r="N883" i="4"/>
  <c r="P883" i="4"/>
  <c r="Q883" i="4"/>
  <c r="R883" i="4"/>
  <c r="S883" i="4"/>
  <c r="X883" i="4"/>
  <c r="AC883" i="4"/>
  <c r="B884" i="4"/>
  <c r="C884" i="4"/>
  <c r="E884" i="4"/>
  <c r="J884" i="4"/>
  <c r="K884" i="4"/>
  <c r="L884" i="4"/>
  <c r="M884" i="4"/>
  <c r="N884" i="4"/>
  <c r="P884" i="4"/>
  <c r="Q884" i="4"/>
  <c r="R884" i="4"/>
  <c r="S884" i="4"/>
  <c r="X884" i="4"/>
  <c r="AC884" i="4"/>
  <c r="B885" i="4"/>
  <c r="C885" i="4"/>
  <c r="E885" i="4"/>
  <c r="J885" i="4"/>
  <c r="K885" i="4"/>
  <c r="L885" i="4"/>
  <c r="M885" i="4"/>
  <c r="N885" i="4"/>
  <c r="P885" i="4"/>
  <c r="Q885" i="4"/>
  <c r="R885" i="4"/>
  <c r="S885" i="4"/>
  <c r="X885" i="4"/>
  <c r="AC885" i="4"/>
  <c r="B886" i="4"/>
  <c r="C886" i="4"/>
  <c r="E886" i="4"/>
  <c r="J886" i="4"/>
  <c r="K886" i="4"/>
  <c r="L886" i="4"/>
  <c r="M886" i="4"/>
  <c r="N886" i="4"/>
  <c r="P886" i="4"/>
  <c r="Q886" i="4"/>
  <c r="R886" i="4"/>
  <c r="S886" i="4"/>
  <c r="X886" i="4"/>
  <c r="AC886" i="4"/>
  <c r="B887" i="4"/>
  <c r="C887" i="4"/>
  <c r="E887" i="4"/>
  <c r="J887" i="4"/>
  <c r="K887" i="4"/>
  <c r="L887" i="4"/>
  <c r="M887" i="4"/>
  <c r="N887" i="4"/>
  <c r="P887" i="4"/>
  <c r="Q887" i="4"/>
  <c r="R887" i="4"/>
  <c r="S887" i="4"/>
  <c r="X887" i="4"/>
  <c r="AC887" i="4"/>
  <c r="B888" i="4"/>
  <c r="C888" i="4"/>
  <c r="E888" i="4"/>
  <c r="J888" i="4"/>
  <c r="K888" i="4"/>
  <c r="L888" i="4"/>
  <c r="M888" i="4"/>
  <c r="N888" i="4"/>
  <c r="P888" i="4"/>
  <c r="Q888" i="4"/>
  <c r="R888" i="4"/>
  <c r="S888" i="4"/>
  <c r="X888" i="4"/>
  <c r="AC888" i="4"/>
  <c r="B889" i="4"/>
  <c r="C889" i="4"/>
  <c r="E889" i="4"/>
  <c r="J889" i="4"/>
  <c r="K889" i="4"/>
  <c r="L889" i="4"/>
  <c r="M889" i="4"/>
  <c r="N889" i="4"/>
  <c r="P889" i="4"/>
  <c r="Q889" i="4"/>
  <c r="R889" i="4"/>
  <c r="S889" i="4"/>
  <c r="X889" i="4"/>
  <c r="AC889" i="4"/>
  <c r="B890" i="4"/>
  <c r="C890" i="4"/>
  <c r="E890" i="4"/>
  <c r="J890" i="4"/>
  <c r="K890" i="4"/>
  <c r="L890" i="4"/>
  <c r="M890" i="4"/>
  <c r="N890" i="4"/>
  <c r="P890" i="4"/>
  <c r="Q890" i="4"/>
  <c r="R890" i="4"/>
  <c r="S890" i="4"/>
  <c r="X890" i="4"/>
  <c r="AC890" i="4"/>
  <c r="B891" i="4"/>
  <c r="C891" i="4"/>
  <c r="E891" i="4"/>
  <c r="J891" i="4"/>
  <c r="K891" i="4"/>
  <c r="L891" i="4"/>
  <c r="M891" i="4"/>
  <c r="N891" i="4"/>
  <c r="P891" i="4"/>
  <c r="Q891" i="4"/>
  <c r="R891" i="4"/>
  <c r="S891" i="4"/>
  <c r="X891" i="4"/>
  <c r="AC891" i="4"/>
  <c r="B892" i="4"/>
  <c r="C892" i="4"/>
  <c r="E892" i="4"/>
  <c r="J892" i="4"/>
  <c r="K892" i="4"/>
  <c r="L892" i="4"/>
  <c r="M892" i="4"/>
  <c r="N892" i="4"/>
  <c r="P892" i="4"/>
  <c r="Q892" i="4"/>
  <c r="R892" i="4"/>
  <c r="S892" i="4"/>
  <c r="X892" i="4"/>
  <c r="AC892" i="4"/>
  <c r="B893" i="4"/>
  <c r="C893" i="4"/>
  <c r="E893" i="4"/>
  <c r="J893" i="4"/>
  <c r="K893" i="4"/>
  <c r="L893" i="4"/>
  <c r="M893" i="4"/>
  <c r="N893" i="4"/>
  <c r="P893" i="4"/>
  <c r="Q893" i="4"/>
  <c r="R893" i="4"/>
  <c r="S893" i="4"/>
  <c r="X893" i="4"/>
  <c r="AC893" i="4"/>
  <c r="B894" i="4"/>
  <c r="C894" i="4"/>
  <c r="E894" i="4"/>
  <c r="J894" i="4"/>
  <c r="K894" i="4"/>
  <c r="L894" i="4"/>
  <c r="M894" i="4"/>
  <c r="N894" i="4"/>
  <c r="P894" i="4"/>
  <c r="Q894" i="4"/>
  <c r="R894" i="4"/>
  <c r="S894" i="4"/>
  <c r="X894" i="4"/>
  <c r="AC894" i="4"/>
  <c r="K841" i="4" l="1"/>
  <c r="J841" i="4"/>
  <c r="K839" i="4"/>
  <c r="J839" i="4"/>
  <c r="K838" i="4"/>
  <c r="J838" i="4"/>
  <c r="K837" i="4"/>
  <c r="J837" i="4"/>
  <c r="K835" i="4"/>
  <c r="J835" i="4"/>
  <c r="K834" i="4"/>
  <c r="J834" i="4"/>
  <c r="K833" i="4"/>
  <c r="J833"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1" i="4"/>
  <c r="B839" i="4"/>
  <c r="B838" i="4"/>
  <c r="B837" i="4"/>
  <c r="B835" i="4"/>
  <c r="B834" i="4"/>
  <c r="B833"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43" i="5"/>
  <c r="AM840" i="5"/>
  <c r="AM836" i="5"/>
  <c r="AM761" i="5"/>
  <c r="AM759" i="5"/>
  <c r="AM753" i="5"/>
  <c r="AM752" i="5"/>
  <c r="AM738" i="5"/>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6" i="5" l="1"/>
  <c r="L836" i="5"/>
  <c r="J836" i="5"/>
  <c r="H836"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Z797" i="5"/>
  <c r="AB797" i="5"/>
  <c r="AC797" i="5"/>
  <c r="AD797" i="5"/>
  <c r="AE797" i="5"/>
  <c r="AF797" i="5"/>
  <c r="AG797" i="5"/>
  <c r="AM797" i="5"/>
  <c r="A798" i="5"/>
  <c r="H798" i="5"/>
  <c r="J798" i="5"/>
  <c r="L798" i="5"/>
  <c r="N798" i="5"/>
  <c r="R798" i="5"/>
  <c r="T798" i="5"/>
  <c r="U798" i="5"/>
  <c r="Z798" i="5"/>
  <c r="AB798" i="5"/>
  <c r="AC798" i="5"/>
  <c r="AD798" i="5"/>
  <c r="AE798" i="5"/>
  <c r="AF798" i="5"/>
  <c r="AG798" i="5"/>
  <c r="AM798" i="5"/>
  <c r="A799" i="5"/>
  <c r="H799" i="5"/>
  <c r="J799" i="5"/>
  <c r="L799" i="5"/>
  <c r="N799" i="5"/>
  <c r="R799" i="5"/>
  <c r="T799" i="5"/>
  <c r="U799" i="5"/>
  <c r="Z799" i="5"/>
  <c r="AB799" i="5"/>
  <c r="AC799" i="5"/>
  <c r="AD799" i="5"/>
  <c r="AE799" i="5"/>
  <c r="AF799" i="5"/>
  <c r="AG799" i="5"/>
  <c r="AM799" i="5"/>
  <c r="A800" i="5"/>
  <c r="H800" i="5"/>
  <c r="J800" i="5"/>
  <c r="L800" i="5"/>
  <c r="N800" i="5"/>
  <c r="R800" i="5"/>
  <c r="T800" i="5"/>
  <c r="U800" i="5"/>
  <c r="Z800" i="5"/>
  <c r="AB800" i="5"/>
  <c r="AC800" i="5"/>
  <c r="AD800" i="5"/>
  <c r="AE800" i="5"/>
  <c r="AF800" i="5"/>
  <c r="AG800" i="5"/>
  <c r="AM800" i="5"/>
  <c r="A801" i="5"/>
  <c r="H801" i="5"/>
  <c r="J801" i="5"/>
  <c r="L801" i="5"/>
  <c r="N801" i="5"/>
  <c r="R801" i="5"/>
  <c r="T801" i="5"/>
  <c r="U801" i="5"/>
  <c r="Z801" i="5"/>
  <c r="AB801" i="5"/>
  <c r="AC801" i="5"/>
  <c r="AD801" i="5"/>
  <c r="AE801" i="5"/>
  <c r="AF801" i="5"/>
  <c r="AG801" i="5"/>
  <c r="AM801" i="5"/>
  <c r="A802" i="5"/>
  <c r="H802" i="5"/>
  <c r="J802" i="5"/>
  <c r="L802" i="5"/>
  <c r="N802" i="5"/>
  <c r="R802" i="5"/>
  <c r="T802" i="5"/>
  <c r="U802" i="5"/>
  <c r="Z802" i="5"/>
  <c r="AB802" i="5"/>
  <c r="AC802" i="5"/>
  <c r="AD802" i="5"/>
  <c r="AE802" i="5"/>
  <c r="AF802" i="5"/>
  <c r="AG802" i="5"/>
  <c r="AM802" i="5"/>
  <c r="A803" i="5"/>
  <c r="H803" i="5"/>
  <c r="J803" i="5"/>
  <c r="L803" i="5"/>
  <c r="N803" i="5"/>
  <c r="R803" i="5"/>
  <c r="T803" i="5"/>
  <c r="U803" i="5"/>
  <c r="Z803" i="5"/>
  <c r="AB803" i="5"/>
  <c r="AC803" i="5"/>
  <c r="AD803" i="5"/>
  <c r="AE803" i="5"/>
  <c r="AF803" i="5"/>
  <c r="AG803" i="5"/>
  <c r="AM803" i="5"/>
  <c r="A804" i="5"/>
  <c r="H804" i="5"/>
  <c r="J804" i="5"/>
  <c r="L804" i="5"/>
  <c r="N804" i="5"/>
  <c r="R804" i="5"/>
  <c r="T804" i="5"/>
  <c r="U804" i="5"/>
  <c r="Z804" i="5"/>
  <c r="AB804" i="5"/>
  <c r="AC804" i="5"/>
  <c r="AD804" i="5"/>
  <c r="AE804" i="5"/>
  <c r="AF804" i="5"/>
  <c r="AG804" i="5"/>
  <c r="AM804" i="5"/>
  <c r="A805" i="5"/>
  <c r="H805" i="5"/>
  <c r="J805" i="5"/>
  <c r="L805" i="5"/>
  <c r="N805" i="5"/>
  <c r="R805" i="5"/>
  <c r="T805" i="5"/>
  <c r="U805" i="5"/>
  <c r="Z805" i="5"/>
  <c r="AB805" i="5"/>
  <c r="AC805" i="5"/>
  <c r="AD805" i="5"/>
  <c r="AE805" i="5"/>
  <c r="AF805" i="5"/>
  <c r="AG805" i="5"/>
  <c r="AM805" i="5"/>
  <c r="A823" i="5"/>
  <c r="H823" i="5"/>
  <c r="J823" i="5"/>
  <c r="L823" i="5"/>
  <c r="N823" i="5"/>
  <c r="R823" i="5"/>
  <c r="T823" i="5"/>
  <c r="U823" i="5"/>
  <c r="W823" i="5"/>
  <c r="Z823" i="5"/>
  <c r="AB823" i="5"/>
  <c r="AC823" i="5"/>
  <c r="AD823" i="5"/>
  <c r="AE823" i="5"/>
  <c r="AF823" i="5"/>
  <c r="AG823" i="5"/>
  <c r="AM823" i="5"/>
  <c r="A824" i="5"/>
  <c r="H824" i="5"/>
  <c r="J824" i="5"/>
  <c r="L824" i="5"/>
  <c r="N824" i="5"/>
  <c r="R824" i="5"/>
  <c r="T824" i="5"/>
  <c r="U824" i="5"/>
  <c r="W824" i="5"/>
  <c r="Z824" i="5"/>
  <c r="AB824" i="5"/>
  <c r="AC824" i="5"/>
  <c r="AD824" i="5"/>
  <c r="AE824" i="5"/>
  <c r="AF824" i="5"/>
  <c r="AG824" i="5"/>
  <c r="AM824" i="5"/>
  <c r="A825" i="5"/>
  <c r="H825" i="5"/>
  <c r="J825" i="5"/>
  <c r="L825" i="5"/>
  <c r="N825" i="5"/>
  <c r="R825" i="5"/>
  <c r="T825" i="5"/>
  <c r="U825" i="5"/>
  <c r="W825" i="5"/>
  <c r="Z825" i="5"/>
  <c r="AB825" i="5"/>
  <c r="AC825" i="5"/>
  <c r="AD825" i="5"/>
  <c r="AE825" i="5"/>
  <c r="AF825" i="5"/>
  <c r="AG825" i="5"/>
  <c r="AM825" i="5"/>
  <c r="A826" i="5"/>
  <c r="H826" i="5"/>
  <c r="J826" i="5"/>
  <c r="L826" i="5"/>
  <c r="N826" i="5"/>
  <c r="R826" i="5"/>
  <c r="T826" i="5"/>
  <c r="U826" i="5"/>
  <c r="W826" i="5"/>
  <c r="Z826" i="5"/>
  <c r="AB826" i="5"/>
  <c r="AC826" i="5"/>
  <c r="AD826" i="5"/>
  <c r="AE826" i="5"/>
  <c r="AF826" i="5"/>
  <c r="AG826" i="5"/>
  <c r="AM826" i="5"/>
  <c r="A827" i="5"/>
  <c r="H827" i="5"/>
  <c r="J827" i="5"/>
  <c r="L827" i="5"/>
  <c r="N827" i="5"/>
  <c r="R827" i="5"/>
  <c r="T827" i="5"/>
  <c r="U827" i="5"/>
  <c r="W827" i="5"/>
  <c r="Z827" i="5"/>
  <c r="AB827" i="5"/>
  <c r="AC827" i="5"/>
  <c r="AD827" i="5"/>
  <c r="AE827" i="5"/>
  <c r="AF827" i="5"/>
  <c r="AG827" i="5"/>
  <c r="AM827" i="5"/>
  <c r="A828" i="5"/>
  <c r="H828" i="5"/>
  <c r="J828" i="5"/>
  <c r="L828" i="5"/>
  <c r="N828" i="5"/>
  <c r="R828" i="5"/>
  <c r="T828" i="5"/>
  <c r="U828" i="5"/>
  <c r="W828" i="5"/>
  <c r="Z828" i="5"/>
  <c r="AB828" i="5"/>
  <c r="AC828" i="5"/>
  <c r="AD828" i="5"/>
  <c r="AE828" i="5"/>
  <c r="AF828" i="5"/>
  <c r="AG828" i="5"/>
  <c r="AM828" i="5"/>
  <c r="A829" i="5"/>
  <c r="H829" i="5"/>
  <c r="J829" i="5"/>
  <c r="L829" i="5"/>
  <c r="N829" i="5"/>
  <c r="R829" i="5"/>
  <c r="T829" i="5"/>
  <c r="U829" i="5"/>
  <c r="W829" i="5"/>
  <c r="Z829" i="5"/>
  <c r="AB829" i="5"/>
  <c r="AC829" i="5"/>
  <c r="AD829" i="5"/>
  <c r="AE829" i="5"/>
  <c r="AF829" i="5"/>
  <c r="AG829" i="5"/>
  <c r="AM829" i="5"/>
  <c r="A830" i="5"/>
  <c r="H830" i="5"/>
  <c r="J830" i="5"/>
  <c r="L830" i="5"/>
  <c r="N830" i="5"/>
  <c r="R830" i="5"/>
  <c r="T830" i="5"/>
  <c r="U830" i="5"/>
  <c r="W830" i="5"/>
  <c r="Z830" i="5"/>
  <c r="AB830" i="5"/>
  <c r="AC830" i="5"/>
  <c r="AD830" i="5"/>
  <c r="AE830" i="5"/>
  <c r="AF830" i="5"/>
  <c r="AG830" i="5"/>
  <c r="AM830" i="5"/>
  <c r="A831" i="5"/>
  <c r="H831" i="5"/>
  <c r="J831" i="5"/>
  <c r="L831" i="5"/>
  <c r="N831" i="5"/>
  <c r="R831" i="5"/>
  <c r="T831" i="5"/>
  <c r="U831" i="5"/>
  <c r="W831" i="5"/>
  <c r="Z831" i="5"/>
  <c r="AB831" i="5"/>
  <c r="AC831" i="5"/>
  <c r="AD831" i="5"/>
  <c r="AE831" i="5"/>
  <c r="AF831" i="5"/>
  <c r="AG831" i="5"/>
  <c r="AM831" i="5"/>
  <c r="A832" i="5"/>
  <c r="H832" i="5"/>
  <c r="J832" i="5"/>
  <c r="L832" i="5"/>
  <c r="N832" i="5"/>
  <c r="R832" i="5"/>
  <c r="T832" i="5"/>
  <c r="U832" i="5"/>
  <c r="W832" i="5"/>
  <c r="Z832" i="5"/>
  <c r="AB832" i="5"/>
  <c r="AC832" i="5"/>
  <c r="AD832" i="5"/>
  <c r="AE832" i="5"/>
  <c r="AF832" i="5"/>
  <c r="AG832" i="5"/>
  <c r="AM832" i="5"/>
  <c r="A833" i="5"/>
  <c r="H833" i="5"/>
  <c r="J833" i="5"/>
  <c r="L833" i="5"/>
  <c r="N833" i="5"/>
  <c r="R833" i="5"/>
  <c r="T833" i="5"/>
  <c r="U833" i="5"/>
  <c r="W833" i="5"/>
  <c r="Z833" i="5"/>
  <c r="AB833" i="5"/>
  <c r="AC833" i="5"/>
  <c r="AD833" i="5"/>
  <c r="AE833" i="5"/>
  <c r="AF833" i="5"/>
  <c r="AG833" i="5"/>
  <c r="AM833" i="5"/>
  <c r="A834" i="5"/>
  <c r="H834" i="5"/>
  <c r="J834" i="5"/>
  <c r="L834" i="5"/>
  <c r="N834" i="5"/>
  <c r="R834" i="5"/>
  <c r="T834" i="5"/>
  <c r="U834" i="5"/>
  <c r="W834" i="5"/>
  <c r="Z834" i="5"/>
  <c r="AB834" i="5"/>
  <c r="AC834" i="5"/>
  <c r="AD834" i="5"/>
  <c r="AE834" i="5"/>
  <c r="AF834" i="5"/>
  <c r="AG834" i="5"/>
  <c r="AM834" i="5"/>
  <c r="A835" i="5"/>
  <c r="H835" i="5"/>
  <c r="J835" i="5"/>
  <c r="L835" i="5"/>
  <c r="N835" i="5"/>
  <c r="R835" i="5"/>
  <c r="T835" i="5"/>
  <c r="U835" i="5"/>
  <c r="W835" i="5"/>
  <c r="Z835" i="5"/>
  <c r="AB835" i="5"/>
  <c r="AC835" i="5"/>
  <c r="AD835" i="5"/>
  <c r="AE835" i="5"/>
  <c r="AF835" i="5"/>
  <c r="AG835" i="5"/>
  <c r="AM835" i="5"/>
  <c r="A836" i="5"/>
  <c r="R836" i="5"/>
  <c r="T836" i="5"/>
  <c r="U836" i="5"/>
  <c r="W836" i="5"/>
  <c r="B836" i="5" s="1"/>
  <c r="Z836" i="5"/>
  <c r="AB836" i="5"/>
  <c r="AC836" i="5"/>
  <c r="AD836" i="5"/>
  <c r="AE836" i="5"/>
  <c r="AF836" i="5"/>
  <c r="AG836" i="5"/>
  <c r="A837" i="5"/>
  <c r="H837" i="5"/>
  <c r="J837" i="5"/>
  <c r="L837" i="5"/>
  <c r="N837" i="5"/>
  <c r="R837" i="5"/>
  <c r="T837" i="5"/>
  <c r="U837" i="5"/>
  <c r="W837" i="5"/>
  <c r="Z837" i="5"/>
  <c r="AB837" i="5"/>
  <c r="AC837" i="5"/>
  <c r="AD837" i="5"/>
  <c r="AE837" i="5"/>
  <c r="AF837" i="5"/>
  <c r="AG837" i="5"/>
  <c r="AM837" i="5"/>
  <c r="A838" i="5"/>
  <c r="H838" i="5"/>
  <c r="J838" i="5"/>
  <c r="L838" i="5"/>
  <c r="N838" i="5"/>
  <c r="R838" i="5"/>
  <c r="T838" i="5"/>
  <c r="U838" i="5"/>
  <c r="W838" i="5"/>
  <c r="Z838" i="5"/>
  <c r="AB838" i="5"/>
  <c r="AC838" i="5"/>
  <c r="AD838" i="5"/>
  <c r="AE838" i="5"/>
  <c r="AF838" i="5"/>
  <c r="AG838" i="5"/>
  <c r="AM838" i="5"/>
  <c r="A839" i="5"/>
  <c r="H839" i="5"/>
  <c r="J839" i="5"/>
  <c r="L839" i="5"/>
  <c r="N839" i="5"/>
  <c r="R839" i="5"/>
  <c r="T839" i="5"/>
  <c r="U839" i="5"/>
  <c r="W839" i="5"/>
  <c r="Z839" i="5"/>
  <c r="AB839" i="5"/>
  <c r="AC839" i="5"/>
  <c r="AD839" i="5"/>
  <c r="AE839" i="5"/>
  <c r="AF839" i="5"/>
  <c r="AG839" i="5"/>
  <c r="AM839" i="5"/>
  <c r="A840" i="5"/>
  <c r="H840" i="5"/>
  <c r="J840" i="5"/>
  <c r="L840" i="5"/>
  <c r="N840" i="5"/>
  <c r="R840" i="5"/>
  <c r="T840" i="5"/>
  <c r="U840" i="5"/>
  <c r="W840" i="5"/>
  <c r="B840" i="5" s="1"/>
  <c r="Z840" i="5"/>
  <c r="AB840" i="5"/>
  <c r="AC840" i="5"/>
  <c r="AD840" i="5"/>
  <c r="AE840" i="5"/>
  <c r="AF840" i="5"/>
  <c r="AG840" i="5"/>
  <c r="A841" i="5"/>
  <c r="H841" i="5"/>
  <c r="J841" i="5"/>
  <c r="L841" i="5"/>
  <c r="N841" i="5"/>
  <c r="R841" i="5"/>
  <c r="T841" i="5"/>
  <c r="U841" i="5"/>
  <c r="W841" i="5"/>
  <c r="Z841" i="5"/>
  <c r="AB841" i="5"/>
  <c r="AC841" i="5"/>
  <c r="AD841" i="5"/>
  <c r="AE841" i="5"/>
  <c r="AF841" i="5"/>
  <c r="AG841" i="5"/>
  <c r="AM841" i="5"/>
  <c r="A842" i="5"/>
  <c r="H842" i="5"/>
  <c r="J842" i="5"/>
  <c r="L842" i="5"/>
  <c r="N842" i="5"/>
  <c r="R842" i="5"/>
  <c r="T842" i="5"/>
  <c r="U842" i="5"/>
  <c r="W842" i="5"/>
  <c r="Z842" i="5"/>
  <c r="AB842" i="5"/>
  <c r="AC842" i="5"/>
  <c r="AD842" i="5"/>
  <c r="AE842" i="5"/>
  <c r="AF842" i="5"/>
  <c r="AG842" i="5"/>
  <c r="AM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B844" i="5" s="1"/>
  <c r="Z844" i="5"/>
  <c r="AB844" i="5"/>
  <c r="AC844" i="5"/>
  <c r="AD844" i="5"/>
  <c r="AE844" i="5"/>
  <c r="AF844" i="5"/>
  <c r="AG844" i="5"/>
  <c r="A845" i="5"/>
  <c r="H845" i="5"/>
  <c r="J845" i="5"/>
  <c r="L845" i="5"/>
  <c r="N845" i="5"/>
  <c r="R845" i="5"/>
  <c r="T845" i="5"/>
  <c r="U845" i="5"/>
  <c r="W845" i="5"/>
  <c r="Z845" i="5"/>
  <c r="AB845" i="5"/>
  <c r="AC845" i="5"/>
  <c r="AD845" i="5"/>
  <c r="AE845" i="5"/>
  <c r="AF845" i="5"/>
  <c r="AG845" i="5"/>
  <c r="AM845" i="5"/>
  <c r="A846" i="5"/>
  <c r="H846" i="5"/>
  <c r="J846" i="5"/>
  <c r="L846" i="5"/>
  <c r="N846" i="5"/>
  <c r="R846" i="5"/>
  <c r="T846" i="5"/>
  <c r="U846" i="5"/>
  <c r="W846" i="5"/>
  <c r="Z846" i="5"/>
  <c r="AB846" i="5"/>
  <c r="AC846" i="5"/>
  <c r="AD846" i="5"/>
  <c r="AE846" i="5"/>
  <c r="AF846" i="5"/>
  <c r="AG846" i="5"/>
  <c r="AM846" i="5"/>
  <c r="A847" i="5"/>
  <c r="H847" i="5"/>
  <c r="J847" i="5"/>
  <c r="L847" i="5"/>
  <c r="N847" i="5"/>
  <c r="R847" i="5"/>
  <c r="T847" i="5"/>
  <c r="U847" i="5"/>
  <c r="W847" i="5"/>
  <c r="Z847" i="5"/>
  <c r="AB847" i="5"/>
  <c r="AC847" i="5"/>
  <c r="AD847" i="5"/>
  <c r="AE847" i="5"/>
  <c r="AF847" i="5"/>
  <c r="AG847" i="5"/>
  <c r="AM847" i="5"/>
  <c r="A848" i="5"/>
  <c r="H848" i="5"/>
  <c r="J848" i="5"/>
  <c r="L848" i="5"/>
  <c r="N848" i="5"/>
  <c r="R848" i="5"/>
  <c r="T848" i="5"/>
  <c r="U848" i="5"/>
  <c r="W848" i="5"/>
  <c r="Z848" i="5"/>
  <c r="AB848" i="5"/>
  <c r="AC848" i="5"/>
  <c r="AD848" i="5"/>
  <c r="AE848" i="5"/>
  <c r="AF848" i="5"/>
  <c r="AG848" i="5"/>
  <c r="AM848" i="5"/>
  <c r="A849" i="5"/>
  <c r="H849" i="5"/>
  <c r="J849" i="5"/>
  <c r="L849" i="5"/>
  <c r="N849" i="5"/>
  <c r="R849" i="5"/>
  <c r="T849" i="5"/>
  <c r="U849" i="5"/>
  <c r="W849" i="5"/>
  <c r="Z849" i="5"/>
  <c r="AB849" i="5"/>
  <c r="AC849" i="5"/>
  <c r="AD849" i="5"/>
  <c r="AE849" i="5"/>
  <c r="AF849" i="5"/>
  <c r="AG849" i="5"/>
  <c r="AM849" i="5"/>
  <c r="A850" i="5"/>
  <c r="H850" i="5"/>
  <c r="J850" i="5"/>
  <c r="L850" i="5"/>
  <c r="N850" i="5"/>
  <c r="R850" i="5"/>
  <c r="T850" i="5"/>
  <c r="U850" i="5"/>
  <c r="W850" i="5"/>
  <c r="Z850" i="5"/>
  <c r="AB850" i="5"/>
  <c r="AC850" i="5"/>
  <c r="AD850" i="5"/>
  <c r="AE850" i="5"/>
  <c r="AF850" i="5"/>
  <c r="AG850" i="5"/>
  <c r="AM850" i="5"/>
  <c r="A851" i="5"/>
  <c r="H851" i="5"/>
  <c r="J851" i="5"/>
  <c r="L851" i="5"/>
  <c r="N851" i="5"/>
  <c r="R851" i="5"/>
  <c r="T851" i="5"/>
  <c r="U851" i="5"/>
  <c r="W851" i="5"/>
  <c r="Z851" i="5"/>
  <c r="AB851" i="5"/>
  <c r="AC851" i="5"/>
  <c r="AD851" i="5"/>
  <c r="AE851" i="5"/>
  <c r="AF851" i="5"/>
  <c r="AG851" i="5"/>
  <c r="AM851" i="5"/>
  <c r="A852" i="5"/>
  <c r="H852" i="5"/>
  <c r="J852" i="5"/>
  <c r="L852" i="5"/>
  <c r="N852" i="5"/>
  <c r="R852" i="5"/>
  <c r="T852" i="5"/>
  <c r="U852" i="5"/>
  <c r="W852" i="5"/>
  <c r="Z852" i="5"/>
  <c r="AB852" i="5"/>
  <c r="AC852" i="5"/>
  <c r="AD852" i="5"/>
  <c r="AE852" i="5"/>
  <c r="AF852" i="5"/>
  <c r="AG852" i="5"/>
  <c r="AM852" i="5"/>
  <c r="A853" i="5"/>
  <c r="H853" i="5"/>
  <c r="J853" i="5"/>
  <c r="L853" i="5"/>
  <c r="N853" i="5"/>
  <c r="R853" i="5"/>
  <c r="T853" i="5"/>
  <c r="U853" i="5"/>
  <c r="W853" i="5"/>
  <c r="Z853" i="5"/>
  <c r="AB853" i="5"/>
  <c r="AC853" i="5"/>
  <c r="AD853" i="5"/>
  <c r="AE853" i="5"/>
  <c r="AF853" i="5"/>
  <c r="AG853" i="5"/>
  <c r="AM853" i="5"/>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X841" i="4"/>
  <c r="S841" i="4"/>
  <c r="R841" i="4"/>
  <c r="Q841" i="4"/>
  <c r="P841" i="4"/>
  <c r="N841" i="4"/>
  <c r="M841" i="4"/>
  <c r="L841" i="4"/>
  <c r="E841" i="4"/>
  <c r="AC840" i="4"/>
  <c r="X840" i="4"/>
  <c r="S840" i="4"/>
  <c r="R840" i="4"/>
  <c r="Q840" i="4"/>
  <c r="P840" i="4"/>
  <c r="N840" i="4"/>
  <c r="M840" i="4"/>
  <c r="L840" i="4"/>
  <c r="E840"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AC836" i="4"/>
  <c r="X836" i="4"/>
  <c r="S836" i="4"/>
  <c r="R836" i="4"/>
  <c r="Q836" i="4"/>
  <c r="P836" i="4"/>
  <c r="N836" i="4"/>
  <c r="M836" i="4"/>
  <c r="L836" i="4"/>
  <c r="E836"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AC832"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05" i="4"/>
  <c r="X805" i="4"/>
  <c r="S805" i="4"/>
  <c r="R805" i="4"/>
  <c r="Q805" i="4"/>
  <c r="P805" i="4"/>
  <c r="N805" i="4"/>
  <c r="M805" i="4"/>
  <c r="E805"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L796" i="4"/>
  <c r="E796"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1" i="4"/>
  <c r="C840" i="4"/>
  <c r="B840" i="4"/>
  <c r="C839" i="4"/>
  <c r="C838" i="4"/>
  <c r="C837" i="4"/>
  <c r="C836" i="4"/>
  <c r="B836" i="4"/>
  <c r="C835" i="4"/>
  <c r="C834" i="4"/>
  <c r="C833" i="4"/>
  <c r="C832" i="4"/>
  <c r="B832" i="4"/>
  <c r="C831" i="4"/>
  <c r="B831" i="4"/>
  <c r="C830" i="4"/>
  <c r="B830" i="4"/>
  <c r="C829" i="4"/>
  <c r="B829" i="4"/>
  <c r="C828" i="4"/>
  <c r="B828" i="4"/>
  <c r="C827" i="4"/>
  <c r="B827" i="4"/>
  <c r="C826" i="4"/>
  <c r="B826" i="4"/>
  <c r="C825" i="4"/>
  <c r="B825" i="4"/>
  <c r="C824" i="4"/>
  <c r="B824" i="4"/>
  <c r="C823" i="4"/>
  <c r="B823" i="4"/>
  <c r="C805" i="4"/>
  <c r="B805" i="4"/>
  <c r="C804" i="4"/>
  <c r="B804" i="4"/>
  <c r="C803" i="4"/>
  <c r="B803" i="4"/>
  <c r="C802" i="4"/>
  <c r="B802" i="4"/>
  <c r="C801" i="4"/>
  <c r="B801" i="4"/>
  <c r="C800" i="4"/>
  <c r="B800" i="4"/>
  <c r="C799" i="4"/>
  <c r="B799" i="4"/>
  <c r="C798" i="4"/>
  <c r="B798" i="4"/>
  <c r="C797" i="4"/>
  <c r="B797" i="4"/>
  <c r="C796" i="4"/>
  <c r="B796"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I835" i="6"/>
  <c r="H835" i="6"/>
  <c r="AE834" i="6"/>
  <c r="X834" i="6"/>
  <c r="AH834" i="6" s="1"/>
  <c r="V834" i="6"/>
  <c r="U834" i="6"/>
  <c r="T834" i="6"/>
  <c r="S834" i="6"/>
  <c r="P834" i="6"/>
  <c r="Q834" i="6" s="1"/>
  <c r="I834" i="6"/>
  <c r="H834" i="6"/>
  <c r="AE833" i="6"/>
  <c r="X833" i="6"/>
  <c r="AH833" i="6" s="1"/>
  <c r="V833" i="6"/>
  <c r="U833" i="6"/>
  <c r="T833" i="6"/>
  <c r="S833" i="6"/>
  <c r="P833" i="6"/>
  <c r="Q833" i="6" s="1"/>
  <c r="I833" i="6"/>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5" i="6"/>
  <c r="A875" i="6"/>
  <c r="E874" i="6"/>
  <c r="A874"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E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9" i="5"/>
  <c r="W798" i="5"/>
  <c r="W797" i="5"/>
  <c r="W805" i="5"/>
  <c r="W804" i="5"/>
  <c r="W803" i="5"/>
  <c r="W802" i="5"/>
  <c r="W801" i="5"/>
  <c r="W800" i="5"/>
  <c r="L801" i="4"/>
  <c r="L798" i="4"/>
  <c r="L803" i="4"/>
  <c r="L800" i="4"/>
  <c r="L797" i="4"/>
  <c r="L805" i="4"/>
  <c r="L802" i="4"/>
  <c r="L799" i="4"/>
  <c r="L804" i="4"/>
  <c r="H801" i="6"/>
  <c r="H805" i="6"/>
  <c r="H800" i="6"/>
  <c r="H804" i="6"/>
  <c r="H803" i="6"/>
  <c r="H802" i="6"/>
  <c r="H807" i="6"/>
  <c r="H806" i="6"/>
  <c r="BE728" i="1"/>
  <c r="AE719" i="6" l="1"/>
  <c r="Z719" i="6"/>
  <c r="AE718" i="6"/>
  <c r="Z718" i="6"/>
  <c r="AE717" i="6"/>
  <c r="Z717" i="6"/>
  <c r="AE716" i="6"/>
  <c r="Z716" i="6"/>
  <c r="AE715" i="6"/>
  <c r="Z715" i="6"/>
  <c r="R721" i="1"/>
  <c r="AE714" i="6"/>
  <c r="Z714" i="6"/>
  <c r="Z700" i="6"/>
  <c r="AE695" i="6"/>
  <c r="AE698" i="6"/>
  <c r="AE696" i="6"/>
  <c r="AE694" i="6"/>
  <c r="Z698" i="6"/>
  <c r="AB698" i="6" s="1"/>
  <c r="Z696" i="6"/>
  <c r="AB696" i="6" s="1"/>
  <c r="Z694" i="6"/>
  <c r="AB694" i="6" s="1"/>
  <c r="Z688" i="6"/>
  <c r="AB688" i="6" s="1"/>
  <c r="AE697" i="6"/>
  <c r="AE693" i="6"/>
  <c r="AE692" i="6"/>
  <c r="AE685" i="6"/>
  <c r="R726" i="1"/>
  <c r="R725" i="1"/>
  <c r="R724" i="1"/>
  <c r="R723" i="1"/>
  <c r="R722" i="1"/>
  <c r="R700" i="1"/>
  <c r="R698" i="1"/>
  <c r="R696" i="1"/>
  <c r="Q694" i="15" s="1"/>
  <c r="R695" i="1"/>
  <c r="Q693" i="15" s="1"/>
  <c r="R694" i="1"/>
  <c r="Q692" i="15" s="1"/>
  <c r="R693" i="1"/>
  <c r="Q691" i="15" s="1"/>
  <c r="R692" i="1"/>
  <c r="R690" i="1"/>
  <c r="J689" i="6"/>
  <c r="N689" i="6"/>
  <c r="S689" i="6"/>
  <c r="U689" i="6"/>
  <c r="V689" i="6"/>
  <c r="Z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Q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P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P697" i="6" l="1"/>
  <c r="Q697" i="6" s="1"/>
  <c r="Q693" i="6"/>
  <c r="AH693" i="6"/>
  <c r="Q698" i="6"/>
  <c r="AH698" i="6"/>
  <c r="Q695" i="6"/>
  <c r="AH695" i="6"/>
  <c r="Q699" i="6"/>
  <c r="AH699" i="6"/>
  <c r="AD690" i="5"/>
  <c r="Q690" i="15"/>
  <c r="AD691" i="5"/>
  <c r="AD693" i="5"/>
  <c r="AD692" i="5"/>
  <c r="AD694" i="5"/>
  <c r="AD695" i="5"/>
  <c r="AD689" i="5"/>
  <c r="Q690" i="4"/>
  <c r="P694" i="6"/>
  <c r="Q692" i="4"/>
  <c r="P696" i="6"/>
  <c r="AM741" i="5"/>
  <c r="AH697" i="6" l="1"/>
  <c r="Q696" i="6"/>
  <c r="AH696" i="6"/>
  <c r="Q694" i="6"/>
  <c r="AH694" i="6"/>
  <c r="AR760" i="1"/>
  <c r="AR756" i="1" l="1"/>
  <c r="BE769" i="1" l="1"/>
  <c r="BE767" i="1"/>
  <c r="BE766" i="1"/>
  <c r="BE759" i="1"/>
  <c r="BE757" i="1"/>
  <c r="BE752" i="1"/>
  <c r="E721" i="6" l="1"/>
  <c r="AT740" i="1" l="1"/>
  <c r="BI767" i="1"/>
  <c r="BI766" i="1"/>
  <c r="BI762" i="1"/>
  <c r="BI760" i="1"/>
  <c r="BI759" i="1"/>
  <c r="BI757" i="1"/>
  <c r="BI753" i="1"/>
  <c r="AT758" i="1"/>
  <c r="BI758" i="1" s="1"/>
  <c r="AT752" i="1" l="1"/>
  <c r="X755" i="6" s="1"/>
  <c r="AH755" i="6" s="1"/>
  <c r="AR752" i="1"/>
  <c r="AT751" i="1"/>
  <c r="AR751" i="1"/>
  <c r="AR749" i="1"/>
  <c r="AT748" i="1"/>
  <c r="X751" i="6" s="1"/>
  <c r="AH751" i="6" s="1"/>
  <c r="AR748" i="1"/>
  <c r="X754" i="6" l="1"/>
  <c r="AH754" i="6" s="1"/>
  <c r="X753" i="6"/>
  <c r="AH753" i="6" s="1"/>
  <c r="AT747" i="1"/>
  <c r="AR747" i="1"/>
  <c r="AT744" i="1"/>
  <c r="X747" i="6" s="1"/>
  <c r="AH747" i="6" s="1"/>
  <c r="AR745" i="1"/>
  <c r="AR744" i="1"/>
  <c r="AR743" i="1"/>
  <c r="X750" i="6" l="1"/>
  <c r="AH750" i="6" s="1"/>
  <c r="X749" i="6"/>
  <c r="AH749" i="6" s="1"/>
  <c r="AR742" i="1"/>
  <c r="AR741" i="1"/>
  <c r="AR740" i="1"/>
  <c r="AR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R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R720" i="1"/>
  <c r="R719" i="1"/>
  <c r="R718" i="1"/>
  <c r="R717" i="1"/>
  <c r="R716" i="1"/>
  <c r="R715" i="1"/>
  <c r="R714" i="1"/>
  <c r="R713" i="1"/>
  <c r="R712" i="1"/>
  <c r="R709" i="1"/>
  <c r="R708" i="1"/>
  <c r="P711" i="6" s="1"/>
  <c r="R711" i="1"/>
  <c r="R710" i="1"/>
  <c r="Q711" i="6" l="1"/>
  <c r="AH711" i="6"/>
  <c r="P713" i="6"/>
  <c r="P712" i="6"/>
  <c r="R696" i="15"/>
  <c r="R697" i="15"/>
  <c r="R698" i="15"/>
  <c r="R699" i="15"/>
  <c r="R700" i="15"/>
  <c r="R701" i="15"/>
  <c r="R702" i="15"/>
  <c r="R703" i="15"/>
  <c r="R704" i="15"/>
  <c r="R705" i="15"/>
  <c r="R706" i="15"/>
  <c r="R707" i="15"/>
  <c r="R708" i="15"/>
  <c r="R709" i="15"/>
  <c r="R710" i="15"/>
  <c r="R711" i="15"/>
  <c r="R712" i="15"/>
  <c r="Q713" i="6" l="1"/>
  <c r="AH713" i="6"/>
  <c r="Q712" i="6"/>
  <c r="AH712" i="6"/>
  <c r="R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R706" i="1"/>
  <c r="Q710" i="6" l="1"/>
  <c r="AH710" i="6"/>
  <c r="P709" i="6"/>
  <c r="R705" i="1"/>
  <c r="R704" i="1"/>
  <c r="R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R686" i="1"/>
  <c r="R685" i="1"/>
  <c r="P687" i="6" s="1"/>
  <c r="R684" i="1"/>
  <c r="Q682" i="15" s="1"/>
  <c r="R683" i="1"/>
  <c r="R682" i="1"/>
  <c r="R681" i="1"/>
  <c r="Q679" i="4" s="1"/>
  <c r="R679" i="1"/>
  <c r="R678" i="1"/>
  <c r="R677" i="1"/>
  <c r="R676" i="1"/>
  <c r="R680" i="1"/>
  <c r="R675" i="1"/>
  <c r="R674" i="1"/>
  <c r="R673" i="1"/>
  <c r="R672" i="1"/>
  <c r="R671" i="1"/>
  <c r="Q669" i="4" s="1"/>
  <c r="R670" i="1"/>
  <c r="R669" i="1"/>
  <c r="R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Q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Q672" i="15"/>
  <c r="S672" i="15"/>
  <c r="T672" i="15"/>
  <c r="AC672" i="15"/>
  <c r="B673" i="15"/>
  <c r="C673" i="15"/>
  <c r="D673" i="15"/>
  <c r="I673" i="15"/>
  <c r="J673" i="15"/>
  <c r="K673" i="15"/>
  <c r="L673" i="15"/>
  <c r="M673" i="15"/>
  <c r="P673" i="15"/>
  <c r="Q673" i="15"/>
  <c r="S673" i="15"/>
  <c r="T673" i="15"/>
  <c r="AC673" i="15"/>
  <c r="B674" i="15"/>
  <c r="C674" i="15"/>
  <c r="D674" i="15"/>
  <c r="I674" i="15"/>
  <c r="J674" i="15"/>
  <c r="K674" i="15"/>
  <c r="L674" i="15"/>
  <c r="M674" i="15"/>
  <c r="P674" i="15"/>
  <c r="Q674" i="15"/>
  <c r="S674" i="15"/>
  <c r="T674" i="15"/>
  <c r="AC674" i="15"/>
  <c r="B675" i="15"/>
  <c r="C675" i="15"/>
  <c r="D675" i="15"/>
  <c r="I675" i="15"/>
  <c r="J675" i="15"/>
  <c r="K675" i="15"/>
  <c r="L675" i="15"/>
  <c r="M675" i="15"/>
  <c r="P675" i="15"/>
  <c r="Q675" i="15"/>
  <c r="S675" i="15"/>
  <c r="T675" i="15"/>
  <c r="AC675" i="15"/>
  <c r="B676" i="15"/>
  <c r="C676" i="15"/>
  <c r="D676" i="15"/>
  <c r="I676" i="15"/>
  <c r="J676" i="15"/>
  <c r="K676" i="15"/>
  <c r="L676" i="15"/>
  <c r="M676" i="15"/>
  <c r="P676" i="15"/>
  <c r="Q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Q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Q671" i="4"/>
  <c r="R671" i="4"/>
  <c r="S671" i="4"/>
  <c r="X671" i="4"/>
  <c r="AC671" i="4"/>
  <c r="B672" i="4"/>
  <c r="C672" i="4"/>
  <c r="E672" i="4"/>
  <c r="L672" i="4"/>
  <c r="M672" i="4"/>
  <c r="N672" i="4"/>
  <c r="P672" i="4"/>
  <c r="Q672" i="4"/>
  <c r="R672" i="4"/>
  <c r="S672" i="4"/>
  <c r="X672" i="4"/>
  <c r="AC672" i="4"/>
  <c r="B673" i="4"/>
  <c r="C673" i="4"/>
  <c r="E673" i="4"/>
  <c r="L673" i="4"/>
  <c r="M673" i="4"/>
  <c r="N673" i="4"/>
  <c r="P673" i="4"/>
  <c r="Q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Q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P677" i="6"/>
  <c r="J677" i="6"/>
  <c r="I677" i="6"/>
  <c r="H677" i="6"/>
  <c r="Z676" i="6"/>
  <c r="X676" i="6"/>
  <c r="V676" i="6"/>
  <c r="U676" i="6"/>
  <c r="T676" i="6"/>
  <c r="S676" i="6"/>
  <c r="P676" i="6"/>
  <c r="J676" i="6"/>
  <c r="I676" i="6"/>
  <c r="H676" i="6"/>
  <c r="Z675" i="6"/>
  <c r="X675" i="6"/>
  <c r="V675" i="6"/>
  <c r="U675" i="6"/>
  <c r="T675" i="6"/>
  <c r="S675" i="6"/>
  <c r="P675" i="6"/>
  <c r="J675" i="6"/>
  <c r="I675" i="6"/>
  <c r="H675" i="6"/>
  <c r="Z674" i="6"/>
  <c r="X674" i="6"/>
  <c r="V674" i="6"/>
  <c r="U674" i="6"/>
  <c r="T674" i="6"/>
  <c r="S674" i="6"/>
  <c r="J674" i="6"/>
  <c r="I674" i="6"/>
  <c r="H674" i="6"/>
  <c r="AE673" i="6"/>
  <c r="Z673" i="6"/>
  <c r="X673" i="6"/>
  <c r="V673" i="6"/>
  <c r="U673" i="6"/>
  <c r="T673" i="6"/>
  <c r="S673" i="6"/>
  <c r="P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83" i="5" l="1"/>
  <c r="Q692" i="6"/>
  <c r="AH692" i="6"/>
  <c r="Q679" i="6"/>
  <c r="AH679" i="6"/>
  <c r="Q687" i="6"/>
  <c r="AH687" i="6"/>
  <c r="Q677" i="6"/>
  <c r="AH677" i="6"/>
  <c r="Q714" i="6"/>
  <c r="AH714" i="6"/>
  <c r="Q676" i="6"/>
  <c r="AH676" i="6"/>
  <c r="Q691" i="6"/>
  <c r="AH691" i="6"/>
  <c r="Q707" i="6"/>
  <c r="AH707" i="6"/>
  <c r="Q675" i="6"/>
  <c r="AH675" i="6"/>
  <c r="Q701" i="6"/>
  <c r="AH701" i="6"/>
  <c r="W701" i="6"/>
  <c r="Q673" i="6"/>
  <c r="AH673"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Q678" i="6" l="1"/>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R738" i="1" l="1"/>
  <c r="E882" i="6" l="1"/>
  <c r="AT881" i="1" l="1"/>
  <c r="AF533" i="6" l="1"/>
  <c r="K730" i="4" l="1"/>
  <c r="J730" i="4"/>
  <c r="K729" i="4"/>
  <c r="J729" i="4"/>
  <c r="K727" i="4"/>
  <c r="J727" i="4"/>
  <c r="K726" i="4"/>
  <c r="J726" i="4"/>
  <c r="N721" i="6"/>
  <c r="N722" i="6"/>
  <c r="N723" i="6"/>
  <c r="N724" i="6"/>
  <c r="N725" i="6"/>
  <c r="N726" i="6"/>
  <c r="N727" i="6"/>
  <c r="N728" i="6"/>
  <c r="N729" i="6"/>
  <c r="N720" i="6"/>
  <c r="BI752" i="1"/>
  <c r="BI751" i="1"/>
  <c r="BI750" i="1"/>
  <c r="BI748" i="1"/>
  <c r="BI747" i="1"/>
  <c r="BI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I745" i="1"/>
  <c r="BI737" i="1"/>
  <c r="BI736" i="1"/>
  <c r="BI735" i="1"/>
  <c r="BI734" i="1"/>
  <c r="BI733" i="1"/>
  <c r="BI732" i="1"/>
  <c r="BI731" i="1"/>
  <c r="BI730" i="1"/>
  <c r="BI729" i="1"/>
  <c r="BI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E599" i="1"/>
  <c r="BI599" i="1"/>
  <c r="BI647" i="1"/>
  <c r="BI640" i="1"/>
  <c r="BI641" i="1"/>
  <c r="BI642" i="1"/>
  <c r="BI639" i="1"/>
  <c r="BI637" i="1"/>
  <c r="BI638" i="1"/>
  <c r="BI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I597" i="1"/>
  <c r="BI654" i="1" l="1"/>
  <c r="AR654" i="1" l="1"/>
  <c r="BE653" i="1"/>
  <c r="AR653" i="1"/>
  <c r="BI652" i="1"/>
  <c r="AR652" i="1"/>
  <c r="BE651" i="1"/>
  <c r="AR650" i="1"/>
  <c r="BI649" i="1"/>
  <c r="AR649" i="1"/>
  <c r="BI648" i="1"/>
  <c r="BI653" i="1"/>
  <c r="BI646" i="1"/>
  <c r="AR646" i="1"/>
  <c r="AR648" i="1"/>
  <c r="BI596" i="1" l="1"/>
  <c r="BI605" i="1"/>
  <c r="BI604" i="1"/>
  <c r="BI603" i="1"/>
  <c r="BI602" i="1"/>
  <c r="BI601" i="1"/>
  <c r="BI600" i="1"/>
  <c r="BI598" i="1"/>
  <c r="BE652" i="1" l="1"/>
  <c r="BE650" i="1"/>
  <c r="BE647" i="1"/>
  <c r="BE646" i="1"/>
  <c r="BE645" i="1"/>
  <c r="BE644" i="1"/>
  <c r="BE643" i="1"/>
  <c r="BE642" i="1"/>
  <c r="BE641" i="1"/>
  <c r="BE640" i="1"/>
  <c r="BE639" i="1"/>
  <c r="BE638" i="1"/>
  <c r="BE637" i="1"/>
  <c r="BE636" i="1"/>
  <c r="BE605" i="1"/>
  <c r="BE604" i="1"/>
  <c r="BE603" i="1"/>
  <c r="BE602" i="1"/>
  <c r="BE601" i="1"/>
  <c r="BE600" i="1"/>
  <c r="BE598" i="1"/>
  <c r="BE597" i="1"/>
  <c r="BE596" i="1"/>
  <c r="M62" i="14" l="1"/>
  <c r="AR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R702" i="1" l="1"/>
  <c r="R701" i="1"/>
  <c r="R665" i="1"/>
  <c r="R664" i="1"/>
  <c r="R663" i="1"/>
  <c r="R662" i="1"/>
  <c r="R661" i="1"/>
  <c r="Q711" i="15" l="1"/>
  <c r="AD711" i="5"/>
  <c r="Q711" i="4"/>
  <c r="P715" i="6"/>
  <c r="AD712" i="5"/>
  <c r="P716" i="6"/>
  <c r="Q712" i="15"/>
  <c r="Q712" i="4"/>
  <c r="R633" i="1"/>
  <c r="R632" i="1"/>
  <c r="R631" i="1"/>
  <c r="R630" i="1"/>
  <c r="J608" i="6"/>
  <c r="R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I645" i="1"/>
  <c r="AR645" i="1"/>
  <c r="BI643" i="1"/>
  <c r="AR643" i="1"/>
  <c r="AR640" i="1" l="1"/>
  <c r="AR639" i="1"/>
  <c r="AR638" i="1"/>
  <c r="AR637" i="1" l="1"/>
  <c r="AC643" i="1"/>
  <c r="AR642" i="1"/>
  <c r="AC642" i="1"/>
  <c r="AR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A599" i="5" l="1"/>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C590" i="1" l="1"/>
  <c r="AR573" i="1" l="1"/>
  <c r="BI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R628" i="1"/>
  <c r="R627" i="1"/>
  <c r="R626" i="1"/>
  <c r="R618" i="1"/>
  <c r="AD616" i="5" l="1"/>
  <c r="P620" i="6"/>
  <c r="Q616" i="4"/>
  <c r="Q616" i="15"/>
  <c r="AD624" i="5"/>
  <c r="P628" i="6"/>
  <c r="Q624" i="15"/>
  <c r="Q624" i="4"/>
  <c r="AD625" i="5"/>
  <c r="P629" i="6"/>
  <c r="Q625" i="15"/>
  <c r="Q625" i="4"/>
  <c r="AD626" i="5"/>
  <c r="Q626" i="15"/>
  <c r="P630" i="6"/>
  <c r="Q626" i="4"/>
  <c r="R617" i="1"/>
  <c r="R616" i="1"/>
  <c r="R614" i="1"/>
  <c r="R613" i="1"/>
  <c r="R611" i="1"/>
  <c r="R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R606" i="1"/>
  <c r="Q615" i="6" l="1"/>
  <c r="AH615" i="6"/>
  <c r="Q618" i="6"/>
  <c r="AH618" i="6"/>
  <c r="Q611" i="6"/>
  <c r="AH611" i="6"/>
  <c r="Q619" i="6"/>
  <c r="AH619" i="6"/>
  <c r="Q616" i="6"/>
  <c r="AH616" i="6"/>
  <c r="Q613" i="6"/>
  <c r="AH613" i="6"/>
  <c r="AD604" i="5"/>
  <c r="Q604" i="4"/>
  <c r="P608" i="6"/>
  <c r="Q604" i="15"/>
  <c r="J408" i="6"/>
  <c r="Q608" i="6" l="1"/>
  <c r="AH608" i="6"/>
  <c r="BI581" i="1"/>
  <c r="AR581" i="1"/>
  <c r="BI580" i="1"/>
  <c r="AR580" i="1"/>
  <c r="AR595" i="1" l="1"/>
  <c r="BI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R593" i="1" l="1"/>
  <c r="AR594" i="1"/>
  <c r="AR592" i="1"/>
  <c r="BI594" i="1"/>
  <c r="BI593" i="1"/>
  <c r="BI592" i="1"/>
  <c r="BI591" i="1"/>
  <c r="AR591" i="1"/>
  <c r="BI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R588" i="1" l="1"/>
  <c r="R585" i="1"/>
  <c r="R586" i="1"/>
  <c r="R587" i="1"/>
  <c r="R465" i="1" l="1"/>
  <c r="BI564" i="1" l="1"/>
  <c r="BI563" i="1"/>
  <c r="BI562" i="1"/>
  <c r="BI561" i="1"/>
  <c r="BI560" i="1"/>
  <c r="BI559" i="1"/>
  <c r="BI558" i="1"/>
  <c r="BI557" i="1"/>
  <c r="BI556" i="1"/>
  <c r="BI555" i="1"/>
  <c r="BI554" i="1"/>
  <c r="BI553" i="1"/>
  <c r="BI552" i="1"/>
  <c r="BI551" i="1"/>
  <c r="BI550" i="1"/>
  <c r="BI549" i="1"/>
  <c r="BI548" i="1"/>
  <c r="BI547" i="1"/>
  <c r="BI526" i="1"/>
  <c r="BI487" i="1"/>
  <c r="BI486" i="1"/>
  <c r="BI485" i="1"/>
  <c r="BI484" i="1"/>
  <c r="BI482" i="1"/>
  <c r="BI481" i="1"/>
  <c r="BI480" i="1"/>
  <c r="BI479" i="1"/>
  <c r="BI478" i="1"/>
  <c r="BI477" i="1"/>
  <c r="BI476" i="1"/>
  <c r="BI475" i="1"/>
  <c r="BI474" i="1"/>
  <c r="BI473" i="1"/>
  <c r="BI472" i="1"/>
  <c r="BI471" i="1"/>
  <c r="BI470" i="1"/>
  <c r="BI469" i="1"/>
  <c r="BI468" i="1"/>
  <c r="BI467" i="1"/>
  <c r="BI466" i="1"/>
  <c r="BI465" i="1"/>
  <c r="BI464" i="1"/>
  <c r="BI463" i="1"/>
  <c r="BI462" i="1"/>
  <c r="BI461" i="1"/>
  <c r="BI460" i="1"/>
  <c r="BI459" i="1"/>
  <c r="BI458" i="1"/>
  <c r="BI456" i="1"/>
  <c r="BI455" i="1"/>
  <c r="BI426" i="1"/>
  <c r="BI425" i="1"/>
  <c r="BI424" i="1"/>
  <c r="BI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R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R553" i="1"/>
  <c r="R552" i="1"/>
  <c r="R551" i="1"/>
  <c r="R550" i="1"/>
  <c r="U493" i="6"/>
  <c r="V493" i="6"/>
  <c r="U494" i="6"/>
  <c r="V494" i="6"/>
  <c r="R554" i="1"/>
  <c r="R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R570" i="1" l="1"/>
  <c r="AD569" i="5" s="1"/>
  <c r="R537" i="1" l="1"/>
  <c r="M198" i="19" s="1"/>
  <c r="R529" i="1"/>
  <c r="M190" i="19" s="1"/>
  <c r="R573" i="1"/>
  <c r="AR575" i="1" l="1"/>
  <c r="AR574" i="1"/>
  <c r="X550" i="1" l="1"/>
  <c r="X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I539" i="1"/>
  <c r="BI538" i="1"/>
  <c r="BI537" i="1"/>
  <c r="BI533" i="1"/>
  <c r="K550" i="4" l="1"/>
  <c r="U550" i="5"/>
  <c r="J550" i="15"/>
  <c r="AE553" i="6"/>
  <c r="U553" i="5"/>
  <c r="J553" i="15"/>
  <c r="AE556" i="6"/>
  <c r="K553" i="4"/>
  <c r="AR518" i="1"/>
  <c r="AR517" i="1" l="1"/>
  <c r="BI517" i="1" l="1"/>
  <c r="BI572" i="1" l="1"/>
  <c r="AR572" i="1" l="1"/>
  <c r="BI566" i="1" l="1"/>
  <c r="AR566" i="1"/>
  <c r="BI570" i="1"/>
  <c r="AR568" i="1"/>
  <c r="BI578" i="1" l="1"/>
  <c r="BI577" i="1"/>
  <c r="AR577" i="1"/>
  <c r="AR578" i="1" l="1"/>
  <c r="BI579" i="1" l="1"/>
  <c r="AR579" i="1"/>
  <c r="X433" i="6" l="1"/>
  <c r="AU521" i="1" l="1"/>
  <c r="AU518" i="1"/>
  <c r="AU517" i="1"/>
  <c r="AU516" i="1"/>
  <c r="AU515" i="1"/>
  <c r="AU509" i="1"/>
  <c r="AU502" i="1"/>
  <c r="AU501" i="1"/>
  <c r="AU500" i="1"/>
  <c r="AU499" i="1"/>
  <c r="AU494" i="1"/>
  <c r="AU493" i="1"/>
  <c r="AR570" i="1" l="1"/>
  <c r="AC522" i="1" l="1"/>
  <c r="AR516" i="1" l="1"/>
  <c r="AR515" i="1" l="1"/>
  <c r="AC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R520" i="1" l="1"/>
  <c r="AR565" i="1"/>
  <c r="AR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I518" i="1" l="1"/>
  <c r="BI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R498" i="1" l="1"/>
  <c r="Y498" i="15" l="1"/>
  <c r="X547" i="4"/>
  <c r="AC453" i="1"/>
  <c r="AC442" i="1"/>
  <c r="R453" i="1"/>
  <c r="R450" i="1"/>
  <c r="Q515" i="15" l="1"/>
  <c r="M111" i="19"/>
  <c r="Q518" i="15"/>
  <c r="M114" i="19"/>
  <c r="AR502" i="1"/>
  <c r="AC502" i="1"/>
  <c r="Y502" i="15" l="1"/>
  <c r="X551" i="4"/>
  <c r="AR510" i="1"/>
  <c r="AR506" i="1"/>
  <c r="AR505" i="1"/>
  <c r="Y505" i="15" l="1"/>
  <c r="X554" i="4"/>
  <c r="Y506" i="15"/>
  <c r="X555" i="4"/>
  <c r="Y510" i="15"/>
  <c r="X558" i="4"/>
  <c r="AR493" i="1"/>
  <c r="AR494" i="1"/>
  <c r="Y493" i="15" l="1"/>
  <c r="X535" i="4"/>
  <c r="Y535" i="15"/>
  <c r="Y494" i="15"/>
  <c r="Y536" i="15"/>
  <c r="X536" i="4"/>
  <c r="AR504" i="1"/>
  <c r="Y504" i="15" l="1"/>
  <c r="X553" i="4"/>
  <c r="AR503" i="1"/>
  <c r="Y503" i="15" l="1"/>
  <c r="X552" i="4"/>
  <c r="AR519" i="1"/>
  <c r="AR508" i="1"/>
  <c r="Y519" i="15" l="1"/>
  <c r="X562" i="4"/>
  <c r="Y508" i="15"/>
  <c r="X556" i="4"/>
  <c r="Y556" i="15"/>
  <c r="AR509" i="1"/>
  <c r="Y509" i="15" l="1"/>
  <c r="X557" i="4"/>
  <c r="BI499" i="1"/>
  <c r="AR499" i="1"/>
  <c r="AR513" i="1"/>
  <c r="AR521" i="1"/>
  <c r="AR514" i="1"/>
  <c r="Y513" i="15" l="1"/>
  <c r="X561" i="4"/>
  <c r="Y521" i="15"/>
  <c r="Y565" i="15"/>
  <c r="Y514" i="15"/>
  <c r="Y499" i="15"/>
  <c r="X548" i="4"/>
  <c r="Y548" i="15"/>
  <c r="E522" i="6"/>
  <c r="BI512" i="1" l="1"/>
  <c r="AR511" i="1"/>
  <c r="AR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R487" i="1" l="1"/>
  <c r="R486" i="1"/>
  <c r="R485" i="1"/>
  <c r="R484" i="1"/>
  <c r="R482" i="1"/>
  <c r="R481" i="1"/>
  <c r="R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R479" i="1"/>
  <c r="R478" i="1"/>
  <c r="R477" i="1"/>
  <c r="R476" i="1"/>
  <c r="R475" i="1"/>
  <c r="R474" i="1"/>
  <c r="R473" i="1"/>
  <c r="R472" i="1"/>
  <c r="R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I422" i="1"/>
  <c r="BI525" i="1"/>
  <c r="BI524" i="1"/>
  <c r="BI523" i="1"/>
  <c r="BI522" i="1"/>
  <c r="BI519" i="1"/>
  <c r="AC465" i="1"/>
  <c r="BI438" i="1"/>
  <c r="BI437" i="1"/>
  <c r="BI435" i="1"/>
  <c r="BI433" i="1"/>
  <c r="BI432" i="1"/>
  <c r="BI453" i="1"/>
  <c r="AC450" i="1"/>
  <c r="AC446" i="1"/>
  <c r="R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R497" i="1" l="1"/>
  <c r="AR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C509" i="1" l="1"/>
  <c r="AC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I508" i="1"/>
  <c r="BI509" i="1"/>
  <c r="BI510" i="1"/>
  <c r="AR501" i="1"/>
  <c r="AR496" i="1"/>
  <c r="AR491" i="1"/>
  <c r="AR489" i="1"/>
  <c r="Y533" i="15" l="1"/>
  <c r="Y491" i="15"/>
  <c r="Y530" i="15"/>
  <c r="Y489" i="15"/>
  <c r="Y496" i="15"/>
  <c r="Y538" i="15"/>
  <c r="X538" i="4"/>
  <c r="Y501" i="15"/>
  <c r="X550" i="4"/>
  <c r="BI500" i="1"/>
  <c r="AR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C499" i="1"/>
  <c r="AC494" i="1"/>
  <c r="AC493" i="1"/>
  <c r="I495" i="6" l="1"/>
  <c r="I496" i="6"/>
  <c r="I497" i="6"/>
  <c r="I498" i="6"/>
  <c r="I499" i="6"/>
  <c r="I500" i="6"/>
  <c r="I501" i="6"/>
  <c r="I502" i="6"/>
  <c r="X495" i="4"/>
  <c r="X496" i="4"/>
  <c r="K499" i="4"/>
  <c r="AE379" i="1"/>
  <c r="AC380" i="1"/>
  <c r="AC379" i="1"/>
  <c r="BI367" i="1"/>
  <c r="BI366" i="1"/>
  <c r="AC500" i="1"/>
  <c r="BI503" i="1"/>
  <c r="BI504" i="1"/>
  <c r="BI505" i="1"/>
  <c r="BI506" i="1"/>
  <c r="BI507" i="1"/>
  <c r="F3" i="6"/>
  <c r="AR492" i="1"/>
  <c r="Y534" i="15" l="1"/>
  <c r="Y492" i="15"/>
  <c r="BI498" i="1"/>
  <c r="BI501" i="1"/>
  <c r="BI502" i="1"/>
  <c r="AR488" i="1" l="1"/>
  <c r="Y529" i="15" l="1"/>
  <c r="Y488" i="15"/>
  <c r="AR490" i="1"/>
  <c r="Y531" i="15" l="1"/>
  <c r="Y490" i="15"/>
  <c r="BI374" i="1"/>
  <c r="BI365" i="1"/>
  <c r="BI364" i="1" l="1"/>
  <c r="BI363" i="1"/>
  <c r="BI401" i="1"/>
  <c r="AR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I421" i="1"/>
  <c r="AR421" i="1"/>
  <c r="H404" i="6"/>
  <c r="X421" i="4" l="1"/>
  <c r="Y421" i="15"/>
  <c r="AH423" i="6"/>
  <c r="BI497" i="1"/>
  <c r="BI489" i="1"/>
  <c r="BI490" i="1"/>
  <c r="BI491" i="1"/>
  <c r="BI492" i="1"/>
  <c r="BI493" i="1"/>
  <c r="BI494" i="1"/>
  <c r="BI427" i="1"/>
  <c r="BI428" i="1"/>
  <c r="BI429" i="1"/>
  <c r="BI430" i="1"/>
  <c r="BI431" i="1"/>
  <c r="AR406" i="1" l="1"/>
  <c r="Y407" i="15" s="1"/>
  <c r="BI359" i="1"/>
  <c r="BI360" i="1"/>
  <c r="BI369" i="1"/>
  <c r="BI380" i="1"/>
  <c r="BI379" i="1"/>
  <c r="AR388" i="1" l="1"/>
  <c r="Y389" i="15" s="1"/>
  <c r="AR387" i="1"/>
  <c r="Y388" i="15" s="1"/>
  <c r="AR413" i="1"/>
  <c r="Y414" i="15" s="1"/>
  <c r="AR412" i="1"/>
  <c r="Y413" i="15" s="1"/>
  <c r="AR410" i="1"/>
  <c r="Y411" i="15" s="1"/>
  <c r="AR409" i="1"/>
  <c r="Y410" i="15" s="1"/>
  <c r="AR408" i="1"/>
  <c r="Y409" i="15" s="1"/>
  <c r="BI402" i="1" l="1"/>
  <c r="AR402" i="1"/>
  <c r="AE404" i="6"/>
  <c r="X404" i="6"/>
  <c r="AH404" i="6" s="1"/>
  <c r="V404" i="6"/>
  <c r="U404" i="6"/>
  <c r="S404" i="6"/>
  <c r="P404" i="6"/>
  <c r="Q404" i="6" s="1"/>
  <c r="J404" i="6"/>
  <c r="AR399" i="1"/>
  <c r="Y400" i="15" s="1"/>
  <c r="AR400" i="1"/>
  <c r="Y401" i="15" s="1"/>
  <c r="AR407" i="1"/>
  <c r="Y408" i="15" s="1"/>
  <c r="Y403" i="15" l="1"/>
  <c r="X403" i="4"/>
  <c r="AR419" i="1"/>
  <c r="Y420" i="15" s="1"/>
  <c r="AR418" i="1"/>
  <c r="Y419" i="15" s="1"/>
  <c r="AR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R390" i="1"/>
  <c r="Y391" i="15" s="1"/>
  <c r="X426" i="6" l="1"/>
  <c r="X428" i="6"/>
  <c r="BI350" i="1"/>
  <c r="R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R397" i="1"/>
  <c r="Y398" i="15" s="1"/>
  <c r="AR411" i="1" l="1"/>
  <c r="Y412" i="15" s="1"/>
  <c r="AR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R417" i="1"/>
  <c r="Y418" i="15" s="1"/>
  <c r="AR414" i="1" l="1"/>
  <c r="Y415" i="15" s="1"/>
  <c r="AR392" i="1" l="1"/>
  <c r="Y393" i="15" s="1"/>
  <c r="Z402" i="6" l="1"/>
  <c r="O4" i="10" l="1"/>
  <c r="O5" i="10"/>
  <c r="AR398" i="1" l="1"/>
  <c r="Y399" i="15" s="1"/>
  <c r="BI404" i="1" l="1"/>
  <c r="AR404" i="1"/>
  <c r="O7" i="10" l="1"/>
  <c r="Y405" i="15"/>
  <c r="AR403" i="1"/>
  <c r="O6" i="10" l="1"/>
  <c r="Y404" i="15"/>
  <c r="BI352" i="1"/>
  <c r="BI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I355" i="1" l="1"/>
  <c r="BI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R396" i="1"/>
  <c r="Y397" i="15" s="1"/>
  <c r="AR389" i="1" l="1"/>
  <c r="Y390" i="15" s="1"/>
  <c r="BI353" i="1" l="1"/>
  <c r="BI2" i="1"/>
  <c r="AR395" i="1" l="1"/>
  <c r="Y396" i="15" s="1"/>
  <c r="AR385" i="1" l="1"/>
  <c r="Y386" i="15" s="1"/>
  <c r="AR326" i="1" l="1"/>
  <c r="Y327" i="15" s="1"/>
  <c r="AR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6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4"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877" i="6" l="1"/>
  <c r="AH363" i="6"/>
  <c r="X881" i="6"/>
  <c r="Q533" i="6"/>
  <c r="X353" i="6"/>
  <c r="X354" i="6"/>
  <c r="Q433" i="6"/>
  <c r="Q358" i="6"/>
  <c r="Q348" i="6"/>
  <c r="AH395" i="6"/>
  <c r="AT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I875" i="1" l="1"/>
  <c r="BI535" i="1"/>
  <c r="BI534" i="1"/>
  <c r="BI532" i="1"/>
  <c r="BI531" i="1"/>
  <c r="BI530" i="1"/>
  <c r="BI528" i="1"/>
  <c r="BI527" i="1"/>
  <c r="BI488" i="1"/>
  <c r="BI419" i="1"/>
  <c r="BI418" i="1"/>
  <c r="BI417" i="1"/>
  <c r="BI416" i="1"/>
  <c r="BI415" i="1"/>
  <c r="BI414" i="1"/>
  <c r="BI413" i="1"/>
  <c r="BI412" i="1"/>
  <c r="BI411" i="1"/>
  <c r="BI410" i="1"/>
  <c r="BI409" i="1"/>
  <c r="BI408" i="1"/>
  <c r="BI407" i="1"/>
  <c r="BI406" i="1"/>
  <c r="BI405" i="1"/>
  <c r="BI403" i="1"/>
  <c r="BI400" i="1"/>
  <c r="BI399" i="1"/>
  <c r="BI398" i="1"/>
  <c r="BI396" i="1"/>
  <c r="BI395" i="1"/>
  <c r="BI394" i="1"/>
  <c r="BI392" i="1"/>
  <c r="BI391" i="1"/>
  <c r="BI390" i="1"/>
  <c r="BI389" i="1"/>
  <c r="BI385" i="1"/>
  <c r="BI384" i="1"/>
  <c r="AR384" i="1"/>
  <c r="BI383" i="1"/>
  <c r="AR383" i="1"/>
  <c r="X385" i="4" l="1"/>
  <c r="Y385" i="15"/>
  <c r="X384" i="4"/>
  <c r="Y384" i="15"/>
  <c r="AC383" i="1"/>
  <c r="BI349" i="1"/>
  <c r="BI348" i="1"/>
  <c r="BI347" i="1"/>
  <c r="BI346" i="1" l="1"/>
  <c r="BI345" i="1" l="1"/>
  <c r="AR345" i="1" l="1"/>
  <c r="BI344" i="1"/>
  <c r="AR344" i="1"/>
  <c r="BI343" i="1"/>
  <c r="X345" i="4" l="1"/>
  <c r="Y345" i="15"/>
  <c r="X346" i="4"/>
  <c r="Y346" i="15"/>
  <c r="AR343" i="1"/>
  <c r="BI342" i="1"/>
  <c r="AR342" i="1"/>
  <c r="X343" i="4" l="1"/>
  <c r="Y343" i="15"/>
  <c r="X344" i="4"/>
  <c r="Y344" i="15"/>
  <c r="BI341" i="1"/>
  <c r="AR341" i="1"/>
  <c r="BI340" i="1"/>
  <c r="AR340" i="1"/>
  <c r="BI339" i="1"/>
  <c r="BI338" i="1"/>
  <c r="AR338" i="1"/>
  <c r="AR337" i="1"/>
  <c r="BI336" i="1"/>
  <c r="X338" i="4" l="1"/>
  <c r="Y338" i="15"/>
  <c r="X341" i="4"/>
  <c r="Y341" i="15"/>
  <c r="X339" i="4"/>
  <c r="Y339" i="15"/>
  <c r="X342" i="4"/>
  <c r="Y342" i="15"/>
  <c r="AR336" i="1"/>
  <c r="BI335" i="1"/>
  <c r="AR335" i="1"/>
  <c r="BI334" i="1"/>
  <c r="X336" i="4" l="1"/>
  <c r="Y336" i="15"/>
  <c r="X337" i="4"/>
  <c r="Y337" i="15"/>
  <c r="AR334" i="1"/>
  <c r="BI333" i="1"/>
  <c r="X335" i="4" l="1"/>
  <c r="Y335" i="15"/>
  <c r="AR333" i="1"/>
  <c r="BI332" i="1"/>
  <c r="X334" i="4" l="1"/>
  <c r="Y334" i="15"/>
  <c r="AR332" i="1"/>
  <c r="BI331" i="1"/>
  <c r="X333" i="4" l="1"/>
  <c r="Y333" i="15"/>
  <c r="AR331" i="1"/>
  <c r="BI330" i="1"/>
  <c r="AR330" i="1"/>
  <c r="BI329" i="1"/>
  <c r="AR329" i="1"/>
  <c r="BI328" i="1"/>
  <c r="AR328" i="1"/>
  <c r="X330" i="4" l="1"/>
  <c r="Y330" i="15"/>
  <c r="X332" i="4"/>
  <c r="Y332" i="15"/>
  <c r="X329" i="4"/>
  <c r="Y329" i="15"/>
  <c r="X331" i="4"/>
  <c r="Y331" i="15"/>
  <c r="BI327" i="1"/>
  <c r="AR327" i="1"/>
  <c r="X328" i="4" l="1"/>
  <c r="Y328" i="15"/>
  <c r="BI326" i="1"/>
  <c r="X327" i="4"/>
  <c r="BI325" i="1"/>
  <c r="AR325" i="1"/>
  <c r="BI324" i="1"/>
  <c r="AR324" i="1"/>
  <c r="BI323" i="1"/>
  <c r="BI322" i="1"/>
  <c r="X325" i="4" l="1"/>
  <c r="Y325" i="15"/>
  <c r="X326" i="4"/>
  <c r="Y326" i="15"/>
  <c r="AR322" i="1"/>
  <c r="BI321" i="1"/>
  <c r="AR321" i="1"/>
  <c r="Y321" i="15" l="1"/>
  <c r="X321" i="4"/>
  <c r="X322" i="4"/>
  <c r="Y322" i="15"/>
  <c r="BI320" i="1"/>
  <c r="BI319" i="1"/>
  <c r="AR319" i="1"/>
  <c r="BI318" i="1"/>
  <c r="X320" i="4" l="1"/>
  <c r="Y320" i="15"/>
  <c r="AR318" i="1"/>
  <c r="BI317" i="1"/>
  <c r="AR317" i="1"/>
  <c r="BI316" i="1"/>
  <c r="X319" i="4" l="1"/>
  <c r="Y319" i="15"/>
  <c r="X318" i="4"/>
  <c r="Y318" i="15"/>
  <c r="AR316" i="1"/>
  <c r="BI315" i="1"/>
  <c r="AR315" i="1"/>
  <c r="BI314" i="1"/>
  <c r="X316" i="4" l="1"/>
  <c r="Y316" i="15"/>
  <c r="X317" i="4"/>
  <c r="Y317" i="15"/>
  <c r="AR314" i="1"/>
  <c r="BI313" i="1"/>
  <c r="BI312" i="1"/>
  <c r="BI311" i="1"/>
  <c r="BI310" i="1"/>
  <c r="BI309" i="1"/>
  <c r="BI308" i="1"/>
  <c r="BI307" i="1"/>
  <c r="BI306" i="1"/>
  <c r="Y323" i="15" l="1"/>
  <c r="X323" i="4"/>
  <c r="X315" i="4"/>
  <c r="Y315" i="15"/>
  <c r="BI305" i="1"/>
  <c r="BI304" i="1"/>
  <c r="BI302" i="1"/>
  <c r="BI301" i="1"/>
  <c r="BI300" i="1"/>
  <c r="BI299" i="1"/>
  <c r="BI298" i="1"/>
  <c r="BI297" i="1"/>
  <c r="BI296" i="1"/>
  <c r="BI295" i="1"/>
  <c r="BI294" i="1"/>
  <c r="BI290" i="1"/>
  <c r="AR290" i="1"/>
  <c r="BI289" i="1"/>
  <c r="AR289" i="1"/>
  <c r="X291" i="4" l="1"/>
  <c r="Y291" i="15"/>
  <c r="X290" i="4"/>
  <c r="Y290" i="15"/>
  <c r="BI288" i="1"/>
  <c r="AR288" i="1"/>
  <c r="AR287" i="1"/>
  <c r="X288" i="4" l="1"/>
  <c r="Y288" i="15"/>
  <c r="X289" i="4"/>
  <c r="Y289" i="15"/>
  <c r="AR286" i="1"/>
  <c r="BI285" i="1"/>
  <c r="AR285" i="1"/>
  <c r="BI284" i="1"/>
  <c r="AR284" i="1"/>
  <c r="BI283" i="1"/>
  <c r="AR283" i="1"/>
  <c r="BI282" i="1"/>
  <c r="AR282" i="1"/>
  <c r="BI281" i="1"/>
  <c r="X284" i="4" l="1"/>
  <c r="Y284" i="15"/>
  <c r="X286" i="4"/>
  <c r="Y286" i="15"/>
  <c r="X283" i="4"/>
  <c r="Y283" i="15"/>
  <c r="X285" i="4"/>
  <c r="Y285" i="15"/>
  <c r="X287" i="4"/>
  <c r="Y287" i="15"/>
  <c r="AR281" i="1"/>
  <c r="X282" i="4" l="1"/>
  <c r="Y282" i="15"/>
  <c r="AR280" i="1"/>
  <c r="X281" i="4" l="1"/>
  <c r="Y281" i="15"/>
  <c r="AR279" i="1"/>
  <c r="X280" i="4" l="1"/>
  <c r="Y280" i="15"/>
  <c r="BI278" i="1"/>
  <c r="AR278" i="1" l="1"/>
  <c r="BI277" i="1"/>
  <c r="BI276" i="1"/>
  <c r="X279" i="4" l="1"/>
  <c r="Y279" i="15"/>
  <c r="AR276" i="1"/>
  <c r="X277" i="4" l="1"/>
  <c r="Y277" i="15"/>
  <c r="AR275" i="1"/>
  <c r="AR274" i="1"/>
  <c r="AR273" i="1"/>
  <c r="X275" i="4" l="1"/>
  <c r="Y275" i="15"/>
  <c r="X276" i="4"/>
  <c r="Y276" i="15"/>
  <c r="X274" i="4"/>
  <c r="Y274" i="15"/>
  <c r="AR272" i="1"/>
  <c r="X273" i="4" l="1"/>
  <c r="Y273" i="15"/>
  <c r="AR271" i="1"/>
  <c r="AR270" i="1"/>
  <c r="BI269" i="1"/>
  <c r="BI268" i="1"/>
  <c r="BI267" i="1"/>
  <c r="AR267" i="1"/>
  <c r="X268" i="4" l="1"/>
  <c r="Y268" i="15"/>
  <c r="X271" i="4"/>
  <c r="Y271" i="15"/>
  <c r="X272" i="4"/>
  <c r="Y272" i="15"/>
  <c r="AR266" i="1"/>
  <c r="BI265" i="1"/>
  <c r="AR265" i="1"/>
  <c r="BI264" i="1"/>
  <c r="BI263" i="1"/>
  <c r="X267" i="4" l="1"/>
  <c r="Y267" i="15"/>
  <c r="X266" i="4"/>
  <c r="Y266" i="15"/>
  <c r="AR263" i="1"/>
  <c r="AR262" i="1"/>
  <c r="BI261" i="1"/>
  <c r="AR261" i="1"/>
  <c r="BI260" i="1"/>
  <c r="AR260" i="1"/>
  <c r="BI259" i="1"/>
  <c r="AR259" i="1"/>
  <c r="BI258" i="1"/>
  <c r="AR258" i="1"/>
  <c r="AC258" i="1"/>
  <c r="AR257" i="1"/>
  <c r="AR256" i="1"/>
  <c r="X258" i="4" l="1"/>
  <c r="Y258" i="15"/>
  <c r="X260" i="4"/>
  <c r="Y260" i="15"/>
  <c r="X262" i="4"/>
  <c r="Y262" i="15"/>
  <c r="X259" i="4"/>
  <c r="Y259" i="15"/>
  <c r="X261" i="4"/>
  <c r="Y261" i="15"/>
  <c r="X263" i="4"/>
  <c r="Y263" i="15"/>
  <c r="X257" i="4"/>
  <c r="Y257" i="15"/>
  <c r="X264" i="4"/>
  <c r="Y264" i="15"/>
  <c r="BI255" i="1"/>
  <c r="AR255" i="1"/>
  <c r="BI254" i="1"/>
  <c r="BI253" i="1"/>
  <c r="AR253" i="1"/>
  <c r="X254" i="4" l="1"/>
  <c r="Y254" i="15"/>
  <c r="X256" i="4"/>
  <c r="Y256" i="15"/>
  <c r="BI252" i="1"/>
  <c r="AR252" i="1" l="1"/>
  <c r="X253" i="4" l="1"/>
  <c r="Y253" i="15"/>
  <c r="AR251" i="1"/>
  <c r="BI250" i="1"/>
  <c r="AR250" i="1"/>
  <c r="BI249" i="1"/>
  <c r="AR249" i="1"/>
  <c r="BI248" i="1"/>
  <c r="X250" i="4" l="1"/>
  <c r="Y250" i="15"/>
  <c r="X252" i="4"/>
  <c r="Y252" i="15"/>
  <c r="X251" i="4"/>
  <c r="Y251" i="15"/>
  <c r="AR248" i="1"/>
  <c r="BI247" i="1"/>
  <c r="AR247" i="1"/>
  <c r="BI246" i="1"/>
  <c r="AR246" i="1"/>
  <c r="BI245" i="1"/>
  <c r="AR245" i="1"/>
  <c r="BI244" i="1"/>
  <c r="AR244" i="1"/>
  <c r="X245" i="4" l="1"/>
  <c r="Y245" i="15"/>
  <c r="X247" i="4"/>
  <c r="Y247" i="15"/>
  <c r="X249" i="4"/>
  <c r="Y249" i="15"/>
  <c r="X246" i="4"/>
  <c r="Y246" i="15"/>
  <c r="X248" i="4"/>
  <c r="Y248" i="15"/>
  <c r="BI243" i="1"/>
  <c r="AR243" i="1"/>
  <c r="BI242" i="1"/>
  <c r="AR242" i="1"/>
  <c r="BI241" i="1"/>
  <c r="X244" i="4" l="1"/>
  <c r="Y244" i="15"/>
  <c r="X243" i="4"/>
  <c r="Y243" i="15"/>
  <c r="AR241" i="1"/>
  <c r="X242" i="4" l="1"/>
  <c r="Y242" i="15"/>
  <c r="AR240" i="1"/>
  <c r="AR239" i="1"/>
  <c r="BI238" i="1"/>
  <c r="BI237" i="1"/>
  <c r="BI236" i="1"/>
  <c r="X240" i="4" l="1"/>
  <c r="Y240" i="15"/>
  <c r="X241" i="4"/>
  <c r="Y241" i="15"/>
  <c r="BI235" i="1"/>
  <c r="BI234" i="1"/>
  <c r="BI233" i="1"/>
  <c r="AR232" i="1" l="1"/>
  <c r="AR231" i="1"/>
  <c r="X232" i="4" l="1"/>
  <c r="Y232" i="15"/>
  <c r="X233" i="4"/>
  <c r="Y233" i="15"/>
  <c r="AR230" i="1"/>
  <c r="BI229" i="1"/>
  <c r="AR229" i="1"/>
  <c r="AR228" i="1"/>
  <c r="BI227" i="1"/>
  <c r="X229" i="4" l="1"/>
  <c r="Y229" i="15"/>
  <c r="X230" i="4"/>
  <c r="Y230" i="15"/>
  <c r="X231" i="4"/>
  <c r="Y231" i="15"/>
  <c r="AR227" i="1"/>
  <c r="BI226" i="1"/>
  <c r="AR226" i="1"/>
  <c r="X228" i="4" l="1"/>
  <c r="Y228" i="15"/>
  <c r="X227" i="4"/>
  <c r="Y227" i="15"/>
  <c r="BI224" i="1"/>
  <c r="BI221" i="1"/>
  <c r="BI220" i="1"/>
  <c r="BI219" i="1"/>
  <c r="BI218" i="1"/>
  <c r="BI217" i="1"/>
  <c r="BI215" i="1"/>
  <c r="BI213" i="1" l="1"/>
  <c r="BI212" i="1"/>
  <c r="BI211" i="1"/>
  <c r="AR193" i="1" l="1"/>
  <c r="X194" i="4" l="1"/>
  <c r="Y194" i="15"/>
  <c r="AR192" i="1"/>
  <c r="BI189" i="1"/>
  <c r="AR189" i="1"/>
  <c r="BI188" i="1"/>
  <c r="AR188" i="1"/>
  <c r="BI187" i="1"/>
  <c r="X189" i="4" l="1"/>
  <c r="Y189" i="15"/>
  <c r="X193" i="4"/>
  <c r="Y193" i="15"/>
  <c r="X190" i="4"/>
  <c r="Y190" i="15"/>
  <c r="AR187" i="1"/>
  <c r="BI186" i="1"/>
  <c r="X188" i="4" l="1"/>
  <c r="Y188" i="15"/>
  <c r="AR186" i="1"/>
  <c r="AR185" i="1"/>
  <c r="BI184" i="1"/>
  <c r="AR184" i="1"/>
  <c r="BI183" i="1"/>
  <c r="X186" i="4" l="1"/>
  <c r="Y186" i="15"/>
  <c r="X187" i="4"/>
  <c r="Y187" i="15"/>
  <c r="X185" i="4"/>
  <c r="Y185" i="15"/>
  <c r="BI182" i="1"/>
  <c r="AR182" i="1" l="1"/>
  <c r="BI181" i="1"/>
  <c r="AR181" i="1"/>
  <c r="AT180" i="1"/>
  <c r="X182" i="6" s="1"/>
  <c r="AH182" i="6" s="1"/>
  <c r="X182" i="4" l="1"/>
  <c r="Y182" i="15"/>
  <c r="X183" i="4"/>
  <c r="Y183" i="15"/>
  <c r="BI180" i="1"/>
  <c r="AR180" i="1"/>
  <c r="BI179" i="1"/>
  <c r="AR179" i="1"/>
  <c r="BI178" i="1"/>
  <c r="AR178" i="1"/>
  <c r="BI177" i="1"/>
  <c r="AR177" i="1"/>
  <c r="BI176" i="1"/>
  <c r="AR176" i="1"/>
  <c r="BI175" i="1"/>
  <c r="AR175" i="1"/>
  <c r="BI174" i="1"/>
  <c r="AR174" i="1"/>
  <c r="BI173" i="1"/>
  <c r="X176" i="4" l="1"/>
  <c r="Y176" i="15"/>
  <c r="X178" i="4"/>
  <c r="Y178" i="15"/>
  <c r="X180" i="4"/>
  <c r="Y180" i="15"/>
  <c r="X175" i="4"/>
  <c r="Y175" i="15"/>
  <c r="X177" i="4"/>
  <c r="Y177" i="15"/>
  <c r="X179" i="4"/>
  <c r="Y179" i="15"/>
  <c r="X181" i="4"/>
  <c r="Y181" i="15"/>
  <c r="AR173" i="1"/>
  <c r="BI172" i="1"/>
  <c r="AR172" i="1"/>
  <c r="AR171" i="1"/>
  <c r="BI170" i="1"/>
  <c r="BI169" i="1"/>
  <c r="AR169" i="1"/>
  <c r="X174" i="4" l="1"/>
  <c r="Y174" i="15"/>
  <c r="X172" i="4"/>
  <c r="Y172" i="15"/>
  <c r="X170" i="4"/>
  <c r="Y170" i="15"/>
  <c r="X173" i="4"/>
  <c r="Y173" i="15"/>
  <c r="BI167" i="1"/>
  <c r="BI166" i="1"/>
  <c r="BI165" i="1" l="1"/>
  <c r="BI164" i="1"/>
  <c r="BI163" i="1"/>
  <c r="BI162" i="1" l="1"/>
  <c r="BI151" i="1"/>
  <c r="BI150" i="1"/>
  <c r="BI146" i="1"/>
  <c r="BI145" i="1"/>
  <c r="BI143" i="1"/>
  <c r="BI142" i="1"/>
  <c r="BI138" i="1"/>
  <c r="BI137" i="1"/>
  <c r="BI136" i="1"/>
  <c r="BI135" i="1"/>
  <c r="AT134" i="1"/>
  <c r="X136" i="6" s="1"/>
  <c r="AH136" i="6" s="1"/>
  <c r="AR134" i="1"/>
  <c r="BI133" i="1"/>
  <c r="BI132" i="1"/>
  <c r="BI131" i="1"/>
  <c r="AT130" i="1"/>
  <c r="X132" i="6" s="1"/>
  <c r="AH132" i="6" s="1"/>
  <c r="X135" i="4" l="1"/>
  <c r="Y135" i="15"/>
  <c r="BI134" i="1"/>
  <c r="AT129" i="1"/>
  <c r="X131" i="6" s="1"/>
  <c r="AH131" i="6" s="1"/>
  <c r="AT128" i="1"/>
  <c r="X130" i="6" s="1"/>
  <c r="AH130" i="6" s="1"/>
  <c r="AT127" i="1"/>
  <c r="X129" i="6" s="1"/>
  <c r="AH129" i="6" s="1"/>
  <c r="AT126" i="1"/>
  <c r="X128" i="6" s="1"/>
  <c r="AH128" i="6" s="1"/>
  <c r="AT125" i="1"/>
  <c r="X127" i="6" s="1"/>
  <c r="AH127" i="6" s="1"/>
  <c r="AT124" i="1"/>
  <c r="X126" i="6" s="1"/>
  <c r="AH126" i="6" s="1"/>
  <c r="AT123" i="1"/>
  <c r="X125" i="6" s="1"/>
  <c r="AH125" i="6" s="1"/>
  <c r="AT122" i="1"/>
  <c r="X124" i="6" s="1"/>
  <c r="AH124" i="6" s="1"/>
  <c r="AT121" i="1"/>
  <c r="X123" i="6" s="1"/>
  <c r="AH123" i="6" s="1"/>
  <c r="AT120" i="1"/>
  <c r="X122" i="6" s="1"/>
  <c r="AH122" i="6" s="1"/>
  <c r="AT119" i="1"/>
  <c r="X121" i="6" s="1"/>
  <c r="AH121" i="6" s="1"/>
  <c r="AR119" i="1"/>
  <c r="AT118" i="1"/>
  <c r="X120" i="6" s="1"/>
  <c r="AH120" i="6" s="1"/>
  <c r="X120" i="4" l="1"/>
  <c r="Y120" i="15"/>
  <c r="AT117" i="1"/>
  <c r="X119" i="6" s="1"/>
  <c r="AH119" i="6" s="1"/>
  <c r="AT116" i="1"/>
  <c r="X118" i="6" s="1"/>
  <c r="AH118" i="6" s="1"/>
  <c r="AT115" i="1"/>
  <c r="X117" i="6" s="1"/>
  <c r="AH117" i="6" s="1"/>
  <c r="AT114" i="1"/>
  <c r="X116" i="6" s="1"/>
  <c r="AH116" i="6" s="1"/>
  <c r="AT113" i="1"/>
  <c r="X115" i="6" s="1"/>
  <c r="AH115" i="6" s="1"/>
  <c r="AT112" i="1"/>
  <c r="X114" i="6" s="1"/>
  <c r="AH114" i="6" s="1"/>
  <c r="AT111" i="1"/>
  <c r="X113" i="6" s="1"/>
  <c r="AH113" i="6" s="1"/>
  <c r="AT110" i="1"/>
  <c r="X112" i="6" s="1"/>
  <c r="AH112" i="6" s="1"/>
  <c r="AT109" i="1"/>
  <c r="X111" i="6" s="1"/>
  <c r="AH111" i="6" s="1"/>
  <c r="AT108" i="1"/>
  <c r="X110" i="6" s="1"/>
  <c r="AH110" i="6" s="1"/>
  <c r="AT107" i="1"/>
  <c r="X109" i="6" s="1"/>
  <c r="AH109" i="6" s="1"/>
  <c r="AT106" i="1"/>
  <c r="X108" i="6" s="1"/>
  <c r="AH108" i="6" s="1"/>
  <c r="AT105" i="1"/>
  <c r="X107" i="6" s="1"/>
  <c r="AH107" i="6" s="1"/>
  <c r="AT104" i="1"/>
  <c r="X106" i="6" s="1"/>
  <c r="AH106" i="6" s="1"/>
  <c r="AT103" i="1"/>
  <c r="X105" i="6" s="1"/>
  <c r="AH105" i="6" s="1"/>
  <c r="AT102" i="1"/>
  <c r="X104" i="6" s="1"/>
  <c r="AH104" i="6" s="1"/>
  <c r="AB104" i="6" s="1"/>
  <c r="AT101" i="1"/>
  <c r="X103" i="6" s="1"/>
  <c r="AH103" i="6" s="1"/>
  <c r="BI100" i="1"/>
  <c r="BI99" i="1"/>
  <c r="AR99" i="1"/>
  <c r="AT98" i="1"/>
  <c r="X100" i="6" s="1"/>
  <c r="AH100" i="6" s="1"/>
  <c r="AT97" i="1"/>
  <c r="X99" i="6" s="1"/>
  <c r="AH99" i="6" s="1"/>
  <c r="AT96" i="1"/>
  <c r="X98" i="6" s="1"/>
  <c r="AH98" i="6" s="1"/>
  <c r="BI95" i="1"/>
  <c r="AR95" i="1"/>
  <c r="AT90" i="1"/>
  <c r="X92" i="6" s="1"/>
  <c r="AH92" i="6" s="1"/>
  <c r="AT89" i="1"/>
  <c r="X91" i="6" s="1"/>
  <c r="AH91" i="6" s="1"/>
  <c r="AT88" i="1"/>
  <c r="X90" i="6" s="1"/>
  <c r="AH90" i="6" s="1"/>
  <c r="AT80" i="1"/>
  <c r="X82" i="6" s="1"/>
  <c r="AH82" i="6" s="1"/>
  <c r="AT79" i="1"/>
  <c r="X81" i="6" s="1"/>
  <c r="AH81" i="6" s="1"/>
  <c r="AT78" i="1"/>
  <c r="X80" i="6" s="1"/>
  <c r="AH80" i="6" s="1"/>
  <c r="AT77" i="1"/>
  <c r="X79" i="6" s="1"/>
  <c r="AH79" i="6" s="1"/>
  <c r="AT76" i="1"/>
  <c r="X78" i="6" s="1"/>
  <c r="AH78" i="6" s="1"/>
  <c r="AT74" i="1"/>
  <c r="X76" i="6" s="1"/>
  <c r="AH76" i="6" s="1"/>
  <c r="AT69" i="1"/>
  <c r="X71" i="6" s="1"/>
  <c r="AH71" i="6" s="1"/>
  <c r="AT67" i="1"/>
  <c r="X69" i="6" s="1"/>
  <c r="AH69" i="6" s="1"/>
  <c r="AT64" i="1"/>
  <c r="X66" i="6" s="1"/>
  <c r="AH66" i="6" s="1"/>
  <c r="AT63" i="1"/>
  <c r="X65" i="6" s="1"/>
  <c r="AH65" i="6" s="1"/>
  <c r="AT62" i="1"/>
  <c r="X64" i="6" s="1"/>
  <c r="AH64" i="6" s="1"/>
  <c r="AT61" i="1"/>
  <c r="X63" i="6" s="1"/>
  <c r="AH63" i="6" s="1"/>
  <c r="AT59" i="1"/>
  <c r="X61" i="6" s="1"/>
  <c r="AH61" i="6" s="1"/>
  <c r="AT58" i="1"/>
  <c r="X60" i="6" s="1"/>
  <c r="AH60" i="6" s="1"/>
  <c r="AT57" i="1"/>
  <c r="X59" i="6" s="1"/>
  <c r="AH59" i="6" s="1"/>
  <c r="AT56" i="1"/>
  <c r="X58" i="6" s="1"/>
  <c r="AH58" i="6" s="1"/>
  <c r="AT55" i="1"/>
  <c r="X57" i="6" s="1"/>
  <c r="AH57" i="6" s="1"/>
  <c r="AT54" i="1"/>
  <c r="X56" i="6" s="1"/>
  <c r="AH56" i="6" s="1"/>
  <c r="AT41" i="1"/>
  <c r="X43" i="6" s="1"/>
  <c r="AH43" i="6" s="1"/>
  <c r="AT40" i="1"/>
  <c r="X42" i="6" s="1"/>
  <c r="AH42" i="6" s="1"/>
  <c r="AT39" i="1"/>
  <c r="X41" i="6" s="1"/>
  <c r="AH41" i="6" s="1"/>
  <c r="AT38" i="1"/>
  <c r="X40" i="6" s="1"/>
  <c r="AH40" i="6" s="1"/>
  <c r="AT37" i="1"/>
  <c r="X39" i="6" s="1"/>
  <c r="AH39" i="6" s="1"/>
  <c r="AT36" i="1"/>
  <c r="X38" i="6" s="1"/>
  <c r="AH38" i="6" s="1"/>
  <c r="AT35" i="1"/>
  <c r="X37" i="6" s="1"/>
  <c r="AH37" i="6" s="1"/>
  <c r="AT34" i="1"/>
  <c r="X36" i="6" s="1"/>
  <c r="AH36" i="6" s="1"/>
  <c r="AT21" i="1"/>
  <c r="X23" i="6" s="1"/>
  <c r="AH23" i="6" s="1"/>
  <c r="AT9" i="1"/>
  <c r="X11" i="6" s="1"/>
  <c r="AH11" i="6" s="1"/>
  <c r="AT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<sst xmlns="http://schemas.openxmlformats.org/spreadsheetml/2006/main" count="50972" uniqueCount="6890">
  <si>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</si>
  <si>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</si>
  <si>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</si>
  <si>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</si>
  <si>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</si>
  <si>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</si>
  <si>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</si>
  <si>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</si>
  <si>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</si>
  <si>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</si>
  <si>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</si>
  <si>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</si>
  <si>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</si>
  <si>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</si>
  <si>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</si>
  <si>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</si>
  <si>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</si>
  <si>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</si>
  <si>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</si>
  <si>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</si>
  <si>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</si>
  <si>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</si>
  <si>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</si>
  <si>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</si>
  <si>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</si>
  <si>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</si>
  <si>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</si>
  <si>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</si>
  <si>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</si>
  <si>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</si>
  <si>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</si>
  <si>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</si>
  <si>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</si>
  <si>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</si>
  <si>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</si>
  <si>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</si>
  <si>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</si>
  <si>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</si>
  <si>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</si>
  <si>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</si>
  <si>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</si>
  <si>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</si>
  <si>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</si>
  <si>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</si>
  <si>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</si>
  <si>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</si>
  <si>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</si>
  <si>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</si>
  <si>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</si>
  <si>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</si>
  <si>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</si>
  <si>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</si>
  <si>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</si>
  <si>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</si>
  <si>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</si>
  <si>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</si>
  <si>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</si>
  <si>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</si>
  <si>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</si>
  <si>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</si>
  <si>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</si>
  <si>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</si>
  <si>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</si>
  <si>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</si>
  <si>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</si>
  <si>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</si>
  <si>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</si>
  <si>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</si>
  <si>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</si>
  <si>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</si>
  <si>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</si>
  <si>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</si>
  <si>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</si>
  <si>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</si>
  <si>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</si>
  <si>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</si>
  <si>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</si>
  <si>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</si>
  <si>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</si>
  <si>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</si>
  <si>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</si>
  <si>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</si>
  <si>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</si>
  <si>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</si>
  <si>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</si>
  <si>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</si>
  <si>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</si>
  <si>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</si>
  <si>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</si>
  <si>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</si>
  <si>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</si>
  <si>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</si>
  <si>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</si>
  <si>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</si>
  <si>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</si>
  <si>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</si>
  <si>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</si>
  <si>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</si>
  <si>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</si>
  <si>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</si>
  <si>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</si>
  <si>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</si>
  <si>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</si>
  <si>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</si>
  <si>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</si>
  <si>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</si>
  <si>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</si>
  <si>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</si>
  <si>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</si>
  <si>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</si>
  <si>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</si>
  <si>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</si>
  <si>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</si>
  <si>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</si>
  <si>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</si>
  <si>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</si>
  <si>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</si>
  <si>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</si>
  <si>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</si>
  <si>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</si>
  <si>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</si>
  <si>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</si>
  <si>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</si>
  <si>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</si>
  <si>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</si>
  <si>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</si>
  <si>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</si>
  <si>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</si>
  <si>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</si>
  <si>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</si>
  <si>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</si>
  <si>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</si>
  <si>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</si>
  <si>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</si>
  <si>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</si>
  <si>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</si>
  <si>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</si>
  <si>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</si>
  <si>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</si>
  <si>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</si>
  <si>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</si>
  <si>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</si>
  <si>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</si>
  <si>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</si>
  <si>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</si>
  <si>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</si>
  <si>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</si>
  <si>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</si>
  <si>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</si>
  <si>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</si>
  <si>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</si>
  <si>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</si>
  <si>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</si>
  <si>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</si>
  <si>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</si>
  <si>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</si>
  <si>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</si>
  <si>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</si>
  <si>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</si>
  <si>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</si>
  <si>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</si>
  <si>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</si>
  <si>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</si>
  <si>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</si>
  <si>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</si>
  <si>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</si>
  <si>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</si>
  <si>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</si>
  <si>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</si>
  <si>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</si>
  <si>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</si>
  <si>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</si>
  <si>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</si>
  <si>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</si>
  <si>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</si>
  <si>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</si>
  <si>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</si>
  <si>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</si>
  <si>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</si>
  <si>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</si>
  <si>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</si>
  <si>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</si>
  <si>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</si>
  <si>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</si>
  <si>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</si>
  <si>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</si>
  <si>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</si>
  <si>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</si>
  <si>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</si>
  <si>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</si>
  <si>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</si>
  <si>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</si>
  <si>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</si>
  <si>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</si>
  <si>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</si>
  <si>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</si>
  <si>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</si>
  <si>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</si>
  <si>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</si>
  <si>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</si>
  <si>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</si>
  <si>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</si>
  <si>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</si>
  <si>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</si>
  <si>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</si>
  <si>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</si>
  <si>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</si>
  <si>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</si>
  <si>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</si>
  <si>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</si>
  <si>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</si>
  <si>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</si>
  <si>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</si>
  <si>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</si>
  <si>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</si>
  <si>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</si>
  <si>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</si>
  <si>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</si>
  <si>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</si>
  <si>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</si>
  <si>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</si>
  <si>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</si>
  <si>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</si>
  <si>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</si>
  <si>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</si>
  <si>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</si>
  <si>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</si>
  <si>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</si>
  <si>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</si>
  <si>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</si>
  <si>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</si>
  <si>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</si>
  <si>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</si>
  <si>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</si>
  <si>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</si>
  <si>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</si>
  <si>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</si>
  <si>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</si>
  <si>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</si>
  <si>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</si>
  <si>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</si>
  <si>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</si>
  <si>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</si>
  <si>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</si>
  <si>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</si>
  <si>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</si>
  <si>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</si>
  <si>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</si>
  <si>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</si>
  <si>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</si>
  <si>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</si>
  <si>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</si>
  <si>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</si>
  <si>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</si>
  <si>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</si>
  <si>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</si>
  <si>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</si>
  <si>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</si>
  <si>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</si>
  <si>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</si>
  <si>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</si>
  <si>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</si>
  <si>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</si>
  <si>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</si>
  <si>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</si>
  <si>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</si>
  <si>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</si>
  <si>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</si>
  <si>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</si>
  <si>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</si>
  <si>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</si>
  <si>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</si>
  <si>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</si>
  <si>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</si>
  <si>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</si>
  <si>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</si>
  <si>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</si>
  <si>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</si>
  <si>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</si>
  <si>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</si>
  <si>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</si>
  <si>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</si>
  <si>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</si>
  <si>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</si>
  <si>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</si>
  <si>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</si>
  <si>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</si>
  <si>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</si>
  <si>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</si>
  <si>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</si>
  <si>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</si>
  <si>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</si>
  <si>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</si>
  <si>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</si>
  <si>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</si>
  <si>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</si>
  <si>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</si>
  <si>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</si>
  <si>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</si>
  <si>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</si>
  <si>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</si>
  <si>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</si>
  <si>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</si>
  <si>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</si>
  <si>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</si>
  <si>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</si>
  <si>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</si>
  <si>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</si>
  <si>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</si>
  <si>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</si>
  <si>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</si>
  <si>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</si>
  <si>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</si>
  <si>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</si>
  <si>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</si>
  <si>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</si>
  <si>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</si>
  <si>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</si>
  <si>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</si>
  <si>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</si>
  <si>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</si>
  <si>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</si>
  <si>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</si>
  <si>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</si>
  <si>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</si>
  <si>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</si>
  <si>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</si>
  <si>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</si>
  <si>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</si>
  <si>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</si>
  <si>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</si>
  <si>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</si>
  <si>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</si>
  <si>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</si>
  <si>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</si>
  <si>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</si>
  <si>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</si>
  <si>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</si>
  <si>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</si>
  <si>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</si>
  <si>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</si>
  <si>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</si>
  <si>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</si>
  <si>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</si>
  <si>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</si>
  <si>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</si>
  <si>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</si>
  <si>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</si>
  <si>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</si>
  <si>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</si>
  <si>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</si>
  <si>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</si>
  <si>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</si>
  <si>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</si>
  <si>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</si>
  <si>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</si>
  <si>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</si>
  <si>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</si>
  <si>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</si>
  <si>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</si>
  <si>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</si>
  <si>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</si>
  <si>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</si>
  <si>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</si>
  <si>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</si>
  <si>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</si>
  <si>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</si>
  <si>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</si>
  <si>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</si>
  <si>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</si>
  <si>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</si>
  <si>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</si>
  <si>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</si>
  <si>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</si>
  <si>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</si>
  <si>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</si>
  <si>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</si>
  <si>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</si>
  <si>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</si>
  <si>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</si>
  <si>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</si>
  <si>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</si>
  <si>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</si>
  <si>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</si>
  <si>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</si>
  <si>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</si>
  <si>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</si>
  <si>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</si>
  <si>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</si>
  <si>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</si>
  <si>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</si>
  <si>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</si>
  <si>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</si>
  <si>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</si>
  <si>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</si>
  <si>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</si>
  <si>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</si>
  <si>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</si>
  <si>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</si>
  <si>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</si>
  <si>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</si>
  <si>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</si>
  <si>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</si>
  <si>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</si>
  <si>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</si>
  <si>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</si>
  <si>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</si>
  <si>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</si>
  <si>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</si>
  <si>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</si>
  <si>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</si>
  <si>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</si>
  <si>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</si>
  <si>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</si>
  <si>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</si>
  <si>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</si>
  <si>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</si>
  <si>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</si>
  <si>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</si>
  <si>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</si>
  <si>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</si>
  <si>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</si>
  <si>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</si>
  <si>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</si>
  <si>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</si>
  <si>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</si>
  <si>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</si>
  <si>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</si>
  <si>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</si>
  <si>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</si>
  <si>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</si>
  <si>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</si>
  <si>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</si>
  <si>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</si>
  <si>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</si>
  <si>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</si>
  <si>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</si>
  <si>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</si>
  <si>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</si>
  <si>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</si>
  <si>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</si>
  <si>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</si>
  <si>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</si>
  <si>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</si>
  <si>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</si>
  <si>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</si>
  <si>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</si>
  <si>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</si>
  <si>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</si>
  <si>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</si>
  <si>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</si>
  <si>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</si>
  <si>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</si>
  <si>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</si>
  <si>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</si>
  <si>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</si>
  <si>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</si>
  <si>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</si>
  <si>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</si>
  <si>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</si>
  <si>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</si>
  <si>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</si>
  <si>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</si>
  <si>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</si>
  <si>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</si>
  <si>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</si>
  <si>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</si>
  <si>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</si>
  <si>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</si>
  <si>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</si>
  <si>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</si>
  <si>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</si>
  <si>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</si>
  <si>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</si>
  <si>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</si>
  <si>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</si>
  <si>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</si>
  <si>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</si>
  <si>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</si>
  <si>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</si>
  <si>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</si>
  <si>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</si>
  <si>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</si>
  <si>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</si>
  <si>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</si>
  <si>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</si>
  <si>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</si>
  <si>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</si>
  <si>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</si>
  <si>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</si>
  <si>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</si>
  <si>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</si>
  <si>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</si>
  <si>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</si>
  <si>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</si>
  <si>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</si>
  <si>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</si>
  <si>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</si>
  <si>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</si>
  <si>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</si>
  <si>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</si>
  <si>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</si>
  <si>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</si>
  <si>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</si>
  <si>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</si>
  <si>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</si>
  <si>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</si>
  <si>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</si>
  <si>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</si>
  <si>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</si>
  <si>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</si>
  <si>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</si>
  <si>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</si>
  <si>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</si>
  <si>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</si>
  <si>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</si>
  <si>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</si>
  <si>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</si>
  <si>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</si>
  <si>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</si>
  <si>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</si>
  <si>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</si>
  <si>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</si>
  <si>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</si>
  <si>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</si>
  <si>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</si>
  <si>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</si>
  <si>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</si>
  <si>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</si>
  <si>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</si>
  <si>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</si>
  <si>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</si>
  <si>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</si>
  <si>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</si>
  <si>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</si>
  <si>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</si>
  <si>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</si>
  <si>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</si>
  <si>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</si>
  <si>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</si>
  <si>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</si>
  <si>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</si>
  <si>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</si>
  <si>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</si>
  <si>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</si>
  <si>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</si>
  <si>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</si>
  <si>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</si>
  <si>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</si>
  <si>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</si>
  <si>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</si>
  <si>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</si>
  <si>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</si>
  <si>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</si>
  <si>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</si>
  <si>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</si>
  <si>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</si>
  <si>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</si>
  <si>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</si>
  <si>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</si>
  <si>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</si>
  <si>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</si>
  <si>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</si>
  <si>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</si>
  <si>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</si>
  <si>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</si>
  <si>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</si>
  <si>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</si>
  <si>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</si>
  <si>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</si>
  <si>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</si>
  <si>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</si>
  <si>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</si>
  <si>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</si>
  <si>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</si>
  <si>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</si>
  <si>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</si>
  <si>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</si>
  <si>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</si>
  <si>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</si>
  <si>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</si>
  <si>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</si>
  <si>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</si>
  <si>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</si>
  <si>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</si>
  <si>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</si>
  <si>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</si>
  <si>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</si>
  <si>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</si>
  <si>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</si>
  <si>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</si>
  <si>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</si>
  <si>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</si>
  <si>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</si>
  <si>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</si>
  <si>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</si>
  <si>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</si>
  <si>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</si>
  <si>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</si>
  <si>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</si>
  <si>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</si>
  <si>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</si>
  <si>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</si>
  <si>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</si>
  <si>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</si>
  <si>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</si>
  <si>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</si>
  <si>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</si>
  <si>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</si>
  <si>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</si>
  <si>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</si>
  <si>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</si>
  <si>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</si>
  <si>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</si>
  <si>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</si>
  <si>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</si>
  <si>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</si>
  <si>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</si>
  <si>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</si>
  <si>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</si>
  <si>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</si>
  <si>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</si>
  <si>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</si>
  <si>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</si>
  <si>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</si>
  <si>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</si>
  <si>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</si>
  <si>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</si>
  <si>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</si>
  <si>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</si>
  <si>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</si>
  <si>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</si>
  <si>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</si>
  <si>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</si>
  <si>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</si>
  <si>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</si>
  <si>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</si>
  <si>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</si>
  <si>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</si>
  <si>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</si>
  <si>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</si>
  <si>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</si>
  <si>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</si>
  <si>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</si>
  <si>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</si>
  <si>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</si>
  <si>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</si>
  <si>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</si>
  <si>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</si>
  <si>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</si>
  <si>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</si>
  <si>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</si>
  <si>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</si>
  <si>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</si>
  <si>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</si>
  <si>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</si>
  <si>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</si>
  <si>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</si>
  <si>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</si>
  <si>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</si>
  <si>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</si>
  <si>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</si>
  <si>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</si>
  <si>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</si>
  <si>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</si>
  <si>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</si>
  <si>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</si>
  <si>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</si>
  <si>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</si>
  <si>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</si>
  <si>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</si>
  <si>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</si>
  <si>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</si>
  <si>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</si>
  <si>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</si>
  <si>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</si>
  <si>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</si>
  <si>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</si>
  <si>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</si>
  <si>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</si>
  <si>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</si>
  <si>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</si>
  <si>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</si>
  <si>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</si>
  <si>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</si>
  <si>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</si>
  <si>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</si>
  <si>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</si>
  <si>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</si>
  <si>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</si>
  <si>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</si>
  <si>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</si>
  <si>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</si>
  <si>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</si>
  <si>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</si>
  <si>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</si>
  <si>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</si>
  <si>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</si>
  <si>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</si>
  <si>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</si>
  <si>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</si>
  <si>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</si>
  <si>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</si>
  <si>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</si>
  <si>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</si>
  <si>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</si>
  <si>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</si>
  <si>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</si>
  <si>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</si>
  <si>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</si>
  <si>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</si>
  <si>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</si>
  <si>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</si>
  <si>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</si>
  <si>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</si>
  <si>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</si>
  <si>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</si>
  <si>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</si>
  <si>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</si>
  <si>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</si>
  <si>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</si>
  <si>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</si>
  <si>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</si>
  <si>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</si>
  <si>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</si>
  <si>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</si>
  <si>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</si>
  <si>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</si>
  <si>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</si>
  <si>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</si>
  <si>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</si>
  <si>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</si>
  <si>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</si>
  <si>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</si>
  <si>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</si>
  <si>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</si>
  <si>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</si>
  <si>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</si>
  <si>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</si>
  <si>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</si>
  <si>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</si>
  <si>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</si>
  <si>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</si>
  <si>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</si>
  <si>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</si>
  <si>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</si>
  <si>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</si>
  <si>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</si>
  <si>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</si>
  <si>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</si>
  <si>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</si>
  <si>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</si>
  <si>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</si>
  <si>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</si>
  <si>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</si>
  <si>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</si>
  <si>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</si>
  <si>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</si>
  <si>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</si>
  <si>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</si>
  <si>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</si>
  <si>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</si>
  <si>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</si>
  <si>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</si>
  <si>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</si>
  <si>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</si>
  <si>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</si>
  <si>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</si>
  <si>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</si>
  <si>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</si>
  <si>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</si>
  <si>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</si>
  <si>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</si>
  <si>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</si>
  <si>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</si>
  <si>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</si>
  <si>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</si>
  <si>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</si>
  <si>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</si>
  <si>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</si>
  <si>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</si>
  <si>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</si>
  <si>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</si>
  <si>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</si>
  <si>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</si>
  <si>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</si>
  <si>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</si>
  <si>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</si>
  <si>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</si>
  <si>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</si>
  <si>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</si>
  <si>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</si>
  <si>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</si>
  <si>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</si>
  <si>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</si>
  <si>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</si>
  <si>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</si>
  <si>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</si>
  <si>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</si>
  <si>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</si>
  <si>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</si>
  <si>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</si>
  <si>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</si>
  <si>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</si>
  <si>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</si>
  <si>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</si>
  <si>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</si>
  <si>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</si>
  <si>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</si>
  <si>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</si>
  <si>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</si>
  <si>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</si>
  <si>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</si>
  <si>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</si>
  <si>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</si>
  <si>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</si>
  <si>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</si>
  <si>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</si>
  <si>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</si>
  <si>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</si>
  <si>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</si>
  <si>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</si>
  <si>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</si>
  <si>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</si>
  <si>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</si>
  <si>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</si>
  <si>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</si>
  <si>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</si>
  <si>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</si>
  <si>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</si>
  <si>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</si>
  <si>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</si>
  <si>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</si>
  <si>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</si>
  <si>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</si>
  <si>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</si>
  <si>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</si>
  <si>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</si>
  <si>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</si>
  <si>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</si>
  <si>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</si>
  <si>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</si>
  <si>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</si>
  <si>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</si>
  <si>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</si>
  <si>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</si>
  <si>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</si>
  <si>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</si>
  <si>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</si>
  <si>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</si>
  <si>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</si>
  <si>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</si>
  <si>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</si>
  <si>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</si>
  <si>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</si>
  <si>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</si>
  <si>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</si>
  <si>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</si>
  <si>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</si>
  <si>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</si>
  <si>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</si>
  <si>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</si>
  <si>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</si>
  <si>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</si>
  <si>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</si>
  <si>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</si>
  <si>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</si>
  <si>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</si>
  <si>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</si>
  <si>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</si>
  <si>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</si>
  <si>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</si>
  <si>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</si>
  <si>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</si>
  <si>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</si>
  <si>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</si>
  <si>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</si>
  <si>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</si>
  <si>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</si>
  <si>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</si>
  <si>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</si>
  <si>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</si>
  <si>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</si>
  <si>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</si>
  <si>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</si>
  <si>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</si>
  <si>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</si>
  <si>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</si>
  <si>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</si>
  <si>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</si>
  <si>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</si>
  <si>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</si>
  <si>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</si>
  <si>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</si>
  <si>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</si>
  <si>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</si>
  <si>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</si>
  <si>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</si>
  <si>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</si>
  <si>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</si>
  <si>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</si>
  <si>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</si>
  <si>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</si>
  <si>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</si>
  <si>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</si>
  <si>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</si>
  <si>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</si>
  <si>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</si>
  <si>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</si>
  <si>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</si>
  <si>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</si>
  <si>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</si>
  <si>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</si>
  <si>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</si>
  <si>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</si>
  <si>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</si>
  <si>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</si>
  <si>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</si>
  <si>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</si>
  <si>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</si>
  <si>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</si>
  <si>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</si>
  <si>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</si>
  <si>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</si>
  <si>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</si>
  <si>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</si>
  <si>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</si>
  <si>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</si>
  <si>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</si>
  <si>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</si>
  <si>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</si>
  <si>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</si>
  <si>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</si>
  <si>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</si>
  <si>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</si>
  <si>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</si>
  <si>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</si>
  <si>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</si>
  <si>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</si>
  <si>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</si>
  <si>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</si>
  <si>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</si>
  <si>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</si>
  <si>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</si>
  <si>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</si>
  <si>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</si>
  <si>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</si>
  <si>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</si>
  <si>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</si>
  <si>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</si>
  <si>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</si>
  <si>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</si>
  <si>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</si>
  <si>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</si>
  <si>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</si>
  <si>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</si>
  <si>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</si>
  <si>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</si>
  <si>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</si>
  <si>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</si>
  <si>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</si>
  <si>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</si>
  <si>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</si>
  <si>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</si>
  <si>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</si>
  <si>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</si>
  <si>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</si>
  <si>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</si>
  <si>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</si>
  <si>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</si>
  <si>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</si>
  <si>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</si>
  <si>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</si>
  <si>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</si>
  <si>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</si>
  <si>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</si>
  <si>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</si>
  <si>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</si>
  <si>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</si>
  <si>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</si>
  <si>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</si>
  <si>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</si>
  <si>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</si>
  <si>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</si>
  <si>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</si>
  <si>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</si>
  <si>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</si>
  <si>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</si>
  <si>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</si>
  <si>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</si>
  <si>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</si>
  <si>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</si>
  <si>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</si>
  <si>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</si>
  <si>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</si>
  <si>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</si>
  <si>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</si>
  <si>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</si>
  <si>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</si>
  <si>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</si>
  <si>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</si>
  <si>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</si>
  <si>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</si>
  <si>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</si>
  <si>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</si>
  <si>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</si>
  <si>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</si>
  <si>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</si>
  <si>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</si>
  <si>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</si>
  <si>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</si>
  <si>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</si>
  <si>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</si>
  <si>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</si>
  <si>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</si>
  <si>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</si>
  <si>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</si>
  <si>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</si>
  <si>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</si>
  <si>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</si>
  <si>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</si>
  <si>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</si>
  <si>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</si>
  <si>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</si>
  <si>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</si>
  <si>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</si>
  <si>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</si>
  <si>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</si>
  <si>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</si>
  <si>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</si>
  <si>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</si>
  <si>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</si>
  <si>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</si>
  <si>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</si>
  <si>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</si>
  <si>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</si>
  <si>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</si>
  <si>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</si>
  <si>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</si>
  <si>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</si>
  <si>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</si>
  <si>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</si>
  <si>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</si>
  <si>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</si>
  <si>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</si>
  <si>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</si>
  <si>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</si>
  <si>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</si>
  <si>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</si>
  <si>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</si>
  <si>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</si>
  <si>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</si>
  <si>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</si>
  <si>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</si>
  <si>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</si>
  <si>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</si>
  <si>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</si>
  <si>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</si>
  <si>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</si>
  <si>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</si>
  <si>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</si>
  <si>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</si>
  <si>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</si>
  <si>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</si>
  <si>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</si>
  <si>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</si>
  <si>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</si>
  <si>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</si>
  <si>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</si>
  <si>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</si>
  <si>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</si>
  <si>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</si>
  <si>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</si>
  <si>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</si>
  <si>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</si>
  <si>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</si>
  <si>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</si>
  <si>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</si>
  <si>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</si>
  <si>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</si>
  <si>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</si>
  <si>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</si>
  <si>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</si>
  <si>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</si>
  <si>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</si>
  <si>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</si>
  <si>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</si>
  <si>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</si>
  <si>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</si>
  <si>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</si>
  <si>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</si>
  <si>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</si>
  <si>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</si>
  <si>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</si>
  <si>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</si>
  <si>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</si>
  <si>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</si>
  <si>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</si>
  <si>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</si>
  <si>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</si>
  <si>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</si>
  <si>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</si>
  <si>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</si>
  <si>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</si>
  <si>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</si>
  <si>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</si>
  <si>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</si>
  <si>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</si>
  <si>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</si>
  <si>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</si>
  <si>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</si>
  <si>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</si>
  <si>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</si>
  <si>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</si>
  <si>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</si>
  <si>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</si>
  <si>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</si>
  <si>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</si>
  <si>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</si>
  <si>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</si>
  <si>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</si>
  <si>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</si>
  <si>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</si>
  <si>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</si>
  <si>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</si>
  <si>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</si>
  <si>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</si>
  <si>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</si>
  <si>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</si>
  <si>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</si>
  <si>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</si>
  <si>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</si>
  <si>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</si>
  <si>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</si>
  <si>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</si>
  <si>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</si>
  <si>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</si>
  <si>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</si>
  <si>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</si>
  <si>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</si>
  <si>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</si>
  <si>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</si>
  <si>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</si>
  <si>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</si>
  <si>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</si>
  <si>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</si>
  <si>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</si>
  <si>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</si>
  <si>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</si>
  <si>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</si>
  <si>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</si>
  <si>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</si>
  <si>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</si>
  <si>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</si>
  <si>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</si>
  <si>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</si>
  <si>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</si>
  <si>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</si>
  <si>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</si>
  <si>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</si>
  <si>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</si>
  <si>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</si>
  <si>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</si>
  <si>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</si>
  <si>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</si>
  <si>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</si>
  <si>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</si>
  <si>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</si>
  <si>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</si>
  <si>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</si>
  <si>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</si>
  <si>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</si>
  <si>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</si>
  <si>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</si>
  <si>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</si>
  <si>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</si>
  <si>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</si>
  <si>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</si>
  <si>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</si>
  <si>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</si>
  <si>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</si>
  <si>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</si>
  <si>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</si>
  <si>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</si>
  <si>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</si>
  <si>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</si>
  <si>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</si>
  <si>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</si>
  <si>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</si>
  <si>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</si>
  <si>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</si>
  <si>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</si>
  <si>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</si>
  <si>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</si>
  <si>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</si>
  <si>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</si>
  <si>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</si>
  <si>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</si>
  <si>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</si>
  <si>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</si>
  <si>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</si>
  <si>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</si>
  <si>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</si>
  <si>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</si>
  <si>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</si>
  <si>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</si>
  <si>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</si>
  <si>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</si>
  <si>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</si>
  <si>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</si>
  <si>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</si>
  <si>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</si>
  <si>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</si>
  <si>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</si>
  <si>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</si>
  <si>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</si>
  <si>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</si>
  <si>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</si>
  <si>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</si>
  <si>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</si>
  <si>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</si>
  <si>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</si>
  <si>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</si>
  <si>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</si>
  <si>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</si>
  <si>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</si>
  <si>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</si>
  <si>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</si>
  <si>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</si>
  <si>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</si>
  <si>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</si>
  <si>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</si>
  <si>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</si>
  <si>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</si>
  <si>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</si>
  <si>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</si>
  <si>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</si>
  <si>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</si>
  <si>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</si>
  <si>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</si>
  <si>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</si>
  <si>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</si>
  <si>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</si>
  <si>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</si>
  <si>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</si>
  <si>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</si>
  <si>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</si>
  <si>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</si>
  <si>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</si>
  <si>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</si>
  <si>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</si>
  <si>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</si>
  <si>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</si>
  <si>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</si>
  <si>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</si>
  <si>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</si>
  <si>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</si>
  <si>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</si>
  <si>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</si>
  <si>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</si>
  <si>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</si>
  <si>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</si>
  <si>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</si>
  <si>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</si>
  <si>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</si>
  <si>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</si>
  <si>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</si>
  <si>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</si>
  <si>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</si>
  <si>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</si>
  <si>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</si>
  <si>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</si>
  <si>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</si>
  <si>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</si>
  <si>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</si>
  <si>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</si>
  <si>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</si>
  <si>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</si>
  <si>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</si>
  <si>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</si>
  <si>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</si>
  <si>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</si>
  <si>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</si>
  <si>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</si>
  <si>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</si>
  <si>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</si>
  <si>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</si>
  <si>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</si>
  <si>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</si>
  <si>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</si>
  <si>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</si>
  <si>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</si>
  <si>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</si>
  <si>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</si>
  <si>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</si>
  <si>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</si>
  <si>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</si>
  <si>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</si>
  <si>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</si>
  <si>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</si>
  <si>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</si>
  <si>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</si>
  <si>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</si>
  <si>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</si>
  <si>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</si>
  <si>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</si>
  <si>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</si>
  <si>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</si>
  <si>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</si>
  <si>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</si>
  <si>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</si>
  <si>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</si>
  <si>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</si>
  <si>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</si>
  <si>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</si>
  <si>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</si>
  <si>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</si>
  <si>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</si>
  <si>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</si>
  <si>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</si>
  <si>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</si>
  <si>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</si>
  <si>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</si>
  <si>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</si>
  <si>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</si>
  <si>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</si>
  <si>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</si>
  <si>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</si>
  <si>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</si>
  <si>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</si>
  <si>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</si>
  <si>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</si>
  <si>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</si>
  <si>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</si>
  <si>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</si>
  <si>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</si>
  <si>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</si>
  <si>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</si>
  <si>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</si>
  <si>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</si>
  <si>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</si>
  <si>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</si>
  <si>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</si>
  <si>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</si>
  <si>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</si>
  <si>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</si>
  <si>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</si>
  <si>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</si>
  <si>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</si>
  <si>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</si>
  <si>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</si>
  <si>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</si>
  <si>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</si>
  <si>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</si>
  <si>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</si>
  <si>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</si>
  <si>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</si>
  <si>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</si>
  <si>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</si>
  <si>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</si>
  <si>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</si>
  <si>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</si>
  <si>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</si>
  <si>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</si>
  <si>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</si>
  <si>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</si>
  <si>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</si>
  <si>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</si>
  <si>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</si>
  <si>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</si>
  <si>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</si>
  <si>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</si>
  <si>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</si>
  <si>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</si>
  <si>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</si>
  <si>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</si>
  <si>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</si>
  <si>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</si>
  <si>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</si>
  <si>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</si>
  <si>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</si>
  <si>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</si>
  <si>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</si>
  <si>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</si>
  <si>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</si>
  <si>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</si>
  <si>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</si>
  <si>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</si>
  <si>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</si>
  <si>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</si>
  <si>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</si>
  <si>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</si>
  <si>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</si>
  <si>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</si>
  <si>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</si>
  <si>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</si>
  <si>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</si>
  <si>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</si>
  <si>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</si>
  <si>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</si>
  <si>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</si>
  <si>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</si>
  <si>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</si>
  <si>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</si>
  <si>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</si>
  <si>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</si>
  <si>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</si>
  <si>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</si>
  <si>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</si>
  <si>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</si>
  <si>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</si>
  <si>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</si>
  <si>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</si>
  <si>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</si>
  <si>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</si>
  <si>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</si>
  <si>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</si>
  <si>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</si>
  <si>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</si>
  <si>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</si>
  <si>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</si>
  <si>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</si>
  <si>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</si>
  <si>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</si>
  <si>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</si>
  <si>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</si>
  <si>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</si>
  <si>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</si>
  <si>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</si>
  <si>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</si>
  <si>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</si>
  <si>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</si>
  <si>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</si>
  <si>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</si>
  <si>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</si>
  <si>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</si>
  <si>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</si>
  <si>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</si>
  <si>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</si>
  <si>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</si>
  <si>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</si>
  <si>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</si>
  <si>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</si>
  <si>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</si>
  <si>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</si>
  <si>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</si>
  <si>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</si>
  <si>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</si>
  <si>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</si>
  <si>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</si>
  <si>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</si>
  <si>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</si>
  <si>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</si>
  <si>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</si>
  <si>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</si>
  <si>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</si>
  <si>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</si>
  <si>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</si>
  <si>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</si>
  <si>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</si>
  <si>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</si>
  <si>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</si>
  <si>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</si>
  <si>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</si>
  <si>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</si>
  <si>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</si>
  <si>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</si>
  <si>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</si>
  <si>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</si>
  <si>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</si>
  <si>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</si>
  <si>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</si>
  <si>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</si>
  <si>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</si>
  <si>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</si>
  <si>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</si>
  <si>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</si>
  <si>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</si>
  <si>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</si>
  <si>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</si>
  <si>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</si>
  <si>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</si>
  <si>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</si>
  <si>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</si>
  <si>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</si>
  <si>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</si>
  <si>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</si>
  <si>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</si>
  <si>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</si>
  <si>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</si>
  <si>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</si>
  <si>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</si>
  <si>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</si>
  <si>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</si>
  <si>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</si>
  <si>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</si>
  <si>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</si>
  <si>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</si>
  <si>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</si>
  <si>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</si>
  <si>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</si>
  <si>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</si>
  <si>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</si>
  <si>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</si>
  <si>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</si>
  <si>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</si>
  <si>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</si>
  <si>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</si>
  <si>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</si>
  <si>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</si>
  <si>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</si>
  <si>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</si>
  <si>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</si>
  <si>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</si>
  <si>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</si>
  <si>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</si>
  <si>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</si>
  <si>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</si>
  <si>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</si>
  <si>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</si>
  <si>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</si>
  <si>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</si>
  <si>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</si>
  <si>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</si>
  <si>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</si>
  <si>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</si>
  <si>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</si>
  <si>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</si>
  <si>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</si>
  <si>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</si>
  <si>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</si>
  <si>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</si>
  <si>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</si>
  <si>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</si>
  <si>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</si>
  <si>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</si>
  <si>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</si>
  <si>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</si>
  <si>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</si>
  <si>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</si>
  <si>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</si>
  <si>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</si>
  <si>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</si>
  <si>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</si>
  <si>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</si>
  <si>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</si>
  <si>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</si>
  <si>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</si>
  <si>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</si>
  <si>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</si>
  <si>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</si>
  <si>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</si>
  <si>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</si>
  <si>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</si>
  <si>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</si>
  <si>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</si>
  <si>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</si>
  <si>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</si>
  <si>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</si>
  <si>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</si>
  <si>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</si>
  <si>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</si>
  <si>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</si>
  <si>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</si>
  <si>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</si>
  <si>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</si>
  <si>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</si>
  <si>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</si>
  <si>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</si>
  <si>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</si>
  <si>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</si>
  <si>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</si>
  <si>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</si>
  <si>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</si>
  <si>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</si>
  <si>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</si>
  <si>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</si>
  <si>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</si>
  <si>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</si>
  <si>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</si>
  <si>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</si>
  <si>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</si>
  <si>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</si>
  <si>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</si>
  <si>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</si>
  <si>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</si>
  <si>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</si>
  <si>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</si>
  <si>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</si>
  <si>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</si>
  <si>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</si>
  <si>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</si>
  <si>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</si>
  <si>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</si>
  <si>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</si>
  <si>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</si>
  <si>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</si>
  <si>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</si>
  <si>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</si>
  <si>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</si>
  <si>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</si>
  <si>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</si>
  <si>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</si>
  <si>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</si>
  <si>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</si>
  <si>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</si>
  <si>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</si>
  <si>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</si>
  <si>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</si>
  <si>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</si>
  <si>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</si>
  <si>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</si>
  <si>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</si>
  <si>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</si>
  <si>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</si>
  <si>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</si>
  <si>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</si>
  <si>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</si>
  <si>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</si>
  <si>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</si>
  <si>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</si>
  <si>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</si>
  <si>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</si>
  <si>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</si>
  <si>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</si>
  <si>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</si>
  <si>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</si>
  <si>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</si>
  <si>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</si>
  <si>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</si>
  <si>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</si>
  <si>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</si>
  <si>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</si>
  <si>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</si>
  <si>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</si>
  <si>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</si>
  <si>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</si>
  <si>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</si>
  <si>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</si>
  <si>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</si>
  <si>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</si>
  <si>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</si>
  <si>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</si>
  <si>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</si>
  <si>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</si>
  <si>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</si>
  <si>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</si>
  <si>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</si>
  <si>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</si>
  <si>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</si>
  <si>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</si>
  <si>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</si>
  <si>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</si>
  <si>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</si>
  <si>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</si>
  <si>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</si>
  <si>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</si>
  <si>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</si>
  <si>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</si>
  <si>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</si>
  <si>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</si>
  <si>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</si>
  <si>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</si>
  <si>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</si>
  <si>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</si>
  <si>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</si>
  <si>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</si>
  <si>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</si>
  <si>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</si>
  <si>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</si>
  <si>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</si>
  <si>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</si>
  <si>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</si>
  <si>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</si>
  <si>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</si>
  <si>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</si>
  <si>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</si>
  <si>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</si>
  <si>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</si>
  <si>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</si>
  <si>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</si>
  <si>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</si>
  <si>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</si>
  <si>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</si>
  <si>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</si>
  <si>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</si>
  <si>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</si>
  <si>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</si>
  <si>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</si>
  <si>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</si>
  <si>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</si>
  <si>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</si>
  <si>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</si>
  <si>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</si>
  <si>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</si>
  <si>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</si>
  <si>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</si>
  <si>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</si>
  <si>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</si>
  <si>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</si>
  <si>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</si>
  <si>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</si>
  <si>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</si>
  <si>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</si>
  <si>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</si>
  <si>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</si>
  <si>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</si>
  <si>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</si>
  <si>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</si>
  <si>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</si>
  <si>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</si>
  <si>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</si>
  <si>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</si>
  <si>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</si>
  <si>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</si>
  <si>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</si>
  <si>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</si>
  <si>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</si>
  <si>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</si>
  <si>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</si>
  <si>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</si>
  <si>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</si>
  <si>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</si>
  <si>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</si>
  <si>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</si>
  <si>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</si>
  <si>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</si>
  <si>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</si>
  <si>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</si>
  <si>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</si>
  <si>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</si>
  <si>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</si>
  <si>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</si>
  <si>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</si>
  <si>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</si>
  <si>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</si>
  <si>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</si>
  <si>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</si>
  <si>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</si>
  <si>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</si>
  <si>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</si>
  <si>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</si>
  <si>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</si>
  <si>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</si>
  <si>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</si>
  <si>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</si>
  <si>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</si>
  <si>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</si>
  <si>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</si>
  <si>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</si>
  <si>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</si>
  <si>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</si>
  <si>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</si>
  <si>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</si>
  <si>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</si>
  <si>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</si>
  <si>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</si>
  <si>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</si>
  <si>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</si>
  <si>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</si>
  <si>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</si>
  <si>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</si>
  <si>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</si>
  <si>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</si>
  <si>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</si>
  <si>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</si>
  <si>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</si>
  <si>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</si>
  <si>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</si>
  <si>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</si>
  <si>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</si>
  <si>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</si>
  <si>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</si>
  <si>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</si>
  <si>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</si>
  <si>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</si>
  <si>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</si>
  <si>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</si>
  <si>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</si>
  <si>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</si>
  <si>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</si>
  <si>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</si>
  <si>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</si>
  <si>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</si>
  <si>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</si>
  <si>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</si>
  <si>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</si>
  <si>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</si>
  <si>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</si>
  <si>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</si>
  <si>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</si>
  <si>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</si>
  <si>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</si>
  <si>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</si>
  <si>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</si>
  <si>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</si>
  <si>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</si>
  <si>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</si>
  <si>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</si>
  <si>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</si>
  <si>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</si>
  <si>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</si>
  <si>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</si>
  <si>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</si>
  <si>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</si>
  <si>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</si>
  <si>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</si>
  <si>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</si>
  <si>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</si>
  <si>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</si>
  <si>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</si>
  <si>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</si>
  <si>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</si>
  <si>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</si>
  <si>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</si>
  <si>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</si>
  <si>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</si>
  <si>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</si>
  <si>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</si>
  <si>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</si>
  <si>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</si>
  <si>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</si>
  <si>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</si>
  <si>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</si>
  <si>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</si>
  <si>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</si>
  <si>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</si>
  <si>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</si>
  <si>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</si>
  <si>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</si>
  <si>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</si>
  <si>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</si>
  <si>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</si>
  <si>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</si>
  <si>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</si>
  <si>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</si>
  <si>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</si>
  <si>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</si>
  <si>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</si>
  <si>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</si>
  <si>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</si>
  <si>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</si>
  <si>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</si>
  <si>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</si>
  <si>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</si>
  <si>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</si>
  <si>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</si>
  <si>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</si>
  <si>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</si>
  <si>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</si>
  <si>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</si>
  <si>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</si>
  <si>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</si>
  <si>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</si>
  <si>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</si>
  <si>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</si>
  <si>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</si>
  <si>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</si>
  <si>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</si>
  <si>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</si>
  <si>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</si>
  <si>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</si>
  <si>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</si>
  <si>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</si>
  <si>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</si>
  <si>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</si>
  <si>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</si>
  <si>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</si>
  <si>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</si>
  <si>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</si>
  <si>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</si>
  <si>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</si>
  <si>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</si>
  <si>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</si>
  <si>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</si>
  <si>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</si>
  <si>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</si>
  <si>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</si>
  <si>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</si>
  <si>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</si>
  <si>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</si>
  <si>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</si>
  <si>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</si>
  <si>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</si>
  <si>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</si>
  <si>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</si>
  <si>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</si>
  <si>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</si>
  <si>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</si>
  <si>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</si>
  <si>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</si>
  <si>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</si>
  <si>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</si>
  <si>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</si>
  <si>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</si>
  <si>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</si>
  <si>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</si>
  <si>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</si>
  <si>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</si>
  <si>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</si>
  <si>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</si>
  <si>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</si>
  <si>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</si>
  <si>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</si>
  <si>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</si>
  <si>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</si>
  <si>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</si>
  <si>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</si>
  <si>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</si>
  <si>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</si>
  <si>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</si>
  <si>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</si>
  <si>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</si>
  <si>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</si>
  <si>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</si>
  <si>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</si>
  <si>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</si>
  <si>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</si>
  <si>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</si>
  <si>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</si>
  <si>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</si>
  <si>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</si>
  <si>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</si>
  <si>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</si>
  <si>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</si>
  <si>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</si>
  <si>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</si>
  <si>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</si>
  <si>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</si>
  <si>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</si>
  <si>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</si>
  <si>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</si>
  <si>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</si>
  <si>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</si>
  <si>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</si>
  <si>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</si>
  <si>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</si>
  <si>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</si>
  <si>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</si>
  <si>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</si>
  <si>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</si>
  <si>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</si>
  <si>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</si>
  <si>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</si>
  <si>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</si>
  <si>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</si>
  <si>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</si>
  <si>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</si>
  <si>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</si>
  <si>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</si>
  <si>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</si>
  <si>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</si>
  <si>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</si>
  <si>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</si>
  <si>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</si>
  <si>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</si>
  <si>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</si>
  <si>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</si>
  <si>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</si>
  <si>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</si>
  <si>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</si>
  <si>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</si>
  <si>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</si>
  <si>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</si>
  <si>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</si>
  <si>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</si>
  <si>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</si>
  <si>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</si>
  <si>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</si>
  <si>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</si>
  <si>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</si>
  <si>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</si>
  <si>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</si>
  <si>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</si>
  <si>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</si>
  <si>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</si>
  <si>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</si>
  <si>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</si>
  <si>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</si>
  <si>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</si>
  <si>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</si>
  <si>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</si>
  <si>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</si>
  <si>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</si>
  <si>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</si>
  <si>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</si>
  <si>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</si>
  <si>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</si>
  <si>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</si>
  <si>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</si>
  <si>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</si>
  <si>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</si>
  <si>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</si>
  <si>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</si>
  <si>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</si>
  <si>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</si>
  <si>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</si>
  <si>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</si>
  <si>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</si>
  <si>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</si>
  <si>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</si>
  <si>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</si>
  <si>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</si>
  <si>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</si>
  <si>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</si>
  <si>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</si>
  <si>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</si>
  <si>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</si>
  <si>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</si>
  <si>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</si>
  <si>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</si>
  <si>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</si>
  <si>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</si>
  <si>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</si>
  <si>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</si>
  <si>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</si>
  <si>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</si>
  <si>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</si>
  <si>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</si>
  <si>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</si>
  <si>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</si>
  <si>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</si>
  <si>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</si>
  <si>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</si>
  <si>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</si>
  <si>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</si>
  <si>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</si>
  <si>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</si>
  <si>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</si>
  <si>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</si>
  <si>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</si>
  <si>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</si>
  <si>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</si>
  <si>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</si>
  <si>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</si>
  <si>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</si>
  <si>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</si>
  <si>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</si>
  <si>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</si>
  <si>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</si>
  <si>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</si>
  <si>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</si>
  <si>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</si>
  <si>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</si>
  <si>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</si>
  <si>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</si>
  <si>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</si>
  <si>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</si>
  <si>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</si>
  <si>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</si>
  <si>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</si>
  <si>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</si>
  <si>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</si>
  <si>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</si>
  <si>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</si>
  <si>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</si>
  <si>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</si>
  <si>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</si>
  <si>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</si>
  <si>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</si>
  <si>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</si>
  <si>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</si>
  <si>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</si>
  <si>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</si>
  <si>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</si>
  <si>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</si>
  <si>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</si>
  <si>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</si>
  <si>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</si>
  <si>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</si>
  <si>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</si>
  <si>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</si>
  <si>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</si>
  <si>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</si>
  <si>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</si>
  <si>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</si>
  <si>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</si>
  <si>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</si>
  <si>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</si>
  <si>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</si>
  <si>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</si>
  <si>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</si>
  <si>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</si>
  <si>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</si>
  <si>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</si>
  <si>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</si>
  <si>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</si>
  <si>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</si>
  <si>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</si>
  <si>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</si>
  <si>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</si>
  <si>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</si>
  <si>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</si>
  <si>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</si>
  <si>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</si>
  <si>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</si>
  <si>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</si>
  <si>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</si>
  <si>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</si>
  <si>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</si>
  <si>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</si>
  <si>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</si>
  <si>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</si>
  <si>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</si>
  <si>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</si>
  <si>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</si>
  <si>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</si>
  <si>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</si>
  <si>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</si>
  <si>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</si>
  <si>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</si>
  <si>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</si>
  <si>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</si>
  <si>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</si>
  <si>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</si>
  <si>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</si>
  <si>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</si>
  <si>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</si>
  <si>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</si>
  <si>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</si>
  <si>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</si>
  <si>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</si>
  <si>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</si>
  <si>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</si>
  <si>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</si>
  <si>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</si>
  <si>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</si>
  <si>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</si>
  <si>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</si>
  <si>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</si>
  <si>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</si>
  <si>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</si>
  <si>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</si>
  <si>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</si>
  <si>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</si>
  <si>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</si>
  <si>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</si>
  <si>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</si>
  <si>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</si>
  <si>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</si>
  <si>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</si>
  <si>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</si>
  <si>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</si>
  <si>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</si>
  <si>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</si>
  <si>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</si>
  <si>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</si>
  <si>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</si>
  <si>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</si>
  <si>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</si>
  <si>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</si>
  <si>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</si>
  <si>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</si>
  <si>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</si>
  <si>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</si>
  <si>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</si>
  <si>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</si>
  <si>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</si>
  <si>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</si>
  <si>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</si>
  <si>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</si>
  <si>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</si>
  <si>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</si>
  <si>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</si>
  <si>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</si>
  <si>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</si>
  <si>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</si>
  <si>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</si>
  <si>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</si>
  <si>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</si>
  <si>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</si>
  <si>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</si>
  <si>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</si>
  <si>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</si>
  <si>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</si>
  <si>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</si>
  <si>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</si>
  <si>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</si>
  <si>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</si>
  <si>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</si>
  <si>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</si>
  <si>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</si>
  <si>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</si>
  <si>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</si>
  <si>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</si>
  <si>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</si>
  <si>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</si>
  <si>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</si>
  <si>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</si>
  <si>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</si>
  <si>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</si>
  <si>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</si>
  <si>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</si>
  <si>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</si>
  <si>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</si>
  <si>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</si>
  <si>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</si>
  <si>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</si>
  <si>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</si>
  <si>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</si>
  <si>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</si>
  <si>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</si>
  <si>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</si>
  <si>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</si>
  <si>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</si>
  <si>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</si>
  <si>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</si>
  <si>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</si>
  <si>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</si>
  <si>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</si>
  <si>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</si>
  <si>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</si>
  <si>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</si>
  <si>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</si>
  <si>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</si>
  <si>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</si>
  <si>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</si>
  <si>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</si>
  <si>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</si>
  <si>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</si>
  <si>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</si>
  <si>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</si>
  <si>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</si>
  <si>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</si>
  <si>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</si>
  <si>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</si>
  <si>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</si>
  <si>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</si>
  <si>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</si>
  <si>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</si>
  <si>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</si>
  <si>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</si>
  <si>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</si>
  <si>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</si>
  <si>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</si>
  <si>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</si>
  <si>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</si>
  <si>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</si>
  <si>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</si>
  <si>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</si>
  <si>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</si>
  <si>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</si>
  <si>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</si>
  <si>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</si>
  <si>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</si>
  <si>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</si>
  <si>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</si>
  <si>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</si>
  <si>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</si>
  <si>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</si>
  <si>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</si>
  <si>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</si>
  <si>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</si>
  <si>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</si>
  <si>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</si>
  <si>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</si>
  <si>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</si>
  <si>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</si>
  <si>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</si>
  <si>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</si>
  <si>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</si>
  <si>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</si>
  <si>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</si>
  <si>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</si>
  <si>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</si>
  <si>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</si>
  <si>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</si>
  <si>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</si>
  <si>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</si>
  <si>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</si>
  <si>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</si>
  <si>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</si>
  <si>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</si>
  <si>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</si>
  <si>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</si>
  <si>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</si>
  <si>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</si>
  <si>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</si>
  <si>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</si>
  <si>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</si>
  <si>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</si>
  <si>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</si>
  <si>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</si>
  <si>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</si>
  <si>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</si>
  <si>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</si>
  <si>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</si>
  <si>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</si>
  <si>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</si>
  <si>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</si>
  <si>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</si>
  <si>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</si>
  <si>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</si>
  <si>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</si>
  <si>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</si>
  <si>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</si>
  <si>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</si>
  <si>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</si>
  <si>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</si>
  <si>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</si>
  <si>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</si>
  <si>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</si>
  <si>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</si>
  <si>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</si>
  <si>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</si>
  <si>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</si>
  <si>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</si>
  <si>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</si>
  <si>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</si>
  <si>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</si>
  <si>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</si>
  <si>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</si>
  <si>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</si>
  <si>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</si>
  <si>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</si>
  <si>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</si>
  <si>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</si>
  <si>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</si>
  <si>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</si>
  <si>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</si>
  <si>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</si>
  <si>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</si>
  <si>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</si>
  <si>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</si>
  <si>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</si>
  <si>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</si>
  <si>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</si>
  <si>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</si>
  <si>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</si>
  <si>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</si>
  <si>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</si>
  <si>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</si>
  <si>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</si>
  <si>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</si>
  <si>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</si>
  <si>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</si>
  <si>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</si>
  <si>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</si>
  <si>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</si>
  <si>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</si>
  <si>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</si>
  <si>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</si>
  <si>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</si>
  <si>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</si>
  <si>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</si>
  <si>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</si>
  <si>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</si>
  <si>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</si>
  <si>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</si>
  <si>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</si>
  <si>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</si>
  <si>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</si>
  <si>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</si>
  <si>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</si>
  <si>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</si>
  <si>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</si>
  <si>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</si>
  <si>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</si>
  <si>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</si>
  <si>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</si>
  <si>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</si>
  <si>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</si>
  <si>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</si>
  <si>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</si>
  <si>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</si>
  <si>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</si>
  <si>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</si>
  <si>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</si>
  <si>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</si>
  <si>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</si>
  <si>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</si>
  <si>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</si>
  <si>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</si>
  <si>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</si>
  <si>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</si>
  <si>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</si>
  <si>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</si>
  <si>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</si>
  <si>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</si>
  <si>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</si>
  <si>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</si>
  <si>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</si>
  <si>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</si>
  <si>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</si>
  <si>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</si>
  <si>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</si>
  <si>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</si>
  <si>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</si>
  <si>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</si>
  <si>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</si>
  <si>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</si>
  <si>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</si>
  <si>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</si>
  <si>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</si>
  <si>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</si>
  <si>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</si>
  <si>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</si>
  <si>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</si>
  <si>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</si>
  <si>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</si>
  <si>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</si>
  <si>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</si>
  <si>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</si>
  <si>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</si>
  <si>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</si>
  <si>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</si>
  <si>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</si>
  <si>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</si>
  <si>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</si>
  <si>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</si>
  <si>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</si>
  <si>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</si>
  <si>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</si>
  <si>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</si>
  <si>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</si>
  <si>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</si>
  <si>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</si>
  <si>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</si>
  <si>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</si>
  <si>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</si>
  <si>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</si>
  <si>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</si>
  <si>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</si>
  <si>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</si>
  <si>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</si>
  <si>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</si>
  <si>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</si>
  <si>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</si>
  <si>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</si>
  <si>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</si>
  <si>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</si>
  <si>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</si>
  <si>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</si>
  <si>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</si>
  <si>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</si>
  <si>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</si>
  <si>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</si>
  <si>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</si>
  <si>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</si>
  <si>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</si>
  <si>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</si>
  <si>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</si>
  <si>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</si>
  <si>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</si>
  <si>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</si>
  <si>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</si>
  <si>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</si>
  <si>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</si>
  <si>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</si>
  <si>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</si>
  <si>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</si>
  <si>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</si>
  <si>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</si>
  <si>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</si>
  <si>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</si>
  <si>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</si>
  <si>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</si>
  <si>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</si>
  <si>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</si>
  <si>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</si>
  <si>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</si>
  <si>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</si>
  <si>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</si>
  <si>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</si>
  <si>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</si>
  <si>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</si>
  <si>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</si>
  <si>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</si>
  <si>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</si>
  <si>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</si>
  <si>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</si>
  <si>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</si>
  <si>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</si>
  <si>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</si>
  <si>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</si>
  <si>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</si>
  <si>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</si>
  <si>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</si>
  <si>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</si>
  <si>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</si>
  <si>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</si>
  <si>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</si>
  <si>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</si>
  <si>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</si>
  <si>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</si>
  <si>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</si>
  <si>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</si>
  <si>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</si>
  <si>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</si>
  <si>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</si>
  <si>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</si>
  <si>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</si>
  <si>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</si>
  <si>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</si>
  <si>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</si>
  <si>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</si>
  <si>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</si>
  <si>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</si>
  <si>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</si>
  <si>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</si>
  <si>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</si>
  <si>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</si>
  <si>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</si>
  <si>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</si>
  <si>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</si>
  <si>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</si>
  <si>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</si>
  <si>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</si>
  <si>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</si>
  <si>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</si>
  <si>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</si>
  <si>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</si>
  <si>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</si>
  <si>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</si>
  <si>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</si>
  <si>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</si>
  <si>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</si>
  <si>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</si>
  <si>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</si>
  <si>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</si>
  <si>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</si>
  <si>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</si>
  <si>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</si>
  <si>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</si>
  <si>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</si>
  <si>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</si>
  <si>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</si>
  <si>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</si>
  <si>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</si>
  <si>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</si>
  <si>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</si>
  <si>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</si>
  <si>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</si>
  <si>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</si>
  <si>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</si>
  <si>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</si>
  <si>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</si>
  <si>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</si>
  <si>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</si>
  <si>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</si>
  <si>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</si>
  <si>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</si>
  <si>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</si>
  <si>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</si>
  <si>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</si>
  <si>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</si>
  <si>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</si>
  <si>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</si>
  <si>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</si>
  <si>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</si>
  <si>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</si>
  <si>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</si>
  <si>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</si>
  <si>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</si>
  <si>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</si>
  <si>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</si>
  <si>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</si>
  <si>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</si>
  <si>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</si>
  <si>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</si>
  <si>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</si>
  <si>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</si>
  <si>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</si>
  <si>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</si>
  <si>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</si>
  <si>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</si>
  <si>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</si>
  <si>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</si>
  <si>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</si>
  <si>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</si>
  <si>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</si>
  <si>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</si>
  <si>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</si>
  <si>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</si>
  <si>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</si>
  <si>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</si>
  <si>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</si>
  <si>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</si>
  <si>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</si>
  <si>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</si>
  <si>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</si>
  <si>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</si>
  <si>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</si>
  <si>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</si>
  <si>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</si>
  <si>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</si>
  <si>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</si>
  <si>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</si>
  <si>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</si>
  <si>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</si>
  <si>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</si>
  <si>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</si>
  <si>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</si>
  <si>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</si>
  <si>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</si>
  <si>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</si>
  <si>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</si>
  <si>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</si>
  <si>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</si>
  <si>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</si>
  <si>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</si>
  <si>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</si>
  <si>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</si>
  <si>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</si>
  <si>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</si>
  <si>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</si>
  <si>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</si>
  <si>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</si>
  <si>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</si>
  <si>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</si>
  <si>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</si>
  <si>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</si>
  <si>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</si>
  <si>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</si>
  <si>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</si>
  <si>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</si>
  <si>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</si>
  <si>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</si>
  <si>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</si>
  <si>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</si>
  <si>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</si>
  <si>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</si>
  <si>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</si>
  <si>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</si>
  <si>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</si>
  <si>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</si>
  <si>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</si>
  <si>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</si>
  <si>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</si>
  <si>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</si>
  <si>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</si>
  <si>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</si>
  <si>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</si>
  <si>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</si>
  <si>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</si>
  <si>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</si>
  <si>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</si>
  <si>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</si>
  <si>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</si>
  <si>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</si>
  <si>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</si>
  <si>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</si>
  <si>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</si>
  <si>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</si>
  <si>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</si>
  <si>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</si>
  <si>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</si>
  <si>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</si>
  <si>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</si>
  <si>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</si>
  <si>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</si>
  <si>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</si>
  <si>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</si>
  <si>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</si>
  <si>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</si>
  <si>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</si>
  <si>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</si>
  <si>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</si>
  <si>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</si>
  <si>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</si>
  <si>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</si>
  <si>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</si>
  <si>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</si>
  <si>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</si>
  <si>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</si>
  <si>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</si>
  <si>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</si>
  <si>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</si>
  <si>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</si>
  <si>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</si>
  <si>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</si>
  <si>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</si>
  <si>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</si>
  <si>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</si>
  <si>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</si>
  <si>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</si>
  <si>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</si>
  <si>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</si>
  <si>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</si>
  <si>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</si>
  <si>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</si>
  <si>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</si>
  <si>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</si>
  <si>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</si>
  <si>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</si>
  <si>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</si>
  <si>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</si>
  <si>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</si>
  <si>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</si>
  <si>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</si>
  <si>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</si>
  <si>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</si>
  <si>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</si>
  <si>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</si>
  <si>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</si>
  <si>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</si>
  <si>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</si>
  <si>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</si>
  <si>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</si>
  <si>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</si>
  <si>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</si>
  <si>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</si>
  <si>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</si>
  <si>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</si>
  <si>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</si>
  <si>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</si>
  <si>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</si>
  <si>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</si>
  <si>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</si>
  <si>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</si>
  <si>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</si>
  <si>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</si>
  <si>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</si>
  <si>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</si>
  <si>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</si>
  <si>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</si>
  <si>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</si>
  <si>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</si>
  <si>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</si>
  <si>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</si>
  <si>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</si>
  <si>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</si>
  <si>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</si>
  <si>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</si>
  <si>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</si>
  <si>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</si>
  <si>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</si>
  <si>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</si>
  <si>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</si>
  <si>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</si>
  <si>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</si>
  <si>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</si>
  <si>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</si>
  <si>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</si>
  <si>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</si>
  <si>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</si>
  <si>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</si>
  <si>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</si>
  <si>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</si>
  <si>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</si>
  <si>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</si>
  <si>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</si>
  <si>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</si>
  <si>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</si>
  <si>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</si>
  <si>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</si>
  <si>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</si>
  <si>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</si>
  <si>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</si>
  <si>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</si>
  <si>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</si>
  <si>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</si>
  <si>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</si>
  <si>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</si>
  <si>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</si>
  <si>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</si>
  <si>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</si>
  <si>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</si>
  <si>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</si>
  <si>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</si>
  <si>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</si>
  <si>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</si>
  <si>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</si>
  <si>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</si>
  <si>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</si>
  <si>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</si>
  <si>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</si>
  <si>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</si>
  <si>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</si>
  <si>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</si>
  <si>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</si>
  <si>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</si>
  <si>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</si>
  <si>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</si>
  <si>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</si>
  <si>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</si>
  <si>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</si>
  <si>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</si>
  <si>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</si>
  <si>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</si>
  <si>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</si>
  <si>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</si>
  <si>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</si>
  <si>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</si>
  <si>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</si>
  <si>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</si>
  <si>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</si>
  <si>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</si>
  <si>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</si>
  <si>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</si>
  <si>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</si>
  <si>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</si>
  <si>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</si>
  <si>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</si>
  <si>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</si>
  <si>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</si>
  <si>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</si>
  <si>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</si>
  <si>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</si>
  <si>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</si>
  <si>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</si>
  <si>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</si>
  <si>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</si>
  <si>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</si>
  <si>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</si>
  <si>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</si>
  <si>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</si>
  <si>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</si>
  <si>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</si>
  <si>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</si>
  <si>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</si>
  <si>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</si>
  <si>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</si>
  <si>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</si>
  <si>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</si>
  <si>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</si>
  <si>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</si>
  <si>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</si>
  <si>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</si>
  <si>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</si>
  <si>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</si>
  <si>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</si>
  <si>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</si>
  <si>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</si>
  <si>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</si>
  <si>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</si>
  <si>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</si>
  <si>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</si>
  <si>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</si>
  <si>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</si>
  <si>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</si>
  <si>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</si>
  <si>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</si>
  <si>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</si>
  <si>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</si>
  <si>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</si>
  <si>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</si>
  <si>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</si>
  <si>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</si>
  <si>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</si>
  <si>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</si>
  <si>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</si>
  <si>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</si>
  <si>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</si>
  <si>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</si>
  <si>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</si>
  <si>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</si>
  <si>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</si>
  <si>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</si>
  <si>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</si>
  <si>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</si>
  <si>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</si>
  <si>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</si>
  <si>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</si>
  <si>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</si>
  <si>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</si>
  <si>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</si>
  <si>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</si>
  <si>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</si>
  <si>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</si>
  <si>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</si>
  <si>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</si>
  <si>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</si>
  <si>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</si>
  <si>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</si>
  <si>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</si>
  <si>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</si>
  <si>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</si>
  <si>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</si>
  <si>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</si>
  <si>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</si>
  <si>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</si>
  <si>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</si>
  <si>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</si>
  <si>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</si>
  <si>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</si>
  <si>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</si>
  <si>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</si>
  <si>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</si>
  <si>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</si>
  <si>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</si>
  <si>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</si>
  <si>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</si>
  <si>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</si>
  <si>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</si>
  <si>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</si>
  <si>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</si>
  <si>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</si>
  <si>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</si>
  <si>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</si>
  <si>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</si>
  <si>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</si>
  <si>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</si>
  <si>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</si>
  <si>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</si>
  <si>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</si>
  <si>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</si>
  <si>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</si>
  <si>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</si>
  <si>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</si>
  <si>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</si>
  <si>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</si>
  <si>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</si>
  <si>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</si>
  <si>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</si>
  <si>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</si>
  <si>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</si>
  <si>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</si>
  <si>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</si>
  <si>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</si>
  <si>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</si>
  <si>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</si>
  <si>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</si>
  <si>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</si>
  <si>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</si>
  <si>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</si>
  <si>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</si>
  <si>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</si>
  <si>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</si>
  <si>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</si>
  <si>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</si>
  <si>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</si>
  <si>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</si>
  <si>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</si>
  <si>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</si>
  <si>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</si>
  <si>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</si>
  <si>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</si>
  <si>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</si>
  <si>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</si>
  <si>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</si>
  <si>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</si>
  <si>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</si>
  <si>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</si>
  <si>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</si>
  <si>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</si>
  <si>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</si>
  <si>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</si>
  <si>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</si>
  <si>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</si>
  <si>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</si>
  <si>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</si>
  <si>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</si>
  <si>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</si>
  <si>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</si>
  <si>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</si>
  <si>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</si>
  <si>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</si>
  <si>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</si>
  <si>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</si>
  <si>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</si>
  <si>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</si>
  <si>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</si>
  <si>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</si>
  <si>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</si>
  <si>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</si>
  <si>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</si>
  <si>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</si>
  <si>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</si>
  <si>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</si>
  <si>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</si>
  <si>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</si>
  <si>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</si>
  <si>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</si>
  <si>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</si>
  <si>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</si>
  <si>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</si>
  <si>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</si>
  <si>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</si>
  <si>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</si>
  <si>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</si>
  <si>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</si>
  <si>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</si>
  <si>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</si>
  <si>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</si>
  <si>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</si>
  <si>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</si>
  <si>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</si>
  <si>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</si>
  <si>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</si>
  <si>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</si>
  <si>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</si>
  <si>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</si>
  <si>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</si>
  <si>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</si>
  <si>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</si>
  <si>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</si>
  <si>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</si>
  <si>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</si>
  <si>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</si>
  <si>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</si>
  <si>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</si>
  <si>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</si>
  <si>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</si>
  <si>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</si>
  <si>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</si>
  <si>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</si>
  <si>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</si>
  <si>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</si>
  <si>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</si>
  <si>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</si>
  <si>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</si>
  <si>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</si>
  <si>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</si>
  <si>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</si>
  <si>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</si>
  <si>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</si>
  <si>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</si>
  <si>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</si>
  <si>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</si>
  <si>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</si>
  <si>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</si>
  <si>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</si>
  <si>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</si>
  <si>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</si>
  <si>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</si>
  <si>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</si>
  <si>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</si>
  <si>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</si>
  <si>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</si>
  <si>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</si>
  <si>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</si>
  <si>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</si>
  <si>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</si>
  <si>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</si>
  <si>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</si>
  <si>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</si>
  <si>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</si>
  <si>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</si>
  <si>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</si>
  <si>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</si>
  <si>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</si>
  <si>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</si>
  <si>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</si>
  <si>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</si>
  <si>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</si>
  <si>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</si>
  <si>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</si>
  <si>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</si>
  <si>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</si>
  <si>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</si>
  <si>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</si>
  <si>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</si>
  <si>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</si>
  <si>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</si>
  <si>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</si>
  <si>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</si>
  <si>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</si>
  <si>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</si>
  <si>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</si>
  <si>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</si>
  <si>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</si>
  <si>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</si>
  <si>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</si>
  <si>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</si>
  <si>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</si>
  <si>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</si>
  <si>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</si>
  <si>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</si>
  <si>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</si>
  <si>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</si>
  <si>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</si>
  <si>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</si>
  <si>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</si>
  <si>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</si>
  <si>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</si>
  <si>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</si>
  <si>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</si>
  <si>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</si>
  <si>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</si>
  <si>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</si>
  <si>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</si>
  <si>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</si>
  <si>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</si>
  <si>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</si>
  <si>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</si>
  <si>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</si>
  <si>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</si>
  <si>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</si>
  <si>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</si>
  <si>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</si>
  <si>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</si>
  <si>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</si>
  <si>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</si>
  <si>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</si>
  <si>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</si>
  <si>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</si>
  <si>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</si>
  <si>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</si>
  <si>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</si>
  <si>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</si>
  <si>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</si>
  <si>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</si>
  <si>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</si>
  <si>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</si>
  <si>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</si>
  <si>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</si>
  <si>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</si>
  <si>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</si>
  <si>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</si>
  <si>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</si>
  <si>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</si>
  <si>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</si>
  <si>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</si>
  <si>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</si>
  <si>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</si>
  <si>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</si>
  <si>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</si>
  <si>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</si>
  <si>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</si>
  <si>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</si>
  <si>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</si>
  <si>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</si>
  <si>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</si>
  <si>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</si>
  <si>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</si>
  <si>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</si>
  <si>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</si>
  <si>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</si>
  <si>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</si>
  <si>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</si>
  <si>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</si>
  <si>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</si>
  <si>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</si>
  <si>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</si>
  <si>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</si>
  <si>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</si>
  <si>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</si>
  <si>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</si>
  <si>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</si>
  <si>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</si>
  <si>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</si>
  <si>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</si>
  <si>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</si>
  <si>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</si>
  <si>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</si>
  <si>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</si>
  <si>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</si>
  <si>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</si>
  <si>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</si>
  <si>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</si>
  <si>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</si>
  <si>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</si>
  <si>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</si>
  <si>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</si>
  <si>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</si>
  <si>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</si>
  <si>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</si>
  <si>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</si>
  <si>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</si>
  <si>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</si>
  <si>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</si>
  <si>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</si>
  <si>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</si>
  <si>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</si>
  <si>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</si>
  <si>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</si>
  <si>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</si>
  <si>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</si>
  <si>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</si>
  <si>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</si>
  <si>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</si>
  <si>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</si>
  <si>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</si>
  <si>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</si>
  <si>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</si>
  <si>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</si>
  <si>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</si>
  <si>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</si>
  <si>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</si>
  <si>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</si>
  <si>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</si>
  <si>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</si>
  <si>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</si>
  <si>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</si>
  <si>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</si>
  <si>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</si>
  <si>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</si>
  <si>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</si>
  <si>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</si>
  <si>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</si>
  <si>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</si>
  <si>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</si>
  <si>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</si>
  <si>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</si>
  <si>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</si>
  <si>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</si>
  <si>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</si>
  <si>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</si>
  <si>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</si>
  <si>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</si>
  <si>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</si>
  <si>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</si>
  <si>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</si>
  <si>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</si>
  <si>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</si>
  <si>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</si>
  <si>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</si>
  <si>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</si>
  <si>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</si>
  <si>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</si>
  <si>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</si>
  <si>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</si>
  <si>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</si>
  <si>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</si>
  <si>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</si>
  <si>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</si>
  <si>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</si>
  <si>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</si>
  <si>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</si>
  <si>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</si>
  <si>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</si>
  <si>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</si>
  <si>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</si>
  <si>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</si>
  <si>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</si>
  <si>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</si>
  <si>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</si>
  <si>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</si>
  <si>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</si>
  <si>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</si>
  <si>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</si>
  <si>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</si>
  <si>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</si>
  <si>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</si>
  <si>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</si>
  <si>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</si>
  <si>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</si>
  <si>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</si>
  <si>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</si>
  <si>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</si>
  <si>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</si>
  <si>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</si>
  <si>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</si>
  <si>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</si>
  <si>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</si>
  <si>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</si>
  <si>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</si>
  <si>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</si>
  <si>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</si>
  <si>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</si>
  <si>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</si>
  <si>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</si>
  <si>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</si>
  <si>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</si>
  <si>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</si>
  <si>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</si>
  <si>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</si>
  <si>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</si>
  <si>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</si>
  <si>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</si>
  <si>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</si>
  <si>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</si>
  <si>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</si>
  <si>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</si>
  <si>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</si>
  <si>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</si>
  <si>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</si>
  <si>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</si>
  <si>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</si>
  <si>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</si>
  <si>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</si>
  <si>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</si>
  <si>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</si>
  <si>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</si>
  <si>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</si>
  <si>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</si>
  <si>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</si>
  <si>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</si>
  <si>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</si>
  <si>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</si>
  <si>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</si>
  <si>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</si>
  <si>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</si>
  <si>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</si>
  <si>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</si>
  <si>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</si>
  <si>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</si>
  <si>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</si>
  <si>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</si>
  <si>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</si>
  <si>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</si>
  <si>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</si>
  <si>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</si>
  <si>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</si>
  <si>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</si>
  <si>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</si>
  <si>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</si>
  <si>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</si>
  <si>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</si>
  <si>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</si>
  <si>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</si>
  <si>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</si>
  <si>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</si>
  <si>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</si>
  <si>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</si>
  <si>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</si>
  <si>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</si>
  <si>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</si>
  <si>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</si>
  <si>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</si>
  <si>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</si>
  <si>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</si>
  <si>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</si>
  <si>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</si>
  <si>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</si>
  <si>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</si>
  <si>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</si>
  <si>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</si>
  <si>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</si>
  <si>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</si>
  <si>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</si>
  <si>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</si>
  <si>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</si>
  <si>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</si>
  <si>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</si>
  <si>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</si>
  <si>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</si>
  <si>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</si>
  <si>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</si>
  <si>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</si>
  <si>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</si>
  <si>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</si>
  <si>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</si>
  <si>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</si>
  <si>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</si>
  <si>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</si>
  <si>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</si>
  <si>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</si>
  <si>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</si>
  <si>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</si>
  <si>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</si>
  <si>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</si>
  <si>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</si>
  <si>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</si>
  <si>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</si>
  <si>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</si>
  <si>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</si>
  <si>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</si>
  <si>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</si>
  <si>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</si>
  <si>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</si>
  <si>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</si>
  <si>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</si>
  <si>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</si>
  <si>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</si>
  <si>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</si>
  <si>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</si>
  <si>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</si>
  <si>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</si>
  <si>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</si>
  <si>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</si>
  <si>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</si>
  <si>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</si>
  <si>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</si>
  <si>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</si>
  <si>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</si>
  <si>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</si>
  <si>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</si>
  <si>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</si>
  <si>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</si>
  <si>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</si>
  <si>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</si>
  <si>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</si>
  <si>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</si>
  <si>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</si>
  <si>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</si>
  <si>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</si>
  <si>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</si>
  <si>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</si>
  <si>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</si>
  <si>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</si>
  <si>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</si>
  <si>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</si>
  <si>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</si>
  <si>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</si>
  <si>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</si>
  <si>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</si>
  <si>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</si>
  <si>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</si>
  <si>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</si>
  <si>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</si>
  <si>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</si>
  <si>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</si>
  <si>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</si>
  <si>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</si>
  <si>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</si>
  <si>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</si>
  <si>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</si>
  <si>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</si>
  <si>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</si>
  <si>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</si>
  <si>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</si>
  <si>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</si>
  <si>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</si>
  <si>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</si>
  <si>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</si>
  <si>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</si>
  <si>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</si>
  <si>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</si>
  <si>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</si>
  <si>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</si>
  <si>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</si>
  <si>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</si>
  <si>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</si>
  <si>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</si>
  <si>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</si>
  <si>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</si>
  <si>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</si>
  <si>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</si>
  <si>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</si>
  <si>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</si>
  <si>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</si>
  <si>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</si>
  <si>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</si>
  <si>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</si>
  <si>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</si>
  <si>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</si>
  <si>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</si>
  <si>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</si>
  <si>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</si>
  <si>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</si>
  <si>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</si>
  <si>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</si>
  <si>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</si>
  <si>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</si>
  <si>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</si>
  <si>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</si>
  <si>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</si>
  <si>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</si>
  <si>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</si>
  <si>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</si>
  <si>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</si>
  <si>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</si>
  <si>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</si>
  <si>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</si>
  <si>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</si>
  <si>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</si>
  <si>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</si>
  <si>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</si>
  <si>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</si>
  <si>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</si>
  <si>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</si>
  <si>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</si>
  <si>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</si>
  <si>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</si>
  <si>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</si>
  <si>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</si>
  <si>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</si>
  <si>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</si>
  <si>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</si>
  <si>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</si>
  <si>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</si>
  <si>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</si>
  <si>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</si>
  <si>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</si>
  <si>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</si>
  <si>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</si>
  <si>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</si>
  <si>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</si>
  <si>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</si>
  <si>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</si>
  <si>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</si>
  <si>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</si>
  <si>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</si>
  <si>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</si>
  <si>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</si>
  <si>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</si>
  <si>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</si>
  <si>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</si>
  <si>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</si>
  <si>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</si>
  <si>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</si>
  <si>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</si>
  <si>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</si>
  <si>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</si>
  <si>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</si>
  <si>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</si>
  <si>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</si>
  <si>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</si>
  <si>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</si>
  <si>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</si>
  <si>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</si>
  <si>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</si>
  <si>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</si>
  <si>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</si>
  <si>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</si>
  <si>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</si>
  <si>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</si>
  <si>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</si>
  <si>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</si>
  <si>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</si>
  <si>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</si>
  <si>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</si>
  <si>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</si>
  <si>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</si>
  <si>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</si>
  <si>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</si>
  <si>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</si>
  <si>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</si>
  <si>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</si>
  <si>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</si>
  <si>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</si>
  <si>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</si>
  <si>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</si>
  <si>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</si>
  <si>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</si>
  <si>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</si>
  <si>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</si>
  <si>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</si>
  <si>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</si>
  <si>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</si>
  <si>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</si>
  <si>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</si>
  <si>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</si>
  <si>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</si>
  <si>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</si>
  <si>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</si>
  <si>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</si>
  <si>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</si>
  <si>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</si>
  <si>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</si>
  <si>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</si>
  <si>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</si>
  <si>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</si>
  <si>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</si>
  <si>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</si>
  <si>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</si>
  <si>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</si>
  <si>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</si>
  <si>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</si>
  <si>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</si>
  <si>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</si>
  <si>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</si>
  <si>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</si>
  <si>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</si>
  <si>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</si>
  <si>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</si>
  <si>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</si>
  <si>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</si>
  <si>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</si>
  <si>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</si>
  <si>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</si>
  <si>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</si>
  <si>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</si>
  <si>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</si>
  <si>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</si>
  <si>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</si>
  <si>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</si>
  <si>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</si>
  <si>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</si>
  <si>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</si>
  <si>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</si>
  <si>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</si>
  <si>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</si>
  <si>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</si>
  <si>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</si>
  <si>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</si>
  <si>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</si>
  <si>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</si>
  <si>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</si>
  <si>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</si>
  <si>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</si>
  <si>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</si>
  <si>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</si>
  <si>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</si>
  <si>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</si>
  <si>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</si>
  <si>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</si>
  <si>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</si>
  <si>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</si>
  <si>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</si>
  <si>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</si>
  <si>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</si>
  <si>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</si>
  <si>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</si>
  <si>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</si>
  <si>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</si>
  <si>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</si>
  <si>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</si>
  <si>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</si>
  <si>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</si>
  <si>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</si>
  <si>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</si>
  <si>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</si>
  <si>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</si>
  <si>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</si>
  <si>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</si>
  <si>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</si>
  <si>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</si>
  <si>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</si>
  <si>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</si>
  <si>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</si>
  <si>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</si>
  <si>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</si>
  <si>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</si>
  <si>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</si>
  <si>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</si>
  <si>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</si>
  <si>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</si>
  <si>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</si>
  <si>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</si>
  <si>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</si>
  <si>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</si>
  <si>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</si>
  <si>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</si>
  <si>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</si>
  <si>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</si>
  <si>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</si>
  <si>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</si>
  <si>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</si>
  <si>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</si>
  <si>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</si>
  <si>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</si>
  <si>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</si>
  <si>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</si>
  <si>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</si>
  <si>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</si>
  <si>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</si>
  <si>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</si>
  <si>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</si>
  <si>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</si>
  <si>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</si>
  <si>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</si>
  <si>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</si>
  <si>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</si>
  <si>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</si>
  <si>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</si>
  <si>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</si>
  <si>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</si>
  <si>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</si>
  <si>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</si>
  <si>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</si>
  <si>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</si>
  <si>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</si>
  <si>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</si>
  <si>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</si>
  <si>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</si>
  <si>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</si>
  <si>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</si>
  <si>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</si>
  <si>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</si>
  <si>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</si>
  <si>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</si>
  <si>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</si>
  <si>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</si>
  <si>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</si>
  <si>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</si>
  <si>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</si>
  <si>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</si>
  <si>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</si>
  <si>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</si>
  <si>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</si>
  <si>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</si>
  <si>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</si>
  <si>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</si>
  <si>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</si>
  <si>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</si>
  <si>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</si>
  <si>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</si>
  <si>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</si>
  <si>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</si>
  <si>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</si>
  <si>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</si>
  <si>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</si>
  <si>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</si>
  <si>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</si>
  <si>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</si>
  <si>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</si>
  <si>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</si>
  <si>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</si>
  <si>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</si>
  <si>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</si>
  <si>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</si>
  <si>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</si>
  <si>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</si>
  <si>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</si>
  <si>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</si>
  <si>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</si>
  <si>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</si>
  <si>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</si>
  <si>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</si>
  <si>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</si>
  <si>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</si>
  <si>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</si>
  <si>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</si>
  <si>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</si>
  <si>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</si>
  <si>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</si>
  <si>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</si>
  <si>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</si>
  <si>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</si>
  <si>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</si>
  <si>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</si>
  <si>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</si>
  <si>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</si>
  <si>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</si>
  <si>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</si>
  <si>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</si>
  <si>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</si>
  <si>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</si>
  <si>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</si>
  <si>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</si>
  <si>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</si>
  <si>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</si>
  <si>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</si>
  <si>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</si>
  <si>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</si>
  <si>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</si>
  <si>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</si>
  <si>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</si>
  <si>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</si>
  <si>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</si>
  <si>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</si>
  <si>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</si>
  <si>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</si>
  <si>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</si>
  <si>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</si>
  <si>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</si>
  <si>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</si>
  <si>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</si>
  <si>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</si>
  <si>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</si>
  <si>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</si>
  <si>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</si>
  <si>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</si>
  <si>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</si>
  <si>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</si>
  <si>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</si>
  <si>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</si>
  <si>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</si>
  <si>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</si>
  <si>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</si>
  <si>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</si>
  <si>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</si>
  <si>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</si>
  <si>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</si>
  <si>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</si>
  <si>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</si>
  <si>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</si>
  <si>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</si>
  <si>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</si>
  <si>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</si>
  <si>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</si>
  <si>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</si>
  <si>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</si>
  <si>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</si>
  <si>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</si>
  <si>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</si>
  <si>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</si>
  <si>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</si>
  <si>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</si>
  <si>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</si>
  <si>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</si>
  <si>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</si>
  <si>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</si>
  <si>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</si>
  <si>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</si>
  <si>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</si>
  <si>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</si>
  <si>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</si>
  <si>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</si>
  <si>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</si>
  <si>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</si>
  <si>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</si>
  <si>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</si>
  <si>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</si>
  <si>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</si>
  <si>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</si>
  <si>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</si>
  <si>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</si>
  <si>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</si>
  <si>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</si>
  <si>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</si>
  <si>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</si>
  <si>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</si>
  <si>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</si>
  <si>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</si>
  <si>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</si>
  <si>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</si>
  <si>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</si>
  <si>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</si>
  <si>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</si>
  <si>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</si>
  <si>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</si>
  <si>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</si>
  <si>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</si>
  <si>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</si>
  <si>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</si>
  <si>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</si>
  <si>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</si>
  <si>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</si>
  <si>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</si>
  <si>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</si>
  <si>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</si>
  <si>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</si>
  <si>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</si>
  <si>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</si>
  <si>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</si>
  <si>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</si>
  <si>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</si>
  <si>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</si>
  <si>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</si>
  <si>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</si>
  <si>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</si>
  <si>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</si>
  <si>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</si>
  <si>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</si>
  <si>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</si>
  <si>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</si>
  <si>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</si>
  <si>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</si>
  <si>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</si>
  <si>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</si>
  <si>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</si>
  <si>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</si>
  <si>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</si>
  <si>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</si>
  <si>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</si>
  <si>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</si>
  <si>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</si>
  <si>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</si>
  <si>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</si>
  <si>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</si>
  <si>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</si>
  <si>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</si>
  <si>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</si>
  <si>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</si>
  <si>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</si>
  <si>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</si>
  <si>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</si>
  <si>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</si>
  <si>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</si>
  <si>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</si>
  <si>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</si>
  <si>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</si>
  <si>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</si>
  <si>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</si>
  <si>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</si>
  <si>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</si>
  <si>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</si>
  <si>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</si>
  <si>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</si>
  <si>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</si>
  <si>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</si>
  <si>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</si>
  <si>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</si>
  <si>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</si>
  <si>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</si>
  <si>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</si>
  <si>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</si>
  <si>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</si>
  <si>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</si>
  <si>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</si>
  <si>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</si>
  <si>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</si>
  <si>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</si>
  <si>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</si>
  <si>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</si>
  <si>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</si>
  <si>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</si>
  <si>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</si>
  <si>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</si>
  <si>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</si>
  <si>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</si>
  <si>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</si>
  <si>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</si>
  <si>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</si>
  <si>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</si>
  <si>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</si>
  <si>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</si>
  <si>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</si>
  <si>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</si>
  <si>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</si>
  <si>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</si>
  <si>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</si>
  <si>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</si>
  <si>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</si>
  <si>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</si>
  <si>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</si>
  <si>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</si>
  <si>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</si>
  <si>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</si>
  <si>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</si>
  <si>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</si>
  <si>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</si>
  <si>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</si>
  <si>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</si>
  <si>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</si>
  <si>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</si>
  <si>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</si>
  <si>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</si>
  <si>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</si>
  <si>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</si>
  <si>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</si>
  <si>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</si>
  <si>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</si>
  <si>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</si>
  <si>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</si>
  <si>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</si>
  <si>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</si>
  <si>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</si>
  <si>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</si>
  <si>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</si>
  <si>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</si>
  <si>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</si>
  <si>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</si>
  <si>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</si>
  <si>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</si>
  <si>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</si>
  <si>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</si>
  <si>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</si>
  <si>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</si>
  <si>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</si>
  <si>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</si>
  <si>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</si>
  <si>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</si>
  <si>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</si>
  <si>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</si>
  <si>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</si>
  <si>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</si>
  <si>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</si>
  <si>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</si>
  <si>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</si>
  <si>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</si>
  <si>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</si>
  <si>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</si>
  <si>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</si>
  <si>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</si>
  <si>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</si>
  <si>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</si>
  <si>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</si>
  <si>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</si>
  <si>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</si>
  <si>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</si>
  <si>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</si>
  <si>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</si>
  <si>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</si>
  <si>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</si>
  <si>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</si>
  <si>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</si>
  <si>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</si>
  <si>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</si>
  <si>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</si>
  <si>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</si>
  <si>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</si>
  <si>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</si>
  <si>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</si>
  <si>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</si>
  <si>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</si>
  <si>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</si>
  <si>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</si>
  <si>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</si>
  <si>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</si>
  <si>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</si>
  <si>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</si>
  <si>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</si>
  <si>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</si>
  <si>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</si>
  <si>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</si>
  <si>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</si>
  <si>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</si>
  <si>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</si>
  <si>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</si>
  <si>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</si>
  <si>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</si>
  <si>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</si>
  <si>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</si>
  <si>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</si>
  <si>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</si>
  <si>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</si>
  <si>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</si>
  <si>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</si>
  <si>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</si>
  <si>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</si>
  <si>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</si>
  <si>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</si>
  <si>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</si>
  <si>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</si>
  <si>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</si>
  <si>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</si>
  <si>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</si>
  <si>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</si>
  <si>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</si>
  <si>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</si>
  <si>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</si>
  <si>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</si>
  <si>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</si>
  <si>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</si>
  <si>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</si>
  <si>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</si>
  <si>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</si>
  <si>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</si>
  <si>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</si>
  <si>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</si>
  <si>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</si>
  <si>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</si>
  <si>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</si>
  <si>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</si>
  <si>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</si>
  <si>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</si>
  <si>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</si>
  <si>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</si>
  <si>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</si>
  <si>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</si>
  <si>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</si>
  <si>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</si>
  <si>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</si>
  <si>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</si>
  <si>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</si>
  <si>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</si>
  <si>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</si>
  <si>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</si>
  <si>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</si>
  <si>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</si>
  <si>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</si>
  <si>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</si>
  <si>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</si>
  <si>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</si>
  <si>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</si>
  <si>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</si>
  <si>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</si>
  <si>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</si>
  <si>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</si>
  <si>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</si>
  <si>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</si>
  <si>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</si>
  <si>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</si>
  <si>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</si>
  <si>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</si>
  <si>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</si>
  <si>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</si>
  <si>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</si>
  <si>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</si>
  <si>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</si>
  <si>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</si>
  <si>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</si>
  <si>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</si>
  <si>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</si>
  <si>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</si>
  <si>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</si>
  <si>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</si>
  <si>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</si>
  <si>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</si>
  <si>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</si>
  <si>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</si>
  <si>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</si>
  <si>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</si>
  <si>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</si>
  <si>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</si>
  <si>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</si>
  <si>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</si>
  <si>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</si>
  <si>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</si>
  <si>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</si>
  <si>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</si>
  <si>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</si>
  <si>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</si>
  <si>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</si>
  <si>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</si>
  <si>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</si>
  <si>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</si>
  <si>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</si>
  <si>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</si>
  <si>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</si>
  <si>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</si>
  <si>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</si>
  <si>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</si>
  <si>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</si>
  <si>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</si>
  <si>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</si>
  <si>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</si>
  <si>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</si>
  <si>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</si>
  <si>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</si>
  <si>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</si>
  <si>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</si>
  <si>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</si>
  <si>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</si>
  <si>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</si>
  <si>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</si>
  <si>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</si>
  <si>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</si>
  <si>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</si>
  <si>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</si>
  <si>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</si>
  <si>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</si>
  <si>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</si>
  <si>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</si>
  <si>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</si>
  <si>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</si>
  <si>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</si>
  <si>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</si>
  <si>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</si>
  <si>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</si>
  <si>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</si>
  <si>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</si>
  <si>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</si>
  <si>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</si>
  <si>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</si>
  <si>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</si>
  <si>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</si>
  <si>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</si>
  <si>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</si>
  <si>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</si>
  <si>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</si>
  <si>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</si>
  <si>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</si>
  <si>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</si>
  <si>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</si>
  <si>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</si>
  <si>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</si>
  <si>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</si>
  <si>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</si>
  <si>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</si>
  <si>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</si>
  <si>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</si>
  <si>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</si>
  <si>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</si>
  <si>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</si>
  <si>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</si>
  <si>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</si>
  <si>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</si>
  <si>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</si>
  <si>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</si>
  <si>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</si>
  <si>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</si>
  <si>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</si>
  <si>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</si>
  <si>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</si>
  <si>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</si>
  <si>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</si>
  <si>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</si>
  <si>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</si>
  <si>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</si>
  <si>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</si>
  <si>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</si>
  <si>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</si>
  <si>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</si>
  <si>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</si>
  <si>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</si>
  <si>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</si>
  <si>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</si>
  <si>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</si>
  <si>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</si>
  <si>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</si>
  <si>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</si>
  <si>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</si>
  <si>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</si>
  <si>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</si>
  <si>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</si>
  <si>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</si>
  <si>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</si>
  <si>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</si>
  <si>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</si>
  <si>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</si>
  <si>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</si>
  <si>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</si>
  <si>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</si>
  <si>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</si>
  <si>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</si>
  <si>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</si>
  <si>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</si>
  <si>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</si>
  <si>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</si>
  <si>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</si>
  <si>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</si>
  <si>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</si>
  <si>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</si>
  <si>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</si>
  <si>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</si>
  <si>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</si>
  <si>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</si>
  <si>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</si>
  <si>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</si>
  <si>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</si>
  <si>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</si>
  <si>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</si>
  <si>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</si>
  <si>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</si>
  <si>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</si>
  <si>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</si>
  <si>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</si>
  <si>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</si>
  <si>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</si>
  <si>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</si>
  <si>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</si>
  <si>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</si>
  <si>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</si>
  <si>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</si>
  <si>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</si>
  <si>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</si>
  <si>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</si>
  <si>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</si>
  <si>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</si>
  <si>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</si>
  <si>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</si>
  <si>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</si>
  <si>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</si>
  <si>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</si>
  <si>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</si>
  <si>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</si>
  <si>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</si>
  <si>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</si>
  <si>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</si>
  <si>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</si>
  <si>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</si>
  <si>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</si>
  <si>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</si>
  <si>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</si>
  <si>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</si>
  <si>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</si>
  <si>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</si>
  <si>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</si>
  <si>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</si>
  <si>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</si>
  <si>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</si>
  <si>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</si>
  <si>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</si>
  <si>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</si>
  <si>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</si>
  <si>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</si>
  <si>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</si>
  <si>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</si>
  <si>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</si>
  <si>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</si>
  <si>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</si>
  <si>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</si>
  <si>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</si>
  <si>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</si>
  <si>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</si>
  <si>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</si>
  <si>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</si>
  <si>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</si>
  <si>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</si>
  <si>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</si>
  <si>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</si>
  <si>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</si>
  <si>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</si>
  <si>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</si>
  <si>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</si>
  <si>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</si>
  <si>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</si>
  <si>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</si>
  <si>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</si>
  <si>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</si>
  <si>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</si>
  <si>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</si>
  <si>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</si>
  <si>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</si>
  <si>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</si>
  <si>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</si>
  <si>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</si>
  <si>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</si>
  <si>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</si>
  <si>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</si>
  <si>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</si>
  <si>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</si>
  <si>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</si>
  <si>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</si>
  <si>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</si>
  <si>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</si>
  <si>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</si>
  <si>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</si>
  <si>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</si>
  <si>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</si>
  <si>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</si>
  <si>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</si>
  <si>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</si>
  <si>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</si>
  <si>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</si>
  <si>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</si>
  <si>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</si>
  <si>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</si>
  <si>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</si>
  <si>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</si>
  <si>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</si>
  <si>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</si>
  <si>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</si>
  <si>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</si>
  <si>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</si>
  <si>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</si>
  <si>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</si>
  <si>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</si>
  <si>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</si>
  <si>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</si>
  <si>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</si>
  <si>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</si>
  <si>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</si>
  <si>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</si>
  <si>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</si>
  <si>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</si>
  <si>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</si>
  <si>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</si>
  <si>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</si>
  <si>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</si>
  <si>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</si>
  <si>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</si>
  <si>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</si>
  <si>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</si>
  <si>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</si>
  <si>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</si>
  <si>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</si>
  <si>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</si>
  <si>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</si>
  <si>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</si>
  <si>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</si>
  <si>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</si>
  <si>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</si>
  <si>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</si>
  <si>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</si>
  <si>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</si>
  <si>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</si>
  <si>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</si>
  <si>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</si>
  <si>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</si>
  <si>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</si>
  <si>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</si>
  <si>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</si>
  <si>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</si>
  <si>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</si>
  <si>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</si>
  <si>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</si>
  <si>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</si>
  <si>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</si>
  <si>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</si>
  <si>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</si>
  <si>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</si>
  <si>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</si>
  <si>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</si>
  <si>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</si>
  <si>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</si>
  <si>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</si>
  <si>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</si>
  <si>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</si>
  <si>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</si>
  <si>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</si>
  <si>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</si>
  <si>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</si>
  <si>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</si>
  <si>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</si>
  <si>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</si>
  <si>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</si>
  <si>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</si>
  <si>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</si>
  <si>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</si>
  <si>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</si>
  <si>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</si>
  <si>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</si>
  <si>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</si>
  <si>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</si>
  <si>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</si>
  <si>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</si>
  <si>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</si>
  <si>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</si>
  <si>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</si>
  <si>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</si>
  <si>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</si>
  <si>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</si>
  <si>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</si>
  <si>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</si>
  <si>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</si>
  <si>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</si>
  <si>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</si>
  <si>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</si>
  <si>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</si>
  <si>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</si>
  <si>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</si>
  <si>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</si>
  <si>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</si>
  <si>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</si>
  <si>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</si>
  <si>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</si>
  <si>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</si>
  <si>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</si>
  <si>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</si>
  <si>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</si>
  <si>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</si>
  <si>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</si>
  <si>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</si>
  <si>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</si>
  <si>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</si>
  <si>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</si>
  <si>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</si>
  <si>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</si>
  <si>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</si>
  <si>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</si>
  <si>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</si>
  <si>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</si>
  <si>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</si>
  <si>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</si>
  <si>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</si>
  <si>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</si>
  <si>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</si>
  <si>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</si>
  <si>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</si>
  <si>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</si>
  <si>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</si>
  <si>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</si>
  <si>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</si>
  <si>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</si>
  <si>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</si>
  <si>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</si>
  <si>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</si>
  <si>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</si>
  <si>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</si>
  <si>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</si>
  <si>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</si>
  <si>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</si>
  <si>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</si>
  <si>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</si>
  <si>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</si>
  <si>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</si>
  <si>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</si>
  <si>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</si>
  <si>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</si>
  <si>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</si>
  <si>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</si>
  <si>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</si>
  <si>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</si>
  <si>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</si>
  <si>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</si>
  <si>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</si>
  <si>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</si>
  <si>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</si>
  <si>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</si>
  <si>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</si>
  <si>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</si>
  <si>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</si>
  <si>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</si>
  <si>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</si>
  <si>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</si>
  <si>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</si>
  <si>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</si>
  <si>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</si>
  <si>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</si>
  <si>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</si>
  <si>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</si>
  <si>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</si>
  <si>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</si>
  <si>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</si>
  <si>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</si>
  <si>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</si>
  <si>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</si>
  <si>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</si>
  <si>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</si>
  <si>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</si>
  <si>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</si>
  <si>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</si>
  <si>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</si>
  <si>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</si>
  <si>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</si>
  <si>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</si>
  <si>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</si>
  <si>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</si>
  <si>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</si>
  <si>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</si>
  <si>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</si>
  <si>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</si>
  <si>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</si>
  <si>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</si>
  <si>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</si>
  <si>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</si>
  <si>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</si>
  <si>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</si>
  <si>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</si>
  <si>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</si>
  <si>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</si>
  <si>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</si>
  <si>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</si>
  <si>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</si>
  <si>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</si>
  <si>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</si>
  <si>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</si>
  <si>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</si>
  <si>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</si>
  <si>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</si>
  <si>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</si>
  <si>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</si>
  <si>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</si>
  <si>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</si>
  <si>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</si>
  <si>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</si>
  <si>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</si>
  <si>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</si>
  <si>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</si>
  <si>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</si>
  <si>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</si>
  <si>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</si>
  <si>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</si>
  <si>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</si>
  <si>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</si>
  <si>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</si>
  <si>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</si>
  <si>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</si>
  <si>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</si>
  <si>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</si>
  <si>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</si>
  <si>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</si>
  <si>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</si>
  <si>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</si>
  <si>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</si>
  <si>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</si>
  <si>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</si>
  <si>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</si>
  <si>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</si>
  <si>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</si>
  <si>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</si>
  <si>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</si>
  <si>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</si>
  <si>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</si>
  <si>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</si>
  <si>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</si>
  <si>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</si>
  <si>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</si>
  <si>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</si>
  <si>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</si>
  <si>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</si>
  <si>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</si>
  <si>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</si>
  <si>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</si>
  <si>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</si>
  <si>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</si>
  <si>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</si>
  <si>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</si>
  <si>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</si>
  <si>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</si>
  <si>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</si>
  <si>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</si>
  <si>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</si>
  <si>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</si>
  <si>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</si>
  <si>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</si>
  <si>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</si>
  <si>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</si>
  <si>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</si>
  <si>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</si>
  <si>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</si>
  <si>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</si>
  <si>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</si>
  <si>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</si>
  <si>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</si>
  <si>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</si>
  <si>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</si>
  <si>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</si>
  <si>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</si>
  <si>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</si>
  <si>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</si>
  <si>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</si>
  <si>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</si>
  <si>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</si>
  <si>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</si>
  <si>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</si>
  <si>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</si>
  <si>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</si>
  <si>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</si>
  <si>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</si>
  <si>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</si>
  <si>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</si>
  <si>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</si>
  <si>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</si>
  <si>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</si>
  <si>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</si>
  <si>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</si>
  <si>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</si>
  <si>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</si>
  <si>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</si>
  <si>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</si>
  <si>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</si>
  <si>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</si>
  <si>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</si>
  <si>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</si>
  <si>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</si>
  <si>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</si>
  <si>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</si>
  <si>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</si>
  <si>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</si>
  <si>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</si>
  <si>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</si>
  <si>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</si>
  <si>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</si>
  <si>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</si>
  <si>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</si>
  <si>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</si>
  <si>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</si>
  <si>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</si>
  <si>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</si>
  <si>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</si>
  <si>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</si>
  <si>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</si>
  <si>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</si>
  <si>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</si>
  <si>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</si>
  <si>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</si>
  <si>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</si>
  <si>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</si>
  <si>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</si>
  <si>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</si>
  <si>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</si>
  <si>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</si>
  <si>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</si>
  <si>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</si>
  <si>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</si>
  <si>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</si>
  <si>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</si>
  <si>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</si>
  <si>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</si>
  <si>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</si>
  <si>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</si>
  <si>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</si>
  <si>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</si>
  <si>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</si>
  <si>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</si>
  <si>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</si>
  <si>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</si>
  <si>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</si>
  <si>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</si>
  <si>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</si>
  <si>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</si>
  <si>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</si>
  <si>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</si>
  <si>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</si>
  <si>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</si>
  <si>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</si>
  <si>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</si>
  <si>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</si>
  <si>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</si>
  <si>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</si>
  <si>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</si>
  <si>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</si>
  <si>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</si>
  <si>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</si>
  <si>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</si>
  <si>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</si>
  <si>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</si>
  <si>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</si>
  <si>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</si>
  <si>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</si>
  <si>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</si>
  <si>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</si>
  <si>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</si>
  <si>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</si>
  <si>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</si>
  <si>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</si>
  <si>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</si>
  <si>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</si>
  <si>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</si>
  <si>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</si>
  <si>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</si>
  <si>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</si>
  <si>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</si>
  <si>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</si>
  <si>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</si>
  <si>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</si>
  <si>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</si>
  <si>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</si>
  <si>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</si>
  <si>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</si>
  <si>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</si>
  <si>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</si>
  <si>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</si>
  <si>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</si>
  <si>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</si>
  <si>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</si>
  <si>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</si>
  <si>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</si>
  <si>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</si>
  <si>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</si>
  <si>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</si>
  <si>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</si>
  <si>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</si>
  <si>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</si>
  <si>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</si>
  <si>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</si>
  <si>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</si>
  <si>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</si>
  <si>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</si>
  <si>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</si>
  <si>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</si>
  <si>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</si>
  <si>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</si>
  <si>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</si>
  <si>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</si>
  <si>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</si>
  <si>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</si>
  <si>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</si>
  <si>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</si>
  <si>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</si>
  <si>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</si>
  <si>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</si>
  <si>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</si>
  <si>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</si>
  <si>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</si>
  <si>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</si>
  <si>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</si>
  <si>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</si>
  <si>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</si>
  <si>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</si>
  <si>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</si>
  <si>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</si>
  <si>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</si>
  <si>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</si>
  <si>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</si>
  <si>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</si>
  <si>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</si>
  <si>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</si>
  <si>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</si>
  <si>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</si>
  <si>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</si>
  <si>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</si>
  <si>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</si>
  <si>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</si>
  <si>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</si>
  <si>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</si>
  <si>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</si>
  <si>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</si>
  <si>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</si>
  <si>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</si>
  <si>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</si>
  <si>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</si>
  <si>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</si>
  <si>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</si>
  <si>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</si>
  <si>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</si>
  <si>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</si>
  <si>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</si>
  <si>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</si>
  <si>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</si>
  <si>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</si>
  <si>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</si>
  <si>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</si>
  <si>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</si>
  <si>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</si>
  <si>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</si>
  <si>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</si>
  <si>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</si>
  <si>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</si>
  <si>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</si>
  <si>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</si>
  <si>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</si>
  <si>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</si>
  <si>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</si>
  <si>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</si>
  <si>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</si>
  <si>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</si>
  <si>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</si>
  <si>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</si>
  <si>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</si>
  <si>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</si>
  <si>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</si>
  <si>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</si>
  <si>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</si>
  <si>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</si>
  <si>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</si>
  <si>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</si>
  <si>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</si>
  <si>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</si>
  <si>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</si>
  <si>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</si>
  <si>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</si>
  <si>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</si>
  <si>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</si>
  <si>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</si>
  <si>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</si>
  <si>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</si>
  <si>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</si>
  <si>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</si>
  <si>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</si>
  <si>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</si>
  <si>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</si>
  <si>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</si>
  <si>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</si>
  <si>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</si>
  <si>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</si>
  <si>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</si>
  <si>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</si>
  <si>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</si>
  <si>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</si>
  <si>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</si>
  <si>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</si>
  <si>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</si>
  <si>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</si>
  <si>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</si>
  <si>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</si>
  <si>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</si>
  <si>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</si>
  <si>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</si>
  <si>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</si>
  <si>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</si>
  <si>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</si>
  <si>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</si>
  <si>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</si>
  <si>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</si>
  <si>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</si>
  <si>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</si>
  <si>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</si>
  <si>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</si>
  <si>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</si>
  <si>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</si>
  <si>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</si>
  <si>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</si>
  <si>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</si>
  <si>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</si>
  <si>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</si>
  <si>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</si>
  <si>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</si>
  <si>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</si>
  <si>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</si>
  <si>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</si>
  <si>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</si>
  <si>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</si>
  <si>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</si>
  <si>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</si>
  <si>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</si>
  <si>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</si>
  <si>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</si>
  <si>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</si>
  <si>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</si>
  <si>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</si>
  <si>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</si>
  <si>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</si>
  <si>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</si>
  <si>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</si>
  <si>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</si>
  <si>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</si>
  <si>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</si>
  <si>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</si>
  <si>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</si>
  <si>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</si>
  <si>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</si>
  <si>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</si>
  <si>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</si>
  <si>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</si>
  <si>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</si>
  <si>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</si>
  <si>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</si>
  <si>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</si>
  <si>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</si>
  <si>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</si>
  <si>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</si>
  <si>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</si>
  <si>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</si>
  <si>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</si>
  <si>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</si>
  <si>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</si>
  <si>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</si>
  <si>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</si>
  <si>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</si>
  <si>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</si>
  <si>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</si>
  <si>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</si>
  <si>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</si>
  <si>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</si>
  <si>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</si>
  <si>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</si>
  <si>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</si>
  <si>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</si>
  <si>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</si>
  <si>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</si>
  <si>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</si>
  <si>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</si>
  <si>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</si>
  <si>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</si>
  <si>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</si>
  <si>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</si>
  <si>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</si>
  <si>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</si>
  <si>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</si>
  <si>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</si>
  <si>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</si>
  <si>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</si>
  <si>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</si>
  <si>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</si>
  <si>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</si>
  <si>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</si>
  <si>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</si>
  <si>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</si>
  <si>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</si>
  <si>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</si>
  <si>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</si>
  <si>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</si>
  <si>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</si>
  <si>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</si>
  <si>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</si>
  <si>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</si>
  <si>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</si>
  <si>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</si>
  <si>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</si>
  <si>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</si>
  <si>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</si>
  <si>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</si>
  <si>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</si>
  <si>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</si>
  <si>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</si>
  <si>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</si>
  <si>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</si>
  <si>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</si>
  <si>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</si>
  <si>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</si>
  <si>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</si>
  <si>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</si>
  <si>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</si>
  <si>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</si>
  <si>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</si>
  <si>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</si>
  <si>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</si>
  <si>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</si>
  <si>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</si>
  <si>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</si>
  <si>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</si>
  <si>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</si>
  <si>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</si>
  <si>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</si>
  <si>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</si>
  <si>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</si>
  <si>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</si>
  <si>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</si>
  <si>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</si>
  <si>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</si>
  <si>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</si>
  <si>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</si>
  <si>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</si>
  <si>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</si>
  <si>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</si>
  <si>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</si>
  <si>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</si>
  <si>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</si>
  <si>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</si>
  <si>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</si>
  <si>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</si>
  <si>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</si>
  <si>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</si>
  <si>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</si>
  <si>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</si>
  <si>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</si>
  <si>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</si>
  <si>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</si>
  <si>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</si>
  <si>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</si>
  <si>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</si>
  <si>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</si>
  <si>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</si>
  <si>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</si>
  <si>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</si>
  <si>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</si>
  <si>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</si>
  <si>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</si>
  <si>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</si>
  <si>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</si>
  <si>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</si>
  <si>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</si>
  <si>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</si>
  <si>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</si>
  <si>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</si>
  <si>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</si>
  <si>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</si>
  <si>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</si>
  <si>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</si>
  <si>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</si>
  <si>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</si>
  <si>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</si>
  <si>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</si>
  <si>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</si>
  <si>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</si>
  <si>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</si>
  <si>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</si>
  <si>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</si>
  <si>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</si>
  <si>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</si>
  <si>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</si>
  <si>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</si>
  <si>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</si>
  <si>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</si>
  <si>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</si>
  <si>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</si>
  <si>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</si>
  <si>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</si>
  <si>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</si>
  <si>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</si>
  <si>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</si>
  <si>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</si>
  <si>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</si>
  <si>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</si>
  <si>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</si>
  <si>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</si>
  <si>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</si>
  <si>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</si>
  <si>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</si>
  <si>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</si>
  <si>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</si>
  <si>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</si>
  <si>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</si>
  <si>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</si>
  <si>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</si>
  <si>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</si>
  <si>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</si>
  <si>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</si>
  <si>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</si>
  <si>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</si>
  <si>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</si>
  <si>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</si>
  <si>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</si>
  <si>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</si>
  <si>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</si>
  <si>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</si>
  <si>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</si>
  <si>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</si>
  <si>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</si>
  <si>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</si>
  <si>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</si>
  <si>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</si>
  <si>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</si>
  <si>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</si>
  <si>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</si>
  <si>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</si>
  <si>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</si>
  <si>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</si>
  <si>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</si>
  <si>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</si>
  <si>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</si>
  <si>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</si>
  <si>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</si>
  <si>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</si>
  <si>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</si>
  <si>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</si>
  <si>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</si>
  <si>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</si>
  <si>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</si>
  <si>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</si>
  <si>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</si>
  <si>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</si>
  <si>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</si>
  <si>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</si>
  <si>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</si>
  <si>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</si>
  <si>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</si>
  <si>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</si>
  <si>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</si>
  <si>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</si>
  <si>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</si>
  <si>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</si>
  <si>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</si>
  <si>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</si>
  <si>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</si>
  <si>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</si>
  <si>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</si>
  <si>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</si>
  <si>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</si>
  <si>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</si>
  <si>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</si>
  <si>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</si>
  <si>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</si>
  <si>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</si>
  <si>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</si>
  <si>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</si>
  <si>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</si>
  <si>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</si>
  <si>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</si>
  <si>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</si>
  <si>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</si>
  <si>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</si>
  <si>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</si>
  <si>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</si>
  <si>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</si>
  <si>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</si>
  <si>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</si>
  <si>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</si>
  <si>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</si>
  <si>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</si>
  <si>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</si>
  <si>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</si>
  <si>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</si>
  <si>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</si>
  <si>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</si>
  <si>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</si>
  <si>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</si>
  <si>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</si>
  <si>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</si>
  <si>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</si>
  <si>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</si>
  <si>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</si>
  <si>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</si>
  <si>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</si>
  <si>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</si>
  <si>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</si>
  <si>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</si>
  <si>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</si>
  <si>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</si>
  <si>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</si>
  <si>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</si>
  <si>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</si>
  <si>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</si>
  <si>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</si>
  <si>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</si>
  <si>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</si>
  <si>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</si>
  <si>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</si>
  <si>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</si>
  <si>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</si>
  <si>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</si>
  <si>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</si>
  <si>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</si>
  <si>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</si>
  <si>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</si>
  <si>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</si>
  <si>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</si>
  <si>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</si>
  <si>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</si>
  <si>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</si>
  <si>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</si>
  <si>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</si>
  <si>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</si>
  <si>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</si>
  <si>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</si>
  <si>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</si>
  <si>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</si>
  <si>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</si>
  <si>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</si>
  <si>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</si>
  <si>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</si>
  <si>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</si>
  <si>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</si>
  <si>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</si>
  <si>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</si>
  <si>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</si>
  <si>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</si>
  <si>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</si>
  <si>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</si>
  <si>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</si>
  <si>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</si>
  <si>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</si>
  <si>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</si>
  <si>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</si>
  <si>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</si>
  <si>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</si>
  <si>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</si>
  <si>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</si>
  <si>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</si>
  <si>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</si>
  <si>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</si>
  <si>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</si>
  <si>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</si>
  <si>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</si>
  <si>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</si>
  <si>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</si>
  <si>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</si>
  <si>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</si>
  <si>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</si>
  <si>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</si>
  <si>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</si>
  <si>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</si>
  <si>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</si>
  <si>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</si>
  <si>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</si>
  <si>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</si>
  <si>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</si>
  <si>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</si>
  <si>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</si>
  <si>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</si>
  <si>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</si>
  <si>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</si>
  <si>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</si>
  <si>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</si>
  <si>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</si>
  <si>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</si>
  <si>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</si>
  <si>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</si>
  <si>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</si>
  <si>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</si>
  <si>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</si>
  <si>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</si>
  <si>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</si>
  <si>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</si>
  <si>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</si>
  <si>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</si>
  <si>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</si>
  <si>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</si>
  <si>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</si>
  <si>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</si>
  <si>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</si>
  <si>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</si>
  <si>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</si>
  <si>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</si>
  <si>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</si>
  <si>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</si>
  <si>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</si>
  <si>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</si>
  <si>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</si>
  <si>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</si>
  <si>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</si>
  <si>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</si>
  <si>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</si>
  <si>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</si>
  <si>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</si>
  <si>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</si>
  <si>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</si>
  <si>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</si>
  <si>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</si>
  <si>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</si>
  <si>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</si>
  <si>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</si>
  <si>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</si>
  <si>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</si>
  <si>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</si>
  <si>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</si>
  <si>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</si>
  <si>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</si>
  <si>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</si>
  <si>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</si>
  <si>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</si>
  <si>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</si>
  <si>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</si>
  <si>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</si>
  <si>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</si>
  <si>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</si>
  <si>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</si>
  <si>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</si>
  <si>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</si>
  <si>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</si>
  <si>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</si>
  <si>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</si>
  <si>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</si>
  <si>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</si>
  <si>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</si>
  <si>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</si>
  <si>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</si>
  <si>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</si>
  <si>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</si>
  <si>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</si>
  <si>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</si>
  <si>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</si>
  <si>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</si>
  <si>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</si>
  <si>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</si>
  <si>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</si>
  <si>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</si>
  <si>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</si>
  <si>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</si>
  <si>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</si>
  <si>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</si>
  <si>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</si>
  <si>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</si>
  <si>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</si>
  <si>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</si>
  <si>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</si>
  <si>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</si>
  <si>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</si>
  <si>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</si>
  <si>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</si>
  <si>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</si>
  <si>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</si>
  <si>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</si>
  <si>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</si>
  <si>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</si>
  <si>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</si>
  <si>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</si>
  <si>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</si>
  <si>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</si>
  <si>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</si>
  <si>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</si>
  <si>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</si>
  <si>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</si>
  <si>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</si>
  <si>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</si>
  <si>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</si>
  <si>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</si>
  <si>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</si>
  <si>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</si>
  <si>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</si>
  <si>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</si>
  <si>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</si>
  <si>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</si>
  <si>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</si>
  <si>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</si>
  <si>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</si>
  <si>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</si>
  <si>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</si>
  <si>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</si>
  <si>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</si>
  <si>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</si>
  <si>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</si>
  <si>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</si>
  <si>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</si>
  <si>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</si>
  <si>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</si>
  <si>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</si>
  <si>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</si>
  <si>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</si>
  <si>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</si>
  <si>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</si>
  <si>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</si>
  <si>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</si>
  <si>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</si>
  <si>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</si>
  <si>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</si>
  <si>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</si>
  <si>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</si>
  <si>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</si>
  <si>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</si>
  <si>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</si>
  <si>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</si>
  <si>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</si>
  <si>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</si>
  <si>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</si>
  <si>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</si>
  <si>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</si>
  <si>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</si>
  <si>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</si>
  <si>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</si>
  <si>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</si>
  <si>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</si>
  <si>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</si>
  <si>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</si>
  <si>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</si>
  <si>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</si>
  <si>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</si>
  <si>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</si>
  <si>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</si>
  <si>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</si>
  <si>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</si>
  <si>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</si>
  <si>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</si>
  <si>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</si>
  <si>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</si>
  <si>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</si>
  <si>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</si>
  <si>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</si>
  <si>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</si>
  <si>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</si>
  <si>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</si>
  <si>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</si>
  <si>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</si>
  <si>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</si>
  <si>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</si>
  <si>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</si>
  <si>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</si>
  <si>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</si>
  <si>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</si>
  <si>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</si>
  <si>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</si>
  <si>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</si>
  <si>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</si>
  <si>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</si>
  <si>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</si>
  <si>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</si>
  <si>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</si>
  <si>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</si>
  <si>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</si>
  <si>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</si>
  <si>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</si>
  <si>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</si>
  <si>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</si>
  <si>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</si>
  <si>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</si>
  <si>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</si>
  <si>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</si>
  <si>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</si>
  <si>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</si>
  <si>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</si>
  <si>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</si>
  <si>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</si>
  <si>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</si>
  <si>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</si>
  <si>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</si>
  <si>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</si>
  <si>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</si>
  <si>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</si>
  <si>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</si>
  <si>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</si>
  <si>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</si>
  <si>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</si>
  <si>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</si>
  <si>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</si>
  <si>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</si>
  <si>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</si>
  <si>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</si>
  <si>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</si>
  <si>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</si>
  <si>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</si>
  <si>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</si>
  <si>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</si>
  <si>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</si>
  <si>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</si>
  <si>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</si>
  <si>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</si>
  <si>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</si>
  <si>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</si>
  <si>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</si>
  <si>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</si>
  <si>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</si>
  <si>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</si>
  <si>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</si>
  <si>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</si>
  <si>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</si>
  <si>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</si>
  <si>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</si>
  <si>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</si>
  <si>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</si>
  <si>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</si>
  <si>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</si>
  <si>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</si>
  <si>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</si>
  <si>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</si>
  <si>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</si>
  <si>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</si>
  <si>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</si>
  <si>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</si>
  <si>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</si>
  <si>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</si>
  <si>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</si>
  <si>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</si>
  <si>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</si>
  <si>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</si>
  <si>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</si>
  <si>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</si>
  <si>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</si>
  <si>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</si>
  <si>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</si>
  <si>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</si>
  <si>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</si>
  <si>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</si>
  <si>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</si>
  <si>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</si>
  <si>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</si>
  <si>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</si>
  <si>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</si>
  <si>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</si>
  <si>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</si>
  <si>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</si>
  <si>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</si>
  <si>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</si>
  <si>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</si>
  <si>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</si>
  <si>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</si>
  <si>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</si>
  <si>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</si>
  <si>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</si>
  <si>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</si>
  <si>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</si>
  <si>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</si>
  <si>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</si>
  <si>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</si>
  <si>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</si>
  <si>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</si>
  <si>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</si>
  <si>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</si>
  <si>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</si>
  <si>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</si>
  <si>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</si>
  <si>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</si>
  <si>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</si>
  <si>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</si>
  <si>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</si>
  <si>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</si>
  <si>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</si>
  <si>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</si>
  <si>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</si>
  <si>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</si>
  <si>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</si>
  <si>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</si>
  <si>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</si>
  <si>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</si>
  <si>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</si>
  <si>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</si>
  <si>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</si>
  <si>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</si>
  <si>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</si>
  <si>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</si>
  <si>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</si>
  <si>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</si>
  <si>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</si>
  <si>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</si>
  <si>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</si>
  <si>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</si>
  <si>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</si>
  <si>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</si>
  <si>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</si>
  <si>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</si>
  <si>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</si>
  <si>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</si>
  <si>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</si>
  <si>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</si>
  <si>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</si>
  <si>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</si>
  <si>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</si>
  <si>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</si>
  <si>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</si>
  <si>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</si>
  <si>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</si>
  <si>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</si>
  <si>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</si>
  <si>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</si>
  <si>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</si>
  <si>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</si>
  <si>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</si>
  <si>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</si>
  <si>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</si>
  <si>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</si>
  <si>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</si>
  <si>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</si>
  <si>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</si>
  <si>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</si>
  <si>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</si>
  <si>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</si>
  <si>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</si>
  <si>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</si>
  <si>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</si>
  <si>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</si>
  <si>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</si>
  <si>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</si>
  <si>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</si>
  <si>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</si>
  <si>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</si>
  <si>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</si>
  <si>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</si>
  <si>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</si>
  <si>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</si>
  <si>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</si>
  <si>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</si>
  <si>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</si>
  <si>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</si>
  <si>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</si>
  <si>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</si>
  <si>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</si>
  <si>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</si>
  <si>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</si>
  <si>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</si>
  <si>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</si>
  <si>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</si>
  <si>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</si>
  <si>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</si>
  <si>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</si>
  <si>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</si>
  <si>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</si>
  <si>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</si>
  <si>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</si>
  <si>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</si>
  <si>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</si>
  <si>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</si>
  <si>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</si>
  <si>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</si>
  <si>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</si>
  <si>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</si>
  <si>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</si>
  <si>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</si>
  <si>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</si>
  <si>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</si>
  <si>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</si>
  <si>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</si>
  <si>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</si>
  <si>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</si>
  <si>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</si>
  <si>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</si>
  <si>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</si>
  <si>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</si>
  <si>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</si>
  <si>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</si>
  <si>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</si>
  <si>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</si>
  <si>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</si>
  <si>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</si>
  <si>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</si>
  <si>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</si>
  <si>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</si>
  <si>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</si>
  <si>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</si>
  <si>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</si>
  <si>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</si>
  <si>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</si>
  <si>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</si>
  <si>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</si>
  <si>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</si>
  <si>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</si>
  <si>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</si>
  <si>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</si>
  <si>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</si>
  <si>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</si>
  <si>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</si>
  <si>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</si>
  <si>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</si>
  <si>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</si>
  <si>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</si>
  <si>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</si>
  <si>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</si>
  <si>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</si>
  <si>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</si>
  <si>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</si>
  <si>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</si>
  <si>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</si>
  <si>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</si>
  <si>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</si>
  <si>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</si>
  <si>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</si>
  <si>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</si>
  <si>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</si>
  <si>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</si>
  <si>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</si>
  <si>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</si>
  <si>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</si>
  <si>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</si>
  <si>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</si>
  <si>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</si>
  <si>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</si>
  <si>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</si>
  <si>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</si>
  <si>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</si>
  <si>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</si>
  <si>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</si>
  <si>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</si>
  <si>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</si>
  <si>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</si>
  <si>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</si>
  <si>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</si>
  <si>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</si>
  <si>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</si>
  <si>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</si>
  <si>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</si>
  <si>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</si>
  <si>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</si>
  <si>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</si>
  <si>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</si>
  <si>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</si>
  <si>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</si>
  <si>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</si>
  <si>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</si>
  <si>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</si>
  <si>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</si>
  <si>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</si>
  <si>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</si>
  <si>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</si>
  <si>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</si>
  <si>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</si>
  <si>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</si>
  <si>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</si>
  <si>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</si>
  <si>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</si>
  <si>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</si>
  <si>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</si>
  <si>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</si>
  <si>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</si>
  <si>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</si>
  <si>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</si>
  <si>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</si>
  <si>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</si>
  <si>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</si>
  <si>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</si>
  <si>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</si>
  <si>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</si>
  <si>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</si>
  <si>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</si>
  <si>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</si>
  <si>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</si>
  <si>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</si>
  <si>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</si>
  <si>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</si>
  <si>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</si>
  <si>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</si>
  <si>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</si>
  <si>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</si>
  <si>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</si>
  <si>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</si>
  <si>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</si>
  <si>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</si>
  <si>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</si>
  <si>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</si>
  <si>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</si>
  <si>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</si>
  <si>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</si>
  <si>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</si>
  <si>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</si>
  <si>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</si>
  <si>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</si>
  <si>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</si>
  <si>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</si>
  <si>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</si>
  <si>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</si>
  <si>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</si>
  <si>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</si>
  <si>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</si>
  <si>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</si>
  <si>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</si>
  <si>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</si>
  <si>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</si>
  <si>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</si>
  <si>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</si>
  <si>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</si>
  <si>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</si>
  <si>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</si>
  <si>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</si>
  <si>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</si>
  <si>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</si>
  <si>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</si>
  <si>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</si>
  <si>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</si>
  <si>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</si>
  <si>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</si>
  <si>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</si>
  <si>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</si>
  <si>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</si>
  <si>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</si>
  <si>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</si>
  <si>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</si>
  <si>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</si>
  <si>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</si>
  <si>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</si>
  <si>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</si>
  <si>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</si>
  <si>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</si>
  <si>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</si>
  <si>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</si>
  <si>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</si>
  <si>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</si>
  <si>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</si>
  <si>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</si>
  <si>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</si>
  <si>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</si>
  <si>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</si>
  <si>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</si>
  <si>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</si>
  <si>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</si>
  <si>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</si>
  <si>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</si>
  <si>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</si>
  <si>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</si>
  <si>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</si>
  <si>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</si>
  <si>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</si>
  <si>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</si>
  <si>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</si>
  <si>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</si>
  <si>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</si>
  <si>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</si>
  <si>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</si>
  <si>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</si>
  <si>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</si>
  <si>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</si>
  <si>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</si>
  <si>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</si>
  <si>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</si>
  <si>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</si>
  <si>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</si>
  <si>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</si>
  <si>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</si>
  <si>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</si>
  <si>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</si>
  <si>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</si>
  <si>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</si>
  <si>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</si>
  <si>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</si>
  <si>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</si>
  <si>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</si>
  <si>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</si>
  <si>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</si>
  <si>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</si>
  <si>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</si>
  <si>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</si>
  <si>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</si>
  <si>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</si>
  <si>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</si>
  <si>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</si>
  <si>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</si>
  <si>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</si>
  <si>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</si>
  <si>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</si>
  <si>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</si>
  <si>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</si>
  <si>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</si>
  <si>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</si>
  <si>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</si>
  <si>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</si>
  <si>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</si>
  <si>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</si>
  <si>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</si>
  <si>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</si>
  <si>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</si>
  <si>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</si>
  <si>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</si>
  <si>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</si>
  <si>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</si>
  <si>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</si>
  <si>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</si>
  <si>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</si>
  <si>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</si>
  <si>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</si>
  <si>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</si>
  <si>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</si>
  <si>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</si>
  <si>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</si>
  <si>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</si>
  <si>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</si>
  <si>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</si>
  <si>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</si>
  <si>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</si>
  <si>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</si>
  <si>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</si>
  <si>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</si>
  <si>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</si>
  <si>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</si>
  <si>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</si>
  <si>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</si>
  <si>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</si>
  <si>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</si>
  <si>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</si>
  <si>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</si>
  <si>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</si>
  <si>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</si>
  <si>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</si>
  <si>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</si>
  <si>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</si>
  <si>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</si>
  <si>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</si>
  <si>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</si>
  <si>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</si>
  <si>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</si>
  <si>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</si>
  <si>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</si>
  <si>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</si>
  <si>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</si>
  <si>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</si>
  <si>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</si>
  <si>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</si>
  <si>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</si>
  <si>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</si>
  <si>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</si>
  <si>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</si>
  <si>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</si>
  <si>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</si>
  <si>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</si>
  <si>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</si>
  <si>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</si>
  <si>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</si>
  <si>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</si>
  <si>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</si>
  <si>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</si>
  <si>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</si>
  <si>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</si>
  <si>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</si>
  <si>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</si>
  <si>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</si>
  <si>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</si>
  <si>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</si>
  <si>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</si>
  <si>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</si>
  <si>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</si>
  <si>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</si>
  <si>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</si>
  <si>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</si>
  <si>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</si>
  <si>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</si>
  <si>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</si>
  <si>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</si>
  <si>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</si>
  <si>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</si>
  <si>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</si>
  <si>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</si>
  <si>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</si>
  <si>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</si>
  <si>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</si>
  <si>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</si>
  <si>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</si>
  <si>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</si>
  <si>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</si>
  <si>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</si>
  <si>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</si>
  <si>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</si>
  <si>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</si>
  <si>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</si>
  <si>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</si>
  <si>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</si>
  <si>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</si>
  <si>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</si>
  <si>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</si>
  <si>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</si>
  <si>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</si>
  <si>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</si>
  <si>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</si>
  <si>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</si>
  <si>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</si>
  <si>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</si>
  <si>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</si>
  <si>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</si>
  <si>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</si>
  <si>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</si>
  <si>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</si>
  <si>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</si>
  <si>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</si>
  <si>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</si>
  <si>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</si>
  <si>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</si>
  <si>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</si>
  <si>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</si>
  <si>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</si>
  <si>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</si>
  <si>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</si>
  <si>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</si>
  <si>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</si>
  <si>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</si>
  <si>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</si>
  <si>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</si>
  <si>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</si>
  <si>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</si>
  <si>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</si>
  <si>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</si>
  <si>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</si>
  <si>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</si>
  <si>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</si>
  <si>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</si>
  <si>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</si>
  <si>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</si>
  <si>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</si>
  <si>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</si>
  <si>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</si>
  <si>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</si>
  <si>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</si>
  <si>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</si>
  <si>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</si>
  <si>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</si>
  <si>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</si>
  <si>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</si>
  <si>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</si>
  <si>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</si>
  <si>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</si>
  <si>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</si>
  <si>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</si>
  <si>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</si>
  <si>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</si>
  <si>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</si>
  <si>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</si>
  <si>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</si>
  <si>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</si>
  <si>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</si>
  <si>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</si>
  <si>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</si>
  <si>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</si>
  <si>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</si>
  <si>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</si>
  <si>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</si>
  <si>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</si>
  <si>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</si>
  <si>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</si>
  <si>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</si>
  <si>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</si>
  <si>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</si>
  <si>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</si>
  <si>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</si>
  <si>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</si>
  <si>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</si>
  <si>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</si>
  <si>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</si>
  <si>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</si>
  <si>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</si>
  <si>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</si>
  <si>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</si>
  <si>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</si>
  <si>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</si>
  <si>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</si>
  <si>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</si>
  <si>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</si>
  <si>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</si>
  <si>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</si>
  <si>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</si>
  <si>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</si>
  <si>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</si>
  <si>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</si>
  <si>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</si>
  <si>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</si>
  <si>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</si>
  <si>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</si>
  <si>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</si>
  <si>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</si>
  <si>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</si>
  <si>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</si>
  <si>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</si>
  <si>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</si>
  <si>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</si>
  <si>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</si>
  <si>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</si>
  <si>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</si>
  <si>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</si>
  <si>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</si>
  <si>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</si>
  <si>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</si>
  <si>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</si>
  <si>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</si>
  <si>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</si>
  <si>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</si>
  <si>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</si>
  <si>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</si>
  <si>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</si>
  <si>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</si>
  <si>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</si>
  <si>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</si>
  <si>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</si>
  <si>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</si>
  <si>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</si>
  <si>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</si>
  <si>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</si>
  <si>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</si>
  <si>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</si>
  <si>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</si>
  <si>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</si>
  <si>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</si>
  <si>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</si>
  <si>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</si>
  <si>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</si>
  <si>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</si>
  <si>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</si>
  <si>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</si>
  <si>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</si>
  <si>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</si>
  <si>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</si>
  <si>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</si>
  <si>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</si>
  <si>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</si>
  <si>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</si>
  <si>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</si>
  <si>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</si>
  <si>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</si>
  <si>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</si>
  <si>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</si>
  <si>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</si>
  <si>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</si>
  <si>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</si>
  <si>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</si>
  <si>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</si>
  <si>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</si>
  <si>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</si>
  <si>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</si>
  <si>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</si>
  <si>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</si>
  <si>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</si>
  <si>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</si>
  <si>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</si>
  <si>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</si>
  <si>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</si>
  <si>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</si>
  <si>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</si>
  <si>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</si>
  <si>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</si>
  <si>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</si>
  <si>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</si>
  <si>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</si>
  <si>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</si>
  <si>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</si>
  <si>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</si>
  <si>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</si>
  <si>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</si>
  <si>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</si>
  <si>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</si>
  <si>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</si>
  <si>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</si>
  <si>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</si>
  <si>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</si>
  <si>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</si>
  <si>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</si>
  <si>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</si>
  <si>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</si>
  <si>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</si>
  <si>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</si>
  <si>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</si>
  <si>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</si>
  <si>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</si>
  <si>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</si>
  <si>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</si>
  <si>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</si>
  <si>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</si>
  <si>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</si>
  <si>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</si>
  <si>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</si>
  <si>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</si>
  <si>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</si>
  <si>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</si>
  <si>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</si>
  <si>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</si>
  <si>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</si>
  <si>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</si>
  <si>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</si>
  <si>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</si>
  <si>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</si>
  <si>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</si>
  <si>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</si>
  <si>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</si>
  <si>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</si>
  <si>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</si>
  <si>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</si>
  <si>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</si>
  <si>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</si>
  <si>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</si>
  <si>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</si>
  <si>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</si>
  <si>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</si>
  <si>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</si>
  <si>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</si>
  <si>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</si>
  <si>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</si>
  <si>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</si>
  <si>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</si>
  <si>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</si>
  <si>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</si>
  <si>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</si>
  <si>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</si>
  <si>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</si>
  <si>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</si>
  <si>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</si>
  <si>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</si>
  <si>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</si>
  <si>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</si>
  <si>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</si>
  <si>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</si>
  <si>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</si>
  <si>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</si>
  <si>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</si>
  <si>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</si>
  <si>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</si>
  <si>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</si>
  <si>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</si>
  <si>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</si>
  <si>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</si>
  <si>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</si>
  <si>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</si>
  <si>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</si>
  <si>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</si>
  <si>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</si>
  <si>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</si>
  <si>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</si>
  <si>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</si>
  <si>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</si>
  <si>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</si>
  <si>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</si>
  <si>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</si>
  <si>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</si>
  <si>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</si>
  <si>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</si>
  <si>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</si>
  <si>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</si>
  <si>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</si>
  <si>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</si>
  <si>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</si>
  <si>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</si>
  <si>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</si>
  <si>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</si>
  <si>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</si>
  <si>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</si>
  <si>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</si>
  <si>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</si>
  <si>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</si>
  <si>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</si>
  <si>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</si>
  <si>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</si>
  <si>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</si>
  <si>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</si>
  <si>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</si>
  <si>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</si>
  <si>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</si>
  <si>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</si>
  <si>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</si>
  <si>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</si>
  <si>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</si>
  <si>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</si>
  <si>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</si>
  <si>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</si>
  <si>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</si>
  <si>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</si>
  <si>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</si>
  <si>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</si>
  <si>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</si>
  <si>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</si>
  <si>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</si>
  <si>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</si>
  <si>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</si>
  <si>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</si>
  <si>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</si>
  <si>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</si>
  <si>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</si>
  <si>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</si>
  <si>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</si>
  <si>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</si>
  <si>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</si>
  <si>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</si>
  <si>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</si>
  <si>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</si>
  <si>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</si>
  <si>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</si>
  <si>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</si>
  <si>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</si>
  <si>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</si>
  <si>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</si>
  <si>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</si>
  <si>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</si>
  <si>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</si>
  <si>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</si>
  <si>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</si>
  <si>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</si>
  <si>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</si>
  <si>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</si>
  <si>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</si>
  <si>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</si>
  <si>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</si>
  <si>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</si>
  <si>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</si>
  <si>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</si>
  <si>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</si>
  <si>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</si>
  <si>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</si>
  <si>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</si>
  <si>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</si>
  <si>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</si>
  <si>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</si>
  <si>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</si>
  <si>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</si>
  <si>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</si>
  <si>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</si>
  <si>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</si>
  <si>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</si>
  <si>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</si>
  <si>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</si>
  <si>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</si>
  <si>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</si>
  <si>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</si>
  <si>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</si>
  <si>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</si>
  <si>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</si>
  <si>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</si>
  <si>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</si>
  <si>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</si>
  <si>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</si>
  <si>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</si>
  <si>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</si>
  <si>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</si>
  <si>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</si>
  <si>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</si>
  <si>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</si>
  <si>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</si>
  <si>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</si>
  <si>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</si>
  <si>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</si>
  <si>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</si>
  <si>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</si>
  <si>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</si>
  <si>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</si>
  <si>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</si>
  <si>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</si>
  <si>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</si>
  <si>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</si>
  <si>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</si>
  <si>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</si>
  <si>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</si>
  <si>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</si>
  <si>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</si>
  <si>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</si>
  <si>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</si>
  <si>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</si>
  <si>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</si>
  <si>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</si>
  <si>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</si>
  <si>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</si>
  <si>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</si>
  <si>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</si>
  <si>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</si>
  <si>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</si>
  <si>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</si>
  <si>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</si>
  <si>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</si>
  <si>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</si>
  <si>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</si>
  <si>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</si>
  <si>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</si>
  <si>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</si>
  <si>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</si>
  <si>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</si>
  <si>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</si>
  <si>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</si>
  <si>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</si>
  <si>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</si>
  <si>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</si>
  <si>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</si>
  <si>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</si>
  <si>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</si>
  <si>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</si>
  <si>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</si>
  <si>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</si>
  <si>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</si>
  <si>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</si>
  <si>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</si>
  <si>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</si>
  <si>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</si>
  <si>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</si>
  <si>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</si>
  <si>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</si>
  <si>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</si>
  <si>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</si>
  <si>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</si>
  <si>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</si>
  <si>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</si>
  <si>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</si>
  <si>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</si>
  <si>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</si>
  <si>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</si>
  <si>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</si>
  <si>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</si>
  <si>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</si>
  <si>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</si>
  <si>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</si>
  <si>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</si>
  <si>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</si>
  <si>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</si>
  <si>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</si>
  <si>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</si>
  <si>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</si>
  <si>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</si>
  <si>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</si>
  <si>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</si>
  <si>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</si>
  <si>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</si>
  <si>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</si>
  <si>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</si>
  <si>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</si>
  <si>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</si>
  <si>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</si>
  <si>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</si>
  <si>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</si>
  <si>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</si>
  <si>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</si>
  <si>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</si>
  <si>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</si>
  <si>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</si>
  <si>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</si>
  <si>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</si>
  <si>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</si>
  <si>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</si>
  <si>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</si>
  <si>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</si>
  <si>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</si>
  <si>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</si>
  <si>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</si>
  <si>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</si>
  <si>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</si>
  <si>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</si>
  <si>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</si>
  <si>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</si>
  <si>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</si>
  <si>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</si>
  <si>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</si>
  <si>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</si>
  <si>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</si>
  <si>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</si>
  <si>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</si>
  <si>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</si>
  <si>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</si>
  <si>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</si>
  <si>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</si>
  <si>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</si>
  <si>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</si>
  <si>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</si>
  <si>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</si>
  <si>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</si>
  <si>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</si>
  <si>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</si>
  <si>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</si>
  <si>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</si>
  <si>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</si>
  <si>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</si>
  <si>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</si>
  <si>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</si>
  <si>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</si>
  <si>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</si>
  <si>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</si>
  <si>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</si>
  <si>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</si>
  <si>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</si>
  <si>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</si>
  <si>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</si>
  <si>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</si>
  <si>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</si>
  <si>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</si>
  <si>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</si>
  <si>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</si>
  <si>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</si>
  <si>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</si>
  <si>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</si>
  <si>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</si>
  <si>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</si>
  <si>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</si>
  <si>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</si>
  <si>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</si>
  <si>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</si>
  <si>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</si>
  <si>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</si>
  <si>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</si>
  <si>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</si>
  <si>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</si>
  <si>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</si>
  <si>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</si>
  <si>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</si>
  <si>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</si>
  <si>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</si>
  <si>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</si>
  <si>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</si>
  <si>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</si>
  <si>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</si>
  <si>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</si>
  <si>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</si>
  <si>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</si>
  <si>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</si>
  <si>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</si>
  <si>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</si>
  <si>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</si>
  <si>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</si>
  <si>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</si>
  <si>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</si>
  <si>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</si>
  <si>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</si>
  <si>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</si>
  <si>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</si>
  <si>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</si>
  <si>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</si>
  <si>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</si>
  <si>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</si>
  <si>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</si>
  <si>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</si>
  <si>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</si>
  <si>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</si>
  <si>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</si>
  <si>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</si>
  <si>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</si>
  <si>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</si>
  <si>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</si>
  <si>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</si>
  <si>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</si>
  <si>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</si>
  <si>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</si>
  <si>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</si>
  <si>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</si>
  <si>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</si>
  <si>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</si>
  <si>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</si>
  <si>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</si>
  <si>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</si>
  <si>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</si>
  <si>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</si>
  <si>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</si>
  <si>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</si>
  <si>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</si>
  <si>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</si>
  <si>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</si>
  <si>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</si>
  <si>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</si>
  <si>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</si>
  <si>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</si>
  <si>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</si>
  <si>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</si>
  <si>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</si>
  <si>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</si>
  <si>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</si>
  <si>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</si>
  <si>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</si>
  <si>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</si>
  <si>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</si>
  <si>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</si>
  <si>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</si>
  <si>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</si>
  <si>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</si>
  <si>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</si>
  <si>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</si>
  <si>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</si>
  <si>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</si>
  <si>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</si>
  <si>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</si>
  <si>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</si>
  <si>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</si>
  <si>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</si>
  <si>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</si>
  <si>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</si>
  <si>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</si>
  <si>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</si>
  <si>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</si>
  <si>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</si>
  <si>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</si>
  <si>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</si>
  <si>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</si>
  <si>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</si>
  <si>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</si>
  <si>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</si>
  <si>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</si>
  <si>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</si>
  <si>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</si>
  <si>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</si>
  <si>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</si>
  <si>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</si>
  <si>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</si>
  <si>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</si>
  <si>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</si>
  <si>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</si>
  <si>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</si>
  <si>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</si>
  <si>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</si>
  <si>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</si>
  <si>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</si>
  <si>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</si>
  <si>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</si>
  <si>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</si>
  <si>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</si>
  <si>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</si>
  <si>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</si>
  <si>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</si>
  <si>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</si>
  <si>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</si>
  <si>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</si>
  <si>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</si>
  <si>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</si>
  <si>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</si>
  <si>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</si>
  <si>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</si>
  <si>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</si>
  <si>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</si>
  <si>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</si>
  <si>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</si>
  <si>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</si>
  <si>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</si>
  <si>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</si>
  <si>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</si>
  <si>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</si>
  <si>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</si>
  <si>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</si>
  <si>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</si>
  <si>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</si>
  <si>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</si>
  <si>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</si>
  <si>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</si>
  <si>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</si>
  <si>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</si>
  <si>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</si>
  <si>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</si>
  <si>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</si>
  <si>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</si>
  <si>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</si>
  <si>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</si>
  <si>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</si>
  <si>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</si>
  <si>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</si>
  <si>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</si>
  <si>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</si>
  <si>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</si>
  <si>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</si>
  <si>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</si>
  <si>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</si>
  <si>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</si>
  <si>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</si>
  <si>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</si>
  <si>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</si>
  <si>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</si>
  <si>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</si>
  <si>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</si>
  <si>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</si>
  <si>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</si>
  <si>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</si>
  <si>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</si>
  <si>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</si>
  <si>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</si>
  <si>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</si>
  <si>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</si>
  <si>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</si>
  <si>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</si>
  <si>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</si>
  <si>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</si>
  <si>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</si>
  <si>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</si>
  <si>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</si>
  <si>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</si>
  <si>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</si>
  <si>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</si>
  <si>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</si>
  <si>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</si>
  <si>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</si>
  <si>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</si>
  <si>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</si>
  <si>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</si>
  <si>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</si>
  <si>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</si>
  <si>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</si>
  <si>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</si>
  <si>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</si>
  <si>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</si>
  <si>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</si>
  <si>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</si>
  <si>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</si>
  <si>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</si>
  <si>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</si>
  <si>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</si>
  <si>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</si>
  <si>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</si>
  <si>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</si>
  <si>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</si>
  <si>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</si>
  <si>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</si>
  <si>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</si>
  <si>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</si>
  <si>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</si>
  <si>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</si>
  <si>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</si>
  <si>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</si>
  <si>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</si>
  <si>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</si>
  <si>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</si>
  <si>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</si>
  <si>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</si>
  <si>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</si>
  <si>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</si>
  <si>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</si>
  <si>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</si>
  <si>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</si>
  <si>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</si>
  <si>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</si>
  <si>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</si>
  <si>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</si>
  <si>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</si>
  <si>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</si>
  <si>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</si>
  <si>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</si>
  <si>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</si>
  <si>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</si>
  <si>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</si>
  <si>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</si>
  <si>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</si>
  <si>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</si>
  <si>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</si>
  <si>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</si>
  <si>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</si>
  <si>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</si>
  <si>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</si>
  <si>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</si>
  <si>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</si>
  <si>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</si>
  <si>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</si>
  <si>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</si>
  <si>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</si>
  <si>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</si>
  <si>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</si>
  <si>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</si>
  <si>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</si>
  <si>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</si>
  <si>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</si>
  <si>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</si>
  <si>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</si>
  <si>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</si>
  <si>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</si>
  <si>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</si>
  <si>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</si>
  <si>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</si>
  <si>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</si>
  <si>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</si>
  <si>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</si>
  <si>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</si>
  <si>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</si>
  <si>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</si>
  <si>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</si>
  <si>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</si>
  <si>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</si>
  <si>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</si>
  <si>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</si>
  <si>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</si>
  <si>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</si>
  <si>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</si>
  <si>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</si>
  <si>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</si>
  <si>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</si>
  <si>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</si>
  <si>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</si>
  <si>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</si>
  <si>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</si>
  <si>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</si>
  <si>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</si>
  <si>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</si>
  <si>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</si>
  <si>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</si>
  <si>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</si>
  <si>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</si>
  <si>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</si>
  <si>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</si>
  <si>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</si>
  <si>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</si>
  <si>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</si>
  <si>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</si>
  <si>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</si>
  <si>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</si>
  <si>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</si>
  <si>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</si>
  <si>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</si>
  <si>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</si>
  <si>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</si>
  <si>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</si>
  <si>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</si>
  <si>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</si>
  <si>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</si>
  <si>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</si>
  <si>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</si>
  <si>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</si>
  <si>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</si>
  <si>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</si>
  <si>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</si>
  <si>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</si>
  <si>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</si>
  <si>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</si>
  <si>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</si>
  <si>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</si>
  <si>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</si>
  <si>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</si>
  <si>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</si>
  <si>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</si>
  <si>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</si>
  <si>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</si>
  <si>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</si>
  <si>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</si>
  <si>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</si>
  <si>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</si>
  <si>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</si>
  <si>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</si>
  <si>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</si>
  <si>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</si>
  <si>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</si>
  <si>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</si>
  <si>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</si>
  <si>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</si>
  <si>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</si>
  <si>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</si>
  <si>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</si>
  <si>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</si>
  <si>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</si>
  <si>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</si>
  <si>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</si>
  <si>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</si>
  <si>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</si>
  <si>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</si>
  <si>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</si>
  <si>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</si>
  <si>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</si>
  <si>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</si>
  <si>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</si>
  <si>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</si>
  <si>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</si>
  <si>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</si>
  <si>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</si>
  <si>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</si>
  <si>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</si>
  <si>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</si>
  <si>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</si>
  <si>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</si>
  <si>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</si>
  <si>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</si>
  <si>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</si>
  <si>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</si>
  <si>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</si>
  <si>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</si>
  <si>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</si>
  <si>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</si>
  <si>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</si>
  <si>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</si>
  <si>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</si>
  <si>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</si>
  <si>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ALTITUD</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</si>
  <si>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</si>
  <si>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</si>
  <si>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</si>
  <si>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</si>
  <si>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</si>
  <si>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</si>
  <si>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</si>
  <si>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</si>
  <si>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</si>
  <si>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</si>
  <si>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</si>
  <si>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</si>
  <si>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</si>
  <si>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</si>
  <si>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</si>
  <si>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</si>
  <si>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</si>
  <si>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</si>
  <si>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</si>
  <si>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</si>
  <si>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</si>
  <si>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</si>
  <si>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</si>
  <si>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</si>
  <si>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</si>
  <si>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</si>
  <si>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</si>
  <si>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</si>
  <si>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</si>
  <si>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</si>
  <si>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</si>
  <si>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</si>
  <si>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</si>
  <si>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</si>
  <si>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</si>
  <si>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</si>
  <si>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</si>
  <si>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</si>
  <si>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</si>
  <si>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</si>
  <si>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</si>
  <si>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</si>
  <si>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</si>
  <si>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</si>
  <si>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</si>
  <si>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</si>
  <si>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</si>
  <si>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</si>
  <si>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</si>
  <si>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</si>
  <si>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</si>
  <si>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</si>
  <si>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</si>
  <si>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</si>
  <si>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</si>
  <si>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</si>
  <si>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</si>
  <si>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</si>
  <si>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</si>
  <si>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</si>
  <si>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</si>
  <si>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</si>
  <si>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</si>
  <si>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</si>
  <si>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</si>
  <si>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</si>
  <si>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</si>
  <si>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</si>
  <si>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</si>
  <si>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</si>
  <si>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</si>
  <si>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</si>
  <si>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</si>
  <si>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</si>
  <si>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</si>
  <si>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</si>
  <si>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</si>
  <si>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</si>
  <si>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</si>
  <si>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</si>
  <si>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</si>
  <si>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</si>
  <si>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</si>
  <si>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</si>
  <si>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</si>
  <si>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</si>
  <si>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</si>
  <si>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</si>
  <si>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</si>
  <si>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</si>
  <si>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</si>
  <si>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</si>
  <si>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</si>
  <si>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</si>
  <si>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</si>
  <si>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</si>
  <si>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</si>
  <si>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</si>
  <si>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</si>
  <si>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</si>
  <si>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</si>
  <si>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</si>
  <si>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</si>
  <si>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</si>
  <si>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</si>
  <si>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</si>
  <si>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</si>
  <si>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</si>
  <si>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</si>
  <si>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</si>
  <si>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</si>
  <si>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</si>
  <si>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</si>
  <si>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</si>
  <si>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</si>
  <si>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</si>
  <si>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</si>
  <si>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</si>
  <si>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</si>
  <si>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</si>
  <si>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</si>
  <si>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</si>
  <si>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</si>
  <si>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</si>
  <si>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</si>
  <si>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</si>
  <si>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https://portaltransparencia.jocotepec.gob.mx/informacion/5954</t>
  </si>
  <si>
    <t>6151-2-25.1-050-442</t>
  </si>
  <si>
    <t>https://portaltransparencia.jocotepec.gob.mx/informacion/3579</t>
  </si>
  <si>
    <t>https://portaltransparencia.jocotepec.gob.mx/informacion/2930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</si>
</sst>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8" fillId="0" borderId="0"/>
    <xf numFmtId="9" fontId="1" fillId="0" borderId="0" applyFont="0" applyFill="0" applyBorder="0" applyAlignment="0" applyProtection="0"/>
  </cellStyleXfs>
  <cellXfs count="2083">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10" borderId="46"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1"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3"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4"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0" xfId="0" applyFont="1" applyFill="1" applyBorder="1" applyAlignment="1">
      <alignment horizontal="center" vertical="center"/>
    </xf>
    <xf numFmtId="0" fontId="3" fillId="0" borderId="28" xfId="0" applyFont="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3" fillId="0" borderId="86"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7"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169" fontId="0" fillId="20" borderId="53" xfId="0" applyNumberFormat="1" applyFill="1" applyBorder="1" applyAlignment="1">
      <alignment horizontal="center" vertical="center"/>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1" xfId="0" applyFill="1" applyBorder="1" applyAlignment="1">
      <alignment horizontal="center" vertical="center"/>
    </xf>
    <xf numFmtId="0" fontId="0" fillId="10" borderId="92"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3" xfId="0" applyBorder="1"/>
    <xf numFmtId="0" fontId="0" fillId="0" borderId="94" xfId="0" applyBorder="1"/>
    <xf numFmtId="0" fontId="0" fillId="0" borderId="95" xfId="0" applyBorder="1"/>
    <xf numFmtId="0" fontId="0" fillId="0" borderId="94"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2" fillId="31" borderId="1" xfId="2" applyNumberFormat="1" applyFont="1" applyFill="1" applyBorder="1" applyAlignment="1" applyProtection="1">
      <alignment vertical="center"/>
    </xf>
    <xf numFmtId="0" fontId="52"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2"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3" fillId="0" borderId="0" xfId="0" applyFont="1"/>
    <xf numFmtId="0" fontId="20" fillId="0" borderId="0" xfId="0" applyFont="1"/>
    <xf numFmtId="0" fontId="0" fillId="23" borderId="1" xfId="0" applyFill="1" applyBorder="1"/>
    <xf numFmtId="0" fontId="0" fillId="23" borderId="103" xfId="0" applyFill="1" applyBorder="1"/>
    <xf numFmtId="0" fontId="0" fillId="23" borderId="82" xfId="0" applyFill="1" applyBorder="1"/>
    <xf numFmtId="0" fontId="0" fillId="0" borderId="103" xfId="0" applyBorder="1" applyAlignment="1">
      <alignment vertical="top"/>
    </xf>
    <xf numFmtId="0" fontId="0" fillId="0" borderId="1" xfId="0" applyBorder="1" applyAlignment="1">
      <alignment vertical="top"/>
    </xf>
    <xf numFmtId="0" fontId="0" fillId="0" borderId="82" xfId="0" applyBorder="1" applyAlignment="1">
      <alignment vertical="top"/>
    </xf>
    <xf numFmtId="0" fontId="0" fillId="0" borderId="0" xfId="0" applyAlignment="1">
      <alignment vertical="top"/>
    </xf>
    <xf numFmtId="0" fontId="0" fillId="0" borderId="104" xfId="0" applyBorder="1" applyAlignment="1">
      <alignment vertical="top"/>
    </xf>
    <xf numFmtId="0" fontId="0" fillId="0" borderId="105" xfId="0" applyBorder="1" applyAlignment="1">
      <alignment vertical="top"/>
    </xf>
    <xf numFmtId="0" fontId="0" fillId="0" borderId="106" xfId="0" applyBorder="1" applyAlignment="1">
      <alignment vertical="top"/>
    </xf>
    <xf numFmtId="14" fontId="0" fillId="0" borderId="1" xfId="0" applyNumberFormat="1" applyBorder="1" applyAlignment="1">
      <alignment vertical="top"/>
    </xf>
    <xf numFmtId="14" fontId="0" fillId="0" borderId="105" xfId="0" applyNumberFormat="1" applyBorder="1" applyAlignment="1">
      <alignment vertical="top"/>
    </xf>
    <xf numFmtId="0" fontId="0" fillId="0" borderId="105" xfId="0" applyBorder="1" applyAlignment="1">
      <alignment vertical="top" wrapText="1"/>
    </xf>
    <xf numFmtId="169" fontId="0" fillId="0" borderId="1" xfId="0" applyNumberFormat="1" applyBorder="1" applyAlignment="1">
      <alignment vertical="top"/>
    </xf>
    <xf numFmtId="169" fontId="0" fillId="0" borderId="105"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08" xfId="0" applyFont="1" applyFill="1" applyBorder="1" applyAlignment="1">
      <alignment horizontal="center" vertical="center"/>
    </xf>
    <xf numFmtId="0" fontId="18" fillId="17" borderId="109" xfId="0" applyFont="1" applyFill="1" applyBorder="1" applyAlignment="1">
      <alignment horizontal="center" vertical="center"/>
    </xf>
    <xf numFmtId="0" fontId="0" fillId="2" borderId="110" xfId="0" applyFill="1" applyBorder="1" applyAlignment="1">
      <alignment horizontal="center" vertical="center"/>
    </xf>
    <xf numFmtId="0" fontId="0" fillId="23" borderId="107" xfId="0" applyFill="1" applyBorder="1" applyAlignment="1">
      <alignment horizontal="center" vertical="center"/>
    </xf>
    <xf numFmtId="169" fontId="0" fillId="0" borderId="111" xfId="0" applyNumberFormat="1" applyBorder="1" applyAlignment="1">
      <alignment horizontal="center" vertical="center"/>
    </xf>
    <xf numFmtId="169" fontId="15" fillId="14" borderId="111" xfId="0" applyNumberFormat="1" applyFont="1" applyFill="1" applyBorder="1" applyAlignment="1">
      <alignment horizontal="center" vertical="center"/>
    </xf>
    <xf numFmtId="169" fontId="10" fillId="0" borderId="111" xfId="0" applyNumberFormat="1" applyFont="1" applyBorder="1" applyAlignment="1">
      <alignment horizontal="center" vertical="center"/>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1" xfId="0" applyNumberFormat="1" applyFont="1" applyFill="1" applyBorder="1" applyAlignment="1">
      <alignment horizontal="center" vertical="center"/>
    </xf>
    <xf numFmtId="0" fontId="57" fillId="0" borderId="0" xfId="0" applyFont="1"/>
    <xf numFmtId="0" fontId="57" fillId="0" borderId="0" xfId="0" applyFont="1" applyAlignment="1">
      <alignment textRotation="90"/>
    </xf>
    <xf numFmtId="0" fontId="58" fillId="0" borderId="0" xfId="0" applyFont="1"/>
    <xf numFmtId="0" fontId="57" fillId="0" borderId="0" xfId="0" applyFont="1" applyAlignment="1">
      <alignment horizontal="left" vertical="center"/>
    </xf>
    <xf numFmtId="164" fontId="57" fillId="0" borderId="0" xfId="0" applyNumberFormat="1" applyFont="1"/>
    <xf numFmtId="0" fontId="59"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0" fillId="0" borderId="0" xfId="0" applyNumberFormat="1" applyFont="1"/>
    <xf numFmtId="0" fontId="17" fillId="0" borderId="0" xfId="0" applyFont="1" applyAlignment="1">
      <alignment horizontal="center" vertical="center"/>
    </xf>
    <xf numFmtId="14" fontId="27" fillId="0" borderId="0" xfId="0" applyNumberFormat="1" applyFont="1" applyAlignment="1">
      <alignment horizontal="center"/>
    </xf>
    <xf numFmtId="44" fontId="59" fillId="0" borderId="0" xfId="0" applyNumberFormat="1" applyFont="1"/>
    <xf numFmtId="0" fontId="61" fillId="0" borderId="0" xfId="0" applyFont="1"/>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3" xfId="0" applyNumberFormat="1" applyFill="1" applyBorder="1" applyAlignment="1">
      <alignment horizontal="center" vertical="center"/>
    </xf>
    <xf numFmtId="169" fontId="0" fillId="14" borderId="113" xfId="0" applyNumberFormat="1" applyFill="1" applyBorder="1" applyAlignment="1">
      <alignment horizontal="center" vertical="center"/>
    </xf>
    <xf numFmtId="169" fontId="0" fillId="0" borderId="113" xfId="0" applyNumberFormat="1" applyBorder="1" applyAlignment="1">
      <alignment horizontal="center" vertical="center"/>
    </xf>
    <xf numFmtId="169" fontId="0" fillId="0" borderId="82"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3"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2" xfId="0" applyNumberFormat="1" applyBorder="1" applyAlignment="1">
      <alignment horizontal="center" vertical="center"/>
    </xf>
    <xf numFmtId="0" fontId="0" fillId="0" borderId="103" xfId="0" applyBorder="1" applyAlignment="1">
      <alignment horizontal="center" vertical="center" wrapText="1"/>
    </xf>
    <xf numFmtId="0" fontId="0" fillId="0" borderId="114"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3"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2"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3" xfId="0" applyNumberFormat="1" applyFont="1" applyBorder="1" applyAlignment="1">
      <alignment horizontal="center" vertical="center"/>
    </xf>
    <xf numFmtId="169" fontId="19" fillId="0" borderId="113" xfId="0" applyNumberFormat="1" applyFont="1" applyBorder="1" applyAlignment="1">
      <alignment horizontal="center" vertical="center"/>
    </xf>
    <xf numFmtId="169" fontId="19" fillId="0" borderId="113" xfId="0" applyNumberFormat="1" applyFont="1" applyBorder="1" applyAlignment="1">
      <alignment horizontal="center" vertical="center" wrapText="1"/>
    </xf>
    <xf numFmtId="169" fontId="57" fillId="0" borderId="113"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70"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2" xfId="0" applyFill="1" applyBorder="1" applyAlignment="1">
      <alignment horizontal="center" vertical="center"/>
    </xf>
    <xf numFmtId="0" fontId="0" fillId="23" borderId="123" xfId="0" applyFill="1" applyBorder="1" applyAlignment="1">
      <alignment horizontal="center" vertical="center"/>
    </xf>
    <xf numFmtId="0" fontId="2" fillId="23" borderId="123" xfId="0" applyFont="1" applyFill="1" applyBorder="1" applyAlignment="1">
      <alignment horizontal="center" vertical="center" wrapText="1"/>
    </xf>
    <xf numFmtId="0" fontId="0" fillId="23" borderId="123" xfId="0" applyFill="1" applyBorder="1" applyAlignment="1">
      <alignment horizontal="center" vertical="center" wrapText="1"/>
    </xf>
    <xf numFmtId="0" fontId="37" fillId="23" borderId="123" xfId="0" applyFont="1" applyFill="1" applyBorder="1" applyAlignment="1">
      <alignment horizontal="center" vertical="center"/>
    </xf>
    <xf numFmtId="0" fontId="0" fillId="2" borderId="105" xfId="0" applyFill="1" applyBorder="1" applyAlignment="1">
      <alignment horizontal="center" vertical="center"/>
    </xf>
    <xf numFmtId="0" fontId="2" fillId="2" borderId="105" xfId="0" applyFont="1" applyFill="1" applyBorder="1" applyAlignment="1">
      <alignment horizontal="center" vertical="center" wrapText="1"/>
    </xf>
    <xf numFmtId="0" fontId="0" fillId="2" borderId="105" xfId="0" applyFill="1" applyBorder="1" applyAlignment="1">
      <alignment horizontal="center" vertical="center" wrapText="1"/>
    </xf>
    <xf numFmtId="0" fontId="37" fillId="2" borderId="105" xfId="0" applyFont="1" applyFill="1" applyBorder="1" applyAlignment="1">
      <alignment horizontal="center" vertical="center"/>
    </xf>
    <xf numFmtId="0" fontId="0" fillId="2" borderId="123" xfId="0" applyFill="1" applyBorder="1" applyAlignment="1">
      <alignment horizontal="center" vertical="center"/>
    </xf>
    <xf numFmtId="0" fontId="26" fillId="2" borderId="105" xfId="0" applyFont="1" applyFill="1" applyBorder="1" applyAlignment="1">
      <alignment horizontal="center" vertical="center" wrapText="1"/>
    </xf>
    <xf numFmtId="0" fontId="26" fillId="2" borderId="105"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6" xfId="0" applyFont="1" applyFill="1" applyBorder="1" applyAlignment="1">
      <alignment horizontal="center" vertical="center"/>
    </xf>
    <xf numFmtId="0" fontId="0" fillId="23" borderId="127"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4" xfId="0" applyNumberFormat="1" applyBorder="1" applyAlignment="1">
      <alignment horizontal="center" vertical="center"/>
    </xf>
    <xf numFmtId="169" fontId="0" fillId="15" borderId="124" xfId="0" applyNumberFormat="1" applyFill="1" applyBorder="1" applyAlignment="1">
      <alignment horizontal="center" vertical="center"/>
    </xf>
    <xf numFmtId="169" fontId="0" fillId="14" borderId="124"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4" xfId="0"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1" fillId="0" borderId="54" xfId="0" applyNumberFormat="1" applyFont="1" applyBorder="1" applyAlignment="1">
      <alignment horizontal="center" vertical="center"/>
    </xf>
    <xf numFmtId="0" fontId="72"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2"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4" xfId="0" applyNumberFormat="1" applyBorder="1" applyAlignment="1">
      <alignment horizontal="center" vertical="center"/>
    </xf>
    <xf numFmtId="44" fontId="0" fillId="14" borderId="124"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1"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5" fillId="0" borderId="1" xfId="0" applyFont="1" applyBorder="1" applyAlignment="1">
      <alignment horizontal="center" vertical="center" wrapText="1"/>
    </xf>
    <xf numFmtId="0" fontId="76" fillId="0" borderId="1" xfId="0" applyFont="1" applyBorder="1" applyAlignment="1">
      <alignment vertical="center" wrapText="1"/>
    </xf>
    <xf numFmtId="0" fontId="75" fillId="0" borderId="1" xfId="0" applyFont="1" applyBorder="1" applyAlignment="1">
      <alignment vertical="center" wrapText="1"/>
    </xf>
    <xf numFmtId="0" fontId="74"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9"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7"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7"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9"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5"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1"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08" xfId="0" applyFont="1" applyFill="1" applyBorder="1" applyAlignment="1">
      <alignment horizontal="center" vertical="center"/>
    </xf>
    <xf numFmtId="0" fontId="18" fillId="17" borderId="107" xfId="0" applyFont="1" applyFill="1" applyBorder="1" applyAlignment="1">
      <alignment horizontal="center" vertical="center"/>
    </xf>
    <xf numFmtId="0" fontId="0" fillId="2" borderId="110" xfId="0" applyFill="1" applyBorder="1" applyAlignment="1">
      <alignment horizontal="center" vertical="center" wrapText="1"/>
    </xf>
    <xf numFmtId="0" fontId="5" fillId="19" borderId="129" xfId="0" applyFont="1" applyFill="1" applyBorder="1" applyAlignment="1">
      <alignment horizontal="center" vertical="center"/>
    </xf>
    <xf numFmtId="0" fontId="18" fillId="17" borderId="131" xfId="0" applyFont="1" applyFill="1" applyBorder="1" applyAlignment="1">
      <alignment horizontal="center" vertical="center"/>
    </xf>
    <xf numFmtId="0" fontId="2" fillId="2" borderId="130"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0"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2"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7"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1"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0"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4"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1" xfId="0" applyNumberFormat="1" applyFill="1" applyBorder="1" applyAlignment="1">
      <alignment horizontal="center" vertical="center"/>
    </xf>
    <xf numFmtId="0" fontId="0" fillId="2" borderId="86"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2" xfId="0" applyNumberFormat="1" applyFill="1" applyBorder="1" applyAlignment="1">
      <alignment horizontal="center" vertical="center"/>
    </xf>
    <xf numFmtId="0" fontId="86"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6"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7" fillId="10" borderId="0" xfId="0" applyFont="1" applyFill="1"/>
    <xf numFmtId="0" fontId="9" fillId="0" borderId="49" xfId="0" applyFont="1" applyBorder="1" applyAlignment="1">
      <alignment horizontal="center" vertical="center" wrapText="1"/>
    </xf>
    <xf numFmtId="0" fontId="87" fillId="0" borderId="1" xfId="2" applyFont="1" applyFill="1" applyBorder="1" applyAlignment="1" applyProtection="1">
      <alignment horizontal="left" vertical="center" wrapText="1"/>
    </xf>
    <xf numFmtId="0" fontId="76"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0" fillId="26" borderId="17" xfId="0" applyNumberFormat="1" applyFont="1" applyFill="1" applyBorder="1" applyAlignment="1">
      <alignment horizontal="center" vertical="center" textRotation="90"/>
    </xf>
    <xf numFmtId="14" fontId="90" fillId="26" borderId="17" xfId="0" applyNumberFormat="1" applyFont="1" applyFill="1" applyBorder="1" applyAlignment="1">
      <alignment horizontal="center" vertical="center" textRotation="90"/>
    </xf>
    <xf numFmtId="16" fontId="90"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2" fillId="0" borderId="1" xfId="0" applyFont="1" applyBorder="1" applyAlignment="1">
      <alignment vertical="center" wrapText="1"/>
    </xf>
    <xf numFmtId="0" fontId="26" fillId="0" borderId="50" xfId="0" applyFont="1" applyBorder="1" applyAlignment="1">
      <alignment horizontal="left" vertical="center" wrapText="1"/>
    </xf>
    <xf numFmtId="0" fontId="75"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2" xfId="0" applyNumberFormat="1" applyFont="1" applyFill="1" applyBorder="1" applyAlignment="1">
      <alignment horizontal="center" vertical="center"/>
    </xf>
    <xf numFmtId="169" fontId="12" fillId="15" borderId="113"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8"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9"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9"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2"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6"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100"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1"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1"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9"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4"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5"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6" borderId="35" xfId="0" applyFont="1" applyFill="1" applyBorder="1" applyAlignment="1">
      <alignment horizontal="center" vertical="center"/>
    </xf>
    <xf numFmtId="0" fontId="106" fillId="13" borderId="1" xfId="0" applyFont="1" applyFill="1" applyBorder="1"/>
    <xf numFmtId="0" fontId="26" fillId="23" borderId="1" xfId="0" applyFont="1" applyFill="1" applyBorder="1"/>
    <xf numFmtId="44" fontId="107"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8"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3" xfId="0" applyFill="1" applyBorder="1" applyAlignment="1">
      <alignment horizontal="center" vertical="center" wrapText="1"/>
    </xf>
    <xf numFmtId="0" fontId="68" fillId="47"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3" fillId="2" borderId="0" xfId="0" applyFont="1" applyFill="1" applyAlignment="1">
      <alignment horizontal="center" vertical="center" wrapText="1"/>
    </xf>
    <xf numFmtId="0" fontId="110"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1"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1"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0" fontId="2" fillId="2" borderId="87"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3"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3" xfId="0" applyFont="1" applyFill="1" applyBorder="1" applyAlignment="1">
      <alignment horizontal="center" vertical="center" wrapText="1"/>
    </xf>
    <xf numFmtId="43" fontId="0" fillId="0" borderId="0" xfId="0" applyNumberFormat="1"/>
    <xf numFmtId="165" fontId="0" fillId="0" borderId="0" xfId="0" applyNumberFormat="1" applyAlignment="1">
      <alignment horizontal="center" vertical="center" wrapText="1"/>
    </xf>
    <xf numFmtId="165" fontId="0" fillId="15" borderId="30" xfId="0" applyNumberFormat="1" applyFill="1" applyBorder="1" applyAlignment="1">
      <alignment horizontal="center" vertical="center"/>
    </xf>
    <xf numFmtId="2" fontId="0" fillId="0" borderId="0" xfId="0" applyNumberFormat="1"/>
    <xf numFmtId="44" fontId="51"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12"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113" fillId="14" borderId="46" xfId="0" applyNumberFormat="1" applyFont="1" applyFill="1" applyBorder="1" applyAlignment="1">
      <alignment horizontal="center" vertical="center"/>
    </xf>
    <xf numFmtId="0" fontId="10" fillId="14" borderId="46" xfId="0" applyFont="1" applyFill="1" applyBorder="1" applyAlignment="1">
      <alignment horizontal="center" vertical="center"/>
    </xf>
    <xf numFmtId="14" fontId="113" fillId="0" borderId="46" xfId="0" applyNumberFormat="1" applyFont="1" applyBorder="1" applyAlignment="1">
      <alignment horizontal="center" vertical="center"/>
    </xf>
    <xf numFmtId="0" fontId="62" fillId="15" borderId="96" xfId="0" applyFont="1" applyFill="1" applyBorder="1" applyAlignment="1">
      <alignment horizontal="center" vertical="center"/>
    </xf>
    <xf numFmtId="14" fontId="4" fillId="0" borderId="97"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9" fillId="20" borderId="33" xfId="2" applyFont="1" applyFill="1" applyBorder="1" applyAlignment="1" applyProtection="1">
      <alignment horizontal="left" vertical="center" wrapText="1"/>
    </xf>
    <xf numFmtId="0" fontId="46"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29" fillId="0" borderId="1" xfId="2" applyFill="1" applyBorder="1" applyAlignment="1" applyProtection="1">
      <alignment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15" fillId="14" borderId="51" xfId="0" applyFont="1" applyFill="1" applyBorder="1" applyAlignment="1">
      <alignment horizontal="center" vertical="center" wrapText="1"/>
    </xf>
    <xf numFmtId="0" fontId="15" fillId="14" borderId="3" xfId="0" applyFont="1" applyFill="1" applyBorder="1" applyAlignment="1">
      <alignment horizontal="center" vertical="center"/>
    </xf>
    <xf numFmtId="0" fontId="3" fillId="27" borderId="51" xfId="0" applyFont="1" applyFill="1" applyBorder="1" applyAlignment="1">
      <alignment horizontal="center" vertical="center"/>
    </xf>
    <xf numFmtId="9" fontId="0" fillId="0" borderId="1" xfId="5" applyFont="1" applyFill="1" applyBorder="1" applyAlignment="1">
      <alignment horizontal="center" vertical="center" wrapText="1"/>
    </xf>
    <xf numFmtId="0" fontId="29" fillId="0" borderId="8" xfId="2" applyFill="1" applyBorder="1" applyAlignment="1" applyProtection="1">
      <alignment horizontal="left"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9"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0" fontId="0" fillId="0" borderId="3" xfId="0" applyBorder="1" applyAlignment="1">
      <alignment horizontal="center"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51" fillId="0" borderId="1" xfId="0" applyFont="1" applyBorder="1" applyAlignment="1">
      <alignment horizontal="left" vertical="center" wrapText="1"/>
    </xf>
    <xf numFmtId="0" fontId="46" fillId="0" borderId="2" xfId="2" applyFont="1" applyFill="1" applyBorder="1" applyAlignment="1" applyProtection="1">
      <alignment horizontal="center" vertical="center" wrapText="1"/>
    </xf>
    <xf numFmtId="44" fontId="0" fillId="0" borderId="46" xfId="0" applyNumberFormat="1" applyBorder="1" applyAlignment="1">
      <alignment horizontal="center" vertical="center"/>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2" xfId="0" applyNumberFormat="1" applyFont="1" applyBorder="1" applyAlignment="1">
      <alignment horizontal="center" vertical="center"/>
    </xf>
    <xf numFmtId="169" fontId="10" fillId="0" borderId="113"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9" fillId="0" borderId="0" xfId="2" applyFill="1" applyAlignment="1" applyProtection="1">
      <alignment vertical="center" wrapText="1"/>
    </xf>
    <xf numFmtId="44" fontId="0" fillId="0" borderId="1" xfId="0" applyNumberFormat="1" applyBorder="1" applyAlignment="1">
      <alignment horizontal="center" vertical="center" wrapText="1"/>
    </xf>
    <xf numFmtId="169" fontId="15" fillId="0" borderId="111" xfId="0" applyNumberFormat="1" applyFont="1" applyBorder="1" applyAlignment="1">
      <alignment horizontal="center" vertical="center"/>
    </xf>
    <xf numFmtId="14" fontId="15" fillId="0" borderId="2" xfId="0" applyNumberFormat="1" applyFont="1" applyBorder="1" applyAlignment="1">
      <alignment horizontal="center" vertical="center"/>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3" xfId="0" applyNumberFormat="1" applyBorder="1" applyAlignment="1">
      <alignment horizontal="center" vertical="center"/>
    </xf>
    <xf numFmtId="165" fontId="0" fillId="0" borderId="57" xfId="0" applyNumberFormat="1" applyBorder="1" applyAlignment="1">
      <alignment horizontal="center" vertical="center"/>
    </xf>
    <xf numFmtId="0" fontId="7" fillId="0" borderId="1" xfId="0" applyFont="1" applyBorder="1" applyAlignment="1">
      <alignment horizontal="left"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3" xfId="0" applyNumberFormat="1" applyFont="1" applyBorder="1" applyAlignment="1">
      <alignment horizontal="center" vertical="center" wrapText="1"/>
    </xf>
    <xf numFmtId="169" fontId="13" fillId="0" borderId="113"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8" xfId="0" applyFill="1" applyBorder="1" applyAlignment="1">
      <alignment horizontal="center" vertical="center" textRotation="90"/>
    </xf>
    <xf numFmtId="165" fontId="57" fillId="0" borderId="0" xfId="0" applyNumberFormat="1" applyFont="1" applyAlignment="1">
      <alignment horizontal="center"/>
    </xf>
    <xf numFmtId="0" fontId="104" fillId="0" borderId="0" xfId="0" applyFont="1" applyAlignment="1">
      <alignment horizontal="center"/>
    </xf>
    <xf numFmtId="0" fontId="103" fillId="0" borderId="0" xfId="0" applyFont="1" applyAlignment="1">
      <alignment horizontal="center"/>
    </xf>
    <xf numFmtId="44" fontId="53"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3"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101" fillId="0" borderId="83" xfId="0" applyFont="1" applyBorder="1" applyAlignment="1">
      <alignment horizontal="center" vertical="center" wrapText="1"/>
    </xf>
    <xf numFmtId="0" fontId="101" fillId="0" borderId="51" xfId="0" applyFont="1" applyBorder="1" applyAlignment="1">
      <alignment horizontal="center" vertical="center" wrapText="1"/>
    </xf>
    <xf numFmtId="0" fontId="101" fillId="11" borderId="51" xfId="0" applyFont="1" applyFill="1" applyBorder="1" applyAlignment="1">
      <alignment horizontal="center" vertical="center" wrapText="1"/>
    </xf>
    <xf numFmtId="0" fontId="101" fillId="25" borderId="51" xfId="0" applyFont="1" applyFill="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170" fontId="64" fillId="0" borderId="28" xfId="0" applyNumberFormat="1" applyFont="1" applyBorder="1" applyAlignment="1">
      <alignment horizontal="left" vertical="center"/>
    </xf>
    <xf numFmtId="170" fontId="64" fillId="0" borderId="0" xfId="0" applyNumberFormat="1" applyFont="1" applyAlignment="1">
      <alignment horizontal="left" vertical="center"/>
    </xf>
    <xf numFmtId="170" fontId="64" fillId="0" borderId="0" xfId="0" applyNumberFormat="1" applyFont="1" applyAlignment="1">
      <alignment horizontal="left" vertical="center" wrapText="1"/>
    </xf>
    <xf numFmtId="0" fontId="5" fillId="3" borderId="118" xfId="0" applyFont="1" applyFill="1" applyBorder="1" applyAlignment="1">
      <alignment horizontal="center" vertical="center"/>
    </xf>
    <xf numFmtId="0" fontId="5" fillId="3" borderId="119" xfId="0" applyFont="1" applyFill="1" applyBorder="1" applyAlignment="1">
      <alignment horizontal="center" vertical="center" wrapText="1"/>
    </xf>
    <xf numFmtId="0" fontId="5" fillId="3" borderId="119" xfId="0" applyFont="1" applyFill="1" applyBorder="1" applyAlignment="1">
      <alignment horizontal="center" vertical="center"/>
    </xf>
    <xf numFmtId="0" fontId="5" fillId="3" borderId="128"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0" xfId="0" applyBorder="1" applyAlignment="1">
      <alignment horizontal="center" vertical="center"/>
    </xf>
    <xf numFmtId="0" fontId="0" fillId="0" borderId="28" xfId="0" applyBorder="1" applyAlignment="1">
      <alignment horizontal="center" vertical="center"/>
    </xf>
    <xf numFmtId="0" fontId="68" fillId="38" borderId="33" xfId="0" applyFont="1" applyFill="1" applyBorder="1" applyAlignment="1">
      <alignment horizontal="center" vertical="center"/>
    </xf>
    <xf numFmtId="0" fontId="68" fillId="38" borderId="27" xfId="0" applyFont="1" applyFill="1" applyBorder="1" applyAlignment="1">
      <alignment horizontal="center" vertical="center"/>
    </xf>
    <xf numFmtId="0" fontId="68" fillId="38" borderId="24" xfId="0" applyFont="1" applyFill="1" applyBorder="1" applyAlignment="1">
      <alignment horizontal="center" vertical="center"/>
    </xf>
    <xf numFmtId="0" fontId="69" fillId="2" borderId="120" xfId="0" applyFont="1" applyFill="1" applyBorder="1" applyAlignment="1">
      <alignment horizontal="center" vertical="center"/>
    </xf>
    <xf numFmtId="0" fontId="69" fillId="2" borderId="46" xfId="0" applyFont="1" applyFill="1" applyBorder="1" applyAlignment="1">
      <alignment horizontal="center" vertical="center" wrapText="1"/>
    </xf>
    <xf numFmtId="0" fontId="69" fillId="2" borderId="46" xfId="0" applyFont="1" applyFill="1" applyBorder="1" applyAlignment="1">
      <alignment horizontal="center" vertical="center"/>
    </xf>
    <xf numFmtId="0" fontId="68" fillId="37" borderId="33" xfId="0" applyFont="1" applyFill="1" applyBorder="1" applyAlignment="1">
      <alignment horizontal="center" vertical="center"/>
    </xf>
    <xf numFmtId="0" fontId="68" fillId="37" borderId="2" xfId="0" applyFont="1" applyFill="1" applyBorder="1" applyAlignment="1">
      <alignment horizontal="center" vertical="center"/>
    </xf>
    <xf numFmtId="0" fontId="68" fillId="24" borderId="44" xfId="0" applyFont="1" applyFill="1" applyBorder="1" applyAlignment="1">
      <alignment horizontal="center" vertical="center"/>
    </xf>
    <xf numFmtId="0" fontId="68" fillId="24" borderId="46" xfId="0" applyFont="1" applyFill="1" applyBorder="1" applyAlignment="1">
      <alignment horizontal="center" vertical="center"/>
    </xf>
    <xf numFmtId="0" fontId="28" fillId="27" borderId="96" xfId="0" applyFont="1" applyFill="1" applyBorder="1" applyAlignment="1">
      <alignment horizontal="center" vertical="center" wrapText="1"/>
    </xf>
    <xf numFmtId="0" fontId="28" fillId="27" borderId="97" xfId="0" applyFont="1" applyFill="1" applyBorder="1" applyAlignment="1">
      <alignment horizontal="center" vertical="center" wrapText="1"/>
    </xf>
    <xf numFmtId="0" fontId="28" fillId="25" borderId="125"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0"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5"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17"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58" fillId="28" borderId="44" xfId="0" applyFont="1" applyFill="1" applyBorder="1" applyAlignment="1">
      <alignment horizontal="center" vertical="center"/>
    </xf>
    <xf numFmtId="0" fontId="58" fillId="28" borderId="116" xfId="0" applyFont="1" applyFill="1" applyBorder="1" applyAlignment="1">
      <alignment horizontal="center" vertical="center"/>
    </xf>
    <xf numFmtId="0" fontId="58" fillId="28" borderId="46" xfId="0" applyFont="1" applyFill="1" applyBorder="1" applyAlignment="1">
      <alignment horizontal="center" vertical="center"/>
    </xf>
    <xf numFmtId="0" fontId="58" fillId="28" borderId="121" xfId="0" applyFont="1" applyFill="1" applyBorder="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8"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8"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6" xfId="0" applyFont="1" applyBorder="1" applyAlignment="1">
      <alignment horizontal="center" vertical="center" textRotation="90"/>
    </xf>
    <xf numFmtId="0" fontId="3" fillId="18" borderId="86" xfId="0" applyFont="1" applyFill="1" applyBorder="1" applyAlignment="1">
      <alignment horizontal="center" vertical="center"/>
    </xf>
    <xf numFmtId="170" fontId="0" fillId="0" borderId="0" xfId="0" applyNumberFormat="1" applyAlignment="1">
      <alignment horizontal="left"/>
    </xf>
    <xf numFmtId="0" fontId="16" fillId="34" borderId="99"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98" xfId="0" applyFill="1" applyBorder="1" applyAlignment="1">
      <alignment horizontal="center" vertical="center"/>
    </xf>
    <xf numFmtId="0" fontId="0" fillId="34" borderId="101" xfId="0" applyFill="1" applyBorder="1" applyAlignment="1">
      <alignment horizontal="center" vertical="center"/>
    </xf>
    <xf numFmtId="0" fontId="0" fillId="34" borderId="100" xfId="0" applyFill="1" applyBorder="1" applyAlignment="1">
      <alignment horizontal="center" vertical="center"/>
    </xf>
    <xf numFmtId="0" fontId="0" fillId="34" borderId="102" xfId="0" applyFill="1" applyBorder="1" applyAlignment="1">
      <alignment horizontal="center" vertical="center"/>
    </xf>
    <xf numFmtId="0" fontId="16" fillId="34" borderId="61" xfId="0" applyFont="1" applyFill="1" applyBorder="1" applyAlignment="1">
      <alignment horizontal="center"/>
    </xf>
    <xf numFmtId="0" fontId="0" fillId="34" borderId="99" xfId="0" applyFill="1" applyBorder="1" applyAlignment="1">
      <alignment horizontal="center" vertical="center"/>
    </xf>
    <xf numFmtId="0" fontId="0" fillId="34" borderId="45" xfId="0" applyFill="1" applyBorder="1" applyAlignment="1">
      <alignment horizontal="center" vertical="center"/>
    </xf>
    <xf numFmtId="0" fontId="16" fillId="34" borderId="99"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6" fillId="0" borderId="0" xfId="0" applyFont="1" applyAlignment="1">
      <alignment horizontal="center"/>
    </xf>
    <xf numFmtId="170" fontId="67" fillId="0" borderId="0" xfId="0" applyNumberFormat="1" applyFont="1" applyAlignment="1">
      <alignment horizontal="left"/>
    </xf>
    <xf numFmtId="0" fontId="30" fillId="0" borderId="46" xfId="0" applyFont="1" applyBorder="1" applyAlignment="1">
      <alignment horizontal="center"/>
    </xf>
    <xf numFmtId="170" fontId="63" fillId="0" borderId="0" xfId="0" applyNumberFormat="1" applyFont="1" applyAlignment="1">
      <alignment horizontal="center" vertical="center"/>
    </xf>
    <xf numFmtId="0" fontId="109"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D5B9FF"/>
      <color rgb="FF0066FF"/>
      <color rgb="FF66FFFF"/>
      <color rgb="FF99FF66"/>
      <color rgb="FF1A03C3"/>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hyperlink" Target="https://portaltransparencia.jocotepec.gob.mx/informacion/3331"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2930" TargetMode="External"/><Relationship Id="rId807" Type="http://schemas.openxmlformats.org/officeDocument/2006/relationships/hyperlink" Target="https://portaltransparencia.jocotepec.gob.mx/informacion/293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2930"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3330"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2930"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3330"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842" Type="http://schemas.openxmlformats.org/officeDocument/2006/relationships/printerSettings" Target="../printerSettings/printerSettings2.bin"/><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3331"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2930"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29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2930"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2930"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3331"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3579" TargetMode="External"/><Relationship Id="rId806" Type="http://schemas.openxmlformats.org/officeDocument/2006/relationships/hyperlink" Target="https://portaltransparencia.jocotepec.gob.mx/informacion/2930"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2930"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97" Type="http://schemas.openxmlformats.org/officeDocument/2006/relationships/hyperlink" Target="https://portaltransparencia.jocotepec.gob.mx/informacion/2951" TargetMode="External"/><Relationship Id="rId730" Type="http://schemas.openxmlformats.org/officeDocument/2006/relationships/hyperlink" Target="https://portaltransparencia.jocotepec.gob.mx/informacion/5884" TargetMode="External"/><Relationship Id="rId828" Type="http://schemas.openxmlformats.org/officeDocument/2006/relationships/hyperlink" Target="https://portaltransparencia.jocotepec.gob.mx/informacion/3330" TargetMode="External"/><Relationship Id="rId162" Type="http://schemas.openxmlformats.org/officeDocument/2006/relationships/hyperlink" Target="https://portaltransparencia.jocotepec.gob.mx/informacion/2493" TargetMode="External"/><Relationship Id="rId467" Type="http://schemas.openxmlformats.org/officeDocument/2006/relationships/hyperlink" Target="https://portaltransparencia.jocotepec.gob.mx/informacion/4917"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839" Type="http://schemas.openxmlformats.org/officeDocument/2006/relationships/hyperlink" Target="https://portaltransparencia.jocotepec.gob.mx/informacion/3331"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2930"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2930"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2930"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3331"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841" Type="http://schemas.openxmlformats.org/officeDocument/2006/relationships/hyperlink" Target="https://portaltransparencia.jocotepec.gob.mx/informacion/2334"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3331"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2930"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2930"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2930"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3330"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293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3331" TargetMode="External"/><Relationship Id="rId812" Type="http://schemas.openxmlformats.org/officeDocument/2006/relationships/hyperlink" Target="https://portaltransparencia.jocotepec.gob.mx/informacion/2930"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2930"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2930"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3331"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2930"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3578"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2930"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2930"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293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3579"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293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3330"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838" Type="http://schemas.openxmlformats.org/officeDocument/2006/relationships/hyperlink" Target="https://portaltransparencia.jocotepec.gob.mx/informacion/3331"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840" Type="http://schemas.openxmlformats.org/officeDocument/2006/relationships/hyperlink" Target="https://portaltransparencia.jocotepec.gob.mx/informacion/3331"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2930" TargetMode="External"/><Relationship Id="rId809" Type="http://schemas.openxmlformats.org/officeDocument/2006/relationships/hyperlink" Target="https://portaltransparencia.jocotepec.gob.mx/informacion/2930"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2930"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2930"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2930"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3331"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3331"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portaltransparencia.jocotepec.gob.mx/informacion/2930"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3578" TargetMode="External"/><Relationship Id="rId804" Type="http://schemas.openxmlformats.org/officeDocument/2006/relationships/hyperlink" Target="https://portaltransparencia.jocotepec.gob.mx/informacion/2930"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2930"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2930"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837" Type="http://schemas.openxmlformats.org/officeDocument/2006/relationships/hyperlink" Target="https://portaltransparencia.jocotepec.gob.mx/informacion/3331"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72" Type="http://schemas.openxmlformats.org/officeDocument/2006/relationships/hyperlink" Target="https://portaltransparencia.jocotepec.gob.mx/informacion/5839"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632" Type="http://schemas.openxmlformats.org/officeDocument/2006/relationships/hyperlink" Target="https://portaltransparencia.jocotepec.gob.mx/informacion/58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359" Type="http://schemas.openxmlformats.org/officeDocument/2006/relationships/hyperlink" Target="https://portaltransparencia.jocotepec.gob.mx/informacion/5161" TargetMode="External"/><Relationship Id="rId524" Type="http://schemas.openxmlformats.org/officeDocument/2006/relationships/hyperlink" Target="https://portaltransparencia.jocotepec.gob.mx/informacion/5797" TargetMode="External"/><Relationship Id="rId566" Type="http://schemas.openxmlformats.org/officeDocument/2006/relationships/hyperlink" Target="https://portaltransparencia.jocotepec.gob.mx/informacion/5836"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370" Type="http://schemas.openxmlformats.org/officeDocument/2006/relationships/hyperlink" Target="https://portaltransparencia.jocotepec.gob.mx/informacion/5163" TargetMode="External"/><Relationship Id="rId426" Type="http://schemas.openxmlformats.org/officeDocument/2006/relationships/hyperlink" Target="https://portaltransparencia.jocotepec.gob.mx/informacion/530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printerSettings" Target="../printerSettings/printerSettings4.bin"/><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printerSettings" Target="../printerSettings/printerSettings6.bin"/><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M905"/>
  <sheetViews>
    <sheetView view="pageBreakPreview" topLeftCell="G3" zoomScale="55" zoomScaleSheetLayoutView="55" workbookViewId="0">
      <pane xSplit="10" ySplit="821" topLeftCell="Q867" activePane="bottomRight" state="frozen"/>
      <selection activeCell="G3" sqref="G3"/>
      <selection pane="topRight" activeCell="Q3" sqref="Q3"/>
      <selection pane="bottomLeft" activeCell="G824" sqref="G824"/>
      <selection pane="bottomRight" activeCell="P879" sqref="P879"/>
    </sheetView>
  </sheetViews>
  <sheetFormatPr baseColWidth="10" defaultColWidth="11.42578125" defaultRowHeight="15"/>
  <cols>
    <col min="1" max="1" width="3.28515625" style="1438" customWidth="1"/>
    <col min="2" max="4" width="3.7109375" customWidth="1"/>
    <col min="5" max="8" width="3.7109375" style="121" customWidth="1"/>
    <col min="9" max="9" width="3.7109375" style="328" customWidth="1"/>
    <col min="10" max="10" width="4" customWidth="1"/>
    <col min="11" max="11" width="6.42578125" customWidth="1"/>
    <col min="12" max="12" width="4.42578125" customWidth="1"/>
    <col min="13" max="13" width="19.7109375" customWidth="1"/>
    <col min="14" max="14" width="17.7109375" customWidth="1"/>
    <col min="15" max="15" width="21.28515625" customWidth="1"/>
    <col min="16" max="16" width="47.85546875" customWidth="1"/>
    <col min="17" max="17" width="26" customWidth="1"/>
    <col min="18" max="18" width="21" customWidth="1"/>
    <col min="19" max="19" width="13.5703125" customWidth="1"/>
    <col min="20" max="20" width="14.7109375" customWidth="1"/>
    <col min="21" max="21" width="15.7109375" customWidth="1"/>
    <col min="22" max="22" width="20.7109375" customWidth="1"/>
    <col min="23" max="23" width="19" customWidth="1"/>
    <col min="24" max="24" width="16.7109375" customWidth="1"/>
    <col min="25" max="25" width="16.140625" customWidth="1"/>
    <col min="26" max="26" width="18.42578125" customWidth="1"/>
    <col min="27" max="27" width="16.28515625" customWidth="1"/>
    <col min="28" max="28" width="16.5703125" customWidth="1"/>
    <col min="29" max="29" width="20.42578125" customWidth="1"/>
    <col min="30" max="30" width="16.28515625" customWidth="1"/>
    <col min="31" max="31" width="19.7109375" customWidth="1"/>
    <col min="32" max="32" width="16.5703125" customWidth="1"/>
    <col min="33" max="33" width="16.28515625" customWidth="1"/>
    <col min="34" max="34" width="16.140625" customWidth="1"/>
    <col min="35" max="36" width="15.7109375" customWidth="1"/>
    <col min="37" max="37" width="19.7109375" customWidth="1"/>
    <col min="38" max="38" width="13.7109375" customWidth="1"/>
    <col min="39" max="39" width="13.42578125" customWidth="1"/>
    <col min="40" max="40" width="14.5703125" customWidth="1"/>
    <col min="41" max="41" width="15" customWidth="1"/>
    <col min="42" max="42" width="15.42578125" customWidth="1"/>
    <col min="43" max="43" width="13.42578125" customWidth="1"/>
    <col min="44" max="44" width="16.5703125" customWidth="1"/>
    <col min="45" max="46" width="18.7109375" customWidth="1"/>
    <col min="47" max="47" width="21" customWidth="1"/>
    <col min="48" max="48" width="16.42578125" customWidth="1"/>
    <col min="49" max="49" width="14.7109375" customWidth="1"/>
    <col min="50" max="50" width="12.85546875" customWidth="1"/>
    <col min="51" max="51" width="18.85546875" customWidth="1"/>
    <col min="52" max="52" width="15.28515625" customWidth="1"/>
    <col min="53" max="53" width="13.42578125" customWidth="1"/>
    <col min="54" max="55" width="13.28515625" customWidth="1"/>
    <col min="56" max="57" width="17" customWidth="1"/>
    <col min="58" max="58" width="15" customWidth="1"/>
    <col min="59" max="59" width="14" customWidth="1"/>
    <col min="60" max="60" width="15" customWidth="1"/>
    <col min="61" max="61" width="20.42578125" customWidth="1"/>
    <col min="62" max="62" width="16.28515625" customWidth="1"/>
    <col min="63" max="63" width="17.28515625" customWidth="1"/>
    <col min="64" max="64" width="15.5703125" customWidth="1"/>
    <col min="65" max="65" width="13.28515625" customWidth="1"/>
    <col min="66" max="66" width="16.28515625" customWidth="1"/>
    <col min="67" max="68" width="15.28515625" customWidth="1"/>
    <col min="69" max="70" width="13.85546875" customWidth="1"/>
    <col min="71" max="71" width="13.5703125" customWidth="1"/>
    <col min="72" max="72" width="13.42578125" customWidth="1"/>
    <col min="73" max="73" width="14" customWidth="1"/>
    <col min="74" max="74" width="14.42578125" customWidth="1"/>
    <col min="75" max="75" width="25.28515625" customWidth="1"/>
    <col min="76" max="76" width="8" customWidth="1"/>
    <col min="77" max="78" width="4.42578125" customWidth="1"/>
    <col min="79" max="79" width="6.5703125" customWidth="1"/>
    <col min="80" max="80" width="4.42578125" customWidth="1"/>
    <col min="81" max="81" width="25.42578125" customWidth="1"/>
    <col min="82" max="88" width="3.7109375" customWidth="1"/>
    <col min="89" max="89" width="5" customWidth="1"/>
  </cols>
  <sheetData>
    <row r="1" spans="1:89" ht="33.75" customHeight="1">
      <c r="A1"/>
      <c r="B1" s="1935" t="s">
        <v>4617</v>
      </c>
      <c r="C1" s="1935"/>
      <c r="D1" s="1935"/>
      <c r="E1" s="1935"/>
      <c r="F1" s="1935"/>
      <c r="G1" s="1935"/>
      <c r="H1" s="1935"/>
      <c r="I1" s="1935"/>
      <c r="J1" s="1935"/>
      <c r="K1" s="1936"/>
      <c r="L1" s="1936"/>
      <c r="M1" s="1935"/>
      <c r="N1" s="1935"/>
      <c r="O1" s="1935"/>
      <c r="P1" s="1935"/>
      <c r="Q1" s="1935"/>
      <c r="R1" s="1935"/>
      <c r="S1" s="1935"/>
      <c r="T1" s="1935"/>
      <c r="U1" s="1935"/>
      <c r="V1" s="1589"/>
      <c r="W1" s="1589"/>
      <c r="X1" s="1589"/>
      <c r="Y1" s="1589"/>
      <c r="Z1" s="1589"/>
      <c r="AA1" s="1589"/>
      <c r="AB1" s="1589"/>
      <c r="AC1" s="1589"/>
      <c r="AD1" s="1589"/>
      <c r="AE1" s="1589"/>
      <c r="AF1" s="1589"/>
      <c r="AG1" s="1589"/>
      <c r="AH1" s="1589"/>
      <c r="AI1" s="1589"/>
      <c r="AJ1" s="1589"/>
      <c r="AK1" s="1589"/>
      <c r="AL1" s="1589"/>
      <c r="AM1" s="1589"/>
      <c r="AN1" s="1589"/>
      <c r="AO1" s="1589"/>
      <c r="AP1" s="1589"/>
      <c r="AQ1" s="1589"/>
      <c r="AR1" s="1589"/>
      <c r="AS1" s="1589"/>
      <c r="AT1" s="1589"/>
      <c r="AU1" s="1589"/>
      <c r="AV1" s="1589"/>
      <c r="AW1" s="1589"/>
      <c r="AX1" s="1589"/>
      <c r="AY1" s="1589"/>
      <c r="AZ1" s="1589"/>
      <c r="BA1" s="1589"/>
      <c r="BB1" s="1589"/>
      <c r="BC1" s="1589"/>
      <c r="BD1" s="1589"/>
      <c r="BE1" s="1589"/>
      <c r="BF1" s="1589"/>
      <c r="BG1" s="1589"/>
      <c r="BH1" s="1589"/>
      <c r="BI1" s="1589"/>
      <c r="BJ1" s="1589"/>
      <c r="BK1" s="1589"/>
      <c r="BL1" s="1589"/>
      <c r="BM1" s="1589"/>
      <c r="BN1" s="1589"/>
      <c r="BO1" s="1589"/>
      <c r="BP1" s="1589"/>
      <c r="BQ1" s="1589"/>
      <c r="BR1" s="1589"/>
      <c r="BS1" s="1589"/>
      <c r="BT1" s="1589"/>
      <c r="BU1" s="1589"/>
      <c r="BV1" s="1589"/>
      <c r="BW1" s="1589"/>
      <c r="BX1" s="1589"/>
      <c r="BY1" s="1589"/>
      <c r="BZ1" s="1589"/>
      <c r="CA1" s="1589"/>
      <c r="CB1" s="1589"/>
      <c r="CC1" s="1589"/>
    </row>
    <row r="2" spans="1:89" ht="41.25" customHeight="1" thickBot="1">
      <c r="A2"/>
      <c r="B2" s="10"/>
      <c r="C2" s="10"/>
      <c r="D2" s="10"/>
      <c r="E2" s="118"/>
      <c r="F2" s="118"/>
      <c r="G2" s="118"/>
      <c r="H2" s="118"/>
      <c r="I2" s="332"/>
      <c r="J2" s="9"/>
      <c r="K2" s="9"/>
      <c r="L2" s="9"/>
      <c r="M2" s="9"/>
      <c r="N2" s="9"/>
      <c r="O2" s="9"/>
      <c r="P2" s="918" t="s">
        <v>0</v>
      </c>
      <c r="Q2" s="918"/>
      <c r="R2" s="919" t="s">
        <v>1</v>
      </c>
      <c r="S2" s="9"/>
      <c r="T2" s="9"/>
      <c r="U2" s="9"/>
      <c r="V2" s="9"/>
      <c r="W2" s="9"/>
      <c r="X2" s="9"/>
      <c r="AT2" s="72"/>
      <c r="BI2" s="72">
        <f>BI387+BI388</f>
        <v>1217540.3799999999</v>
      </c>
    </row>
    <row r="3" spans="1:89" ht="33" customHeight="1" thickTop="1" thickBot="1">
      <c r="B3" s="471"/>
      <c r="C3" s="133"/>
      <c r="D3" s="133"/>
      <c r="E3" s="119"/>
      <c r="F3" s="119"/>
      <c r="G3" s="119"/>
      <c r="H3" s="119"/>
      <c r="I3" s="522"/>
      <c r="J3" s="39"/>
      <c r="K3" s="431"/>
      <c r="L3" s="431"/>
      <c r="M3" s="40"/>
      <c r="N3" s="1947" t="s">
        <v>2</v>
      </c>
      <c r="O3" s="1948"/>
      <c r="P3" s="1948"/>
      <c r="Q3" s="1948"/>
      <c r="R3" s="1948"/>
      <c r="S3" s="1948"/>
      <c r="T3" s="1948"/>
      <c r="U3" s="1949"/>
      <c r="V3" s="21" t="s">
        <v>3</v>
      </c>
      <c r="W3" s="1958" t="s">
        <v>4</v>
      </c>
      <c r="X3" s="1959"/>
      <c r="Y3" s="31" t="s">
        <v>3866</v>
      </c>
      <c r="Z3" s="1385" t="s">
        <v>3864</v>
      </c>
      <c r="AA3" s="1956" t="s">
        <v>5</v>
      </c>
      <c r="AB3" s="1957"/>
      <c r="AC3" s="1957"/>
      <c r="AD3" s="1945"/>
      <c r="AE3" s="1946"/>
      <c r="AF3" s="1944" t="s">
        <v>6</v>
      </c>
      <c r="AG3" s="1945"/>
      <c r="AH3" s="1945"/>
      <c r="AI3" s="1945"/>
      <c r="AJ3" s="1946"/>
      <c r="AK3" s="1962" t="s">
        <v>7</v>
      </c>
      <c r="AL3" s="1963"/>
      <c r="AM3" s="1963"/>
      <c r="AN3" s="1963"/>
      <c r="AO3" s="1963"/>
      <c r="AP3" s="1963"/>
      <c r="AQ3" s="1963"/>
      <c r="AR3" s="1964"/>
      <c r="AS3" s="1972" t="s">
        <v>8</v>
      </c>
      <c r="AT3" s="1973"/>
      <c r="AU3" s="1974"/>
      <c r="AV3" s="1950" t="s">
        <v>9</v>
      </c>
      <c r="AW3" s="1951"/>
      <c r="AX3" s="1960" t="s">
        <v>10</v>
      </c>
      <c r="AY3" s="1961"/>
      <c r="AZ3" s="1965" t="s">
        <v>11</v>
      </c>
      <c r="BA3" s="1966"/>
      <c r="BB3" s="1966"/>
      <c r="BC3" s="1967"/>
      <c r="BD3" s="1952" t="s">
        <v>12</v>
      </c>
      <c r="BE3" s="1953"/>
      <c r="BF3" s="1954"/>
      <c r="BG3" s="1954"/>
      <c r="BH3" s="1954"/>
      <c r="BI3" s="1955"/>
      <c r="BJ3" s="1968" t="s">
        <v>13</v>
      </c>
      <c r="BK3" s="1969"/>
      <c r="BL3" s="1938" t="s">
        <v>14</v>
      </c>
      <c r="BM3" s="1939"/>
      <c r="BN3" s="1939"/>
      <c r="BO3" s="1939"/>
      <c r="BP3" s="1939"/>
      <c r="BQ3" s="1939"/>
      <c r="BR3" s="1939"/>
      <c r="BS3" s="1939"/>
      <c r="BT3" s="1939"/>
      <c r="BU3" s="1939"/>
      <c r="BV3" s="1940"/>
      <c r="BW3" s="37"/>
      <c r="BX3" s="37"/>
      <c r="BY3" s="37"/>
      <c r="BZ3" s="37"/>
      <c r="CA3" s="37"/>
      <c r="CB3" s="37"/>
      <c r="CC3" s="37"/>
      <c r="CD3" s="556"/>
      <c r="CE3" s="556"/>
      <c r="CF3" s="556"/>
      <c r="CG3" s="556"/>
      <c r="CH3" s="556"/>
      <c r="CI3" s="556"/>
      <c r="CJ3" s="556"/>
      <c r="CK3" s="12"/>
    </row>
    <row r="4" spans="1:89" ht="40.5" customHeight="1" thickTop="1" thickBot="1">
      <c r="B4" s="47"/>
      <c r="C4" s="1932" t="s">
        <v>15</v>
      </c>
      <c r="D4" s="1933"/>
      <c r="E4" s="120" t="s">
        <v>16</v>
      </c>
      <c r="F4" s="1567" t="s">
        <v>4479</v>
      </c>
      <c r="G4" s="120" t="s">
        <v>17</v>
      </c>
      <c r="H4" s="120" t="s">
        <v>6310</v>
      </c>
      <c r="I4" s="327" t="s">
        <v>18</v>
      </c>
      <c r="J4" s="45" t="s">
        <v>19</v>
      </c>
      <c r="K4" s="1413" t="s">
        <v>3968</v>
      </c>
      <c r="L4" s="1413" t="s">
        <v>6355</v>
      </c>
      <c r="M4" s="46" t="s">
        <v>20</v>
      </c>
      <c r="N4" s="41" t="s">
        <v>21</v>
      </c>
      <c r="O4" s="42" t="s">
        <v>22</v>
      </c>
      <c r="P4" s="43" t="s">
        <v>23</v>
      </c>
      <c r="Q4" s="43" t="s">
        <v>4381</v>
      </c>
      <c r="R4" s="43" t="s">
        <v>24</v>
      </c>
      <c r="S4" s="43" t="s">
        <v>25</v>
      </c>
      <c r="T4" s="43" t="s">
        <v>26</v>
      </c>
      <c r="U4" s="44" t="s">
        <v>27</v>
      </c>
      <c r="V4" s="48" t="s">
        <v>25</v>
      </c>
      <c r="W4" s="41" t="s">
        <v>28</v>
      </c>
      <c r="X4" s="44" t="s">
        <v>29</v>
      </c>
      <c r="Y4" s="48" t="s">
        <v>25</v>
      </c>
      <c r="Z4" s="47" t="s">
        <v>4384</v>
      </c>
      <c r="AA4" s="41" t="s">
        <v>30</v>
      </c>
      <c r="AB4" s="43" t="s">
        <v>25</v>
      </c>
      <c r="AC4" s="43" t="s">
        <v>24</v>
      </c>
      <c r="AD4" s="43" t="s">
        <v>31</v>
      </c>
      <c r="AE4" s="44" t="s">
        <v>24</v>
      </c>
      <c r="AF4" s="41" t="s">
        <v>32</v>
      </c>
      <c r="AG4" s="108" t="s">
        <v>33</v>
      </c>
      <c r="AH4" s="114" t="s">
        <v>34</v>
      </c>
      <c r="AI4" s="111" t="s">
        <v>35</v>
      </c>
      <c r="AJ4" s="108" t="s">
        <v>36</v>
      </c>
      <c r="AK4" s="41" t="s">
        <v>37</v>
      </c>
      <c r="AL4" s="43" t="s">
        <v>38</v>
      </c>
      <c r="AM4" s="43" t="s">
        <v>25</v>
      </c>
      <c r="AN4" s="43" t="s">
        <v>39</v>
      </c>
      <c r="AO4" s="43" t="s">
        <v>25</v>
      </c>
      <c r="AP4" s="43" t="s">
        <v>40</v>
      </c>
      <c r="AQ4" s="43" t="s">
        <v>25</v>
      </c>
      <c r="AR4" s="51" t="s">
        <v>41</v>
      </c>
      <c r="AS4" s="41" t="s">
        <v>42</v>
      </c>
      <c r="AT4" s="154" t="s">
        <v>43</v>
      </c>
      <c r="AU4" s="706" t="s">
        <v>44</v>
      </c>
      <c r="AV4" s="41" t="s">
        <v>26</v>
      </c>
      <c r="AW4" s="44" t="s">
        <v>27</v>
      </c>
      <c r="AX4" s="41" t="s">
        <v>45</v>
      </c>
      <c r="AY4" s="51" t="s">
        <v>46</v>
      </c>
      <c r="AZ4" s="41" t="s">
        <v>25</v>
      </c>
      <c r="BA4" s="43" t="s">
        <v>26</v>
      </c>
      <c r="BB4" s="43" t="s">
        <v>27</v>
      </c>
      <c r="BC4" s="49" t="s">
        <v>47</v>
      </c>
      <c r="BD4" s="41" t="s">
        <v>25</v>
      </c>
      <c r="BE4" s="1630" t="s">
        <v>4838</v>
      </c>
      <c r="BF4" s="43" t="s">
        <v>48</v>
      </c>
      <c r="BG4" s="43" t="s">
        <v>49</v>
      </c>
      <c r="BH4" s="43" t="s">
        <v>50</v>
      </c>
      <c r="BI4" s="44" t="s">
        <v>51</v>
      </c>
      <c r="BJ4" s="41" t="s">
        <v>25</v>
      </c>
      <c r="BK4" s="706" t="s">
        <v>6401</v>
      </c>
      <c r="BL4" s="383" t="s">
        <v>52</v>
      </c>
      <c r="BM4" s="154" t="s">
        <v>53</v>
      </c>
      <c r="BN4" s="154" t="s">
        <v>54</v>
      </c>
      <c r="BO4" s="154" t="s">
        <v>3615</v>
      </c>
      <c r="BP4" s="154" t="s">
        <v>3618</v>
      </c>
      <c r="BQ4" s="1266" t="s">
        <v>3616</v>
      </c>
      <c r="BR4" s="154" t="s">
        <v>3617</v>
      </c>
      <c r="BS4" s="154" t="s">
        <v>55</v>
      </c>
      <c r="BT4" s="1404" t="s">
        <v>3919</v>
      </c>
      <c r="BU4" s="1405" t="s">
        <v>5017</v>
      </c>
      <c r="BV4" s="922" t="s">
        <v>56</v>
      </c>
      <c r="BW4" s="50" t="s">
        <v>57</v>
      </c>
      <c r="BX4" s="1008" t="s">
        <v>58</v>
      </c>
      <c r="BY4" s="1008" t="s">
        <v>1421</v>
      </c>
      <c r="BZ4" s="1008" t="s">
        <v>3206</v>
      </c>
      <c r="CA4" s="1008" t="s">
        <v>3207</v>
      </c>
      <c r="CB4" s="1008" t="s">
        <v>1409</v>
      </c>
      <c r="CC4" s="50" t="s">
        <v>59</v>
      </c>
      <c r="CD4" s="565" t="s">
        <v>3</v>
      </c>
      <c r="CE4" s="566" t="s">
        <v>60</v>
      </c>
      <c r="CF4" s="566" t="s">
        <v>61</v>
      </c>
      <c r="CG4" s="566" t="s">
        <v>62</v>
      </c>
      <c r="CH4" s="566" t="s">
        <v>7</v>
      </c>
      <c r="CI4" s="566" t="s">
        <v>9</v>
      </c>
      <c r="CJ4" s="566" t="s">
        <v>63</v>
      </c>
      <c r="CK4" s="14"/>
    </row>
    <row r="5" spans="1:89" s="729" customFormat="1" ht="16.5" customHeight="1" thickTop="1">
      <c r="A5" s="1438"/>
      <c r="B5" s="732"/>
      <c r="C5" s="709"/>
      <c r="D5" s="709"/>
      <c r="E5" s="733"/>
      <c r="F5" s="733"/>
      <c r="G5" s="733"/>
      <c r="H5" s="733"/>
      <c r="I5" s="731"/>
      <c r="J5" s="710"/>
      <c r="K5" s="730"/>
      <c r="L5" s="730"/>
      <c r="M5" s="711"/>
      <c r="N5" s="715"/>
      <c r="O5" s="734"/>
      <c r="P5" s="725"/>
      <c r="Q5" s="725"/>
      <c r="R5" s="725"/>
      <c r="S5" s="725"/>
      <c r="T5" s="725"/>
      <c r="U5" s="711"/>
      <c r="V5" s="735"/>
      <c r="W5" s="715"/>
      <c r="X5" s="722"/>
      <c r="Y5" s="736"/>
      <c r="Z5" s="709"/>
      <c r="AA5" s="715"/>
      <c r="AB5" s="725"/>
      <c r="AC5" s="725"/>
      <c r="AD5" s="725"/>
      <c r="AE5" s="711"/>
      <c r="AF5" s="715"/>
      <c r="AG5" s="737"/>
      <c r="AH5" s="738"/>
      <c r="AI5" s="724"/>
      <c r="AJ5" s="739"/>
      <c r="AK5" s="715"/>
      <c r="AL5" s="725"/>
      <c r="AM5" s="725"/>
      <c r="AN5" s="725"/>
      <c r="AO5" s="725"/>
      <c r="AP5" s="725"/>
      <c r="AQ5" s="725"/>
      <c r="AR5" s="723"/>
      <c r="AS5" s="715"/>
      <c r="AT5" s="741"/>
      <c r="AU5" s="714"/>
      <c r="AV5" s="715"/>
      <c r="AW5" s="711"/>
      <c r="AX5" s="715"/>
      <c r="AY5" s="723"/>
      <c r="AZ5" s="715"/>
      <c r="BA5" s="725"/>
      <c r="BB5" s="725"/>
      <c r="BC5" s="728"/>
      <c r="BD5" s="715"/>
      <c r="BE5" s="724"/>
      <c r="BF5" s="725"/>
      <c r="BG5" s="725"/>
      <c r="BH5" s="725"/>
      <c r="BI5" s="711"/>
      <c r="BJ5" s="715"/>
      <c r="BK5" s="723"/>
      <c r="BL5" s="740"/>
      <c r="BM5" s="741"/>
      <c r="BN5" s="741"/>
      <c r="BO5" s="741"/>
      <c r="BP5" s="741"/>
      <c r="BQ5" s="741"/>
      <c r="BR5" s="741"/>
      <c r="BS5" s="741"/>
      <c r="BT5" s="714"/>
      <c r="BU5" s="714"/>
      <c r="BV5" s="714"/>
      <c r="BW5" s="742"/>
      <c r="BX5" s="742"/>
      <c r="BY5" s="742"/>
      <c r="BZ5" s="742"/>
      <c r="CA5" s="742"/>
      <c r="CB5" s="742"/>
      <c r="CC5" s="742"/>
      <c r="CD5" s="743"/>
      <c r="CE5" s="744"/>
      <c r="CF5" s="744"/>
      <c r="CG5" s="744"/>
      <c r="CH5" s="744"/>
      <c r="CI5" s="744"/>
      <c r="CJ5" s="744"/>
      <c r="CK5" s="745"/>
    </row>
    <row r="6" spans="1:89" ht="90" hidden="1" customHeight="1" thickTop="1">
      <c r="A6"/>
      <c r="B6" s="22"/>
      <c r="C6" s="22"/>
      <c r="D6" s="22"/>
      <c r="E6" s="22"/>
      <c r="F6" s="22"/>
      <c r="G6" s="1166"/>
      <c r="H6" s="1166"/>
      <c r="I6" s="448"/>
      <c r="J6" s="16">
        <v>2013</v>
      </c>
      <c r="K6" s="1414"/>
      <c r="L6" s="1414"/>
      <c r="M6" s="217" t="s">
        <v>64</v>
      </c>
      <c r="N6" s="188" t="s">
        <v>65</v>
      </c>
      <c r="O6" s="189" t="s">
        <v>66</v>
      </c>
      <c r="P6" s="190" t="s">
        <v>67</v>
      </c>
      <c r="Q6" s="190"/>
      <c r="R6" s="191">
        <v>2564102.67</v>
      </c>
      <c r="S6" s="192">
        <v>41501</v>
      </c>
      <c r="T6" s="193">
        <v>41518</v>
      </c>
      <c r="U6" s="194">
        <v>41608</v>
      </c>
      <c r="V6" s="13" t="s">
        <v>68</v>
      </c>
      <c r="W6" s="198" t="s">
        <v>69</v>
      </c>
      <c r="X6" s="199" t="s">
        <v>70</v>
      </c>
      <c r="Y6" s="200" t="s">
        <v>68</v>
      </c>
      <c r="Z6" s="368"/>
      <c r="AA6" s="208" t="s">
        <v>71</v>
      </c>
      <c r="AB6" s="193">
        <v>41606</v>
      </c>
      <c r="AC6" s="191">
        <v>2564102.5699999998</v>
      </c>
      <c r="AD6" s="209" t="s">
        <v>72</v>
      </c>
      <c r="AE6" s="210">
        <v>2748102.57</v>
      </c>
      <c r="AF6" s="213">
        <v>41488</v>
      </c>
      <c r="AG6" s="112" t="s">
        <v>68</v>
      </c>
      <c r="AH6" s="112" t="s">
        <v>68</v>
      </c>
      <c r="AI6" s="144">
        <v>41499</v>
      </c>
      <c r="AJ6" s="214">
        <v>41499</v>
      </c>
      <c r="AK6" s="208" t="s">
        <v>73</v>
      </c>
      <c r="AL6" s="209">
        <v>1651068</v>
      </c>
      <c r="AM6" s="193">
        <v>41501</v>
      </c>
      <c r="AN6" s="209">
        <v>1651066</v>
      </c>
      <c r="AO6" s="193">
        <v>41501</v>
      </c>
      <c r="AP6" s="216" t="s">
        <v>74</v>
      </c>
      <c r="AQ6" s="209"/>
      <c r="AR6" s="278"/>
      <c r="AS6" s="220">
        <v>0</v>
      </c>
      <c r="AT6" s="894">
        <f>BI6</f>
        <v>2564102.67</v>
      </c>
      <c r="AU6" s="883"/>
      <c r="AV6" s="222">
        <v>41506</v>
      </c>
      <c r="AW6" s="194">
        <v>41564</v>
      </c>
      <c r="AX6" s="223" t="s">
        <v>68</v>
      </c>
      <c r="AY6" s="224" t="s">
        <v>68</v>
      </c>
      <c r="AZ6" s="188" t="s">
        <v>75</v>
      </c>
      <c r="BA6" s="193">
        <v>41518</v>
      </c>
      <c r="BB6" s="193">
        <v>41598</v>
      </c>
      <c r="BC6" s="217"/>
      <c r="BD6" s="188" t="s">
        <v>75</v>
      </c>
      <c r="BE6" s="317"/>
      <c r="BF6" s="193">
        <v>41518</v>
      </c>
      <c r="BG6" s="193">
        <v>41608</v>
      </c>
      <c r="BH6" s="193">
        <v>41608</v>
      </c>
      <c r="BI6" s="221">
        <v>2564102.67</v>
      </c>
      <c r="BJ6" s="697" t="s">
        <v>74</v>
      </c>
      <c r="BK6" s="1246"/>
      <c r="BL6" s="698" t="s">
        <v>68</v>
      </c>
      <c r="BM6" s="696" t="s">
        <v>68</v>
      </c>
      <c r="BN6" s="696" t="s">
        <v>68</v>
      </c>
      <c r="BO6" s="694"/>
      <c r="BP6" s="694"/>
      <c r="BQ6" s="694"/>
      <c r="BR6" s="694"/>
      <c r="BS6" s="694"/>
      <c r="BT6" s="694"/>
      <c r="BU6" s="694"/>
      <c r="BV6" s="694" t="s">
        <v>68</v>
      </c>
      <c r="BW6" s="13"/>
      <c r="BX6" s="13"/>
      <c r="BY6" s="13"/>
      <c r="BZ6" s="13"/>
      <c r="CA6" s="13"/>
      <c r="CB6" s="1220" t="s">
        <v>1427</v>
      </c>
      <c r="CC6" s="38" t="s">
        <v>76</v>
      </c>
      <c r="CD6" s="513"/>
      <c r="CE6" s="513"/>
      <c r="CF6" s="513"/>
      <c r="CG6" s="513"/>
      <c r="CH6" s="513"/>
      <c r="CI6" s="513"/>
      <c r="CJ6" s="513"/>
      <c r="CK6" s="12"/>
    </row>
    <row r="7" spans="1:89" ht="90" hidden="1" customHeight="1">
      <c r="A7"/>
      <c r="B7" s="22"/>
      <c r="C7" s="22"/>
      <c r="D7" s="22"/>
      <c r="E7" s="22"/>
      <c r="F7" s="22"/>
      <c r="G7" s="1166"/>
      <c r="H7" s="1166"/>
      <c r="I7" s="448"/>
      <c r="J7" s="16">
        <v>2013</v>
      </c>
      <c r="K7" s="1415"/>
      <c r="L7" s="1415"/>
      <c r="M7" s="17" t="s">
        <v>77</v>
      </c>
      <c r="N7" s="19" t="s">
        <v>78</v>
      </c>
      <c r="O7" s="2" t="s">
        <v>79</v>
      </c>
      <c r="P7" s="3" t="s">
        <v>80</v>
      </c>
      <c r="Q7" s="3"/>
      <c r="R7" s="79">
        <v>666000</v>
      </c>
      <c r="S7" s="67">
        <v>41610</v>
      </c>
      <c r="T7" s="5">
        <v>41612</v>
      </c>
      <c r="U7" s="11">
        <v>41638</v>
      </c>
      <c r="V7" s="62">
        <v>41610</v>
      </c>
      <c r="W7" s="116" t="s">
        <v>81</v>
      </c>
      <c r="X7" s="201" t="s">
        <v>70</v>
      </c>
      <c r="Y7" s="62">
        <v>41582</v>
      </c>
      <c r="Z7" s="105"/>
      <c r="AA7" s="19" t="s">
        <v>82</v>
      </c>
      <c r="AB7" s="5">
        <v>41478</v>
      </c>
      <c r="AC7" s="4">
        <v>250000</v>
      </c>
      <c r="AD7" s="1" t="s">
        <v>72</v>
      </c>
      <c r="AE7" s="32">
        <v>666000</v>
      </c>
      <c r="AF7" s="34" t="s">
        <v>68</v>
      </c>
      <c r="AG7" s="112" t="s">
        <v>68</v>
      </c>
      <c r="AH7" s="112" t="s">
        <v>68</v>
      </c>
      <c r="AI7" s="7" t="s">
        <v>68</v>
      </c>
      <c r="AJ7" s="215" t="s">
        <v>68</v>
      </c>
      <c r="AK7" s="33" t="s">
        <v>73</v>
      </c>
      <c r="AL7" s="1">
        <v>1701193</v>
      </c>
      <c r="AM7" s="5">
        <v>41624</v>
      </c>
      <c r="AN7" s="1">
        <v>1701231</v>
      </c>
      <c r="AO7" s="5">
        <v>41624</v>
      </c>
      <c r="AP7" s="1" t="s">
        <v>83</v>
      </c>
      <c r="AQ7" s="1" t="s">
        <v>68</v>
      </c>
      <c r="AR7" s="279"/>
      <c r="AS7" s="35">
        <v>0</v>
      </c>
      <c r="AT7" s="895">
        <v>636723.75</v>
      </c>
      <c r="AU7" s="884"/>
      <c r="AV7" s="30">
        <v>41610</v>
      </c>
      <c r="AW7" s="11">
        <v>41634</v>
      </c>
      <c r="AX7" s="30"/>
      <c r="AY7" s="52"/>
      <c r="AZ7" s="117" t="s">
        <v>74</v>
      </c>
      <c r="BA7" s="1"/>
      <c r="BB7" s="1"/>
      <c r="BC7" s="17"/>
      <c r="BD7" s="30">
        <v>41645</v>
      </c>
      <c r="BE7" s="309"/>
      <c r="BF7" s="5">
        <v>41612</v>
      </c>
      <c r="BG7" s="5">
        <v>41638</v>
      </c>
      <c r="BH7" s="5">
        <v>41640</v>
      </c>
      <c r="BI7" s="36">
        <v>665726.68000000005</v>
      </c>
      <c r="BJ7" s="197" t="s">
        <v>74</v>
      </c>
      <c r="BK7" s="1246"/>
      <c r="BL7" s="694" t="s">
        <v>68</v>
      </c>
      <c r="BM7" s="695" t="s">
        <v>68</v>
      </c>
      <c r="BN7" s="695" t="s">
        <v>68</v>
      </c>
      <c r="BO7" s="694"/>
      <c r="BP7" s="694"/>
      <c r="BQ7" s="694"/>
      <c r="BR7" s="694"/>
      <c r="BS7" s="694"/>
      <c r="BT7" s="694"/>
      <c r="BU7" s="694"/>
      <c r="BV7" s="694" t="s">
        <v>68</v>
      </c>
      <c r="BW7" s="13"/>
      <c r="BX7" s="13"/>
      <c r="BY7" s="13"/>
      <c r="BZ7" s="13"/>
      <c r="CA7" s="13"/>
      <c r="CB7" s="1220" t="s">
        <v>1427</v>
      </c>
      <c r="CC7" s="38" t="s">
        <v>76</v>
      </c>
      <c r="CD7" s="513"/>
      <c r="CE7" s="513"/>
      <c r="CF7" s="513"/>
      <c r="CG7" s="513"/>
      <c r="CH7" s="513"/>
      <c r="CI7" s="513"/>
      <c r="CJ7" s="513"/>
      <c r="CK7" s="12"/>
    </row>
    <row r="8" spans="1:89" ht="90" hidden="1" customHeight="1">
      <c r="A8"/>
      <c r="B8" s="22"/>
      <c r="C8" s="22"/>
      <c r="D8" s="22"/>
      <c r="E8" s="22"/>
      <c r="F8" s="22"/>
      <c r="G8" s="1166"/>
      <c r="H8" s="1166"/>
      <c r="I8" s="448"/>
      <c r="J8" s="16">
        <v>2013</v>
      </c>
      <c r="K8" s="1415"/>
      <c r="L8" s="1415"/>
      <c r="M8" s="17" t="s">
        <v>77</v>
      </c>
      <c r="N8" s="19" t="s">
        <v>84</v>
      </c>
      <c r="O8" s="2" t="s">
        <v>79</v>
      </c>
      <c r="P8" s="3" t="s">
        <v>85</v>
      </c>
      <c r="Q8" s="3"/>
      <c r="R8" s="79">
        <v>160000</v>
      </c>
      <c r="S8" s="67">
        <v>41610</v>
      </c>
      <c r="T8" s="5">
        <v>41617</v>
      </c>
      <c r="U8" s="11">
        <v>41638</v>
      </c>
      <c r="V8" s="62">
        <v>41610</v>
      </c>
      <c r="W8" s="116" t="s">
        <v>81</v>
      </c>
      <c r="X8" s="201" t="s">
        <v>70</v>
      </c>
      <c r="Y8" s="62">
        <v>41478</v>
      </c>
      <c r="Z8" s="105"/>
      <c r="AA8" s="19" t="s">
        <v>82</v>
      </c>
      <c r="AB8" s="5">
        <v>41478</v>
      </c>
      <c r="AC8" s="4">
        <v>93916.45</v>
      </c>
      <c r="AD8" s="1" t="s">
        <v>72</v>
      </c>
      <c r="AE8" s="32">
        <v>187832.9</v>
      </c>
      <c r="AF8" s="34" t="s">
        <v>68</v>
      </c>
      <c r="AG8" s="112" t="s">
        <v>68</v>
      </c>
      <c r="AH8" s="112" t="s">
        <v>68</v>
      </c>
      <c r="AI8" s="7" t="s">
        <v>68</v>
      </c>
      <c r="AJ8" s="215" t="s">
        <v>68</v>
      </c>
      <c r="AK8" s="33" t="s">
        <v>73</v>
      </c>
      <c r="AL8" s="1">
        <v>1701196</v>
      </c>
      <c r="AM8" s="5">
        <v>41624</v>
      </c>
      <c r="AN8" s="1">
        <v>1701244</v>
      </c>
      <c r="AO8" s="5">
        <v>41624</v>
      </c>
      <c r="AP8" s="1" t="s">
        <v>83</v>
      </c>
      <c r="AQ8" s="1" t="s">
        <v>68</v>
      </c>
      <c r="AR8" s="279"/>
      <c r="AS8" s="35">
        <v>0</v>
      </c>
      <c r="AT8" s="895">
        <v>152401.41</v>
      </c>
      <c r="AU8" s="884"/>
      <c r="AV8" s="30">
        <v>41617</v>
      </c>
      <c r="AW8" s="11">
        <v>41277</v>
      </c>
      <c r="AX8" s="30"/>
      <c r="AY8" s="52"/>
      <c r="AZ8" s="117" t="s">
        <v>74</v>
      </c>
      <c r="BA8" s="1"/>
      <c r="BB8" s="1"/>
      <c r="BC8" s="17"/>
      <c r="BD8" s="19"/>
      <c r="BE8" s="12"/>
      <c r="BF8" s="5">
        <v>41617</v>
      </c>
      <c r="BG8" s="5">
        <v>41638</v>
      </c>
      <c r="BH8" s="5">
        <v>41642</v>
      </c>
      <c r="BI8" s="36">
        <v>159366.24</v>
      </c>
      <c r="BJ8" s="197" t="s">
        <v>74</v>
      </c>
      <c r="BK8" s="1246"/>
      <c r="BL8" s="694" t="s">
        <v>68</v>
      </c>
      <c r="BM8" s="695" t="s">
        <v>68</v>
      </c>
      <c r="BN8" s="695" t="s">
        <v>68</v>
      </c>
      <c r="BO8" s="694"/>
      <c r="BP8" s="694"/>
      <c r="BQ8" s="694"/>
      <c r="BR8" s="694"/>
      <c r="BS8" s="694"/>
      <c r="BT8" s="694"/>
      <c r="BU8" s="694"/>
      <c r="BV8" s="694" t="s">
        <v>68</v>
      </c>
      <c r="BW8" s="13"/>
      <c r="BX8" s="13"/>
      <c r="BY8" s="13"/>
      <c r="BZ8" s="13"/>
      <c r="CA8" s="13"/>
      <c r="CB8" s="1220" t="s">
        <v>1427</v>
      </c>
      <c r="CC8" s="38" t="s">
        <v>76</v>
      </c>
      <c r="CD8" s="513"/>
      <c r="CE8" s="513"/>
      <c r="CF8" s="513"/>
      <c r="CG8" s="513"/>
      <c r="CH8" s="513"/>
      <c r="CI8" s="513"/>
      <c r="CJ8" s="513"/>
      <c r="CK8" s="12"/>
    </row>
    <row r="9" spans="1:89" ht="90" hidden="1" customHeight="1">
      <c r="A9"/>
      <c r="B9" s="22"/>
      <c r="C9" s="22"/>
      <c r="D9" s="22"/>
      <c r="E9" s="22"/>
      <c r="F9" s="22"/>
      <c r="G9" s="1166"/>
      <c r="H9" s="1166"/>
      <c r="I9" s="448"/>
      <c r="J9" s="16">
        <v>2013</v>
      </c>
      <c r="K9" s="1415"/>
      <c r="L9" s="1415"/>
      <c r="M9" s="17" t="s">
        <v>77</v>
      </c>
      <c r="N9" s="19" t="s">
        <v>86</v>
      </c>
      <c r="O9" s="2" t="s">
        <v>4032</v>
      </c>
      <c r="P9" s="3" t="s">
        <v>88</v>
      </c>
      <c r="Q9" s="3"/>
      <c r="R9" s="4"/>
      <c r="S9" s="6"/>
      <c r="T9" s="1"/>
      <c r="U9" s="17"/>
      <c r="V9" s="13" t="s">
        <v>68</v>
      </c>
      <c r="W9" s="19" t="s">
        <v>68</v>
      </c>
      <c r="X9" s="17"/>
      <c r="Y9" s="62">
        <v>41463</v>
      </c>
      <c r="Z9" s="105"/>
      <c r="AA9" s="19" t="s">
        <v>82</v>
      </c>
      <c r="AB9" s="5">
        <v>41478</v>
      </c>
      <c r="AC9" s="4">
        <v>81759.66</v>
      </c>
      <c r="AD9" s="4"/>
      <c r="AE9" s="32"/>
      <c r="AF9" s="34" t="s">
        <v>68</v>
      </c>
      <c r="AG9" s="112" t="s">
        <v>68</v>
      </c>
      <c r="AH9" s="112" t="s">
        <v>68</v>
      </c>
      <c r="AI9" s="7" t="s">
        <v>68</v>
      </c>
      <c r="AJ9" s="215" t="s">
        <v>68</v>
      </c>
      <c r="AK9" s="33" t="s">
        <v>89</v>
      </c>
      <c r="AL9" s="1"/>
      <c r="AM9" s="1"/>
      <c r="AN9" s="1"/>
      <c r="AO9" s="1"/>
      <c r="AP9" s="1"/>
      <c r="AQ9" s="1"/>
      <c r="AR9" s="279"/>
      <c r="AS9" s="220">
        <v>0</v>
      </c>
      <c r="AT9" s="895">
        <f>BI9</f>
        <v>0</v>
      </c>
      <c r="AU9" s="883"/>
      <c r="AV9" s="30">
        <v>41481</v>
      </c>
      <c r="AW9" s="11">
        <v>41493</v>
      </c>
      <c r="AX9" s="30"/>
      <c r="AY9" s="52"/>
      <c r="AZ9" s="19"/>
      <c r="BA9" s="1"/>
      <c r="BB9" s="1"/>
      <c r="BC9" s="17"/>
      <c r="BD9" s="19"/>
      <c r="BE9" s="12"/>
      <c r="BF9" s="1"/>
      <c r="BG9" s="1"/>
      <c r="BH9" s="1"/>
      <c r="BI9" s="17"/>
      <c r="BJ9" s="13"/>
      <c r="BK9" s="352"/>
      <c r="BL9" s="694" t="s">
        <v>68</v>
      </c>
      <c r="BM9" s="695" t="s">
        <v>68</v>
      </c>
      <c r="BN9" s="695" t="s">
        <v>68</v>
      </c>
      <c r="BO9" s="694"/>
      <c r="BP9" s="694"/>
      <c r="BQ9" s="694"/>
      <c r="BR9" s="694"/>
      <c r="BS9" s="694"/>
      <c r="BT9" s="694"/>
      <c r="BU9" s="694"/>
      <c r="BV9" s="694" t="s">
        <v>68</v>
      </c>
      <c r="BW9" s="13"/>
      <c r="BX9" s="13"/>
      <c r="BY9" s="13"/>
      <c r="BZ9" s="13"/>
      <c r="CA9" s="13"/>
      <c r="CB9" s="1220" t="s">
        <v>1427</v>
      </c>
      <c r="CC9" s="38" t="s">
        <v>76</v>
      </c>
      <c r="CD9" s="513"/>
      <c r="CE9" s="513"/>
      <c r="CF9" s="513"/>
      <c r="CG9" s="513"/>
      <c r="CH9" s="513"/>
      <c r="CI9" s="513"/>
      <c r="CJ9" s="513"/>
      <c r="CK9" s="12"/>
    </row>
    <row r="10" spans="1:89" ht="90" hidden="1" customHeight="1">
      <c r="A10"/>
      <c r="B10" s="22"/>
      <c r="C10" s="22"/>
      <c r="D10" s="22"/>
      <c r="E10" s="22"/>
      <c r="F10" s="22"/>
      <c r="G10" s="1166"/>
      <c r="H10" s="1166"/>
      <c r="I10" s="448"/>
      <c r="J10" s="16">
        <v>2013</v>
      </c>
      <c r="K10" s="1415"/>
      <c r="L10" s="1415"/>
      <c r="M10" s="17" t="s">
        <v>77</v>
      </c>
      <c r="N10" s="19" t="s">
        <v>90</v>
      </c>
      <c r="O10" s="2" t="s">
        <v>4032</v>
      </c>
      <c r="P10" s="3" t="s">
        <v>91</v>
      </c>
      <c r="Q10" s="3"/>
      <c r="R10" s="4">
        <v>234538.12</v>
      </c>
      <c r="S10" s="6">
        <v>41479</v>
      </c>
      <c r="T10" s="5">
        <v>41479</v>
      </c>
      <c r="U10" s="11">
        <v>41486</v>
      </c>
      <c r="V10" s="13" t="s">
        <v>68</v>
      </c>
      <c r="W10" s="19" t="s">
        <v>68</v>
      </c>
      <c r="X10" s="11"/>
      <c r="Y10" s="62">
        <v>41465</v>
      </c>
      <c r="Z10" s="105"/>
      <c r="AA10" s="19" t="s">
        <v>82</v>
      </c>
      <c r="AB10" s="5">
        <v>41478</v>
      </c>
      <c r="AC10" s="4">
        <v>234538.12</v>
      </c>
      <c r="AD10" s="4"/>
      <c r="AE10" s="32"/>
      <c r="AF10" s="34" t="s">
        <v>68</v>
      </c>
      <c r="AG10" s="112" t="s">
        <v>68</v>
      </c>
      <c r="AH10" s="112" t="s">
        <v>68</v>
      </c>
      <c r="AI10" s="7" t="s">
        <v>68</v>
      </c>
      <c r="AJ10" s="215" t="s">
        <v>68</v>
      </c>
      <c r="AK10" s="33"/>
      <c r="AL10" s="1"/>
      <c r="AM10" s="1"/>
      <c r="AN10" s="1"/>
      <c r="AO10" s="1"/>
      <c r="AP10" s="1"/>
      <c r="AQ10" s="1"/>
      <c r="AR10" s="279"/>
      <c r="AS10" s="35">
        <v>52628.800000000003</v>
      </c>
      <c r="AT10" s="895">
        <v>181909.28</v>
      </c>
      <c r="AU10" s="884"/>
      <c r="AV10" s="30">
        <v>41481</v>
      </c>
      <c r="AW10" s="11">
        <v>41493</v>
      </c>
      <c r="AX10" s="30"/>
      <c r="AY10" s="52"/>
      <c r="AZ10" s="19"/>
      <c r="BA10" s="1"/>
      <c r="BB10" s="1"/>
      <c r="BC10" s="17"/>
      <c r="BD10" s="19"/>
      <c r="BE10" s="12"/>
      <c r="BF10" s="1"/>
      <c r="BG10" s="1"/>
      <c r="BH10" s="1"/>
      <c r="BI10" s="17"/>
      <c r="BJ10" s="13"/>
      <c r="BK10" s="352"/>
      <c r="BL10" s="694" t="s">
        <v>68</v>
      </c>
      <c r="BM10" s="695" t="s">
        <v>68</v>
      </c>
      <c r="BN10" s="695" t="s">
        <v>68</v>
      </c>
      <c r="BO10" s="694"/>
      <c r="BP10" s="694"/>
      <c r="BQ10" s="694"/>
      <c r="BR10" s="694"/>
      <c r="BS10" s="694"/>
      <c r="BT10" s="694"/>
      <c r="BU10" s="694"/>
      <c r="BV10" s="694" t="s">
        <v>68</v>
      </c>
      <c r="BW10" s="13"/>
      <c r="BX10" s="13"/>
      <c r="BY10" s="13"/>
      <c r="BZ10" s="13"/>
      <c r="CA10" s="13"/>
      <c r="CB10" s="1220" t="s">
        <v>1427</v>
      </c>
      <c r="CC10" s="38" t="s">
        <v>76</v>
      </c>
      <c r="CD10" s="513"/>
      <c r="CE10" s="513"/>
      <c r="CF10" s="513"/>
      <c r="CG10" s="513"/>
      <c r="CH10" s="513"/>
      <c r="CI10" s="513"/>
      <c r="CJ10" s="513"/>
      <c r="CK10" s="12"/>
    </row>
    <row r="11" spans="1:89" ht="90" hidden="1" customHeight="1">
      <c r="A11"/>
      <c r="B11" s="22"/>
      <c r="C11" s="22"/>
      <c r="D11" s="22"/>
      <c r="E11" s="22"/>
      <c r="F11" s="22"/>
      <c r="G11" s="1166"/>
      <c r="H11" s="1166"/>
      <c r="I11" s="448"/>
      <c r="J11" s="16">
        <v>2013</v>
      </c>
      <c r="K11" s="1415"/>
      <c r="L11" s="1415"/>
      <c r="M11" s="17" t="s">
        <v>77</v>
      </c>
      <c r="N11" s="19" t="s">
        <v>92</v>
      </c>
      <c r="O11" s="2" t="s">
        <v>4032</v>
      </c>
      <c r="P11" s="3" t="s">
        <v>93</v>
      </c>
      <c r="Q11" s="3"/>
      <c r="R11" s="4">
        <v>270189.96000000002</v>
      </c>
      <c r="S11" s="6">
        <v>41484</v>
      </c>
      <c r="T11" s="5">
        <v>41479</v>
      </c>
      <c r="U11" s="11">
        <v>41510</v>
      </c>
      <c r="V11" s="13" t="s">
        <v>68</v>
      </c>
      <c r="W11" s="19" t="s">
        <v>68</v>
      </c>
      <c r="X11" s="11"/>
      <c r="Y11" s="62">
        <v>41515</v>
      </c>
      <c r="Z11" s="105"/>
      <c r="AA11" s="19" t="s">
        <v>82</v>
      </c>
      <c r="AB11" s="5">
        <v>41478</v>
      </c>
      <c r="AC11" s="4">
        <v>270189.96000000002</v>
      </c>
      <c r="AD11" s="4"/>
      <c r="AE11" s="32"/>
      <c r="AF11" s="34" t="s">
        <v>68</v>
      </c>
      <c r="AG11" s="112" t="s">
        <v>68</v>
      </c>
      <c r="AH11" s="112" t="s">
        <v>68</v>
      </c>
      <c r="AI11" s="7" t="s">
        <v>68</v>
      </c>
      <c r="AJ11" s="215" t="s">
        <v>68</v>
      </c>
      <c r="AK11" s="33" t="s">
        <v>89</v>
      </c>
      <c r="AL11" s="1" t="s">
        <v>68</v>
      </c>
      <c r="AM11" s="1"/>
      <c r="AN11" s="1" t="s">
        <v>68</v>
      </c>
      <c r="AO11" s="1"/>
      <c r="AP11" s="1" t="s">
        <v>68</v>
      </c>
      <c r="AQ11" s="1"/>
      <c r="AR11" s="279"/>
      <c r="AS11" s="35">
        <v>51088.49</v>
      </c>
      <c r="AT11" s="895">
        <v>218894.32</v>
      </c>
      <c r="AU11" s="884"/>
      <c r="AV11" s="30">
        <v>41479</v>
      </c>
      <c r="AW11" s="11">
        <v>41494</v>
      </c>
      <c r="AX11" s="30"/>
      <c r="AY11" s="52"/>
      <c r="AZ11" s="19"/>
      <c r="BA11" s="1"/>
      <c r="BB11" s="1"/>
      <c r="BC11" s="17"/>
      <c r="BD11" s="19"/>
      <c r="BE11" s="12"/>
      <c r="BF11" s="1"/>
      <c r="BG11" s="1"/>
      <c r="BH11" s="1"/>
      <c r="BI11" s="36">
        <v>269982.81</v>
      </c>
      <c r="BJ11" s="13"/>
      <c r="BK11" s="352"/>
      <c r="BL11" s="694" t="s">
        <v>68</v>
      </c>
      <c r="BM11" s="695" t="s">
        <v>68</v>
      </c>
      <c r="BN11" s="695" t="s">
        <v>68</v>
      </c>
      <c r="BO11" s="694"/>
      <c r="BP11" s="694"/>
      <c r="BQ11" s="694"/>
      <c r="BR11" s="694"/>
      <c r="BS11" s="694"/>
      <c r="BT11" s="694"/>
      <c r="BU11" s="694"/>
      <c r="BV11" s="694" t="s">
        <v>68</v>
      </c>
      <c r="BW11" s="13"/>
      <c r="BX11" s="13"/>
      <c r="BY11" s="13"/>
      <c r="BZ11" s="13"/>
      <c r="CA11" s="13"/>
      <c r="CB11" s="1220" t="s">
        <v>1427</v>
      </c>
      <c r="CC11" s="38" t="s">
        <v>76</v>
      </c>
      <c r="CD11" s="513"/>
      <c r="CE11" s="513"/>
      <c r="CF11" s="513"/>
      <c r="CG11" s="513"/>
      <c r="CH11" s="513"/>
      <c r="CI11" s="513"/>
      <c r="CJ11" s="513"/>
      <c r="CK11" s="12"/>
    </row>
    <row r="12" spans="1:89" ht="90" hidden="1" customHeight="1">
      <c r="A12"/>
      <c r="B12" s="22"/>
      <c r="C12" s="22"/>
      <c r="D12" s="22"/>
      <c r="E12" s="22"/>
      <c r="F12" s="22"/>
      <c r="G12" s="1166"/>
      <c r="H12" s="1166"/>
      <c r="I12" s="448"/>
      <c r="J12" s="16">
        <v>2013</v>
      </c>
      <c r="K12" s="1415"/>
      <c r="L12" s="1415"/>
      <c r="M12" s="17" t="s">
        <v>77</v>
      </c>
      <c r="N12" s="19" t="s">
        <v>94</v>
      </c>
      <c r="O12" s="2" t="s">
        <v>4032</v>
      </c>
      <c r="P12" s="3" t="s">
        <v>95</v>
      </c>
      <c r="Q12" s="3"/>
      <c r="R12" s="4">
        <v>297377.52</v>
      </c>
      <c r="S12" s="6">
        <v>41479</v>
      </c>
      <c r="T12" s="5">
        <v>41479</v>
      </c>
      <c r="U12" s="11">
        <v>41501</v>
      </c>
      <c r="V12" s="13" t="s">
        <v>68</v>
      </c>
      <c r="W12" s="19" t="s">
        <v>68</v>
      </c>
      <c r="X12" s="11"/>
      <c r="Y12" s="62">
        <v>41463</v>
      </c>
      <c r="Z12" s="105"/>
      <c r="AA12" s="19" t="s">
        <v>82</v>
      </c>
      <c r="AB12" s="5">
        <v>41478</v>
      </c>
      <c r="AC12" s="4">
        <v>297377.52</v>
      </c>
      <c r="AD12" s="4"/>
      <c r="AE12" s="32"/>
      <c r="AF12" s="34" t="s">
        <v>68</v>
      </c>
      <c r="AG12" s="112" t="s">
        <v>68</v>
      </c>
      <c r="AH12" s="112" t="s">
        <v>68</v>
      </c>
      <c r="AI12" s="7" t="s">
        <v>68</v>
      </c>
      <c r="AJ12" s="215" t="s">
        <v>68</v>
      </c>
      <c r="AK12" s="33" t="s">
        <v>89</v>
      </c>
      <c r="AL12" s="1" t="s">
        <v>68</v>
      </c>
      <c r="AM12" s="1"/>
      <c r="AN12" s="1" t="s">
        <v>68</v>
      </c>
      <c r="AO12" s="1"/>
      <c r="AP12" s="1" t="s">
        <v>68</v>
      </c>
      <c r="AQ12" s="1"/>
      <c r="AR12" s="279"/>
      <c r="AS12" s="35">
        <v>77814.44</v>
      </c>
      <c r="AT12" s="895">
        <v>216537.2</v>
      </c>
      <c r="AU12" s="884"/>
      <c r="AV12" s="19"/>
      <c r="AW12" s="17"/>
      <c r="AX12" s="19"/>
      <c r="AY12" s="73"/>
      <c r="AZ12" s="19"/>
      <c r="BA12" s="1"/>
      <c r="BB12" s="1"/>
      <c r="BC12" s="17"/>
      <c r="BD12" s="19"/>
      <c r="BE12" s="12"/>
      <c r="BF12" s="1"/>
      <c r="BG12" s="1"/>
      <c r="BH12" s="1"/>
      <c r="BI12" s="36">
        <v>294351.64</v>
      </c>
      <c r="BJ12" s="13"/>
      <c r="BK12" s="352"/>
      <c r="BL12" s="694" t="s">
        <v>68</v>
      </c>
      <c r="BM12" s="695" t="s">
        <v>68</v>
      </c>
      <c r="BN12" s="695" t="s">
        <v>68</v>
      </c>
      <c r="BO12" s="694"/>
      <c r="BP12" s="694"/>
      <c r="BQ12" s="694"/>
      <c r="BR12" s="694"/>
      <c r="BS12" s="694"/>
      <c r="BT12" s="694"/>
      <c r="BU12" s="694"/>
      <c r="BV12" s="694" t="s">
        <v>68</v>
      </c>
      <c r="BW12" s="13"/>
      <c r="BX12" s="13"/>
      <c r="BY12" s="13"/>
      <c r="BZ12" s="13"/>
      <c r="CA12" s="13"/>
      <c r="CB12" s="1220" t="s">
        <v>1427</v>
      </c>
      <c r="CC12" s="38" t="s">
        <v>76</v>
      </c>
      <c r="CD12" s="513"/>
      <c r="CE12" s="513"/>
      <c r="CF12" s="513"/>
      <c r="CG12" s="513"/>
      <c r="CH12" s="513"/>
      <c r="CI12" s="513"/>
      <c r="CJ12" s="513"/>
      <c r="CK12" s="12"/>
    </row>
    <row r="13" spans="1:89" ht="90" hidden="1" customHeight="1">
      <c r="A13"/>
      <c r="B13" s="22"/>
      <c r="C13" s="22"/>
      <c r="D13" s="22"/>
      <c r="E13" s="22"/>
      <c r="F13" s="22"/>
      <c r="G13" s="1166"/>
      <c r="H13" s="1166"/>
      <c r="I13" s="448"/>
      <c r="J13" s="16">
        <v>2013</v>
      </c>
      <c r="K13" s="1415"/>
      <c r="L13" s="1415"/>
      <c r="M13" s="17" t="s">
        <v>77</v>
      </c>
      <c r="N13" s="19" t="s">
        <v>96</v>
      </c>
      <c r="O13" s="2" t="s">
        <v>4032</v>
      </c>
      <c r="P13" s="3" t="s">
        <v>97</v>
      </c>
      <c r="Q13" s="3"/>
      <c r="R13" s="4">
        <v>371000</v>
      </c>
      <c r="S13" s="6">
        <v>41502</v>
      </c>
      <c r="T13" s="5">
        <v>41507</v>
      </c>
      <c r="U13" s="11">
        <v>41538</v>
      </c>
      <c r="V13" s="13" t="s">
        <v>68</v>
      </c>
      <c r="W13" s="19" t="s">
        <v>68</v>
      </c>
      <c r="X13" s="11"/>
      <c r="Y13" s="62">
        <v>41506</v>
      </c>
      <c r="Z13" s="105"/>
      <c r="AA13" s="19" t="s">
        <v>82</v>
      </c>
      <c r="AB13" s="5">
        <v>41478</v>
      </c>
      <c r="AC13" s="4">
        <v>371000</v>
      </c>
      <c r="AD13" s="4"/>
      <c r="AE13" s="32"/>
      <c r="AF13" s="34" t="s">
        <v>68</v>
      </c>
      <c r="AG13" s="112" t="s">
        <v>68</v>
      </c>
      <c r="AH13" s="112" t="s">
        <v>68</v>
      </c>
      <c r="AI13" s="7" t="s">
        <v>68</v>
      </c>
      <c r="AJ13" s="215" t="s">
        <v>68</v>
      </c>
      <c r="AK13" s="33" t="s">
        <v>89</v>
      </c>
      <c r="AL13" s="1" t="s">
        <v>68</v>
      </c>
      <c r="AM13" s="1"/>
      <c r="AN13" s="1" t="s">
        <v>68</v>
      </c>
      <c r="AO13" s="1"/>
      <c r="AP13" s="1" t="s">
        <v>68</v>
      </c>
      <c r="AQ13" s="1"/>
      <c r="AR13" s="279"/>
      <c r="AS13" s="35">
        <v>51973.11</v>
      </c>
      <c r="AT13" s="895">
        <v>135751</v>
      </c>
      <c r="AU13" s="884"/>
      <c r="AV13" s="30">
        <v>41494</v>
      </c>
      <c r="AW13" s="11">
        <v>41585</v>
      </c>
      <c r="AX13" s="30"/>
      <c r="AY13" s="52"/>
      <c r="AZ13" s="19"/>
      <c r="BA13" s="1"/>
      <c r="BB13" s="1"/>
      <c r="BC13" s="17"/>
      <c r="BD13" s="19"/>
      <c r="BE13" s="12"/>
      <c r="BF13" s="1"/>
      <c r="BG13" s="1"/>
      <c r="BH13" s="1"/>
      <c r="BI13" s="36">
        <v>187724.11</v>
      </c>
      <c r="BJ13" s="13"/>
      <c r="BK13" s="352"/>
      <c r="BL13" s="694" t="s">
        <v>68</v>
      </c>
      <c r="BM13" s="695" t="s">
        <v>68</v>
      </c>
      <c r="BN13" s="695" t="s">
        <v>68</v>
      </c>
      <c r="BO13" s="694"/>
      <c r="BP13" s="694"/>
      <c r="BQ13" s="694"/>
      <c r="BR13" s="694"/>
      <c r="BS13" s="694"/>
      <c r="BT13" s="694"/>
      <c r="BU13" s="694"/>
      <c r="BV13" s="694" t="s">
        <v>68</v>
      </c>
      <c r="BW13" s="13"/>
      <c r="BX13" s="13"/>
      <c r="BY13" s="13"/>
      <c r="BZ13" s="13"/>
      <c r="CA13" s="13"/>
      <c r="CB13" s="1220" t="s">
        <v>1427</v>
      </c>
      <c r="CC13" s="38" t="s">
        <v>76</v>
      </c>
      <c r="CD13" s="513"/>
      <c r="CE13" s="513"/>
      <c r="CF13" s="513"/>
      <c r="CG13" s="513"/>
      <c r="CH13" s="513"/>
      <c r="CI13" s="513"/>
      <c r="CJ13" s="513"/>
      <c r="CK13" s="12"/>
    </row>
    <row r="14" spans="1:89" ht="90" hidden="1" customHeight="1">
      <c r="A14"/>
      <c r="B14" s="22"/>
      <c r="C14" s="22"/>
      <c r="D14" s="22"/>
      <c r="E14" s="22"/>
      <c r="F14" s="22"/>
      <c r="G14" s="1166"/>
      <c r="H14" s="1166"/>
      <c r="I14" s="448"/>
      <c r="J14" s="16">
        <v>2013</v>
      </c>
      <c r="K14" s="1415"/>
      <c r="L14" s="1415"/>
      <c r="M14" s="17" t="s">
        <v>77</v>
      </c>
      <c r="N14" s="19" t="s">
        <v>98</v>
      </c>
      <c r="O14" s="2" t="s">
        <v>4032</v>
      </c>
      <c r="P14" s="3" t="s">
        <v>99</v>
      </c>
      <c r="Q14" s="3"/>
      <c r="R14" s="4">
        <v>355866.93</v>
      </c>
      <c r="S14" s="6">
        <v>41479</v>
      </c>
      <c r="T14" s="5">
        <v>41479</v>
      </c>
      <c r="U14" s="11">
        <v>41493</v>
      </c>
      <c r="V14" s="13" t="s">
        <v>68</v>
      </c>
      <c r="W14" s="19" t="s">
        <v>68</v>
      </c>
      <c r="X14" s="11"/>
      <c r="Y14" s="62">
        <v>41458</v>
      </c>
      <c r="Z14" s="105"/>
      <c r="AA14" s="19" t="s">
        <v>82</v>
      </c>
      <c r="AB14" s="5">
        <v>41478</v>
      </c>
      <c r="AC14" s="4">
        <v>355866.93</v>
      </c>
      <c r="AD14" s="4"/>
      <c r="AE14" s="32"/>
      <c r="AF14" s="34" t="s">
        <v>68</v>
      </c>
      <c r="AG14" s="112" t="s">
        <v>68</v>
      </c>
      <c r="AH14" s="112" t="s">
        <v>68</v>
      </c>
      <c r="AI14" s="7" t="s">
        <v>68</v>
      </c>
      <c r="AJ14" s="215" t="s">
        <v>68</v>
      </c>
      <c r="AK14" s="33" t="s">
        <v>89</v>
      </c>
      <c r="AL14" s="1"/>
      <c r="AM14" s="1"/>
      <c r="AN14" s="1"/>
      <c r="AO14" s="1"/>
      <c r="AP14" s="1"/>
      <c r="AQ14" s="1"/>
      <c r="AR14" s="279"/>
      <c r="AS14" s="35">
        <v>100811.74</v>
      </c>
      <c r="AT14" s="895">
        <v>211590</v>
      </c>
      <c r="AU14" s="884"/>
      <c r="AV14" s="30">
        <v>41479</v>
      </c>
      <c r="AW14" s="11">
        <v>41495</v>
      </c>
      <c r="AX14" s="30"/>
      <c r="AY14" s="52"/>
      <c r="AZ14" s="30">
        <v>41505</v>
      </c>
      <c r="BA14" s="5">
        <v>41479</v>
      </c>
      <c r="BB14" s="5">
        <v>41493</v>
      </c>
      <c r="BC14" s="11">
        <v>41493</v>
      </c>
      <c r="BD14" s="30"/>
      <c r="BE14" s="309"/>
      <c r="BF14" s="1"/>
      <c r="BG14" s="1"/>
      <c r="BH14" s="1"/>
      <c r="BI14" s="36">
        <v>312401.74</v>
      </c>
      <c r="BJ14" s="62"/>
      <c r="BK14" s="224"/>
      <c r="BL14" s="694" t="s">
        <v>68</v>
      </c>
      <c r="BM14" s="695" t="s">
        <v>68</v>
      </c>
      <c r="BN14" s="695" t="s">
        <v>68</v>
      </c>
      <c r="BO14" s="694"/>
      <c r="BP14" s="694"/>
      <c r="BQ14" s="694"/>
      <c r="BR14" s="694"/>
      <c r="BS14" s="694"/>
      <c r="BT14" s="694"/>
      <c r="BU14" s="694"/>
      <c r="BV14" s="694" t="s">
        <v>68</v>
      </c>
      <c r="BW14" s="13"/>
      <c r="BX14" s="13"/>
      <c r="BY14" s="13"/>
      <c r="BZ14" s="13"/>
      <c r="CA14" s="13"/>
      <c r="CB14" s="1220" t="s">
        <v>1427</v>
      </c>
      <c r="CC14" s="38" t="s">
        <v>76</v>
      </c>
      <c r="CD14" s="513"/>
      <c r="CE14" s="513"/>
      <c r="CF14" s="513"/>
      <c r="CG14" s="513"/>
      <c r="CH14" s="513"/>
      <c r="CI14" s="513"/>
      <c r="CJ14" s="513"/>
      <c r="CK14" s="12"/>
    </row>
    <row r="15" spans="1:89" ht="90" hidden="1" customHeight="1">
      <c r="A15"/>
      <c r="B15" s="22"/>
      <c r="C15" s="22"/>
      <c r="D15" s="22"/>
      <c r="E15" s="22"/>
      <c r="F15" s="22"/>
      <c r="G15" s="1166"/>
      <c r="H15" s="1166"/>
      <c r="I15" s="448"/>
      <c r="J15" s="16">
        <v>2013</v>
      </c>
      <c r="K15" s="1415"/>
      <c r="L15" s="1415"/>
      <c r="M15" s="17" t="s">
        <v>77</v>
      </c>
      <c r="N15" s="19" t="s">
        <v>100</v>
      </c>
      <c r="O15" s="2" t="s">
        <v>4032</v>
      </c>
      <c r="P15" s="3" t="s">
        <v>101</v>
      </c>
      <c r="Q15" s="3"/>
      <c r="R15" s="4">
        <v>73286.47</v>
      </c>
      <c r="S15" s="6">
        <v>41488</v>
      </c>
      <c r="T15" s="5">
        <v>41507</v>
      </c>
      <c r="U15" s="11">
        <v>41538</v>
      </c>
      <c r="V15" s="13" t="s">
        <v>68</v>
      </c>
      <c r="W15" s="19" t="s">
        <v>68</v>
      </c>
      <c r="X15" s="11"/>
      <c r="Y15" s="62">
        <v>41478</v>
      </c>
      <c r="Z15" s="105"/>
      <c r="AA15" s="19" t="s">
        <v>82</v>
      </c>
      <c r="AB15" s="5">
        <v>41478</v>
      </c>
      <c r="AC15" s="4">
        <v>44159.59</v>
      </c>
      <c r="AD15" s="4"/>
      <c r="AE15" s="32"/>
      <c r="AF15" s="34" t="s">
        <v>68</v>
      </c>
      <c r="AG15" s="112" t="s">
        <v>68</v>
      </c>
      <c r="AH15" s="112" t="s">
        <v>68</v>
      </c>
      <c r="AI15" s="7" t="s">
        <v>68</v>
      </c>
      <c r="AJ15" s="215" t="s">
        <v>68</v>
      </c>
      <c r="AK15" s="33" t="s">
        <v>89</v>
      </c>
      <c r="AL15" s="1"/>
      <c r="AM15" s="1"/>
      <c r="AN15" s="1"/>
      <c r="AO15" s="1"/>
      <c r="AP15" s="1"/>
      <c r="AQ15" s="1"/>
      <c r="AR15" s="279"/>
      <c r="AS15" s="35">
        <v>12784</v>
      </c>
      <c r="AT15" s="895">
        <v>29637</v>
      </c>
      <c r="AU15" s="884"/>
      <c r="AV15" s="30">
        <v>41498</v>
      </c>
      <c r="AW15" s="11">
        <v>41505</v>
      </c>
      <c r="AX15" s="30"/>
      <c r="AY15" s="52"/>
      <c r="AZ15" s="30">
        <v>41516</v>
      </c>
      <c r="BA15" s="5">
        <v>41493</v>
      </c>
      <c r="BB15" s="5">
        <v>41501</v>
      </c>
      <c r="BC15" s="11">
        <v>41503</v>
      </c>
      <c r="BD15" s="19"/>
      <c r="BE15" s="12"/>
      <c r="BF15" s="1"/>
      <c r="BG15" s="1"/>
      <c r="BH15" s="1"/>
      <c r="BI15" s="36">
        <v>42421</v>
      </c>
      <c r="BJ15" s="62"/>
      <c r="BK15" s="224"/>
      <c r="BL15" s="694" t="s">
        <v>68</v>
      </c>
      <c r="BM15" s="695" t="s">
        <v>68</v>
      </c>
      <c r="BN15" s="695" t="s">
        <v>68</v>
      </c>
      <c r="BO15" s="694"/>
      <c r="BP15" s="694"/>
      <c r="BQ15" s="694"/>
      <c r="BR15" s="694"/>
      <c r="BS15" s="694"/>
      <c r="BT15" s="694"/>
      <c r="BU15" s="694"/>
      <c r="BV15" s="694" t="s">
        <v>68</v>
      </c>
      <c r="BW15" s="13"/>
      <c r="BX15" s="13"/>
      <c r="BY15" s="13"/>
      <c r="BZ15" s="13"/>
      <c r="CA15" s="13"/>
      <c r="CB15" s="1220" t="s">
        <v>1427</v>
      </c>
      <c r="CC15" s="38" t="s">
        <v>76</v>
      </c>
      <c r="CD15" s="513"/>
      <c r="CE15" s="513"/>
      <c r="CF15" s="513"/>
      <c r="CG15" s="513"/>
      <c r="CH15" s="513"/>
      <c r="CI15" s="513"/>
      <c r="CJ15" s="513"/>
      <c r="CK15" s="12"/>
    </row>
    <row r="16" spans="1:89" ht="90" hidden="1" customHeight="1">
      <c r="A16"/>
      <c r="B16" s="22"/>
      <c r="C16" s="22"/>
      <c r="D16" s="22"/>
      <c r="E16" s="22"/>
      <c r="F16" s="22"/>
      <c r="G16" s="1166"/>
      <c r="H16" s="1166"/>
      <c r="I16" s="448"/>
      <c r="J16" s="16">
        <v>2013</v>
      </c>
      <c r="K16" s="1415"/>
      <c r="L16" s="1415"/>
      <c r="M16" s="17" t="s">
        <v>77</v>
      </c>
      <c r="N16" s="19" t="s">
        <v>102</v>
      </c>
      <c r="O16" s="2" t="s">
        <v>4032</v>
      </c>
      <c r="P16" s="3" t="s">
        <v>103</v>
      </c>
      <c r="Q16" s="3"/>
      <c r="R16" s="4">
        <v>172000</v>
      </c>
      <c r="S16" s="6">
        <v>41488</v>
      </c>
      <c r="T16" s="5">
        <v>41493</v>
      </c>
      <c r="U16" s="11">
        <v>41506</v>
      </c>
      <c r="V16" s="13" t="s">
        <v>68</v>
      </c>
      <c r="W16" s="19" t="s">
        <v>68</v>
      </c>
      <c r="X16" s="11"/>
      <c r="Y16" s="62">
        <v>41464</v>
      </c>
      <c r="Z16" s="105"/>
      <c r="AA16" s="19" t="s">
        <v>82</v>
      </c>
      <c r="AB16" s="5">
        <v>41478</v>
      </c>
      <c r="AC16" s="4">
        <v>172000</v>
      </c>
      <c r="AD16" s="4"/>
      <c r="AE16" s="32"/>
      <c r="AF16" s="34" t="s">
        <v>68</v>
      </c>
      <c r="AG16" s="112" t="s">
        <v>68</v>
      </c>
      <c r="AH16" s="112" t="s">
        <v>68</v>
      </c>
      <c r="AI16" s="7" t="s">
        <v>68</v>
      </c>
      <c r="AJ16" s="215" t="s">
        <v>68</v>
      </c>
      <c r="AK16" s="33" t="s">
        <v>89</v>
      </c>
      <c r="AL16" s="1"/>
      <c r="AM16" s="1"/>
      <c r="AN16" s="1"/>
      <c r="AO16" s="1"/>
      <c r="AP16" s="1"/>
      <c r="AQ16" s="1"/>
      <c r="AR16" s="279"/>
      <c r="AS16" s="35">
        <v>61547.3</v>
      </c>
      <c r="AT16" s="895">
        <v>108606</v>
      </c>
      <c r="AU16" s="884"/>
      <c r="AV16" s="30">
        <v>41494</v>
      </c>
      <c r="AW16" s="11">
        <v>41505</v>
      </c>
      <c r="AX16" s="30"/>
      <c r="AY16" s="52"/>
      <c r="AZ16" s="30">
        <v>41516</v>
      </c>
      <c r="BA16" s="5">
        <v>41493</v>
      </c>
      <c r="BB16" s="5">
        <v>41506</v>
      </c>
      <c r="BC16" s="11">
        <v>41503</v>
      </c>
      <c r="BD16" s="19"/>
      <c r="BE16" s="12"/>
      <c r="BF16" s="1"/>
      <c r="BG16" s="1"/>
      <c r="BH16" s="1"/>
      <c r="BI16" s="36">
        <v>170153.3</v>
      </c>
      <c r="BJ16" s="62"/>
      <c r="BK16" s="224"/>
      <c r="BL16" s="694" t="s">
        <v>68</v>
      </c>
      <c r="BM16" s="695" t="s">
        <v>68</v>
      </c>
      <c r="BN16" s="695" t="s">
        <v>68</v>
      </c>
      <c r="BO16" s="694"/>
      <c r="BP16" s="694"/>
      <c r="BQ16" s="694"/>
      <c r="BR16" s="694"/>
      <c r="BS16" s="694"/>
      <c r="BT16" s="694"/>
      <c r="BU16" s="694"/>
      <c r="BV16" s="694" t="s">
        <v>68</v>
      </c>
      <c r="BW16" s="13"/>
      <c r="BX16" s="13"/>
      <c r="BY16" s="13"/>
      <c r="BZ16" s="13"/>
      <c r="CA16" s="13"/>
      <c r="CB16" s="1220" t="s">
        <v>1427</v>
      </c>
      <c r="CC16" s="38" t="s">
        <v>76</v>
      </c>
      <c r="CD16" s="513"/>
      <c r="CE16" s="513"/>
      <c r="CF16" s="513"/>
      <c r="CG16" s="513"/>
      <c r="CH16" s="513"/>
      <c r="CI16" s="513"/>
      <c r="CJ16" s="513"/>
      <c r="CK16" s="12"/>
    </row>
    <row r="17" spans="2:89" customFormat="1" ht="90" hidden="1" customHeight="1">
      <c r="B17" s="22"/>
      <c r="C17" s="22"/>
      <c r="D17" s="22"/>
      <c r="E17" s="22"/>
      <c r="F17" s="22"/>
      <c r="G17" s="1166"/>
      <c r="H17" s="1166"/>
      <c r="I17" s="448"/>
      <c r="J17" s="16">
        <v>2013</v>
      </c>
      <c r="K17" s="1415"/>
      <c r="L17" s="1415"/>
      <c r="M17" s="17" t="s">
        <v>77</v>
      </c>
      <c r="N17" s="19" t="s">
        <v>104</v>
      </c>
      <c r="O17" s="2" t="s">
        <v>66</v>
      </c>
      <c r="P17" s="3" t="s">
        <v>105</v>
      </c>
      <c r="Q17" s="3"/>
      <c r="R17" s="4">
        <v>1084867.96</v>
      </c>
      <c r="S17" s="6">
        <v>41516</v>
      </c>
      <c r="T17" s="5">
        <v>41553</v>
      </c>
      <c r="U17" s="11">
        <v>41623</v>
      </c>
      <c r="V17" s="13" t="s">
        <v>68</v>
      </c>
      <c r="W17" s="116" t="s">
        <v>106</v>
      </c>
      <c r="X17" s="201" t="s">
        <v>70</v>
      </c>
      <c r="Y17" s="62"/>
      <c r="Z17" s="105"/>
      <c r="AA17" s="19" t="s">
        <v>82</v>
      </c>
      <c r="AB17" s="5">
        <v>41478</v>
      </c>
      <c r="AC17" s="4">
        <v>1200000</v>
      </c>
      <c r="AD17" s="4"/>
      <c r="AE17" s="32"/>
      <c r="AF17" s="34">
        <v>41498</v>
      </c>
      <c r="AG17" s="112" t="s">
        <v>68</v>
      </c>
      <c r="AH17" s="112" t="s">
        <v>68</v>
      </c>
      <c r="AI17" s="7">
        <v>41507</v>
      </c>
      <c r="AJ17" s="215">
        <v>41509</v>
      </c>
      <c r="AK17" s="33" t="s">
        <v>107</v>
      </c>
      <c r="AL17" s="1" t="s">
        <v>108</v>
      </c>
      <c r="AM17" s="5">
        <v>41516</v>
      </c>
      <c r="AN17" s="1" t="s">
        <v>109</v>
      </c>
      <c r="AO17" s="5">
        <v>41516</v>
      </c>
      <c r="AP17" s="1" t="s">
        <v>110</v>
      </c>
      <c r="AQ17" s="5">
        <v>41516</v>
      </c>
      <c r="AR17" s="279"/>
      <c r="AS17" s="35">
        <v>0</v>
      </c>
      <c r="AT17" s="895">
        <v>1084867.96</v>
      </c>
      <c r="AU17" s="884"/>
      <c r="AV17" s="161"/>
      <c r="AW17" s="17"/>
      <c r="AX17" s="223" t="s">
        <v>68</v>
      </c>
      <c r="AY17" s="224" t="s">
        <v>68</v>
      </c>
      <c r="AZ17" s="30">
        <v>41624</v>
      </c>
      <c r="BA17" s="5">
        <v>41553</v>
      </c>
      <c r="BB17" s="5">
        <v>41623</v>
      </c>
      <c r="BC17" s="17"/>
      <c r="BD17" s="225">
        <v>41624</v>
      </c>
      <c r="BE17" s="1606"/>
      <c r="BF17" s="5">
        <v>41553</v>
      </c>
      <c r="BG17" s="5">
        <v>41623</v>
      </c>
      <c r="BH17" s="5">
        <v>41621</v>
      </c>
      <c r="BI17" s="36">
        <v>1084867.96</v>
      </c>
      <c r="BJ17" s="197" t="s">
        <v>74</v>
      </c>
      <c r="BK17" s="1246"/>
      <c r="BL17" s="694" t="s">
        <v>68</v>
      </c>
      <c r="BM17" s="695" t="s">
        <v>68</v>
      </c>
      <c r="BN17" s="695" t="s">
        <v>68</v>
      </c>
      <c r="BO17" s="694"/>
      <c r="BP17" s="694"/>
      <c r="BQ17" s="694"/>
      <c r="BR17" s="694"/>
      <c r="BS17" s="694"/>
      <c r="BT17" s="694"/>
      <c r="BU17" s="694"/>
      <c r="BV17" s="694" t="s">
        <v>68</v>
      </c>
      <c r="BW17" s="13"/>
      <c r="BX17" s="13"/>
      <c r="BY17" s="13"/>
      <c r="BZ17" s="13"/>
      <c r="CA17" s="13"/>
      <c r="CB17" s="1220" t="s">
        <v>1427</v>
      </c>
      <c r="CC17" s="38" t="s">
        <v>76</v>
      </c>
      <c r="CD17" s="513"/>
      <c r="CE17" s="513"/>
      <c r="CF17" s="513"/>
      <c r="CG17" s="513"/>
      <c r="CH17" s="513"/>
      <c r="CI17" s="513"/>
      <c r="CJ17" s="513"/>
      <c r="CK17" s="12"/>
    </row>
    <row r="18" spans="2:89" customFormat="1" ht="90" hidden="1" customHeight="1">
      <c r="B18" s="22"/>
      <c r="C18" s="22"/>
      <c r="D18" s="22"/>
      <c r="E18" s="22"/>
      <c r="F18" s="22"/>
      <c r="G18" s="1166"/>
      <c r="H18" s="1166"/>
      <c r="I18" s="448"/>
      <c r="J18" s="16">
        <v>2013</v>
      </c>
      <c r="K18" s="1415"/>
      <c r="L18" s="1415"/>
      <c r="M18" s="17" t="s">
        <v>77</v>
      </c>
      <c r="N18" s="19" t="s">
        <v>111</v>
      </c>
      <c r="O18" s="2" t="s">
        <v>79</v>
      </c>
      <c r="P18" s="3" t="s">
        <v>112</v>
      </c>
      <c r="Q18" s="3"/>
      <c r="R18" s="4">
        <v>223854.45</v>
      </c>
      <c r="S18" s="6">
        <v>41501</v>
      </c>
      <c r="T18" s="5">
        <v>41505</v>
      </c>
      <c r="U18" s="11">
        <v>41547</v>
      </c>
      <c r="V18" s="62">
        <v>41501</v>
      </c>
      <c r="W18" s="116" t="s">
        <v>113</v>
      </c>
      <c r="X18" s="201" t="s">
        <v>114</v>
      </c>
      <c r="Y18" s="62">
        <v>41544</v>
      </c>
      <c r="Z18" s="105"/>
      <c r="AA18" s="19" t="s">
        <v>82</v>
      </c>
      <c r="AB18" s="5">
        <v>41478</v>
      </c>
      <c r="AC18" s="4">
        <v>249000</v>
      </c>
      <c r="AD18" s="4"/>
      <c r="AE18" s="32"/>
      <c r="AF18" s="34" t="s">
        <v>68</v>
      </c>
      <c r="AG18" s="112" t="s">
        <v>68</v>
      </c>
      <c r="AH18" s="112" t="s">
        <v>68</v>
      </c>
      <c r="AI18" s="7" t="s">
        <v>68</v>
      </c>
      <c r="AJ18" s="215" t="s">
        <v>68</v>
      </c>
      <c r="AK18" s="33" t="s">
        <v>115</v>
      </c>
      <c r="AL18" s="1" t="s">
        <v>116</v>
      </c>
      <c r="AM18" s="5">
        <v>41501</v>
      </c>
      <c r="AN18" s="1" t="s">
        <v>117</v>
      </c>
      <c r="AO18" s="5">
        <v>41501</v>
      </c>
      <c r="AP18" s="218" t="s">
        <v>74</v>
      </c>
      <c r="AQ18" s="1"/>
      <c r="AR18" s="279"/>
      <c r="AS18" s="35">
        <v>0</v>
      </c>
      <c r="AT18" s="895">
        <v>223853.44</v>
      </c>
      <c r="AU18" s="884"/>
      <c r="AV18" s="30">
        <v>41551</v>
      </c>
      <c r="AW18" s="11">
        <v>41628</v>
      </c>
      <c r="AX18" s="30"/>
      <c r="AY18" s="52"/>
      <c r="AZ18" s="19" t="s">
        <v>68</v>
      </c>
      <c r="BA18" s="1" t="s">
        <v>68</v>
      </c>
      <c r="BB18" s="1" t="s">
        <v>68</v>
      </c>
      <c r="BC18" s="17" t="s">
        <v>68</v>
      </c>
      <c r="BD18" s="30">
        <v>41683</v>
      </c>
      <c r="BE18" s="309"/>
      <c r="BF18" s="1" t="s">
        <v>68</v>
      </c>
      <c r="BG18" s="1" t="s">
        <v>68</v>
      </c>
      <c r="BH18" s="1" t="s">
        <v>68</v>
      </c>
      <c r="BI18" s="36" t="s">
        <v>68</v>
      </c>
      <c r="BJ18" s="197" t="s">
        <v>74</v>
      </c>
      <c r="BK18" s="1246"/>
      <c r="BL18" s="694" t="s">
        <v>68</v>
      </c>
      <c r="BM18" s="695" t="s">
        <v>68</v>
      </c>
      <c r="BN18" s="695" t="s">
        <v>68</v>
      </c>
      <c r="BO18" s="694"/>
      <c r="BP18" s="694"/>
      <c r="BQ18" s="694"/>
      <c r="BR18" s="694"/>
      <c r="BS18" s="694"/>
      <c r="BT18" s="694"/>
      <c r="BU18" s="694"/>
      <c r="BV18" s="694" t="s">
        <v>68</v>
      </c>
      <c r="BW18" s="13"/>
      <c r="BX18" s="13"/>
      <c r="BY18" s="13"/>
      <c r="BZ18" s="13"/>
      <c r="CA18" s="13"/>
      <c r="CB18" s="1220" t="s">
        <v>1427</v>
      </c>
      <c r="CC18" s="38" t="s">
        <v>76</v>
      </c>
      <c r="CD18" s="513"/>
      <c r="CE18" s="513"/>
      <c r="CF18" s="513"/>
      <c r="CG18" s="513"/>
      <c r="CH18" s="513"/>
      <c r="CI18" s="513"/>
      <c r="CJ18" s="513"/>
      <c r="CK18" s="12"/>
    </row>
    <row r="19" spans="2:89" customFormat="1" ht="90" hidden="1" customHeight="1">
      <c r="B19" s="22"/>
      <c r="C19" s="22"/>
      <c r="D19" s="22"/>
      <c r="E19" s="22"/>
      <c r="F19" s="22"/>
      <c r="G19" s="1166"/>
      <c r="H19" s="1166"/>
      <c r="I19" s="448"/>
      <c r="J19" s="16">
        <v>2013</v>
      </c>
      <c r="K19" s="1415"/>
      <c r="L19" s="1415"/>
      <c r="M19" s="17" t="s">
        <v>77</v>
      </c>
      <c r="N19" s="19" t="s">
        <v>118</v>
      </c>
      <c r="O19" s="2" t="s">
        <v>79</v>
      </c>
      <c r="P19" s="3" t="s">
        <v>119</v>
      </c>
      <c r="Q19" s="3"/>
      <c r="R19" s="4">
        <v>318371.84999999998</v>
      </c>
      <c r="S19" s="6">
        <v>41501</v>
      </c>
      <c r="T19" s="5">
        <v>41519</v>
      </c>
      <c r="U19" s="11">
        <v>41573</v>
      </c>
      <c r="V19" s="62">
        <v>41501</v>
      </c>
      <c r="W19" s="116" t="s">
        <v>113</v>
      </c>
      <c r="X19" s="201" t="s">
        <v>114</v>
      </c>
      <c r="Y19" s="62">
        <v>41544</v>
      </c>
      <c r="Z19" s="105"/>
      <c r="AA19" s="19" t="s">
        <v>82</v>
      </c>
      <c r="AB19" s="5">
        <v>41478</v>
      </c>
      <c r="AC19" s="4">
        <v>323000</v>
      </c>
      <c r="AD19" s="4"/>
      <c r="AE19" s="32"/>
      <c r="AF19" s="34" t="s">
        <v>68</v>
      </c>
      <c r="AG19" s="112" t="s">
        <v>68</v>
      </c>
      <c r="AH19" s="112" t="s">
        <v>68</v>
      </c>
      <c r="AI19" s="7" t="s">
        <v>68</v>
      </c>
      <c r="AJ19" s="215" t="s">
        <v>68</v>
      </c>
      <c r="AK19" s="33" t="s">
        <v>115</v>
      </c>
      <c r="AL19" s="1" t="s">
        <v>120</v>
      </c>
      <c r="AM19" s="5">
        <v>41501</v>
      </c>
      <c r="AN19" s="1" t="s">
        <v>121</v>
      </c>
      <c r="AO19" s="5">
        <v>41501</v>
      </c>
      <c r="AP19" s="218" t="s">
        <v>74</v>
      </c>
      <c r="AQ19" s="1"/>
      <c r="AR19" s="279"/>
      <c r="AS19" s="35">
        <v>0</v>
      </c>
      <c r="AT19" s="895">
        <v>318370.37</v>
      </c>
      <c r="AU19" s="884"/>
      <c r="AV19" s="30">
        <v>41551</v>
      </c>
      <c r="AW19" s="11">
        <v>41628</v>
      </c>
      <c r="AX19" s="30"/>
      <c r="AY19" s="52"/>
      <c r="AZ19" s="19" t="s">
        <v>68</v>
      </c>
      <c r="BA19" s="1" t="s">
        <v>68</v>
      </c>
      <c r="BB19" s="1" t="s">
        <v>68</v>
      </c>
      <c r="BC19" s="17" t="s">
        <v>68</v>
      </c>
      <c r="BD19" s="30">
        <v>41344</v>
      </c>
      <c r="BE19" s="309"/>
      <c r="BF19" s="1" t="s">
        <v>68</v>
      </c>
      <c r="BG19" s="1" t="s">
        <v>68</v>
      </c>
      <c r="BH19" s="1" t="s">
        <v>68</v>
      </c>
      <c r="BI19" s="36" t="s">
        <v>68</v>
      </c>
      <c r="BJ19" s="197" t="s">
        <v>74</v>
      </c>
      <c r="BK19" s="1246"/>
      <c r="BL19" s="694" t="s">
        <v>68</v>
      </c>
      <c r="BM19" s="695" t="s">
        <v>68</v>
      </c>
      <c r="BN19" s="695" t="s">
        <v>68</v>
      </c>
      <c r="BO19" s="694"/>
      <c r="BP19" s="694"/>
      <c r="BQ19" s="694"/>
      <c r="BR19" s="694"/>
      <c r="BS19" s="694"/>
      <c r="BT19" s="694"/>
      <c r="BU19" s="694"/>
      <c r="BV19" s="694" t="s">
        <v>68</v>
      </c>
      <c r="BW19" s="13"/>
      <c r="BX19" s="13"/>
      <c r="BY19" s="13"/>
      <c r="BZ19" s="13"/>
      <c r="CA19" s="13"/>
      <c r="CB19" s="1220" t="s">
        <v>1427</v>
      </c>
      <c r="CC19" s="38" t="s">
        <v>76</v>
      </c>
      <c r="CD19" s="513"/>
      <c r="CE19" s="513"/>
      <c r="CF19" s="513"/>
      <c r="CG19" s="513"/>
      <c r="CH19" s="513"/>
      <c r="CI19" s="513"/>
      <c r="CJ19" s="513"/>
      <c r="CK19" s="12"/>
    </row>
    <row r="20" spans="2:89" customFormat="1" ht="90" hidden="1" customHeight="1">
      <c r="B20" s="22"/>
      <c r="C20" s="22"/>
      <c r="D20" s="22"/>
      <c r="E20" s="22"/>
      <c r="F20" s="22"/>
      <c r="G20" s="1166"/>
      <c r="H20" s="1166"/>
      <c r="I20" s="448"/>
      <c r="J20" s="16">
        <v>2013</v>
      </c>
      <c r="K20" s="1415"/>
      <c r="L20" s="1415"/>
      <c r="M20" s="17" t="s">
        <v>77</v>
      </c>
      <c r="N20" s="19" t="s">
        <v>122</v>
      </c>
      <c r="O20" s="2" t="s">
        <v>4032</v>
      </c>
      <c r="P20" s="3" t="s">
        <v>123</v>
      </c>
      <c r="Q20" s="3"/>
      <c r="R20" s="79">
        <v>65000</v>
      </c>
      <c r="S20" s="67">
        <v>41596</v>
      </c>
      <c r="T20" s="5">
        <v>41589</v>
      </c>
      <c r="U20" s="11">
        <v>41638</v>
      </c>
      <c r="V20" s="13" t="s">
        <v>68</v>
      </c>
      <c r="W20" s="19" t="s">
        <v>68</v>
      </c>
      <c r="X20" s="17"/>
      <c r="Y20" s="202"/>
      <c r="Z20" s="1362"/>
      <c r="AA20" s="19" t="s">
        <v>124</v>
      </c>
      <c r="AB20" s="5">
        <v>41617</v>
      </c>
      <c r="AC20" s="4">
        <v>65000</v>
      </c>
      <c r="AD20" s="4"/>
      <c r="AE20" s="32"/>
      <c r="AF20" s="34" t="s">
        <v>68</v>
      </c>
      <c r="AG20" s="112" t="s">
        <v>68</v>
      </c>
      <c r="AH20" s="112" t="s">
        <v>68</v>
      </c>
      <c r="AI20" s="7" t="s">
        <v>68</v>
      </c>
      <c r="AJ20" s="215" t="s">
        <v>68</v>
      </c>
      <c r="AK20" s="33" t="s">
        <v>68</v>
      </c>
      <c r="AL20" s="1" t="s">
        <v>68</v>
      </c>
      <c r="AM20" s="1"/>
      <c r="AN20" s="1" t="s">
        <v>68</v>
      </c>
      <c r="AO20" s="1"/>
      <c r="AP20" s="1" t="s">
        <v>68</v>
      </c>
      <c r="AQ20" s="1"/>
      <c r="AR20" s="279"/>
      <c r="AS20" s="35">
        <v>46466.73</v>
      </c>
      <c r="AT20" s="895">
        <v>62966</v>
      </c>
      <c r="AU20" s="884"/>
      <c r="AV20" s="30">
        <v>41577</v>
      </c>
      <c r="AW20" s="11">
        <v>41607</v>
      </c>
      <c r="AX20" s="223" t="s">
        <v>68</v>
      </c>
      <c r="AY20" s="52"/>
      <c r="AZ20" s="161"/>
      <c r="BA20" s="1"/>
      <c r="BB20" s="1"/>
      <c r="BC20" s="17"/>
      <c r="BD20" s="230">
        <v>41619</v>
      </c>
      <c r="BE20" s="508"/>
      <c r="BF20" s="1">
        <v>30</v>
      </c>
      <c r="BG20" s="1"/>
      <c r="BH20" s="1"/>
      <c r="BI20" s="36">
        <v>109432.73000000001</v>
      </c>
      <c r="BJ20" s="13"/>
      <c r="BK20" s="352"/>
      <c r="BL20" s="694" t="s">
        <v>68</v>
      </c>
      <c r="BM20" s="695" t="s">
        <v>68</v>
      </c>
      <c r="BN20" s="695" t="s">
        <v>68</v>
      </c>
      <c r="BO20" s="694"/>
      <c r="BP20" s="694"/>
      <c r="BQ20" s="694"/>
      <c r="BR20" s="694"/>
      <c r="BS20" s="694"/>
      <c r="BT20" s="694"/>
      <c r="BU20" s="694"/>
      <c r="BV20" s="694" t="s">
        <v>68</v>
      </c>
      <c r="BW20" s="13"/>
      <c r="BX20" s="13"/>
      <c r="BY20" s="13"/>
      <c r="BZ20" s="13"/>
      <c r="CA20" s="13"/>
      <c r="CB20" s="1220" t="s">
        <v>1427</v>
      </c>
      <c r="CC20" s="38" t="s">
        <v>76</v>
      </c>
      <c r="CD20" s="513"/>
      <c r="CE20" s="513"/>
      <c r="CF20" s="513"/>
      <c r="CG20" s="513"/>
      <c r="CH20" s="513"/>
      <c r="CI20" s="513"/>
      <c r="CJ20" s="513"/>
      <c r="CK20" s="12"/>
    </row>
    <row r="21" spans="2:89" customFormat="1" ht="90" hidden="1" customHeight="1">
      <c r="B21" s="22"/>
      <c r="C21" s="22"/>
      <c r="D21" s="22"/>
      <c r="E21" s="22"/>
      <c r="F21" s="22"/>
      <c r="G21" s="1166"/>
      <c r="H21" s="1166"/>
      <c r="I21" s="448"/>
      <c r="J21" s="16">
        <v>2013</v>
      </c>
      <c r="K21" s="1415"/>
      <c r="L21" s="1415"/>
      <c r="M21" s="17" t="s">
        <v>77</v>
      </c>
      <c r="N21" s="19" t="s">
        <v>125</v>
      </c>
      <c r="O21" s="2" t="s">
        <v>4032</v>
      </c>
      <c r="P21" s="3" t="s">
        <v>126</v>
      </c>
      <c r="Q21" s="3"/>
      <c r="R21" s="63" t="s">
        <v>74</v>
      </c>
      <c r="S21" s="195"/>
      <c r="T21" s="1"/>
      <c r="U21" s="17"/>
      <c r="V21" s="13" t="s">
        <v>68</v>
      </c>
      <c r="W21" s="19" t="s">
        <v>68</v>
      </c>
      <c r="X21" s="17"/>
      <c r="Y21" s="202" t="s">
        <v>74</v>
      </c>
      <c r="Z21" s="1362"/>
      <c r="AA21" s="211" t="s">
        <v>68</v>
      </c>
      <c r="AB21" s="1" t="s">
        <v>68</v>
      </c>
      <c r="AC21" s="4" t="s">
        <v>68</v>
      </c>
      <c r="AD21" s="1" t="s">
        <v>72</v>
      </c>
      <c r="AE21" s="32">
        <v>80000</v>
      </c>
      <c r="AF21" s="34" t="s">
        <v>68</v>
      </c>
      <c r="AG21" s="112" t="s">
        <v>68</v>
      </c>
      <c r="AH21" s="112" t="s">
        <v>68</v>
      </c>
      <c r="AI21" s="7" t="s">
        <v>68</v>
      </c>
      <c r="AJ21" s="215" t="s">
        <v>68</v>
      </c>
      <c r="AK21" s="33" t="s">
        <v>89</v>
      </c>
      <c r="AL21" s="1"/>
      <c r="AM21" s="1"/>
      <c r="AN21" s="1"/>
      <c r="AO21" s="1"/>
      <c r="AP21" s="1"/>
      <c r="AQ21" s="1"/>
      <c r="AR21" s="279"/>
      <c r="AS21" s="220">
        <v>0</v>
      </c>
      <c r="AT21" s="894">
        <f>BI21</f>
        <v>0</v>
      </c>
      <c r="AU21" s="883"/>
      <c r="AV21" s="161"/>
      <c r="AW21" s="17"/>
      <c r="AX21" s="19"/>
      <c r="AY21" s="73"/>
      <c r="AZ21" s="161"/>
      <c r="BA21" s="1"/>
      <c r="BB21" s="1"/>
      <c r="BC21" s="17"/>
      <c r="BD21" s="161"/>
      <c r="BE21" s="1402"/>
      <c r="BF21" s="1"/>
      <c r="BG21" s="1"/>
      <c r="BH21" s="1"/>
      <c r="BI21" s="36">
        <v>0</v>
      </c>
      <c r="BJ21" s="13"/>
      <c r="BK21" s="352"/>
      <c r="BL21" s="694" t="s">
        <v>68</v>
      </c>
      <c r="BM21" s="695" t="s">
        <v>68</v>
      </c>
      <c r="BN21" s="695" t="s">
        <v>68</v>
      </c>
      <c r="BO21" s="694"/>
      <c r="BP21" s="694"/>
      <c r="BQ21" s="694"/>
      <c r="BR21" s="694"/>
      <c r="BS21" s="694"/>
      <c r="BT21" s="694"/>
      <c r="BU21" s="694"/>
      <c r="BV21" s="694" t="s">
        <v>68</v>
      </c>
      <c r="BW21" s="13"/>
      <c r="BX21" s="13"/>
      <c r="BY21" s="13"/>
      <c r="BZ21" s="13"/>
      <c r="CA21" s="13"/>
      <c r="CB21" s="1220" t="s">
        <v>1427</v>
      </c>
      <c r="CC21" s="38" t="s">
        <v>76</v>
      </c>
      <c r="CD21" s="513"/>
      <c r="CE21" s="513"/>
      <c r="CF21" s="513"/>
      <c r="CG21" s="513"/>
      <c r="CH21" s="513"/>
      <c r="CI21" s="513"/>
      <c r="CJ21" s="513"/>
      <c r="CK21" s="12"/>
    </row>
    <row r="22" spans="2:89" customFormat="1" ht="90" hidden="1" customHeight="1">
      <c r="B22" s="22"/>
      <c r="C22" s="22"/>
      <c r="D22" s="22"/>
      <c r="E22" s="22"/>
      <c r="F22" s="22"/>
      <c r="G22" s="1166"/>
      <c r="H22" s="1166"/>
      <c r="I22" s="448"/>
      <c r="J22" s="16">
        <v>2013</v>
      </c>
      <c r="K22" s="1415"/>
      <c r="L22" s="1415"/>
      <c r="M22" s="17" t="s">
        <v>77</v>
      </c>
      <c r="N22" s="19" t="s">
        <v>127</v>
      </c>
      <c r="O22" s="2" t="s">
        <v>79</v>
      </c>
      <c r="P22" s="3" t="s">
        <v>128</v>
      </c>
      <c r="Q22" s="3"/>
      <c r="R22" s="4">
        <v>99364.64</v>
      </c>
      <c r="S22" s="6">
        <v>41547</v>
      </c>
      <c r="T22" s="5">
        <v>41548</v>
      </c>
      <c r="U22" s="11">
        <v>41580</v>
      </c>
      <c r="V22" s="62">
        <v>41547</v>
      </c>
      <c r="W22" s="116" t="s">
        <v>129</v>
      </c>
      <c r="X22" s="201" t="s">
        <v>130</v>
      </c>
      <c r="Y22" s="197" t="s">
        <v>74</v>
      </c>
      <c r="Z22" s="65"/>
      <c r="AA22" s="19" t="s">
        <v>82</v>
      </c>
      <c r="AB22" s="5">
        <v>41478</v>
      </c>
      <c r="AC22" s="4">
        <v>99675</v>
      </c>
      <c r="AD22" s="4"/>
      <c r="AE22" s="32"/>
      <c r="AF22" s="34" t="s">
        <v>68</v>
      </c>
      <c r="AG22" s="112" t="s">
        <v>68</v>
      </c>
      <c r="AH22" s="112" t="s">
        <v>68</v>
      </c>
      <c r="AI22" s="7" t="s">
        <v>68</v>
      </c>
      <c r="AJ22" s="215" t="s">
        <v>68</v>
      </c>
      <c r="AK22" s="33" t="s">
        <v>107</v>
      </c>
      <c r="AL22" s="1" t="s">
        <v>131</v>
      </c>
      <c r="AM22" s="5">
        <v>41563</v>
      </c>
      <c r="AN22" s="1" t="s">
        <v>132</v>
      </c>
      <c r="AO22" s="5">
        <v>41563</v>
      </c>
      <c r="AP22" s="218" t="s">
        <v>74</v>
      </c>
      <c r="AQ22" s="1"/>
      <c r="AR22" s="279"/>
      <c r="AS22" s="35">
        <v>0</v>
      </c>
      <c r="AT22" s="895">
        <v>91694.8</v>
      </c>
      <c r="AU22" s="884"/>
      <c r="AV22" s="5">
        <v>41548</v>
      </c>
      <c r="AW22" s="11">
        <v>41558</v>
      </c>
      <c r="AX22" s="30"/>
      <c r="AY22" s="52"/>
      <c r="AZ22" s="5">
        <v>41569</v>
      </c>
      <c r="BA22" s="5">
        <v>41548</v>
      </c>
      <c r="BB22" s="5">
        <v>41580</v>
      </c>
      <c r="BC22" s="17"/>
      <c r="BD22" s="5">
        <v>41569</v>
      </c>
      <c r="BE22" s="5"/>
      <c r="BF22" s="5">
        <v>41548</v>
      </c>
      <c r="BG22" s="5">
        <v>41580</v>
      </c>
      <c r="BH22" s="5">
        <v>41565</v>
      </c>
      <c r="BI22" s="36">
        <v>91694.8</v>
      </c>
      <c r="BJ22" s="197" t="s">
        <v>74</v>
      </c>
      <c r="BK22" s="1246"/>
      <c r="BL22" s="694" t="s">
        <v>68</v>
      </c>
      <c r="BM22" s="695" t="s">
        <v>68</v>
      </c>
      <c r="BN22" s="695" t="s">
        <v>68</v>
      </c>
      <c r="BO22" s="694"/>
      <c r="BP22" s="694"/>
      <c r="BQ22" s="694"/>
      <c r="BR22" s="694"/>
      <c r="BS22" s="694"/>
      <c r="BT22" s="694"/>
      <c r="BU22" s="694"/>
      <c r="BV22" s="694" t="s">
        <v>68</v>
      </c>
      <c r="BW22" s="13"/>
      <c r="BX22" s="13"/>
      <c r="BY22" s="13"/>
      <c r="BZ22" s="13"/>
      <c r="CA22" s="13"/>
      <c r="CB22" s="1220" t="s">
        <v>1427</v>
      </c>
      <c r="CC22" s="38" t="s">
        <v>76</v>
      </c>
      <c r="CD22" s="513"/>
      <c r="CE22" s="513"/>
      <c r="CF22" s="513"/>
      <c r="CG22" s="513"/>
      <c r="CH22" s="513"/>
      <c r="CI22" s="513"/>
      <c r="CJ22" s="513"/>
      <c r="CK22" s="12"/>
    </row>
    <row r="23" spans="2:89" customFormat="1" ht="90" hidden="1" customHeight="1">
      <c r="B23" s="22"/>
      <c r="C23" s="22"/>
      <c r="D23" s="22"/>
      <c r="E23" s="22"/>
      <c r="F23" s="22"/>
      <c r="G23" s="1166"/>
      <c r="H23" s="1166"/>
      <c r="I23" s="448"/>
      <c r="J23" s="16">
        <v>2013</v>
      </c>
      <c r="K23" s="1415"/>
      <c r="L23" s="1415"/>
      <c r="M23" s="17" t="s">
        <v>77</v>
      </c>
      <c r="N23" s="19" t="s">
        <v>133</v>
      </c>
      <c r="O23" s="2" t="s">
        <v>79</v>
      </c>
      <c r="P23" s="3" t="s">
        <v>134</v>
      </c>
      <c r="Q23" s="3"/>
      <c r="R23" s="4">
        <v>363453.99</v>
      </c>
      <c r="S23" s="6">
        <v>41547</v>
      </c>
      <c r="T23" s="5">
        <v>41548</v>
      </c>
      <c r="U23" s="11">
        <v>41580</v>
      </c>
      <c r="V23" s="62">
        <v>41547</v>
      </c>
      <c r="W23" s="116" t="s">
        <v>129</v>
      </c>
      <c r="X23" s="201" t="s">
        <v>130</v>
      </c>
      <c r="Y23" s="62">
        <v>41544</v>
      </c>
      <c r="Z23" s="105"/>
      <c r="AA23" s="19" t="s">
        <v>82</v>
      </c>
      <c r="AB23" s="5">
        <v>41478</v>
      </c>
      <c r="AC23" s="4">
        <v>363730.32</v>
      </c>
      <c r="AD23" s="4"/>
      <c r="AE23" s="32"/>
      <c r="AF23" s="34" t="s">
        <v>68</v>
      </c>
      <c r="AG23" s="112" t="s">
        <v>68</v>
      </c>
      <c r="AH23" s="112" t="s">
        <v>68</v>
      </c>
      <c r="AI23" s="7" t="s">
        <v>68</v>
      </c>
      <c r="AJ23" s="215" t="s">
        <v>68</v>
      </c>
      <c r="AK23" s="33" t="s">
        <v>107</v>
      </c>
      <c r="AL23" s="1" t="s">
        <v>135</v>
      </c>
      <c r="AM23" s="5">
        <v>41563</v>
      </c>
      <c r="AN23" s="1" t="s">
        <v>136</v>
      </c>
      <c r="AO23" s="5">
        <v>41563</v>
      </c>
      <c r="AP23" s="218" t="s">
        <v>74</v>
      </c>
      <c r="AQ23" s="1"/>
      <c r="AR23" s="279"/>
      <c r="AS23" s="35">
        <v>0</v>
      </c>
      <c r="AT23" s="895">
        <v>361775.26</v>
      </c>
      <c r="AU23" s="884"/>
      <c r="AV23" s="225">
        <v>41552</v>
      </c>
      <c r="AW23" s="59">
        <v>41566</v>
      </c>
      <c r="AX23" s="225"/>
      <c r="AY23" s="226"/>
      <c r="AZ23" s="30">
        <v>41569</v>
      </c>
      <c r="BA23" s="5">
        <v>41548</v>
      </c>
      <c r="BB23" s="5">
        <v>41580</v>
      </c>
      <c r="BC23" s="17"/>
      <c r="BD23" s="225">
        <v>41569</v>
      </c>
      <c r="BE23" s="1606"/>
      <c r="BF23" s="5">
        <v>41548</v>
      </c>
      <c r="BG23" s="5">
        <v>41580</v>
      </c>
      <c r="BH23" s="5">
        <v>41565</v>
      </c>
      <c r="BI23" s="36">
        <v>361775.26</v>
      </c>
      <c r="BJ23" s="197" t="s">
        <v>74</v>
      </c>
      <c r="BK23" s="1246"/>
      <c r="BL23" s="694" t="s">
        <v>68</v>
      </c>
      <c r="BM23" s="695" t="s">
        <v>68</v>
      </c>
      <c r="BN23" s="695" t="s">
        <v>68</v>
      </c>
      <c r="BO23" s="694"/>
      <c r="BP23" s="694"/>
      <c r="BQ23" s="694"/>
      <c r="BR23" s="694"/>
      <c r="BS23" s="694"/>
      <c r="BT23" s="694"/>
      <c r="BU23" s="694"/>
      <c r="BV23" s="694" t="s">
        <v>68</v>
      </c>
      <c r="BW23" s="13"/>
      <c r="BX23" s="13"/>
      <c r="BY23" s="13"/>
      <c r="BZ23" s="13"/>
      <c r="CA23" s="13"/>
      <c r="CB23" s="1220" t="s">
        <v>1427</v>
      </c>
      <c r="CC23" s="38" t="s">
        <v>76</v>
      </c>
      <c r="CD23" s="513"/>
      <c r="CE23" s="513"/>
      <c r="CF23" s="513"/>
      <c r="CG23" s="513"/>
      <c r="CH23" s="513"/>
      <c r="CI23" s="513"/>
      <c r="CJ23" s="513"/>
      <c r="CK23" s="12"/>
    </row>
    <row r="24" spans="2:89" customFormat="1" ht="90" hidden="1" customHeight="1">
      <c r="B24" s="22"/>
      <c r="C24" s="22"/>
      <c r="D24" s="22"/>
      <c r="E24" s="22"/>
      <c r="F24" s="22"/>
      <c r="G24" s="1166"/>
      <c r="H24" s="1166"/>
      <c r="I24" s="448"/>
      <c r="J24" s="16">
        <v>2013</v>
      </c>
      <c r="K24" s="1415"/>
      <c r="L24" s="1415"/>
      <c r="M24" s="17" t="s">
        <v>77</v>
      </c>
      <c r="N24" s="19" t="s">
        <v>137</v>
      </c>
      <c r="O24" s="2" t="s">
        <v>4032</v>
      </c>
      <c r="P24" s="3" t="s">
        <v>138</v>
      </c>
      <c r="Q24" s="3"/>
      <c r="R24" s="79">
        <v>339164.5</v>
      </c>
      <c r="S24" s="6">
        <v>41599</v>
      </c>
      <c r="T24" s="5">
        <v>41600</v>
      </c>
      <c r="U24" s="11">
        <v>41623</v>
      </c>
      <c r="V24" s="13" t="s">
        <v>68</v>
      </c>
      <c r="W24" s="19" t="s">
        <v>68</v>
      </c>
      <c r="X24" s="17"/>
      <c r="Y24" s="62">
        <v>41475</v>
      </c>
      <c r="Z24" s="105"/>
      <c r="AA24" s="19" t="s">
        <v>82</v>
      </c>
      <c r="AB24" s="5">
        <v>41478</v>
      </c>
      <c r="AC24" s="4">
        <v>219000</v>
      </c>
      <c r="AD24" s="1" t="s">
        <v>72</v>
      </c>
      <c r="AE24" s="32">
        <v>339164.5</v>
      </c>
      <c r="AF24" s="34" t="s">
        <v>68</v>
      </c>
      <c r="AG24" s="112" t="s">
        <v>68</v>
      </c>
      <c r="AH24" s="112" t="s">
        <v>68</v>
      </c>
      <c r="AI24" s="7" t="s">
        <v>68</v>
      </c>
      <c r="AJ24" s="215" t="s">
        <v>68</v>
      </c>
      <c r="AK24" s="33" t="s">
        <v>89</v>
      </c>
      <c r="AL24" s="1" t="s">
        <v>68</v>
      </c>
      <c r="AM24" s="1"/>
      <c r="AN24" s="1" t="s">
        <v>68</v>
      </c>
      <c r="AO24" s="1"/>
      <c r="AP24" s="1" t="s">
        <v>68</v>
      </c>
      <c r="AQ24" s="1"/>
      <c r="AR24" s="279"/>
      <c r="AS24" s="35">
        <v>66093.58</v>
      </c>
      <c r="AT24" s="895">
        <v>260917.19</v>
      </c>
      <c r="AU24" s="884"/>
      <c r="AV24" s="161"/>
      <c r="AW24" s="17"/>
      <c r="AX24" s="19"/>
      <c r="AY24" s="73"/>
      <c r="AZ24" s="161"/>
      <c r="BA24" s="1"/>
      <c r="BB24" s="1"/>
      <c r="BC24" s="17"/>
      <c r="BD24" s="161"/>
      <c r="BE24" s="1402"/>
      <c r="BF24" s="1"/>
      <c r="BG24" s="1"/>
      <c r="BH24" s="1"/>
      <c r="BI24" s="36">
        <v>327010.77</v>
      </c>
      <c r="BJ24" s="13"/>
      <c r="BK24" s="352"/>
      <c r="BL24" s="694" t="s">
        <v>68</v>
      </c>
      <c r="BM24" s="695" t="s">
        <v>68</v>
      </c>
      <c r="BN24" s="695" t="s">
        <v>68</v>
      </c>
      <c r="BO24" s="694"/>
      <c r="BP24" s="694"/>
      <c r="BQ24" s="694"/>
      <c r="BR24" s="694"/>
      <c r="BS24" s="694"/>
      <c r="BT24" s="694"/>
      <c r="BU24" s="694"/>
      <c r="BV24" s="694" t="s">
        <v>68</v>
      </c>
      <c r="BW24" s="13"/>
      <c r="BX24" s="13"/>
      <c r="BY24" s="13"/>
      <c r="BZ24" s="13"/>
      <c r="CA24" s="13"/>
      <c r="CB24" s="1220" t="s">
        <v>1427</v>
      </c>
      <c r="CC24" s="38" t="s">
        <v>76</v>
      </c>
      <c r="CD24" s="513"/>
      <c r="CE24" s="513"/>
      <c r="CF24" s="513"/>
      <c r="CG24" s="513"/>
      <c r="CH24" s="513"/>
      <c r="CI24" s="513"/>
      <c r="CJ24" s="513"/>
      <c r="CK24" s="12"/>
    </row>
    <row r="25" spans="2:89" customFormat="1" ht="90" hidden="1" customHeight="1">
      <c r="B25" s="22"/>
      <c r="C25" s="22"/>
      <c r="D25" s="22"/>
      <c r="E25" s="22"/>
      <c r="F25" s="22"/>
      <c r="G25" s="1166"/>
      <c r="H25" s="1166"/>
      <c r="I25" s="448"/>
      <c r="J25" s="16">
        <v>2013</v>
      </c>
      <c r="K25" s="1415"/>
      <c r="L25" s="1415"/>
      <c r="M25" s="17" t="s">
        <v>77</v>
      </c>
      <c r="N25" s="19" t="s">
        <v>139</v>
      </c>
      <c r="O25" s="2" t="s">
        <v>4032</v>
      </c>
      <c r="P25" s="3" t="s">
        <v>140</v>
      </c>
      <c r="Q25" s="3"/>
      <c r="R25" s="79">
        <v>108190</v>
      </c>
      <c r="S25" s="6">
        <v>41593</v>
      </c>
      <c r="T25" s="5">
        <v>41596</v>
      </c>
      <c r="U25" s="11">
        <v>41610</v>
      </c>
      <c r="V25" s="13" t="s">
        <v>68</v>
      </c>
      <c r="W25" s="19" t="s">
        <v>68</v>
      </c>
      <c r="X25" s="17"/>
      <c r="Y25" s="202"/>
      <c r="Z25" s="1362"/>
      <c r="AA25" s="211" t="s">
        <v>68</v>
      </c>
      <c r="AB25" s="1" t="s">
        <v>68</v>
      </c>
      <c r="AC25" s="4">
        <v>0</v>
      </c>
      <c r="AD25" s="1" t="s">
        <v>72</v>
      </c>
      <c r="AE25" s="32">
        <v>51673.18</v>
      </c>
      <c r="AF25" s="34" t="s">
        <v>68</v>
      </c>
      <c r="AG25" s="112" t="s">
        <v>68</v>
      </c>
      <c r="AH25" s="112" t="s">
        <v>68</v>
      </c>
      <c r="AI25" s="7" t="s">
        <v>68</v>
      </c>
      <c r="AJ25" s="215" t="s">
        <v>68</v>
      </c>
      <c r="AK25" s="33" t="s">
        <v>68</v>
      </c>
      <c r="AL25" s="1" t="s">
        <v>68</v>
      </c>
      <c r="AM25" s="1"/>
      <c r="AN25" s="1" t="s">
        <v>68</v>
      </c>
      <c r="AO25" s="1"/>
      <c r="AP25" s="1" t="s">
        <v>68</v>
      </c>
      <c r="AQ25" s="1"/>
      <c r="AR25" s="279"/>
      <c r="AS25" s="35">
        <v>0</v>
      </c>
      <c r="AT25" s="895">
        <v>26940</v>
      </c>
      <c r="AU25" s="884"/>
      <c r="AV25" s="30">
        <v>41598</v>
      </c>
      <c r="AW25" s="11">
        <v>41606</v>
      </c>
      <c r="AX25" s="223" t="s">
        <v>68</v>
      </c>
      <c r="AY25" s="52"/>
      <c r="AZ25" s="161"/>
      <c r="BA25" s="1"/>
      <c r="BB25" s="1"/>
      <c r="BC25" s="17"/>
      <c r="BD25" s="30">
        <v>41608</v>
      </c>
      <c r="BE25" s="309"/>
      <c r="BF25" s="5">
        <v>41598</v>
      </c>
      <c r="BG25" s="5">
        <v>41608</v>
      </c>
      <c r="BH25" s="5">
        <v>41606</v>
      </c>
      <c r="BI25" s="36">
        <v>26940</v>
      </c>
      <c r="BJ25" s="13"/>
      <c r="BK25" s="352"/>
      <c r="BL25" s="694" t="s">
        <v>68</v>
      </c>
      <c r="BM25" s="695" t="s">
        <v>68</v>
      </c>
      <c r="BN25" s="695" t="s">
        <v>68</v>
      </c>
      <c r="BO25" s="694"/>
      <c r="BP25" s="694"/>
      <c r="BQ25" s="694"/>
      <c r="BR25" s="694"/>
      <c r="BS25" s="694"/>
      <c r="BT25" s="694"/>
      <c r="BU25" s="694"/>
      <c r="BV25" s="694" t="s">
        <v>68</v>
      </c>
      <c r="BW25" s="13"/>
      <c r="BX25" s="13"/>
      <c r="BY25" s="13"/>
      <c r="BZ25" s="13"/>
      <c r="CA25" s="13"/>
      <c r="CB25" s="1220" t="s">
        <v>1427</v>
      </c>
      <c r="CC25" s="38" t="s">
        <v>76</v>
      </c>
      <c r="CD25" s="513"/>
      <c r="CE25" s="513"/>
      <c r="CF25" s="513"/>
      <c r="CG25" s="513"/>
      <c r="CH25" s="513"/>
      <c r="CI25" s="513"/>
      <c r="CJ25" s="513"/>
      <c r="CK25" s="12"/>
    </row>
    <row r="26" spans="2:89" customFormat="1" ht="90" hidden="1" customHeight="1">
      <c r="B26" s="22"/>
      <c r="C26" s="22"/>
      <c r="D26" s="22"/>
      <c r="E26" s="22"/>
      <c r="F26" s="22"/>
      <c r="G26" s="1166"/>
      <c r="H26" s="1166"/>
      <c r="I26" s="448"/>
      <c r="J26" s="16">
        <v>2013</v>
      </c>
      <c r="K26" s="1415"/>
      <c r="L26" s="1415"/>
      <c r="M26" s="17" t="s">
        <v>77</v>
      </c>
      <c r="N26" s="19" t="s">
        <v>141</v>
      </c>
      <c r="O26" s="2" t="s">
        <v>4032</v>
      </c>
      <c r="P26" s="3" t="s">
        <v>142</v>
      </c>
      <c r="Q26" s="3"/>
      <c r="R26" s="196">
        <v>120948.09</v>
      </c>
      <c r="S26" s="6">
        <v>41593</v>
      </c>
      <c r="T26" s="5">
        <v>41596</v>
      </c>
      <c r="U26" s="11">
        <v>41610</v>
      </c>
      <c r="V26" s="13" t="s">
        <v>68</v>
      </c>
      <c r="W26" s="19" t="s">
        <v>68</v>
      </c>
      <c r="X26" s="17"/>
      <c r="Y26" s="62">
        <v>41546</v>
      </c>
      <c r="Z26" s="105"/>
      <c r="AA26" s="19" t="s">
        <v>82</v>
      </c>
      <c r="AB26" s="5">
        <v>41478</v>
      </c>
      <c r="AC26" s="4">
        <v>125450</v>
      </c>
      <c r="AD26" s="1" t="s">
        <v>72</v>
      </c>
      <c r="AE26" s="32">
        <v>120450</v>
      </c>
      <c r="AF26" s="34" t="s">
        <v>68</v>
      </c>
      <c r="AG26" s="112" t="s">
        <v>68</v>
      </c>
      <c r="AH26" s="112" t="s">
        <v>68</v>
      </c>
      <c r="AI26" s="7" t="s">
        <v>68</v>
      </c>
      <c r="AJ26" s="215" t="s">
        <v>68</v>
      </c>
      <c r="AK26" s="33" t="s">
        <v>89</v>
      </c>
      <c r="AL26" s="1" t="s">
        <v>68</v>
      </c>
      <c r="AM26" s="1"/>
      <c r="AN26" s="1" t="s">
        <v>68</v>
      </c>
      <c r="AO26" s="1"/>
      <c r="AP26" s="1" t="s">
        <v>68</v>
      </c>
      <c r="AQ26" s="1"/>
      <c r="AR26" s="279"/>
      <c r="AS26" s="35">
        <v>0</v>
      </c>
      <c r="AT26" s="895">
        <v>42298</v>
      </c>
      <c r="AU26" s="884"/>
      <c r="AV26" s="30">
        <v>41598</v>
      </c>
      <c r="AW26" s="11">
        <v>41606</v>
      </c>
      <c r="AX26" s="30"/>
      <c r="AY26" s="52"/>
      <c r="AZ26" s="161"/>
      <c r="BA26" s="1"/>
      <c r="BB26" s="1"/>
      <c r="BC26" s="17"/>
      <c r="BD26" s="30">
        <v>41608</v>
      </c>
      <c r="BE26" s="309"/>
      <c r="BF26" s="5">
        <v>41598</v>
      </c>
      <c r="BG26" s="5">
        <v>41608</v>
      </c>
      <c r="BH26" s="5">
        <v>41606</v>
      </c>
      <c r="BI26" s="36">
        <v>42298</v>
      </c>
      <c r="BJ26" s="13"/>
      <c r="BK26" s="352"/>
      <c r="BL26" s="694" t="s">
        <v>68</v>
      </c>
      <c r="BM26" s="695" t="s">
        <v>68</v>
      </c>
      <c r="BN26" s="695" t="s">
        <v>68</v>
      </c>
      <c r="BO26" s="694"/>
      <c r="BP26" s="694"/>
      <c r="BQ26" s="694"/>
      <c r="BR26" s="694"/>
      <c r="BS26" s="694"/>
      <c r="BT26" s="694"/>
      <c r="BU26" s="694"/>
      <c r="BV26" s="694" t="s">
        <v>68</v>
      </c>
      <c r="BW26" s="13"/>
      <c r="BX26" s="13"/>
      <c r="BY26" s="13"/>
      <c r="BZ26" s="13"/>
      <c r="CA26" s="13"/>
      <c r="CB26" s="1220" t="s">
        <v>1427</v>
      </c>
      <c r="CC26" s="38" t="s">
        <v>76</v>
      </c>
      <c r="CD26" s="513"/>
      <c r="CE26" s="513"/>
      <c r="CF26" s="513"/>
      <c r="CG26" s="513"/>
      <c r="CH26" s="513"/>
      <c r="CI26" s="513"/>
      <c r="CJ26" s="513"/>
      <c r="CK26" s="12"/>
    </row>
    <row r="27" spans="2:89" customFormat="1" ht="90" hidden="1" customHeight="1">
      <c r="B27" s="22"/>
      <c r="C27" s="22"/>
      <c r="D27" s="22"/>
      <c r="E27" s="22"/>
      <c r="F27" s="22"/>
      <c r="G27" s="1166"/>
      <c r="H27" s="1166"/>
      <c r="I27" s="448"/>
      <c r="J27" s="16">
        <v>2013</v>
      </c>
      <c r="K27" s="1415"/>
      <c r="L27" s="1415"/>
      <c r="M27" s="17" t="s">
        <v>77</v>
      </c>
      <c r="N27" s="19" t="s">
        <v>143</v>
      </c>
      <c r="O27" s="2" t="s">
        <v>4032</v>
      </c>
      <c r="P27" s="3" t="s">
        <v>144</v>
      </c>
      <c r="Q27" s="3"/>
      <c r="R27" s="4">
        <v>150310.03</v>
      </c>
      <c r="S27" s="6">
        <v>41588</v>
      </c>
      <c r="T27" s="5">
        <v>41589</v>
      </c>
      <c r="U27" s="11">
        <v>41608</v>
      </c>
      <c r="V27" s="13" t="s">
        <v>68</v>
      </c>
      <c r="W27" s="19" t="s">
        <v>68</v>
      </c>
      <c r="X27" s="17"/>
      <c r="Y27" s="203"/>
      <c r="Z27" s="676"/>
      <c r="AA27" s="19" t="s">
        <v>82</v>
      </c>
      <c r="AB27" s="5">
        <v>41478</v>
      </c>
      <c r="AC27" s="4">
        <v>150310.03</v>
      </c>
      <c r="AD27" s="1"/>
      <c r="AE27" s="32"/>
      <c r="AF27" s="34" t="s">
        <v>68</v>
      </c>
      <c r="AG27" s="112" t="s">
        <v>68</v>
      </c>
      <c r="AH27" s="112" t="s">
        <v>68</v>
      </c>
      <c r="AI27" s="7" t="s">
        <v>68</v>
      </c>
      <c r="AJ27" s="215" t="s">
        <v>68</v>
      </c>
      <c r="AK27" s="33" t="s">
        <v>68</v>
      </c>
      <c r="AL27" s="1" t="s">
        <v>68</v>
      </c>
      <c r="AM27" s="1"/>
      <c r="AN27" s="1" t="s">
        <v>68</v>
      </c>
      <c r="AO27" s="1"/>
      <c r="AP27" s="1" t="s">
        <v>68</v>
      </c>
      <c r="AQ27" s="1"/>
      <c r="AR27" s="279"/>
      <c r="AS27" s="35">
        <v>83498.39</v>
      </c>
      <c r="AT27" s="895">
        <v>38472</v>
      </c>
      <c r="AU27" s="884"/>
      <c r="AV27" s="30">
        <v>41585</v>
      </c>
      <c r="AW27" s="11">
        <v>41606</v>
      </c>
      <c r="AX27" s="223" t="s">
        <v>68</v>
      </c>
      <c r="AY27" s="52"/>
      <c r="AZ27" s="161"/>
      <c r="BA27" s="1"/>
      <c r="BB27" s="1"/>
      <c r="BC27" s="17"/>
      <c r="BD27" s="30">
        <v>41608</v>
      </c>
      <c r="BE27" s="309"/>
      <c r="BF27" s="5">
        <v>41585</v>
      </c>
      <c r="BG27" s="5">
        <v>41608</v>
      </c>
      <c r="BH27" s="5">
        <v>41605</v>
      </c>
      <c r="BI27" s="36">
        <v>121970.39</v>
      </c>
      <c r="BJ27" s="13"/>
      <c r="BK27" s="352"/>
      <c r="BL27" s="694" t="s">
        <v>68</v>
      </c>
      <c r="BM27" s="695" t="s">
        <v>68</v>
      </c>
      <c r="BN27" s="695" t="s">
        <v>68</v>
      </c>
      <c r="BO27" s="694"/>
      <c r="BP27" s="694"/>
      <c r="BQ27" s="694"/>
      <c r="BR27" s="694"/>
      <c r="BS27" s="694"/>
      <c r="BT27" s="694"/>
      <c r="BU27" s="694"/>
      <c r="BV27" s="694" t="s">
        <v>68</v>
      </c>
      <c r="BW27" s="13"/>
      <c r="BX27" s="13"/>
      <c r="BY27" s="13"/>
      <c r="BZ27" s="13"/>
      <c r="CA27" s="13"/>
      <c r="CB27" s="1220" t="s">
        <v>1427</v>
      </c>
      <c r="CC27" s="38" t="s">
        <v>76</v>
      </c>
      <c r="CD27" s="513"/>
      <c r="CE27" s="513"/>
      <c r="CF27" s="513"/>
      <c r="CG27" s="513"/>
      <c r="CH27" s="513"/>
      <c r="CI27" s="513"/>
      <c r="CJ27" s="513"/>
      <c r="CK27" s="12"/>
    </row>
    <row r="28" spans="2:89" customFormat="1" ht="90" hidden="1" customHeight="1">
      <c r="B28" s="22"/>
      <c r="C28" s="22"/>
      <c r="D28" s="22"/>
      <c r="E28" s="22"/>
      <c r="F28" s="22"/>
      <c r="G28" s="1166"/>
      <c r="H28" s="1166"/>
      <c r="I28" s="448"/>
      <c r="J28" s="16">
        <v>2013</v>
      </c>
      <c r="K28" s="1415"/>
      <c r="L28" s="1415"/>
      <c r="M28" s="17" t="s">
        <v>77</v>
      </c>
      <c r="N28" s="19" t="s">
        <v>145</v>
      </c>
      <c r="O28" s="2" t="s">
        <v>4032</v>
      </c>
      <c r="P28" s="3" t="s">
        <v>146</v>
      </c>
      <c r="Q28" s="3"/>
      <c r="R28" s="4">
        <v>93916.43</v>
      </c>
      <c r="S28" s="6">
        <v>41502</v>
      </c>
      <c r="T28" s="5">
        <v>41507</v>
      </c>
      <c r="U28" s="11">
        <v>41545</v>
      </c>
      <c r="V28" s="13" t="s">
        <v>68</v>
      </c>
      <c r="W28" s="19" t="s">
        <v>68</v>
      </c>
      <c r="X28" s="17"/>
      <c r="Y28" s="62">
        <v>41470</v>
      </c>
      <c r="Z28" s="105"/>
      <c r="AA28" s="19" t="s">
        <v>82</v>
      </c>
      <c r="AB28" s="5">
        <v>41478</v>
      </c>
      <c r="AC28" s="4">
        <v>93916.43</v>
      </c>
      <c r="AD28" s="1" t="s">
        <v>72</v>
      </c>
      <c r="AE28" s="32">
        <v>105062.06</v>
      </c>
      <c r="AF28" s="34" t="s">
        <v>68</v>
      </c>
      <c r="AG28" s="112" t="s">
        <v>68</v>
      </c>
      <c r="AH28" s="112" t="s">
        <v>68</v>
      </c>
      <c r="AI28" s="7" t="s">
        <v>68</v>
      </c>
      <c r="AJ28" s="215" t="s">
        <v>68</v>
      </c>
      <c r="AK28" s="33" t="s">
        <v>89</v>
      </c>
      <c r="AL28" s="1" t="s">
        <v>68</v>
      </c>
      <c r="AM28" s="1"/>
      <c r="AN28" s="1" t="s">
        <v>68</v>
      </c>
      <c r="AO28" s="1"/>
      <c r="AP28" s="1" t="s">
        <v>68</v>
      </c>
      <c r="AQ28" s="1"/>
      <c r="AR28" s="279"/>
      <c r="AS28" s="35">
        <v>54536.26</v>
      </c>
      <c r="AT28" s="895">
        <v>50525.8</v>
      </c>
      <c r="AU28" s="884"/>
      <c r="AV28" s="161"/>
      <c r="AW28" s="17"/>
      <c r="AX28" s="19"/>
      <c r="AY28" s="73"/>
      <c r="AZ28" s="161"/>
      <c r="BA28" s="1"/>
      <c r="BB28" s="1"/>
      <c r="BC28" s="17"/>
      <c r="BD28" s="161"/>
      <c r="BE28" s="1402"/>
      <c r="BF28" s="1"/>
      <c r="BG28" s="1"/>
      <c r="BH28" s="1"/>
      <c r="BI28" s="36">
        <v>105062.06</v>
      </c>
      <c r="BJ28" s="13"/>
      <c r="BK28" s="352"/>
      <c r="BL28" s="694" t="s">
        <v>68</v>
      </c>
      <c r="BM28" s="695" t="s">
        <v>68</v>
      </c>
      <c r="BN28" s="695" t="s">
        <v>68</v>
      </c>
      <c r="BO28" s="694"/>
      <c r="BP28" s="694"/>
      <c r="BQ28" s="694"/>
      <c r="BR28" s="694"/>
      <c r="BS28" s="694"/>
      <c r="BT28" s="694"/>
      <c r="BU28" s="694"/>
      <c r="BV28" s="694" t="s">
        <v>68</v>
      </c>
      <c r="BW28" s="13"/>
      <c r="BX28" s="13"/>
      <c r="BY28" s="13"/>
      <c r="BZ28" s="13"/>
      <c r="CA28" s="13"/>
      <c r="CB28" s="1220" t="s">
        <v>1427</v>
      </c>
      <c r="CC28" s="38" t="s">
        <v>76</v>
      </c>
      <c r="CD28" s="513"/>
      <c r="CE28" s="513"/>
      <c r="CF28" s="513"/>
      <c r="CG28" s="513"/>
      <c r="CH28" s="513"/>
      <c r="CI28" s="513"/>
      <c r="CJ28" s="513"/>
      <c r="CK28" s="12"/>
    </row>
    <row r="29" spans="2:89" customFormat="1" ht="90" hidden="1" customHeight="1">
      <c r="B29" s="22"/>
      <c r="C29" s="22"/>
      <c r="D29" s="22"/>
      <c r="E29" s="22"/>
      <c r="F29" s="22"/>
      <c r="G29" s="1166"/>
      <c r="H29" s="1166"/>
      <c r="I29" s="448"/>
      <c r="J29" s="16">
        <v>2013</v>
      </c>
      <c r="K29" s="1415"/>
      <c r="L29" s="1415"/>
      <c r="M29" s="17" t="s">
        <v>77</v>
      </c>
      <c r="N29" s="19" t="s">
        <v>147</v>
      </c>
      <c r="O29" s="2" t="s">
        <v>4032</v>
      </c>
      <c r="P29" s="3" t="s">
        <v>148</v>
      </c>
      <c r="Q29" s="3"/>
      <c r="R29" s="79">
        <v>300000</v>
      </c>
      <c r="S29" s="6">
        <v>41614</v>
      </c>
      <c r="T29" s="5">
        <v>41617</v>
      </c>
      <c r="U29" s="11">
        <v>41638</v>
      </c>
      <c r="V29" s="13" t="s">
        <v>68</v>
      </c>
      <c r="W29" s="19" t="s">
        <v>68</v>
      </c>
      <c r="X29" s="17"/>
      <c r="Y29" s="62">
        <v>41464</v>
      </c>
      <c r="Z29" s="105"/>
      <c r="AA29" s="19" t="s">
        <v>68</v>
      </c>
      <c r="AB29" s="5">
        <v>41606</v>
      </c>
      <c r="AC29" s="4" t="s">
        <v>68</v>
      </c>
      <c r="AD29" s="1" t="s">
        <v>72</v>
      </c>
      <c r="AE29" s="32">
        <v>300000</v>
      </c>
      <c r="AF29" s="34" t="s">
        <v>68</v>
      </c>
      <c r="AG29" s="112" t="s">
        <v>68</v>
      </c>
      <c r="AH29" s="112" t="s">
        <v>68</v>
      </c>
      <c r="AI29" s="7" t="s">
        <v>68</v>
      </c>
      <c r="AJ29" s="215" t="s">
        <v>68</v>
      </c>
      <c r="AK29" s="33" t="s">
        <v>89</v>
      </c>
      <c r="AL29" s="1" t="s">
        <v>68</v>
      </c>
      <c r="AM29" s="1"/>
      <c r="AN29" s="1" t="s">
        <v>68</v>
      </c>
      <c r="AO29" s="1"/>
      <c r="AP29" s="1" t="s">
        <v>68</v>
      </c>
      <c r="AQ29" s="1"/>
      <c r="AR29" s="279"/>
      <c r="AS29" s="35">
        <v>57777.34</v>
      </c>
      <c r="AT29" s="895">
        <v>218312.76</v>
      </c>
      <c r="AU29" s="884"/>
      <c r="AV29" s="30">
        <v>41617</v>
      </c>
      <c r="AW29" s="11">
        <v>41661</v>
      </c>
      <c r="AX29" s="33"/>
      <c r="AY29" s="156" t="s">
        <v>149</v>
      </c>
      <c r="AZ29" s="19" t="s">
        <v>68</v>
      </c>
      <c r="BA29" s="1"/>
      <c r="BB29" s="1"/>
      <c r="BC29" s="17"/>
      <c r="BD29" s="30">
        <v>41696</v>
      </c>
      <c r="BE29" s="309"/>
      <c r="BF29" s="5">
        <v>41610</v>
      </c>
      <c r="BG29" s="5">
        <v>41638</v>
      </c>
      <c r="BH29" s="5">
        <v>41685</v>
      </c>
      <c r="BI29" s="36">
        <v>276090.09999999998</v>
      </c>
      <c r="BJ29" s="13" t="s">
        <v>74</v>
      </c>
      <c r="BK29" s="352"/>
      <c r="BL29" s="694" t="s">
        <v>68</v>
      </c>
      <c r="BM29" s="695" t="s">
        <v>68</v>
      </c>
      <c r="BN29" s="695" t="s">
        <v>68</v>
      </c>
      <c r="BO29" s="694"/>
      <c r="BP29" s="694"/>
      <c r="BQ29" s="694"/>
      <c r="BR29" s="694"/>
      <c r="BS29" s="694"/>
      <c r="BT29" s="694"/>
      <c r="BU29" s="694"/>
      <c r="BV29" s="694" t="s">
        <v>68</v>
      </c>
      <c r="BW29" s="13"/>
      <c r="BX29" s="13"/>
      <c r="BY29" s="13"/>
      <c r="BZ29" s="13"/>
      <c r="CA29" s="13"/>
      <c r="CB29" s="1220" t="s">
        <v>1427</v>
      </c>
      <c r="CC29" s="38" t="s">
        <v>76</v>
      </c>
      <c r="CD29" s="513"/>
      <c r="CE29" s="513"/>
      <c r="CF29" s="513"/>
      <c r="CG29" s="513"/>
      <c r="CH29" s="513"/>
      <c r="CI29" s="513"/>
      <c r="CJ29" s="513"/>
      <c r="CK29" s="12"/>
    </row>
    <row r="30" spans="2:89" customFormat="1" ht="90" hidden="1" customHeight="1">
      <c r="B30" s="22"/>
      <c r="C30" s="22"/>
      <c r="D30" s="22"/>
      <c r="E30" s="22"/>
      <c r="F30" s="22"/>
      <c r="G30" s="1166"/>
      <c r="H30" s="1166"/>
      <c r="I30" s="448"/>
      <c r="J30" s="16">
        <v>2013</v>
      </c>
      <c r="K30" s="1415"/>
      <c r="L30" s="1415"/>
      <c r="M30" s="17" t="s">
        <v>77</v>
      </c>
      <c r="N30" s="19" t="s">
        <v>150</v>
      </c>
      <c r="O30" s="2" t="s">
        <v>4032</v>
      </c>
      <c r="P30" s="3" t="s">
        <v>151</v>
      </c>
      <c r="Q30" s="3"/>
      <c r="R30" s="79">
        <v>51673.18</v>
      </c>
      <c r="S30" s="6">
        <v>41614</v>
      </c>
      <c r="T30" s="5">
        <v>41617</v>
      </c>
      <c r="U30" s="11">
        <v>41638</v>
      </c>
      <c r="V30" s="13" t="s">
        <v>68</v>
      </c>
      <c r="W30" s="19" t="s">
        <v>68</v>
      </c>
      <c r="X30" s="17"/>
      <c r="Y30" s="62">
        <v>41464</v>
      </c>
      <c r="Z30" s="105"/>
      <c r="AA30" s="19" t="s">
        <v>68</v>
      </c>
      <c r="AB30" s="5">
        <v>41606</v>
      </c>
      <c r="AC30" s="4" t="s">
        <v>68</v>
      </c>
      <c r="AD30" s="1" t="s">
        <v>72</v>
      </c>
      <c r="AE30" s="32">
        <v>51673.18</v>
      </c>
      <c r="AF30" s="34" t="s">
        <v>68</v>
      </c>
      <c r="AG30" s="112" t="s">
        <v>68</v>
      </c>
      <c r="AH30" s="112" t="s">
        <v>68</v>
      </c>
      <c r="AI30" s="7" t="s">
        <v>68</v>
      </c>
      <c r="AJ30" s="215" t="s">
        <v>68</v>
      </c>
      <c r="AK30" s="33" t="s">
        <v>89</v>
      </c>
      <c r="AL30" s="1" t="s">
        <v>68</v>
      </c>
      <c r="AM30" s="1"/>
      <c r="AN30" s="1" t="s">
        <v>68</v>
      </c>
      <c r="AO30" s="1"/>
      <c r="AP30" s="1" t="s">
        <v>68</v>
      </c>
      <c r="AQ30" s="1"/>
      <c r="AR30" s="279"/>
      <c r="AS30" s="35">
        <v>14523.66</v>
      </c>
      <c r="AT30" s="895">
        <v>18624.490000000002</v>
      </c>
      <c r="AU30" s="884"/>
      <c r="AV30" s="30">
        <v>41626</v>
      </c>
      <c r="AW30" s="11">
        <v>41632</v>
      </c>
      <c r="AX30" s="33" t="s">
        <v>68</v>
      </c>
      <c r="AY30" s="156" t="s">
        <v>149</v>
      </c>
      <c r="AZ30" s="19" t="s">
        <v>68</v>
      </c>
      <c r="BA30" s="1"/>
      <c r="BB30" s="1"/>
      <c r="BC30" s="17"/>
      <c r="BD30" s="30">
        <v>41696</v>
      </c>
      <c r="BE30" s="309"/>
      <c r="BF30" s="5">
        <v>41617</v>
      </c>
      <c r="BG30" s="5">
        <v>41638</v>
      </c>
      <c r="BH30" s="5">
        <v>41623</v>
      </c>
      <c r="BI30" s="36">
        <v>33148.15</v>
      </c>
      <c r="BJ30" s="13" t="s">
        <v>74</v>
      </c>
      <c r="BK30" s="352"/>
      <c r="BL30" s="694" t="s">
        <v>68</v>
      </c>
      <c r="BM30" s="695" t="s">
        <v>68</v>
      </c>
      <c r="BN30" s="695" t="s">
        <v>68</v>
      </c>
      <c r="BO30" s="694"/>
      <c r="BP30" s="694"/>
      <c r="BQ30" s="694"/>
      <c r="BR30" s="694"/>
      <c r="BS30" s="694"/>
      <c r="BT30" s="694"/>
      <c r="BU30" s="694"/>
      <c r="BV30" s="694" t="s">
        <v>68</v>
      </c>
      <c r="BW30" s="13"/>
      <c r="BX30" s="13"/>
      <c r="BY30" s="13"/>
      <c r="BZ30" s="13"/>
      <c r="CA30" s="13"/>
      <c r="CB30" s="1220" t="s">
        <v>1427</v>
      </c>
      <c r="CC30" s="38" t="s">
        <v>76</v>
      </c>
      <c r="CD30" s="513"/>
      <c r="CE30" s="513"/>
      <c r="CF30" s="513"/>
      <c r="CG30" s="513"/>
      <c r="CH30" s="513"/>
      <c r="CI30" s="513"/>
      <c r="CJ30" s="513"/>
      <c r="CK30" s="12"/>
    </row>
    <row r="31" spans="2:89" customFormat="1" ht="90" hidden="1" customHeight="1">
      <c r="B31" s="22"/>
      <c r="C31" s="22"/>
      <c r="D31" s="22"/>
      <c r="E31" s="22"/>
      <c r="F31" s="22"/>
      <c r="G31" s="1166"/>
      <c r="H31" s="1166"/>
      <c r="I31" s="448"/>
      <c r="J31" s="16">
        <v>2013</v>
      </c>
      <c r="K31" s="1415"/>
      <c r="L31" s="1415"/>
      <c r="M31" s="17" t="s">
        <v>77</v>
      </c>
      <c r="N31" s="19" t="s">
        <v>152</v>
      </c>
      <c r="O31" s="2" t="s">
        <v>4032</v>
      </c>
      <c r="P31" s="3" t="s">
        <v>153</v>
      </c>
      <c r="Q31" s="3"/>
      <c r="R31" s="79">
        <v>63457.87</v>
      </c>
      <c r="S31" s="6">
        <v>41614</v>
      </c>
      <c r="T31" s="5">
        <v>41617</v>
      </c>
      <c r="U31" s="11">
        <v>41638</v>
      </c>
      <c r="V31" s="13" t="s">
        <v>68</v>
      </c>
      <c r="W31" s="19" t="s">
        <v>68</v>
      </c>
      <c r="X31" s="17"/>
      <c r="Y31" s="62">
        <v>41464</v>
      </c>
      <c r="Z31" s="105"/>
      <c r="AA31" s="19" t="s">
        <v>68</v>
      </c>
      <c r="AB31" s="5">
        <v>41606</v>
      </c>
      <c r="AC31" s="4" t="s">
        <v>68</v>
      </c>
      <c r="AD31" s="1" t="s">
        <v>72</v>
      </c>
      <c r="AE31" s="32">
        <v>63457.87</v>
      </c>
      <c r="AF31" s="34" t="s">
        <v>68</v>
      </c>
      <c r="AG31" s="112" t="s">
        <v>68</v>
      </c>
      <c r="AH31" s="112" t="s">
        <v>68</v>
      </c>
      <c r="AI31" s="7" t="s">
        <v>68</v>
      </c>
      <c r="AJ31" s="215" t="s">
        <v>68</v>
      </c>
      <c r="AK31" s="33" t="s">
        <v>89</v>
      </c>
      <c r="AL31" s="1" t="s">
        <v>68</v>
      </c>
      <c r="AM31" s="1"/>
      <c r="AN31" s="1" t="s">
        <v>68</v>
      </c>
      <c r="AO31" s="1"/>
      <c r="AP31" s="1" t="s">
        <v>68</v>
      </c>
      <c r="AQ31" s="1"/>
      <c r="AR31" s="279"/>
      <c r="AS31" s="35">
        <v>29677.45</v>
      </c>
      <c r="AT31" s="895">
        <v>34030</v>
      </c>
      <c r="AU31" s="884"/>
      <c r="AV31" s="30">
        <v>41620</v>
      </c>
      <c r="AW31" s="11">
        <v>41628</v>
      </c>
      <c r="AX31" s="33" t="s">
        <v>68</v>
      </c>
      <c r="AY31" s="156" t="s">
        <v>149</v>
      </c>
      <c r="AZ31" s="19" t="s">
        <v>68</v>
      </c>
      <c r="BA31" s="1"/>
      <c r="BB31" s="1"/>
      <c r="BC31" s="17"/>
      <c r="BD31" s="30">
        <v>41696</v>
      </c>
      <c r="BE31" s="309"/>
      <c r="BF31" s="5">
        <v>41617</v>
      </c>
      <c r="BG31" s="5">
        <v>41638</v>
      </c>
      <c r="BH31" s="5">
        <v>41623</v>
      </c>
      <c r="BI31" s="36">
        <v>63707.45</v>
      </c>
      <c r="BJ31" s="13" t="s">
        <v>74</v>
      </c>
      <c r="BK31" s="352"/>
      <c r="BL31" s="694" t="s">
        <v>68</v>
      </c>
      <c r="BM31" s="695" t="s">
        <v>68</v>
      </c>
      <c r="BN31" s="695" t="s">
        <v>68</v>
      </c>
      <c r="BO31" s="694"/>
      <c r="BP31" s="694"/>
      <c r="BQ31" s="694"/>
      <c r="BR31" s="694"/>
      <c r="BS31" s="694"/>
      <c r="BT31" s="694"/>
      <c r="BU31" s="694"/>
      <c r="BV31" s="694" t="s">
        <v>68</v>
      </c>
      <c r="BW31" s="13"/>
      <c r="BX31" s="13"/>
      <c r="BY31" s="13"/>
      <c r="BZ31" s="13"/>
      <c r="CA31" s="13"/>
      <c r="CB31" s="1220" t="s">
        <v>1427</v>
      </c>
      <c r="CC31" s="38" t="s">
        <v>76</v>
      </c>
      <c r="CD31" s="513"/>
      <c r="CE31" s="513"/>
      <c r="CF31" s="513"/>
      <c r="CG31" s="513"/>
      <c r="CH31" s="513"/>
      <c r="CI31" s="513"/>
      <c r="CJ31" s="513"/>
      <c r="CK31" s="12"/>
    </row>
    <row r="32" spans="2:89" customFormat="1" ht="90" hidden="1" customHeight="1">
      <c r="B32" s="22"/>
      <c r="C32" s="22"/>
      <c r="D32" s="22"/>
      <c r="E32" s="22"/>
      <c r="F32" s="22"/>
      <c r="G32" s="1166"/>
      <c r="H32" s="1166"/>
      <c r="I32" s="448"/>
      <c r="J32" s="16">
        <v>2013</v>
      </c>
      <c r="K32" s="1415"/>
      <c r="L32" s="1415"/>
      <c r="M32" s="17" t="s">
        <v>77</v>
      </c>
      <c r="N32" s="19" t="s">
        <v>154</v>
      </c>
      <c r="O32" s="2" t="s">
        <v>4032</v>
      </c>
      <c r="P32" s="3" t="s">
        <v>155</v>
      </c>
      <c r="Q32" s="3"/>
      <c r="R32" s="79">
        <v>387451.67</v>
      </c>
      <c r="S32" s="6">
        <v>41600</v>
      </c>
      <c r="T32" s="5">
        <v>41603</v>
      </c>
      <c r="U32" s="11">
        <v>41608</v>
      </c>
      <c r="V32" s="13" t="s">
        <v>68</v>
      </c>
      <c r="W32" s="19" t="s">
        <v>68</v>
      </c>
      <c r="X32" s="17"/>
      <c r="Y32" s="202"/>
      <c r="Z32" s="1362"/>
      <c r="AA32" s="19" t="s">
        <v>82</v>
      </c>
      <c r="AB32" s="5">
        <v>41478</v>
      </c>
      <c r="AC32" s="4">
        <v>178240</v>
      </c>
      <c r="AD32" s="1" t="s">
        <v>72</v>
      </c>
      <c r="AE32" s="32">
        <v>254989.5</v>
      </c>
      <c r="AF32" s="34" t="s">
        <v>68</v>
      </c>
      <c r="AG32" s="112" t="s">
        <v>68</v>
      </c>
      <c r="AH32" s="112" t="s">
        <v>68</v>
      </c>
      <c r="AI32" s="7" t="s">
        <v>68</v>
      </c>
      <c r="AJ32" s="215" t="s">
        <v>68</v>
      </c>
      <c r="AK32" s="33" t="s">
        <v>68</v>
      </c>
      <c r="AL32" s="1" t="s">
        <v>68</v>
      </c>
      <c r="AM32" s="1"/>
      <c r="AN32" s="1" t="s">
        <v>68</v>
      </c>
      <c r="AO32" s="1"/>
      <c r="AP32" s="1" t="s">
        <v>68</v>
      </c>
      <c r="AQ32" s="1"/>
      <c r="AR32" s="279"/>
      <c r="AS32" s="35">
        <v>22055.68</v>
      </c>
      <c r="AT32" s="895">
        <v>196784.2</v>
      </c>
      <c r="AU32" s="884"/>
      <c r="AV32" s="161"/>
      <c r="AW32" s="17"/>
      <c r="AX32" s="223" t="s">
        <v>68</v>
      </c>
      <c r="AY32" s="73"/>
      <c r="AZ32" s="19"/>
      <c r="BA32" s="1"/>
      <c r="BB32" s="1"/>
      <c r="BC32" s="17"/>
      <c r="BD32" s="30">
        <v>41604</v>
      </c>
      <c r="BE32" s="309"/>
      <c r="BF32" s="5">
        <v>41598</v>
      </c>
      <c r="BG32" s="5">
        <v>41608</v>
      </c>
      <c r="BH32" s="5">
        <v>41598</v>
      </c>
      <c r="BI32" s="36">
        <v>218839.88</v>
      </c>
      <c r="BJ32" s="13"/>
      <c r="BK32" s="352"/>
      <c r="BL32" s="694" t="s">
        <v>68</v>
      </c>
      <c r="BM32" s="695" t="s">
        <v>68</v>
      </c>
      <c r="BN32" s="695" t="s">
        <v>68</v>
      </c>
      <c r="BO32" s="694"/>
      <c r="BP32" s="694"/>
      <c r="BQ32" s="694"/>
      <c r="BR32" s="694"/>
      <c r="BS32" s="694"/>
      <c r="BT32" s="694"/>
      <c r="BU32" s="694"/>
      <c r="BV32" s="694" t="s">
        <v>68</v>
      </c>
      <c r="BW32" s="13"/>
      <c r="BX32" s="13"/>
      <c r="BY32" s="13"/>
      <c r="BZ32" s="13"/>
      <c r="CA32" s="13"/>
      <c r="CB32" s="1220" t="s">
        <v>1427</v>
      </c>
      <c r="CC32" s="38" t="s">
        <v>76</v>
      </c>
      <c r="CD32" s="513"/>
      <c r="CE32" s="513"/>
      <c r="CF32" s="513"/>
      <c r="CG32" s="513"/>
      <c r="CH32" s="513"/>
      <c r="CI32" s="513"/>
      <c r="CJ32" s="513"/>
      <c r="CK32" s="12"/>
    </row>
    <row r="33" spans="2:89" customFormat="1" ht="90" hidden="1" customHeight="1">
      <c r="B33" s="22"/>
      <c r="C33" s="22"/>
      <c r="D33" s="22"/>
      <c r="E33" s="22"/>
      <c r="F33" s="22"/>
      <c r="G33" s="1166"/>
      <c r="H33" s="1166"/>
      <c r="I33" s="448"/>
      <c r="J33" s="16">
        <v>2013</v>
      </c>
      <c r="K33" s="1415"/>
      <c r="L33" s="1415"/>
      <c r="M33" s="18" t="s">
        <v>156</v>
      </c>
      <c r="N33" s="19" t="s">
        <v>157</v>
      </c>
      <c r="O33" s="2" t="s">
        <v>79</v>
      </c>
      <c r="P33" s="3" t="s">
        <v>158</v>
      </c>
      <c r="Q33" s="3"/>
      <c r="R33" s="4">
        <v>1299999</v>
      </c>
      <c r="S33" s="6">
        <v>41547</v>
      </c>
      <c r="T33" s="5">
        <v>41547</v>
      </c>
      <c r="U33" s="11">
        <v>41608</v>
      </c>
      <c r="V33" s="62">
        <v>41547</v>
      </c>
      <c r="W33" s="204" t="s">
        <v>159</v>
      </c>
      <c r="X33" s="204" t="s">
        <v>70</v>
      </c>
      <c r="Y33" s="62">
        <v>41547</v>
      </c>
      <c r="Z33" s="368"/>
      <c r="AA33" s="208" t="s">
        <v>160</v>
      </c>
      <c r="AB33" s="5">
        <v>41543</v>
      </c>
      <c r="AC33" s="4">
        <v>1446028.37</v>
      </c>
      <c r="AD33" s="4"/>
      <c r="AE33" s="32"/>
      <c r="AF33" s="34" t="s">
        <v>68</v>
      </c>
      <c r="AG33" s="112" t="s">
        <v>68</v>
      </c>
      <c r="AH33" s="112" t="s">
        <v>68</v>
      </c>
      <c r="AI33" s="7" t="s">
        <v>68</v>
      </c>
      <c r="AJ33" s="215" t="s">
        <v>68</v>
      </c>
      <c r="AK33" s="33" t="s">
        <v>115</v>
      </c>
      <c r="AL33" s="1" t="s">
        <v>161</v>
      </c>
      <c r="AM33" s="5">
        <v>41547</v>
      </c>
      <c r="AN33" s="1" t="s">
        <v>162</v>
      </c>
      <c r="AO33" s="5">
        <v>41547</v>
      </c>
      <c r="AP33" s="216" t="s">
        <v>74</v>
      </c>
      <c r="AQ33" s="1"/>
      <c r="AR33" s="279"/>
      <c r="AS33" s="35">
        <v>0</v>
      </c>
      <c r="AT33" s="895">
        <v>1299411.1499999999</v>
      </c>
      <c r="AU33" s="884"/>
      <c r="AV33" s="30">
        <v>41547</v>
      </c>
      <c r="AW33" s="227">
        <v>41629</v>
      </c>
      <c r="AX33" s="228"/>
      <c r="AY33" s="229"/>
      <c r="AZ33" s="216" t="s">
        <v>74</v>
      </c>
      <c r="BA33" s="1"/>
      <c r="BB33" s="1"/>
      <c r="BC33" s="17"/>
      <c r="BD33" s="216" t="s">
        <v>74</v>
      </c>
      <c r="BE33" s="216"/>
      <c r="BF33" s="1"/>
      <c r="BG33" s="1"/>
      <c r="BH33" s="1"/>
      <c r="BI33" s="36">
        <v>1299411.1499999999</v>
      </c>
      <c r="BJ33" s="216" t="s">
        <v>74</v>
      </c>
      <c r="BK33" s="1246"/>
      <c r="BL33" s="694" t="s">
        <v>68</v>
      </c>
      <c r="BM33" s="695" t="s">
        <v>68</v>
      </c>
      <c r="BN33" s="695" t="s">
        <v>68</v>
      </c>
      <c r="BO33" s="694"/>
      <c r="BP33" s="694"/>
      <c r="BQ33" s="694"/>
      <c r="BR33" s="694"/>
      <c r="BS33" s="694"/>
      <c r="BT33" s="694"/>
      <c r="BU33" s="694"/>
      <c r="BV33" s="694" t="s">
        <v>68</v>
      </c>
      <c r="BW33" s="13"/>
      <c r="BX33" s="13"/>
      <c r="BY33" s="13"/>
      <c r="BZ33" s="13"/>
      <c r="CA33" s="13"/>
      <c r="CB33" s="1220" t="s">
        <v>1427</v>
      </c>
      <c r="CC33" s="38" t="s">
        <v>76</v>
      </c>
      <c r="CD33" s="513"/>
      <c r="CE33" s="513"/>
      <c r="CF33" s="513"/>
      <c r="CG33" s="513"/>
      <c r="CH33" s="513"/>
      <c r="CI33" s="513"/>
      <c r="CJ33" s="513"/>
      <c r="CK33" s="12"/>
    </row>
    <row r="34" spans="2:89" customFormat="1" ht="90" hidden="1" customHeight="1">
      <c r="B34" s="22"/>
      <c r="C34" s="22"/>
      <c r="D34" s="22"/>
      <c r="E34" s="22"/>
      <c r="F34" s="22"/>
      <c r="G34" s="1166"/>
      <c r="H34" s="1166"/>
      <c r="I34" s="448"/>
      <c r="J34" s="16">
        <v>2013</v>
      </c>
      <c r="K34" s="1415"/>
      <c r="L34" s="1415"/>
      <c r="M34" s="18" t="s">
        <v>163</v>
      </c>
      <c r="N34" s="19" t="s">
        <v>164</v>
      </c>
      <c r="O34" s="2" t="s">
        <v>4032</v>
      </c>
      <c r="P34" s="3" t="s">
        <v>165</v>
      </c>
      <c r="Q34" s="3"/>
      <c r="R34" s="4">
        <v>125188</v>
      </c>
      <c r="S34" s="6">
        <v>41617</v>
      </c>
      <c r="T34" s="5">
        <v>41612</v>
      </c>
      <c r="U34" s="11">
        <v>41638</v>
      </c>
      <c r="V34" s="13" t="s">
        <v>68</v>
      </c>
      <c r="W34" s="19" t="s">
        <v>68</v>
      </c>
      <c r="X34" s="17"/>
      <c r="Y34" s="62">
        <v>41414</v>
      </c>
      <c r="Z34" s="105"/>
      <c r="AA34" s="30" t="s">
        <v>68</v>
      </c>
      <c r="AB34" s="5">
        <v>41325</v>
      </c>
      <c r="AC34" s="4">
        <v>125188</v>
      </c>
      <c r="AD34" s="4" t="s">
        <v>68</v>
      </c>
      <c r="AE34" s="32"/>
      <c r="AF34" s="34" t="s">
        <v>68</v>
      </c>
      <c r="AG34" s="112" t="s">
        <v>68</v>
      </c>
      <c r="AH34" s="112" t="s">
        <v>68</v>
      </c>
      <c r="AI34" s="7" t="s">
        <v>68</v>
      </c>
      <c r="AJ34" s="215" t="s">
        <v>68</v>
      </c>
      <c r="AK34" s="33" t="s">
        <v>68</v>
      </c>
      <c r="AL34" s="1" t="s">
        <v>68</v>
      </c>
      <c r="AM34" s="1"/>
      <c r="AN34" s="1" t="s">
        <v>68</v>
      </c>
      <c r="AO34" s="1"/>
      <c r="AP34" s="1" t="s">
        <v>68</v>
      </c>
      <c r="AQ34" s="1"/>
      <c r="AR34" s="279"/>
      <c r="AS34" s="220">
        <v>0</v>
      </c>
      <c r="AT34" s="894">
        <f t="shared" ref="AT34:AT41" si="0">BI34</f>
        <v>125188</v>
      </c>
      <c r="AU34" s="883"/>
      <c r="AV34" s="30">
        <v>41612</v>
      </c>
      <c r="AW34" s="11">
        <v>41628</v>
      </c>
      <c r="AX34" s="30"/>
      <c r="AY34" s="52"/>
      <c r="AZ34" s="19"/>
      <c r="BA34" s="1"/>
      <c r="BB34" s="1"/>
      <c r="BC34" s="17"/>
      <c r="BD34" s="30">
        <v>41638</v>
      </c>
      <c r="BE34" s="309"/>
      <c r="BF34" s="5">
        <v>41616</v>
      </c>
      <c r="BG34" s="5">
        <v>41638</v>
      </c>
      <c r="BH34" s="5">
        <v>41638</v>
      </c>
      <c r="BI34" s="36">
        <v>125188</v>
      </c>
      <c r="BJ34" s="13"/>
      <c r="BK34" s="352"/>
      <c r="BL34" s="694" t="s">
        <v>68</v>
      </c>
      <c r="BM34" s="695" t="s">
        <v>68</v>
      </c>
      <c r="BN34" s="695" t="s">
        <v>68</v>
      </c>
      <c r="BO34" s="694"/>
      <c r="BP34" s="694"/>
      <c r="BQ34" s="694"/>
      <c r="BR34" s="694"/>
      <c r="BS34" s="694"/>
      <c r="BT34" s="694"/>
      <c r="BU34" s="694"/>
      <c r="BV34" s="694" t="s">
        <v>68</v>
      </c>
      <c r="BW34" s="13"/>
      <c r="BX34" s="13"/>
      <c r="BY34" s="13"/>
      <c r="BZ34" s="13"/>
      <c r="CA34" s="13"/>
      <c r="CB34" s="1220" t="s">
        <v>1427</v>
      </c>
      <c r="CC34" s="38" t="s">
        <v>76</v>
      </c>
      <c r="CD34" s="513"/>
      <c r="CE34" s="513"/>
      <c r="CF34" s="513"/>
      <c r="CG34" s="513"/>
      <c r="CH34" s="513"/>
      <c r="CI34" s="513"/>
      <c r="CJ34" s="513"/>
      <c r="CK34" s="12"/>
    </row>
    <row r="35" spans="2:89" customFormat="1" ht="90" hidden="1" customHeight="1">
      <c r="B35" s="22"/>
      <c r="C35" s="22"/>
      <c r="D35" s="22"/>
      <c r="E35" s="22"/>
      <c r="F35" s="22"/>
      <c r="G35" s="1166"/>
      <c r="H35" s="1166"/>
      <c r="I35" s="448"/>
      <c r="J35" s="16">
        <v>2013</v>
      </c>
      <c r="K35" s="1415"/>
      <c r="L35" s="1415"/>
      <c r="M35" s="18" t="s">
        <v>166</v>
      </c>
      <c r="N35" s="19" t="s">
        <v>167</v>
      </c>
      <c r="O35" s="2" t="s">
        <v>4032</v>
      </c>
      <c r="P35" s="3" t="s">
        <v>168</v>
      </c>
      <c r="Q35" s="3"/>
      <c r="R35" s="4">
        <v>75847.88</v>
      </c>
      <c r="S35" s="6">
        <v>41447</v>
      </c>
      <c r="T35" s="5">
        <v>41447</v>
      </c>
      <c r="U35" s="11">
        <v>41460</v>
      </c>
      <c r="V35" s="13" t="s">
        <v>68</v>
      </c>
      <c r="W35" s="19" t="s">
        <v>68</v>
      </c>
      <c r="X35" s="17"/>
      <c r="Y35" s="200" t="s">
        <v>68</v>
      </c>
      <c r="Z35" s="368"/>
      <c r="AA35" s="19" t="s">
        <v>169</v>
      </c>
      <c r="AB35" s="5">
        <v>41445</v>
      </c>
      <c r="AC35" s="4">
        <v>75847.88</v>
      </c>
      <c r="AD35" s="4"/>
      <c r="AE35" s="32"/>
      <c r="AF35" s="34" t="s">
        <v>68</v>
      </c>
      <c r="AG35" s="112" t="s">
        <v>68</v>
      </c>
      <c r="AH35" s="112" t="s">
        <v>68</v>
      </c>
      <c r="AI35" s="7" t="s">
        <v>68</v>
      </c>
      <c r="AJ35" s="215" t="s">
        <v>68</v>
      </c>
      <c r="AK35" s="33" t="s">
        <v>68</v>
      </c>
      <c r="AL35" s="1" t="s">
        <v>68</v>
      </c>
      <c r="AM35" s="1"/>
      <c r="AN35" s="1" t="s">
        <v>68</v>
      </c>
      <c r="AO35" s="1"/>
      <c r="AP35" s="1" t="s">
        <v>68</v>
      </c>
      <c r="AQ35" s="1"/>
      <c r="AR35" s="279"/>
      <c r="AS35" s="220">
        <v>0</v>
      </c>
      <c r="AT35" s="894">
        <f t="shared" si="0"/>
        <v>0</v>
      </c>
      <c r="AU35" s="883"/>
      <c r="AV35" s="19"/>
      <c r="AW35" s="17"/>
      <c r="AX35" s="223" t="s">
        <v>68</v>
      </c>
      <c r="AY35" s="73"/>
      <c r="AZ35" s="19"/>
      <c r="BA35" s="1"/>
      <c r="BB35" s="1"/>
      <c r="BC35" s="17"/>
      <c r="BD35" s="19"/>
      <c r="BE35" s="12"/>
      <c r="BF35" s="1"/>
      <c r="BG35" s="1"/>
      <c r="BH35" s="1"/>
      <c r="BI35" s="36">
        <v>0</v>
      </c>
      <c r="BJ35" s="13"/>
      <c r="BK35" s="352"/>
      <c r="BL35" s="694" t="s">
        <v>68</v>
      </c>
      <c r="BM35" s="695" t="s">
        <v>68</v>
      </c>
      <c r="BN35" s="695" t="s">
        <v>68</v>
      </c>
      <c r="BO35" s="694"/>
      <c r="BP35" s="694"/>
      <c r="BQ35" s="694"/>
      <c r="BR35" s="694"/>
      <c r="BS35" s="694"/>
      <c r="BT35" s="694"/>
      <c r="BU35" s="694"/>
      <c r="BV35" s="694" t="s">
        <v>68</v>
      </c>
      <c r="BW35" s="13"/>
      <c r="BX35" s="13"/>
      <c r="BY35" s="13"/>
      <c r="BZ35" s="13"/>
      <c r="CA35" s="13"/>
      <c r="CB35" s="1220" t="s">
        <v>1427</v>
      </c>
      <c r="CC35" s="38" t="s">
        <v>76</v>
      </c>
      <c r="CD35" s="513"/>
      <c r="CE35" s="513"/>
      <c r="CF35" s="513"/>
      <c r="CG35" s="513"/>
      <c r="CH35" s="513"/>
      <c r="CI35" s="513"/>
      <c r="CJ35" s="513"/>
      <c r="CK35" s="12"/>
    </row>
    <row r="36" spans="2:89" customFormat="1" ht="90" hidden="1" customHeight="1">
      <c r="B36" s="22"/>
      <c r="C36" s="22"/>
      <c r="D36" s="22"/>
      <c r="E36" s="22"/>
      <c r="F36" s="22"/>
      <c r="G36" s="1166"/>
      <c r="H36" s="1166"/>
      <c r="I36" s="448"/>
      <c r="J36" s="16">
        <v>2013</v>
      </c>
      <c r="K36" s="1415"/>
      <c r="L36" s="1415"/>
      <c r="M36" s="18" t="s">
        <v>166</v>
      </c>
      <c r="N36" s="19" t="s">
        <v>170</v>
      </c>
      <c r="O36" s="2" t="s">
        <v>4032</v>
      </c>
      <c r="P36" s="3" t="s">
        <v>171</v>
      </c>
      <c r="Q36" s="3"/>
      <c r="R36" s="4">
        <v>38585.949999999997</v>
      </c>
      <c r="S36" s="6">
        <v>41446</v>
      </c>
      <c r="T36" s="5">
        <v>41446</v>
      </c>
      <c r="U36" s="11">
        <v>41453</v>
      </c>
      <c r="V36" s="13" t="s">
        <v>68</v>
      </c>
      <c r="W36" s="19" t="s">
        <v>68</v>
      </c>
      <c r="X36" s="17"/>
      <c r="Y36" s="200" t="s">
        <v>68</v>
      </c>
      <c r="Z36" s="368"/>
      <c r="AA36" s="19" t="s">
        <v>169</v>
      </c>
      <c r="AB36" s="5">
        <v>41445</v>
      </c>
      <c r="AC36" s="4">
        <v>38585.949999999997</v>
      </c>
      <c r="AD36" s="4"/>
      <c r="AE36" s="32"/>
      <c r="AF36" s="34" t="s">
        <v>68</v>
      </c>
      <c r="AG36" s="112" t="s">
        <v>68</v>
      </c>
      <c r="AH36" s="112" t="s">
        <v>68</v>
      </c>
      <c r="AI36" s="7" t="s">
        <v>68</v>
      </c>
      <c r="AJ36" s="215" t="s">
        <v>68</v>
      </c>
      <c r="AK36" s="33" t="s">
        <v>68</v>
      </c>
      <c r="AL36" s="1" t="s">
        <v>68</v>
      </c>
      <c r="AM36" s="1"/>
      <c r="AN36" s="1" t="s">
        <v>68</v>
      </c>
      <c r="AO36" s="1"/>
      <c r="AP36" s="1" t="s">
        <v>68</v>
      </c>
      <c r="AQ36" s="1"/>
      <c r="AR36" s="279"/>
      <c r="AS36" s="220">
        <v>0</v>
      </c>
      <c r="AT36" s="894">
        <f t="shared" si="0"/>
        <v>0</v>
      </c>
      <c r="AU36" s="883"/>
      <c r="AV36" s="19"/>
      <c r="AW36" s="17"/>
      <c r="AX36" s="223" t="s">
        <v>68</v>
      </c>
      <c r="AY36" s="73"/>
      <c r="AZ36" s="19"/>
      <c r="BA36" s="1"/>
      <c r="BB36" s="1"/>
      <c r="BC36" s="17"/>
      <c r="BD36" s="19"/>
      <c r="BE36" s="12"/>
      <c r="BF36" s="1"/>
      <c r="BG36" s="1"/>
      <c r="BH36" s="1"/>
      <c r="BI36" s="36">
        <v>0</v>
      </c>
      <c r="BJ36" s="13"/>
      <c r="BK36" s="352"/>
      <c r="BL36" s="694" t="s">
        <v>68</v>
      </c>
      <c r="BM36" s="695" t="s">
        <v>68</v>
      </c>
      <c r="BN36" s="695" t="s">
        <v>68</v>
      </c>
      <c r="BO36" s="694"/>
      <c r="BP36" s="694"/>
      <c r="BQ36" s="694"/>
      <c r="BR36" s="694"/>
      <c r="BS36" s="694"/>
      <c r="BT36" s="694"/>
      <c r="BU36" s="694"/>
      <c r="BV36" s="694" t="s">
        <v>68</v>
      </c>
      <c r="BW36" s="13"/>
      <c r="BX36" s="13"/>
      <c r="BY36" s="13"/>
      <c r="BZ36" s="13"/>
      <c r="CA36" s="13"/>
      <c r="CB36" s="1220" t="s">
        <v>1427</v>
      </c>
      <c r="CC36" s="38" t="s">
        <v>76</v>
      </c>
      <c r="CD36" s="513"/>
      <c r="CE36" s="513"/>
      <c r="CF36" s="513"/>
      <c r="CG36" s="513"/>
      <c r="CH36" s="513"/>
      <c r="CI36" s="513"/>
      <c r="CJ36" s="513"/>
      <c r="CK36" s="12"/>
    </row>
    <row r="37" spans="2:89" customFormat="1" ht="90" hidden="1" customHeight="1">
      <c r="B37" s="22"/>
      <c r="C37" s="22"/>
      <c r="D37" s="22"/>
      <c r="E37" s="22"/>
      <c r="F37" s="22"/>
      <c r="G37" s="1166"/>
      <c r="H37" s="1166"/>
      <c r="I37" s="448"/>
      <c r="J37" s="16">
        <v>2013</v>
      </c>
      <c r="K37" s="1415"/>
      <c r="L37" s="1415"/>
      <c r="M37" s="18" t="s">
        <v>166</v>
      </c>
      <c r="N37" s="19" t="s">
        <v>172</v>
      </c>
      <c r="O37" s="2" t="s">
        <v>4032</v>
      </c>
      <c r="P37" s="3" t="s">
        <v>173</v>
      </c>
      <c r="Q37" s="3"/>
      <c r="R37" s="4">
        <v>396797.76</v>
      </c>
      <c r="S37" s="6">
        <v>41446</v>
      </c>
      <c r="T37" s="5">
        <v>41446</v>
      </c>
      <c r="U37" s="11">
        <v>41460</v>
      </c>
      <c r="V37" s="13" t="s">
        <v>68</v>
      </c>
      <c r="W37" s="19" t="s">
        <v>68</v>
      </c>
      <c r="X37" s="17"/>
      <c r="Y37" s="200" t="s">
        <v>68</v>
      </c>
      <c r="Z37" s="368"/>
      <c r="AA37" s="19" t="s">
        <v>169</v>
      </c>
      <c r="AB37" s="5">
        <v>41445</v>
      </c>
      <c r="AC37" s="4">
        <v>396797.76</v>
      </c>
      <c r="AD37" s="4"/>
      <c r="AE37" s="32"/>
      <c r="AF37" s="34" t="s">
        <v>68</v>
      </c>
      <c r="AG37" s="112" t="s">
        <v>68</v>
      </c>
      <c r="AH37" s="112" t="s">
        <v>68</v>
      </c>
      <c r="AI37" s="7" t="s">
        <v>68</v>
      </c>
      <c r="AJ37" s="215" t="s">
        <v>68</v>
      </c>
      <c r="AK37" s="33" t="s">
        <v>68</v>
      </c>
      <c r="AL37" s="1" t="s">
        <v>68</v>
      </c>
      <c r="AM37" s="1"/>
      <c r="AN37" s="1" t="s">
        <v>68</v>
      </c>
      <c r="AO37" s="1"/>
      <c r="AP37" s="1" t="s">
        <v>68</v>
      </c>
      <c r="AQ37" s="1"/>
      <c r="AR37" s="279"/>
      <c r="AS37" s="220">
        <v>0</v>
      </c>
      <c r="AT37" s="894">
        <f t="shared" si="0"/>
        <v>0</v>
      </c>
      <c r="AU37" s="883"/>
      <c r="AV37" s="19"/>
      <c r="AW37" s="17"/>
      <c r="AX37" s="223" t="s">
        <v>68</v>
      </c>
      <c r="AY37" s="73"/>
      <c r="AZ37" s="19"/>
      <c r="BA37" s="1"/>
      <c r="BB37" s="1"/>
      <c r="BC37" s="17"/>
      <c r="BD37" s="19"/>
      <c r="BE37" s="12"/>
      <c r="BF37" s="1"/>
      <c r="BG37" s="1"/>
      <c r="BH37" s="1"/>
      <c r="BI37" s="36">
        <v>0</v>
      </c>
      <c r="BJ37" s="13"/>
      <c r="BK37" s="352"/>
      <c r="BL37" s="694" t="s">
        <v>68</v>
      </c>
      <c r="BM37" s="695" t="s">
        <v>68</v>
      </c>
      <c r="BN37" s="695" t="s">
        <v>68</v>
      </c>
      <c r="BO37" s="694"/>
      <c r="BP37" s="694"/>
      <c r="BQ37" s="694"/>
      <c r="BR37" s="694"/>
      <c r="BS37" s="694"/>
      <c r="BT37" s="694"/>
      <c r="BU37" s="694"/>
      <c r="BV37" s="694" t="s">
        <v>68</v>
      </c>
      <c r="BW37" s="13"/>
      <c r="BX37" s="13"/>
      <c r="BY37" s="13"/>
      <c r="BZ37" s="13"/>
      <c r="CA37" s="13"/>
      <c r="CB37" s="1220" t="s">
        <v>1427</v>
      </c>
      <c r="CC37" s="38" t="s">
        <v>76</v>
      </c>
      <c r="CD37" s="513"/>
      <c r="CE37" s="513"/>
      <c r="CF37" s="513"/>
      <c r="CG37" s="513"/>
      <c r="CH37" s="513"/>
      <c r="CI37" s="513"/>
      <c r="CJ37" s="513"/>
      <c r="CK37" s="12"/>
    </row>
    <row r="38" spans="2:89" customFormat="1" ht="90" hidden="1" customHeight="1">
      <c r="B38" s="22"/>
      <c r="C38" s="22"/>
      <c r="D38" s="22"/>
      <c r="E38" s="22"/>
      <c r="F38" s="22"/>
      <c r="G38" s="1166"/>
      <c r="H38" s="1166"/>
      <c r="I38" s="448"/>
      <c r="J38" s="16">
        <v>2013</v>
      </c>
      <c r="K38" s="1415"/>
      <c r="L38" s="1415"/>
      <c r="M38" s="18" t="s">
        <v>166</v>
      </c>
      <c r="N38" s="19" t="s">
        <v>174</v>
      </c>
      <c r="O38" s="2" t="s">
        <v>4032</v>
      </c>
      <c r="P38" s="3" t="s">
        <v>175</v>
      </c>
      <c r="Q38" s="3"/>
      <c r="R38" s="4">
        <v>300000</v>
      </c>
      <c r="S38" s="6">
        <v>41449</v>
      </c>
      <c r="T38" s="5">
        <v>41449</v>
      </c>
      <c r="U38" s="11">
        <v>41517</v>
      </c>
      <c r="V38" s="13" t="s">
        <v>68</v>
      </c>
      <c r="W38" s="19" t="s">
        <v>68</v>
      </c>
      <c r="X38" s="17"/>
      <c r="Y38" s="200" t="s">
        <v>68</v>
      </c>
      <c r="Z38" s="368"/>
      <c r="AA38" s="19" t="s">
        <v>169</v>
      </c>
      <c r="AB38" s="5">
        <v>41445</v>
      </c>
      <c r="AC38" s="4">
        <v>300000</v>
      </c>
      <c r="AD38" s="4"/>
      <c r="AE38" s="32"/>
      <c r="AF38" s="34" t="s">
        <v>68</v>
      </c>
      <c r="AG38" s="112" t="s">
        <v>68</v>
      </c>
      <c r="AH38" s="112" t="s">
        <v>68</v>
      </c>
      <c r="AI38" s="7" t="s">
        <v>68</v>
      </c>
      <c r="AJ38" s="215" t="s">
        <v>68</v>
      </c>
      <c r="AK38" s="33" t="s">
        <v>68</v>
      </c>
      <c r="AL38" s="1" t="s">
        <v>68</v>
      </c>
      <c r="AM38" s="1"/>
      <c r="AN38" s="1" t="s">
        <v>68</v>
      </c>
      <c r="AO38" s="1"/>
      <c r="AP38" s="1" t="s">
        <v>68</v>
      </c>
      <c r="AQ38" s="1"/>
      <c r="AR38" s="279"/>
      <c r="AS38" s="220">
        <v>0</v>
      </c>
      <c r="AT38" s="894">
        <f t="shared" si="0"/>
        <v>0</v>
      </c>
      <c r="AU38" s="883"/>
      <c r="AV38" s="19"/>
      <c r="AW38" s="17"/>
      <c r="AX38" s="223" t="s">
        <v>68</v>
      </c>
      <c r="AY38" s="73"/>
      <c r="AZ38" s="19"/>
      <c r="BA38" s="1"/>
      <c r="BB38" s="1"/>
      <c r="BC38" s="17"/>
      <c r="BD38" s="19"/>
      <c r="BE38" s="12"/>
      <c r="BF38" s="1"/>
      <c r="BG38" s="1"/>
      <c r="BH38" s="1"/>
      <c r="BI38" s="36">
        <v>0</v>
      </c>
      <c r="BJ38" s="13"/>
      <c r="BK38" s="352"/>
      <c r="BL38" s="694" t="s">
        <v>68</v>
      </c>
      <c r="BM38" s="695" t="s">
        <v>68</v>
      </c>
      <c r="BN38" s="695" t="s">
        <v>68</v>
      </c>
      <c r="BO38" s="694"/>
      <c r="BP38" s="694"/>
      <c r="BQ38" s="694"/>
      <c r="BR38" s="694"/>
      <c r="BS38" s="694"/>
      <c r="BT38" s="694"/>
      <c r="BU38" s="694"/>
      <c r="BV38" s="694" t="s">
        <v>68</v>
      </c>
      <c r="BW38" s="13"/>
      <c r="BX38" s="13"/>
      <c r="BY38" s="13"/>
      <c r="BZ38" s="13"/>
      <c r="CA38" s="13"/>
      <c r="CB38" s="1220" t="s">
        <v>1427</v>
      </c>
      <c r="CC38" s="38" t="s">
        <v>76</v>
      </c>
      <c r="CD38" s="513"/>
      <c r="CE38" s="513"/>
      <c r="CF38" s="513"/>
      <c r="CG38" s="513"/>
      <c r="CH38" s="513"/>
      <c r="CI38" s="513"/>
      <c r="CJ38" s="513"/>
      <c r="CK38" s="12"/>
    </row>
    <row r="39" spans="2:89" customFormat="1" ht="90" hidden="1" customHeight="1">
      <c r="B39" s="22"/>
      <c r="C39" s="22"/>
      <c r="D39" s="22"/>
      <c r="E39" s="22"/>
      <c r="F39" s="22"/>
      <c r="G39" s="1166"/>
      <c r="H39" s="1166"/>
      <c r="I39" s="448"/>
      <c r="J39" s="16">
        <v>2013</v>
      </c>
      <c r="K39" s="1415"/>
      <c r="L39" s="1415"/>
      <c r="M39" s="18" t="s">
        <v>166</v>
      </c>
      <c r="N39" s="19" t="s">
        <v>176</v>
      </c>
      <c r="O39" s="2" t="s">
        <v>4032</v>
      </c>
      <c r="P39" s="3" t="s">
        <v>177</v>
      </c>
      <c r="Q39" s="3"/>
      <c r="R39" s="4"/>
      <c r="S39" s="6"/>
      <c r="T39" s="1"/>
      <c r="U39" s="17"/>
      <c r="V39" s="13" t="s">
        <v>68</v>
      </c>
      <c r="W39" s="19" t="s">
        <v>68</v>
      </c>
      <c r="X39" s="17"/>
      <c r="Y39" s="200" t="s">
        <v>68</v>
      </c>
      <c r="Z39" s="368"/>
      <c r="AA39" s="19" t="s">
        <v>178</v>
      </c>
      <c r="AB39" s="5">
        <v>41478</v>
      </c>
      <c r="AC39" s="4">
        <v>160000</v>
      </c>
      <c r="AD39" s="4" t="s">
        <v>179</v>
      </c>
      <c r="AE39" s="32">
        <v>185282.2</v>
      </c>
      <c r="AF39" s="34" t="s">
        <v>68</v>
      </c>
      <c r="AG39" s="112" t="s">
        <v>68</v>
      </c>
      <c r="AH39" s="112" t="s">
        <v>68</v>
      </c>
      <c r="AI39" s="7" t="s">
        <v>68</v>
      </c>
      <c r="AJ39" s="215" t="s">
        <v>68</v>
      </c>
      <c r="AK39" s="33" t="s">
        <v>68</v>
      </c>
      <c r="AL39" s="1" t="s">
        <v>68</v>
      </c>
      <c r="AM39" s="1"/>
      <c r="AN39" s="1" t="s">
        <v>68</v>
      </c>
      <c r="AO39" s="1"/>
      <c r="AP39" s="1" t="s">
        <v>68</v>
      </c>
      <c r="AQ39" s="1"/>
      <c r="AR39" s="279"/>
      <c r="AS39" s="220">
        <v>0</v>
      </c>
      <c r="AT39" s="894">
        <f t="shared" si="0"/>
        <v>0</v>
      </c>
      <c r="AU39" s="883"/>
      <c r="AV39" s="19"/>
      <c r="AW39" s="17"/>
      <c r="AX39" s="223" t="s">
        <v>68</v>
      </c>
      <c r="AY39" s="73"/>
      <c r="AZ39" s="19"/>
      <c r="BA39" s="1"/>
      <c r="BB39" s="1"/>
      <c r="BC39" s="17"/>
      <c r="BD39" s="19"/>
      <c r="BE39" s="12"/>
      <c r="BF39" s="1"/>
      <c r="BG39" s="1"/>
      <c r="BH39" s="1"/>
      <c r="BI39" s="36">
        <v>0</v>
      </c>
      <c r="BJ39" s="13"/>
      <c r="BK39" s="352"/>
      <c r="BL39" s="694" t="s">
        <v>68</v>
      </c>
      <c r="BM39" s="695" t="s">
        <v>68</v>
      </c>
      <c r="BN39" s="695" t="s">
        <v>68</v>
      </c>
      <c r="BO39" s="694"/>
      <c r="BP39" s="694"/>
      <c r="BQ39" s="694"/>
      <c r="BR39" s="694"/>
      <c r="BS39" s="694"/>
      <c r="BT39" s="694"/>
      <c r="BU39" s="694"/>
      <c r="BV39" s="694" t="s">
        <v>68</v>
      </c>
      <c r="BW39" s="13"/>
      <c r="BX39" s="13"/>
      <c r="BY39" s="13"/>
      <c r="BZ39" s="13"/>
      <c r="CA39" s="13"/>
      <c r="CB39" s="1220" t="s">
        <v>1427</v>
      </c>
      <c r="CC39" s="38" t="s">
        <v>76</v>
      </c>
      <c r="CD39" s="513"/>
      <c r="CE39" s="513"/>
      <c r="CF39" s="513"/>
      <c r="CG39" s="513"/>
      <c r="CH39" s="513"/>
      <c r="CI39" s="513"/>
      <c r="CJ39" s="513"/>
      <c r="CK39" s="12"/>
    </row>
    <row r="40" spans="2:89" customFormat="1" ht="90" hidden="1" customHeight="1">
      <c r="B40" s="22"/>
      <c r="C40" s="22"/>
      <c r="D40" s="22"/>
      <c r="E40" s="22"/>
      <c r="F40" s="22"/>
      <c r="G40" s="1166"/>
      <c r="H40" s="1166"/>
      <c r="I40" s="448"/>
      <c r="J40" s="16">
        <v>2013</v>
      </c>
      <c r="K40" s="1415"/>
      <c r="L40" s="1415"/>
      <c r="M40" s="18" t="s">
        <v>166</v>
      </c>
      <c r="N40" s="19" t="s">
        <v>180</v>
      </c>
      <c r="O40" s="2" t="s">
        <v>4032</v>
      </c>
      <c r="P40" s="3" t="s">
        <v>181</v>
      </c>
      <c r="Q40" s="3"/>
      <c r="R40" s="4">
        <v>60000</v>
      </c>
      <c r="S40" s="6">
        <v>41463</v>
      </c>
      <c r="T40" s="5">
        <v>41433</v>
      </c>
      <c r="U40" s="11">
        <v>41501</v>
      </c>
      <c r="V40" s="13" t="s">
        <v>68</v>
      </c>
      <c r="W40" s="19" t="s">
        <v>68</v>
      </c>
      <c r="X40" s="17"/>
      <c r="Y40" s="200" t="s">
        <v>68</v>
      </c>
      <c r="Z40" s="368"/>
      <c r="AA40" s="19" t="s">
        <v>182</v>
      </c>
      <c r="AB40" s="5">
        <v>41514</v>
      </c>
      <c r="AC40" s="4">
        <v>60000</v>
      </c>
      <c r="AD40" s="4"/>
      <c r="AE40" s="32"/>
      <c r="AF40" s="34" t="s">
        <v>68</v>
      </c>
      <c r="AG40" s="112" t="s">
        <v>68</v>
      </c>
      <c r="AH40" s="112" t="s">
        <v>68</v>
      </c>
      <c r="AI40" s="7" t="s">
        <v>68</v>
      </c>
      <c r="AJ40" s="215" t="s">
        <v>68</v>
      </c>
      <c r="AK40" s="33" t="s">
        <v>68</v>
      </c>
      <c r="AL40" s="1" t="s">
        <v>68</v>
      </c>
      <c r="AM40" s="1"/>
      <c r="AN40" s="1" t="s">
        <v>68</v>
      </c>
      <c r="AO40" s="1"/>
      <c r="AP40" s="1" t="s">
        <v>68</v>
      </c>
      <c r="AQ40" s="1"/>
      <c r="AR40" s="279"/>
      <c r="AS40" s="220">
        <v>0</v>
      </c>
      <c r="AT40" s="894">
        <f t="shared" si="0"/>
        <v>0</v>
      </c>
      <c r="AU40" s="883"/>
      <c r="AV40" s="19"/>
      <c r="AW40" s="17"/>
      <c r="AX40" s="223" t="s">
        <v>68</v>
      </c>
      <c r="AY40" s="73"/>
      <c r="AZ40" s="19"/>
      <c r="BA40" s="1"/>
      <c r="BB40" s="1"/>
      <c r="BC40" s="17"/>
      <c r="BD40" s="19"/>
      <c r="BE40" s="12"/>
      <c r="BF40" s="1"/>
      <c r="BG40" s="1"/>
      <c r="BH40" s="1"/>
      <c r="BI40" s="36">
        <v>0</v>
      </c>
      <c r="BJ40" s="13"/>
      <c r="BK40" s="352"/>
      <c r="BL40" s="694" t="s">
        <v>68</v>
      </c>
      <c r="BM40" s="695" t="s">
        <v>68</v>
      </c>
      <c r="BN40" s="695" t="s">
        <v>68</v>
      </c>
      <c r="BO40" s="694"/>
      <c r="BP40" s="694"/>
      <c r="BQ40" s="694"/>
      <c r="BR40" s="694"/>
      <c r="BS40" s="694"/>
      <c r="BT40" s="694"/>
      <c r="BU40" s="694"/>
      <c r="BV40" s="694" t="s">
        <v>68</v>
      </c>
      <c r="BW40" s="13"/>
      <c r="BX40" s="13"/>
      <c r="BY40" s="13"/>
      <c r="BZ40" s="13"/>
      <c r="CA40" s="13"/>
      <c r="CB40" s="1220" t="s">
        <v>1427</v>
      </c>
      <c r="CC40" s="38" t="s">
        <v>76</v>
      </c>
      <c r="CD40" s="513"/>
      <c r="CE40" s="513"/>
      <c r="CF40" s="513"/>
      <c r="CG40" s="513"/>
      <c r="CH40" s="513"/>
      <c r="CI40" s="513"/>
      <c r="CJ40" s="513"/>
      <c r="CK40" s="12"/>
    </row>
    <row r="41" spans="2:89" customFormat="1" ht="90" hidden="1" customHeight="1">
      <c r="B41" s="22"/>
      <c r="C41" s="22"/>
      <c r="D41" s="22"/>
      <c r="E41" s="22"/>
      <c r="F41" s="22"/>
      <c r="G41" s="1166"/>
      <c r="H41" s="1166"/>
      <c r="I41" s="448"/>
      <c r="J41" s="16">
        <v>2013</v>
      </c>
      <c r="K41" s="1415"/>
      <c r="L41" s="1415"/>
      <c r="M41" s="18" t="s">
        <v>166</v>
      </c>
      <c r="N41" s="19" t="s">
        <v>122</v>
      </c>
      <c r="O41" s="2" t="s">
        <v>4032</v>
      </c>
      <c r="P41" s="3" t="s">
        <v>123</v>
      </c>
      <c r="Q41" s="3"/>
      <c r="R41" s="79">
        <v>65000</v>
      </c>
      <c r="S41" s="67">
        <v>41596</v>
      </c>
      <c r="T41" s="5">
        <v>41589</v>
      </c>
      <c r="U41" s="11">
        <v>41638</v>
      </c>
      <c r="V41" s="13" t="s">
        <v>68</v>
      </c>
      <c r="W41" s="19" t="s">
        <v>68</v>
      </c>
      <c r="X41" s="17"/>
      <c r="Y41" s="200" t="s">
        <v>68</v>
      </c>
      <c r="Z41" s="368"/>
      <c r="AA41" s="19"/>
      <c r="AB41" s="1"/>
      <c r="AC41" s="4"/>
      <c r="AD41" s="4"/>
      <c r="AE41" s="32"/>
      <c r="AF41" s="34" t="s">
        <v>68</v>
      </c>
      <c r="AG41" s="112" t="s">
        <v>68</v>
      </c>
      <c r="AH41" s="112" t="s">
        <v>68</v>
      </c>
      <c r="AI41" s="7" t="s">
        <v>68</v>
      </c>
      <c r="AJ41" s="215" t="s">
        <v>68</v>
      </c>
      <c r="AK41" s="33" t="s">
        <v>68</v>
      </c>
      <c r="AL41" s="1" t="s">
        <v>68</v>
      </c>
      <c r="AM41" s="1"/>
      <c r="AN41" s="1" t="s">
        <v>68</v>
      </c>
      <c r="AO41" s="1"/>
      <c r="AP41" s="1" t="s">
        <v>68</v>
      </c>
      <c r="AQ41" s="1"/>
      <c r="AR41" s="279"/>
      <c r="AS41" s="220">
        <v>0</v>
      </c>
      <c r="AT41" s="894">
        <f t="shared" si="0"/>
        <v>0</v>
      </c>
      <c r="AU41" s="883"/>
      <c r="AV41" s="19"/>
      <c r="AW41" s="17"/>
      <c r="AX41" s="223" t="s">
        <v>68</v>
      </c>
      <c r="AY41" s="73"/>
      <c r="AZ41" s="19"/>
      <c r="BA41" s="1"/>
      <c r="BB41" s="1"/>
      <c r="BC41" s="17"/>
      <c r="BD41" s="19"/>
      <c r="BE41" s="12"/>
      <c r="BF41" s="1"/>
      <c r="BG41" s="1"/>
      <c r="BH41" s="1"/>
      <c r="BI41" s="36">
        <v>0</v>
      </c>
      <c r="BJ41" s="13"/>
      <c r="BK41" s="352"/>
      <c r="BL41" s="694" t="s">
        <v>68</v>
      </c>
      <c r="BM41" s="695" t="s">
        <v>68</v>
      </c>
      <c r="BN41" s="695" t="s">
        <v>68</v>
      </c>
      <c r="BO41" s="694"/>
      <c r="BP41" s="694"/>
      <c r="BQ41" s="694"/>
      <c r="BR41" s="694"/>
      <c r="BS41" s="694"/>
      <c r="BT41" s="694"/>
      <c r="BU41" s="694"/>
      <c r="BV41" s="694" t="s">
        <v>68</v>
      </c>
      <c r="BW41" s="13"/>
      <c r="BX41" s="13"/>
      <c r="BY41" s="13"/>
      <c r="BZ41" s="13"/>
      <c r="CA41" s="13"/>
      <c r="CB41" s="1220" t="s">
        <v>1427</v>
      </c>
      <c r="CC41" s="38" t="s">
        <v>76</v>
      </c>
      <c r="CD41" s="513"/>
      <c r="CE41" s="513"/>
      <c r="CF41" s="513"/>
      <c r="CG41" s="513"/>
      <c r="CH41" s="513"/>
      <c r="CI41" s="513"/>
      <c r="CJ41" s="513"/>
      <c r="CK41" s="12"/>
    </row>
    <row r="42" spans="2:89" customFormat="1" ht="90" hidden="1" customHeight="1">
      <c r="B42" s="22"/>
      <c r="C42" s="22"/>
      <c r="D42" s="22"/>
      <c r="E42" s="22"/>
      <c r="F42" s="22"/>
      <c r="G42" s="1166"/>
      <c r="H42" s="1166"/>
      <c r="I42" s="448"/>
      <c r="J42" s="16">
        <v>2013</v>
      </c>
      <c r="K42" s="1415"/>
      <c r="L42" s="1415"/>
      <c r="M42" s="18" t="s">
        <v>166</v>
      </c>
      <c r="N42" s="19" t="s">
        <v>183</v>
      </c>
      <c r="O42" s="2" t="s">
        <v>66</v>
      </c>
      <c r="P42" s="3" t="s">
        <v>184</v>
      </c>
      <c r="Q42" s="3"/>
      <c r="R42" s="4">
        <v>977397.28</v>
      </c>
      <c r="S42" s="6">
        <v>41278</v>
      </c>
      <c r="T42" s="5">
        <v>41316</v>
      </c>
      <c r="U42" s="11">
        <v>41394</v>
      </c>
      <c r="V42" s="62">
        <v>41278</v>
      </c>
      <c r="W42" s="116" t="s">
        <v>185</v>
      </c>
      <c r="X42" s="205" t="s">
        <v>114</v>
      </c>
      <c r="Y42" s="200" t="s">
        <v>68</v>
      </c>
      <c r="Z42" s="368"/>
      <c r="AA42" s="212" t="s">
        <v>74</v>
      </c>
      <c r="AB42" s="1"/>
      <c r="AC42" s="4"/>
      <c r="AD42" s="4"/>
      <c r="AE42" s="32"/>
      <c r="AF42" s="34">
        <v>41275</v>
      </c>
      <c r="AG42" s="112" t="s">
        <v>68</v>
      </c>
      <c r="AH42" s="112" t="s">
        <v>68</v>
      </c>
      <c r="AI42" s="7">
        <v>41277</v>
      </c>
      <c r="AJ42" s="215">
        <v>41277</v>
      </c>
      <c r="AK42" s="33" t="s">
        <v>186</v>
      </c>
      <c r="AL42" s="1" t="s">
        <v>68</v>
      </c>
      <c r="AM42" s="1"/>
      <c r="AN42" s="1" t="s">
        <v>187</v>
      </c>
      <c r="AO42" s="5">
        <v>41278</v>
      </c>
      <c r="AP42" s="1" t="s">
        <v>188</v>
      </c>
      <c r="AQ42" s="5">
        <v>41394</v>
      </c>
      <c r="AR42" s="279"/>
      <c r="AS42" s="35">
        <v>0</v>
      </c>
      <c r="AT42" s="895">
        <v>785224.53</v>
      </c>
      <c r="AU42" s="884"/>
      <c r="AV42" s="30">
        <v>41316</v>
      </c>
      <c r="AW42" s="11">
        <v>41373</v>
      </c>
      <c r="AX42" s="223" t="s">
        <v>68</v>
      </c>
      <c r="AY42" s="224" t="s">
        <v>68</v>
      </c>
      <c r="AZ42" s="30">
        <v>41394</v>
      </c>
      <c r="BA42" s="5">
        <v>41316</v>
      </c>
      <c r="BB42" s="5">
        <v>41394</v>
      </c>
      <c r="BC42" s="11">
        <v>41394</v>
      </c>
      <c r="BD42" s="19" t="s">
        <v>68</v>
      </c>
      <c r="BE42" s="12"/>
      <c r="BF42" s="5">
        <v>40760</v>
      </c>
      <c r="BG42" s="5">
        <v>41394</v>
      </c>
      <c r="BH42" s="5">
        <v>41394</v>
      </c>
      <c r="BI42" s="36">
        <v>785224.53</v>
      </c>
      <c r="BJ42" s="62">
        <v>41400</v>
      </c>
      <c r="BK42" s="224"/>
      <c r="BL42" s="694" t="s">
        <v>68</v>
      </c>
      <c r="BM42" s="695" t="s">
        <v>68</v>
      </c>
      <c r="BN42" s="695" t="s">
        <v>68</v>
      </c>
      <c r="BO42" s="694"/>
      <c r="BP42" s="694"/>
      <c r="BQ42" s="694"/>
      <c r="BR42" s="694"/>
      <c r="BS42" s="694"/>
      <c r="BT42" s="694"/>
      <c r="BU42" s="694"/>
      <c r="BV42" s="694" t="s">
        <v>68</v>
      </c>
      <c r="BW42" s="13"/>
      <c r="BX42" s="13"/>
      <c r="BY42" s="13"/>
      <c r="BZ42" s="13"/>
      <c r="CA42" s="13"/>
      <c r="CB42" s="1220" t="s">
        <v>1427</v>
      </c>
      <c r="CC42" s="38" t="s">
        <v>76</v>
      </c>
      <c r="CD42" s="513"/>
      <c r="CE42" s="513"/>
      <c r="CF42" s="513"/>
      <c r="CG42" s="513"/>
      <c r="CH42" s="513"/>
      <c r="CI42" s="513"/>
      <c r="CJ42" s="513"/>
      <c r="CK42" s="12"/>
    </row>
    <row r="43" spans="2:89" customFormat="1" ht="90" hidden="1" customHeight="1">
      <c r="B43" s="22"/>
      <c r="C43" s="22"/>
      <c r="D43" s="22"/>
      <c r="E43" s="22"/>
      <c r="F43" s="22"/>
      <c r="G43" s="1166"/>
      <c r="H43" s="1166"/>
      <c r="I43" s="448"/>
      <c r="J43" s="16">
        <v>2013</v>
      </c>
      <c r="K43" s="1415"/>
      <c r="L43" s="1415"/>
      <c r="M43" s="18" t="s">
        <v>166</v>
      </c>
      <c r="N43" s="19" t="s">
        <v>189</v>
      </c>
      <c r="O43" s="2" t="s">
        <v>79</v>
      </c>
      <c r="P43" s="3" t="s">
        <v>190</v>
      </c>
      <c r="Q43" s="3"/>
      <c r="R43" s="4">
        <v>253692.08</v>
      </c>
      <c r="S43" s="6">
        <v>41278</v>
      </c>
      <c r="T43" s="5">
        <v>41281</v>
      </c>
      <c r="U43" s="11">
        <v>41286</v>
      </c>
      <c r="V43" s="62">
        <v>41278</v>
      </c>
      <c r="W43" s="116" t="s">
        <v>185</v>
      </c>
      <c r="X43" s="205" t="s">
        <v>191</v>
      </c>
      <c r="Y43" s="200" t="s">
        <v>68</v>
      </c>
      <c r="Z43" s="368"/>
      <c r="AA43" s="212" t="s">
        <v>74</v>
      </c>
      <c r="AB43" s="1"/>
      <c r="AC43" s="4"/>
      <c r="AD43" s="4"/>
      <c r="AE43" s="32"/>
      <c r="AF43" s="34" t="s">
        <v>68</v>
      </c>
      <c r="AG43" s="112" t="s">
        <v>68</v>
      </c>
      <c r="AH43" s="112" t="s">
        <v>68</v>
      </c>
      <c r="AI43" s="7" t="s">
        <v>68</v>
      </c>
      <c r="AJ43" s="215" t="s">
        <v>68</v>
      </c>
      <c r="AK43" s="33" t="s">
        <v>186</v>
      </c>
      <c r="AL43" s="1" t="s">
        <v>68</v>
      </c>
      <c r="AM43" s="1" t="s">
        <v>68</v>
      </c>
      <c r="AN43" s="1" t="s">
        <v>192</v>
      </c>
      <c r="AO43" s="5">
        <v>41278</v>
      </c>
      <c r="AP43" s="1" t="s">
        <v>83</v>
      </c>
      <c r="AQ43" s="5">
        <v>41278</v>
      </c>
      <c r="AR43" s="279"/>
      <c r="AS43" s="35">
        <v>0</v>
      </c>
      <c r="AT43" s="895">
        <v>253692.07</v>
      </c>
      <c r="AU43" s="884"/>
      <c r="AV43" s="30">
        <v>41281</v>
      </c>
      <c r="AW43" s="11">
        <v>41286</v>
      </c>
      <c r="AX43" s="223" t="s">
        <v>68</v>
      </c>
      <c r="AY43" s="224" t="s">
        <v>68</v>
      </c>
      <c r="AZ43" s="30">
        <v>41288</v>
      </c>
      <c r="BA43" s="5">
        <v>41281</v>
      </c>
      <c r="BB43" s="5">
        <v>41286</v>
      </c>
      <c r="BC43" s="11">
        <v>41286</v>
      </c>
      <c r="BD43" s="30">
        <v>41288</v>
      </c>
      <c r="BE43" s="309"/>
      <c r="BF43" s="5">
        <v>41281</v>
      </c>
      <c r="BG43" s="5">
        <v>41286</v>
      </c>
      <c r="BH43" s="5">
        <v>41286</v>
      </c>
      <c r="BI43" s="36">
        <v>253692.07</v>
      </c>
      <c r="BJ43" s="62">
        <v>41288</v>
      </c>
      <c r="BK43" s="224"/>
      <c r="BL43" s="694" t="s">
        <v>68</v>
      </c>
      <c r="BM43" s="695" t="s">
        <v>68</v>
      </c>
      <c r="BN43" s="695" t="s">
        <v>68</v>
      </c>
      <c r="BO43" s="694"/>
      <c r="BP43" s="694"/>
      <c r="BQ43" s="694"/>
      <c r="BR43" s="694"/>
      <c r="BS43" s="694"/>
      <c r="BT43" s="694"/>
      <c r="BU43" s="694"/>
      <c r="BV43" s="694" t="s">
        <v>68</v>
      </c>
      <c r="BW43" s="13"/>
      <c r="BX43" s="13"/>
      <c r="BY43" s="13"/>
      <c r="BZ43" s="13"/>
      <c r="CA43" s="13"/>
      <c r="CB43" s="1220" t="s">
        <v>1427</v>
      </c>
      <c r="CC43" s="38" t="s">
        <v>76</v>
      </c>
      <c r="CD43" s="513"/>
      <c r="CE43" s="513"/>
      <c r="CF43" s="513"/>
      <c r="CG43" s="513"/>
      <c r="CH43" s="513"/>
      <c r="CI43" s="513"/>
      <c r="CJ43" s="513"/>
      <c r="CK43" s="12"/>
    </row>
    <row r="44" spans="2:89" customFormat="1" ht="90" hidden="1" customHeight="1">
      <c r="B44" s="22"/>
      <c r="C44" s="22"/>
      <c r="D44" s="22"/>
      <c r="E44" s="22"/>
      <c r="F44" s="22"/>
      <c r="G44" s="1166"/>
      <c r="H44" s="1166"/>
      <c r="I44" s="448"/>
      <c r="J44" s="16">
        <v>2013</v>
      </c>
      <c r="K44" s="1415"/>
      <c r="L44" s="1415"/>
      <c r="M44" s="18" t="s">
        <v>166</v>
      </c>
      <c r="N44" s="19" t="s">
        <v>193</v>
      </c>
      <c r="O44" s="2" t="s">
        <v>79</v>
      </c>
      <c r="P44" s="3" t="s">
        <v>194</v>
      </c>
      <c r="Q44" s="3"/>
      <c r="R44" s="4">
        <v>213963.7</v>
      </c>
      <c r="S44" s="6">
        <v>41278</v>
      </c>
      <c r="T44" s="5">
        <v>41281</v>
      </c>
      <c r="U44" s="11">
        <v>41286</v>
      </c>
      <c r="V44" s="62">
        <v>41278</v>
      </c>
      <c r="W44" s="116" t="s">
        <v>185</v>
      </c>
      <c r="X44" s="205" t="s">
        <v>191</v>
      </c>
      <c r="Y44" s="200" t="s">
        <v>68</v>
      </c>
      <c r="Z44" s="368"/>
      <c r="AA44" s="33" t="s">
        <v>195</v>
      </c>
      <c r="AB44" s="5">
        <v>41325</v>
      </c>
      <c r="AC44" s="4">
        <v>213963.7</v>
      </c>
      <c r="AD44" s="4"/>
      <c r="AE44" s="32"/>
      <c r="AF44" s="34" t="s">
        <v>68</v>
      </c>
      <c r="AG44" s="112" t="s">
        <v>68</v>
      </c>
      <c r="AH44" s="112" t="s">
        <v>68</v>
      </c>
      <c r="AI44" s="7" t="s">
        <v>68</v>
      </c>
      <c r="AJ44" s="215" t="s">
        <v>68</v>
      </c>
      <c r="AK44" s="33" t="s">
        <v>186</v>
      </c>
      <c r="AL44" s="1" t="s">
        <v>68</v>
      </c>
      <c r="AM44" s="1" t="s">
        <v>68</v>
      </c>
      <c r="AN44" s="1" t="s">
        <v>196</v>
      </c>
      <c r="AO44" s="5">
        <v>41278</v>
      </c>
      <c r="AP44" s="1" t="s">
        <v>83</v>
      </c>
      <c r="AQ44" s="5">
        <v>41278</v>
      </c>
      <c r="AR44" s="279"/>
      <c r="AS44" s="35">
        <v>0</v>
      </c>
      <c r="AT44" s="895">
        <v>213963.69</v>
      </c>
      <c r="AU44" s="884"/>
      <c r="AV44" s="30">
        <v>41281</v>
      </c>
      <c r="AW44" s="11">
        <v>41286</v>
      </c>
      <c r="AX44" s="223" t="s">
        <v>68</v>
      </c>
      <c r="AY44" s="224" t="s">
        <v>68</v>
      </c>
      <c r="AZ44" s="30">
        <v>41288</v>
      </c>
      <c r="BA44" s="5">
        <v>41281</v>
      </c>
      <c r="BB44" s="5">
        <v>41286</v>
      </c>
      <c r="BC44" s="11">
        <v>41286</v>
      </c>
      <c r="BD44" s="30">
        <v>41356</v>
      </c>
      <c r="BE44" s="309"/>
      <c r="BF44" s="5">
        <v>41281</v>
      </c>
      <c r="BG44" s="5">
        <v>41286</v>
      </c>
      <c r="BH44" s="5">
        <v>41286</v>
      </c>
      <c r="BI44" s="36">
        <v>213963.69</v>
      </c>
      <c r="BJ44" s="62">
        <v>41288</v>
      </c>
      <c r="BK44" s="224"/>
      <c r="BL44" s="694" t="s">
        <v>68</v>
      </c>
      <c r="BM44" s="695" t="s">
        <v>68</v>
      </c>
      <c r="BN44" s="695" t="s">
        <v>68</v>
      </c>
      <c r="BO44" s="694"/>
      <c r="BP44" s="694"/>
      <c r="BQ44" s="694"/>
      <c r="BR44" s="694"/>
      <c r="BS44" s="694"/>
      <c r="BT44" s="694"/>
      <c r="BU44" s="694"/>
      <c r="BV44" s="694" t="s">
        <v>68</v>
      </c>
      <c r="BW44" s="13"/>
      <c r="BX44" s="13"/>
      <c r="BY44" s="13"/>
      <c r="BZ44" s="13"/>
      <c r="CA44" s="13"/>
      <c r="CB44" s="1220" t="s">
        <v>1427</v>
      </c>
      <c r="CC44" s="38" t="s">
        <v>76</v>
      </c>
      <c r="CD44" s="513"/>
      <c r="CE44" s="513"/>
      <c r="CF44" s="513"/>
      <c r="CG44" s="513"/>
      <c r="CH44" s="513"/>
      <c r="CI44" s="513"/>
      <c r="CJ44" s="513"/>
      <c r="CK44" s="12"/>
    </row>
    <row r="45" spans="2:89" customFormat="1" ht="90" hidden="1" customHeight="1">
      <c r="B45" s="22"/>
      <c r="C45" s="22"/>
      <c r="D45" s="22"/>
      <c r="E45" s="22"/>
      <c r="F45" s="22"/>
      <c r="G45" s="1166"/>
      <c r="H45" s="1166"/>
      <c r="I45" s="448"/>
      <c r="J45" s="16">
        <v>2013</v>
      </c>
      <c r="K45" s="1415"/>
      <c r="L45" s="1415"/>
      <c r="M45" s="18" t="s">
        <v>166</v>
      </c>
      <c r="N45" s="19" t="s">
        <v>197</v>
      </c>
      <c r="O45" s="2" t="s">
        <v>79</v>
      </c>
      <c r="P45" s="3" t="s">
        <v>198</v>
      </c>
      <c r="Q45" s="3"/>
      <c r="R45" s="4">
        <v>318104.90999999997</v>
      </c>
      <c r="S45" s="6">
        <v>41324</v>
      </c>
      <c r="T45" s="5">
        <v>41324</v>
      </c>
      <c r="U45" s="11">
        <v>41344</v>
      </c>
      <c r="V45" s="62">
        <v>41324</v>
      </c>
      <c r="W45" s="116" t="s">
        <v>199</v>
      </c>
      <c r="X45" s="205" t="s">
        <v>130</v>
      </c>
      <c r="Y45" s="200" t="s">
        <v>68</v>
      </c>
      <c r="Z45" s="368"/>
      <c r="AA45" s="19">
        <v>9</v>
      </c>
      <c r="AB45" s="5">
        <v>41325</v>
      </c>
      <c r="AC45" s="4">
        <v>318104.90999999997</v>
      </c>
      <c r="AD45" s="4"/>
      <c r="AE45" s="32"/>
      <c r="AF45" s="34" t="s">
        <v>68</v>
      </c>
      <c r="AG45" s="112" t="s">
        <v>68</v>
      </c>
      <c r="AH45" s="112" t="s">
        <v>68</v>
      </c>
      <c r="AI45" s="7" t="s">
        <v>68</v>
      </c>
      <c r="AJ45" s="215" t="s">
        <v>68</v>
      </c>
      <c r="AK45" s="33" t="s">
        <v>186</v>
      </c>
      <c r="AL45" s="1" t="s">
        <v>68</v>
      </c>
      <c r="AM45" s="1" t="s">
        <v>68</v>
      </c>
      <c r="AN45" s="1" t="s">
        <v>200</v>
      </c>
      <c r="AO45" s="5">
        <v>41324</v>
      </c>
      <c r="AP45" s="1" t="s">
        <v>83</v>
      </c>
      <c r="AQ45" s="5">
        <v>41324</v>
      </c>
      <c r="AR45" s="279"/>
      <c r="AS45" s="35">
        <v>0</v>
      </c>
      <c r="AT45" s="895">
        <v>318104.90999999997</v>
      </c>
      <c r="AU45" s="884"/>
      <c r="AV45" s="30">
        <v>41324</v>
      </c>
      <c r="AW45" s="11">
        <v>41344</v>
      </c>
      <c r="AX45" s="223" t="s">
        <v>68</v>
      </c>
      <c r="AY45" s="224" t="s">
        <v>68</v>
      </c>
      <c r="AZ45" s="30">
        <v>41344</v>
      </c>
      <c r="BA45" s="5">
        <v>41328</v>
      </c>
      <c r="BB45" s="5">
        <v>41344</v>
      </c>
      <c r="BC45" s="11">
        <v>41344</v>
      </c>
      <c r="BD45" s="30">
        <v>41344</v>
      </c>
      <c r="BE45" s="309"/>
      <c r="BF45" s="5">
        <v>41328</v>
      </c>
      <c r="BG45" s="5">
        <v>41344</v>
      </c>
      <c r="BH45" s="5">
        <v>41344</v>
      </c>
      <c r="BI45" s="36">
        <v>318104.90999999997</v>
      </c>
      <c r="BJ45" s="62">
        <v>41344</v>
      </c>
      <c r="BK45" s="224"/>
      <c r="BL45" s="694" t="s">
        <v>68</v>
      </c>
      <c r="BM45" s="695" t="s">
        <v>68</v>
      </c>
      <c r="BN45" s="695" t="s">
        <v>68</v>
      </c>
      <c r="BO45" s="694"/>
      <c r="BP45" s="694"/>
      <c r="BQ45" s="694"/>
      <c r="BR45" s="694"/>
      <c r="BS45" s="694"/>
      <c r="BT45" s="694"/>
      <c r="BU45" s="694"/>
      <c r="BV45" s="694" t="s">
        <v>68</v>
      </c>
      <c r="BW45" s="13"/>
      <c r="BX45" s="13"/>
      <c r="BY45" s="13"/>
      <c r="BZ45" s="13"/>
      <c r="CA45" s="13"/>
      <c r="CB45" s="1220" t="s">
        <v>1427</v>
      </c>
      <c r="CC45" s="38" t="s">
        <v>76</v>
      </c>
      <c r="CD45" s="513"/>
      <c r="CE45" s="513"/>
      <c r="CF45" s="513"/>
      <c r="CG45" s="513"/>
      <c r="CH45" s="513"/>
      <c r="CI45" s="513"/>
      <c r="CJ45" s="513"/>
      <c r="CK45" s="12"/>
    </row>
    <row r="46" spans="2:89" customFormat="1" ht="90" hidden="1" customHeight="1">
      <c r="B46" s="22"/>
      <c r="C46" s="22"/>
      <c r="D46" s="22"/>
      <c r="E46" s="22"/>
      <c r="F46" s="22"/>
      <c r="G46" s="1166"/>
      <c r="H46" s="1166"/>
      <c r="I46" s="448"/>
      <c r="J46" s="16">
        <v>2013</v>
      </c>
      <c r="K46" s="1415"/>
      <c r="L46" s="1415"/>
      <c r="M46" s="18" t="s">
        <v>166</v>
      </c>
      <c r="N46" s="19" t="s">
        <v>201</v>
      </c>
      <c r="O46" s="2" t="s">
        <v>66</v>
      </c>
      <c r="P46" s="3" t="s">
        <v>202</v>
      </c>
      <c r="Q46" s="3"/>
      <c r="R46" s="4">
        <v>1807551.01</v>
      </c>
      <c r="S46" s="6">
        <v>41327</v>
      </c>
      <c r="T46" s="5">
        <v>41328</v>
      </c>
      <c r="U46" s="11">
        <v>41337</v>
      </c>
      <c r="V46" s="13" t="s">
        <v>68</v>
      </c>
      <c r="W46" s="116" t="s">
        <v>185</v>
      </c>
      <c r="X46" s="205" t="s">
        <v>191</v>
      </c>
      <c r="Y46" s="200" t="s">
        <v>68</v>
      </c>
      <c r="Z46" s="368"/>
      <c r="AA46" s="33" t="s">
        <v>203</v>
      </c>
      <c r="AB46" s="5">
        <v>41404</v>
      </c>
      <c r="AC46" s="4">
        <v>1807551</v>
      </c>
      <c r="AD46" s="4"/>
      <c r="AE46" s="32"/>
      <c r="AF46" s="34">
        <v>41323</v>
      </c>
      <c r="AG46" s="112" t="s">
        <v>68</v>
      </c>
      <c r="AH46" s="112" t="s">
        <v>68</v>
      </c>
      <c r="AI46" s="7">
        <v>41294</v>
      </c>
      <c r="AJ46" s="215">
        <v>41325</v>
      </c>
      <c r="AK46" s="33" t="s">
        <v>186</v>
      </c>
      <c r="AL46" s="1" t="s">
        <v>68</v>
      </c>
      <c r="AM46" s="1"/>
      <c r="AN46" s="1" t="s">
        <v>204</v>
      </c>
      <c r="AO46" s="5">
        <v>41327</v>
      </c>
      <c r="AP46" s="1" t="s">
        <v>83</v>
      </c>
      <c r="AQ46" s="5">
        <v>41327</v>
      </c>
      <c r="AR46" s="279"/>
      <c r="AS46" s="35">
        <v>0</v>
      </c>
      <c r="AT46" s="895">
        <v>1807515.27</v>
      </c>
      <c r="AU46" s="884"/>
      <c r="AV46" s="30">
        <v>41328</v>
      </c>
      <c r="AW46" s="11">
        <v>41337</v>
      </c>
      <c r="AX46" s="223" t="s">
        <v>68</v>
      </c>
      <c r="AY46" s="224" t="s">
        <v>68</v>
      </c>
      <c r="AZ46" s="30">
        <v>41338</v>
      </c>
      <c r="BA46" s="5">
        <v>41328</v>
      </c>
      <c r="BB46" s="5">
        <v>41337</v>
      </c>
      <c r="BC46" s="11">
        <v>41337</v>
      </c>
      <c r="BD46" s="30">
        <v>41338</v>
      </c>
      <c r="BE46" s="309"/>
      <c r="BF46" s="5">
        <v>41328</v>
      </c>
      <c r="BG46" s="5">
        <v>41337</v>
      </c>
      <c r="BH46" s="5">
        <v>41337</v>
      </c>
      <c r="BI46" s="36">
        <v>1807515.27</v>
      </c>
      <c r="BJ46" s="62">
        <v>41344</v>
      </c>
      <c r="BK46" s="224"/>
      <c r="BL46" s="694" t="s">
        <v>68</v>
      </c>
      <c r="BM46" s="695" t="s">
        <v>68</v>
      </c>
      <c r="BN46" s="695" t="s">
        <v>68</v>
      </c>
      <c r="BO46" s="694"/>
      <c r="BP46" s="694"/>
      <c r="BQ46" s="694"/>
      <c r="BR46" s="694"/>
      <c r="BS46" s="694"/>
      <c r="BT46" s="694"/>
      <c r="BU46" s="694"/>
      <c r="BV46" s="694" t="s">
        <v>68</v>
      </c>
      <c r="BW46" s="13"/>
      <c r="BX46" s="13"/>
      <c r="BY46" s="13"/>
      <c r="BZ46" s="13"/>
      <c r="CA46" s="13"/>
      <c r="CB46" s="1220" t="s">
        <v>1427</v>
      </c>
      <c r="CC46" s="38" t="s">
        <v>76</v>
      </c>
      <c r="CD46" s="513"/>
      <c r="CE46" s="513"/>
      <c r="CF46" s="513"/>
      <c r="CG46" s="513"/>
      <c r="CH46" s="513"/>
      <c r="CI46" s="513"/>
      <c r="CJ46" s="513"/>
      <c r="CK46" s="12"/>
    </row>
    <row r="47" spans="2:89" customFormat="1" ht="90" hidden="1" customHeight="1">
      <c r="B47" s="22"/>
      <c r="C47" s="22"/>
      <c r="D47" s="22"/>
      <c r="E47" s="22"/>
      <c r="F47" s="22"/>
      <c r="G47" s="1166"/>
      <c r="H47" s="1166"/>
      <c r="I47" s="448"/>
      <c r="J47" s="16">
        <v>2013</v>
      </c>
      <c r="K47" s="1415"/>
      <c r="L47" s="1415"/>
      <c r="M47" s="18" t="s">
        <v>166</v>
      </c>
      <c r="N47" s="19" t="s">
        <v>205</v>
      </c>
      <c r="O47" s="2" t="s">
        <v>79</v>
      </c>
      <c r="P47" s="3" t="s">
        <v>206</v>
      </c>
      <c r="Q47" s="3"/>
      <c r="R47" s="4">
        <v>224365</v>
      </c>
      <c r="S47" s="6">
        <v>41353</v>
      </c>
      <c r="T47" s="5">
        <v>41358</v>
      </c>
      <c r="U47" s="11">
        <v>41378</v>
      </c>
      <c r="V47" s="62">
        <v>41353</v>
      </c>
      <c r="W47" s="116" t="s">
        <v>199</v>
      </c>
      <c r="X47" s="205" t="s">
        <v>130</v>
      </c>
      <c r="Y47" s="200" t="s">
        <v>68</v>
      </c>
      <c r="Z47" s="368"/>
      <c r="AA47" s="33" t="s">
        <v>207</v>
      </c>
      <c r="AB47" s="5">
        <v>41325</v>
      </c>
      <c r="AC47" s="4">
        <v>218630.71</v>
      </c>
      <c r="AD47" s="4"/>
      <c r="AE47" s="32"/>
      <c r="AF47" s="34" t="s">
        <v>68</v>
      </c>
      <c r="AG47" s="112" t="s">
        <v>68</v>
      </c>
      <c r="AH47" s="112" t="s">
        <v>68</v>
      </c>
      <c r="AI47" s="7" t="s">
        <v>68</v>
      </c>
      <c r="AJ47" s="215" t="s">
        <v>68</v>
      </c>
      <c r="AK47" s="33" t="s">
        <v>186</v>
      </c>
      <c r="AL47" s="1" t="s">
        <v>68</v>
      </c>
      <c r="AM47" s="1"/>
      <c r="AN47" s="1" t="s">
        <v>208</v>
      </c>
      <c r="AO47" s="5">
        <v>41353</v>
      </c>
      <c r="AP47" s="219"/>
      <c r="AQ47" s="1"/>
      <c r="AR47" s="279"/>
      <c r="AS47" s="35">
        <v>0</v>
      </c>
      <c r="AT47" s="895">
        <v>224365.83</v>
      </c>
      <c r="AU47" s="884"/>
      <c r="AV47" s="30">
        <v>41358</v>
      </c>
      <c r="AW47" s="11">
        <v>41376</v>
      </c>
      <c r="AX47" s="223" t="s">
        <v>68</v>
      </c>
      <c r="AY47" s="224" t="s">
        <v>68</v>
      </c>
      <c r="AZ47" s="30">
        <v>41379</v>
      </c>
      <c r="BA47" s="5">
        <v>41358</v>
      </c>
      <c r="BB47" s="5">
        <v>41378</v>
      </c>
      <c r="BC47" s="11">
        <v>41378</v>
      </c>
      <c r="BD47" s="30">
        <v>41380</v>
      </c>
      <c r="BE47" s="309"/>
      <c r="BF47" s="5">
        <v>41358</v>
      </c>
      <c r="BG47" s="5">
        <v>41378</v>
      </c>
      <c r="BH47" s="5">
        <v>41378</v>
      </c>
      <c r="BI47" s="36">
        <v>224365.83</v>
      </c>
      <c r="BJ47" s="62">
        <v>41381</v>
      </c>
      <c r="BK47" s="224"/>
      <c r="BL47" s="694" t="s">
        <v>68</v>
      </c>
      <c r="BM47" s="695" t="s">
        <v>68</v>
      </c>
      <c r="BN47" s="695" t="s">
        <v>68</v>
      </c>
      <c r="BO47" s="694"/>
      <c r="BP47" s="694"/>
      <c r="BQ47" s="694"/>
      <c r="BR47" s="694"/>
      <c r="BS47" s="694"/>
      <c r="BT47" s="694"/>
      <c r="BU47" s="694"/>
      <c r="BV47" s="694" t="s">
        <v>68</v>
      </c>
      <c r="BW47" s="13"/>
      <c r="BX47" s="13"/>
      <c r="BY47" s="13"/>
      <c r="BZ47" s="13"/>
      <c r="CA47" s="13"/>
      <c r="CB47" s="1220" t="s">
        <v>1427</v>
      </c>
      <c r="CC47" s="38" t="s">
        <v>76</v>
      </c>
      <c r="CD47" s="513"/>
      <c r="CE47" s="513"/>
      <c r="CF47" s="513"/>
      <c r="CG47" s="513"/>
      <c r="CH47" s="513"/>
      <c r="CI47" s="513"/>
      <c r="CJ47" s="513"/>
      <c r="CK47" s="12"/>
    </row>
    <row r="48" spans="2:89" customFormat="1" ht="90" hidden="1" customHeight="1">
      <c r="B48" s="22"/>
      <c r="C48" s="22"/>
      <c r="D48" s="22"/>
      <c r="E48" s="22"/>
      <c r="F48" s="22"/>
      <c r="G48" s="1166"/>
      <c r="H48" s="1166"/>
      <c r="I48" s="448"/>
      <c r="J48" s="16">
        <v>2013</v>
      </c>
      <c r="K48" s="1415"/>
      <c r="L48" s="1415"/>
      <c r="M48" s="18" t="s">
        <v>209</v>
      </c>
      <c r="N48" s="19" t="s">
        <v>210</v>
      </c>
      <c r="O48" s="2" t="s">
        <v>66</v>
      </c>
      <c r="P48" s="3" t="s">
        <v>211</v>
      </c>
      <c r="Q48" s="3"/>
      <c r="R48" s="4">
        <v>1998053.6</v>
      </c>
      <c r="S48" s="6">
        <v>41407</v>
      </c>
      <c r="T48" s="5">
        <v>41407</v>
      </c>
      <c r="U48" s="11">
        <v>41468</v>
      </c>
      <c r="V48" s="13" t="s">
        <v>68</v>
      </c>
      <c r="W48" s="206" t="s">
        <v>212</v>
      </c>
      <c r="X48" s="207" t="s">
        <v>213</v>
      </c>
      <c r="Y48" s="200" t="s">
        <v>68</v>
      </c>
      <c r="Z48" s="368"/>
      <c r="AA48" s="33" t="s">
        <v>68</v>
      </c>
      <c r="AB48" s="1"/>
      <c r="AC48" s="4"/>
      <c r="AD48" s="4"/>
      <c r="AE48" s="32"/>
      <c r="AF48" s="34">
        <v>41390</v>
      </c>
      <c r="AG48" s="112" t="s">
        <v>68</v>
      </c>
      <c r="AH48" s="112" t="s">
        <v>68</v>
      </c>
      <c r="AI48" s="7">
        <v>41404</v>
      </c>
      <c r="AJ48" s="215">
        <v>41404</v>
      </c>
      <c r="AK48" s="33" t="s">
        <v>214</v>
      </c>
      <c r="AL48" s="2" t="s">
        <v>215</v>
      </c>
      <c r="AM48" s="5">
        <v>41407</v>
      </c>
      <c r="AN48" s="2" t="s">
        <v>216</v>
      </c>
      <c r="AO48" s="5">
        <v>41407</v>
      </c>
      <c r="AP48" s="2" t="s">
        <v>217</v>
      </c>
      <c r="AQ48" s="5">
        <v>41453</v>
      </c>
      <c r="AR48" s="279"/>
      <c r="AS48" s="35">
        <v>0</v>
      </c>
      <c r="AT48" s="895">
        <v>1998053.6</v>
      </c>
      <c r="AU48" s="884"/>
      <c r="AV48" s="30">
        <v>41407</v>
      </c>
      <c r="AW48" s="11">
        <v>41474</v>
      </c>
      <c r="AX48" s="223" t="s">
        <v>68</v>
      </c>
      <c r="AY48" s="224" t="s">
        <v>68</v>
      </c>
      <c r="AZ48" s="30">
        <v>41475</v>
      </c>
      <c r="BA48" s="5">
        <v>41407</v>
      </c>
      <c r="BB48" s="5">
        <v>41468</v>
      </c>
      <c r="BC48" s="11">
        <v>41474</v>
      </c>
      <c r="BD48" s="30">
        <v>41475</v>
      </c>
      <c r="BE48" s="309"/>
      <c r="BF48" s="5">
        <v>41407</v>
      </c>
      <c r="BG48" s="5">
        <v>41468</v>
      </c>
      <c r="BH48" s="5">
        <v>41474</v>
      </c>
      <c r="BI48" s="36">
        <v>1998053.6</v>
      </c>
      <c r="BJ48" s="216" t="s">
        <v>74</v>
      </c>
      <c r="BK48" s="1246"/>
      <c r="BL48" s="694" t="s">
        <v>68</v>
      </c>
      <c r="BM48" s="695" t="s">
        <v>68</v>
      </c>
      <c r="BN48" s="695" t="s">
        <v>68</v>
      </c>
      <c r="BO48" s="694"/>
      <c r="BP48" s="694"/>
      <c r="BQ48" s="694"/>
      <c r="BR48" s="694"/>
      <c r="BS48" s="694"/>
      <c r="BT48" s="694"/>
      <c r="BU48" s="694"/>
      <c r="BV48" s="694" t="s">
        <v>68</v>
      </c>
      <c r="BW48" s="13"/>
      <c r="BX48" s="13"/>
      <c r="BY48" s="13"/>
      <c r="BZ48" s="13"/>
      <c r="CA48" s="13"/>
      <c r="CB48" s="1220" t="s">
        <v>1427</v>
      </c>
      <c r="CC48" s="38" t="s">
        <v>76</v>
      </c>
      <c r="CD48" s="513"/>
      <c r="CE48" s="513"/>
      <c r="CF48" s="513"/>
      <c r="CG48" s="513"/>
      <c r="CH48" s="513"/>
      <c r="CI48" s="513"/>
      <c r="CJ48" s="513"/>
      <c r="CK48" s="12"/>
    </row>
    <row r="49" spans="2:89" customFormat="1" ht="90" hidden="1" customHeight="1">
      <c r="B49" s="22"/>
      <c r="C49" s="22"/>
      <c r="D49" s="22"/>
      <c r="E49" s="22"/>
      <c r="F49" s="22"/>
      <c r="G49" s="1166"/>
      <c r="H49" s="1166"/>
      <c r="I49" s="448"/>
      <c r="J49" s="16">
        <v>2013</v>
      </c>
      <c r="K49" s="1415"/>
      <c r="L49" s="1415"/>
      <c r="M49" s="18" t="s">
        <v>166</v>
      </c>
      <c r="N49" s="19" t="s">
        <v>218</v>
      </c>
      <c r="O49" s="2" t="s">
        <v>79</v>
      </c>
      <c r="P49" s="3" t="s">
        <v>219</v>
      </c>
      <c r="Q49" s="3"/>
      <c r="R49" s="4">
        <v>572707.94999999995</v>
      </c>
      <c r="S49" s="6">
        <v>41402</v>
      </c>
      <c r="T49" s="5">
        <v>41404</v>
      </c>
      <c r="U49" s="11">
        <v>41424</v>
      </c>
      <c r="V49" s="62">
        <v>41402</v>
      </c>
      <c r="W49" s="116" t="s">
        <v>199</v>
      </c>
      <c r="X49" s="205" t="s">
        <v>191</v>
      </c>
      <c r="Y49" s="200" t="s">
        <v>68</v>
      </c>
      <c r="Z49" s="368"/>
      <c r="AA49" s="33" t="s">
        <v>220</v>
      </c>
      <c r="AB49" s="5">
        <v>41570</v>
      </c>
      <c r="AC49" s="4">
        <v>572707.94999999995</v>
      </c>
      <c r="AD49" s="4"/>
      <c r="AE49" s="32"/>
      <c r="AF49" s="34" t="s">
        <v>68</v>
      </c>
      <c r="AG49" s="112" t="s">
        <v>68</v>
      </c>
      <c r="AH49" s="112" t="s">
        <v>68</v>
      </c>
      <c r="AI49" s="7" t="s">
        <v>68</v>
      </c>
      <c r="AJ49" s="215" t="s">
        <v>68</v>
      </c>
      <c r="AK49" s="33" t="s">
        <v>186</v>
      </c>
      <c r="AL49" s="1" t="s">
        <v>68</v>
      </c>
      <c r="AM49" s="1" t="s">
        <v>68</v>
      </c>
      <c r="AN49" s="1" t="s">
        <v>221</v>
      </c>
      <c r="AO49" s="5">
        <v>41402</v>
      </c>
      <c r="AP49" s="1" t="s">
        <v>222</v>
      </c>
      <c r="AQ49" s="5">
        <v>41428</v>
      </c>
      <c r="AR49" s="279"/>
      <c r="AS49" s="35">
        <v>0</v>
      </c>
      <c r="AT49" s="895">
        <v>545676.13</v>
      </c>
      <c r="AU49" s="884"/>
      <c r="AV49" s="30">
        <v>41404</v>
      </c>
      <c r="AW49" s="11">
        <v>41424</v>
      </c>
      <c r="AX49" s="223" t="s">
        <v>68</v>
      </c>
      <c r="AY49" s="224" t="s">
        <v>68</v>
      </c>
      <c r="AZ49" s="30">
        <v>41428</v>
      </c>
      <c r="BA49" s="5">
        <v>41404</v>
      </c>
      <c r="BB49" s="5">
        <v>41424</v>
      </c>
      <c r="BC49" s="11">
        <v>41424</v>
      </c>
      <c r="BD49" s="30">
        <v>41428</v>
      </c>
      <c r="BE49" s="309"/>
      <c r="BF49" s="5">
        <v>41404</v>
      </c>
      <c r="BG49" s="5">
        <v>41424</v>
      </c>
      <c r="BH49" s="5">
        <v>41424</v>
      </c>
      <c r="BI49" s="36">
        <v>545676.13</v>
      </c>
      <c r="BJ49" s="62">
        <v>41429</v>
      </c>
      <c r="BK49" s="224"/>
      <c r="BL49" s="694" t="s">
        <v>68</v>
      </c>
      <c r="BM49" s="695" t="s">
        <v>68</v>
      </c>
      <c r="BN49" s="695" t="s">
        <v>68</v>
      </c>
      <c r="BO49" s="694"/>
      <c r="BP49" s="694"/>
      <c r="BQ49" s="694"/>
      <c r="BR49" s="694"/>
      <c r="BS49" s="694"/>
      <c r="BT49" s="694"/>
      <c r="BU49" s="694"/>
      <c r="BV49" s="694" t="s">
        <v>68</v>
      </c>
      <c r="BW49" s="13"/>
      <c r="BX49" s="13"/>
      <c r="BY49" s="13"/>
      <c r="BZ49" s="13"/>
      <c r="CA49" s="13"/>
      <c r="CB49" s="1220" t="s">
        <v>1427</v>
      </c>
      <c r="CC49" s="38" t="s">
        <v>76</v>
      </c>
      <c r="CD49" s="513"/>
      <c r="CE49" s="513"/>
      <c r="CF49" s="513"/>
      <c r="CG49" s="513"/>
      <c r="CH49" s="513"/>
      <c r="CI49" s="513"/>
      <c r="CJ49" s="513"/>
      <c r="CK49" s="12"/>
    </row>
    <row r="50" spans="2:89" customFormat="1" ht="90" hidden="1" customHeight="1">
      <c r="B50" s="22"/>
      <c r="C50" s="22"/>
      <c r="D50" s="22"/>
      <c r="E50" s="22"/>
      <c r="F50" s="22"/>
      <c r="G50" s="1166"/>
      <c r="H50" s="1166"/>
      <c r="I50" s="448"/>
      <c r="J50" s="16">
        <v>2013</v>
      </c>
      <c r="K50" s="1415"/>
      <c r="L50" s="1415"/>
      <c r="M50" s="18" t="s">
        <v>166</v>
      </c>
      <c r="N50" s="19" t="s">
        <v>223</v>
      </c>
      <c r="O50" s="2" t="s">
        <v>66</v>
      </c>
      <c r="P50" s="3" t="s">
        <v>224</v>
      </c>
      <c r="Q50" s="3"/>
      <c r="R50" s="4">
        <v>1398728</v>
      </c>
      <c r="S50" s="6">
        <v>41428</v>
      </c>
      <c r="T50" s="5">
        <v>41436</v>
      </c>
      <c r="U50" s="11">
        <v>41466</v>
      </c>
      <c r="V50" s="13" t="s">
        <v>68</v>
      </c>
      <c r="W50" s="33" t="s">
        <v>225</v>
      </c>
      <c r="X50" s="205" t="s">
        <v>70</v>
      </c>
      <c r="Y50" s="200" t="s">
        <v>68</v>
      </c>
      <c r="Z50" s="368"/>
      <c r="AA50" s="33" t="s">
        <v>226</v>
      </c>
      <c r="AB50" s="5">
        <v>41348</v>
      </c>
      <c r="AC50" s="4" t="s">
        <v>68</v>
      </c>
      <c r="AD50" s="4"/>
      <c r="AE50" s="32"/>
      <c r="AF50" s="34">
        <v>41390</v>
      </c>
      <c r="AG50" s="112" t="s">
        <v>68</v>
      </c>
      <c r="AH50" s="112" t="s">
        <v>68</v>
      </c>
      <c r="AI50" s="7">
        <v>41404</v>
      </c>
      <c r="AJ50" s="215">
        <v>41404</v>
      </c>
      <c r="AK50" s="33" t="s">
        <v>214</v>
      </c>
      <c r="AL50" s="2" t="s">
        <v>227</v>
      </c>
      <c r="AM50" s="5">
        <v>41428</v>
      </c>
      <c r="AN50" s="2" t="s">
        <v>228</v>
      </c>
      <c r="AO50" s="5">
        <v>41428</v>
      </c>
      <c r="AP50" s="2" t="s">
        <v>83</v>
      </c>
      <c r="AQ50" s="1" t="s">
        <v>68</v>
      </c>
      <c r="AR50" s="279"/>
      <c r="AS50" s="35">
        <v>0</v>
      </c>
      <c r="AT50" s="895">
        <v>1337359.6000000001</v>
      </c>
      <c r="AU50" s="884"/>
      <c r="AV50" s="30">
        <v>41473</v>
      </c>
      <c r="AW50" s="11">
        <v>41442</v>
      </c>
      <c r="AX50" s="223" t="s">
        <v>68</v>
      </c>
      <c r="AY50" s="224" t="s">
        <v>68</v>
      </c>
      <c r="AZ50" s="30">
        <v>41461</v>
      </c>
      <c r="BA50" s="5">
        <v>41442</v>
      </c>
      <c r="BB50" s="5">
        <v>41460</v>
      </c>
      <c r="BC50" s="11">
        <v>41460</v>
      </c>
      <c r="BD50" s="30">
        <v>41461</v>
      </c>
      <c r="BE50" s="309"/>
      <c r="BF50" s="5">
        <v>41442</v>
      </c>
      <c r="BG50" s="5">
        <v>41460</v>
      </c>
      <c r="BH50" s="5">
        <v>41460</v>
      </c>
      <c r="BI50" s="36">
        <v>1337359.6000000001</v>
      </c>
      <c r="BJ50" s="62">
        <v>41463</v>
      </c>
      <c r="BK50" s="224"/>
      <c r="BL50" s="694" t="s">
        <v>68</v>
      </c>
      <c r="BM50" s="695" t="s">
        <v>68</v>
      </c>
      <c r="BN50" s="695" t="s">
        <v>68</v>
      </c>
      <c r="BO50" s="694"/>
      <c r="BP50" s="694"/>
      <c r="BQ50" s="694"/>
      <c r="BR50" s="694"/>
      <c r="BS50" s="694"/>
      <c r="BT50" s="694"/>
      <c r="BU50" s="694"/>
      <c r="BV50" s="694" t="s">
        <v>68</v>
      </c>
      <c r="BW50" s="13"/>
      <c r="BX50" s="13"/>
      <c r="BY50" s="13"/>
      <c r="BZ50" s="13"/>
      <c r="CA50" s="13"/>
      <c r="CB50" s="1220" t="s">
        <v>1427</v>
      </c>
      <c r="CC50" s="38" t="s">
        <v>76</v>
      </c>
      <c r="CD50" s="513"/>
      <c r="CE50" s="513"/>
      <c r="CF50" s="513"/>
      <c r="CG50" s="513"/>
      <c r="CH50" s="513"/>
      <c r="CI50" s="513"/>
      <c r="CJ50" s="513"/>
      <c r="CK50" s="12"/>
    </row>
    <row r="51" spans="2:89" customFormat="1" ht="90" hidden="1" customHeight="1">
      <c r="B51" s="22"/>
      <c r="C51" s="22"/>
      <c r="D51" s="22"/>
      <c r="E51" s="22"/>
      <c r="F51" s="22"/>
      <c r="G51" s="1166"/>
      <c r="H51" s="1166"/>
      <c r="I51" s="448"/>
      <c r="J51" s="16">
        <v>2013</v>
      </c>
      <c r="K51" s="1415"/>
      <c r="L51" s="1415"/>
      <c r="M51" s="18" t="s">
        <v>166</v>
      </c>
      <c r="N51" s="19" t="s">
        <v>229</v>
      </c>
      <c r="O51" s="2" t="s">
        <v>79</v>
      </c>
      <c r="P51" s="3" t="s">
        <v>230</v>
      </c>
      <c r="Q51" s="3"/>
      <c r="R51" s="4">
        <v>97904</v>
      </c>
      <c r="S51" s="6">
        <v>41404</v>
      </c>
      <c r="T51" s="5">
        <v>41407</v>
      </c>
      <c r="U51" s="11">
        <v>41412</v>
      </c>
      <c r="V51" s="62">
        <v>41404</v>
      </c>
      <c r="W51" s="116" t="s">
        <v>69</v>
      </c>
      <c r="X51" s="205" t="s">
        <v>70</v>
      </c>
      <c r="Y51" s="200" t="s">
        <v>68</v>
      </c>
      <c r="Z51" s="368"/>
      <c r="AA51" s="33" t="s">
        <v>231</v>
      </c>
      <c r="AB51" s="5">
        <v>41445</v>
      </c>
      <c r="AC51" s="4">
        <v>396797.76</v>
      </c>
      <c r="AD51" s="4"/>
      <c r="AE51" s="32"/>
      <c r="AF51" s="34" t="s">
        <v>68</v>
      </c>
      <c r="AG51" s="112" t="s">
        <v>68</v>
      </c>
      <c r="AH51" s="112" t="s">
        <v>68</v>
      </c>
      <c r="AI51" s="7" t="s">
        <v>68</v>
      </c>
      <c r="AJ51" s="215" t="s">
        <v>68</v>
      </c>
      <c r="AK51" s="33" t="s">
        <v>232</v>
      </c>
      <c r="AL51" s="1" t="s">
        <v>68</v>
      </c>
      <c r="AM51" s="1"/>
      <c r="AN51" s="219"/>
      <c r="AO51" s="1"/>
      <c r="AP51" s="1">
        <v>1643265</v>
      </c>
      <c r="AQ51" s="5">
        <v>41413</v>
      </c>
      <c r="AR51" s="279"/>
      <c r="AS51" s="35">
        <v>0</v>
      </c>
      <c r="AT51" s="895">
        <v>97904</v>
      </c>
      <c r="AU51" s="884"/>
      <c r="AV51" s="30">
        <v>41407</v>
      </c>
      <c r="AW51" s="11">
        <v>41412</v>
      </c>
      <c r="AX51" s="223" t="s">
        <v>68</v>
      </c>
      <c r="AY51" s="224" t="s">
        <v>68</v>
      </c>
      <c r="AZ51" s="30">
        <v>41414</v>
      </c>
      <c r="BA51" s="5">
        <v>41407</v>
      </c>
      <c r="BB51" s="5">
        <v>41412</v>
      </c>
      <c r="BC51" s="11">
        <v>41412</v>
      </c>
      <c r="BD51" s="30">
        <v>41414</v>
      </c>
      <c r="BE51" s="309"/>
      <c r="BF51" s="5">
        <v>41407</v>
      </c>
      <c r="BG51" s="5">
        <v>41412</v>
      </c>
      <c r="BH51" s="5">
        <v>41412</v>
      </c>
      <c r="BI51" s="36">
        <v>97904</v>
      </c>
      <c r="BJ51" s="62">
        <v>41415</v>
      </c>
      <c r="BK51" s="224"/>
      <c r="BL51" s="694" t="s">
        <v>68</v>
      </c>
      <c r="BM51" s="695" t="s">
        <v>68</v>
      </c>
      <c r="BN51" s="695" t="s">
        <v>68</v>
      </c>
      <c r="BO51" s="694"/>
      <c r="BP51" s="694"/>
      <c r="BQ51" s="694"/>
      <c r="BR51" s="694"/>
      <c r="BS51" s="694"/>
      <c r="BT51" s="694"/>
      <c r="BU51" s="694"/>
      <c r="BV51" s="694" t="s">
        <v>68</v>
      </c>
      <c r="BW51" s="13"/>
      <c r="BX51" s="13"/>
      <c r="BY51" s="13"/>
      <c r="BZ51" s="13"/>
      <c r="CA51" s="13"/>
      <c r="CB51" s="1220" t="s">
        <v>1427</v>
      </c>
      <c r="CC51" s="38" t="s">
        <v>76</v>
      </c>
      <c r="CD51" s="513"/>
      <c r="CE51" s="513"/>
      <c r="CF51" s="513"/>
      <c r="CG51" s="513"/>
      <c r="CH51" s="513"/>
      <c r="CI51" s="513"/>
      <c r="CJ51" s="513"/>
      <c r="CK51" s="12"/>
    </row>
    <row r="52" spans="2:89" customFormat="1" ht="90" hidden="1" customHeight="1">
      <c r="B52" s="22"/>
      <c r="C52" s="22"/>
      <c r="D52" s="22"/>
      <c r="E52" s="22"/>
      <c r="F52" s="22"/>
      <c r="G52" s="1166"/>
      <c r="H52" s="1166"/>
      <c r="I52" s="448"/>
      <c r="J52" s="16">
        <v>2013</v>
      </c>
      <c r="K52" s="1415"/>
      <c r="L52" s="1415"/>
      <c r="M52" s="18" t="s">
        <v>166</v>
      </c>
      <c r="N52" s="19" t="s">
        <v>233</v>
      </c>
      <c r="O52" s="2" t="s">
        <v>79</v>
      </c>
      <c r="P52" s="3" t="s">
        <v>234</v>
      </c>
      <c r="Q52" s="3"/>
      <c r="R52" s="4">
        <v>427449.56</v>
      </c>
      <c r="S52" s="6">
        <v>41435</v>
      </c>
      <c r="T52" s="5">
        <v>41435</v>
      </c>
      <c r="U52" s="11">
        <v>41453</v>
      </c>
      <c r="V52" s="62">
        <v>41428</v>
      </c>
      <c r="W52" s="116" t="s">
        <v>212</v>
      </c>
      <c r="X52" s="205" t="s">
        <v>213</v>
      </c>
      <c r="Y52" s="200" t="s">
        <v>68</v>
      </c>
      <c r="Z52" s="368"/>
      <c r="AA52" s="33" t="s">
        <v>235</v>
      </c>
      <c r="AB52" s="5">
        <v>41577</v>
      </c>
      <c r="AC52" s="4">
        <v>427449.56</v>
      </c>
      <c r="AD52" s="4"/>
      <c r="AE52" s="32"/>
      <c r="AF52" s="34" t="s">
        <v>68</v>
      </c>
      <c r="AG52" s="112" t="s">
        <v>68</v>
      </c>
      <c r="AH52" s="112" t="s">
        <v>68</v>
      </c>
      <c r="AI52" s="7" t="s">
        <v>68</v>
      </c>
      <c r="AJ52" s="215" t="s">
        <v>68</v>
      </c>
      <c r="AK52" s="33" t="s">
        <v>214</v>
      </c>
      <c r="AL52" s="2" t="s">
        <v>68</v>
      </c>
      <c r="AM52" s="5" t="s">
        <v>68</v>
      </c>
      <c r="AN52" s="2" t="s">
        <v>236</v>
      </c>
      <c r="AO52" s="5">
        <v>41435</v>
      </c>
      <c r="AP52" s="2" t="s">
        <v>83</v>
      </c>
      <c r="AQ52" s="5" t="s">
        <v>68</v>
      </c>
      <c r="AR52" s="279"/>
      <c r="AS52" s="35">
        <v>0</v>
      </c>
      <c r="AT52" s="895">
        <v>427449.56</v>
      </c>
      <c r="AU52" s="884"/>
      <c r="AV52" s="30">
        <v>41435</v>
      </c>
      <c r="AW52" s="11">
        <v>41446</v>
      </c>
      <c r="AX52" s="223" t="s">
        <v>68</v>
      </c>
      <c r="AY52" s="224" t="s">
        <v>68</v>
      </c>
      <c r="AZ52" s="30">
        <v>41475</v>
      </c>
      <c r="BA52" s="5">
        <v>41435</v>
      </c>
      <c r="BB52" s="5">
        <v>41453</v>
      </c>
      <c r="BC52" s="11">
        <v>41446</v>
      </c>
      <c r="BD52" s="30">
        <v>41475</v>
      </c>
      <c r="BE52" s="309"/>
      <c r="BF52" s="5">
        <v>41435</v>
      </c>
      <c r="BG52" s="5">
        <v>41453</v>
      </c>
      <c r="BH52" s="5">
        <v>41446</v>
      </c>
      <c r="BI52" s="36">
        <v>427449.56</v>
      </c>
      <c r="BJ52" s="62">
        <v>41475</v>
      </c>
      <c r="BK52" s="224"/>
      <c r="BL52" s="694" t="s">
        <v>68</v>
      </c>
      <c r="BM52" s="695" t="s">
        <v>68</v>
      </c>
      <c r="BN52" s="695" t="s">
        <v>68</v>
      </c>
      <c r="BO52" s="694"/>
      <c r="BP52" s="694"/>
      <c r="BQ52" s="694"/>
      <c r="BR52" s="694"/>
      <c r="BS52" s="694"/>
      <c r="BT52" s="694"/>
      <c r="BU52" s="694"/>
      <c r="BV52" s="694" t="s">
        <v>68</v>
      </c>
      <c r="BW52" s="13"/>
      <c r="BX52" s="13"/>
      <c r="BY52" s="13"/>
      <c r="BZ52" s="13"/>
      <c r="CA52" s="13"/>
      <c r="CB52" s="1220" t="s">
        <v>1427</v>
      </c>
      <c r="CC52" s="38" t="s">
        <v>76</v>
      </c>
      <c r="CD52" s="513"/>
      <c r="CE52" s="513"/>
      <c r="CF52" s="513"/>
      <c r="CG52" s="513"/>
      <c r="CH52" s="513"/>
      <c r="CI52" s="513"/>
      <c r="CJ52" s="513"/>
      <c r="CK52" s="12"/>
    </row>
    <row r="53" spans="2:89" customFormat="1" ht="90" hidden="1" customHeight="1">
      <c r="B53" s="22"/>
      <c r="C53" s="22"/>
      <c r="D53" s="22"/>
      <c r="E53" s="22"/>
      <c r="F53" s="22"/>
      <c r="G53" s="1166"/>
      <c r="H53" s="1166"/>
      <c r="I53" s="448"/>
      <c r="J53" s="16">
        <v>2013</v>
      </c>
      <c r="K53" s="1415"/>
      <c r="L53" s="1415"/>
      <c r="M53" s="18" t="s">
        <v>166</v>
      </c>
      <c r="N53" s="19" t="s">
        <v>237</v>
      </c>
      <c r="O53" s="2" t="s">
        <v>79</v>
      </c>
      <c r="P53" s="3" t="s">
        <v>238</v>
      </c>
      <c r="Q53" s="3"/>
      <c r="R53" s="4">
        <v>418619.7</v>
      </c>
      <c r="S53" s="6">
        <v>41516</v>
      </c>
      <c r="T53" s="5">
        <v>41519</v>
      </c>
      <c r="U53" s="11">
        <v>41530</v>
      </c>
      <c r="V53" s="62">
        <v>41516</v>
      </c>
      <c r="W53" s="116" t="s">
        <v>185</v>
      </c>
      <c r="X53" s="205" t="s">
        <v>130</v>
      </c>
      <c r="Y53" s="200" t="s">
        <v>68</v>
      </c>
      <c r="Z53" s="368"/>
      <c r="AA53" s="33" t="s">
        <v>239</v>
      </c>
      <c r="AB53" s="5">
        <v>41568</v>
      </c>
      <c r="AC53" s="4">
        <v>418619.7</v>
      </c>
      <c r="AD53" s="4"/>
      <c r="AE53" s="32"/>
      <c r="AF53" s="34" t="s">
        <v>68</v>
      </c>
      <c r="AG53" s="112" t="s">
        <v>68</v>
      </c>
      <c r="AH53" s="112" t="s">
        <v>68</v>
      </c>
      <c r="AI53" s="7" t="s">
        <v>68</v>
      </c>
      <c r="AJ53" s="215" t="s">
        <v>68</v>
      </c>
      <c r="AK53" s="33" t="s">
        <v>186</v>
      </c>
      <c r="AL53" s="1" t="s">
        <v>68</v>
      </c>
      <c r="AM53" s="1"/>
      <c r="AN53" s="1" t="s">
        <v>240</v>
      </c>
      <c r="AO53" s="5">
        <v>41516</v>
      </c>
      <c r="AP53" s="1" t="s">
        <v>83</v>
      </c>
      <c r="AQ53" s="1" t="s">
        <v>68</v>
      </c>
      <c r="AR53" s="279"/>
      <c r="AS53" s="35">
        <v>0</v>
      </c>
      <c r="AT53" s="895">
        <v>415204.98</v>
      </c>
      <c r="AU53" s="884"/>
      <c r="AV53" s="30">
        <v>41520</v>
      </c>
      <c r="AW53" s="11">
        <v>41529</v>
      </c>
      <c r="AX53" s="223" t="s">
        <v>68</v>
      </c>
      <c r="AY53" s="224" t="s">
        <v>68</v>
      </c>
      <c r="AZ53" s="30">
        <v>41542</v>
      </c>
      <c r="BA53" s="5">
        <v>41519</v>
      </c>
      <c r="BB53" s="5">
        <v>41542</v>
      </c>
      <c r="BC53" s="11">
        <v>41542</v>
      </c>
      <c r="BD53" s="30">
        <v>41542</v>
      </c>
      <c r="BE53" s="309"/>
      <c r="BF53" s="5">
        <v>41519</v>
      </c>
      <c r="BG53" s="5">
        <v>41542</v>
      </c>
      <c r="BH53" s="5">
        <v>41542</v>
      </c>
      <c r="BI53" s="36">
        <v>415204.98</v>
      </c>
      <c r="BJ53" s="62">
        <v>41543</v>
      </c>
      <c r="BK53" s="224"/>
      <c r="BL53" s="694" t="s">
        <v>68</v>
      </c>
      <c r="BM53" s="695" t="s">
        <v>68</v>
      </c>
      <c r="BN53" s="695" t="s">
        <v>68</v>
      </c>
      <c r="BO53" s="694"/>
      <c r="BP53" s="694"/>
      <c r="BQ53" s="694"/>
      <c r="BR53" s="694"/>
      <c r="BS53" s="694"/>
      <c r="BT53" s="694"/>
      <c r="BU53" s="694"/>
      <c r="BV53" s="694" t="s">
        <v>68</v>
      </c>
      <c r="BW53" s="13"/>
      <c r="BX53" s="13"/>
      <c r="BY53" s="13"/>
      <c r="BZ53" s="13"/>
      <c r="CA53" s="13"/>
      <c r="CB53" s="1220" t="s">
        <v>1427</v>
      </c>
      <c r="CC53" s="38" t="s">
        <v>76</v>
      </c>
      <c r="CD53" s="513"/>
      <c r="CE53" s="513"/>
      <c r="CF53" s="513"/>
      <c r="CG53" s="513"/>
      <c r="CH53" s="513"/>
      <c r="CI53" s="513"/>
      <c r="CJ53" s="513"/>
      <c r="CK53" s="12"/>
    </row>
    <row r="54" spans="2:89" customFormat="1" ht="90" hidden="1" customHeight="1">
      <c r="B54" s="22"/>
      <c r="C54" s="22"/>
      <c r="D54" s="22"/>
      <c r="E54" s="22"/>
      <c r="F54" s="22"/>
      <c r="G54" s="1166"/>
      <c r="H54" s="1166"/>
      <c r="I54" s="448"/>
      <c r="J54" s="16">
        <v>2013</v>
      </c>
      <c r="K54" s="1415"/>
      <c r="L54" s="1415"/>
      <c r="M54" s="18" t="s">
        <v>166</v>
      </c>
      <c r="N54" s="19" t="s">
        <v>241</v>
      </c>
      <c r="O54" s="2" t="s">
        <v>4032</v>
      </c>
      <c r="P54" s="3" t="s">
        <v>242</v>
      </c>
      <c r="Q54" s="3"/>
      <c r="R54" s="4">
        <v>100000</v>
      </c>
      <c r="S54" s="6">
        <v>41465</v>
      </c>
      <c r="T54" s="5">
        <v>41465</v>
      </c>
      <c r="U54" s="11">
        <v>41479</v>
      </c>
      <c r="V54" s="13" t="s">
        <v>68</v>
      </c>
      <c r="W54" s="19" t="s">
        <v>68</v>
      </c>
      <c r="X54" s="17"/>
      <c r="Y54" s="200" t="s">
        <v>68</v>
      </c>
      <c r="Z54" s="368"/>
      <c r="AA54" s="33" t="s">
        <v>179</v>
      </c>
      <c r="AB54" s="5">
        <v>41492</v>
      </c>
      <c r="AC54" s="4">
        <v>100000</v>
      </c>
      <c r="AD54" s="4"/>
      <c r="AE54" s="32"/>
      <c r="AF54" s="34" t="s">
        <v>68</v>
      </c>
      <c r="AG54" s="112" t="s">
        <v>68</v>
      </c>
      <c r="AH54" s="112" t="s">
        <v>68</v>
      </c>
      <c r="AI54" s="7" t="s">
        <v>68</v>
      </c>
      <c r="AJ54" s="215" t="s">
        <v>68</v>
      </c>
      <c r="AK54" s="33" t="s">
        <v>68</v>
      </c>
      <c r="AL54" s="1" t="s">
        <v>68</v>
      </c>
      <c r="AM54" s="1"/>
      <c r="AN54" s="1" t="s">
        <v>68</v>
      </c>
      <c r="AO54" s="1"/>
      <c r="AP54" s="1" t="s">
        <v>68</v>
      </c>
      <c r="AQ54" s="1"/>
      <c r="AR54" s="279"/>
      <c r="AS54" s="220">
        <v>0</v>
      </c>
      <c r="AT54" s="894">
        <f t="shared" ref="AT54:AT59" si="1">BI54</f>
        <v>0</v>
      </c>
      <c r="AU54" s="883"/>
      <c r="AV54" s="19"/>
      <c r="AW54" s="17"/>
      <c r="AX54" s="223" t="s">
        <v>68</v>
      </c>
      <c r="AY54" s="73"/>
      <c r="AZ54" s="19"/>
      <c r="BA54" s="1"/>
      <c r="BB54" s="1"/>
      <c r="BC54" s="17"/>
      <c r="BD54" s="19"/>
      <c r="BE54" s="12"/>
      <c r="BF54" s="1"/>
      <c r="BG54" s="1"/>
      <c r="BH54" s="1"/>
      <c r="BI54" s="36">
        <v>0</v>
      </c>
      <c r="BJ54" s="13"/>
      <c r="BK54" s="352"/>
      <c r="BL54" s="694" t="s">
        <v>68</v>
      </c>
      <c r="BM54" s="695" t="s">
        <v>68</v>
      </c>
      <c r="BN54" s="695" t="s">
        <v>68</v>
      </c>
      <c r="BO54" s="694"/>
      <c r="BP54" s="694"/>
      <c r="BQ54" s="694"/>
      <c r="BR54" s="694"/>
      <c r="BS54" s="694"/>
      <c r="BT54" s="694"/>
      <c r="BU54" s="694"/>
      <c r="BV54" s="694" t="s">
        <v>68</v>
      </c>
      <c r="BW54" s="13"/>
      <c r="BX54" s="13"/>
      <c r="BY54" s="13"/>
      <c r="BZ54" s="13"/>
      <c r="CA54" s="13"/>
      <c r="CB54" s="1220" t="s">
        <v>1427</v>
      </c>
      <c r="CC54" s="38" t="s">
        <v>76</v>
      </c>
      <c r="CD54" s="513"/>
      <c r="CE54" s="513"/>
      <c r="CF54" s="513"/>
      <c r="CG54" s="513"/>
      <c r="CH54" s="513"/>
      <c r="CI54" s="513"/>
      <c r="CJ54" s="513"/>
      <c r="CK54" s="12"/>
    </row>
    <row r="55" spans="2:89" customFormat="1" ht="90" hidden="1" customHeight="1">
      <c r="B55" s="22"/>
      <c r="C55" s="22"/>
      <c r="D55" s="22"/>
      <c r="E55" s="22"/>
      <c r="F55" s="22"/>
      <c r="G55" s="1166"/>
      <c r="H55" s="1166"/>
      <c r="I55" s="448"/>
      <c r="J55" s="16">
        <v>2013</v>
      </c>
      <c r="K55" s="1415"/>
      <c r="L55" s="1415"/>
      <c r="M55" s="18" t="s">
        <v>163</v>
      </c>
      <c r="N55" s="19" t="s">
        <v>243</v>
      </c>
      <c r="O55" s="2" t="s">
        <v>4032</v>
      </c>
      <c r="P55" s="3" t="s">
        <v>244</v>
      </c>
      <c r="Q55" s="3"/>
      <c r="R55" s="4">
        <v>280952</v>
      </c>
      <c r="S55" s="6">
        <v>41617</v>
      </c>
      <c r="T55" s="5">
        <v>41612</v>
      </c>
      <c r="U55" s="11">
        <v>41635</v>
      </c>
      <c r="V55" s="13" t="s">
        <v>68</v>
      </c>
      <c r="W55" s="19" t="s">
        <v>68</v>
      </c>
      <c r="X55" s="17"/>
      <c r="Y55" s="62">
        <v>41414</v>
      </c>
      <c r="Z55" s="105"/>
      <c r="AA55" s="33" t="s">
        <v>68</v>
      </c>
      <c r="AB55" s="5">
        <v>41325</v>
      </c>
      <c r="AC55" s="4">
        <v>280952</v>
      </c>
      <c r="AD55" s="4" t="s">
        <v>68</v>
      </c>
      <c r="AE55" s="32"/>
      <c r="AF55" s="34" t="s">
        <v>68</v>
      </c>
      <c r="AG55" s="112" t="s">
        <v>68</v>
      </c>
      <c r="AH55" s="112" t="s">
        <v>68</v>
      </c>
      <c r="AI55" s="7" t="s">
        <v>68</v>
      </c>
      <c r="AJ55" s="215" t="s">
        <v>68</v>
      </c>
      <c r="AK55" s="33" t="s">
        <v>68</v>
      </c>
      <c r="AL55" s="1" t="s">
        <v>68</v>
      </c>
      <c r="AM55" s="1"/>
      <c r="AN55" s="1" t="s">
        <v>68</v>
      </c>
      <c r="AO55" s="1"/>
      <c r="AP55" s="1" t="s">
        <v>68</v>
      </c>
      <c r="AQ55" s="1"/>
      <c r="AR55" s="279"/>
      <c r="AS55" s="220">
        <v>0</v>
      </c>
      <c r="AT55" s="895">
        <f t="shared" si="1"/>
        <v>280952</v>
      </c>
      <c r="AU55" s="883"/>
      <c r="AV55" s="30">
        <v>41612</v>
      </c>
      <c r="AW55" s="11">
        <v>41621</v>
      </c>
      <c r="AX55" s="30"/>
      <c r="AY55" s="52"/>
      <c r="AZ55" s="19"/>
      <c r="BA55" s="1"/>
      <c r="BB55" s="1"/>
      <c r="BC55" s="17"/>
      <c r="BD55" s="30">
        <v>41638</v>
      </c>
      <c r="BE55" s="309"/>
      <c r="BF55" s="5">
        <v>41616</v>
      </c>
      <c r="BG55" s="5">
        <v>41638</v>
      </c>
      <c r="BH55" s="5">
        <v>41638</v>
      </c>
      <c r="BI55" s="36">
        <v>280952</v>
      </c>
      <c r="BJ55" s="13"/>
      <c r="BK55" s="352"/>
      <c r="BL55" s="694" t="s">
        <v>68</v>
      </c>
      <c r="BM55" s="695" t="s">
        <v>68</v>
      </c>
      <c r="BN55" s="695" t="s">
        <v>68</v>
      </c>
      <c r="BO55" s="694"/>
      <c r="BP55" s="694"/>
      <c r="BQ55" s="694"/>
      <c r="BR55" s="694"/>
      <c r="BS55" s="694"/>
      <c r="BT55" s="694"/>
      <c r="BU55" s="694"/>
      <c r="BV55" s="694" t="s">
        <v>68</v>
      </c>
      <c r="BW55" s="13"/>
      <c r="BX55" s="13"/>
      <c r="BY55" s="13"/>
      <c r="BZ55" s="13"/>
      <c r="CA55" s="13"/>
      <c r="CB55" s="1220" t="s">
        <v>1427</v>
      </c>
      <c r="CC55" s="38" t="s">
        <v>76</v>
      </c>
      <c r="CD55" s="513"/>
      <c r="CE55" s="513"/>
      <c r="CF55" s="513"/>
      <c r="CG55" s="513"/>
      <c r="CH55" s="513"/>
      <c r="CI55" s="513"/>
      <c r="CJ55" s="513"/>
      <c r="CK55" s="12"/>
    </row>
    <row r="56" spans="2:89" customFormat="1" ht="90" hidden="1" customHeight="1">
      <c r="B56" s="22"/>
      <c r="C56" s="22"/>
      <c r="D56" s="22"/>
      <c r="E56" s="22"/>
      <c r="F56" s="22"/>
      <c r="G56" s="1166"/>
      <c r="H56" s="1166"/>
      <c r="I56" s="448"/>
      <c r="J56" s="16">
        <v>2013</v>
      </c>
      <c r="K56" s="1415"/>
      <c r="L56" s="1415"/>
      <c r="M56" s="18" t="s">
        <v>163</v>
      </c>
      <c r="N56" s="19" t="s">
        <v>245</v>
      </c>
      <c r="O56" s="2" t="s">
        <v>4032</v>
      </c>
      <c r="P56" s="3" t="s">
        <v>246</v>
      </c>
      <c r="Q56" s="3"/>
      <c r="R56" s="4">
        <v>670884</v>
      </c>
      <c r="S56" s="6">
        <v>41617</v>
      </c>
      <c r="T56" s="5">
        <v>41612</v>
      </c>
      <c r="U56" s="11">
        <v>41638</v>
      </c>
      <c r="V56" s="13" t="s">
        <v>68</v>
      </c>
      <c r="W56" s="19" t="s">
        <v>68</v>
      </c>
      <c r="X56" s="17"/>
      <c r="Y56" s="62">
        <v>41414</v>
      </c>
      <c r="Z56" s="105"/>
      <c r="AA56" s="33" t="s">
        <v>68</v>
      </c>
      <c r="AB56" s="5">
        <v>41325</v>
      </c>
      <c r="AC56" s="4">
        <v>670883</v>
      </c>
      <c r="AD56" s="4" t="s">
        <v>68</v>
      </c>
      <c r="AE56" s="32"/>
      <c r="AF56" s="34" t="s">
        <v>68</v>
      </c>
      <c r="AG56" s="112" t="s">
        <v>68</v>
      </c>
      <c r="AH56" s="112" t="s">
        <v>68</v>
      </c>
      <c r="AI56" s="7" t="s">
        <v>68</v>
      </c>
      <c r="AJ56" s="215" t="s">
        <v>68</v>
      </c>
      <c r="AK56" s="33" t="s">
        <v>68</v>
      </c>
      <c r="AL56" s="1" t="s">
        <v>68</v>
      </c>
      <c r="AM56" s="1"/>
      <c r="AN56" s="1" t="s">
        <v>68</v>
      </c>
      <c r="AO56" s="1"/>
      <c r="AP56" s="1" t="s">
        <v>68</v>
      </c>
      <c r="AQ56" s="1"/>
      <c r="AR56" s="279"/>
      <c r="AS56" s="220">
        <v>0</v>
      </c>
      <c r="AT56" s="894">
        <f t="shared" si="1"/>
        <v>670884</v>
      </c>
      <c r="AU56" s="883"/>
      <c r="AV56" s="30">
        <v>41606</v>
      </c>
      <c r="AW56" s="11">
        <v>41632</v>
      </c>
      <c r="AX56" s="30"/>
      <c r="AY56" s="52"/>
      <c r="AZ56" s="19"/>
      <c r="BA56" s="1"/>
      <c r="BB56" s="1"/>
      <c r="BC56" s="17"/>
      <c r="BD56" s="30">
        <v>41638</v>
      </c>
      <c r="BE56" s="309"/>
      <c r="BF56" s="5">
        <v>41616</v>
      </c>
      <c r="BG56" s="5">
        <v>41638</v>
      </c>
      <c r="BH56" s="5">
        <v>41638</v>
      </c>
      <c r="BI56" s="36">
        <v>670884</v>
      </c>
      <c r="BJ56" s="13"/>
      <c r="BK56" s="352"/>
      <c r="BL56" s="694" t="s">
        <v>68</v>
      </c>
      <c r="BM56" s="695" t="s">
        <v>68</v>
      </c>
      <c r="BN56" s="695" t="s">
        <v>68</v>
      </c>
      <c r="BO56" s="694"/>
      <c r="BP56" s="694"/>
      <c r="BQ56" s="694"/>
      <c r="BR56" s="694"/>
      <c r="BS56" s="694"/>
      <c r="BT56" s="694"/>
      <c r="BU56" s="694"/>
      <c r="BV56" s="694" t="s">
        <v>68</v>
      </c>
      <c r="BW56" s="13"/>
      <c r="BX56" s="13"/>
      <c r="BY56" s="13"/>
      <c r="BZ56" s="13"/>
      <c r="CA56" s="13"/>
      <c r="CB56" s="1220" t="s">
        <v>1427</v>
      </c>
      <c r="CC56" s="38" t="s">
        <v>76</v>
      </c>
      <c r="CD56" s="513"/>
      <c r="CE56" s="513"/>
      <c r="CF56" s="513"/>
      <c r="CG56" s="513"/>
      <c r="CH56" s="513"/>
      <c r="CI56" s="513"/>
      <c r="CJ56" s="513"/>
      <c r="CK56" s="12"/>
    </row>
    <row r="57" spans="2:89" customFormat="1" ht="90" hidden="1" customHeight="1">
      <c r="B57" s="22"/>
      <c r="C57" s="22"/>
      <c r="D57" s="22"/>
      <c r="E57" s="22"/>
      <c r="F57" s="22"/>
      <c r="G57" s="1166"/>
      <c r="H57" s="1166"/>
      <c r="I57" s="448"/>
      <c r="J57" s="16">
        <v>2013</v>
      </c>
      <c r="K57" s="1415"/>
      <c r="L57" s="1415"/>
      <c r="M57" s="18" t="s">
        <v>247</v>
      </c>
      <c r="N57" s="19" t="s">
        <v>248</v>
      </c>
      <c r="O57" s="2" t="s">
        <v>79</v>
      </c>
      <c r="P57" s="3" t="s">
        <v>249</v>
      </c>
      <c r="Q57" s="3"/>
      <c r="R57" s="4">
        <v>667000</v>
      </c>
      <c r="S57" s="6">
        <v>41516</v>
      </c>
      <c r="T57" s="5">
        <v>41638</v>
      </c>
      <c r="U57" s="11">
        <v>41691</v>
      </c>
      <c r="V57" s="197" t="s">
        <v>74</v>
      </c>
      <c r="W57" s="33" t="s">
        <v>106</v>
      </c>
      <c r="X57" s="17"/>
      <c r="Y57" s="200" t="s">
        <v>68</v>
      </c>
      <c r="Z57" s="368"/>
      <c r="AA57" s="33"/>
      <c r="AB57" s="5"/>
      <c r="AC57" s="4"/>
      <c r="AD57" s="4"/>
      <c r="AE57" s="32"/>
      <c r="AF57" s="34" t="s">
        <v>68</v>
      </c>
      <c r="AG57" s="112" t="s">
        <v>68</v>
      </c>
      <c r="AH57" s="112" t="s">
        <v>68</v>
      </c>
      <c r="AI57" s="7" t="s">
        <v>68</v>
      </c>
      <c r="AJ57" s="215" t="s">
        <v>68</v>
      </c>
      <c r="AK57" s="33"/>
      <c r="AL57" s="1"/>
      <c r="AM57" s="1"/>
      <c r="AN57" s="1"/>
      <c r="AO57" s="1"/>
      <c r="AP57" s="1"/>
      <c r="AQ57" s="1"/>
      <c r="AR57" s="279"/>
      <c r="AS57" s="220">
        <v>0</v>
      </c>
      <c r="AT57" s="894">
        <f t="shared" si="1"/>
        <v>0</v>
      </c>
      <c r="AU57" s="883"/>
      <c r="AV57" s="30"/>
      <c r="AW57" s="11"/>
      <c r="AX57" s="223" t="s">
        <v>68</v>
      </c>
      <c r="AY57" s="224" t="s">
        <v>68</v>
      </c>
      <c r="AZ57" s="19"/>
      <c r="BA57" s="1"/>
      <c r="BB57" s="1"/>
      <c r="BC57" s="17"/>
      <c r="BD57" s="30"/>
      <c r="BE57" s="309"/>
      <c r="BF57" s="5"/>
      <c r="BG57" s="5"/>
      <c r="BH57" s="5"/>
      <c r="BI57" s="36"/>
      <c r="BJ57" s="13"/>
      <c r="BK57" s="352"/>
      <c r="BL57" s="694" t="s">
        <v>68</v>
      </c>
      <c r="BM57" s="695" t="s">
        <v>68</v>
      </c>
      <c r="BN57" s="695" t="s">
        <v>68</v>
      </c>
      <c r="BO57" s="694"/>
      <c r="BP57" s="694"/>
      <c r="BQ57" s="694"/>
      <c r="BR57" s="694"/>
      <c r="BS57" s="694"/>
      <c r="BT57" s="694"/>
      <c r="BU57" s="694"/>
      <c r="BV57" s="694" t="s">
        <v>68</v>
      </c>
      <c r="BW57" s="13"/>
      <c r="BX57" s="13"/>
      <c r="BY57" s="13"/>
      <c r="BZ57" s="13"/>
      <c r="CA57" s="13"/>
      <c r="CB57" s="1220" t="s">
        <v>1427</v>
      </c>
      <c r="CC57" s="38" t="s">
        <v>76</v>
      </c>
      <c r="CD57" s="513"/>
      <c r="CE57" s="513"/>
      <c r="CF57" s="513"/>
      <c r="CG57" s="513"/>
      <c r="CH57" s="513"/>
      <c r="CI57" s="513"/>
      <c r="CJ57" s="513"/>
      <c r="CK57" s="12"/>
    </row>
    <row r="58" spans="2:89" s="1050" customFormat="1" ht="90" hidden="1" customHeight="1">
      <c r="B58" s="1051"/>
      <c r="C58" s="1051"/>
      <c r="D58" s="1051"/>
      <c r="E58" s="1051"/>
      <c r="F58" s="1051"/>
      <c r="G58" s="1166"/>
      <c r="H58" s="1166"/>
      <c r="I58" s="448"/>
      <c r="J58" s="532">
        <v>2013</v>
      </c>
      <c r="K58" s="1418"/>
      <c r="L58" s="1418"/>
      <c r="M58" s="1464" t="s">
        <v>250</v>
      </c>
      <c r="N58" s="829"/>
      <c r="O58" s="186" t="s">
        <v>251</v>
      </c>
      <c r="P58" s="106" t="s">
        <v>252</v>
      </c>
      <c r="Q58" s="106"/>
      <c r="R58" s="1064"/>
      <c r="S58" s="1463"/>
      <c r="T58" s="1070"/>
      <c r="U58" s="1080"/>
      <c r="V58" s="1082" t="s">
        <v>68</v>
      </c>
      <c r="W58" s="829"/>
      <c r="X58" s="1080"/>
      <c r="Y58" s="1087" t="s">
        <v>68</v>
      </c>
      <c r="Z58" s="1378"/>
      <c r="AA58" s="308" t="s">
        <v>179</v>
      </c>
      <c r="AB58" s="1071">
        <v>41492</v>
      </c>
      <c r="AC58" s="1064">
        <v>5000000</v>
      </c>
      <c r="AD58" s="1064"/>
      <c r="AE58" s="1065"/>
      <c r="AF58" s="1066" t="s">
        <v>68</v>
      </c>
      <c r="AG58" s="1067" t="s">
        <v>68</v>
      </c>
      <c r="AH58" s="1067" t="s">
        <v>68</v>
      </c>
      <c r="AI58" s="1068" t="s">
        <v>68</v>
      </c>
      <c r="AJ58" s="1466" t="s">
        <v>68</v>
      </c>
      <c r="AK58" s="308"/>
      <c r="AL58" s="1070"/>
      <c r="AM58" s="1070"/>
      <c r="AN58" s="1070"/>
      <c r="AO58" s="1070"/>
      <c r="AP58" s="1070"/>
      <c r="AQ58" s="1070"/>
      <c r="AR58" s="1072"/>
      <c r="AS58" s="1467">
        <v>0</v>
      </c>
      <c r="AT58" s="1468">
        <f t="shared" si="1"/>
        <v>0</v>
      </c>
      <c r="AU58" s="1469"/>
      <c r="AV58" s="1076"/>
      <c r="AW58" s="1077"/>
      <c r="AX58" s="1078" t="s">
        <v>68</v>
      </c>
      <c r="AY58" s="1079"/>
      <c r="AZ58" s="829"/>
      <c r="BA58" s="1070"/>
      <c r="BB58" s="1070"/>
      <c r="BC58" s="1080"/>
      <c r="BD58" s="829"/>
      <c r="BE58" s="1473"/>
      <c r="BF58" s="1070"/>
      <c r="BG58" s="1070"/>
      <c r="BH58" s="1070"/>
      <c r="BI58" s="1081">
        <v>0</v>
      </c>
      <c r="BJ58" s="1082"/>
      <c r="BK58" s="1816"/>
      <c r="BL58" s="1470" t="s">
        <v>68</v>
      </c>
      <c r="BM58" s="1471" t="s">
        <v>68</v>
      </c>
      <c r="BN58" s="1471" t="s">
        <v>68</v>
      </c>
      <c r="BO58" s="1470"/>
      <c r="BP58" s="1470"/>
      <c r="BQ58" s="1470"/>
      <c r="BR58" s="1470"/>
      <c r="BS58" s="1470"/>
      <c r="BT58" s="1470"/>
      <c r="BU58" s="1470"/>
      <c r="BV58" s="1470" t="s">
        <v>68</v>
      </c>
      <c r="BW58" s="1082"/>
      <c r="BX58" s="1082"/>
      <c r="BY58" s="1082"/>
      <c r="BZ58" s="1082"/>
      <c r="CA58" s="1082"/>
      <c r="CB58" s="1488" t="s">
        <v>1427</v>
      </c>
      <c r="CC58" s="1085" t="s">
        <v>76</v>
      </c>
      <c r="CD58" s="516"/>
      <c r="CE58" s="516"/>
      <c r="CF58" s="516"/>
      <c r="CG58" s="516"/>
      <c r="CH58" s="516"/>
      <c r="CI58" s="516"/>
      <c r="CJ58" s="516"/>
      <c r="CK58" s="1473"/>
    </row>
    <row r="59" spans="2:89" customFormat="1" ht="90" hidden="1" customHeight="1">
      <c r="B59" s="22"/>
      <c r="C59" s="22"/>
      <c r="D59" s="22"/>
      <c r="E59" s="22"/>
      <c r="F59" s="22"/>
      <c r="G59" s="1166"/>
      <c r="H59" s="1166"/>
      <c r="I59" s="448">
        <v>43052</v>
      </c>
      <c r="J59" s="16">
        <v>2014</v>
      </c>
      <c r="K59" s="1415"/>
      <c r="L59" s="1415"/>
      <c r="M59" s="18" t="s">
        <v>253</v>
      </c>
      <c r="N59" s="19" t="s">
        <v>254</v>
      </c>
      <c r="O59" s="2" t="s">
        <v>66</v>
      </c>
      <c r="P59" s="3" t="s">
        <v>255</v>
      </c>
      <c r="Q59" s="3"/>
      <c r="R59" s="4">
        <v>5400000</v>
      </c>
      <c r="S59" s="6">
        <v>41690</v>
      </c>
      <c r="T59" s="5">
        <v>41694</v>
      </c>
      <c r="U59" s="11">
        <v>41783</v>
      </c>
      <c r="V59" s="13" t="s">
        <v>68</v>
      </c>
      <c r="W59" s="33" t="s">
        <v>256</v>
      </c>
      <c r="X59" s="18" t="s">
        <v>70</v>
      </c>
      <c r="Y59" s="62">
        <v>41346</v>
      </c>
      <c r="Z59" s="105"/>
      <c r="AA59" s="33" t="s">
        <v>179</v>
      </c>
      <c r="AB59" s="8">
        <v>41492</v>
      </c>
      <c r="AC59" s="4">
        <v>5000000</v>
      </c>
      <c r="AD59" s="4" t="s">
        <v>257</v>
      </c>
      <c r="AE59" s="32">
        <v>400000</v>
      </c>
      <c r="AF59" s="34">
        <v>41281</v>
      </c>
      <c r="AG59" s="112" t="s">
        <v>68</v>
      </c>
      <c r="AH59" s="112" t="s">
        <v>68</v>
      </c>
      <c r="AI59" s="7">
        <v>41294</v>
      </c>
      <c r="AJ59" s="215">
        <v>41294</v>
      </c>
      <c r="AK59" s="33" t="s">
        <v>214</v>
      </c>
      <c r="AL59" s="33" t="s">
        <v>258</v>
      </c>
      <c r="AM59" s="5">
        <v>41690</v>
      </c>
      <c r="AN59" s="33" t="s">
        <v>259</v>
      </c>
      <c r="AO59" s="5">
        <v>41690</v>
      </c>
      <c r="AP59" s="33" t="s">
        <v>260</v>
      </c>
      <c r="AQ59" s="5">
        <v>41830</v>
      </c>
      <c r="AR59" s="279"/>
      <c r="AS59" s="220">
        <v>0</v>
      </c>
      <c r="AT59" s="894">
        <f t="shared" si="1"/>
        <v>0</v>
      </c>
      <c r="AU59" s="883"/>
      <c r="AV59" s="230" t="s">
        <v>74</v>
      </c>
      <c r="AW59" s="11"/>
      <c r="AX59" s="30"/>
      <c r="AY59" s="52"/>
      <c r="AZ59" s="30">
        <v>41800</v>
      </c>
      <c r="BA59" s="5">
        <v>41694</v>
      </c>
      <c r="BB59" s="5">
        <v>41788</v>
      </c>
      <c r="BC59" s="11">
        <v>41800</v>
      </c>
      <c r="BD59" s="30">
        <v>41830</v>
      </c>
      <c r="BE59" s="309"/>
      <c r="BF59" s="5">
        <v>41694</v>
      </c>
      <c r="BG59" s="5">
        <v>41788</v>
      </c>
      <c r="BH59" s="5">
        <v>41800</v>
      </c>
      <c r="BI59" s="64"/>
      <c r="BJ59" s="62">
        <v>41830</v>
      </c>
      <c r="BK59" s="224"/>
      <c r="BL59" s="694" t="s">
        <v>68</v>
      </c>
      <c r="BM59" s="695" t="s">
        <v>68</v>
      </c>
      <c r="BN59" s="695" t="s">
        <v>68</v>
      </c>
      <c r="BO59" s="694"/>
      <c r="BP59" s="694"/>
      <c r="BQ59" s="694"/>
      <c r="BR59" s="694"/>
      <c r="BS59" s="694"/>
      <c r="BT59" s="694"/>
      <c r="BU59" s="694"/>
      <c r="BV59" s="694" t="s">
        <v>68</v>
      </c>
      <c r="BW59" s="13"/>
      <c r="BX59" s="13"/>
      <c r="BY59" s="13"/>
      <c r="BZ59" s="13"/>
      <c r="CA59" s="13"/>
      <c r="CB59" s="1220" t="s">
        <v>1427</v>
      </c>
      <c r="CC59" s="38" t="s">
        <v>76</v>
      </c>
      <c r="CD59" s="513"/>
      <c r="CE59" s="513"/>
      <c r="CF59" s="513"/>
      <c r="CG59" s="513"/>
      <c r="CH59" s="513"/>
      <c r="CI59" s="513"/>
      <c r="CJ59" s="513"/>
      <c r="CK59" s="12"/>
    </row>
    <row r="60" spans="2:89" customFormat="1" ht="80.099999999999994" hidden="1" customHeight="1">
      <c r="B60" s="22"/>
      <c r="C60" s="22"/>
      <c r="D60" s="22"/>
      <c r="E60" s="22"/>
      <c r="F60" s="22"/>
      <c r="G60" s="1166">
        <v>42005</v>
      </c>
      <c r="H60" s="1166"/>
      <c r="I60" s="448">
        <v>43052</v>
      </c>
      <c r="J60" s="16">
        <v>2014</v>
      </c>
      <c r="K60" s="1415"/>
      <c r="L60" s="1415"/>
      <c r="M60" s="17" t="s">
        <v>77</v>
      </c>
      <c r="N60" s="19" t="s">
        <v>261</v>
      </c>
      <c r="O60" s="2" t="s">
        <v>262</v>
      </c>
      <c r="P60" s="3" t="s">
        <v>263</v>
      </c>
      <c r="Q60" s="3"/>
      <c r="R60" s="4">
        <v>1489185.94</v>
      </c>
      <c r="S60" s="6">
        <v>41683</v>
      </c>
      <c r="T60" s="5">
        <v>41687</v>
      </c>
      <c r="U60" s="11">
        <v>41734</v>
      </c>
      <c r="V60" s="62">
        <v>41683</v>
      </c>
      <c r="W60" s="33" t="s">
        <v>264</v>
      </c>
      <c r="X60" s="18" t="s">
        <v>70</v>
      </c>
      <c r="Y60" s="197" t="s">
        <v>74</v>
      </c>
      <c r="Z60" s="65"/>
      <c r="AA60" s="33" t="s">
        <v>265</v>
      </c>
      <c r="AB60" s="5">
        <v>41698</v>
      </c>
      <c r="AC60" s="4">
        <v>1489185.94</v>
      </c>
      <c r="AD60" s="4"/>
      <c r="AE60" s="32"/>
      <c r="AF60" s="34">
        <v>41582</v>
      </c>
      <c r="AG60" s="112" t="s">
        <v>68</v>
      </c>
      <c r="AH60" s="112" t="s">
        <v>68</v>
      </c>
      <c r="AI60" s="7">
        <v>41598</v>
      </c>
      <c r="AJ60" s="215">
        <v>41683</v>
      </c>
      <c r="AK60" s="33" t="s">
        <v>266</v>
      </c>
      <c r="AL60" s="1" t="s">
        <v>68</v>
      </c>
      <c r="AM60" s="1" t="s">
        <v>68</v>
      </c>
      <c r="AN60" s="1" t="s">
        <v>267</v>
      </c>
      <c r="AO60" s="5">
        <v>41687</v>
      </c>
      <c r="AP60" s="5" t="s">
        <v>268</v>
      </c>
      <c r="AQ60" s="5">
        <v>41740</v>
      </c>
      <c r="AR60" s="279"/>
      <c r="AS60" s="35">
        <v>0</v>
      </c>
      <c r="AT60" s="895">
        <v>1408849.34</v>
      </c>
      <c r="AU60" s="884"/>
      <c r="AV60" s="30">
        <v>41687</v>
      </c>
      <c r="AW60" s="11">
        <v>41734</v>
      </c>
      <c r="AX60" s="30" t="s">
        <v>68</v>
      </c>
      <c r="AY60" s="52" t="s">
        <v>68</v>
      </c>
      <c r="AZ60" s="30">
        <v>41736</v>
      </c>
      <c r="BA60" s="5">
        <v>41687</v>
      </c>
      <c r="BB60" s="5">
        <v>41734</v>
      </c>
      <c r="BC60" s="11">
        <v>41738</v>
      </c>
      <c r="BD60" s="30">
        <v>41737</v>
      </c>
      <c r="BE60" s="309"/>
      <c r="BF60" s="5">
        <v>41687</v>
      </c>
      <c r="BG60" s="5">
        <v>41734</v>
      </c>
      <c r="BH60" s="5">
        <v>41738</v>
      </c>
      <c r="BI60" s="253">
        <v>1214525.28</v>
      </c>
      <c r="BJ60" s="62">
        <v>41737</v>
      </c>
      <c r="BK60" s="224"/>
      <c r="BL60" s="694" t="s">
        <v>68</v>
      </c>
      <c r="BM60" s="695" t="s">
        <v>68</v>
      </c>
      <c r="BN60" s="695" t="s">
        <v>68</v>
      </c>
      <c r="BO60" s="694"/>
      <c r="BP60" s="694"/>
      <c r="BQ60" s="694"/>
      <c r="BR60" s="694"/>
      <c r="BS60" s="694"/>
      <c r="BT60" s="694"/>
      <c r="BU60" s="694"/>
      <c r="BV60" s="694" t="s">
        <v>68</v>
      </c>
      <c r="BW60" s="13"/>
      <c r="BX60" s="13"/>
      <c r="BY60" s="13"/>
      <c r="BZ60" s="13"/>
      <c r="CA60" s="13"/>
      <c r="CB60" s="1220" t="s">
        <v>1427</v>
      </c>
      <c r="CC60" s="38" t="s">
        <v>76</v>
      </c>
      <c r="CD60" s="513"/>
      <c r="CE60" s="513"/>
      <c r="CF60" s="513"/>
      <c r="CG60" s="513"/>
      <c r="CH60" s="513"/>
      <c r="CI60" s="513"/>
      <c r="CJ60" s="513"/>
      <c r="CK60" s="12"/>
    </row>
    <row r="61" spans="2:89" customFormat="1" ht="80.099999999999994" hidden="1" customHeight="1">
      <c r="B61" s="22"/>
      <c r="C61" s="22"/>
      <c r="D61" s="22"/>
      <c r="E61" s="22"/>
      <c r="F61" s="22"/>
      <c r="G61" s="1166">
        <v>42005</v>
      </c>
      <c r="H61" s="1166"/>
      <c r="I61" s="448"/>
      <c r="J61" s="16">
        <v>2014</v>
      </c>
      <c r="K61" s="1415"/>
      <c r="L61" s="1415"/>
      <c r="M61" s="18" t="s">
        <v>269</v>
      </c>
      <c r="N61" s="19" t="s">
        <v>270</v>
      </c>
      <c r="O61" s="2" t="s">
        <v>4032</v>
      </c>
      <c r="P61" s="3" t="s">
        <v>271</v>
      </c>
      <c r="Q61" s="3"/>
      <c r="R61" s="4">
        <v>450000</v>
      </c>
      <c r="S61" s="6">
        <v>41781</v>
      </c>
      <c r="T61" s="232">
        <v>41705</v>
      </c>
      <c r="U61" s="233">
        <v>41789</v>
      </c>
      <c r="V61" s="13" t="s">
        <v>68</v>
      </c>
      <c r="W61" s="19" t="s">
        <v>68</v>
      </c>
      <c r="X61" s="18" t="s">
        <v>213</v>
      </c>
      <c r="Y61" s="200" t="s">
        <v>68</v>
      </c>
      <c r="Z61" s="368"/>
      <c r="AA61" s="33" t="s">
        <v>272</v>
      </c>
      <c r="AB61" s="8">
        <v>41781</v>
      </c>
      <c r="AC61" s="4">
        <v>400000</v>
      </c>
      <c r="AD61" s="4"/>
      <c r="AE61" s="32"/>
      <c r="AF61" s="34" t="s">
        <v>68</v>
      </c>
      <c r="AG61" s="112" t="s">
        <v>68</v>
      </c>
      <c r="AH61" s="112" t="s">
        <v>68</v>
      </c>
      <c r="AI61" s="7" t="s">
        <v>68</v>
      </c>
      <c r="AJ61" s="215" t="s">
        <v>68</v>
      </c>
      <c r="AK61" s="33" t="s">
        <v>68</v>
      </c>
      <c r="AL61" s="1" t="s">
        <v>68</v>
      </c>
      <c r="AM61" s="1"/>
      <c r="AN61" s="1" t="s">
        <v>68</v>
      </c>
      <c r="AO61" s="1"/>
      <c r="AP61" s="1" t="s">
        <v>68</v>
      </c>
      <c r="AQ61" s="1"/>
      <c r="AR61" s="279"/>
      <c r="AS61" s="220">
        <v>0</v>
      </c>
      <c r="AT61" s="894">
        <f>BI61</f>
        <v>0</v>
      </c>
      <c r="AU61" s="883"/>
      <c r="AV61" s="230" t="s">
        <v>74</v>
      </c>
      <c r="AW61" s="11"/>
      <c r="AX61" s="223" t="s">
        <v>68</v>
      </c>
      <c r="AY61" s="52" t="s">
        <v>68</v>
      </c>
      <c r="AZ61" s="230" t="s">
        <v>74</v>
      </c>
      <c r="BA61" s="1"/>
      <c r="BB61" s="1"/>
      <c r="BC61" s="17"/>
      <c r="BD61" s="230" t="s">
        <v>74</v>
      </c>
      <c r="BE61" s="508"/>
      <c r="BF61" s="1"/>
      <c r="BG61" s="1"/>
      <c r="BH61" s="1"/>
      <c r="BI61" s="36"/>
      <c r="BJ61" s="13" t="s">
        <v>68</v>
      </c>
      <c r="BK61" s="352"/>
      <c r="BL61" s="694" t="s">
        <v>68</v>
      </c>
      <c r="BM61" s="695" t="s">
        <v>68</v>
      </c>
      <c r="BN61" s="695" t="s">
        <v>68</v>
      </c>
      <c r="BO61" s="694"/>
      <c r="BP61" s="694"/>
      <c r="BQ61" s="694"/>
      <c r="BR61" s="694"/>
      <c r="BS61" s="694"/>
      <c r="BT61" s="694"/>
      <c r="BU61" s="694"/>
      <c r="BV61" s="694" t="s">
        <v>68</v>
      </c>
      <c r="BW61" s="13"/>
      <c r="BX61" s="13"/>
      <c r="BY61" s="13"/>
      <c r="BZ61" s="13"/>
      <c r="CA61" s="13"/>
      <c r="CB61" s="1220" t="s">
        <v>1427</v>
      </c>
      <c r="CC61" s="38" t="s">
        <v>76</v>
      </c>
      <c r="CD61" s="513"/>
      <c r="CE61" s="513"/>
      <c r="CF61" s="513"/>
      <c r="CG61" s="513"/>
      <c r="CH61" s="513"/>
      <c r="CI61" s="513"/>
      <c r="CJ61" s="513"/>
      <c r="CK61" s="12"/>
    </row>
    <row r="62" spans="2:89" customFormat="1" ht="80.099999999999994" hidden="1" customHeight="1">
      <c r="B62" s="22"/>
      <c r="C62" s="22"/>
      <c r="D62" s="22"/>
      <c r="E62" s="22"/>
      <c r="F62" s="22"/>
      <c r="G62" s="915">
        <v>42005</v>
      </c>
      <c r="H62" s="915"/>
      <c r="I62" s="448"/>
      <c r="J62" s="16">
        <v>2014</v>
      </c>
      <c r="K62" s="1415"/>
      <c r="L62" s="1415"/>
      <c r="M62" s="18" t="s">
        <v>269</v>
      </c>
      <c r="N62" s="19" t="s">
        <v>273</v>
      </c>
      <c r="O62" s="2" t="s">
        <v>4032</v>
      </c>
      <c r="P62" s="3" t="s">
        <v>274</v>
      </c>
      <c r="Q62" s="3"/>
      <c r="R62" s="4">
        <v>300000</v>
      </c>
      <c r="S62" s="6">
        <v>41761</v>
      </c>
      <c r="T62" s="232">
        <v>41761</v>
      </c>
      <c r="U62" s="233">
        <v>41822</v>
      </c>
      <c r="V62" s="13" t="s">
        <v>68</v>
      </c>
      <c r="W62" s="19" t="s">
        <v>68</v>
      </c>
      <c r="X62" s="18" t="s">
        <v>213</v>
      </c>
      <c r="Y62" s="200" t="s">
        <v>68</v>
      </c>
      <c r="Z62" s="368"/>
      <c r="AA62" s="33" t="s">
        <v>275</v>
      </c>
      <c r="AB62" s="8">
        <v>41781</v>
      </c>
      <c r="AC62" s="4">
        <v>300000</v>
      </c>
      <c r="AD62" s="4"/>
      <c r="AE62" s="32"/>
      <c r="AF62" s="34" t="s">
        <v>68</v>
      </c>
      <c r="AG62" s="112" t="s">
        <v>68</v>
      </c>
      <c r="AH62" s="112" t="s">
        <v>68</v>
      </c>
      <c r="AI62" s="7" t="s">
        <v>68</v>
      </c>
      <c r="AJ62" s="215" t="s">
        <v>68</v>
      </c>
      <c r="AK62" s="33" t="s">
        <v>68</v>
      </c>
      <c r="AL62" s="1" t="s">
        <v>68</v>
      </c>
      <c r="AM62" s="1"/>
      <c r="AN62" s="1" t="s">
        <v>68</v>
      </c>
      <c r="AO62" s="1"/>
      <c r="AP62" s="1" t="s">
        <v>68</v>
      </c>
      <c r="AQ62" s="1"/>
      <c r="AR62" s="279"/>
      <c r="AS62" s="220">
        <v>0</v>
      </c>
      <c r="AT62" s="894">
        <f>BI62</f>
        <v>0</v>
      </c>
      <c r="AU62" s="883"/>
      <c r="AV62" s="230" t="s">
        <v>74</v>
      </c>
      <c r="AW62" s="11"/>
      <c r="AX62" s="223" t="s">
        <v>68</v>
      </c>
      <c r="AY62" s="52" t="s">
        <v>68</v>
      </c>
      <c r="AZ62" s="230" t="s">
        <v>74</v>
      </c>
      <c r="BA62" s="1"/>
      <c r="BB62" s="1"/>
      <c r="BC62" s="17"/>
      <c r="BD62" s="230" t="s">
        <v>74</v>
      </c>
      <c r="BE62" s="508"/>
      <c r="BF62" s="1"/>
      <c r="BG62" s="1"/>
      <c r="BH62" s="1"/>
      <c r="BI62" s="36"/>
      <c r="BJ62" s="13" t="s">
        <v>68</v>
      </c>
      <c r="BK62" s="352"/>
      <c r="BL62" s="694" t="s">
        <v>68</v>
      </c>
      <c r="BM62" s="695" t="s">
        <v>68</v>
      </c>
      <c r="BN62" s="695" t="s">
        <v>68</v>
      </c>
      <c r="BO62" s="694"/>
      <c r="BP62" s="694"/>
      <c r="BQ62" s="694"/>
      <c r="BR62" s="694"/>
      <c r="BS62" s="694"/>
      <c r="BT62" s="694"/>
      <c r="BU62" s="694"/>
      <c r="BV62" s="694" t="s">
        <v>68</v>
      </c>
      <c r="BW62" s="13"/>
      <c r="BX62" s="13"/>
      <c r="BY62" s="13"/>
      <c r="BZ62" s="13"/>
      <c r="CA62" s="13"/>
      <c r="CB62" s="1220" t="s">
        <v>1427</v>
      </c>
      <c r="CC62" s="38" t="s">
        <v>76</v>
      </c>
      <c r="CD62" s="513"/>
      <c r="CE62" s="513"/>
      <c r="CF62" s="513"/>
      <c r="CG62" s="513"/>
      <c r="CH62" s="513"/>
      <c r="CI62" s="513"/>
      <c r="CJ62" s="513"/>
      <c r="CK62" s="12"/>
    </row>
    <row r="63" spans="2:89" customFormat="1" ht="80.099999999999994" hidden="1" customHeight="1">
      <c r="B63" s="22"/>
      <c r="C63" s="22"/>
      <c r="D63" s="22"/>
      <c r="E63" s="22"/>
      <c r="F63" s="22"/>
      <c r="G63" s="915">
        <v>42005</v>
      </c>
      <c r="H63" s="915"/>
      <c r="I63" s="448"/>
      <c r="J63" s="16">
        <v>2014</v>
      </c>
      <c r="K63" s="1415"/>
      <c r="L63" s="1415"/>
      <c r="M63" s="18" t="s">
        <v>166</v>
      </c>
      <c r="N63" s="19" t="s">
        <v>276</v>
      </c>
      <c r="O63" s="2" t="s">
        <v>4032</v>
      </c>
      <c r="P63" s="3" t="s">
        <v>277</v>
      </c>
      <c r="Q63" s="3"/>
      <c r="R63" s="4">
        <v>91000</v>
      </c>
      <c r="S63" s="6">
        <v>41705</v>
      </c>
      <c r="T63" s="60">
        <v>41705</v>
      </c>
      <c r="U63" s="61">
        <v>41789</v>
      </c>
      <c r="V63" s="13" t="s">
        <v>68</v>
      </c>
      <c r="W63" s="19" t="s">
        <v>68</v>
      </c>
      <c r="X63" s="18" t="s">
        <v>213</v>
      </c>
      <c r="Y63" s="200" t="s">
        <v>68</v>
      </c>
      <c r="Z63" s="368"/>
      <c r="AA63" s="33" t="s">
        <v>278</v>
      </c>
      <c r="AB63" s="8">
        <v>41781</v>
      </c>
      <c r="AC63" s="4">
        <v>91000</v>
      </c>
      <c r="AD63" s="4"/>
      <c r="AE63" s="32"/>
      <c r="AF63" s="34" t="s">
        <v>68</v>
      </c>
      <c r="AG63" s="112" t="s">
        <v>68</v>
      </c>
      <c r="AH63" s="112" t="s">
        <v>68</v>
      </c>
      <c r="AI63" s="7" t="s">
        <v>68</v>
      </c>
      <c r="AJ63" s="215" t="s">
        <v>68</v>
      </c>
      <c r="AK63" s="33" t="s">
        <v>68</v>
      </c>
      <c r="AL63" s="1" t="s">
        <v>68</v>
      </c>
      <c r="AM63" s="1"/>
      <c r="AN63" s="1" t="s">
        <v>68</v>
      </c>
      <c r="AO63" s="1"/>
      <c r="AP63" s="1" t="s">
        <v>68</v>
      </c>
      <c r="AQ63" s="1"/>
      <c r="AR63" s="279"/>
      <c r="AS63" s="220">
        <v>0</v>
      </c>
      <c r="AT63" s="895">
        <f>BI63</f>
        <v>0</v>
      </c>
      <c r="AU63" s="883"/>
      <c r="AV63" s="230" t="s">
        <v>74</v>
      </c>
      <c r="AW63" s="11"/>
      <c r="AX63" s="223" t="s">
        <v>68</v>
      </c>
      <c r="AY63" s="52" t="s">
        <v>68</v>
      </c>
      <c r="AZ63" s="230" t="s">
        <v>74</v>
      </c>
      <c r="BA63" s="1"/>
      <c r="BB63" s="1"/>
      <c r="BC63" s="17"/>
      <c r="BD63" s="230" t="s">
        <v>74</v>
      </c>
      <c r="BE63" s="508"/>
      <c r="BF63" s="1"/>
      <c r="BG63" s="1"/>
      <c r="BH63" s="1"/>
      <c r="BI63" s="36"/>
      <c r="BJ63" s="13" t="s">
        <v>68</v>
      </c>
      <c r="BK63" s="352"/>
      <c r="BL63" s="694" t="s">
        <v>68</v>
      </c>
      <c r="BM63" s="695" t="s">
        <v>68</v>
      </c>
      <c r="BN63" s="695" t="s">
        <v>68</v>
      </c>
      <c r="BO63" s="694"/>
      <c r="BP63" s="694"/>
      <c r="BQ63" s="694"/>
      <c r="BR63" s="694"/>
      <c r="BS63" s="694"/>
      <c r="BT63" s="694"/>
      <c r="BU63" s="694"/>
      <c r="BV63" s="694" t="s">
        <v>68</v>
      </c>
      <c r="BW63" s="13"/>
      <c r="BX63" s="13"/>
      <c r="BY63" s="13"/>
      <c r="BZ63" s="13"/>
      <c r="CA63" s="13"/>
      <c r="CB63" s="1220" t="s">
        <v>1427</v>
      </c>
      <c r="CC63" s="38" t="s">
        <v>76</v>
      </c>
      <c r="CD63" s="513"/>
      <c r="CE63" s="513"/>
      <c r="CF63" s="513"/>
      <c r="CG63" s="513"/>
      <c r="CH63" s="513"/>
      <c r="CI63" s="513"/>
      <c r="CJ63" s="513"/>
      <c r="CK63" s="12"/>
    </row>
    <row r="64" spans="2:89" s="1050" customFormat="1" ht="80.099999999999994" hidden="1" customHeight="1">
      <c r="B64" s="1051"/>
      <c r="C64" s="1051"/>
      <c r="D64" s="1051"/>
      <c r="E64" s="1051"/>
      <c r="F64" s="1051"/>
      <c r="G64" s="553">
        <v>42005</v>
      </c>
      <c r="H64" s="553"/>
      <c r="I64" s="553"/>
      <c r="J64" s="532">
        <v>2014</v>
      </c>
      <c r="K64" s="1418"/>
      <c r="L64" s="1418"/>
      <c r="M64" s="1080" t="s">
        <v>77</v>
      </c>
      <c r="N64" s="829" t="s">
        <v>279</v>
      </c>
      <c r="O64" s="106" t="s">
        <v>251</v>
      </c>
      <c r="P64" s="106" t="s">
        <v>4104</v>
      </c>
      <c r="Q64" s="106"/>
      <c r="R64" s="1064">
        <v>48856.42</v>
      </c>
      <c r="S64" s="1463">
        <v>41859</v>
      </c>
      <c r="T64" s="1071">
        <v>41862</v>
      </c>
      <c r="U64" s="1077">
        <v>41874</v>
      </c>
      <c r="V64" s="1082" t="s">
        <v>68</v>
      </c>
      <c r="W64" s="829" t="s">
        <v>68</v>
      </c>
      <c r="X64" s="1464" t="s">
        <v>114</v>
      </c>
      <c r="Y64" s="1465">
        <v>41837</v>
      </c>
      <c r="Z64" s="1061"/>
      <c r="AA64" s="308" t="s">
        <v>280</v>
      </c>
      <c r="AB64" s="1063">
        <v>41830</v>
      </c>
      <c r="AC64" s="1064">
        <v>48856.42</v>
      </c>
      <c r="AD64" s="1064"/>
      <c r="AE64" s="1065"/>
      <c r="AF64" s="1066" t="s">
        <v>68</v>
      </c>
      <c r="AG64" s="1067" t="s">
        <v>68</v>
      </c>
      <c r="AH64" s="1067" t="s">
        <v>68</v>
      </c>
      <c r="AI64" s="1068" t="s">
        <v>68</v>
      </c>
      <c r="AJ64" s="1466" t="s">
        <v>68</v>
      </c>
      <c r="AK64" s="308" t="s">
        <v>68</v>
      </c>
      <c r="AL64" s="1070" t="s">
        <v>68</v>
      </c>
      <c r="AM64" s="1070"/>
      <c r="AN64" s="1070" t="s">
        <v>68</v>
      </c>
      <c r="AO64" s="1070"/>
      <c r="AP64" s="1070" t="s">
        <v>68</v>
      </c>
      <c r="AQ64" s="1070"/>
      <c r="AR64" s="1072"/>
      <c r="AS64" s="1467">
        <v>0</v>
      </c>
      <c r="AT64" s="1468">
        <f>BI64</f>
        <v>0</v>
      </c>
      <c r="AU64" s="1469"/>
      <c r="AV64" s="1076" t="s">
        <v>74</v>
      </c>
      <c r="AW64" s="1077"/>
      <c r="AX64" s="1076"/>
      <c r="AY64" s="1079"/>
      <c r="AZ64" s="829"/>
      <c r="BA64" s="1070"/>
      <c r="BB64" s="1070"/>
      <c r="BC64" s="1080"/>
      <c r="BD64" s="829"/>
      <c r="BE64" s="1473"/>
      <c r="BF64" s="1070"/>
      <c r="BG64" s="1070"/>
      <c r="BH64" s="1070"/>
      <c r="BI64" s="1081">
        <v>0</v>
      </c>
      <c r="BJ64" s="1082"/>
      <c r="BK64" s="1816"/>
      <c r="BL64" s="1470" t="s">
        <v>68</v>
      </c>
      <c r="BM64" s="1471" t="s">
        <v>68</v>
      </c>
      <c r="BN64" s="1471" t="s">
        <v>68</v>
      </c>
      <c r="BO64" s="1470"/>
      <c r="BP64" s="1470"/>
      <c r="BQ64" s="1470"/>
      <c r="BR64" s="1470"/>
      <c r="BS64" s="1470"/>
      <c r="BT64" s="1470"/>
      <c r="BU64" s="1470"/>
      <c r="BV64" s="1470" t="s">
        <v>68</v>
      </c>
      <c r="BW64" s="1082"/>
      <c r="BX64" s="1082"/>
      <c r="BY64" s="1082"/>
      <c r="BZ64" s="1082"/>
      <c r="CA64" s="1082"/>
      <c r="CB64" s="1472" t="s">
        <v>1427</v>
      </c>
      <c r="CC64" s="1085" t="s">
        <v>76</v>
      </c>
      <c r="CD64" s="516"/>
      <c r="CE64" s="516"/>
      <c r="CF64" s="516"/>
      <c r="CG64" s="516"/>
      <c r="CH64" s="516"/>
      <c r="CI64" s="516"/>
      <c r="CJ64" s="516"/>
      <c r="CK64" s="1473"/>
    </row>
    <row r="65" spans="2:89" s="1050" customFormat="1" ht="80.099999999999994" hidden="1" customHeight="1">
      <c r="B65" s="1051"/>
      <c r="C65" s="1051"/>
      <c r="D65" s="1051"/>
      <c r="E65" s="1051"/>
      <c r="F65" s="1051"/>
      <c r="G65" s="553">
        <v>42005</v>
      </c>
      <c r="H65" s="553"/>
      <c r="I65" s="553"/>
      <c r="J65" s="532">
        <v>2014</v>
      </c>
      <c r="K65" s="1418"/>
      <c r="L65" s="1418"/>
      <c r="M65" s="1080" t="s">
        <v>77</v>
      </c>
      <c r="N65" s="829" t="s">
        <v>281</v>
      </c>
      <c r="O65" s="106" t="s">
        <v>251</v>
      </c>
      <c r="P65" s="106" t="s">
        <v>4105</v>
      </c>
      <c r="Q65" s="106"/>
      <c r="R65" s="1064">
        <v>75328.27</v>
      </c>
      <c r="S65" s="1463">
        <v>41831</v>
      </c>
      <c r="T65" s="1071">
        <v>41834</v>
      </c>
      <c r="U65" s="1077">
        <v>41846</v>
      </c>
      <c r="V65" s="1082" t="s">
        <v>68</v>
      </c>
      <c r="W65" s="829" t="s">
        <v>68</v>
      </c>
      <c r="X65" s="1464" t="s">
        <v>114</v>
      </c>
      <c r="Y65" s="1465">
        <v>41837</v>
      </c>
      <c r="Z65" s="1061"/>
      <c r="AA65" s="308" t="s">
        <v>280</v>
      </c>
      <c r="AB65" s="1063">
        <v>41830</v>
      </c>
      <c r="AC65" s="1064">
        <v>75328.27</v>
      </c>
      <c r="AD65" s="1064"/>
      <c r="AE65" s="1065"/>
      <c r="AF65" s="1066" t="s">
        <v>68</v>
      </c>
      <c r="AG65" s="1067" t="s">
        <v>68</v>
      </c>
      <c r="AH65" s="1067" t="s">
        <v>68</v>
      </c>
      <c r="AI65" s="1068" t="s">
        <v>68</v>
      </c>
      <c r="AJ65" s="1466" t="s">
        <v>68</v>
      </c>
      <c r="AK65" s="308" t="s">
        <v>68</v>
      </c>
      <c r="AL65" s="1070" t="s">
        <v>68</v>
      </c>
      <c r="AM65" s="1070"/>
      <c r="AN65" s="1070" t="s">
        <v>68</v>
      </c>
      <c r="AO65" s="1070"/>
      <c r="AP65" s="1070" t="s">
        <v>68</v>
      </c>
      <c r="AQ65" s="1070"/>
      <c r="AR65" s="1072"/>
      <c r="AS65" s="1073">
        <v>14837.44</v>
      </c>
      <c r="AT65" s="1074">
        <v>17964.8</v>
      </c>
      <c r="AU65" s="1075"/>
      <c r="AV65" s="1076" t="s">
        <v>74</v>
      </c>
      <c r="AW65" s="1077"/>
      <c r="AX65" s="1076"/>
      <c r="AY65" s="1079"/>
      <c r="AZ65" s="829"/>
      <c r="BA65" s="1070"/>
      <c r="BB65" s="1070"/>
      <c r="BC65" s="1080"/>
      <c r="BD65" s="829"/>
      <c r="BE65" s="1473"/>
      <c r="BF65" s="1070"/>
      <c r="BG65" s="1070"/>
      <c r="BH65" s="1070"/>
      <c r="BI65" s="1081">
        <v>32802.239999999998</v>
      </c>
      <c r="BJ65" s="1082"/>
      <c r="BK65" s="1816"/>
      <c r="BL65" s="1470" t="s">
        <v>68</v>
      </c>
      <c r="BM65" s="1471" t="s">
        <v>68</v>
      </c>
      <c r="BN65" s="1471" t="s">
        <v>68</v>
      </c>
      <c r="BO65" s="1470"/>
      <c r="BP65" s="1470"/>
      <c r="BQ65" s="1470"/>
      <c r="BR65" s="1470"/>
      <c r="BS65" s="1470"/>
      <c r="BT65" s="1470"/>
      <c r="BU65" s="1470"/>
      <c r="BV65" s="1470" t="s">
        <v>68</v>
      </c>
      <c r="BW65" s="1082"/>
      <c r="BX65" s="1082"/>
      <c r="BY65" s="1082"/>
      <c r="BZ65" s="1082"/>
      <c r="CA65" s="1082"/>
      <c r="CB65" s="1472" t="s">
        <v>1427</v>
      </c>
      <c r="CC65" s="1085" t="s">
        <v>76</v>
      </c>
      <c r="CD65" s="516"/>
      <c r="CE65" s="516"/>
      <c r="CF65" s="516"/>
      <c r="CG65" s="516"/>
      <c r="CH65" s="516"/>
      <c r="CI65" s="516"/>
      <c r="CJ65" s="516"/>
      <c r="CK65" s="1473"/>
    </row>
    <row r="66" spans="2:89" s="1050" customFormat="1" ht="80.099999999999994" hidden="1" customHeight="1">
      <c r="B66" s="1051"/>
      <c r="C66" s="1051"/>
      <c r="D66" s="1051"/>
      <c r="E66" s="1051"/>
      <c r="F66" s="1051"/>
      <c r="G66" s="553">
        <v>42005</v>
      </c>
      <c r="H66" s="553"/>
      <c r="I66" s="553"/>
      <c r="J66" s="532">
        <v>2014</v>
      </c>
      <c r="K66" s="1418"/>
      <c r="L66" s="1418"/>
      <c r="M66" s="1080" t="s">
        <v>77</v>
      </c>
      <c r="N66" s="829" t="s">
        <v>282</v>
      </c>
      <c r="O66" s="106" t="s">
        <v>251</v>
      </c>
      <c r="P66" s="106" t="s">
        <v>4106</v>
      </c>
      <c r="Q66" s="106"/>
      <c r="R66" s="1064">
        <v>109593.60000000001</v>
      </c>
      <c r="S66" s="1463">
        <v>41817</v>
      </c>
      <c r="T66" s="1071">
        <v>41821</v>
      </c>
      <c r="U66" s="1077">
        <v>41834</v>
      </c>
      <c r="V66" s="1082" t="s">
        <v>68</v>
      </c>
      <c r="W66" s="829" t="s">
        <v>68</v>
      </c>
      <c r="X66" s="1464" t="s">
        <v>114</v>
      </c>
      <c r="Y66" s="1465">
        <v>41837</v>
      </c>
      <c r="Z66" s="1061"/>
      <c r="AA66" s="308" t="s">
        <v>280</v>
      </c>
      <c r="AB66" s="1063">
        <v>41830</v>
      </c>
      <c r="AC66" s="1064">
        <v>109593.60000000001</v>
      </c>
      <c r="AD66" s="1064"/>
      <c r="AE66" s="1065"/>
      <c r="AF66" s="1066" t="s">
        <v>68</v>
      </c>
      <c r="AG66" s="1067" t="s">
        <v>68</v>
      </c>
      <c r="AH66" s="1067" t="s">
        <v>68</v>
      </c>
      <c r="AI66" s="1068" t="s">
        <v>68</v>
      </c>
      <c r="AJ66" s="1466" t="s">
        <v>68</v>
      </c>
      <c r="AK66" s="308" t="s">
        <v>68</v>
      </c>
      <c r="AL66" s="1070" t="s">
        <v>68</v>
      </c>
      <c r="AM66" s="1070"/>
      <c r="AN66" s="1070" t="s">
        <v>68</v>
      </c>
      <c r="AO66" s="1070"/>
      <c r="AP66" s="1070" t="s">
        <v>68</v>
      </c>
      <c r="AQ66" s="1070"/>
      <c r="AR66" s="1072"/>
      <c r="AS66" s="1073">
        <v>30578.12</v>
      </c>
      <c r="AT66" s="1074">
        <v>68868.759999999995</v>
      </c>
      <c r="AU66" s="1075"/>
      <c r="AV66" s="1076" t="s">
        <v>74</v>
      </c>
      <c r="AW66" s="1077"/>
      <c r="AX66" s="1076"/>
      <c r="AY66" s="1079"/>
      <c r="AZ66" s="829"/>
      <c r="BA66" s="1070"/>
      <c r="BB66" s="1070"/>
      <c r="BC66" s="1080"/>
      <c r="BD66" s="829"/>
      <c r="BE66" s="1473"/>
      <c r="BF66" s="1070"/>
      <c r="BG66" s="1070"/>
      <c r="BH66" s="1070"/>
      <c r="BI66" s="1081">
        <v>99446.87999999999</v>
      </c>
      <c r="BJ66" s="1082"/>
      <c r="BK66" s="1816"/>
      <c r="BL66" s="1470" t="s">
        <v>68</v>
      </c>
      <c r="BM66" s="1471" t="s">
        <v>68</v>
      </c>
      <c r="BN66" s="1471" t="s">
        <v>68</v>
      </c>
      <c r="BO66" s="1470"/>
      <c r="BP66" s="1470"/>
      <c r="BQ66" s="1470"/>
      <c r="BR66" s="1470"/>
      <c r="BS66" s="1470"/>
      <c r="BT66" s="1470"/>
      <c r="BU66" s="1470"/>
      <c r="BV66" s="1470" t="s">
        <v>68</v>
      </c>
      <c r="BW66" s="1082"/>
      <c r="BX66" s="1082"/>
      <c r="BY66" s="1082"/>
      <c r="BZ66" s="1082"/>
      <c r="CA66" s="1082"/>
      <c r="CB66" s="1472" t="s">
        <v>1427</v>
      </c>
      <c r="CC66" s="1085" t="s">
        <v>76</v>
      </c>
      <c r="CD66" s="516"/>
      <c r="CE66" s="516"/>
      <c r="CF66" s="516"/>
      <c r="CG66" s="516"/>
      <c r="CH66" s="516"/>
      <c r="CI66" s="516"/>
      <c r="CJ66" s="516"/>
      <c r="CK66" s="1473"/>
    </row>
    <row r="67" spans="2:89" s="1050" customFormat="1" ht="80.099999999999994" hidden="1" customHeight="1">
      <c r="B67" s="1051"/>
      <c r="C67" s="1051"/>
      <c r="D67" s="1051"/>
      <c r="E67" s="1051"/>
      <c r="F67" s="1051"/>
      <c r="G67" s="553">
        <v>42005</v>
      </c>
      <c r="H67" s="553"/>
      <c r="I67" s="553"/>
      <c r="J67" s="532">
        <v>2014</v>
      </c>
      <c r="K67" s="1418"/>
      <c r="L67" s="1418"/>
      <c r="M67" s="1080" t="s">
        <v>77</v>
      </c>
      <c r="N67" s="829" t="s">
        <v>283</v>
      </c>
      <c r="O67" s="106" t="s">
        <v>251</v>
      </c>
      <c r="P67" s="106" t="s">
        <v>4107</v>
      </c>
      <c r="Q67" s="106"/>
      <c r="R67" s="1064">
        <v>56400.28</v>
      </c>
      <c r="S67" s="1463">
        <v>41845</v>
      </c>
      <c r="T67" s="1071">
        <v>41848</v>
      </c>
      <c r="U67" s="1077">
        <v>41860</v>
      </c>
      <c r="V67" s="1082" t="s">
        <v>68</v>
      </c>
      <c r="W67" s="829" t="s">
        <v>68</v>
      </c>
      <c r="X67" s="1464" t="s">
        <v>114</v>
      </c>
      <c r="Y67" s="1465">
        <v>41837</v>
      </c>
      <c r="Z67" s="1061"/>
      <c r="AA67" s="308" t="s">
        <v>280</v>
      </c>
      <c r="AB67" s="1063">
        <v>41830</v>
      </c>
      <c r="AC67" s="1064">
        <v>56400.28</v>
      </c>
      <c r="AD67" s="1064"/>
      <c r="AE67" s="1065"/>
      <c r="AF67" s="1066" t="s">
        <v>68</v>
      </c>
      <c r="AG67" s="1067" t="s">
        <v>68</v>
      </c>
      <c r="AH67" s="1067" t="s">
        <v>68</v>
      </c>
      <c r="AI67" s="1068" t="s">
        <v>68</v>
      </c>
      <c r="AJ67" s="1466" t="s">
        <v>68</v>
      </c>
      <c r="AK67" s="308" t="s">
        <v>68</v>
      </c>
      <c r="AL67" s="1070" t="s">
        <v>68</v>
      </c>
      <c r="AM67" s="1070"/>
      <c r="AN67" s="1070" t="s">
        <v>68</v>
      </c>
      <c r="AO67" s="1070"/>
      <c r="AP67" s="1070" t="s">
        <v>68</v>
      </c>
      <c r="AQ67" s="1070"/>
      <c r="AR67" s="1072"/>
      <c r="AS67" s="1467">
        <v>0</v>
      </c>
      <c r="AT67" s="1468">
        <f>BI67</f>
        <v>0</v>
      </c>
      <c r="AU67" s="1469"/>
      <c r="AV67" s="1076" t="s">
        <v>74</v>
      </c>
      <c r="AW67" s="1077"/>
      <c r="AX67" s="1076"/>
      <c r="AY67" s="1079"/>
      <c r="AZ67" s="829"/>
      <c r="BA67" s="1070"/>
      <c r="BB67" s="1070"/>
      <c r="BC67" s="1080"/>
      <c r="BD67" s="829"/>
      <c r="BE67" s="1473"/>
      <c r="BF67" s="1070"/>
      <c r="BG67" s="1070"/>
      <c r="BH67" s="1070"/>
      <c r="BI67" s="1081">
        <v>0</v>
      </c>
      <c r="BJ67" s="1082"/>
      <c r="BK67" s="1816"/>
      <c r="BL67" s="1470" t="s">
        <v>68</v>
      </c>
      <c r="BM67" s="1471" t="s">
        <v>68</v>
      </c>
      <c r="BN67" s="1471" t="s">
        <v>68</v>
      </c>
      <c r="BO67" s="1470"/>
      <c r="BP67" s="1470"/>
      <c r="BQ67" s="1470"/>
      <c r="BR67" s="1470"/>
      <c r="BS67" s="1470"/>
      <c r="BT67" s="1470"/>
      <c r="BU67" s="1470"/>
      <c r="BV67" s="1470" t="s">
        <v>68</v>
      </c>
      <c r="BW67" s="1082"/>
      <c r="BX67" s="1082"/>
      <c r="BY67" s="1082"/>
      <c r="BZ67" s="1082"/>
      <c r="CA67" s="1082"/>
      <c r="CB67" s="1472" t="s">
        <v>1427</v>
      </c>
      <c r="CC67" s="1085" t="s">
        <v>76</v>
      </c>
      <c r="CD67" s="516"/>
      <c r="CE67" s="516"/>
      <c r="CF67" s="516"/>
      <c r="CG67" s="516"/>
      <c r="CH67" s="516"/>
      <c r="CI67" s="516"/>
      <c r="CJ67" s="516"/>
      <c r="CK67" s="1473"/>
    </row>
    <row r="68" spans="2:89" s="1050" customFormat="1" ht="80.099999999999994" hidden="1" customHeight="1">
      <c r="B68" s="1051"/>
      <c r="C68" s="1051"/>
      <c r="D68" s="1051"/>
      <c r="E68" s="1051"/>
      <c r="F68" s="1051"/>
      <c r="G68" s="553">
        <v>42005</v>
      </c>
      <c r="H68" s="553"/>
      <c r="I68" s="553"/>
      <c r="J68" s="532">
        <v>2014</v>
      </c>
      <c r="K68" s="1418"/>
      <c r="L68" s="1418"/>
      <c r="M68" s="1080" t="s">
        <v>77</v>
      </c>
      <c r="N68" s="829" t="s">
        <v>284</v>
      </c>
      <c r="O68" s="106" t="s">
        <v>251</v>
      </c>
      <c r="P68" s="106" t="s">
        <v>4108</v>
      </c>
      <c r="Q68" s="106"/>
      <c r="R68" s="1064">
        <v>592587.04</v>
      </c>
      <c r="S68" s="1463">
        <v>41831</v>
      </c>
      <c r="T68" s="1071">
        <v>41848</v>
      </c>
      <c r="U68" s="1077">
        <v>41874</v>
      </c>
      <c r="V68" s="1082" t="s">
        <v>68</v>
      </c>
      <c r="W68" s="829" t="s">
        <v>68</v>
      </c>
      <c r="X68" s="1464" t="s">
        <v>114</v>
      </c>
      <c r="Y68" s="1465">
        <v>41837</v>
      </c>
      <c r="Z68" s="1061"/>
      <c r="AA68" s="308" t="s">
        <v>280</v>
      </c>
      <c r="AB68" s="1063">
        <v>41830</v>
      </c>
      <c r="AC68" s="1064"/>
      <c r="AD68" s="1064"/>
      <c r="AE68" s="1065"/>
      <c r="AF68" s="1066" t="s">
        <v>68</v>
      </c>
      <c r="AG68" s="1067" t="s">
        <v>68</v>
      </c>
      <c r="AH68" s="1067" t="s">
        <v>68</v>
      </c>
      <c r="AI68" s="1068" t="s">
        <v>68</v>
      </c>
      <c r="AJ68" s="1466" t="s">
        <v>68</v>
      </c>
      <c r="AK68" s="308" t="s">
        <v>68</v>
      </c>
      <c r="AL68" s="1070" t="s">
        <v>68</v>
      </c>
      <c r="AM68" s="1070"/>
      <c r="AN68" s="1070" t="s">
        <v>68</v>
      </c>
      <c r="AO68" s="1070"/>
      <c r="AP68" s="1070" t="s">
        <v>68</v>
      </c>
      <c r="AQ68" s="1070"/>
      <c r="AR68" s="1072"/>
      <c r="AS68" s="1073">
        <v>104941.03</v>
      </c>
      <c r="AT68" s="1074">
        <v>186129.4</v>
      </c>
      <c r="AU68" s="1075"/>
      <c r="AV68" s="1076" t="s">
        <v>74</v>
      </c>
      <c r="AW68" s="1077"/>
      <c r="AX68" s="1076"/>
      <c r="AY68" s="1079"/>
      <c r="AZ68" s="829"/>
      <c r="BA68" s="1070"/>
      <c r="BB68" s="1070"/>
      <c r="BC68" s="1080"/>
      <c r="BD68" s="829"/>
      <c r="BE68" s="1473"/>
      <c r="BF68" s="1070"/>
      <c r="BG68" s="1070"/>
      <c r="BH68" s="1070"/>
      <c r="BI68" s="1081">
        <v>291070.43</v>
      </c>
      <c r="BJ68" s="1082"/>
      <c r="BK68" s="1816"/>
      <c r="BL68" s="1470" t="s">
        <v>68</v>
      </c>
      <c r="BM68" s="1471" t="s">
        <v>68</v>
      </c>
      <c r="BN68" s="1471" t="s">
        <v>68</v>
      </c>
      <c r="BO68" s="1470"/>
      <c r="BP68" s="1470"/>
      <c r="BQ68" s="1470"/>
      <c r="BR68" s="1470"/>
      <c r="BS68" s="1470"/>
      <c r="BT68" s="1470"/>
      <c r="BU68" s="1470"/>
      <c r="BV68" s="1470" t="s">
        <v>68</v>
      </c>
      <c r="BW68" s="1082"/>
      <c r="BX68" s="1082"/>
      <c r="BY68" s="1082"/>
      <c r="BZ68" s="1082"/>
      <c r="CA68" s="1082"/>
      <c r="CB68" s="1472" t="s">
        <v>1427</v>
      </c>
      <c r="CC68" s="1085" t="s">
        <v>76</v>
      </c>
      <c r="CD68" s="516"/>
      <c r="CE68" s="516"/>
      <c r="CF68" s="516"/>
      <c r="CG68" s="516"/>
      <c r="CH68" s="516"/>
      <c r="CI68" s="516"/>
      <c r="CJ68" s="516"/>
      <c r="CK68" s="1473"/>
    </row>
    <row r="69" spans="2:89" s="1050" customFormat="1" ht="80.099999999999994" hidden="1" customHeight="1">
      <c r="B69" s="1051"/>
      <c r="C69" s="1051"/>
      <c r="D69" s="1051"/>
      <c r="E69" s="1051"/>
      <c r="F69" s="1051"/>
      <c r="G69" s="553">
        <v>42005</v>
      </c>
      <c r="H69" s="553"/>
      <c r="I69" s="553"/>
      <c r="J69" s="532">
        <v>2014</v>
      </c>
      <c r="K69" s="1418"/>
      <c r="L69" s="1418"/>
      <c r="M69" s="1080" t="s">
        <v>77</v>
      </c>
      <c r="N69" s="829" t="s">
        <v>285</v>
      </c>
      <c r="O69" s="106" t="s">
        <v>251</v>
      </c>
      <c r="P69" s="106" t="s">
        <v>4109</v>
      </c>
      <c r="Q69" s="106"/>
      <c r="R69" s="1064">
        <v>346618.19</v>
      </c>
      <c r="S69" s="1463">
        <v>41873</v>
      </c>
      <c r="T69" s="1071">
        <v>41876</v>
      </c>
      <c r="U69" s="1077">
        <v>41902</v>
      </c>
      <c r="V69" s="1082" t="s">
        <v>68</v>
      </c>
      <c r="W69" s="829" t="s">
        <v>68</v>
      </c>
      <c r="X69" s="1464" t="s">
        <v>114</v>
      </c>
      <c r="Y69" s="1465">
        <v>41837</v>
      </c>
      <c r="Z69" s="1061"/>
      <c r="AA69" s="1474" t="s">
        <v>280</v>
      </c>
      <c r="AB69" s="1063">
        <v>41830</v>
      </c>
      <c r="AC69" s="1064">
        <v>346618.19</v>
      </c>
      <c r="AD69" s="1064"/>
      <c r="AE69" s="1065"/>
      <c r="AF69" s="1066" t="s">
        <v>68</v>
      </c>
      <c r="AG69" s="1067" t="s">
        <v>68</v>
      </c>
      <c r="AH69" s="1067" t="s">
        <v>68</v>
      </c>
      <c r="AI69" s="1068" t="s">
        <v>68</v>
      </c>
      <c r="AJ69" s="1466" t="s">
        <v>68</v>
      </c>
      <c r="AK69" s="308" t="s">
        <v>68</v>
      </c>
      <c r="AL69" s="1070" t="s">
        <v>68</v>
      </c>
      <c r="AM69" s="1070"/>
      <c r="AN69" s="1070" t="s">
        <v>68</v>
      </c>
      <c r="AO69" s="1070"/>
      <c r="AP69" s="1070" t="s">
        <v>68</v>
      </c>
      <c r="AQ69" s="1070"/>
      <c r="AR69" s="1072"/>
      <c r="AS69" s="1467">
        <v>0</v>
      </c>
      <c r="AT69" s="1468">
        <f>BI69</f>
        <v>0</v>
      </c>
      <c r="AU69" s="1469"/>
      <c r="AV69" s="1076" t="s">
        <v>74</v>
      </c>
      <c r="AW69" s="1077"/>
      <c r="AX69" s="1076"/>
      <c r="AY69" s="1079"/>
      <c r="AZ69" s="829"/>
      <c r="BA69" s="1070"/>
      <c r="BB69" s="1070"/>
      <c r="BC69" s="1080"/>
      <c r="BD69" s="829"/>
      <c r="BE69" s="1473"/>
      <c r="BF69" s="1070"/>
      <c r="BG69" s="1070"/>
      <c r="BH69" s="1070"/>
      <c r="BI69" s="1081">
        <v>0</v>
      </c>
      <c r="BJ69" s="1082"/>
      <c r="BK69" s="1816"/>
      <c r="BL69" s="1470" t="s">
        <v>68</v>
      </c>
      <c r="BM69" s="1471" t="s">
        <v>68</v>
      </c>
      <c r="BN69" s="1471" t="s">
        <v>68</v>
      </c>
      <c r="BO69" s="1470"/>
      <c r="BP69" s="1470"/>
      <c r="BQ69" s="1470"/>
      <c r="BR69" s="1470"/>
      <c r="BS69" s="1470"/>
      <c r="BT69" s="1470"/>
      <c r="BU69" s="1470"/>
      <c r="BV69" s="1470" t="s">
        <v>68</v>
      </c>
      <c r="BW69" s="1082"/>
      <c r="BX69" s="1082"/>
      <c r="BY69" s="1082"/>
      <c r="BZ69" s="1082"/>
      <c r="CA69" s="1082"/>
      <c r="CB69" s="1472" t="s">
        <v>1427</v>
      </c>
      <c r="CC69" s="1085" t="s">
        <v>76</v>
      </c>
      <c r="CD69" s="516"/>
      <c r="CE69" s="516"/>
      <c r="CF69" s="516"/>
      <c r="CG69" s="516"/>
      <c r="CH69" s="516"/>
      <c r="CI69" s="516"/>
      <c r="CJ69" s="516"/>
      <c r="CK69" s="1473"/>
    </row>
    <row r="70" spans="2:89" s="1050" customFormat="1" ht="80.099999999999994" hidden="1" customHeight="1">
      <c r="B70" s="1051"/>
      <c r="C70" s="1051"/>
      <c r="D70" s="1051"/>
      <c r="E70" s="1051"/>
      <c r="F70" s="1051"/>
      <c r="G70" s="553">
        <v>42005</v>
      </c>
      <c r="H70" s="553"/>
      <c r="I70" s="553"/>
      <c r="J70" s="532">
        <v>2014</v>
      </c>
      <c r="K70" s="1418"/>
      <c r="L70" s="1418"/>
      <c r="M70" s="1080" t="s">
        <v>77</v>
      </c>
      <c r="N70" s="829" t="s">
        <v>286</v>
      </c>
      <c r="O70" s="106" t="s">
        <v>251</v>
      </c>
      <c r="P70" s="106" t="s">
        <v>4110</v>
      </c>
      <c r="Q70" s="106"/>
      <c r="R70" s="1064">
        <v>100696.44</v>
      </c>
      <c r="S70" s="1463">
        <v>41887</v>
      </c>
      <c r="T70" s="1071">
        <v>41890</v>
      </c>
      <c r="U70" s="1077">
        <v>41902</v>
      </c>
      <c r="V70" s="1082" t="s">
        <v>68</v>
      </c>
      <c r="W70" s="829" t="s">
        <v>68</v>
      </c>
      <c r="X70" s="1464" t="s">
        <v>114</v>
      </c>
      <c r="Y70" s="1465">
        <v>41855</v>
      </c>
      <c r="Z70" s="1061"/>
      <c r="AA70" s="1474" t="s">
        <v>280</v>
      </c>
      <c r="AB70" s="1063">
        <v>41830</v>
      </c>
      <c r="AC70" s="1064">
        <v>100696.44</v>
      </c>
      <c r="AD70" s="1064"/>
      <c r="AE70" s="1065"/>
      <c r="AF70" s="1066" t="s">
        <v>68</v>
      </c>
      <c r="AG70" s="1067" t="s">
        <v>68</v>
      </c>
      <c r="AH70" s="1067" t="s">
        <v>68</v>
      </c>
      <c r="AI70" s="1068" t="s">
        <v>68</v>
      </c>
      <c r="AJ70" s="1466" t="s">
        <v>68</v>
      </c>
      <c r="AK70" s="308" t="s">
        <v>68</v>
      </c>
      <c r="AL70" s="1070" t="s">
        <v>68</v>
      </c>
      <c r="AM70" s="1070"/>
      <c r="AN70" s="1070" t="s">
        <v>68</v>
      </c>
      <c r="AO70" s="1070"/>
      <c r="AP70" s="1070" t="s">
        <v>68</v>
      </c>
      <c r="AQ70" s="1070"/>
      <c r="AR70" s="1072"/>
      <c r="AS70" s="1073">
        <v>16447.95</v>
      </c>
      <c r="AT70" s="1074">
        <v>38537.69</v>
      </c>
      <c r="AU70" s="1075"/>
      <c r="AV70" s="1076" t="s">
        <v>74</v>
      </c>
      <c r="AW70" s="1077"/>
      <c r="AX70" s="1076"/>
      <c r="AY70" s="1079"/>
      <c r="AZ70" s="829"/>
      <c r="BA70" s="1070"/>
      <c r="BB70" s="1070"/>
      <c r="BC70" s="1080"/>
      <c r="BD70" s="829"/>
      <c r="BE70" s="1473"/>
      <c r="BF70" s="1070"/>
      <c r="BG70" s="1070"/>
      <c r="BH70" s="1070"/>
      <c r="BI70" s="1081">
        <v>54985.64</v>
      </c>
      <c r="BJ70" s="1082"/>
      <c r="BK70" s="1816"/>
      <c r="BL70" s="1470" t="s">
        <v>68</v>
      </c>
      <c r="BM70" s="1471" t="s">
        <v>68</v>
      </c>
      <c r="BN70" s="1471" t="s">
        <v>68</v>
      </c>
      <c r="BO70" s="1470"/>
      <c r="BP70" s="1470"/>
      <c r="BQ70" s="1470"/>
      <c r="BR70" s="1470"/>
      <c r="BS70" s="1470"/>
      <c r="BT70" s="1470"/>
      <c r="BU70" s="1470"/>
      <c r="BV70" s="1470" t="s">
        <v>68</v>
      </c>
      <c r="BW70" s="1082"/>
      <c r="BX70" s="1082"/>
      <c r="BY70" s="1082"/>
      <c r="BZ70" s="1082"/>
      <c r="CA70" s="1082"/>
      <c r="CB70" s="1472" t="s">
        <v>1427</v>
      </c>
      <c r="CC70" s="1085" t="s">
        <v>76</v>
      </c>
      <c r="CD70" s="516"/>
      <c r="CE70" s="516"/>
      <c r="CF70" s="516"/>
      <c r="CG70" s="516"/>
      <c r="CH70" s="516"/>
      <c r="CI70" s="516"/>
      <c r="CJ70" s="516"/>
      <c r="CK70" s="1473"/>
    </row>
    <row r="71" spans="2:89" s="1050" customFormat="1" ht="80.099999999999994" hidden="1" customHeight="1">
      <c r="B71" s="1051"/>
      <c r="C71" s="1051"/>
      <c r="D71" s="1051"/>
      <c r="E71" s="1051"/>
      <c r="F71" s="1051"/>
      <c r="G71" s="553">
        <v>42005</v>
      </c>
      <c r="H71" s="553"/>
      <c r="I71" s="553"/>
      <c r="J71" s="532">
        <v>2014</v>
      </c>
      <c r="K71" s="1418"/>
      <c r="L71" s="1418"/>
      <c r="M71" s="1080" t="s">
        <v>77</v>
      </c>
      <c r="N71" s="829" t="s">
        <v>287</v>
      </c>
      <c r="O71" s="106" t="s">
        <v>251</v>
      </c>
      <c r="P71" s="106" t="s">
        <v>4111</v>
      </c>
      <c r="Q71" s="106"/>
      <c r="R71" s="1064">
        <v>129939.7</v>
      </c>
      <c r="S71" s="1463">
        <v>41873</v>
      </c>
      <c r="T71" s="1071">
        <v>41876</v>
      </c>
      <c r="U71" s="1077">
        <v>41888</v>
      </c>
      <c r="V71" s="1082" t="s">
        <v>68</v>
      </c>
      <c r="W71" s="829" t="s">
        <v>68</v>
      </c>
      <c r="X71" s="1464" t="s">
        <v>114</v>
      </c>
      <c r="Y71" s="1465">
        <v>41855</v>
      </c>
      <c r="Z71" s="1061"/>
      <c r="AA71" s="1474" t="s">
        <v>280</v>
      </c>
      <c r="AB71" s="1063">
        <v>41830</v>
      </c>
      <c r="AC71" s="1064">
        <v>129939.7</v>
      </c>
      <c r="AD71" s="1064"/>
      <c r="AE71" s="1065"/>
      <c r="AF71" s="1066" t="s">
        <v>68</v>
      </c>
      <c r="AG71" s="1067" t="s">
        <v>68</v>
      </c>
      <c r="AH71" s="1067" t="s">
        <v>68</v>
      </c>
      <c r="AI71" s="1068" t="s">
        <v>68</v>
      </c>
      <c r="AJ71" s="1466" t="s">
        <v>68</v>
      </c>
      <c r="AK71" s="308" t="s">
        <v>68</v>
      </c>
      <c r="AL71" s="1070" t="s">
        <v>68</v>
      </c>
      <c r="AM71" s="1070"/>
      <c r="AN71" s="1070" t="s">
        <v>68</v>
      </c>
      <c r="AO71" s="1070"/>
      <c r="AP71" s="1070" t="s">
        <v>68</v>
      </c>
      <c r="AQ71" s="1070"/>
      <c r="AR71" s="1072"/>
      <c r="AS71" s="1073">
        <v>17733.349999999999</v>
      </c>
      <c r="AT71" s="1074">
        <v>69608.899999999994</v>
      </c>
      <c r="AU71" s="1075"/>
      <c r="AV71" s="1076" t="s">
        <v>74</v>
      </c>
      <c r="AW71" s="1077"/>
      <c r="AX71" s="1076"/>
      <c r="AY71" s="1079"/>
      <c r="AZ71" s="829"/>
      <c r="BA71" s="1070"/>
      <c r="BB71" s="1070"/>
      <c r="BC71" s="1080"/>
      <c r="BD71" s="829"/>
      <c r="BE71" s="1473"/>
      <c r="BF71" s="1070"/>
      <c r="BG71" s="1070"/>
      <c r="BH71" s="1070"/>
      <c r="BI71" s="1081">
        <v>87342.25</v>
      </c>
      <c r="BJ71" s="1082"/>
      <c r="BK71" s="1816"/>
      <c r="BL71" s="1470" t="s">
        <v>68</v>
      </c>
      <c r="BM71" s="1471" t="s">
        <v>68</v>
      </c>
      <c r="BN71" s="1471" t="s">
        <v>68</v>
      </c>
      <c r="BO71" s="1470"/>
      <c r="BP71" s="1470"/>
      <c r="BQ71" s="1470"/>
      <c r="BR71" s="1470"/>
      <c r="BS71" s="1470"/>
      <c r="BT71" s="1470"/>
      <c r="BU71" s="1470"/>
      <c r="BV71" s="1470" t="s">
        <v>68</v>
      </c>
      <c r="BW71" s="1082"/>
      <c r="BX71" s="1082"/>
      <c r="BY71" s="1082"/>
      <c r="BZ71" s="1082"/>
      <c r="CA71" s="1082"/>
      <c r="CB71" s="1472" t="s">
        <v>1427</v>
      </c>
      <c r="CC71" s="1085" t="s">
        <v>76</v>
      </c>
      <c r="CD71" s="516"/>
      <c r="CE71" s="516"/>
      <c r="CF71" s="516"/>
      <c r="CG71" s="516"/>
      <c r="CH71" s="516"/>
      <c r="CI71" s="516"/>
      <c r="CJ71" s="516"/>
      <c r="CK71" s="1473"/>
    </row>
    <row r="72" spans="2:89" s="1050" customFormat="1" ht="80.099999999999994" hidden="1" customHeight="1">
      <c r="B72" s="1051"/>
      <c r="C72" s="1051"/>
      <c r="D72" s="1051"/>
      <c r="E72" s="1051"/>
      <c r="F72" s="1051"/>
      <c r="G72" s="553">
        <v>42005</v>
      </c>
      <c r="H72" s="553"/>
      <c r="I72" s="553"/>
      <c r="J72" s="532">
        <v>2014</v>
      </c>
      <c r="K72" s="1418"/>
      <c r="L72" s="1418"/>
      <c r="M72" s="1080" t="s">
        <v>77</v>
      </c>
      <c r="N72" s="829" t="s">
        <v>288</v>
      </c>
      <c r="O72" s="106" t="s">
        <v>251</v>
      </c>
      <c r="P72" s="106" t="s">
        <v>4112</v>
      </c>
      <c r="Q72" s="106"/>
      <c r="R72" s="1064">
        <v>659302.69999999995</v>
      </c>
      <c r="S72" s="1463">
        <v>41901</v>
      </c>
      <c r="T72" s="1071">
        <v>41904</v>
      </c>
      <c r="U72" s="1077">
        <v>41930</v>
      </c>
      <c r="V72" s="1082" t="s">
        <v>68</v>
      </c>
      <c r="W72" s="829" t="s">
        <v>68</v>
      </c>
      <c r="X72" s="1464" t="s">
        <v>114</v>
      </c>
      <c r="Y72" s="1465">
        <v>41855</v>
      </c>
      <c r="Z72" s="1061"/>
      <c r="AA72" s="1474" t="s">
        <v>280</v>
      </c>
      <c r="AB72" s="1063">
        <v>41830</v>
      </c>
      <c r="AC72" s="1064"/>
      <c r="AD72" s="1064"/>
      <c r="AE72" s="1065"/>
      <c r="AF72" s="1066" t="s">
        <v>68</v>
      </c>
      <c r="AG72" s="1067" t="s">
        <v>68</v>
      </c>
      <c r="AH72" s="1067" t="s">
        <v>68</v>
      </c>
      <c r="AI72" s="1068" t="s">
        <v>68</v>
      </c>
      <c r="AJ72" s="1466" t="s">
        <v>68</v>
      </c>
      <c r="AK72" s="308" t="s">
        <v>68</v>
      </c>
      <c r="AL72" s="1070" t="s">
        <v>68</v>
      </c>
      <c r="AM72" s="1070"/>
      <c r="AN72" s="1070" t="s">
        <v>68</v>
      </c>
      <c r="AO72" s="1070"/>
      <c r="AP72" s="1070" t="s">
        <v>68</v>
      </c>
      <c r="AQ72" s="1070"/>
      <c r="AR72" s="1072"/>
      <c r="AS72" s="1073">
        <v>91012.84</v>
      </c>
      <c r="AT72" s="1074">
        <v>150324</v>
      </c>
      <c r="AU72" s="1075"/>
      <c r="AV72" s="1076" t="s">
        <v>74</v>
      </c>
      <c r="AW72" s="1077"/>
      <c r="AX72" s="1076"/>
      <c r="AY72" s="1079"/>
      <c r="AZ72" s="829"/>
      <c r="BA72" s="1070"/>
      <c r="BB72" s="1070"/>
      <c r="BC72" s="1080"/>
      <c r="BD72" s="829"/>
      <c r="BE72" s="1473"/>
      <c r="BF72" s="1070"/>
      <c r="BG72" s="1070"/>
      <c r="BH72" s="1070"/>
      <c r="BI72" s="1081">
        <v>241336.84</v>
      </c>
      <c r="BJ72" s="1082"/>
      <c r="BK72" s="1816"/>
      <c r="BL72" s="1470" t="s">
        <v>68</v>
      </c>
      <c r="BM72" s="1471" t="s">
        <v>68</v>
      </c>
      <c r="BN72" s="1471" t="s">
        <v>68</v>
      </c>
      <c r="BO72" s="1470"/>
      <c r="BP72" s="1470"/>
      <c r="BQ72" s="1470"/>
      <c r="BR72" s="1470"/>
      <c r="BS72" s="1470"/>
      <c r="BT72" s="1470"/>
      <c r="BU72" s="1470"/>
      <c r="BV72" s="1470" t="s">
        <v>68</v>
      </c>
      <c r="BW72" s="1082"/>
      <c r="BX72" s="1082"/>
      <c r="BY72" s="1082"/>
      <c r="BZ72" s="1082"/>
      <c r="CA72" s="1082"/>
      <c r="CB72" s="1472" t="s">
        <v>1427</v>
      </c>
      <c r="CC72" s="1085" t="s">
        <v>76</v>
      </c>
      <c r="CD72" s="516"/>
      <c r="CE72" s="516"/>
      <c r="CF72" s="516"/>
      <c r="CG72" s="516"/>
      <c r="CH72" s="516"/>
      <c r="CI72" s="516"/>
      <c r="CJ72" s="516"/>
      <c r="CK72" s="1473"/>
    </row>
    <row r="73" spans="2:89" customFormat="1" ht="80.099999999999994" hidden="1" customHeight="1">
      <c r="B73" s="22"/>
      <c r="C73" s="22"/>
      <c r="D73" s="22"/>
      <c r="E73" s="22"/>
      <c r="F73" s="22"/>
      <c r="G73" s="915">
        <v>42005</v>
      </c>
      <c r="H73" s="915"/>
      <c r="I73" s="448">
        <v>42979</v>
      </c>
      <c r="J73" s="16">
        <v>2014</v>
      </c>
      <c r="K73" s="1415"/>
      <c r="L73" s="1415"/>
      <c r="M73" s="18" t="s">
        <v>64</v>
      </c>
      <c r="N73" s="19" t="s">
        <v>289</v>
      </c>
      <c r="O73" s="2" t="s">
        <v>66</v>
      </c>
      <c r="P73" s="3" t="s">
        <v>290</v>
      </c>
      <c r="Q73" s="3"/>
      <c r="R73" s="4">
        <v>2564100.69</v>
      </c>
      <c r="S73" s="6">
        <v>41824</v>
      </c>
      <c r="T73" s="5">
        <v>41855</v>
      </c>
      <c r="U73" s="11">
        <v>41884</v>
      </c>
      <c r="V73" s="13" t="s">
        <v>68</v>
      </c>
      <c r="W73" s="33" t="s">
        <v>69</v>
      </c>
      <c r="X73" s="18" t="s">
        <v>70</v>
      </c>
      <c r="Y73" s="62">
        <v>41842</v>
      </c>
      <c r="Z73" s="105"/>
      <c r="AA73" s="19" t="s">
        <v>291</v>
      </c>
      <c r="AB73" s="8">
        <v>41718</v>
      </c>
      <c r="AC73" s="4">
        <v>2564102.5699999998</v>
      </c>
      <c r="AD73" s="4"/>
      <c r="AE73" s="32"/>
      <c r="AF73" s="34">
        <v>41820</v>
      </c>
      <c r="AG73" s="112">
        <v>41824</v>
      </c>
      <c r="AH73" s="112" t="s">
        <v>68</v>
      </c>
      <c r="AI73" s="7">
        <v>41824</v>
      </c>
      <c r="AJ73" s="215">
        <v>41824</v>
      </c>
      <c r="AK73" s="241" t="s">
        <v>232</v>
      </c>
      <c r="AL73" s="1">
        <v>1850636</v>
      </c>
      <c r="AM73" s="5">
        <v>41824</v>
      </c>
      <c r="AN73" s="1">
        <v>1850641</v>
      </c>
      <c r="AO73" s="5">
        <v>41827</v>
      </c>
      <c r="AP73" s="242">
        <v>1861341</v>
      </c>
      <c r="AQ73" s="5">
        <v>41970</v>
      </c>
      <c r="AR73" s="279"/>
      <c r="AS73" s="35">
        <v>0</v>
      </c>
      <c r="AT73" s="895">
        <v>2586760.2200000002</v>
      </c>
      <c r="AU73" s="884"/>
      <c r="AV73" s="30">
        <v>41858</v>
      </c>
      <c r="AW73" s="11">
        <v>41912</v>
      </c>
      <c r="AX73" s="30" t="s">
        <v>68</v>
      </c>
      <c r="AY73" s="52" t="s">
        <v>68</v>
      </c>
      <c r="AZ73" s="225">
        <v>41918</v>
      </c>
      <c r="BA73" s="5">
        <v>41916</v>
      </c>
      <c r="BB73" s="5">
        <v>41900</v>
      </c>
      <c r="BC73" s="11">
        <v>41916</v>
      </c>
      <c r="BD73" s="225">
        <v>41919</v>
      </c>
      <c r="BE73" s="1606"/>
      <c r="BF73" s="5">
        <v>41855</v>
      </c>
      <c r="BG73" s="5">
        <v>41900</v>
      </c>
      <c r="BH73" s="5">
        <v>41916</v>
      </c>
      <c r="BI73" s="36">
        <v>2586760.2200000002</v>
      </c>
      <c r="BJ73" s="254">
        <v>41919</v>
      </c>
      <c r="BK73" s="1817"/>
      <c r="BL73" s="694" t="s">
        <v>68</v>
      </c>
      <c r="BM73" s="695" t="s">
        <v>68</v>
      </c>
      <c r="BN73" s="695" t="s">
        <v>68</v>
      </c>
      <c r="BO73" s="694"/>
      <c r="BP73" s="694"/>
      <c r="BQ73" s="694"/>
      <c r="BR73" s="694"/>
      <c r="BS73" s="694"/>
      <c r="BT73" s="694"/>
      <c r="BU73" s="694"/>
      <c r="BV73" s="694" t="s">
        <v>68</v>
      </c>
      <c r="BW73" s="13"/>
      <c r="BX73" s="13"/>
      <c r="BY73" s="13"/>
      <c r="BZ73" s="13"/>
      <c r="CA73" s="13"/>
      <c r="CB73" s="1220" t="s">
        <v>1427</v>
      </c>
      <c r="CC73" s="38" t="s">
        <v>76</v>
      </c>
      <c r="CD73" s="513"/>
      <c r="CE73" s="513"/>
      <c r="CF73" s="513"/>
      <c r="CG73" s="513"/>
      <c r="CH73" s="513"/>
      <c r="CI73" s="513"/>
      <c r="CJ73" s="513"/>
      <c r="CK73" s="12"/>
    </row>
    <row r="74" spans="2:89" customFormat="1" ht="80.099999999999994" hidden="1" customHeight="1">
      <c r="B74" s="22"/>
      <c r="C74" s="22"/>
      <c r="D74" s="22"/>
      <c r="E74" s="22"/>
      <c r="F74" s="22"/>
      <c r="G74" s="915">
        <v>42005</v>
      </c>
      <c r="H74" s="915"/>
      <c r="I74" s="448"/>
      <c r="J74" s="16">
        <v>2014</v>
      </c>
      <c r="K74" s="1415"/>
      <c r="L74" s="1415"/>
      <c r="M74" s="18" t="s">
        <v>166</v>
      </c>
      <c r="N74" s="19" t="s">
        <v>292</v>
      </c>
      <c r="O74" s="2" t="s">
        <v>4032</v>
      </c>
      <c r="P74" s="3" t="s">
        <v>293</v>
      </c>
      <c r="Q74" s="3"/>
      <c r="R74" s="4">
        <v>119790.69</v>
      </c>
      <c r="S74" s="6">
        <v>41876</v>
      </c>
      <c r="T74" s="5">
        <v>41876</v>
      </c>
      <c r="U74" s="11">
        <v>41907</v>
      </c>
      <c r="V74" s="13" t="s">
        <v>68</v>
      </c>
      <c r="W74" s="19" t="s">
        <v>68</v>
      </c>
      <c r="X74" s="18" t="s">
        <v>70</v>
      </c>
      <c r="Y74" s="200" t="s">
        <v>68</v>
      </c>
      <c r="Z74" s="368"/>
      <c r="AA74" s="19" t="s">
        <v>294</v>
      </c>
      <c r="AB74" s="8">
        <v>41876</v>
      </c>
      <c r="AC74" s="4">
        <v>107289.52</v>
      </c>
      <c r="AD74" s="4"/>
      <c r="AE74" s="32"/>
      <c r="AF74" s="34" t="s">
        <v>68</v>
      </c>
      <c r="AG74" s="112" t="s">
        <v>68</v>
      </c>
      <c r="AH74" s="112" t="s">
        <v>68</v>
      </c>
      <c r="AI74" s="7" t="s">
        <v>68</v>
      </c>
      <c r="AJ74" s="215" t="s">
        <v>68</v>
      </c>
      <c r="AK74" s="33" t="s">
        <v>68</v>
      </c>
      <c r="AL74" s="1" t="s">
        <v>68</v>
      </c>
      <c r="AM74" s="1"/>
      <c r="AN74" s="1" t="s">
        <v>68</v>
      </c>
      <c r="AO74" s="1"/>
      <c r="AP74" s="1" t="s">
        <v>68</v>
      </c>
      <c r="AQ74" s="1"/>
      <c r="AR74" s="279"/>
      <c r="AS74" s="220">
        <v>0</v>
      </c>
      <c r="AT74" s="894">
        <f>BI74</f>
        <v>0</v>
      </c>
      <c r="AU74" s="883"/>
      <c r="AV74" s="230">
        <v>41877</v>
      </c>
      <c r="AW74" s="11">
        <v>41888</v>
      </c>
      <c r="AX74" s="223" t="s">
        <v>68</v>
      </c>
      <c r="AY74" s="52"/>
      <c r="AZ74" s="161" t="s">
        <v>74</v>
      </c>
      <c r="BA74" s="1"/>
      <c r="BB74" s="1"/>
      <c r="BC74" s="17"/>
      <c r="BD74" s="161" t="s">
        <v>74</v>
      </c>
      <c r="BE74" s="1402"/>
      <c r="BF74" s="1"/>
      <c r="BG74" s="1"/>
      <c r="BH74" s="1"/>
      <c r="BI74" s="36">
        <v>0</v>
      </c>
      <c r="BJ74" s="202" t="s">
        <v>74</v>
      </c>
      <c r="BK74" s="1108"/>
      <c r="BL74" s="694" t="s">
        <v>68</v>
      </c>
      <c r="BM74" s="695" t="s">
        <v>68</v>
      </c>
      <c r="BN74" s="695" t="s">
        <v>68</v>
      </c>
      <c r="BO74" s="694"/>
      <c r="BP74" s="694"/>
      <c r="BQ74" s="694"/>
      <c r="BR74" s="694"/>
      <c r="BS74" s="694"/>
      <c r="BT74" s="694"/>
      <c r="BU74" s="694"/>
      <c r="BV74" s="694" t="s">
        <v>68</v>
      </c>
      <c r="BW74" s="13"/>
      <c r="BX74" s="13"/>
      <c r="BY74" s="13"/>
      <c r="BZ74" s="13"/>
      <c r="CA74" s="13"/>
      <c r="CB74" s="1220" t="s">
        <v>1427</v>
      </c>
      <c r="CC74" s="38" t="s">
        <v>76</v>
      </c>
      <c r="CD74" s="513"/>
      <c r="CE74" s="513"/>
      <c r="CF74" s="513"/>
      <c r="CG74" s="513"/>
      <c r="CH74" s="513"/>
      <c r="CI74" s="513"/>
      <c r="CJ74" s="513"/>
      <c r="CK74" s="12"/>
    </row>
    <row r="75" spans="2:89" customFormat="1" ht="80.099999999999994" hidden="1" customHeight="1">
      <c r="B75" s="22"/>
      <c r="C75" s="22"/>
      <c r="D75" s="22"/>
      <c r="E75" s="22"/>
      <c r="F75" s="22"/>
      <c r="G75" s="915">
        <v>42005</v>
      </c>
      <c r="H75" s="915"/>
      <c r="I75" s="448"/>
      <c r="J75" s="16">
        <v>2014</v>
      </c>
      <c r="K75" s="1415"/>
      <c r="L75" s="1415"/>
      <c r="M75" s="17" t="s">
        <v>77</v>
      </c>
      <c r="N75" s="19" t="s">
        <v>295</v>
      </c>
      <c r="O75" s="2" t="s">
        <v>4032</v>
      </c>
      <c r="P75" s="3" t="s">
        <v>296</v>
      </c>
      <c r="Q75" s="3"/>
      <c r="R75" s="4">
        <v>1543344.7</v>
      </c>
      <c r="S75" s="6">
        <v>41883</v>
      </c>
      <c r="T75" s="5">
        <v>41883</v>
      </c>
      <c r="U75" s="5">
        <v>41912</v>
      </c>
      <c r="V75" s="13" t="s">
        <v>68</v>
      </c>
      <c r="W75" s="19" t="s">
        <v>68</v>
      </c>
      <c r="X75" s="18" t="s">
        <v>114</v>
      </c>
      <c r="Y75" s="62">
        <v>41842</v>
      </c>
      <c r="Z75" s="105"/>
      <c r="AA75" s="33" t="s">
        <v>297</v>
      </c>
      <c r="AB75" s="8">
        <v>41876</v>
      </c>
      <c r="AC75" s="4">
        <v>1543344.7</v>
      </c>
      <c r="AD75" s="4"/>
      <c r="AE75" s="32"/>
      <c r="AF75" s="34" t="s">
        <v>68</v>
      </c>
      <c r="AG75" s="112" t="s">
        <v>68</v>
      </c>
      <c r="AH75" s="112" t="s">
        <v>68</v>
      </c>
      <c r="AI75" s="7" t="s">
        <v>68</v>
      </c>
      <c r="AJ75" s="215" t="s">
        <v>68</v>
      </c>
      <c r="AK75" s="33" t="s">
        <v>68</v>
      </c>
      <c r="AL75" s="1" t="s">
        <v>68</v>
      </c>
      <c r="AM75" s="1"/>
      <c r="AN75" s="1" t="s">
        <v>68</v>
      </c>
      <c r="AO75" s="1"/>
      <c r="AP75" s="1" t="s">
        <v>68</v>
      </c>
      <c r="AQ75" s="1"/>
      <c r="AR75" s="279"/>
      <c r="AS75" s="35">
        <v>171733.79</v>
      </c>
      <c r="AT75" s="895">
        <v>957201.51</v>
      </c>
      <c r="AU75" s="884"/>
      <c r="AV75" s="30">
        <v>41899</v>
      </c>
      <c r="AW75" s="11">
        <v>41968</v>
      </c>
      <c r="AX75" s="30" t="s">
        <v>68</v>
      </c>
      <c r="AY75" s="52">
        <v>41896</v>
      </c>
      <c r="AZ75" s="30">
        <v>41246</v>
      </c>
      <c r="BA75" s="5">
        <v>41900</v>
      </c>
      <c r="BB75" s="1" t="s">
        <v>68</v>
      </c>
      <c r="BC75" s="11">
        <v>41976</v>
      </c>
      <c r="BD75" s="30">
        <v>41978</v>
      </c>
      <c r="BE75" s="309"/>
      <c r="BF75" s="5">
        <v>41900</v>
      </c>
      <c r="BG75" s="5">
        <v>41912</v>
      </c>
      <c r="BH75" s="5">
        <v>41976</v>
      </c>
      <c r="BI75" s="36">
        <v>1128935.3</v>
      </c>
      <c r="BJ75" s="13" t="s">
        <v>68</v>
      </c>
      <c r="BK75" s="352"/>
      <c r="BL75" s="694" t="s">
        <v>68</v>
      </c>
      <c r="BM75" s="695" t="s">
        <v>68</v>
      </c>
      <c r="BN75" s="695" t="s">
        <v>68</v>
      </c>
      <c r="BO75" s="694"/>
      <c r="BP75" s="694"/>
      <c r="BQ75" s="694"/>
      <c r="BR75" s="694"/>
      <c r="BS75" s="694"/>
      <c r="BT75" s="694"/>
      <c r="BU75" s="694"/>
      <c r="BV75" s="694" t="s">
        <v>68</v>
      </c>
      <c r="BW75" s="13"/>
      <c r="BX75" s="13"/>
      <c r="BY75" s="13"/>
      <c r="BZ75" s="13"/>
      <c r="CA75" s="13"/>
      <c r="CB75" s="1220" t="s">
        <v>1427</v>
      </c>
      <c r="CC75" s="38" t="s">
        <v>76</v>
      </c>
      <c r="CD75" s="513"/>
      <c r="CE75" s="513"/>
      <c r="CF75" s="513"/>
      <c r="CG75" s="513"/>
      <c r="CH75" s="513"/>
      <c r="CI75" s="513"/>
      <c r="CJ75" s="513"/>
      <c r="CK75" s="12"/>
    </row>
    <row r="76" spans="2:89" customFormat="1" ht="80.099999999999994" hidden="1" customHeight="1">
      <c r="B76" s="22"/>
      <c r="C76" s="22"/>
      <c r="D76" s="22"/>
      <c r="E76" s="22"/>
      <c r="F76" s="22"/>
      <c r="G76" s="915">
        <v>42005</v>
      </c>
      <c r="H76" s="915"/>
      <c r="I76" s="448"/>
      <c r="J76" s="16">
        <v>2014</v>
      </c>
      <c r="K76" s="1415"/>
      <c r="L76" s="1415"/>
      <c r="M76" s="18" t="s">
        <v>166</v>
      </c>
      <c r="N76" s="19" t="s">
        <v>298</v>
      </c>
      <c r="O76" s="2" t="s">
        <v>4032</v>
      </c>
      <c r="P76" s="3" t="s">
        <v>299</v>
      </c>
      <c r="Q76" s="3"/>
      <c r="R76" s="4">
        <v>200000</v>
      </c>
      <c r="S76" s="6">
        <v>41830</v>
      </c>
      <c r="T76" s="5">
        <v>41834</v>
      </c>
      <c r="U76" s="11">
        <v>41897</v>
      </c>
      <c r="V76" s="13" t="s">
        <v>68</v>
      </c>
      <c r="W76" s="19" t="s">
        <v>68</v>
      </c>
      <c r="X76" s="18" t="s">
        <v>300</v>
      </c>
      <c r="Y76" s="200" t="s">
        <v>68</v>
      </c>
      <c r="Z76" s="368"/>
      <c r="AA76" s="33" t="s">
        <v>301</v>
      </c>
      <c r="AB76" s="8">
        <v>41876</v>
      </c>
      <c r="AC76" s="4">
        <v>200000</v>
      </c>
      <c r="AD76" s="4"/>
      <c r="AE76" s="32"/>
      <c r="AF76" s="34" t="s">
        <v>68</v>
      </c>
      <c r="AG76" s="112" t="s">
        <v>68</v>
      </c>
      <c r="AH76" s="112" t="s">
        <v>68</v>
      </c>
      <c r="AI76" s="7" t="s">
        <v>68</v>
      </c>
      <c r="AJ76" s="215" t="s">
        <v>68</v>
      </c>
      <c r="AK76" s="33" t="s">
        <v>68</v>
      </c>
      <c r="AL76" s="1" t="s">
        <v>68</v>
      </c>
      <c r="AM76" s="1"/>
      <c r="AN76" s="1" t="s">
        <v>68</v>
      </c>
      <c r="AO76" s="1"/>
      <c r="AP76" s="1" t="s">
        <v>68</v>
      </c>
      <c r="AQ76" s="1"/>
      <c r="AR76" s="279"/>
      <c r="AS76" s="220">
        <v>0</v>
      </c>
      <c r="AT76" s="894">
        <f>BI76</f>
        <v>0</v>
      </c>
      <c r="AU76" s="883"/>
      <c r="AV76" s="230" t="s">
        <v>74</v>
      </c>
      <c r="AW76" s="11"/>
      <c r="AX76" s="223" t="s">
        <v>68</v>
      </c>
      <c r="AY76" s="52"/>
      <c r="AZ76" s="161" t="s">
        <v>74</v>
      </c>
      <c r="BA76" s="1"/>
      <c r="BB76" s="1"/>
      <c r="BC76" s="17"/>
      <c r="BD76" s="161" t="s">
        <v>74</v>
      </c>
      <c r="BE76" s="1402"/>
      <c r="BF76" s="1"/>
      <c r="BG76" s="1"/>
      <c r="BH76" s="1"/>
      <c r="BI76" s="36">
        <v>0</v>
      </c>
      <c r="BJ76" s="202" t="s">
        <v>74</v>
      </c>
      <c r="BK76" s="1108"/>
      <c r="BL76" s="694" t="s">
        <v>68</v>
      </c>
      <c r="BM76" s="695" t="s">
        <v>68</v>
      </c>
      <c r="BN76" s="695" t="s">
        <v>68</v>
      </c>
      <c r="BO76" s="694"/>
      <c r="BP76" s="694"/>
      <c r="BQ76" s="694"/>
      <c r="BR76" s="694"/>
      <c r="BS76" s="694"/>
      <c r="BT76" s="694"/>
      <c r="BU76" s="694"/>
      <c r="BV76" s="694" t="s">
        <v>68</v>
      </c>
      <c r="BW76" s="13"/>
      <c r="BX76" s="13"/>
      <c r="BY76" s="13"/>
      <c r="BZ76" s="13"/>
      <c r="CA76" s="13"/>
      <c r="CB76" s="1220" t="s">
        <v>1427</v>
      </c>
      <c r="CC76" s="38" t="s">
        <v>76</v>
      </c>
      <c r="CD76" s="513"/>
      <c r="CE76" s="513"/>
      <c r="CF76" s="513"/>
      <c r="CG76" s="513"/>
      <c r="CH76" s="513"/>
      <c r="CI76" s="513"/>
      <c r="CJ76" s="513"/>
      <c r="CK76" s="12"/>
    </row>
    <row r="77" spans="2:89" customFormat="1" ht="80.099999999999994" hidden="1" customHeight="1">
      <c r="B77" s="22"/>
      <c r="C77" s="22"/>
      <c r="D77" s="22"/>
      <c r="E77" s="22"/>
      <c r="F77" s="22"/>
      <c r="G77" s="915">
        <v>42005</v>
      </c>
      <c r="H77" s="915"/>
      <c r="I77" s="448"/>
      <c r="J77" s="235">
        <v>2014</v>
      </c>
      <c r="K77" s="1416"/>
      <c r="L77" s="1416"/>
      <c r="M77" s="18" t="s">
        <v>302</v>
      </c>
      <c r="N77" s="33" t="s">
        <v>303</v>
      </c>
      <c r="O77" s="2" t="s">
        <v>4032</v>
      </c>
      <c r="P77" s="3" t="s">
        <v>304</v>
      </c>
      <c r="Q77" s="3"/>
      <c r="R77" s="236">
        <v>3311850</v>
      </c>
      <c r="S77" s="237">
        <v>41922</v>
      </c>
      <c r="T77" s="238">
        <v>41927</v>
      </c>
      <c r="U77" s="205">
        <v>41988</v>
      </c>
      <c r="V77" s="13" t="s">
        <v>68</v>
      </c>
      <c r="W77" s="19" t="s">
        <v>68</v>
      </c>
      <c r="X77" s="18" t="s">
        <v>305</v>
      </c>
      <c r="Y77" s="206" t="s">
        <v>68</v>
      </c>
      <c r="Z77" s="1364"/>
      <c r="AA77" s="33" t="s">
        <v>306</v>
      </c>
      <c r="AB77" s="240">
        <v>41935</v>
      </c>
      <c r="AC77" s="236">
        <v>311850</v>
      </c>
      <c r="AD77" s="4"/>
      <c r="AE77" s="32"/>
      <c r="AF77" s="34" t="s">
        <v>68</v>
      </c>
      <c r="AG77" s="112" t="s">
        <v>68</v>
      </c>
      <c r="AH77" s="112" t="s">
        <v>68</v>
      </c>
      <c r="AI77" s="7" t="s">
        <v>68</v>
      </c>
      <c r="AJ77" s="215" t="s">
        <v>68</v>
      </c>
      <c r="AK77" s="33" t="s">
        <v>68</v>
      </c>
      <c r="AL77" s="1" t="s">
        <v>68</v>
      </c>
      <c r="AM77" s="1"/>
      <c r="AN77" s="1" t="s">
        <v>68</v>
      </c>
      <c r="AO77" s="1"/>
      <c r="AP77" s="1" t="s">
        <v>68</v>
      </c>
      <c r="AQ77" s="2"/>
      <c r="AR77" s="281"/>
      <c r="AS77" s="220">
        <v>0</v>
      </c>
      <c r="AT77" s="894">
        <f>BI77</f>
        <v>0</v>
      </c>
      <c r="AU77" s="883"/>
      <c r="AV77" s="248" t="s">
        <v>74</v>
      </c>
      <c r="AW77" s="205"/>
      <c r="AX77" s="223" t="s">
        <v>68</v>
      </c>
      <c r="AY77" s="56" t="s">
        <v>68</v>
      </c>
      <c r="AZ77" s="255" t="s">
        <v>74</v>
      </c>
      <c r="BA77" s="2"/>
      <c r="BB77" s="2"/>
      <c r="BC77" s="18"/>
      <c r="BD77" s="255" t="s">
        <v>74</v>
      </c>
      <c r="BE77" s="1425"/>
      <c r="BF77" s="2"/>
      <c r="BG77" s="2"/>
      <c r="BH77" s="2"/>
      <c r="BI77" s="247"/>
      <c r="BJ77" s="38" t="s">
        <v>68</v>
      </c>
      <c r="BK77" s="146"/>
      <c r="BL77" s="694" t="s">
        <v>68</v>
      </c>
      <c r="BM77" s="695" t="s">
        <v>68</v>
      </c>
      <c r="BN77" s="695" t="s">
        <v>68</v>
      </c>
      <c r="BO77" s="694"/>
      <c r="BP77" s="694"/>
      <c r="BQ77" s="694"/>
      <c r="BR77" s="694"/>
      <c r="BS77" s="694"/>
      <c r="BT77" s="694"/>
      <c r="BU77" s="694"/>
      <c r="BV77" s="694" t="s">
        <v>68</v>
      </c>
      <c r="BW77" s="13"/>
      <c r="BX77" s="13"/>
      <c r="BY77" s="13"/>
      <c r="BZ77" s="13"/>
      <c r="CA77" s="13"/>
      <c r="CB77" s="1220" t="s">
        <v>1427</v>
      </c>
      <c r="CC77" s="38" t="s">
        <v>76</v>
      </c>
      <c r="CD77" s="513"/>
      <c r="CE77" s="513"/>
      <c r="CF77" s="513"/>
      <c r="CG77" s="513"/>
      <c r="CH77" s="513"/>
      <c r="CI77" s="513"/>
      <c r="CJ77" s="513"/>
      <c r="CK77" s="12"/>
    </row>
    <row r="78" spans="2:89" customFormat="1" ht="80.099999999999994" hidden="1" customHeight="1">
      <c r="B78" s="22"/>
      <c r="C78" s="22"/>
      <c r="D78" s="22"/>
      <c r="E78" s="22"/>
      <c r="F78" s="22"/>
      <c r="G78" s="915">
        <v>42005</v>
      </c>
      <c r="H78" s="915"/>
      <c r="I78" s="448"/>
      <c r="J78" s="235">
        <v>2014</v>
      </c>
      <c r="K78" s="1416"/>
      <c r="L78" s="1416"/>
      <c r="M78" s="18" t="s">
        <v>302</v>
      </c>
      <c r="N78" s="33" t="s">
        <v>307</v>
      </c>
      <c r="O78" s="2" t="s">
        <v>4032</v>
      </c>
      <c r="P78" s="3" t="s">
        <v>308</v>
      </c>
      <c r="Q78" s="3"/>
      <c r="R78" s="236">
        <v>540540</v>
      </c>
      <c r="S78" s="237">
        <v>41922</v>
      </c>
      <c r="T78" s="238">
        <v>41927</v>
      </c>
      <c r="U78" s="205">
        <v>41988</v>
      </c>
      <c r="V78" s="13" t="s">
        <v>68</v>
      </c>
      <c r="W78" s="19" t="s">
        <v>68</v>
      </c>
      <c r="X78" s="18" t="s">
        <v>305</v>
      </c>
      <c r="Y78" s="206" t="s">
        <v>68</v>
      </c>
      <c r="Z78" s="1364"/>
      <c r="AA78" s="33" t="s">
        <v>309</v>
      </c>
      <c r="AB78" s="240">
        <v>41935</v>
      </c>
      <c r="AC78" s="236">
        <v>540540</v>
      </c>
      <c r="AD78" s="4"/>
      <c r="AE78" s="32"/>
      <c r="AF78" s="34" t="s">
        <v>68</v>
      </c>
      <c r="AG78" s="112" t="s">
        <v>68</v>
      </c>
      <c r="AH78" s="112" t="s">
        <v>68</v>
      </c>
      <c r="AI78" s="7" t="s">
        <v>68</v>
      </c>
      <c r="AJ78" s="215" t="s">
        <v>68</v>
      </c>
      <c r="AK78" s="33" t="s">
        <v>68</v>
      </c>
      <c r="AL78" s="1" t="s">
        <v>68</v>
      </c>
      <c r="AM78" s="1"/>
      <c r="AN78" s="1" t="s">
        <v>68</v>
      </c>
      <c r="AO78" s="1"/>
      <c r="AP78" s="1" t="s">
        <v>68</v>
      </c>
      <c r="AQ78" s="2"/>
      <c r="AR78" s="281"/>
      <c r="AS78" s="220">
        <v>0</v>
      </c>
      <c r="AT78" s="894">
        <f>BI78</f>
        <v>0</v>
      </c>
      <c r="AU78" s="883">
        <v>494784.79</v>
      </c>
      <c r="AV78" s="248" t="s">
        <v>74</v>
      </c>
      <c r="AW78" s="205"/>
      <c r="AX78" s="223" t="s">
        <v>68</v>
      </c>
      <c r="AY78" s="56" t="s">
        <v>68</v>
      </c>
      <c r="AZ78" s="255" t="s">
        <v>74</v>
      </c>
      <c r="BA78" s="2"/>
      <c r="BB78" s="2"/>
      <c r="BC78" s="18"/>
      <c r="BD78" s="255" t="s">
        <v>74</v>
      </c>
      <c r="BE78" s="1425"/>
      <c r="BF78" s="2"/>
      <c r="BG78" s="2"/>
      <c r="BH78" s="2"/>
      <c r="BI78" s="247"/>
      <c r="BJ78" s="38" t="s">
        <v>68</v>
      </c>
      <c r="BK78" s="146"/>
      <c r="BL78" s="694" t="s">
        <v>68</v>
      </c>
      <c r="BM78" s="695" t="s">
        <v>68</v>
      </c>
      <c r="BN78" s="695" t="s">
        <v>68</v>
      </c>
      <c r="BO78" s="694"/>
      <c r="BP78" s="694"/>
      <c r="BQ78" s="694"/>
      <c r="BR78" s="694"/>
      <c r="BS78" s="694"/>
      <c r="BT78" s="694"/>
      <c r="BU78" s="694"/>
      <c r="BV78" s="694" t="s">
        <v>68</v>
      </c>
      <c r="BW78" s="13"/>
      <c r="BX78" s="13"/>
      <c r="BY78" s="13"/>
      <c r="BZ78" s="13"/>
      <c r="CA78" s="13"/>
      <c r="CB78" s="1220" t="s">
        <v>1427</v>
      </c>
      <c r="CC78" s="38" t="s">
        <v>76</v>
      </c>
      <c r="CD78" s="513"/>
      <c r="CE78" s="513"/>
      <c r="CF78" s="513"/>
      <c r="CG78" s="513"/>
      <c r="CH78" s="513"/>
      <c r="CI78" s="513"/>
      <c r="CJ78" s="513"/>
      <c r="CK78" s="12"/>
    </row>
    <row r="79" spans="2:89" customFormat="1" ht="80.099999999999994" hidden="1" customHeight="1">
      <c r="B79" s="22"/>
      <c r="C79" s="22"/>
      <c r="D79" s="22"/>
      <c r="E79" s="22"/>
      <c r="F79" s="22"/>
      <c r="G79" s="915">
        <v>42005</v>
      </c>
      <c r="H79" s="915"/>
      <c r="I79" s="448"/>
      <c r="J79" s="16">
        <v>2014</v>
      </c>
      <c r="K79" s="1415"/>
      <c r="L79" s="1415"/>
      <c r="M79" s="18"/>
      <c r="N79" s="19" t="s">
        <v>310</v>
      </c>
      <c r="O79" s="2" t="s">
        <v>4032</v>
      </c>
      <c r="P79" s="3" t="s">
        <v>311</v>
      </c>
      <c r="Q79" s="3"/>
      <c r="R79" s="4">
        <v>40279.599999999999</v>
      </c>
      <c r="S79" s="6">
        <v>41939</v>
      </c>
      <c r="T79" s="5">
        <v>41939</v>
      </c>
      <c r="U79" s="11">
        <v>41954</v>
      </c>
      <c r="V79" s="13" t="s">
        <v>68</v>
      </c>
      <c r="W79" s="19" t="s">
        <v>68</v>
      </c>
      <c r="X79" s="18" t="s">
        <v>213</v>
      </c>
      <c r="Y79" s="200" t="s">
        <v>68</v>
      </c>
      <c r="Z79" s="368"/>
      <c r="AA79" s="19" t="s">
        <v>68</v>
      </c>
      <c r="AB79" s="8"/>
      <c r="AC79" s="4"/>
      <c r="AD79" s="4"/>
      <c r="AE79" s="32"/>
      <c r="AF79" s="34" t="s">
        <v>68</v>
      </c>
      <c r="AG79" s="112" t="s">
        <v>68</v>
      </c>
      <c r="AH79" s="112" t="s">
        <v>68</v>
      </c>
      <c r="AI79" s="7" t="s">
        <v>68</v>
      </c>
      <c r="AJ79" s="215" t="s">
        <v>68</v>
      </c>
      <c r="AK79" s="33" t="s">
        <v>68</v>
      </c>
      <c r="AL79" s="1" t="s">
        <v>68</v>
      </c>
      <c r="AM79" s="1"/>
      <c r="AN79" s="1" t="s">
        <v>68</v>
      </c>
      <c r="AO79" s="1"/>
      <c r="AP79" s="1" t="s">
        <v>68</v>
      </c>
      <c r="AQ79" s="1"/>
      <c r="AR79" s="279"/>
      <c r="AS79" s="220">
        <v>0</v>
      </c>
      <c r="AT79" s="894">
        <f>BI79</f>
        <v>0</v>
      </c>
      <c r="AU79" s="883"/>
      <c r="AV79" s="230" t="s">
        <v>74</v>
      </c>
      <c r="AW79" s="11" t="s">
        <v>68</v>
      </c>
      <c r="AX79" s="223" t="s">
        <v>68</v>
      </c>
      <c r="AY79" s="52" t="s">
        <v>68</v>
      </c>
      <c r="AZ79" s="230" t="s">
        <v>74</v>
      </c>
      <c r="BA79" s="1"/>
      <c r="BB79" s="1"/>
      <c r="BC79" s="17"/>
      <c r="BD79" s="230" t="s">
        <v>74</v>
      </c>
      <c r="BE79" s="508"/>
      <c r="BF79" s="1"/>
      <c r="BG79" s="1"/>
      <c r="BH79" s="1"/>
      <c r="BI79" s="36"/>
      <c r="BJ79" s="13" t="s">
        <v>68</v>
      </c>
      <c r="BK79" s="352"/>
      <c r="BL79" s="694" t="s">
        <v>68</v>
      </c>
      <c r="BM79" s="695" t="s">
        <v>68</v>
      </c>
      <c r="BN79" s="695" t="s">
        <v>68</v>
      </c>
      <c r="BO79" s="694"/>
      <c r="BP79" s="694"/>
      <c r="BQ79" s="694"/>
      <c r="BR79" s="694"/>
      <c r="BS79" s="694"/>
      <c r="BT79" s="694"/>
      <c r="BU79" s="694"/>
      <c r="BV79" s="694" t="s">
        <v>68</v>
      </c>
      <c r="BW79" s="13"/>
      <c r="BX79" s="13"/>
      <c r="BY79" s="13"/>
      <c r="BZ79" s="13"/>
      <c r="CA79" s="13"/>
      <c r="CB79" s="1220" t="s">
        <v>1427</v>
      </c>
      <c r="CC79" s="38" t="s">
        <v>76</v>
      </c>
      <c r="CD79" s="513"/>
      <c r="CE79" s="513"/>
      <c r="CF79" s="513"/>
      <c r="CG79" s="513"/>
      <c r="CH79" s="513"/>
      <c r="CI79" s="513"/>
      <c r="CJ79" s="513"/>
      <c r="CK79" s="12"/>
    </row>
    <row r="80" spans="2:89" customFormat="1" ht="80.099999999999994" hidden="1" customHeight="1">
      <c r="B80" s="22"/>
      <c r="C80" s="22"/>
      <c r="D80" s="22"/>
      <c r="E80" s="22"/>
      <c r="F80" s="22"/>
      <c r="G80" s="915">
        <v>42005</v>
      </c>
      <c r="H80" s="915"/>
      <c r="I80" s="448">
        <v>42979</v>
      </c>
      <c r="J80" s="16">
        <v>2014</v>
      </c>
      <c r="K80" s="1415"/>
      <c r="L80" s="1415"/>
      <c r="M80" s="18" t="s">
        <v>163</v>
      </c>
      <c r="N80" s="19" t="s">
        <v>312</v>
      </c>
      <c r="O80" s="2" t="s">
        <v>66</v>
      </c>
      <c r="P80" s="3" t="s">
        <v>313</v>
      </c>
      <c r="Q80" s="3"/>
      <c r="R80" s="4">
        <v>3006508.94</v>
      </c>
      <c r="S80" s="6">
        <v>41848</v>
      </c>
      <c r="T80" s="5">
        <v>41855</v>
      </c>
      <c r="U80" s="11">
        <v>41975</v>
      </c>
      <c r="V80" s="13" t="s">
        <v>68</v>
      </c>
      <c r="W80" s="33" t="s">
        <v>314</v>
      </c>
      <c r="X80" s="18" t="s">
        <v>70</v>
      </c>
      <c r="Y80" s="62">
        <v>41705</v>
      </c>
      <c r="Z80" s="105"/>
      <c r="AA80" s="19" t="s">
        <v>315</v>
      </c>
      <c r="AB80" s="8">
        <v>41718</v>
      </c>
      <c r="AC80" s="4">
        <v>3006511</v>
      </c>
      <c r="AD80" s="4"/>
      <c r="AE80" s="32"/>
      <c r="AF80" s="34">
        <v>41736</v>
      </c>
      <c r="AG80" s="112" t="s">
        <v>68</v>
      </c>
      <c r="AH80" s="112" t="s">
        <v>68</v>
      </c>
      <c r="AI80" s="7">
        <v>41743</v>
      </c>
      <c r="AJ80" s="215">
        <v>41743</v>
      </c>
      <c r="AK80" s="33" t="s">
        <v>316</v>
      </c>
      <c r="AL80" s="1" t="s">
        <v>317</v>
      </c>
      <c r="AM80" s="5">
        <v>41848</v>
      </c>
      <c r="AN80" s="1" t="s">
        <v>318</v>
      </c>
      <c r="AO80" s="5">
        <v>41848</v>
      </c>
      <c r="AP80" s="1" t="s">
        <v>83</v>
      </c>
      <c r="AQ80" s="1"/>
      <c r="AR80" s="279"/>
      <c r="AS80" s="220">
        <v>0</v>
      </c>
      <c r="AT80" s="894">
        <f>BI80</f>
        <v>0</v>
      </c>
      <c r="AU80" s="883"/>
      <c r="AV80" s="30">
        <v>41856</v>
      </c>
      <c r="AW80" s="11">
        <v>42014</v>
      </c>
      <c r="AX80" s="30"/>
      <c r="AY80" s="52"/>
      <c r="AZ80" s="161" t="s">
        <v>74</v>
      </c>
      <c r="BA80" s="1"/>
      <c r="BB80" s="1"/>
      <c r="BC80" s="17"/>
      <c r="BD80" s="161" t="s">
        <v>74</v>
      </c>
      <c r="BE80" s="1402"/>
      <c r="BF80" s="1"/>
      <c r="BG80" s="1"/>
      <c r="BH80" s="1"/>
      <c r="BI80" s="36">
        <v>0</v>
      </c>
      <c r="BJ80" s="202" t="s">
        <v>74</v>
      </c>
      <c r="BK80" s="1108"/>
      <c r="BL80" s="694" t="s">
        <v>68</v>
      </c>
      <c r="BM80" s="695" t="s">
        <v>68</v>
      </c>
      <c r="BN80" s="695" t="s">
        <v>68</v>
      </c>
      <c r="BO80" s="694"/>
      <c r="BP80" s="694"/>
      <c r="BQ80" s="694"/>
      <c r="BR80" s="694"/>
      <c r="BS80" s="694"/>
      <c r="BT80" s="694"/>
      <c r="BU80" s="694"/>
      <c r="BV80" s="694" t="s">
        <v>68</v>
      </c>
      <c r="BW80" s="13"/>
      <c r="BX80" s="13"/>
      <c r="BY80" s="13"/>
      <c r="BZ80" s="13"/>
      <c r="CA80" s="13"/>
      <c r="CB80" s="1220" t="s">
        <v>1427</v>
      </c>
      <c r="CC80" s="38" t="s">
        <v>76</v>
      </c>
      <c r="CD80" s="513"/>
      <c r="CE80" s="513"/>
      <c r="CF80" s="513"/>
      <c r="CG80" s="513"/>
      <c r="CH80" s="513"/>
      <c r="CI80" s="513"/>
      <c r="CJ80" s="513"/>
      <c r="CK80" s="12"/>
    </row>
    <row r="81" spans="2:89" customFormat="1" ht="80.099999999999994" hidden="1" customHeight="1">
      <c r="B81" s="22"/>
      <c r="C81" s="22"/>
      <c r="D81" s="22"/>
      <c r="E81" s="22"/>
      <c r="F81" s="22"/>
      <c r="G81" s="915">
        <v>42005</v>
      </c>
      <c r="H81" s="915"/>
      <c r="I81" s="448">
        <v>42979</v>
      </c>
      <c r="J81" s="16">
        <v>2014</v>
      </c>
      <c r="K81" s="1415"/>
      <c r="L81" s="1415"/>
      <c r="M81" s="17" t="s">
        <v>77</v>
      </c>
      <c r="N81" s="19" t="s">
        <v>319</v>
      </c>
      <c r="O81" s="2" t="s">
        <v>79</v>
      </c>
      <c r="P81" s="3" t="s">
        <v>320</v>
      </c>
      <c r="Q81" s="3"/>
      <c r="R81" s="79">
        <v>887908.66</v>
      </c>
      <c r="S81" s="6">
        <v>41901</v>
      </c>
      <c r="T81" s="5">
        <v>41911</v>
      </c>
      <c r="U81" s="11">
        <v>41954</v>
      </c>
      <c r="V81" s="62">
        <v>41877</v>
      </c>
      <c r="W81" s="33" t="s">
        <v>321</v>
      </c>
      <c r="X81" s="18" t="s">
        <v>70</v>
      </c>
      <c r="Y81" s="62">
        <v>41842</v>
      </c>
      <c r="Z81" s="105"/>
      <c r="AA81" s="33" t="s">
        <v>322</v>
      </c>
      <c r="AB81" s="8">
        <v>41876</v>
      </c>
      <c r="AC81" s="4">
        <v>824740.12</v>
      </c>
      <c r="AD81" s="4"/>
      <c r="AE81" s="32"/>
      <c r="AF81" s="34" t="s">
        <v>68</v>
      </c>
      <c r="AG81" s="112" t="s">
        <v>68</v>
      </c>
      <c r="AH81" s="112" t="s">
        <v>68</v>
      </c>
      <c r="AI81" s="7" t="s">
        <v>68</v>
      </c>
      <c r="AJ81" s="215" t="s">
        <v>68</v>
      </c>
      <c r="AK81" s="33" t="s">
        <v>323</v>
      </c>
      <c r="AL81" s="1" t="s">
        <v>324</v>
      </c>
      <c r="AM81" s="5">
        <v>41901</v>
      </c>
      <c r="AN81" s="1" t="s">
        <v>325</v>
      </c>
      <c r="AO81" s="5">
        <v>41901</v>
      </c>
      <c r="AP81" s="1" t="s">
        <v>326</v>
      </c>
      <c r="AQ81" s="5">
        <v>41988</v>
      </c>
      <c r="AR81" s="279"/>
      <c r="AS81" s="35">
        <v>0</v>
      </c>
      <c r="AT81" s="895">
        <v>987415.17</v>
      </c>
      <c r="AU81" s="884"/>
      <c r="AV81" s="30">
        <v>41929</v>
      </c>
      <c r="AW81" s="11">
        <v>41955</v>
      </c>
      <c r="AX81" s="30" t="s">
        <v>68</v>
      </c>
      <c r="AY81" s="52" t="s">
        <v>68</v>
      </c>
      <c r="AZ81" s="30">
        <v>41956</v>
      </c>
      <c r="BA81" s="5">
        <v>41911</v>
      </c>
      <c r="BB81" s="5">
        <v>41955</v>
      </c>
      <c r="BC81" s="11">
        <v>41955</v>
      </c>
      <c r="BD81" s="30">
        <v>41957</v>
      </c>
      <c r="BE81" s="309"/>
      <c r="BF81" s="5">
        <v>41911</v>
      </c>
      <c r="BG81" s="5">
        <v>41955</v>
      </c>
      <c r="BH81" s="5">
        <v>41955</v>
      </c>
      <c r="BI81" s="36">
        <v>987415.17</v>
      </c>
      <c r="BJ81" s="62">
        <v>41957</v>
      </c>
      <c r="BK81" s="224"/>
      <c r="BL81" s="694" t="s">
        <v>68</v>
      </c>
      <c r="BM81" s="695" t="s">
        <v>68</v>
      </c>
      <c r="BN81" s="695" t="s">
        <v>68</v>
      </c>
      <c r="BO81" s="694"/>
      <c r="BP81" s="694"/>
      <c r="BQ81" s="694"/>
      <c r="BR81" s="694"/>
      <c r="BS81" s="694"/>
      <c r="BT81" s="694"/>
      <c r="BU81" s="694"/>
      <c r="BV81" s="694" t="s">
        <v>68</v>
      </c>
      <c r="BW81" s="13"/>
      <c r="BX81" s="13"/>
      <c r="BY81" s="13"/>
      <c r="BZ81" s="13"/>
      <c r="CA81" s="13"/>
      <c r="CB81" s="1220" t="s">
        <v>1427</v>
      </c>
      <c r="CC81" s="38" t="s">
        <v>76</v>
      </c>
      <c r="CD81" s="513"/>
      <c r="CE81" s="513"/>
      <c r="CF81" s="513"/>
      <c r="CG81" s="513"/>
      <c r="CH81" s="513"/>
      <c r="CI81" s="513"/>
      <c r="CJ81" s="513"/>
      <c r="CK81" s="12"/>
    </row>
    <row r="82" spans="2:89" customFormat="1" ht="80.099999999999994" hidden="1" customHeight="1">
      <c r="B82" s="22"/>
      <c r="C82" s="22"/>
      <c r="D82" s="22"/>
      <c r="E82" s="22"/>
      <c r="F82" s="22"/>
      <c r="G82" s="915">
        <v>42005</v>
      </c>
      <c r="H82" s="915"/>
      <c r="I82" s="448"/>
      <c r="J82" s="16">
        <v>2014</v>
      </c>
      <c r="K82" s="1415"/>
      <c r="L82" s="1415"/>
      <c r="M82" s="17" t="s">
        <v>77</v>
      </c>
      <c r="N82" s="19" t="s">
        <v>327</v>
      </c>
      <c r="O82" s="2" t="s">
        <v>4032</v>
      </c>
      <c r="P82" s="3" t="s">
        <v>328</v>
      </c>
      <c r="Q82" s="3"/>
      <c r="R82" s="4">
        <v>295674.09999999998</v>
      </c>
      <c r="S82" s="6">
        <v>41823</v>
      </c>
      <c r="T82" s="5">
        <v>41823</v>
      </c>
      <c r="U82" s="11">
        <v>41850</v>
      </c>
      <c r="V82" s="13" t="s">
        <v>68</v>
      </c>
      <c r="W82" s="19" t="s">
        <v>68</v>
      </c>
      <c r="X82" s="18" t="s">
        <v>114</v>
      </c>
      <c r="Y82" s="62">
        <v>41837</v>
      </c>
      <c r="Z82" s="105"/>
      <c r="AA82" s="19" t="s">
        <v>280</v>
      </c>
      <c r="AB82" s="8">
        <v>41829</v>
      </c>
      <c r="AC82" s="4">
        <v>109593.60000000001</v>
      </c>
      <c r="AD82" s="4"/>
      <c r="AE82" s="32"/>
      <c r="AF82" s="34" t="s">
        <v>68</v>
      </c>
      <c r="AG82" s="112" t="s">
        <v>68</v>
      </c>
      <c r="AH82" s="112" t="s">
        <v>68</v>
      </c>
      <c r="AI82" s="7" t="s">
        <v>68</v>
      </c>
      <c r="AJ82" s="215" t="s">
        <v>68</v>
      </c>
      <c r="AK82" s="33" t="s">
        <v>68</v>
      </c>
      <c r="AL82" s="1" t="s">
        <v>68</v>
      </c>
      <c r="AM82" s="1"/>
      <c r="AN82" s="1" t="s">
        <v>68</v>
      </c>
      <c r="AO82" s="1"/>
      <c r="AP82" s="1" t="s">
        <v>68</v>
      </c>
      <c r="AQ82" s="1"/>
      <c r="AR82" s="279"/>
      <c r="AS82" s="35">
        <v>71002.28</v>
      </c>
      <c r="AT82" s="895">
        <v>203201.22</v>
      </c>
      <c r="AU82" s="884"/>
      <c r="AV82" s="230" t="s">
        <v>74</v>
      </c>
      <c r="AW82" s="11"/>
      <c r="AX82" s="30" t="s">
        <v>68</v>
      </c>
      <c r="AY82" s="52">
        <v>41822</v>
      </c>
      <c r="AZ82" s="19"/>
      <c r="BA82" s="1"/>
      <c r="BB82" s="1"/>
      <c r="BC82" s="17"/>
      <c r="BD82" s="30">
        <v>41873</v>
      </c>
      <c r="BE82" s="309"/>
      <c r="BF82" s="5">
        <v>41823</v>
      </c>
      <c r="BG82" s="5">
        <v>41850</v>
      </c>
      <c r="BH82" s="5">
        <v>41871</v>
      </c>
      <c r="BI82" s="36">
        <v>274203.5</v>
      </c>
      <c r="BJ82" s="13" t="s">
        <v>68</v>
      </c>
      <c r="BK82" s="352"/>
      <c r="BL82" s="694" t="s">
        <v>68</v>
      </c>
      <c r="BM82" s="695" t="s">
        <v>68</v>
      </c>
      <c r="BN82" s="695" t="s">
        <v>68</v>
      </c>
      <c r="BO82" s="694"/>
      <c r="BP82" s="694"/>
      <c r="BQ82" s="694"/>
      <c r="BR82" s="694"/>
      <c r="BS82" s="694"/>
      <c r="BT82" s="694"/>
      <c r="BU82" s="694"/>
      <c r="BV82" s="694" t="s">
        <v>68</v>
      </c>
      <c r="BW82" s="13"/>
      <c r="BX82" s="13"/>
      <c r="BY82" s="13"/>
      <c r="BZ82" s="13"/>
      <c r="CA82" s="13"/>
      <c r="CB82" s="1220" t="s">
        <v>1427</v>
      </c>
      <c r="CC82" s="38" t="s">
        <v>76</v>
      </c>
      <c r="CD82" s="513"/>
      <c r="CE82" s="513"/>
      <c r="CF82" s="513"/>
      <c r="CG82" s="513"/>
      <c r="CH82" s="513"/>
      <c r="CI82" s="513"/>
      <c r="CJ82" s="513"/>
      <c r="CK82" s="12"/>
    </row>
    <row r="83" spans="2:89" customFormat="1" ht="80.099999999999994" hidden="1" customHeight="1">
      <c r="B83" s="22"/>
      <c r="C83" s="22"/>
      <c r="D83" s="22"/>
      <c r="E83" s="22"/>
      <c r="F83" s="22"/>
      <c r="G83" s="915">
        <v>42005</v>
      </c>
      <c r="H83" s="915"/>
      <c r="I83" s="448"/>
      <c r="J83" s="16">
        <v>2014</v>
      </c>
      <c r="K83" s="1415"/>
      <c r="L83" s="1415"/>
      <c r="M83" s="17" t="s">
        <v>77</v>
      </c>
      <c r="N83" s="19" t="s">
        <v>329</v>
      </c>
      <c r="O83" s="2" t="s">
        <v>4032</v>
      </c>
      <c r="P83" s="3" t="s">
        <v>330</v>
      </c>
      <c r="Q83" s="3"/>
      <c r="R83" s="4">
        <v>220909.46</v>
      </c>
      <c r="S83" s="6">
        <v>41823</v>
      </c>
      <c r="T83" s="5">
        <v>41841</v>
      </c>
      <c r="U83" s="11">
        <v>41881</v>
      </c>
      <c r="V83" s="13" t="s">
        <v>68</v>
      </c>
      <c r="W83" s="19" t="s">
        <v>68</v>
      </c>
      <c r="X83" s="18" t="s">
        <v>114</v>
      </c>
      <c r="Y83" s="62">
        <v>41837</v>
      </c>
      <c r="Z83" s="105"/>
      <c r="AA83" s="19" t="s">
        <v>280</v>
      </c>
      <c r="AB83" s="8">
        <v>41829</v>
      </c>
      <c r="AC83" s="4">
        <v>75328.27</v>
      </c>
      <c r="AD83" s="4"/>
      <c r="AE83" s="32"/>
      <c r="AF83" s="34" t="s">
        <v>68</v>
      </c>
      <c r="AG83" s="112" t="s">
        <v>68</v>
      </c>
      <c r="AH83" s="112" t="s">
        <v>68</v>
      </c>
      <c r="AI83" s="7" t="s">
        <v>68</v>
      </c>
      <c r="AJ83" s="215" t="s">
        <v>68</v>
      </c>
      <c r="AK83" s="33" t="s">
        <v>68</v>
      </c>
      <c r="AL83" s="1" t="s">
        <v>68</v>
      </c>
      <c r="AM83" s="1"/>
      <c r="AN83" s="1" t="s">
        <v>68</v>
      </c>
      <c r="AO83" s="1"/>
      <c r="AP83" s="1" t="s">
        <v>68</v>
      </c>
      <c r="AQ83" s="1"/>
      <c r="AR83" s="279"/>
      <c r="AS83" s="35">
        <v>46590.98</v>
      </c>
      <c r="AT83" s="895">
        <v>184903.69</v>
      </c>
      <c r="AU83" s="884"/>
      <c r="AV83" s="230" t="s">
        <v>74</v>
      </c>
      <c r="AW83" s="11"/>
      <c r="AX83" s="30" t="s">
        <v>68</v>
      </c>
      <c r="AY83" s="52">
        <v>41822</v>
      </c>
      <c r="AZ83" s="19"/>
      <c r="BA83" s="1"/>
      <c r="BB83" s="1"/>
      <c r="BC83" s="17"/>
      <c r="BD83" s="30">
        <v>41873</v>
      </c>
      <c r="BE83" s="309"/>
      <c r="BF83" s="5">
        <v>41844</v>
      </c>
      <c r="BG83" s="5">
        <v>41881</v>
      </c>
      <c r="BH83" s="5">
        <v>41853</v>
      </c>
      <c r="BI83" s="36">
        <v>231494.67</v>
      </c>
      <c r="BJ83" s="13" t="s">
        <v>68</v>
      </c>
      <c r="BK83" s="352"/>
      <c r="BL83" s="694" t="s">
        <v>68</v>
      </c>
      <c r="BM83" s="695" t="s">
        <v>68</v>
      </c>
      <c r="BN83" s="695" t="s">
        <v>68</v>
      </c>
      <c r="BO83" s="694"/>
      <c r="BP83" s="694"/>
      <c r="BQ83" s="694"/>
      <c r="BR83" s="694"/>
      <c r="BS83" s="694"/>
      <c r="BT83" s="694"/>
      <c r="BU83" s="694"/>
      <c r="BV83" s="694" t="s">
        <v>68</v>
      </c>
      <c r="BW83" s="13"/>
      <c r="BX83" s="13"/>
      <c r="BY83" s="13"/>
      <c r="BZ83" s="13"/>
      <c r="CA83" s="13"/>
      <c r="CB83" s="1220" t="s">
        <v>1427</v>
      </c>
      <c r="CC83" s="38" t="s">
        <v>76</v>
      </c>
      <c r="CD83" s="513"/>
      <c r="CE83" s="513"/>
      <c r="CF83" s="513"/>
      <c r="CG83" s="513"/>
      <c r="CH83" s="513"/>
      <c r="CI83" s="513"/>
      <c r="CJ83" s="513"/>
      <c r="CK83" s="12"/>
    </row>
    <row r="84" spans="2:89" customFormat="1" ht="80.099999999999994" hidden="1" customHeight="1">
      <c r="B84" s="22"/>
      <c r="C84" s="22"/>
      <c r="D84" s="22"/>
      <c r="E84" s="22"/>
      <c r="F84" s="22"/>
      <c r="G84" s="915">
        <v>42005</v>
      </c>
      <c r="H84" s="915"/>
      <c r="I84" s="448"/>
      <c r="J84" s="16">
        <v>2014</v>
      </c>
      <c r="K84" s="1415"/>
      <c r="L84" s="1415"/>
      <c r="M84" s="17" t="s">
        <v>77</v>
      </c>
      <c r="N84" s="19" t="s">
        <v>331</v>
      </c>
      <c r="O84" s="2" t="s">
        <v>4032</v>
      </c>
      <c r="P84" s="3" t="s">
        <v>332</v>
      </c>
      <c r="Q84" s="3"/>
      <c r="R84" s="4">
        <v>200492.77</v>
      </c>
      <c r="S84" s="6">
        <v>41823</v>
      </c>
      <c r="T84" s="5">
        <v>41827</v>
      </c>
      <c r="U84" s="11">
        <v>41881</v>
      </c>
      <c r="V84" s="13" t="s">
        <v>68</v>
      </c>
      <c r="W84" s="19" t="s">
        <v>68</v>
      </c>
      <c r="X84" s="18" t="s">
        <v>114</v>
      </c>
      <c r="Y84" s="62"/>
      <c r="Z84" s="105"/>
      <c r="AA84" s="19" t="s">
        <v>280</v>
      </c>
      <c r="AB84" s="8">
        <v>41829</v>
      </c>
      <c r="AC84" s="4">
        <v>346618.19</v>
      </c>
      <c r="AD84" s="4"/>
      <c r="AE84" s="32"/>
      <c r="AF84" s="34" t="s">
        <v>68</v>
      </c>
      <c r="AG84" s="112" t="s">
        <v>68</v>
      </c>
      <c r="AH84" s="112" t="s">
        <v>68</v>
      </c>
      <c r="AI84" s="7" t="s">
        <v>68</v>
      </c>
      <c r="AJ84" s="215" t="s">
        <v>68</v>
      </c>
      <c r="AK84" s="33" t="s">
        <v>68</v>
      </c>
      <c r="AL84" s="1" t="s">
        <v>68</v>
      </c>
      <c r="AM84" s="1"/>
      <c r="AN84" s="1" t="s">
        <v>68</v>
      </c>
      <c r="AO84" s="1"/>
      <c r="AP84" s="1" t="s">
        <v>68</v>
      </c>
      <c r="AQ84" s="1"/>
      <c r="AR84" s="279"/>
      <c r="AS84" s="35">
        <v>47210.84</v>
      </c>
      <c r="AT84" s="895">
        <v>179349.44</v>
      </c>
      <c r="AU84" s="884"/>
      <c r="AV84" s="230" t="s">
        <v>74</v>
      </c>
      <c r="AW84" s="11"/>
      <c r="AX84" s="223" t="s">
        <v>68</v>
      </c>
      <c r="AY84" s="52">
        <v>41822</v>
      </c>
      <c r="AZ84" s="19"/>
      <c r="BA84" s="1"/>
      <c r="BB84" s="1"/>
      <c r="BC84" s="17"/>
      <c r="BD84" s="30">
        <v>41880</v>
      </c>
      <c r="BE84" s="309"/>
      <c r="BF84" s="5">
        <v>41830</v>
      </c>
      <c r="BG84" s="5">
        <v>41881</v>
      </c>
      <c r="BH84" s="5">
        <v>41878</v>
      </c>
      <c r="BI84" s="36">
        <v>226560.28</v>
      </c>
      <c r="BJ84" s="13" t="s">
        <v>68</v>
      </c>
      <c r="BK84" s="352"/>
      <c r="BL84" s="694" t="s">
        <v>68</v>
      </c>
      <c r="BM84" s="695" t="s">
        <v>68</v>
      </c>
      <c r="BN84" s="695" t="s">
        <v>68</v>
      </c>
      <c r="BO84" s="694"/>
      <c r="BP84" s="694"/>
      <c r="BQ84" s="694"/>
      <c r="BR84" s="694"/>
      <c r="BS84" s="694"/>
      <c r="BT84" s="694"/>
      <c r="BU84" s="694"/>
      <c r="BV84" s="694" t="s">
        <v>68</v>
      </c>
      <c r="BW84" s="13"/>
      <c r="BX84" s="13"/>
      <c r="BY84" s="13"/>
      <c r="BZ84" s="13"/>
      <c r="CA84" s="13"/>
      <c r="CB84" s="1220" t="s">
        <v>1427</v>
      </c>
      <c r="CC84" s="38" t="s">
        <v>76</v>
      </c>
      <c r="CD84" s="513"/>
      <c r="CE84" s="513"/>
      <c r="CF84" s="513"/>
      <c r="CG84" s="513"/>
      <c r="CH84" s="513"/>
      <c r="CI84" s="513"/>
      <c r="CJ84" s="513"/>
      <c r="CK84" s="12"/>
    </row>
    <row r="85" spans="2:89" customFormat="1" ht="80.099999999999994" hidden="1" customHeight="1">
      <c r="B85" s="22"/>
      <c r="C85" s="22"/>
      <c r="D85" s="22"/>
      <c r="E85" s="22"/>
      <c r="F85" s="22"/>
      <c r="G85" s="915">
        <v>42005</v>
      </c>
      <c r="H85" s="915"/>
      <c r="I85" s="448"/>
      <c r="J85" s="16">
        <v>2014</v>
      </c>
      <c r="K85" s="1415"/>
      <c r="L85" s="1415"/>
      <c r="M85" s="17" t="s">
        <v>77</v>
      </c>
      <c r="N85" s="19" t="s">
        <v>333</v>
      </c>
      <c r="O85" s="2" t="s">
        <v>4032</v>
      </c>
      <c r="P85" s="3" t="s">
        <v>334</v>
      </c>
      <c r="Q85" s="3"/>
      <c r="R85" s="4">
        <v>191497.02</v>
      </c>
      <c r="S85" s="6">
        <v>41823</v>
      </c>
      <c r="T85" s="5">
        <v>41865</v>
      </c>
      <c r="U85" s="11">
        <v>41881</v>
      </c>
      <c r="V85" s="13" t="s">
        <v>68</v>
      </c>
      <c r="W85" s="19" t="s">
        <v>68</v>
      </c>
      <c r="X85" s="18" t="s">
        <v>114</v>
      </c>
      <c r="Y85" s="62">
        <v>41837</v>
      </c>
      <c r="Z85" s="105"/>
      <c r="AA85" s="19" t="s">
        <v>280</v>
      </c>
      <c r="AB85" s="8">
        <v>41829</v>
      </c>
      <c r="AC85" s="4">
        <v>48856.42</v>
      </c>
      <c r="AD85" s="4"/>
      <c r="AE85" s="32"/>
      <c r="AF85" s="34" t="s">
        <v>68</v>
      </c>
      <c r="AG85" s="112" t="s">
        <v>68</v>
      </c>
      <c r="AH85" s="112" t="s">
        <v>68</v>
      </c>
      <c r="AI85" s="7" t="s">
        <v>68</v>
      </c>
      <c r="AJ85" s="215" t="s">
        <v>68</v>
      </c>
      <c r="AK85" s="33" t="s">
        <v>68</v>
      </c>
      <c r="AL85" s="1" t="s">
        <v>68</v>
      </c>
      <c r="AM85" s="1"/>
      <c r="AN85" s="1" t="s">
        <v>68</v>
      </c>
      <c r="AO85" s="1"/>
      <c r="AP85" s="1" t="s">
        <v>68</v>
      </c>
      <c r="AQ85" s="1"/>
      <c r="AR85" s="279"/>
      <c r="AS85" s="35">
        <v>55805.66</v>
      </c>
      <c r="AT85" s="895">
        <v>212810.42</v>
      </c>
      <c r="AU85" s="884"/>
      <c r="AV85" s="230" t="s">
        <v>74</v>
      </c>
      <c r="AW85" s="11"/>
      <c r="AX85" s="30" t="s">
        <v>68</v>
      </c>
      <c r="AY85" s="52">
        <v>41822</v>
      </c>
      <c r="AZ85" s="19"/>
      <c r="BA85" s="1"/>
      <c r="BB85" s="1"/>
      <c r="BC85" s="17"/>
      <c r="BD85" s="30">
        <v>41853</v>
      </c>
      <c r="BE85" s="309"/>
      <c r="BF85" s="5">
        <v>38192</v>
      </c>
      <c r="BG85" s="5">
        <v>41881</v>
      </c>
      <c r="BH85" s="5">
        <v>41873</v>
      </c>
      <c r="BI85" s="36">
        <v>268616.08</v>
      </c>
      <c r="BJ85" s="13" t="s">
        <v>68</v>
      </c>
      <c r="BK85" s="352"/>
      <c r="BL85" s="694" t="s">
        <v>68</v>
      </c>
      <c r="BM85" s="695" t="s">
        <v>68</v>
      </c>
      <c r="BN85" s="695" t="s">
        <v>68</v>
      </c>
      <c r="BO85" s="694"/>
      <c r="BP85" s="694"/>
      <c r="BQ85" s="694"/>
      <c r="BR85" s="694"/>
      <c r="BS85" s="694"/>
      <c r="BT85" s="694"/>
      <c r="BU85" s="694"/>
      <c r="BV85" s="694" t="s">
        <v>68</v>
      </c>
      <c r="BW85" s="13"/>
      <c r="BX85" s="13"/>
      <c r="BY85" s="13"/>
      <c r="BZ85" s="13"/>
      <c r="CA85" s="13"/>
      <c r="CB85" s="1220" t="s">
        <v>1427</v>
      </c>
      <c r="CC85" s="38" t="s">
        <v>76</v>
      </c>
      <c r="CD85" s="513"/>
      <c r="CE85" s="513"/>
      <c r="CF85" s="513"/>
      <c r="CG85" s="513"/>
      <c r="CH85" s="513"/>
      <c r="CI85" s="513"/>
      <c r="CJ85" s="513"/>
      <c r="CK85" s="12"/>
    </row>
    <row r="86" spans="2:89" customFormat="1" ht="80.099999999999994" hidden="1" customHeight="1">
      <c r="B86" s="22"/>
      <c r="C86" s="22"/>
      <c r="D86" s="22"/>
      <c r="E86" s="22"/>
      <c r="F86" s="22"/>
      <c r="G86" s="915">
        <v>42005</v>
      </c>
      <c r="H86" s="915"/>
      <c r="I86" s="448"/>
      <c r="J86" s="16">
        <v>2014</v>
      </c>
      <c r="K86" s="1415"/>
      <c r="L86" s="1415"/>
      <c r="M86" s="17" t="s">
        <v>77</v>
      </c>
      <c r="N86" s="19" t="s">
        <v>335</v>
      </c>
      <c r="O86" s="2" t="s">
        <v>4032</v>
      </c>
      <c r="P86" s="3" t="s">
        <v>336</v>
      </c>
      <c r="Q86" s="3"/>
      <c r="R86" s="4">
        <v>278434.27</v>
      </c>
      <c r="S86" s="6">
        <v>41823</v>
      </c>
      <c r="T86" s="5">
        <v>41848</v>
      </c>
      <c r="U86" s="11">
        <v>41912</v>
      </c>
      <c r="V86" s="13" t="s">
        <v>68</v>
      </c>
      <c r="W86" s="19" t="s">
        <v>68</v>
      </c>
      <c r="X86" s="18" t="s">
        <v>114</v>
      </c>
      <c r="Y86" s="62">
        <v>41855</v>
      </c>
      <c r="Z86" s="105"/>
      <c r="AA86" s="19" t="s">
        <v>280</v>
      </c>
      <c r="AB86" s="8">
        <v>41829</v>
      </c>
      <c r="AC86" s="4">
        <v>48856.42</v>
      </c>
      <c r="AD86" s="4"/>
      <c r="AE86" s="32"/>
      <c r="AF86" s="34" t="s">
        <v>68</v>
      </c>
      <c r="AG86" s="112" t="s">
        <v>68</v>
      </c>
      <c r="AH86" s="112" t="s">
        <v>68</v>
      </c>
      <c r="AI86" s="7" t="s">
        <v>68</v>
      </c>
      <c r="AJ86" s="215" t="s">
        <v>68</v>
      </c>
      <c r="AK86" s="33" t="s">
        <v>68</v>
      </c>
      <c r="AL86" s="1" t="s">
        <v>68</v>
      </c>
      <c r="AM86" s="1"/>
      <c r="AN86" s="1" t="s">
        <v>68</v>
      </c>
      <c r="AO86" s="1"/>
      <c r="AP86" s="1" t="s">
        <v>68</v>
      </c>
      <c r="AQ86" s="1"/>
      <c r="AR86" s="279"/>
      <c r="AS86" s="35">
        <v>67214.3</v>
      </c>
      <c r="AT86" s="895">
        <v>224211.08</v>
      </c>
      <c r="AU86" s="884"/>
      <c r="AV86" s="230" t="s">
        <v>74</v>
      </c>
      <c r="AW86" s="11"/>
      <c r="AX86" s="30" t="s">
        <v>68</v>
      </c>
      <c r="AY86" s="52">
        <v>41850</v>
      </c>
      <c r="AZ86" s="19"/>
      <c r="BA86" s="1"/>
      <c r="BB86" s="1"/>
      <c r="BC86" s="17"/>
      <c r="BD86" s="30">
        <v>41908</v>
      </c>
      <c r="BE86" s="309"/>
      <c r="BF86" s="5">
        <v>41851</v>
      </c>
      <c r="BG86" s="5">
        <v>41912</v>
      </c>
      <c r="BH86" s="5">
        <v>41906</v>
      </c>
      <c r="BI86" s="36">
        <v>291385.03000000003</v>
      </c>
      <c r="BJ86" s="13" t="s">
        <v>68</v>
      </c>
      <c r="BK86" s="352"/>
      <c r="BL86" s="694" t="s">
        <v>68</v>
      </c>
      <c r="BM86" s="695" t="s">
        <v>68</v>
      </c>
      <c r="BN86" s="695" t="s">
        <v>68</v>
      </c>
      <c r="BO86" s="694"/>
      <c r="BP86" s="694"/>
      <c r="BQ86" s="694"/>
      <c r="BR86" s="694"/>
      <c r="BS86" s="694"/>
      <c r="BT86" s="694"/>
      <c r="BU86" s="694"/>
      <c r="BV86" s="694" t="s">
        <v>68</v>
      </c>
      <c r="BW86" s="13"/>
      <c r="BX86" s="13"/>
      <c r="BY86" s="13"/>
      <c r="BZ86" s="13"/>
      <c r="CA86" s="13"/>
      <c r="CB86" s="1220" t="s">
        <v>1427</v>
      </c>
      <c r="CC86" s="38" t="s">
        <v>76</v>
      </c>
      <c r="CD86" s="513"/>
      <c r="CE86" s="513"/>
      <c r="CF86" s="513"/>
      <c r="CG86" s="513"/>
      <c r="CH86" s="513"/>
      <c r="CI86" s="513"/>
      <c r="CJ86" s="513"/>
      <c r="CK86" s="12"/>
    </row>
    <row r="87" spans="2:89" customFormat="1" ht="80.099999999999994" hidden="1" customHeight="1">
      <c r="B87" s="22"/>
      <c r="C87" s="22"/>
      <c r="D87" s="22"/>
      <c r="E87" s="22"/>
      <c r="F87" s="22"/>
      <c r="G87" s="915">
        <v>42005</v>
      </c>
      <c r="H87" s="915"/>
      <c r="I87" s="448"/>
      <c r="J87" s="16">
        <v>2014</v>
      </c>
      <c r="K87" s="1415"/>
      <c r="L87" s="1415"/>
      <c r="M87" s="17" t="s">
        <v>77</v>
      </c>
      <c r="N87" s="19" t="s">
        <v>337</v>
      </c>
      <c r="O87" s="2" t="s">
        <v>4032</v>
      </c>
      <c r="P87" s="3" t="s">
        <v>338</v>
      </c>
      <c r="Q87" s="3"/>
      <c r="R87" s="4">
        <v>231798.06</v>
      </c>
      <c r="S87" s="6">
        <v>41823</v>
      </c>
      <c r="T87" s="5">
        <v>41862</v>
      </c>
      <c r="U87" s="11">
        <v>41912</v>
      </c>
      <c r="V87" s="13" t="s">
        <v>68</v>
      </c>
      <c r="W87" s="19" t="s">
        <v>68</v>
      </c>
      <c r="X87" s="18" t="s">
        <v>114</v>
      </c>
      <c r="Y87" s="62">
        <v>41855</v>
      </c>
      <c r="Z87" s="105"/>
      <c r="AA87" s="19" t="s">
        <v>280</v>
      </c>
      <c r="AB87" s="8">
        <v>41829</v>
      </c>
      <c r="AC87" s="4">
        <v>48856.42</v>
      </c>
      <c r="AD87" s="4"/>
      <c r="AE87" s="32"/>
      <c r="AF87" s="34" t="s">
        <v>68</v>
      </c>
      <c r="AG87" s="112" t="s">
        <v>68</v>
      </c>
      <c r="AH87" s="112" t="s">
        <v>68</v>
      </c>
      <c r="AI87" s="7" t="s">
        <v>68</v>
      </c>
      <c r="AJ87" s="215" t="s">
        <v>68</v>
      </c>
      <c r="AK87" s="33" t="s">
        <v>68</v>
      </c>
      <c r="AL87" s="1" t="s">
        <v>68</v>
      </c>
      <c r="AM87" s="1"/>
      <c r="AN87" s="1" t="s">
        <v>68</v>
      </c>
      <c r="AO87" s="1"/>
      <c r="AP87" s="1" t="s">
        <v>68</v>
      </c>
      <c r="AQ87" s="1"/>
      <c r="AR87" s="279"/>
      <c r="AS87" s="35">
        <v>64837.35</v>
      </c>
      <c r="AT87" s="895">
        <v>174076.95</v>
      </c>
      <c r="AU87" s="884"/>
      <c r="AV87" s="230" t="s">
        <v>74</v>
      </c>
      <c r="AW87" s="11"/>
      <c r="AX87" s="30" t="s">
        <v>68</v>
      </c>
      <c r="AY87" s="52">
        <v>41850</v>
      </c>
      <c r="AZ87" s="19"/>
      <c r="BA87" s="1"/>
      <c r="BB87" s="1"/>
      <c r="BC87" s="17"/>
      <c r="BD87" s="30">
        <v>41908</v>
      </c>
      <c r="BE87" s="309"/>
      <c r="BF87" s="5">
        <v>41867</v>
      </c>
      <c r="BG87" s="5">
        <v>41912</v>
      </c>
      <c r="BH87" s="5">
        <v>41902</v>
      </c>
      <c r="BI87" s="36">
        <v>41912</v>
      </c>
      <c r="BJ87" s="13" t="s">
        <v>68</v>
      </c>
      <c r="BK87" s="352"/>
      <c r="BL87" s="694" t="s">
        <v>68</v>
      </c>
      <c r="BM87" s="695" t="s">
        <v>68</v>
      </c>
      <c r="BN87" s="695" t="s">
        <v>68</v>
      </c>
      <c r="BO87" s="694"/>
      <c r="BP87" s="694"/>
      <c r="BQ87" s="694"/>
      <c r="BR87" s="694"/>
      <c r="BS87" s="694"/>
      <c r="BT87" s="694"/>
      <c r="BU87" s="694"/>
      <c r="BV87" s="694" t="s">
        <v>68</v>
      </c>
      <c r="BW87" s="13"/>
      <c r="BX87" s="13"/>
      <c r="BY87" s="13"/>
      <c r="BZ87" s="13"/>
      <c r="CA87" s="13"/>
      <c r="CB87" s="1220" t="s">
        <v>1427</v>
      </c>
      <c r="CC87" s="38" t="s">
        <v>76</v>
      </c>
      <c r="CD87" s="513"/>
      <c r="CE87" s="513"/>
      <c r="CF87" s="513"/>
      <c r="CG87" s="513"/>
      <c r="CH87" s="513"/>
      <c r="CI87" s="513"/>
      <c r="CJ87" s="513"/>
      <c r="CK87" s="12"/>
    </row>
    <row r="88" spans="2:89" customFormat="1" ht="80.099999999999994" hidden="1" customHeight="1">
      <c r="B88" s="22"/>
      <c r="C88" s="22"/>
      <c r="D88" s="22"/>
      <c r="E88" s="22"/>
      <c r="F88" s="22"/>
      <c r="G88" s="915">
        <v>42005</v>
      </c>
      <c r="H88" s="915"/>
      <c r="I88" s="448">
        <v>42979</v>
      </c>
      <c r="J88" s="16">
        <v>2014</v>
      </c>
      <c r="K88" s="1415"/>
      <c r="L88" s="1415"/>
      <c r="M88" s="18" t="s">
        <v>166</v>
      </c>
      <c r="N88" s="19" t="s">
        <v>339</v>
      </c>
      <c r="O88" s="2" t="s">
        <v>79</v>
      </c>
      <c r="P88" s="3" t="s">
        <v>340</v>
      </c>
      <c r="Q88" s="3"/>
      <c r="R88" s="4">
        <v>425152.03</v>
      </c>
      <c r="S88" s="6">
        <v>41901</v>
      </c>
      <c r="T88" s="5">
        <v>41904</v>
      </c>
      <c r="U88" s="11">
        <v>41941</v>
      </c>
      <c r="V88" s="62">
        <v>41901</v>
      </c>
      <c r="W88" s="33" t="s">
        <v>256</v>
      </c>
      <c r="X88" s="18" t="s">
        <v>70</v>
      </c>
      <c r="Y88" s="200" t="s">
        <v>68</v>
      </c>
      <c r="Z88" s="368"/>
      <c r="AA88" s="19" t="s">
        <v>294</v>
      </c>
      <c r="AB88" s="8">
        <v>41876</v>
      </c>
      <c r="AC88" s="4">
        <v>532441.55000000005</v>
      </c>
      <c r="AD88" s="4"/>
      <c r="AE88" s="32"/>
      <c r="AF88" s="34" t="s">
        <v>68</v>
      </c>
      <c r="AG88" s="112" t="s">
        <v>68</v>
      </c>
      <c r="AH88" s="112" t="s">
        <v>68</v>
      </c>
      <c r="AI88" s="7" t="s">
        <v>68</v>
      </c>
      <c r="AJ88" s="215" t="s">
        <v>68</v>
      </c>
      <c r="AK88" s="33"/>
      <c r="AL88" s="1"/>
      <c r="AM88" s="1"/>
      <c r="AN88" s="1"/>
      <c r="AO88" s="1"/>
      <c r="AP88" s="1"/>
      <c r="AQ88" s="1"/>
      <c r="AR88" s="279"/>
      <c r="AS88" s="220">
        <v>0</v>
      </c>
      <c r="AT88" s="894">
        <f>BI88</f>
        <v>0</v>
      </c>
      <c r="AU88" s="883"/>
      <c r="AV88" s="230" t="s">
        <v>74</v>
      </c>
      <c r="AW88" s="11"/>
      <c r="AX88" s="223" t="s">
        <v>68</v>
      </c>
      <c r="AY88" s="224" t="s">
        <v>68</v>
      </c>
      <c r="AZ88" s="19"/>
      <c r="BA88" s="1"/>
      <c r="BB88" s="1"/>
      <c r="BC88" s="17"/>
      <c r="BD88" s="19"/>
      <c r="BE88" s="12"/>
      <c r="BF88" s="1"/>
      <c r="BG88" s="1"/>
      <c r="BH88" s="1"/>
      <c r="BI88" s="36"/>
      <c r="BJ88" s="13"/>
      <c r="BK88" s="352"/>
      <c r="BL88" s="694" t="s">
        <v>68</v>
      </c>
      <c r="BM88" s="695" t="s">
        <v>68</v>
      </c>
      <c r="BN88" s="695" t="s">
        <v>68</v>
      </c>
      <c r="BO88" s="694"/>
      <c r="BP88" s="694"/>
      <c r="BQ88" s="694"/>
      <c r="BR88" s="694"/>
      <c r="BS88" s="694"/>
      <c r="BT88" s="694"/>
      <c r="BU88" s="694"/>
      <c r="BV88" s="694" t="s">
        <v>68</v>
      </c>
      <c r="BW88" s="13"/>
      <c r="BX88" s="13"/>
      <c r="BY88" s="13"/>
      <c r="BZ88" s="13"/>
      <c r="CA88" s="13"/>
      <c r="CB88" s="1220" t="s">
        <v>1427</v>
      </c>
      <c r="CC88" s="38" t="s">
        <v>76</v>
      </c>
      <c r="CD88" s="513"/>
      <c r="CE88" s="513"/>
      <c r="CF88" s="513"/>
      <c r="CG88" s="513"/>
      <c r="CH88" s="513"/>
      <c r="CI88" s="513"/>
      <c r="CJ88" s="513"/>
      <c r="CK88" s="12"/>
    </row>
    <row r="89" spans="2:89" customFormat="1" ht="80.099999999999994" hidden="1" customHeight="1">
      <c r="B89" s="22"/>
      <c r="C89" s="22"/>
      <c r="D89" s="22"/>
      <c r="E89" s="22"/>
      <c r="F89" s="22"/>
      <c r="G89" s="915">
        <v>42005</v>
      </c>
      <c r="H89" s="915"/>
      <c r="I89" s="448"/>
      <c r="J89" s="16">
        <v>2014</v>
      </c>
      <c r="K89" s="1415"/>
      <c r="L89" s="1415"/>
      <c r="M89" s="18" t="s">
        <v>166</v>
      </c>
      <c r="N89" s="19" t="s">
        <v>341</v>
      </c>
      <c r="O89" s="2" t="s">
        <v>4032</v>
      </c>
      <c r="P89" s="3" t="s">
        <v>342</v>
      </c>
      <c r="Q89" s="3"/>
      <c r="R89" s="4">
        <v>40000</v>
      </c>
      <c r="S89" s="6">
        <v>41974</v>
      </c>
      <c r="T89" s="5">
        <v>41976</v>
      </c>
      <c r="U89" s="11">
        <v>41997</v>
      </c>
      <c r="V89" s="13" t="s">
        <v>68</v>
      </c>
      <c r="W89" s="19" t="s">
        <v>68</v>
      </c>
      <c r="X89" s="18" t="s">
        <v>70</v>
      </c>
      <c r="Y89" s="200" t="s">
        <v>68</v>
      </c>
      <c r="Z89" s="368"/>
      <c r="AA89" s="19" t="s">
        <v>343</v>
      </c>
      <c r="AB89" s="8">
        <v>41970</v>
      </c>
      <c r="AC89" s="4">
        <v>40000</v>
      </c>
      <c r="AD89" s="4"/>
      <c r="AE89" s="32"/>
      <c r="AF89" s="34" t="s">
        <v>68</v>
      </c>
      <c r="AG89" s="112" t="s">
        <v>68</v>
      </c>
      <c r="AH89" s="112" t="s">
        <v>68</v>
      </c>
      <c r="AI89" s="7" t="s">
        <v>68</v>
      </c>
      <c r="AJ89" s="215" t="s">
        <v>68</v>
      </c>
      <c r="AK89" s="33" t="s">
        <v>68</v>
      </c>
      <c r="AL89" s="1" t="s">
        <v>68</v>
      </c>
      <c r="AM89" s="1"/>
      <c r="AN89" s="1" t="s">
        <v>68</v>
      </c>
      <c r="AO89" s="1"/>
      <c r="AP89" s="1" t="s">
        <v>68</v>
      </c>
      <c r="AQ89" s="1"/>
      <c r="AR89" s="279"/>
      <c r="AS89" s="220">
        <v>0</v>
      </c>
      <c r="AT89" s="894">
        <f>BI89</f>
        <v>0</v>
      </c>
      <c r="AU89" s="883"/>
      <c r="AV89" s="230" t="s">
        <v>74</v>
      </c>
      <c r="AW89" s="11"/>
      <c r="AX89" s="223" t="s">
        <v>68</v>
      </c>
      <c r="AY89" s="52"/>
      <c r="AZ89" s="19"/>
      <c r="BA89" s="1"/>
      <c r="BB89" s="1"/>
      <c r="BC89" s="17"/>
      <c r="BD89" s="19"/>
      <c r="BE89" s="12"/>
      <c r="BF89" s="1"/>
      <c r="BG89" s="1"/>
      <c r="BH89" s="1"/>
      <c r="BI89" s="36"/>
      <c r="BJ89" s="13" t="s">
        <v>68</v>
      </c>
      <c r="BK89" s="352"/>
      <c r="BL89" s="694" t="s">
        <v>68</v>
      </c>
      <c r="BM89" s="695" t="s">
        <v>68</v>
      </c>
      <c r="BN89" s="695" t="s">
        <v>68</v>
      </c>
      <c r="BO89" s="694"/>
      <c r="BP89" s="694"/>
      <c r="BQ89" s="694"/>
      <c r="BR89" s="694"/>
      <c r="BS89" s="694"/>
      <c r="BT89" s="694"/>
      <c r="BU89" s="694"/>
      <c r="BV89" s="694" t="s">
        <v>68</v>
      </c>
      <c r="BW89" s="13"/>
      <c r="BX89" s="13"/>
      <c r="BY89" s="13"/>
      <c r="BZ89" s="13"/>
      <c r="CA89" s="13"/>
      <c r="CB89" s="1220" t="s">
        <v>1427</v>
      </c>
      <c r="CC89" s="38" t="s">
        <v>76</v>
      </c>
      <c r="CD89" s="513"/>
      <c r="CE89" s="513"/>
      <c r="CF89" s="513"/>
      <c r="CG89" s="513"/>
      <c r="CH89" s="513"/>
      <c r="CI89" s="513"/>
      <c r="CJ89" s="513"/>
      <c r="CK89" s="12"/>
    </row>
    <row r="90" spans="2:89" customFormat="1" ht="80.099999999999994" hidden="1" customHeight="1">
      <c r="B90" s="22"/>
      <c r="C90" s="22"/>
      <c r="D90" s="22"/>
      <c r="E90" s="22"/>
      <c r="F90" s="22"/>
      <c r="G90" s="915">
        <v>42005</v>
      </c>
      <c r="H90" s="915"/>
      <c r="I90" s="448"/>
      <c r="J90" s="16">
        <v>2014</v>
      </c>
      <c r="K90" s="1415"/>
      <c r="L90" s="1415"/>
      <c r="M90" s="18" t="s">
        <v>166</v>
      </c>
      <c r="N90" s="19" t="s">
        <v>344</v>
      </c>
      <c r="O90" s="2" t="s">
        <v>4032</v>
      </c>
      <c r="P90" s="3" t="s">
        <v>345</v>
      </c>
      <c r="Q90" s="3"/>
      <c r="R90" s="4">
        <v>15000</v>
      </c>
      <c r="S90" s="6">
        <v>41974</v>
      </c>
      <c r="T90" s="5">
        <v>41981</v>
      </c>
      <c r="U90" s="11">
        <v>41995</v>
      </c>
      <c r="V90" s="13" t="s">
        <v>68</v>
      </c>
      <c r="W90" s="19" t="s">
        <v>68</v>
      </c>
      <c r="X90" s="18"/>
      <c r="Y90" s="200" t="s">
        <v>68</v>
      </c>
      <c r="Z90" s="368"/>
      <c r="AA90" s="19" t="s">
        <v>346</v>
      </c>
      <c r="AB90" s="8">
        <v>41988</v>
      </c>
      <c r="AC90" s="4">
        <v>15000</v>
      </c>
      <c r="AD90" s="4"/>
      <c r="AE90" s="32"/>
      <c r="AF90" s="34" t="s">
        <v>68</v>
      </c>
      <c r="AG90" s="112" t="s">
        <v>68</v>
      </c>
      <c r="AH90" s="112" t="s">
        <v>68</v>
      </c>
      <c r="AI90" s="7" t="s">
        <v>68</v>
      </c>
      <c r="AJ90" s="215" t="s">
        <v>68</v>
      </c>
      <c r="AK90" s="33" t="s">
        <v>68</v>
      </c>
      <c r="AL90" s="1" t="s">
        <v>68</v>
      </c>
      <c r="AM90" s="1"/>
      <c r="AN90" s="1" t="s">
        <v>68</v>
      </c>
      <c r="AO90" s="1"/>
      <c r="AP90" s="1" t="s">
        <v>68</v>
      </c>
      <c r="AQ90" s="1"/>
      <c r="AR90" s="279"/>
      <c r="AS90" s="220">
        <v>0</v>
      </c>
      <c r="AT90" s="894">
        <f>BI90</f>
        <v>0</v>
      </c>
      <c r="AU90" s="883"/>
      <c r="AV90" s="30" t="s">
        <v>68</v>
      </c>
      <c r="AW90" s="11" t="s">
        <v>68</v>
      </c>
      <c r="AX90" s="223" t="s">
        <v>68</v>
      </c>
      <c r="AY90" s="52" t="s">
        <v>68</v>
      </c>
      <c r="AZ90" s="19" t="s">
        <v>68</v>
      </c>
      <c r="BA90" s="1"/>
      <c r="BB90" s="1"/>
      <c r="BC90" s="17"/>
      <c r="BD90" s="19"/>
      <c r="BE90" s="12"/>
      <c r="BF90" s="1"/>
      <c r="BG90" s="1"/>
      <c r="BH90" s="1"/>
      <c r="BI90" s="36"/>
      <c r="BJ90" s="13" t="s">
        <v>68</v>
      </c>
      <c r="BK90" s="352"/>
      <c r="BL90" s="694" t="s">
        <v>68</v>
      </c>
      <c r="BM90" s="695" t="s">
        <v>68</v>
      </c>
      <c r="BN90" s="695" t="s">
        <v>68</v>
      </c>
      <c r="BO90" s="694"/>
      <c r="BP90" s="694"/>
      <c r="BQ90" s="694"/>
      <c r="BR90" s="694"/>
      <c r="BS90" s="694"/>
      <c r="BT90" s="694"/>
      <c r="BU90" s="694"/>
      <c r="BV90" s="694" t="s">
        <v>68</v>
      </c>
      <c r="BW90" s="13"/>
      <c r="BX90" s="13"/>
      <c r="BY90" s="13"/>
      <c r="BZ90" s="13"/>
      <c r="CA90" s="13"/>
      <c r="CB90" s="1220" t="s">
        <v>1427</v>
      </c>
      <c r="CC90" s="38" t="s">
        <v>76</v>
      </c>
      <c r="CD90" s="513"/>
      <c r="CE90" s="513"/>
      <c r="CF90" s="513"/>
      <c r="CG90" s="513"/>
      <c r="CH90" s="513"/>
      <c r="CI90" s="513"/>
      <c r="CJ90" s="513"/>
      <c r="CK90" s="12"/>
    </row>
    <row r="91" spans="2:89" customFormat="1" ht="80.099999999999994" hidden="1" customHeight="1" thickBot="1">
      <c r="B91" s="22"/>
      <c r="C91" s="22"/>
      <c r="D91" s="22"/>
      <c r="E91" s="22"/>
      <c r="F91" s="22"/>
      <c r="G91" s="915">
        <v>42005</v>
      </c>
      <c r="H91" s="915"/>
      <c r="I91" s="448"/>
      <c r="J91" s="16">
        <v>2014</v>
      </c>
      <c r="K91" s="1415"/>
      <c r="L91" s="1415"/>
      <c r="M91" s="18" t="s">
        <v>166</v>
      </c>
      <c r="N91" s="19" t="s">
        <v>347</v>
      </c>
      <c r="O91" s="2" t="s">
        <v>4032</v>
      </c>
      <c r="P91" s="3" t="s">
        <v>348</v>
      </c>
      <c r="Q91" s="3"/>
      <c r="R91" s="4">
        <v>15000</v>
      </c>
      <c r="S91" s="6">
        <v>41974</v>
      </c>
      <c r="T91" s="5">
        <v>41981</v>
      </c>
      <c r="U91" s="11">
        <v>41988</v>
      </c>
      <c r="V91" s="13" t="s">
        <v>68</v>
      </c>
      <c r="W91" s="19" t="s">
        <v>68</v>
      </c>
      <c r="X91" s="18"/>
      <c r="Y91" s="200" t="s">
        <v>68</v>
      </c>
      <c r="Z91" s="368"/>
      <c r="AA91" s="19" t="s">
        <v>349</v>
      </c>
      <c r="AB91" s="8">
        <v>41988</v>
      </c>
      <c r="AC91" s="4">
        <v>15000</v>
      </c>
      <c r="AD91" s="4"/>
      <c r="AE91" s="32"/>
      <c r="AF91" s="34" t="s">
        <v>68</v>
      </c>
      <c r="AG91" s="112" t="s">
        <v>68</v>
      </c>
      <c r="AH91" s="112" t="s">
        <v>68</v>
      </c>
      <c r="AI91" s="7" t="s">
        <v>68</v>
      </c>
      <c r="AJ91" s="215" t="s">
        <v>68</v>
      </c>
      <c r="AK91" s="33" t="s">
        <v>68</v>
      </c>
      <c r="AL91" s="1" t="s">
        <v>68</v>
      </c>
      <c r="AM91" s="1"/>
      <c r="AN91" s="1" t="s">
        <v>68</v>
      </c>
      <c r="AO91" s="1"/>
      <c r="AP91" s="1" t="s">
        <v>68</v>
      </c>
      <c r="AQ91" s="1"/>
      <c r="AR91" s="279"/>
      <c r="AS91" s="35">
        <v>0</v>
      </c>
      <c r="AT91" s="895">
        <v>0</v>
      </c>
      <c r="AU91" s="884"/>
      <c r="AV91" s="230" t="s">
        <v>74</v>
      </c>
      <c r="AW91" s="11"/>
      <c r="AX91" s="223" t="s">
        <v>68</v>
      </c>
      <c r="AY91" s="52"/>
      <c r="AZ91" s="19"/>
      <c r="BA91" s="1"/>
      <c r="BB91" s="1"/>
      <c r="BC91" s="17"/>
      <c r="BD91" s="19"/>
      <c r="BE91" s="12"/>
      <c r="BF91" s="1"/>
      <c r="BG91" s="1"/>
      <c r="BH91" s="1"/>
      <c r="BI91" s="36"/>
      <c r="BJ91" s="13"/>
      <c r="BK91" s="352"/>
      <c r="BL91" s="694" t="s">
        <v>68</v>
      </c>
      <c r="BM91" s="695" t="s">
        <v>68</v>
      </c>
      <c r="BN91" s="695" t="s">
        <v>68</v>
      </c>
      <c r="BO91" s="694"/>
      <c r="BP91" s="694"/>
      <c r="BQ91" s="694"/>
      <c r="BR91" s="694"/>
      <c r="BS91" s="694"/>
      <c r="BT91" s="694"/>
      <c r="BU91" s="694"/>
      <c r="BV91" s="694" t="s">
        <v>68</v>
      </c>
      <c r="BW91" s="13"/>
      <c r="BX91" s="13"/>
      <c r="BY91" s="13"/>
      <c r="BZ91" s="13"/>
      <c r="CA91" s="13"/>
      <c r="CB91" s="1220" t="s">
        <v>1427</v>
      </c>
      <c r="CC91" s="38" t="s">
        <v>76</v>
      </c>
      <c r="CD91" s="513"/>
      <c r="CE91" s="513"/>
      <c r="CF91" s="513"/>
      <c r="CG91" s="513"/>
      <c r="CH91" s="513"/>
      <c r="CI91" s="513"/>
      <c r="CJ91" s="513"/>
      <c r="CK91" s="12"/>
    </row>
    <row r="92" spans="2:89" customFormat="1" ht="80.099999999999994" hidden="1" customHeight="1">
      <c r="B92" s="22"/>
      <c r="C92" s="22"/>
      <c r="D92" s="22"/>
      <c r="E92" s="22"/>
      <c r="F92" s="22"/>
      <c r="G92" s="915">
        <v>42005</v>
      </c>
      <c r="H92" s="915"/>
      <c r="I92" s="448" t="s">
        <v>68</v>
      </c>
      <c r="J92" s="16">
        <v>2014</v>
      </c>
      <c r="K92" s="1415"/>
      <c r="L92" s="1415"/>
      <c r="M92" s="18" t="s">
        <v>247</v>
      </c>
      <c r="N92" s="19" t="s">
        <v>350</v>
      </c>
      <c r="O92" s="2" t="s">
        <v>350</v>
      </c>
      <c r="P92" s="3" t="s">
        <v>351</v>
      </c>
      <c r="Q92" s="3"/>
      <c r="R92" s="4" t="s">
        <v>68</v>
      </c>
      <c r="S92" s="6" t="s">
        <v>68</v>
      </c>
      <c r="T92" s="5" t="s">
        <v>68</v>
      </c>
      <c r="U92" s="11" t="s">
        <v>68</v>
      </c>
      <c r="V92" s="13" t="s">
        <v>68</v>
      </c>
      <c r="W92" s="33" t="s">
        <v>352</v>
      </c>
      <c r="X92" s="18" t="s">
        <v>352</v>
      </c>
      <c r="Y92" s="200" t="s">
        <v>68</v>
      </c>
      <c r="Z92" s="368"/>
      <c r="AA92" s="19"/>
      <c r="AB92" s="8"/>
      <c r="AC92" s="4">
        <v>1206603.23</v>
      </c>
      <c r="AD92" s="4"/>
      <c r="AE92" s="32"/>
      <c r="AF92" s="34" t="s">
        <v>68</v>
      </c>
      <c r="AG92" s="112" t="s">
        <v>68</v>
      </c>
      <c r="AH92" s="112" t="s">
        <v>68</v>
      </c>
      <c r="AI92" s="7" t="s">
        <v>68</v>
      </c>
      <c r="AJ92" s="215" t="s">
        <v>68</v>
      </c>
      <c r="AK92" s="33" t="s">
        <v>68</v>
      </c>
      <c r="AL92" s="1" t="s">
        <v>68</v>
      </c>
      <c r="AM92" s="1"/>
      <c r="AN92" s="1" t="s">
        <v>68</v>
      </c>
      <c r="AO92" s="1"/>
      <c r="AP92" s="1" t="s">
        <v>68</v>
      </c>
      <c r="AQ92" s="1"/>
      <c r="AR92" s="279"/>
      <c r="AS92" s="35" t="s">
        <v>68</v>
      </c>
      <c r="AT92" s="895" t="s">
        <v>68</v>
      </c>
      <c r="AU92" s="884"/>
      <c r="AV92" s="30" t="s">
        <v>68</v>
      </c>
      <c r="AW92" s="11" t="s">
        <v>68</v>
      </c>
      <c r="AX92" s="223" t="s">
        <v>68</v>
      </c>
      <c r="AY92" s="224" t="s">
        <v>68</v>
      </c>
      <c r="AZ92" s="19" t="s">
        <v>68</v>
      </c>
      <c r="BA92" s="1"/>
      <c r="BB92" s="1"/>
      <c r="BC92" s="17"/>
      <c r="BD92" s="19" t="s">
        <v>68</v>
      </c>
      <c r="BE92" s="12"/>
      <c r="BF92" s="1"/>
      <c r="BG92" s="1"/>
      <c r="BH92" s="1"/>
      <c r="BI92" s="36"/>
      <c r="BJ92" s="13" t="s">
        <v>68</v>
      </c>
      <c r="BK92" s="352"/>
      <c r="BL92" s="694" t="s">
        <v>68</v>
      </c>
      <c r="BM92" s="695" t="s">
        <v>68</v>
      </c>
      <c r="BN92" s="695" t="s">
        <v>68</v>
      </c>
      <c r="BO92" s="694"/>
      <c r="BP92" s="694"/>
      <c r="BQ92" s="694"/>
      <c r="BR92" s="694"/>
      <c r="BS92" s="694"/>
      <c r="BT92" s="694"/>
      <c r="BU92" s="694"/>
      <c r="BV92" s="694" t="s">
        <v>68</v>
      </c>
      <c r="BW92" s="13"/>
      <c r="BX92" s="13"/>
      <c r="BY92" s="13"/>
      <c r="BZ92" s="13"/>
      <c r="CA92" s="13"/>
      <c r="CB92" s="1220" t="s">
        <v>1427</v>
      </c>
      <c r="CC92" s="38" t="s">
        <v>76</v>
      </c>
      <c r="CD92" s="513"/>
      <c r="CE92" s="513"/>
      <c r="CF92" s="513"/>
      <c r="CG92" s="513"/>
      <c r="CH92" s="513"/>
      <c r="CI92" s="513"/>
      <c r="CJ92" s="513"/>
      <c r="CK92" s="12"/>
    </row>
    <row r="93" spans="2:89" customFormat="1" ht="80.099999999999994" hidden="1" customHeight="1">
      <c r="B93" s="22"/>
      <c r="C93" s="22"/>
      <c r="D93" s="22"/>
      <c r="E93" s="22"/>
      <c r="F93" s="22"/>
      <c r="G93" s="915">
        <v>42005</v>
      </c>
      <c r="H93" s="915"/>
      <c r="I93" s="448" t="s">
        <v>68</v>
      </c>
      <c r="J93" s="16">
        <v>2014</v>
      </c>
      <c r="K93" s="1415"/>
      <c r="L93" s="1415"/>
      <c r="M93" s="18" t="s">
        <v>247</v>
      </c>
      <c r="N93" s="19" t="s">
        <v>350</v>
      </c>
      <c r="O93" s="2" t="s">
        <v>350</v>
      </c>
      <c r="P93" s="3" t="s">
        <v>353</v>
      </c>
      <c r="Q93" s="3"/>
      <c r="R93" s="4" t="s">
        <v>68</v>
      </c>
      <c r="S93" s="6" t="s">
        <v>68</v>
      </c>
      <c r="T93" s="5" t="s">
        <v>68</v>
      </c>
      <c r="U93" s="11" t="s">
        <v>68</v>
      </c>
      <c r="V93" s="13" t="s">
        <v>68</v>
      </c>
      <c r="W93" s="33" t="s">
        <v>352</v>
      </c>
      <c r="X93" s="18" t="s">
        <v>352</v>
      </c>
      <c r="Y93" s="200" t="s">
        <v>68</v>
      </c>
      <c r="Z93" s="368"/>
      <c r="AA93" s="19"/>
      <c r="AB93" s="8"/>
      <c r="AC93" s="4">
        <v>2293183.36</v>
      </c>
      <c r="AD93" s="4"/>
      <c r="AE93" s="32"/>
      <c r="AF93" s="34" t="s">
        <v>68</v>
      </c>
      <c r="AG93" s="112" t="s">
        <v>68</v>
      </c>
      <c r="AH93" s="112" t="s">
        <v>68</v>
      </c>
      <c r="AI93" s="7" t="s">
        <v>68</v>
      </c>
      <c r="AJ93" s="215" t="s">
        <v>68</v>
      </c>
      <c r="AK93" s="33" t="s">
        <v>68</v>
      </c>
      <c r="AL93" s="1" t="s">
        <v>68</v>
      </c>
      <c r="AM93" s="1"/>
      <c r="AN93" s="1" t="s">
        <v>68</v>
      </c>
      <c r="AO93" s="1"/>
      <c r="AP93" s="1" t="s">
        <v>68</v>
      </c>
      <c r="AQ93" s="1"/>
      <c r="AR93" s="279"/>
      <c r="AS93" s="35" t="s">
        <v>68</v>
      </c>
      <c r="AT93" s="895" t="s">
        <v>68</v>
      </c>
      <c r="AU93" s="884"/>
      <c r="AV93" s="30" t="s">
        <v>68</v>
      </c>
      <c r="AW93" s="11" t="s">
        <v>68</v>
      </c>
      <c r="AX93" s="223" t="s">
        <v>68</v>
      </c>
      <c r="AY93" s="224" t="s">
        <v>68</v>
      </c>
      <c r="AZ93" s="19" t="s">
        <v>68</v>
      </c>
      <c r="BA93" s="1"/>
      <c r="BB93" s="1"/>
      <c r="BC93" s="17"/>
      <c r="BD93" s="19" t="s">
        <v>68</v>
      </c>
      <c r="BE93" s="12"/>
      <c r="BF93" s="1"/>
      <c r="BG93" s="1"/>
      <c r="BH93" s="1"/>
      <c r="BI93" s="36"/>
      <c r="BJ93" s="13" t="s">
        <v>68</v>
      </c>
      <c r="BK93" s="352"/>
      <c r="BL93" s="694" t="s">
        <v>68</v>
      </c>
      <c r="BM93" s="695" t="s">
        <v>68</v>
      </c>
      <c r="BN93" s="695" t="s">
        <v>68</v>
      </c>
      <c r="BO93" s="694"/>
      <c r="BP93" s="694"/>
      <c r="BQ93" s="694"/>
      <c r="BR93" s="694"/>
      <c r="BS93" s="694"/>
      <c r="BT93" s="694"/>
      <c r="BU93" s="694"/>
      <c r="BV93" s="694" t="s">
        <v>68</v>
      </c>
      <c r="BW93" s="13"/>
      <c r="BX93" s="13"/>
      <c r="BY93" s="13"/>
      <c r="BZ93" s="13"/>
      <c r="CA93" s="13"/>
      <c r="CB93" s="1220" t="s">
        <v>1427</v>
      </c>
      <c r="CC93" s="38" t="s">
        <v>76</v>
      </c>
      <c r="CD93" s="513"/>
      <c r="CE93" s="513"/>
      <c r="CF93" s="513"/>
      <c r="CG93" s="513"/>
      <c r="CH93" s="513"/>
      <c r="CI93" s="513"/>
      <c r="CJ93" s="513"/>
      <c r="CK93" s="12"/>
    </row>
    <row r="94" spans="2:89" customFormat="1" ht="80.099999999999994" hidden="1" customHeight="1" thickBot="1">
      <c r="B94" s="22"/>
      <c r="C94" s="22"/>
      <c r="D94" s="22"/>
      <c r="E94" s="22"/>
      <c r="F94" s="22"/>
      <c r="G94" s="915">
        <v>42005</v>
      </c>
      <c r="H94" s="915"/>
      <c r="I94" s="448" t="s">
        <v>68</v>
      </c>
      <c r="J94" s="16">
        <v>2014</v>
      </c>
      <c r="K94" s="1415"/>
      <c r="L94" s="1415"/>
      <c r="M94" s="18" t="s">
        <v>247</v>
      </c>
      <c r="N94" s="19" t="s">
        <v>350</v>
      </c>
      <c r="O94" s="2" t="s">
        <v>350</v>
      </c>
      <c r="P94" s="3" t="s">
        <v>354</v>
      </c>
      <c r="Q94" s="3"/>
      <c r="R94" s="4" t="s">
        <v>68</v>
      </c>
      <c r="S94" s="6" t="s">
        <v>68</v>
      </c>
      <c r="T94" s="5" t="s">
        <v>68</v>
      </c>
      <c r="U94" s="11" t="s">
        <v>68</v>
      </c>
      <c r="V94" s="13" t="s">
        <v>68</v>
      </c>
      <c r="W94" s="33" t="s">
        <v>352</v>
      </c>
      <c r="X94" s="18" t="s">
        <v>352</v>
      </c>
      <c r="Y94" s="200" t="s">
        <v>68</v>
      </c>
      <c r="Z94" s="368"/>
      <c r="AA94" s="19"/>
      <c r="AB94" s="8"/>
      <c r="AC94" s="4">
        <v>1179678.05</v>
      </c>
      <c r="AD94" s="4"/>
      <c r="AE94" s="32"/>
      <c r="AF94" s="34" t="s">
        <v>68</v>
      </c>
      <c r="AG94" s="112" t="s">
        <v>68</v>
      </c>
      <c r="AH94" s="112" t="s">
        <v>68</v>
      </c>
      <c r="AI94" s="7" t="s">
        <v>68</v>
      </c>
      <c r="AJ94" s="215" t="s">
        <v>68</v>
      </c>
      <c r="AK94" s="178" t="s">
        <v>68</v>
      </c>
      <c r="AL94" s="243" t="s">
        <v>68</v>
      </c>
      <c r="AM94" s="243"/>
      <c r="AN94" s="243" t="s">
        <v>68</v>
      </c>
      <c r="AO94" s="243"/>
      <c r="AP94" s="243" t="s">
        <v>68</v>
      </c>
      <c r="AQ94" s="243"/>
      <c r="AR94" s="282"/>
      <c r="AS94" s="249" t="s">
        <v>68</v>
      </c>
      <c r="AT94" s="896" t="s">
        <v>68</v>
      </c>
      <c r="AU94" s="885"/>
      <c r="AV94" s="251" t="s">
        <v>68</v>
      </c>
      <c r="AW94" s="177" t="s">
        <v>68</v>
      </c>
      <c r="AX94" s="223" t="s">
        <v>68</v>
      </c>
      <c r="AY94" s="224" t="s">
        <v>68</v>
      </c>
      <c r="AZ94" s="171" t="s">
        <v>68</v>
      </c>
      <c r="BA94" s="243"/>
      <c r="BB94" s="243"/>
      <c r="BC94" s="244"/>
      <c r="BD94" s="171" t="s">
        <v>68</v>
      </c>
      <c r="BE94" s="15"/>
      <c r="BF94" s="243"/>
      <c r="BG94" s="243"/>
      <c r="BH94" s="243"/>
      <c r="BI94" s="250"/>
      <c r="BJ94" s="256" t="s">
        <v>68</v>
      </c>
      <c r="BK94" s="23"/>
      <c r="BL94" s="694" t="s">
        <v>68</v>
      </c>
      <c r="BM94" s="695" t="s">
        <v>68</v>
      </c>
      <c r="BN94" s="695" t="s">
        <v>68</v>
      </c>
      <c r="BO94" s="694"/>
      <c r="BP94" s="694"/>
      <c r="BQ94" s="694"/>
      <c r="BR94" s="694"/>
      <c r="BS94" s="694"/>
      <c r="BT94" s="694"/>
      <c r="BU94" s="694"/>
      <c r="BV94" s="694" t="s">
        <v>68</v>
      </c>
      <c r="BW94" s="13"/>
      <c r="BX94" s="13"/>
      <c r="BY94" s="13"/>
      <c r="BZ94" s="13"/>
      <c r="CA94" s="13"/>
      <c r="CB94" s="1220" t="s">
        <v>1427</v>
      </c>
      <c r="CC94" s="38" t="s">
        <v>76</v>
      </c>
      <c r="CD94" s="513"/>
      <c r="CE94" s="513"/>
      <c r="CF94" s="513"/>
      <c r="CG94" s="513"/>
      <c r="CH94" s="513"/>
      <c r="CI94" s="513"/>
      <c r="CJ94" s="513"/>
      <c r="CK94" s="12"/>
    </row>
    <row r="95" spans="2:89" customFormat="1" ht="80.099999999999994" hidden="1" customHeight="1" thickTop="1">
      <c r="B95" s="22"/>
      <c r="C95" s="22"/>
      <c r="D95" s="22"/>
      <c r="E95" s="22"/>
      <c r="F95" s="22"/>
      <c r="G95" s="915">
        <v>42005</v>
      </c>
      <c r="H95" s="915"/>
      <c r="I95" s="448">
        <v>43048</v>
      </c>
      <c r="J95" s="16">
        <v>2015</v>
      </c>
      <c r="K95" s="1415"/>
      <c r="L95" s="1415"/>
      <c r="M95" s="17" t="s">
        <v>77</v>
      </c>
      <c r="N95" s="19" t="s">
        <v>355</v>
      </c>
      <c r="O95" s="2" t="s">
        <v>79</v>
      </c>
      <c r="P95" s="3" t="s">
        <v>356</v>
      </c>
      <c r="Q95" s="3"/>
      <c r="R95" s="4">
        <v>265913.18</v>
      </c>
      <c r="S95" s="6">
        <v>42010</v>
      </c>
      <c r="T95" s="5">
        <v>42016</v>
      </c>
      <c r="U95" s="11">
        <v>42030</v>
      </c>
      <c r="V95" s="62">
        <v>42010</v>
      </c>
      <c r="W95" s="33" t="s">
        <v>357</v>
      </c>
      <c r="X95" s="18" t="s">
        <v>114</v>
      </c>
      <c r="Y95" s="62">
        <v>42220</v>
      </c>
      <c r="Z95" s="105"/>
      <c r="AA95" s="117" t="s">
        <v>74</v>
      </c>
      <c r="AB95" s="8"/>
      <c r="AC95" s="4"/>
      <c r="AD95" s="4"/>
      <c r="AE95" s="32"/>
      <c r="AF95" s="34" t="s">
        <v>68</v>
      </c>
      <c r="AG95" s="112" t="s">
        <v>68</v>
      </c>
      <c r="AH95" s="112" t="s">
        <v>68</v>
      </c>
      <c r="AI95" s="7" t="s">
        <v>68</v>
      </c>
      <c r="AJ95" s="215" t="s">
        <v>68</v>
      </c>
      <c r="AK95" s="267" t="s">
        <v>186</v>
      </c>
      <c r="AL95" s="591" t="s">
        <v>68</v>
      </c>
      <c r="AM95" s="591"/>
      <c r="AN95" s="591" t="s">
        <v>358</v>
      </c>
      <c r="AO95" s="268">
        <v>42010</v>
      </c>
      <c r="AP95" s="591" t="s">
        <v>83</v>
      </c>
      <c r="AQ95" s="591"/>
      <c r="AR95" s="283">
        <f>26591.36</f>
        <v>26591.360000000001</v>
      </c>
      <c r="AS95" s="269">
        <v>0</v>
      </c>
      <c r="AT95" s="897">
        <v>264744.99</v>
      </c>
      <c r="AU95" s="886"/>
      <c r="AV95" s="271">
        <v>42016</v>
      </c>
      <c r="AW95" s="272">
        <v>42024</v>
      </c>
      <c r="AX95" s="271" t="s">
        <v>68</v>
      </c>
      <c r="AY95" s="273" t="s">
        <v>68</v>
      </c>
      <c r="AZ95" s="271"/>
      <c r="BA95" s="268"/>
      <c r="BB95" s="268"/>
      <c r="BC95" s="272"/>
      <c r="BD95" s="271">
        <v>42073</v>
      </c>
      <c r="BE95" s="1607"/>
      <c r="BF95" s="268"/>
      <c r="BG95" s="268"/>
      <c r="BH95" s="268"/>
      <c r="BI95" s="270">
        <f>AS95+AT95</f>
        <v>264744.99</v>
      </c>
      <c r="BJ95" s="274"/>
      <c r="BK95" s="352"/>
      <c r="BL95" s="694" t="s">
        <v>68</v>
      </c>
      <c r="BM95" s="695" t="s">
        <v>68</v>
      </c>
      <c r="BN95" s="695" t="s">
        <v>68</v>
      </c>
      <c r="BO95" s="694"/>
      <c r="BP95" s="694"/>
      <c r="BQ95" s="694"/>
      <c r="BR95" s="694"/>
      <c r="BS95" s="694"/>
      <c r="BT95" s="694"/>
      <c r="BU95" s="694"/>
      <c r="BV95" s="694" t="s">
        <v>68</v>
      </c>
      <c r="BW95" s="13"/>
      <c r="BX95" s="13"/>
      <c r="BY95" s="13"/>
      <c r="BZ95" s="13"/>
      <c r="CA95" s="13"/>
      <c r="CB95" s="1220" t="s">
        <v>1427</v>
      </c>
      <c r="CC95" s="38" t="s">
        <v>76</v>
      </c>
      <c r="CD95" s="513"/>
      <c r="CE95" s="513"/>
      <c r="CF95" s="513"/>
      <c r="CG95" s="513"/>
      <c r="CH95" s="513"/>
      <c r="CI95" s="513"/>
      <c r="CJ95" s="513"/>
      <c r="CK95" s="12"/>
    </row>
    <row r="96" spans="2:89" customFormat="1" ht="80.099999999999994" hidden="1" customHeight="1">
      <c r="B96" s="22"/>
      <c r="C96" s="22"/>
      <c r="D96" s="22"/>
      <c r="E96" s="22"/>
      <c r="F96" s="22"/>
      <c r="G96" s="915">
        <v>42005</v>
      </c>
      <c r="H96" s="915"/>
      <c r="I96" s="448">
        <v>42979</v>
      </c>
      <c r="J96" s="16">
        <v>2015</v>
      </c>
      <c r="K96" s="1415"/>
      <c r="L96" s="1415"/>
      <c r="M96" s="18" t="s">
        <v>166</v>
      </c>
      <c r="N96" s="19" t="s">
        <v>359</v>
      </c>
      <c r="O96" s="2" t="s">
        <v>79</v>
      </c>
      <c r="P96" s="3" t="s">
        <v>360</v>
      </c>
      <c r="Q96" s="3"/>
      <c r="R96" s="4">
        <v>95412.78</v>
      </c>
      <c r="S96" s="6">
        <v>42006</v>
      </c>
      <c r="T96" s="5">
        <v>42006</v>
      </c>
      <c r="U96" s="11">
        <v>42015</v>
      </c>
      <c r="V96" s="62">
        <v>42006</v>
      </c>
      <c r="W96" s="33" t="s">
        <v>264</v>
      </c>
      <c r="X96" s="18" t="s">
        <v>114</v>
      </c>
      <c r="Y96" s="200" t="s">
        <v>68</v>
      </c>
      <c r="Z96" s="368"/>
      <c r="AA96" s="19"/>
      <c r="AB96" s="8"/>
      <c r="AC96" s="4"/>
      <c r="AD96" s="4"/>
      <c r="AE96" s="32"/>
      <c r="AF96" s="34" t="s">
        <v>68</v>
      </c>
      <c r="AG96" s="112" t="s">
        <v>68</v>
      </c>
      <c r="AH96" s="112" t="s">
        <v>68</v>
      </c>
      <c r="AI96" s="7" t="s">
        <v>68</v>
      </c>
      <c r="AJ96" s="215" t="s">
        <v>68</v>
      </c>
      <c r="AK96" s="33" t="s">
        <v>214</v>
      </c>
      <c r="AL96" s="1" t="s">
        <v>68</v>
      </c>
      <c r="AM96" s="1"/>
      <c r="AN96" s="1" t="s">
        <v>361</v>
      </c>
      <c r="AO96" s="5">
        <v>42006</v>
      </c>
      <c r="AP96" s="1" t="s">
        <v>83</v>
      </c>
      <c r="AQ96" s="1"/>
      <c r="AR96" s="279">
        <v>19082.560000000001</v>
      </c>
      <c r="AS96" s="220">
        <v>0</v>
      </c>
      <c r="AT96" s="894">
        <f>BI96</f>
        <v>94772.53</v>
      </c>
      <c r="AU96" s="883"/>
      <c r="AV96" s="30">
        <v>42006</v>
      </c>
      <c r="AW96" s="11">
        <v>42014</v>
      </c>
      <c r="AX96" s="223" t="s">
        <v>68</v>
      </c>
      <c r="AY96" s="224" t="s">
        <v>68</v>
      </c>
      <c r="AZ96" s="30">
        <v>42016</v>
      </c>
      <c r="BA96" s="5">
        <v>42006</v>
      </c>
      <c r="BB96" s="5">
        <v>42014</v>
      </c>
      <c r="BC96" s="11">
        <v>42014</v>
      </c>
      <c r="BD96" s="30">
        <v>42016</v>
      </c>
      <c r="BE96" s="309"/>
      <c r="BF96" s="5">
        <v>42006</v>
      </c>
      <c r="BG96" s="5">
        <v>42014</v>
      </c>
      <c r="BH96" s="5">
        <v>42014</v>
      </c>
      <c r="BI96" s="36">
        <v>94772.53</v>
      </c>
      <c r="BJ96" s="13"/>
      <c r="BK96" s="352"/>
      <c r="BL96" s="694" t="s">
        <v>68</v>
      </c>
      <c r="BM96" s="695" t="s">
        <v>68</v>
      </c>
      <c r="BN96" s="695" t="s">
        <v>68</v>
      </c>
      <c r="BO96" s="694"/>
      <c r="BP96" s="694"/>
      <c r="BQ96" s="694"/>
      <c r="BR96" s="694"/>
      <c r="BS96" s="694"/>
      <c r="BT96" s="694"/>
      <c r="BU96" s="694"/>
      <c r="BV96" s="694" t="s">
        <v>68</v>
      </c>
      <c r="BW96" s="13"/>
      <c r="BX96" s="13"/>
      <c r="BY96" s="13"/>
      <c r="BZ96" s="13"/>
      <c r="CA96" s="13"/>
      <c r="CB96" s="1220" t="s">
        <v>1427</v>
      </c>
      <c r="CC96" s="38" t="s">
        <v>76</v>
      </c>
      <c r="CD96" s="513"/>
      <c r="CE96" s="513"/>
      <c r="CF96" s="513"/>
      <c r="CG96" s="513"/>
      <c r="CH96" s="513"/>
      <c r="CI96" s="513"/>
      <c r="CJ96" s="513"/>
      <c r="CK96" s="12"/>
    </row>
    <row r="97" spans="2:89" customFormat="1" ht="80.099999999999994" hidden="1" customHeight="1">
      <c r="B97" s="22"/>
      <c r="C97" s="22"/>
      <c r="D97" s="22"/>
      <c r="E97" s="22"/>
      <c r="F97" s="22"/>
      <c r="G97" s="915">
        <v>42005</v>
      </c>
      <c r="H97" s="915"/>
      <c r="I97" s="448">
        <v>42979</v>
      </c>
      <c r="J97" s="16">
        <v>2015</v>
      </c>
      <c r="K97" s="1415"/>
      <c r="L97" s="1415"/>
      <c r="M97" s="17" t="s">
        <v>77</v>
      </c>
      <c r="N97" s="19" t="s">
        <v>362</v>
      </c>
      <c r="O97" s="2" t="s">
        <v>66</v>
      </c>
      <c r="P97" s="3" t="s">
        <v>363</v>
      </c>
      <c r="Q97" s="3"/>
      <c r="R97" s="4">
        <v>2359096.67</v>
      </c>
      <c r="S97" s="6">
        <v>42046</v>
      </c>
      <c r="T97" s="5">
        <v>42051</v>
      </c>
      <c r="U97" s="11">
        <v>42080</v>
      </c>
      <c r="V97" s="13" t="s">
        <v>68</v>
      </c>
      <c r="W97" s="33" t="s">
        <v>364</v>
      </c>
      <c r="X97" s="18" t="s">
        <v>70</v>
      </c>
      <c r="Y97" s="62">
        <v>42032</v>
      </c>
      <c r="Z97" s="105"/>
      <c r="AA97" s="19" t="s">
        <v>365</v>
      </c>
      <c r="AB97" s="8">
        <v>41970</v>
      </c>
      <c r="AC97" s="4">
        <v>2600000</v>
      </c>
      <c r="AD97" s="4" t="s">
        <v>68</v>
      </c>
      <c r="AE97" s="32" t="s">
        <v>68</v>
      </c>
      <c r="AF97" s="34">
        <v>42037</v>
      </c>
      <c r="AG97" s="112">
        <v>42038</v>
      </c>
      <c r="AH97" s="112" t="s">
        <v>68</v>
      </c>
      <c r="AI97" s="7">
        <v>42045</v>
      </c>
      <c r="AJ97" s="215">
        <v>42045</v>
      </c>
      <c r="AK97" s="33"/>
      <c r="AL97" s="1"/>
      <c r="AM97" s="1"/>
      <c r="AN97" s="1"/>
      <c r="AO97" s="1"/>
      <c r="AP97" s="1"/>
      <c r="AQ97" s="1"/>
      <c r="AR97" s="279"/>
      <c r="AS97" s="220">
        <v>0</v>
      </c>
      <c r="AT97" s="894">
        <f>BI97</f>
        <v>2336472.5699999998</v>
      </c>
      <c r="AU97" s="883">
        <v>2571671.19</v>
      </c>
      <c r="AV97" s="230" t="s">
        <v>74</v>
      </c>
      <c r="AW97" s="11"/>
      <c r="AX97" s="30" t="s">
        <v>68</v>
      </c>
      <c r="AY97" s="53" t="s">
        <v>68</v>
      </c>
      <c r="AZ97" s="30"/>
      <c r="BA97" s="5"/>
      <c r="BB97" s="5"/>
      <c r="BC97" s="11"/>
      <c r="BD97" s="30"/>
      <c r="BE97" s="309"/>
      <c r="BF97" s="5"/>
      <c r="BG97" s="5"/>
      <c r="BH97" s="5"/>
      <c r="BI97" s="36">
        <v>2336472.5699999998</v>
      </c>
      <c r="BJ97" s="13"/>
      <c r="BK97" s="352"/>
      <c r="BL97" s="694" t="s">
        <v>68</v>
      </c>
      <c r="BM97" s="695" t="s">
        <v>68</v>
      </c>
      <c r="BN97" s="695" t="s">
        <v>68</v>
      </c>
      <c r="BO97" s="694"/>
      <c r="BP97" s="694"/>
      <c r="BQ97" s="694"/>
      <c r="BR97" s="694"/>
      <c r="BS97" s="694"/>
      <c r="BT97" s="694"/>
      <c r="BU97" s="694"/>
      <c r="BV97" s="694" t="s">
        <v>68</v>
      </c>
      <c r="BW97" s="13"/>
      <c r="BX97" s="13"/>
      <c r="BY97" s="13"/>
      <c r="BZ97" s="13"/>
      <c r="CA97" s="13"/>
      <c r="CB97" s="1220" t="s">
        <v>1427</v>
      </c>
      <c r="CC97" s="38" t="s">
        <v>76</v>
      </c>
      <c r="CD97" s="513"/>
      <c r="CE97" s="513"/>
      <c r="CF97" s="513"/>
      <c r="CG97" s="513"/>
      <c r="CH97" s="513"/>
      <c r="CI97" s="513"/>
      <c r="CJ97" s="513"/>
      <c r="CK97" s="12"/>
    </row>
    <row r="98" spans="2:89" customFormat="1" ht="80.099999999999994" hidden="1" customHeight="1">
      <c r="B98" s="22"/>
      <c r="C98" s="22"/>
      <c r="D98" s="22"/>
      <c r="E98" s="22"/>
      <c r="F98" s="22"/>
      <c r="G98" s="915">
        <v>42005</v>
      </c>
      <c r="H98" s="915"/>
      <c r="I98" s="448">
        <v>42979</v>
      </c>
      <c r="J98" s="16">
        <v>2015</v>
      </c>
      <c r="K98" s="1415"/>
      <c r="L98" s="1415"/>
      <c r="M98" s="17" t="s">
        <v>77</v>
      </c>
      <c r="N98" s="19" t="s">
        <v>366</v>
      </c>
      <c r="O98" s="2" t="s">
        <v>79</v>
      </c>
      <c r="P98" s="3" t="s">
        <v>367</v>
      </c>
      <c r="Q98" s="3"/>
      <c r="R98" s="4">
        <v>260536.84</v>
      </c>
      <c r="S98" s="6">
        <v>42209</v>
      </c>
      <c r="T98" s="5">
        <v>42212</v>
      </c>
      <c r="U98" s="11">
        <v>42225</v>
      </c>
      <c r="V98" s="62">
        <v>42209</v>
      </c>
      <c r="W98" s="33" t="s">
        <v>368</v>
      </c>
      <c r="X98" s="18" t="s">
        <v>70</v>
      </c>
      <c r="Y98" s="537" t="s">
        <v>74</v>
      </c>
      <c r="Z98" s="691"/>
      <c r="AA98" s="19" t="s">
        <v>365</v>
      </c>
      <c r="AB98" s="8">
        <v>41970</v>
      </c>
      <c r="AC98" s="4">
        <v>2600000</v>
      </c>
      <c r="AD98" s="4"/>
      <c r="AE98" s="32"/>
      <c r="AF98" s="34" t="s">
        <v>68</v>
      </c>
      <c r="AG98" s="112" t="s">
        <v>68</v>
      </c>
      <c r="AH98" s="112" t="s">
        <v>68</v>
      </c>
      <c r="AI98" s="7" t="s">
        <v>68</v>
      </c>
      <c r="AJ98" s="215" t="s">
        <v>68</v>
      </c>
      <c r="AK98" s="33" t="s">
        <v>107</v>
      </c>
      <c r="AL98" s="1" t="s">
        <v>68</v>
      </c>
      <c r="AM98" s="1"/>
      <c r="AN98" s="1" t="s">
        <v>369</v>
      </c>
      <c r="AO98" s="60">
        <v>42209</v>
      </c>
      <c r="AP98" s="1" t="s">
        <v>83</v>
      </c>
      <c r="AQ98" s="1"/>
      <c r="AR98" s="279">
        <v>26053.68</v>
      </c>
      <c r="AS98" s="220">
        <v>0</v>
      </c>
      <c r="AT98" s="894">
        <f>BI98</f>
        <v>227660.7</v>
      </c>
      <c r="AU98" s="883"/>
      <c r="AV98" s="230" t="s">
        <v>74</v>
      </c>
      <c r="AW98" s="11"/>
      <c r="AX98" s="223" t="s">
        <v>68</v>
      </c>
      <c r="AY98" s="224" t="s">
        <v>68</v>
      </c>
      <c r="AZ98" s="30"/>
      <c r="BA98" s="5"/>
      <c r="BB98" s="5"/>
      <c r="BC98" s="11"/>
      <c r="BD98" s="30"/>
      <c r="BE98" s="309"/>
      <c r="BF98" s="5"/>
      <c r="BG98" s="5"/>
      <c r="BH98" s="5"/>
      <c r="BI98" s="36">
        <v>227660.7</v>
      </c>
      <c r="BJ98" s="13"/>
      <c r="BK98" s="352"/>
      <c r="BL98" s="694" t="s">
        <v>68</v>
      </c>
      <c r="BM98" s="695" t="s">
        <v>68</v>
      </c>
      <c r="BN98" s="695" t="s">
        <v>68</v>
      </c>
      <c r="BO98" s="694"/>
      <c r="BP98" s="694"/>
      <c r="BQ98" s="694"/>
      <c r="BR98" s="694"/>
      <c r="BS98" s="694"/>
      <c r="BT98" s="694"/>
      <c r="BU98" s="694"/>
      <c r="BV98" s="694" t="s">
        <v>68</v>
      </c>
      <c r="BW98" s="13"/>
      <c r="BX98" s="13"/>
      <c r="BY98" s="13"/>
      <c r="BZ98" s="13"/>
      <c r="CA98" s="13"/>
      <c r="CB98" s="1220" t="s">
        <v>1427</v>
      </c>
      <c r="CC98" s="38" t="s">
        <v>76</v>
      </c>
      <c r="CD98" s="513"/>
      <c r="CE98" s="513"/>
      <c r="CF98" s="513"/>
      <c r="CG98" s="513"/>
      <c r="CH98" s="513"/>
      <c r="CI98" s="513"/>
      <c r="CJ98" s="513"/>
      <c r="CK98" s="12"/>
    </row>
    <row r="99" spans="2:89" customFormat="1" ht="80.099999999999994" hidden="1" customHeight="1">
      <c r="B99" s="22"/>
      <c r="C99" s="22"/>
      <c r="D99" s="22"/>
      <c r="E99" s="22"/>
      <c r="F99" s="22"/>
      <c r="G99" s="915">
        <v>42005</v>
      </c>
      <c r="H99" s="915"/>
      <c r="I99" s="448">
        <v>42979</v>
      </c>
      <c r="J99" s="16">
        <v>2015</v>
      </c>
      <c r="K99" s="1415"/>
      <c r="L99" s="1415"/>
      <c r="M99" s="17" t="s">
        <v>77</v>
      </c>
      <c r="N99" s="19" t="s">
        <v>370</v>
      </c>
      <c r="O99" s="2" t="s">
        <v>79</v>
      </c>
      <c r="P99" s="3" t="s">
        <v>371</v>
      </c>
      <c r="Q99" s="3"/>
      <c r="R99" s="4">
        <v>307899.96000000002</v>
      </c>
      <c r="S99" s="6">
        <v>42047</v>
      </c>
      <c r="T99" s="5">
        <v>42051</v>
      </c>
      <c r="U99" s="11">
        <v>42065</v>
      </c>
      <c r="V99" s="62">
        <v>42047</v>
      </c>
      <c r="W99" s="33" t="s">
        <v>357</v>
      </c>
      <c r="X99" s="18" t="s">
        <v>114</v>
      </c>
      <c r="Y99" s="537" t="s">
        <v>74</v>
      </c>
      <c r="Z99" s="691"/>
      <c r="AA99" s="117" t="s">
        <v>74</v>
      </c>
      <c r="AB99" s="539"/>
      <c r="AC99" s="4"/>
      <c r="AD99" s="4" t="s">
        <v>372</v>
      </c>
      <c r="AE99" s="32">
        <v>61579.99</v>
      </c>
      <c r="AF99" s="34" t="s">
        <v>68</v>
      </c>
      <c r="AG99" s="112" t="s">
        <v>68</v>
      </c>
      <c r="AH99" s="112" t="s">
        <v>68</v>
      </c>
      <c r="AI99" s="7" t="s">
        <v>68</v>
      </c>
      <c r="AJ99" s="215" t="s">
        <v>68</v>
      </c>
      <c r="AK99" s="33" t="s">
        <v>186</v>
      </c>
      <c r="AL99" s="1" t="s">
        <v>68</v>
      </c>
      <c r="AM99" s="1"/>
      <c r="AN99" s="1" t="s">
        <v>373</v>
      </c>
      <c r="AO99" s="5">
        <v>42047</v>
      </c>
      <c r="AP99" s="1" t="s">
        <v>83</v>
      </c>
      <c r="AQ99" s="1"/>
      <c r="AR99" s="279">
        <f>30790+6158</f>
        <v>36948</v>
      </c>
      <c r="AS99" s="35">
        <v>0</v>
      </c>
      <c r="AT99" s="895">
        <v>306551.53999999998</v>
      </c>
      <c r="AU99" s="884">
        <v>307687.59999999998</v>
      </c>
      <c r="AV99" s="30">
        <v>42051</v>
      </c>
      <c r="AW99" s="11">
        <v>42065</v>
      </c>
      <c r="AX99" s="30" t="s">
        <v>68</v>
      </c>
      <c r="AY99" s="53" t="s">
        <v>68</v>
      </c>
      <c r="AZ99" s="30"/>
      <c r="BA99" s="5"/>
      <c r="BB99" s="5"/>
      <c r="BC99" s="11"/>
      <c r="BD99" s="30">
        <v>42113</v>
      </c>
      <c r="BE99" s="309"/>
      <c r="BF99" s="5"/>
      <c r="BG99" s="5"/>
      <c r="BH99" s="5"/>
      <c r="BI99" s="36">
        <f>AS99+AT99</f>
        <v>306551.53999999998</v>
      </c>
      <c r="BJ99" s="13"/>
      <c r="BK99" s="352"/>
      <c r="BL99" s="694" t="s">
        <v>68</v>
      </c>
      <c r="BM99" s="695" t="s">
        <v>68</v>
      </c>
      <c r="BN99" s="695" t="s">
        <v>68</v>
      </c>
      <c r="BO99" s="694"/>
      <c r="BP99" s="694"/>
      <c r="BQ99" s="694"/>
      <c r="BR99" s="694"/>
      <c r="BS99" s="694"/>
      <c r="BT99" s="694"/>
      <c r="BU99" s="694"/>
      <c r="BV99" s="694" t="s">
        <v>68</v>
      </c>
      <c r="BW99" s="13"/>
      <c r="BX99" s="13"/>
      <c r="BY99" s="13"/>
      <c r="BZ99" s="13"/>
      <c r="CA99" s="13"/>
      <c r="CB99" s="1220" t="s">
        <v>1427</v>
      </c>
      <c r="CC99" s="38" t="s">
        <v>76</v>
      </c>
      <c r="CD99" s="513"/>
      <c r="CE99" s="513"/>
      <c r="CF99" s="513"/>
      <c r="CG99" s="513"/>
      <c r="CH99" s="513"/>
      <c r="CI99" s="513"/>
      <c r="CJ99" s="513"/>
      <c r="CK99" s="12"/>
    </row>
    <row r="100" spans="2:89" customFormat="1" ht="80.099999999999994" hidden="1" customHeight="1">
      <c r="B100" s="22"/>
      <c r="C100" s="22"/>
      <c r="D100" s="22"/>
      <c r="E100" s="22"/>
      <c r="F100" s="22"/>
      <c r="G100" s="915">
        <v>42005</v>
      </c>
      <c r="H100" s="915"/>
      <c r="I100" s="448">
        <v>42979</v>
      </c>
      <c r="J100" s="16">
        <v>2015</v>
      </c>
      <c r="K100" s="1415"/>
      <c r="L100" s="1415"/>
      <c r="M100" s="17" t="s">
        <v>77</v>
      </c>
      <c r="N100" s="19" t="s">
        <v>374</v>
      </c>
      <c r="O100" s="2" t="s">
        <v>79</v>
      </c>
      <c r="P100" s="3" t="s">
        <v>375</v>
      </c>
      <c r="Q100" s="3"/>
      <c r="R100" s="4">
        <v>422690.66</v>
      </c>
      <c r="S100" s="6">
        <v>42109</v>
      </c>
      <c r="T100" s="5">
        <v>42114</v>
      </c>
      <c r="U100" s="11">
        <v>42128</v>
      </c>
      <c r="V100" s="62">
        <v>42109</v>
      </c>
      <c r="W100" s="33" t="s">
        <v>357</v>
      </c>
      <c r="X100" s="18" t="s">
        <v>114</v>
      </c>
      <c r="Y100" s="62">
        <v>42220</v>
      </c>
      <c r="Z100" s="105"/>
      <c r="AA100" s="19" t="s">
        <v>376</v>
      </c>
      <c r="AB100" s="8">
        <v>41970</v>
      </c>
      <c r="AC100" s="4">
        <v>482007.52</v>
      </c>
      <c r="AD100" s="4"/>
      <c r="AE100" s="32"/>
      <c r="AF100" s="34" t="s">
        <v>68</v>
      </c>
      <c r="AG100" s="112" t="s">
        <v>68</v>
      </c>
      <c r="AH100" s="112" t="s">
        <v>68</v>
      </c>
      <c r="AI100" s="7" t="s">
        <v>68</v>
      </c>
      <c r="AJ100" s="215" t="s">
        <v>68</v>
      </c>
      <c r="AK100" s="33" t="s">
        <v>186</v>
      </c>
      <c r="AL100" s="1" t="s">
        <v>68</v>
      </c>
      <c r="AM100" s="1"/>
      <c r="AN100" s="1" t="s">
        <v>377</v>
      </c>
      <c r="AO100" s="5">
        <v>42109</v>
      </c>
      <c r="AP100" s="1" t="s">
        <v>83</v>
      </c>
      <c r="AQ100" s="1"/>
      <c r="AR100" s="279">
        <v>42269.07</v>
      </c>
      <c r="AS100" s="35">
        <v>0</v>
      </c>
      <c r="AT100" s="895">
        <v>375226.96</v>
      </c>
      <c r="AU100" s="884">
        <v>642743.62</v>
      </c>
      <c r="AV100" s="30">
        <v>42114</v>
      </c>
      <c r="AW100" s="11">
        <v>41763</v>
      </c>
      <c r="AX100" s="30" t="s">
        <v>68</v>
      </c>
      <c r="AY100" s="53" t="s">
        <v>68</v>
      </c>
      <c r="AZ100" s="19"/>
      <c r="BA100" s="1"/>
      <c r="BB100" s="1"/>
      <c r="BC100" s="17"/>
      <c r="BD100" s="30"/>
      <c r="BE100" s="309"/>
      <c r="BF100" s="5"/>
      <c r="BG100" s="5"/>
      <c r="BH100" s="5"/>
      <c r="BI100" s="36">
        <f>AS100+AT100</f>
        <v>375226.96</v>
      </c>
      <c r="BJ100" s="13"/>
      <c r="BK100" s="352"/>
      <c r="BL100" s="694" t="s">
        <v>68</v>
      </c>
      <c r="BM100" s="695" t="s">
        <v>68</v>
      </c>
      <c r="BN100" s="695" t="s">
        <v>68</v>
      </c>
      <c r="BO100" s="694"/>
      <c r="BP100" s="694"/>
      <c r="BQ100" s="694"/>
      <c r="BR100" s="694"/>
      <c r="BS100" s="694"/>
      <c r="BT100" s="694"/>
      <c r="BU100" s="694"/>
      <c r="BV100" s="694" t="s">
        <v>68</v>
      </c>
      <c r="BW100" s="13"/>
      <c r="BX100" s="13"/>
      <c r="BY100" s="13"/>
      <c r="BZ100" s="13"/>
      <c r="CA100" s="13"/>
      <c r="CB100" s="1220" t="s">
        <v>1427</v>
      </c>
      <c r="CC100" s="38" t="s">
        <v>76</v>
      </c>
      <c r="CD100" s="513"/>
      <c r="CE100" s="513"/>
      <c r="CF100" s="513"/>
      <c r="CG100" s="513"/>
      <c r="CH100" s="513"/>
      <c r="CI100" s="513"/>
      <c r="CJ100" s="513"/>
      <c r="CK100" s="12"/>
    </row>
    <row r="101" spans="2:89" customFormat="1" ht="80.099999999999994" hidden="1" customHeight="1">
      <c r="B101" s="22"/>
      <c r="C101" s="22"/>
      <c r="D101" s="22"/>
      <c r="E101" s="22"/>
      <c r="F101" s="22"/>
      <c r="G101" s="915">
        <v>42005</v>
      </c>
      <c r="H101" s="915"/>
      <c r="I101" s="448">
        <v>42979</v>
      </c>
      <c r="J101" s="16">
        <v>2015</v>
      </c>
      <c r="K101" s="1415"/>
      <c r="L101" s="1415"/>
      <c r="M101" s="17" t="s">
        <v>77</v>
      </c>
      <c r="N101" s="19" t="s">
        <v>378</v>
      </c>
      <c r="O101" s="2" t="s">
        <v>79</v>
      </c>
      <c r="P101" s="3" t="s">
        <v>379</v>
      </c>
      <c r="Q101" s="3"/>
      <c r="R101" s="4">
        <v>1182630</v>
      </c>
      <c r="S101" s="6">
        <v>42209</v>
      </c>
      <c r="T101" s="5">
        <v>42212</v>
      </c>
      <c r="U101" s="11">
        <v>42239</v>
      </c>
      <c r="V101" s="62">
        <v>42209</v>
      </c>
      <c r="W101" s="33" t="s">
        <v>357</v>
      </c>
      <c r="X101" s="156" t="s">
        <v>114</v>
      </c>
      <c r="Y101" s="62">
        <v>42215</v>
      </c>
      <c r="Z101" s="105"/>
      <c r="AA101" s="19" t="s">
        <v>380</v>
      </c>
      <c r="AB101" s="8">
        <v>42244</v>
      </c>
      <c r="AC101" s="4">
        <v>1182630</v>
      </c>
      <c r="AD101" s="4"/>
      <c r="AE101" s="32"/>
      <c r="AF101" s="34" t="s">
        <v>68</v>
      </c>
      <c r="AG101" s="112" t="s">
        <v>68</v>
      </c>
      <c r="AH101" s="112" t="s">
        <v>68</v>
      </c>
      <c r="AI101" s="7" t="s">
        <v>68</v>
      </c>
      <c r="AJ101" s="215" t="s">
        <v>68</v>
      </c>
      <c r="AK101" s="33" t="s">
        <v>186</v>
      </c>
      <c r="AL101" s="1" t="s">
        <v>381</v>
      </c>
      <c r="AM101" s="5">
        <v>42209</v>
      </c>
      <c r="AN101" s="1" t="s">
        <v>382</v>
      </c>
      <c r="AO101" s="5">
        <v>42209</v>
      </c>
      <c r="AP101" s="1" t="s">
        <v>83</v>
      </c>
      <c r="AQ101" s="1"/>
      <c r="AR101" s="279"/>
      <c r="AS101" s="220">
        <v>0</v>
      </c>
      <c r="AT101" s="894">
        <f t="shared" ref="AT101:AT130" si="2">BI101</f>
        <v>232729.26</v>
      </c>
      <c r="AU101" s="883"/>
      <c r="AV101" s="30"/>
      <c r="AW101" s="11"/>
      <c r="AX101" s="30" t="s">
        <v>68</v>
      </c>
      <c r="AY101" s="53" t="s">
        <v>68</v>
      </c>
      <c r="AZ101" s="19"/>
      <c r="BA101" s="1"/>
      <c r="BB101" s="1"/>
      <c r="BC101" s="17"/>
      <c r="BD101" s="30"/>
      <c r="BE101" s="309"/>
      <c r="BF101" s="5"/>
      <c r="BG101" s="5"/>
      <c r="BH101" s="5"/>
      <c r="BI101" s="36">
        <v>232729.26</v>
      </c>
      <c r="BJ101" s="13"/>
      <c r="BK101" s="352"/>
      <c r="BL101" s="694" t="s">
        <v>68</v>
      </c>
      <c r="BM101" s="695" t="s">
        <v>68</v>
      </c>
      <c r="BN101" s="695" t="s">
        <v>68</v>
      </c>
      <c r="BO101" s="694"/>
      <c r="BP101" s="694"/>
      <c r="BQ101" s="694"/>
      <c r="BR101" s="694"/>
      <c r="BS101" s="694"/>
      <c r="BT101" s="694"/>
      <c r="BU101" s="694"/>
      <c r="BV101" s="694" t="s">
        <v>68</v>
      </c>
      <c r="BW101" s="13"/>
      <c r="BX101" s="13"/>
      <c r="BY101" s="13"/>
      <c r="BZ101" s="13"/>
      <c r="CA101" s="13"/>
      <c r="CB101" s="1220" t="s">
        <v>1427</v>
      </c>
      <c r="CC101" s="38" t="s">
        <v>76</v>
      </c>
      <c r="CD101" s="513"/>
      <c r="CE101" s="513"/>
      <c r="CF101" s="513"/>
      <c r="CG101" s="513"/>
      <c r="CH101" s="513"/>
      <c r="CI101" s="513"/>
      <c r="CJ101" s="513"/>
      <c r="CK101" s="12"/>
    </row>
    <row r="102" spans="2:89" s="1050" customFormat="1" ht="80.099999999999994" hidden="1" customHeight="1">
      <c r="B102" s="1051"/>
      <c r="C102" s="1051"/>
      <c r="D102" s="1051"/>
      <c r="E102" s="1051"/>
      <c r="F102" s="1051"/>
      <c r="G102" s="553">
        <v>42005</v>
      </c>
      <c r="H102" s="553"/>
      <c r="I102" s="553"/>
      <c r="J102" s="532">
        <v>2015</v>
      </c>
      <c r="K102" s="1418"/>
      <c r="L102" s="1418"/>
      <c r="M102" s="1464" t="s">
        <v>166</v>
      </c>
      <c r="N102" s="829" t="s">
        <v>378</v>
      </c>
      <c r="O102" s="186" t="s">
        <v>251</v>
      </c>
      <c r="P102" s="106" t="s">
        <v>383</v>
      </c>
      <c r="Q102" s="106"/>
      <c r="R102" s="1064"/>
      <c r="S102" s="1463"/>
      <c r="T102" s="1071"/>
      <c r="U102" s="1077"/>
      <c r="V102" s="1082" t="s">
        <v>68</v>
      </c>
      <c r="W102" s="829" t="s">
        <v>68</v>
      </c>
      <c r="X102" s="577"/>
      <c r="Y102" s="1087" t="s">
        <v>68</v>
      </c>
      <c r="Z102" s="1378"/>
      <c r="AA102" s="829" t="s">
        <v>384</v>
      </c>
      <c r="AB102" s="1063">
        <v>42244</v>
      </c>
      <c r="AC102" s="1064">
        <v>70000</v>
      </c>
      <c r="AD102" s="1064"/>
      <c r="AE102" s="1065"/>
      <c r="AF102" s="1066" t="s">
        <v>68</v>
      </c>
      <c r="AG102" s="1067" t="s">
        <v>68</v>
      </c>
      <c r="AH102" s="1067" t="s">
        <v>68</v>
      </c>
      <c r="AI102" s="1068" t="s">
        <v>68</v>
      </c>
      <c r="AJ102" s="1466" t="s">
        <v>68</v>
      </c>
      <c r="AK102" s="308" t="s">
        <v>68</v>
      </c>
      <c r="AL102" s="1070" t="s">
        <v>68</v>
      </c>
      <c r="AM102" s="1070"/>
      <c r="AN102" s="1070" t="s">
        <v>68</v>
      </c>
      <c r="AO102" s="1070"/>
      <c r="AP102" s="1070" t="s">
        <v>68</v>
      </c>
      <c r="AQ102" s="1070"/>
      <c r="AR102" s="1072"/>
      <c r="AS102" s="1467">
        <v>0</v>
      </c>
      <c r="AT102" s="1468">
        <f t="shared" si="2"/>
        <v>0</v>
      </c>
      <c r="AU102" s="1469"/>
      <c r="AV102" s="1076"/>
      <c r="AW102" s="1077"/>
      <c r="AX102" s="1078" t="s">
        <v>68</v>
      </c>
      <c r="AY102" s="1475"/>
      <c r="AZ102" s="829"/>
      <c r="BA102" s="1070"/>
      <c r="BB102" s="1070"/>
      <c r="BC102" s="1080"/>
      <c r="BD102" s="1076"/>
      <c r="BE102" s="1608"/>
      <c r="BF102" s="1071"/>
      <c r="BG102" s="1071"/>
      <c r="BH102" s="1071"/>
      <c r="BI102" s="1081"/>
      <c r="BJ102" s="1082"/>
      <c r="BK102" s="1816"/>
      <c r="BL102" s="1470" t="s">
        <v>68</v>
      </c>
      <c r="BM102" s="1471" t="s">
        <v>68</v>
      </c>
      <c r="BN102" s="1471" t="s">
        <v>68</v>
      </c>
      <c r="BO102" s="1470"/>
      <c r="BP102" s="1470"/>
      <c r="BQ102" s="1470"/>
      <c r="BR102" s="1470"/>
      <c r="BS102" s="1470"/>
      <c r="BT102" s="1470"/>
      <c r="BU102" s="1470"/>
      <c r="BV102" s="1470" t="s">
        <v>68</v>
      </c>
      <c r="BW102" s="1085" t="s">
        <v>385</v>
      </c>
      <c r="BX102" s="1085"/>
      <c r="BY102" s="1085"/>
      <c r="BZ102" s="1085"/>
      <c r="CA102" s="1085"/>
      <c r="CB102" s="1472" t="s">
        <v>1427</v>
      </c>
      <c r="CC102" s="1085" t="s">
        <v>76</v>
      </c>
      <c r="CD102" s="516"/>
      <c r="CE102" s="516"/>
      <c r="CF102" s="516"/>
      <c r="CG102" s="516"/>
      <c r="CH102" s="516"/>
      <c r="CI102" s="516"/>
      <c r="CJ102" s="516"/>
      <c r="CK102" s="1473"/>
    </row>
    <row r="103" spans="2:89" customFormat="1" ht="80.099999999999994" hidden="1" customHeight="1">
      <c r="B103" s="22"/>
      <c r="C103" s="22"/>
      <c r="D103" s="22"/>
      <c r="E103" s="22"/>
      <c r="F103" s="22"/>
      <c r="G103" s="915">
        <v>42005</v>
      </c>
      <c r="H103" s="915"/>
      <c r="I103" s="448">
        <v>43063</v>
      </c>
      <c r="J103" s="16">
        <v>2015</v>
      </c>
      <c r="K103" s="1415"/>
      <c r="L103" s="1415"/>
      <c r="M103" s="18" t="s">
        <v>166</v>
      </c>
      <c r="N103" s="19" t="s">
        <v>386</v>
      </c>
      <c r="O103" s="2" t="s">
        <v>4032</v>
      </c>
      <c r="P103" s="3" t="s">
        <v>387</v>
      </c>
      <c r="Q103" s="3"/>
      <c r="R103" s="4">
        <v>92000</v>
      </c>
      <c r="S103" s="6">
        <v>42128</v>
      </c>
      <c r="T103" s="5">
        <v>42128</v>
      </c>
      <c r="U103" s="11">
        <v>42133</v>
      </c>
      <c r="V103" s="13" t="s">
        <v>68</v>
      </c>
      <c r="W103" s="19" t="s">
        <v>68</v>
      </c>
      <c r="X103" s="156" t="s">
        <v>114</v>
      </c>
      <c r="Y103" s="200" t="s">
        <v>68</v>
      </c>
      <c r="Z103" s="368"/>
      <c r="AA103" s="19" t="s">
        <v>388</v>
      </c>
      <c r="AB103" s="8">
        <v>42185</v>
      </c>
      <c r="AC103" s="4"/>
      <c r="AD103" s="4"/>
      <c r="AE103" s="32"/>
      <c r="AF103" s="34" t="s">
        <v>68</v>
      </c>
      <c r="AG103" s="112" t="s">
        <v>68</v>
      </c>
      <c r="AH103" s="112" t="s">
        <v>68</v>
      </c>
      <c r="AI103" s="7" t="s">
        <v>68</v>
      </c>
      <c r="AJ103" s="215" t="s">
        <v>68</v>
      </c>
      <c r="AK103" s="33" t="s">
        <v>68</v>
      </c>
      <c r="AL103" s="1" t="s">
        <v>68</v>
      </c>
      <c r="AM103" s="1"/>
      <c r="AN103" s="1" t="s">
        <v>68</v>
      </c>
      <c r="AO103" s="1"/>
      <c r="AP103" s="1" t="s">
        <v>68</v>
      </c>
      <c r="AQ103" s="1"/>
      <c r="AR103" s="279"/>
      <c r="AS103" s="220">
        <v>0</v>
      </c>
      <c r="AT103" s="894">
        <f t="shared" si="2"/>
        <v>91219.3</v>
      </c>
      <c r="AU103" s="883"/>
      <c r="AV103" s="30"/>
      <c r="AW103" s="11"/>
      <c r="AX103" s="223" t="s">
        <v>68</v>
      </c>
      <c r="AY103" s="53">
        <v>42128</v>
      </c>
      <c r="AZ103" s="19"/>
      <c r="BA103" s="1"/>
      <c r="BB103" s="1"/>
      <c r="BC103" s="17"/>
      <c r="BD103" s="30"/>
      <c r="BE103" s="309"/>
      <c r="BF103" s="5"/>
      <c r="BG103" s="5"/>
      <c r="BH103" s="5"/>
      <c r="BI103" s="279">
        <v>91219.3</v>
      </c>
      <c r="BJ103" s="13"/>
      <c r="BK103" s="352"/>
      <c r="BL103" s="694" t="s">
        <v>68</v>
      </c>
      <c r="BM103" s="695" t="s">
        <v>68</v>
      </c>
      <c r="BN103" s="695" t="s">
        <v>68</v>
      </c>
      <c r="BO103" s="694"/>
      <c r="BP103" s="694"/>
      <c r="BQ103" s="694"/>
      <c r="BR103" s="694"/>
      <c r="BS103" s="694"/>
      <c r="BT103" s="694"/>
      <c r="BU103" s="694"/>
      <c r="BV103" s="694" t="s">
        <v>68</v>
      </c>
      <c r="BW103" s="13"/>
      <c r="BX103" s="13"/>
      <c r="BY103" s="13"/>
      <c r="BZ103" s="13"/>
      <c r="CA103" s="13"/>
      <c r="CB103" s="1220" t="s">
        <v>1427</v>
      </c>
      <c r="CC103" s="38" t="s">
        <v>76</v>
      </c>
      <c r="CD103" s="513"/>
      <c r="CE103" s="513"/>
      <c r="CF103" s="513"/>
      <c r="CG103" s="513"/>
      <c r="CH103" s="513"/>
      <c r="CI103" s="513"/>
      <c r="CJ103" s="513"/>
      <c r="CK103" s="12"/>
    </row>
    <row r="104" spans="2:89" customFormat="1" ht="80.099999999999994" hidden="1" customHeight="1">
      <c r="B104" s="22"/>
      <c r="C104" s="22"/>
      <c r="D104" s="22"/>
      <c r="E104" s="22"/>
      <c r="F104" s="22"/>
      <c r="G104" s="915">
        <v>42005</v>
      </c>
      <c r="H104" s="915"/>
      <c r="I104" s="448">
        <v>43063</v>
      </c>
      <c r="J104" s="16">
        <v>2015</v>
      </c>
      <c r="K104" s="1415"/>
      <c r="L104" s="1415"/>
      <c r="M104" s="18" t="s">
        <v>166</v>
      </c>
      <c r="N104" s="19" t="s">
        <v>389</v>
      </c>
      <c r="O104" s="2" t="s">
        <v>4032</v>
      </c>
      <c r="P104" s="3" t="s">
        <v>390</v>
      </c>
      <c r="Q104" s="3"/>
      <c r="R104" s="4">
        <v>180484.7</v>
      </c>
      <c r="S104" s="6">
        <v>42186</v>
      </c>
      <c r="T104" s="5">
        <v>42186</v>
      </c>
      <c r="U104" s="11">
        <v>42195</v>
      </c>
      <c r="V104" s="13" t="s">
        <v>68</v>
      </c>
      <c r="W104" s="19" t="s">
        <v>68</v>
      </c>
      <c r="X104" s="156" t="s">
        <v>391</v>
      </c>
      <c r="Y104" s="62">
        <v>42186</v>
      </c>
      <c r="Z104" s="105"/>
      <c r="AA104" s="19"/>
      <c r="AB104" s="8"/>
      <c r="AC104" s="4"/>
      <c r="AD104" s="4"/>
      <c r="AE104" s="32"/>
      <c r="AF104" s="34" t="s">
        <v>68</v>
      </c>
      <c r="AG104" s="112" t="s">
        <v>68</v>
      </c>
      <c r="AH104" s="112" t="s">
        <v>68</v>
      </c>
      <c r="AI104" s="7" t="s">
        <v>68</v>
      </c>
      <c r="AJ104" s="215" t="s">
        <v>68</v>
      </c>
      <c r="AK104" s="33" t="s">
        <v>68</v>
      </c>
      <c r="AL104" s="1"/>
      <c r="AM104" s="1"/>
      <c r="AN104" s="1"/>
      <c r="AO104" s="1"/>
      <c r="AP104" s="1"/>
      <c r="AQ104" s="1"/>
      <c r="AR104" s="279"/>
      <c r="AS104" s="220">
        <v>0</v>
      </c>
      <c r="AT104" s="894">
        <f t="shared" si="2"/>
        <v>176723.04</v>
      </c>
      <c r="AU104" s="883"/>
      <c r="AV104" s="30">
        <v>42187</v>
      </c>
      <c r="AW104" s="11">
        <v>42193</v>
      </c>
      <c r="AX104" s="30" t="s">
        <v>68</v>
      </c>
      <c r="AY104" s="53" t="s">
        <v>389</v>
      </c>
      <c r="AZ104" s="19"/>
      <c r="BA104" s="1"/>
      <c r="BB104" s="1"/>
      <c r="BC104" s="17"/>
      <c r="BD104" s="30"/>
      <c r="BE104" s="309"/>
      <c r="BF104" s="5"/>
      <c r="BG104" s="5"/>
      <c r="BH104" s="5"/>
      <c r="BI104" s="279">
        <v>176723.04</v>
      </c>
      <c r="BJ104" s="13"/>
      <c r="BK104" s="352"/>
      <c r="BL104" s="694" t="s">
        <v>68</v>
      </c>
      <c r="BM104" s="695" t="s">
        <v>68</v>
      </c>
      <c r="BN104" s="695" t="s">
        <v>68</v>
      </c>
      <c r="BO104" s="694"/>
      <c r="BP104" s="694"/>
      <c r="BQ104" s="694"/>
      <c r="BR104" s="694"/>
      <c r="BS104" s="694"/>
      <c r="BT104" s="694"/>
      <c r="BU104" s="694"/>
      <c r="BV104" s="694" t="s">
        <v>68</v>
      </c>
      <c r="BW104" s="13"/>
      <c r="BX104" s="13"/>
      <c r="BY104" s="13"/>
      <c r="BZ104" s="13"/>
      <c r="CA104" s="13"/>
      <c r="CB104" s="1220" t="s">
        <v>1427</v>
      </c>
      <c r="CC104" s="38" t="s">
        <v>76</v>
      </c>
      <c r="CD104" s="513"/>
      <c r="CE104" s="513"/>
      <c r="CF104" s="513"/>
      <c r="CG104" s="513"/>
      <c r="CH104" s="513"/>
      <c r="CI104" s="513"/>
      <c r="CJ104" s="513"/>
      <c r="CK104" s="12"/>
    </row>
    <row r="105" spans="2:89" customFormat="1" ht="80.099999999999994" hidden="1" customHeight="1">
      <c r="B105" s="22"/>
      <c r="C105" s="22"/>
      <c r="D105" s="22"/>
      <c r="E105" s="22"/>
      <c r="F105" s="22"/>
      <c r="G105" s="915">
        <v>42005</v>
      </c>
      <c r="H105" s="915"/>
      <c r="I105" s="448">
        <v>43063</v>
      </c>
      <c r="J105" s="16">
        <v>2015</v>
      </c>
      <c r="K105" s="1415"/>
      <c r="L105" s="1415"/>
      <c r="M105" s="18" t="s">
        <v>166</v>
      </c>
      <c r="N105" s="19" t="s">
        <v>392</v>
      </c>
      <c r="O105" s="2" t="s">
        <v>4032</v>
      </c>
      <c r="P105" s="3" t="s">
        <v>393</v>
      </c>
      <c r="Q105" s="3"/>
      <c r="R105" s="4">
        <v>117631.84</v>
      </c>
      <c r="S105" s="6">
        <v>42186</v>
      </c>
      <c r="T105" s="5">
        <v>42186</v>
      </c>
      <c r="U105" s="11">
        <v>42195</v>
      </c>
      <c r="V105" s="13" t="s">
        <v>68</v>
      </c>
      <c r="W105" s="19" t="s">
        <v>68</v>
      </c>
      <c r="X105" s="156" t="s">
        <v>391</v>
      </c>
      <c r="Y105" s="62">
        <v>42186</v>
      </c>
      <c r="Z105" s="105"/>
      <c r="AA105" s="19"/>
      <c r="AB105" s="8"/>
      <c r="AC105" s="4"/>
      <c r="AD105" s="4"/>
      <c r="AE105" s="32"/>
      <c r="AF105" s="34" t="s">
        <v>68</v>
      </c>
      <c r="AG105" s="112" t="s">
        <v>68</v>
      </c>
      <c r="AH105" s="112" t="s">
        <v>68</v>
      </c>
      <c r="AI105" s="7" t="s">
        <v>68</v>
      </c>
      <c r="AJ105" s="215" t="s">
        <v>68</v>
      </c>
      <c r="AK105" s="33" t="s">
        <v>68</v>
      </c>
      <c r="AL105" s="1"/>
      <c r="AM105" s="1"/>
      <c r="AN105" s="1"/>
      <c r="AO105" s="1"/>
      <c r="AP105" s="1"/>
      <c r="AQ105" s="1"/>
      <c r="AR105" s="279"/>
      <c r="AS105" s="220">
        <v>0</v>
      </c>
      <c r="AT105" s="894">
        <f t="shared" si="2"/>
        <v>115384.29</v>
      </c>
      <c r="AU105" s="883"/>
      <c r="AV105" s="30">
        <v>42187</v>
      </c>
      <c r="AW105" s="11">
        <v>42193</v>
      </c>
      <c r="AX105" s="30" t="s">
        <v>68</v>
      </c>
      <c r="AY105" s="53" t="s">
        <v>392</v>
      </c>
      <c r="AZ105" s="19"/>
      <c r="BA105" s="1"/>
      <c r="BB105" s="1"/>
      <c r="BC105" s="17"/>
      <c r="BD105" s="30"/>
      <c r="BE105" s="309"/>
      <c r="BF105" s="5"/>
      <c r="BG105" s="5"/>
      <c r="BH105" s="5"/>
      <c r="BI105" s="279">
        <v>115384.29</v>
      </c>
      <c r="BJ105" s="13"/>
      <c r="BK105" s="352"/>
      <c r="BL105" s="694" t="s">
        <v>68</v>
      </c>
      <c r="BM105" s="695" t="s">
        <v>68</v>
      </c>
      <c r="BN105" s="695" t="s">
        <v>68</v>
      </c>
      <c r="BO105" s="694"/>
      <c r="BP105" s="694"/>
      <c r="BQ105" s="694"/>
      <c r="BR105" s="694"/>
      <c r="BS105" s="694"/>
      <c r="BT105" s="694"/>
      <c r="BU105" s="694"/>
      <c r="BV105" s="694" t="s">
        <v>68</v>
      </c>
      <c r="BW105" s="13"/>
      <c r="BX105" s="13"/>
      <c r="BY105" s="13"/>
      <c r="BZ105" s="13"/>
      <c r="CA105" s="13"/>
      <c r="CB105" s="1220" t="s">
        <v>1427</v>
      </c>
      <c r="CC105" s="38" t="s">
        <v>76</v>
      </c>
      <c r="CD105" s="513"/>
      <c r="CE105" s="513"/>
      <c r="CF105" s="513"/>
      <c r="CG105" s="513"/>
      <c r="CH105" s="513"/>
      <c r="CI105" s="513"/>
      <c r="CJ105" s="513"/>
      <c r="CK105" s="12"/>
    </row>
    <row r="106" spans="2:89" customFormat="1" ht="80.099999999999994" hidden="1" customHeight="1">
      <c r="B106" s="22"/>
      <c r="C106" s="22"/>
      <c r="D106" s="22"/>
      <c r="E106" s="22"/>
      <c r="F106" s="22"/>
      <c r="G106" s="915">
        <v>42005</v>
      </c>
      <c r="H106" s="915"/>
      <c r="I106" s="448">
        <v>43063</v>
      </c>
      <c r="J106" s="16">
        <v>2015</v>
      </c>
      <c r="K106" s="1415"/>
      <c r="L106" s="1415"/>
      <c r="M106" s="17" t="s">
        <v>77</v>
      </c>
      <c r="N106" s="19" t="s">
        <v>394</v>
      </c>
      <c r="O106" s="2" t="s">
        <v>4032</v>
      </c>
      <c r="P106" s="3" t="s">
        <v>395</v>
      </c>
      <c r="Q106" s="3"/>
      <c r="R106" s="4">
        <v>315420.59999999998</v>
      </c>
      <c r="S106" s="6">
        <v>42193</v>
      </c>
      <c r="T106" s="5">
        <v>42193</v>
      </c>
      <c r="U106" s="11">
        <v>42200</v>
      </c>
      <c r="V106" s="13" t="s">
        <v>68</v>
      </c>
      <c r="W106" s="19" t="s">
        <v>68</v>
      </c>
      <c r="X106" s="156" t="s">
        <v>391</v>
      </c>
      <c r="Y106" s="62">
        <v>42219</v>
      </c>
      <c r="Z106" s="105"/>
      <c r="AA106" s="19" t="s">
        <v>396</v>
      </c>
      <c r="AB106" s="8">
        <v>42244</v>
      </c>
      <c r="AC106" s="4">
        <v>143420</v>
      </c>
      <c r="AD106" s="4"/>
      <c r="AE106" s="32"/>
      <c r="AF106" s="34" t="s">
        <v>68</v>
      </c>
      <c r="AG106" s="112" t="s">
        <v>68</v>
      </c>
      <c r="AH106" s="112" t="s">
        <v>68</v>
      </c>
      <c r="AI106" s="7" t="s">
        <v>68</v>
      </c>
      <c r="AJ106" s="215" t="s">
        <v>68</v>
      </c>
      <c r="AK106" s="33" t="s">
        <v>68</v>
      </c>
      <c r="AL106" s="1"/>
      <c r="AM106" s="1"/>
      <c r="AN106" s="1"/>
      <c r="AO106" s="1"/>
      <c r="AP106" s="1"/>
      <c r="AQ106" s="1"/>
      <c r="AR106" s="279"/>
      <c r="AS106" s="220">
        <v>0</v>
      </c>
      <c r="AT106" s="894">
        <f t="shared" si="2"/>
        <v>172769.33</v>
      </c>
      <c r="AU106" s="883">
        <v>172739.95</v>
      </c>
      <c r="AV106" s="30">
        <v>42194</v>
      </c>
      <c r="AW106" s="11">
        <v>42200</v>
      </c>
      <c r="AX106" s="30" t="s">
        <v>68</v>
      </c>
      <c r="AY106" s="53" t="s">
        <v>68</v>
      </c>
      <c r="AZ106" s="19"/>
      <c r="BA106" s="1"/>
      <c r="BB106" s="1"/>
      <c r="BC106" s="17"/>
      <c r="BD106" s="30"/>
      <c r="BE106" s="309"/>
      <c r="BF106" s="5"/>
      <c r="BG106" s="5"/>
      <c r="BH106" s="5"/>
      <c r="BI106" s="279">
        <v>172769.33</v>
      </c>
      <c r="BJ106" s="13"/>
      <c r="BK106" s="352"/>
      <c r="BL106" s="694" t="s">
        <v>68</v>
      </c>
      <c r="BM106" s="695" t="s">
        <v>68</v>
      </c>
      <c r="BN106" s="695" t="s">
        <v>68</v>
      </c>
      <c r="BO106" s="694"/>
      <c r="BP106" s="694"/>
      <c r="BQ106" s="694"/>
      <c r="BR106" s="694"/>
      <c r="BS106" s="694"/>
      <c r="BT106" s="694"/>
      <c r="BU106" s="694"/>
      <c r="BV106" s="694" t="s">
        <v>68</v>
      </c>
      <c r="BW106" s="13"/>
      <c r="BX106" s="13"/>
      <c r="BY106" s="13"/>
      <c r="BZ106" s="13"/>
      <c r="CA106" s="13"/>
      <c r="CB106" s="1220" t="s">
        <v>1427</v>
      </c>
      <c r="CC106" s="38" t="s">
        <v>76</v>
      </c>
      <c r="CD106" s="513"/>
      <c r="CE106" s="513"/>
      <c r="CF106" s="513"/>
      <c r="CG106" s="513"/>
      <c r="CH106" s="513"/>
      <c r="CI106" s="513"/>
      <c r="CJ106" s="513"/>
      <c r="CK106" s="12"/>
    </row>
    <row r="107" spans="2:89" customFormat="1" ht="80.099999999999994" hidden="1" customHeight="1">
      <c r="B107" s="22"/>
      <c r="C107" s="22"/>
      <c r="D107" s="22"/>
      <c r="E107" s="22"/>
      <c r="F107" s="22"/>
      <c r="G107" s="915">
        <v>42005</v>
      </c>
      <c r="H107" s="915"/>
      <c r="I107" s="448">
        <v>43063</v>
      </c>
      <c r="J107" s="16">
        <v>2015</v>
      </c>
      <c r="K107" s="1415"/>
      <c r="L107" s="1415"/>
      <c r="M107" s="17" t="s">
        <v>77</v>
      </c>
      <c r="N107" s="19" t="s">
        <v>397</v>
      </c>
      <c r="O107" s="2" t="s">
        <v>4032</v>
      </c>
      <c r="P107" s="3" t="s">
        <v>398</v>
      </c>
      <c r="Q107" s="3"/>
      <c r="R107" s="4">
        <v>144879.81</v>
      </c>
      <c r="S107" s="6">
        <v>42201</v>
      </c>
      <c r="T107" s="5">
        <v>42201</v>
      </c>
      <c r="U107" s="11">
        <v>42216</v>
      </c>
      <c r="V107" s="13" t="s">
        <v>68</v>
      </c>
      <c r="W107" s="19" t="s">
        <v>68</v>
      </c>
      <c r="X107" s="18" t="s">
        <v>391</v>
      </c>
      <c r="Y107" s="62">
        <v>42199</v>
      </c>
      <c r="Z107" s="105"/>
      <c r="AA107" s="19" t="s">
        <v>396</v>
      </c>
      <c r="AB107" s="8">
        <v>42244</v>
      </c>
      <c r="AC107" s="4">
        <v>138749.84</v>
      </c>
      <c r="AD107" s="4"/>
      <c r="AE107" s="32"/>
      <c r="AF107" s="34" t="s">
        <v>68</v>
      </c>
      <c r="AG107" s="112" t="s">
        <v>68</v>
      </c>
      <c r="AH107" s="112" t="s">
        <v>68</v>
      </c>
      <c r="AI107" s="7" t="s">
        <v>68</v>
      </c>
      <c r="AJ107" s="215" t="s">
        <v>68</v>
      </c>
      <c r="AK107" s="33" t="s">
        <v>68</v>
      </c>
      <c r="AL107" s="1"/>
      <c r="AM107" s="1"/>
      <c r="AN107" s="1"/>
      <c r="AO107" s="1"/>
      <c r="AP107" s="1"/>
      <c r="AQ107" s="1"/>
      <c r="AR107" s="279"/>
      <c r="AS107" s="220">
        <v>0</v>
      </c>
      <c r="AT107" s="894">
        <f t="shared" si="2"/>
        <v>138640.54</v>
      </c>
      <c r="AU107" s="883">
        <v>138726.94</v>
      </c>
      <c r="AV107" s="30">
        <v>42201</v>
      </c>
      <c r="AW107" s="11">
        <v>42207</v>
      </c>
      <c r="AX107" s="30" t="s">
        <v>68</v>
      </c>
      <c r="AY107" s="53" t="s">
        <v>68</v>
      </c>
      <c r="AZ107" s="19"/>
      <c r="BA107" s="1"/>
      <c r="BB107" s="1"/>
      <c r="BC107" s="17"/>
      <c r="BD107" s="30"/>
      <c r="BE107" s="309"/>
      <c r="BF107" s="5"/>
      <c r="BG107" s="5"/>
      <c r="BH107" s="5"/>
      <c r="BI107" s="279">
        <v>138640.54</v>
      </c>
      <c r="BJ107" s="13"/>
      <c r="BK107" s="352"/>
      <c r="BL107" s="694" t="s">
        <v>68</v>
      </c>
      <c r="BM107" s="695" t="s">
        <v>68</v>
      </c>
      <c r="BN107" s="695" t="s">
        <v>68</v>
      </c>
      <c r="BO107" s="694"/>
      <c r="BP107" s="694"/>
      <c r="BQ107" s="694"/>
      <c r="BR107" s="694"/>
      <c r="BS107" s="694"/>
      <c r="BT107" s="694"/>
      <c r="BU107" s="694"/>
      <c r="BV107" s="694" t="s">
        <v>68</v>
      </c>
      <c r="BW107" s="13"/>
      <c r="BX107" s="13"/>
      <c r="BY107" s="13"/>
      <c r="BZ107" s="13"/>
      <c r="CA107" s="13"/>
      <c r="CB107" s="1220" t="s">
        <v>1427</v>
      </c>
      <c r="CC107" s="38" t="s">
        <v>76</v>
      </c>
      <c r="CD107" s="513"/>
      <c r="CE107" s="513"/>
      <c r="CF107" s="513"/>
      <c r="CG107" s="513"/>
      <c r="CH107" s="513"/>
      <c r="CI107" s="513"/>
      <c r="CJ107" s="513"/>
      <c r="CK107" s="12"/>
    </row>
    <row r="108" spans="2:89" customFormat="1" ht="80.099999999999994" hidden="1" customHeight="1">
      <c r="B108" s="22"/>
      <c r="C108" s="22"/>
      <c r="D108" s="22"/>
      <c r="E108" s="22"/>
      <c r="F108" s="22"/>
      <c r="G108" s="915">
        <v>42005</v>
      </c>
      <c r="H108" s="915"/>
      <c r="I108" s="448">
        <v>43063</v>
      </c>
      <c r="J108" s="16">
        <v>2015</v>
      </c>
      <c r="K108" s="1415"/>
      <c r="L108" s="1415"/>
      <c r="M108" s="17" t="s">
        <v>77</v>
      </c>
      <c r="N108" s="19" t="s">
        <v>399</v>
      </c>
      <c r="O108" s="2" t="s">
        <v>4032</v>
      </c>
      <c r="P108" s="3" t="s">
        <v>400</v>
      </c>
      <c r="Q108" s="3"/>
      <c r="R108" s="4">
        <v>74934.460000000006</v>
      </c>
      <c r="S108" s="6">
        <v>42201</v>
      </c>
      <c r="T108" s="5">
        <v>42201</v>
      </c>
      <c r="U108" s="11">
        <v>42216</v>
      </c>
      <c r="V108" s="13" t="s">
        <v>68</v>
      </c>
      <c r="W108" s="19" t="s">
        <v>68</v>
      </c>
      <c r="X108" s="18" t="s">
        <v>391</v>
      </c>
      <c r="Y108" s="62">
        <v>42198</v>
      </c>
      <c r="Z108" s="105"/>
      <c r="AA108" s="19" t="s">
        <v>388</v>
      </c>
      <c r="AB108" s="8">
        <v>42185</v>
      </c>
      <c r="AC108" s="4">
        <v>74934.460000000006</v>
      </c>
      <c r="AD108" s="4"/>
      <c r="AE108" s="32"/>
      <c r="AF108" s="34" t="s">
        <v>68</v>
      </c>
      <c r="AG108" s="112" t="s">
        <v>68</v>
      </c>
      <c r="AH108" s="112" t="s">
        <v>68</v>
      </c>
      <c r="AI108" s="7" t="s">
        <v>68</v>
      </c>
      <c r="AJ108" s="215" t="s">
        <v>68</v>
      </c>
      <c r="AK108" s="33" t="s">
        <v>68</v>
      </c>
      <c r="AL108" s="1"/>
      <c r="AM108" s="1"/>
      <c r="AN108" s="1"/>
      <c r="AO108" s="1"/>
      <c r="AP108" s="1"/>
      <c r="AQ108" s="1"/>
      <c r="AR108" s="279"/>
      <c r="AS108" s="220">
        <v>0</v>
      </c>
      <c r="AT108" s="894">
        <f t="shared" si="2"/>
        <v>69164.95</v>
      </c>
      <c r="AU108" s="883"/>
      <c r="AV108" s="30">
        <v>42208</v>
      </c>
      <c r="AW108" s="11">
        <v>42214</v>
      </c>
      <c r="AX108" s="30" t="s">
        <v>68</v>
      </c>
      <c r="AY108" s="53" t="s">
        <v>68</v>
      </c>
      <c r="AZ108" s="19"/>
      <c r="BA108" s="1"/>
      <c r="BB108" s="1"/>
      <c r="BC108" s="17"/>
      <c r="BD108" s="30"/>
      <c r="BE108" s="309"/>
      <c r="BF108" s="5"/>
      <c r="BG108" s="5"/>
      <c r="BH108" s="5"/>
      <c r="BI108" s="279">
        <v>69164.95</v>
      </c>
      <c r="BJ108" s="13"/>
      <c r="BK108" s="352"/>
      <c r="BL108" s="694" t="s">
        <v>68</v>
      </c>
      <c r="BM108" s="695" t="s">
        <v>68</v>
      </c>
      <c r="BN108" s="695" t="s">
        <v>68</v>
      </c>
      <c r="BO108" s="694"/>
      <c r="BP108" s="694"/>
      <c r="BQ108" s="694"/>
      <c r="BR108" s="694"/>
      <c r="BS108" s="694"/>
      <c r="BT108" s="694"/>
      <c r="BU108" s="694"/>
      <c r="BV108" s="694" t="s">
        <v>68</v>
      </c>
      <c r="BW108" s="13"/>
      <c r="BX108" s="13"/>
      <c r="BY108" s="13"/>
      <c r="BZ108" s="13"/>
      <c r="CA108" s="13"/>
      <c r="CB108" s="1220" t="s">
        <v>1427</v>
      </c>
      <c r="CC108" s="38" t="s">
        <v>76</v>
      </c>
      <c r="CD108" s="513"/>
      <c r="CE108" s="513"/>
      <c r="CF108" s="513"/>
      <c r="CG108" s="513"/>
      <c r="CH108" s="513"/>
      <c r="CI108" s="513"/>
      <c r="CJ108" s="513"/>
      <c r="CK108" s="12"/>
    </row>
    <row r="109" spans="2:89" customFormat="1" ht="80.099999999999994" hidden="1" customHeight="1">
      <c r="B109" s="22"/>
      <c r="C109" s="22"/>
      <c r="D109" s="22"/>
      <c r="E109" s="22"/>
      <c r="F109" s="22"/>
      <c r="G109" s="915">
        <v>42005</v>
      </c>
      <c r="H109" s="915"/>
      <c r="I109" s="448">
        <v>43063</v>
      </c>
      <c r="J109" s="16">
        <v>2015</v>
      </c>
      <c r="K109" s="1415"/>
      <c r="L109" s="1415"/>
      <c r="M109" s="17" t="s">
        <v>77</v>
      </c>
      <c r="N109" s="19" t="s">
        <v>401</v>
      </c>
      <c r="O109" s="2" t="s">
        <v>4032</v>
      </c>
      <c r="P109" s="3" t="s">
        <v>402</v>
      </c>
      <c r="Q109" s="3"/>
      <c r="R109" s="4">
        <v>116511.12</v>
      </c>
      <c r="S109" s="6">
        <v>42219</v>
      </c>
      <c r="T109" s="5">
        <v>42219</v>
      </c>
      <c r="U109" s="11">
        <v>42226</v>
      </c>
      <c r="V109" s="13" t="s">
        <v>68</v>
      </c>
      <c r="W109" s="19" t="s">
        <v>68</v>
      </c>
      <c r="X109" s="18" t="s">
        <v>391</v>
      </c>
      <c r="Y109" s="537" t="s">
        <v>74</v>
      </c>
      <c r="Z109" s="691"/>
      <c r="AA109" s="19" t="s">
        <v>388</v>
      </c>
      <c r="AB109" s="8">
        <v>42185</v>
      </c>
      <c r="AC109" s="4">
        <v>50562.9</v>
      </c>
      <c r="AD109" s="4"/>
      <c r="AE109" s="32"/>
      <c r="AF109" s="34" t="s">
        <v>68</v>
      </c>
      <c r="AG109" s="112" t="s">
        <v>68</v>
      </c>
      <c r="AH109" s="112" t="s">
        <v>68</v>
      </c>
      <c r="AI109" s="7" t="s">
        <v>68</v>
      </c>
      <c r="AJ109" s="215" t="s">
        <v>68</v>
      </c>
      <c r="AK109" s="33" t="s">
        <v>68</v>
      </c>
      <c r="AL109" s="1" t="s">
        <v>68</v>
      </c>
      <c r="AM109" s="1"/>
      <c r="AN109" s="1" t="s">
        <v>68</v>
      </c>
      <c r="AO109" s="1"/>
      <c r="AP109" s="1" t="s">
        <v>68</v>
      </c>
      <c r="AQ109" s="1"/>
      <c r="AR109" s="279"/>
      <c r="AS109" s="220">
        <v>0</v>
      </c>
      <c r="AT109" s="894">
        <f t="shared" si="2"/>
        <v>47908.56</v>
      </c>
      <c r="AU109" s="883">
        <v>47899.59</v>
      </c>
      <c r="AV109" s="30">
        <v>42222</v>
      </c>
      <c r="AW109" s="11">
        <v>42224</v>
      </c>
      <c r="AX109" s="223" t="s">
        <v>68</v>
      </c>
      <c r="AY109" s="53" t="s">
        <v>401</v>
      </c>
      <c r="AZ109" s="19"/>
      <c r="BA109" s="1"/>
      <c r="BB109" s="1"/>
      <c r="BC109" s="17"/>
      <c r="BD109" s="30"/>
      <c r="BE109" s="309"/>
      <c r="BF109" s="5"/>
      <c r="BG109" s="5"/>
      <c r="BH109" s="5"/>
      <c r="BI109" s="279">
        <v>47908.56</v>
      </c>
      <c r="BJ109" s="13"/>
      <c r="BK109" s="352"/>
      <c r="BL109" s="694" t="s">
        <v>68</v>
      </c>
      <c r="BM109" s="695" t="s">
        <v>68</v>
      </c>
      <c r="BN109" s="695" t="s">
        <v>68</v>
      </c>
      <c r="BO109" s="694"/>
      <c r="BP109" s="694"/>
      <c r="BQ109" s="694"/>
      <c r="BR109" s="694"/>
      <c r="BS109" s="694"/>
      <c r="BT109" s="694"/>
      <c r="BU109" s="694"/>
      <c r="BV109" s="694" t="s">
        <v>68</v>
      </c>
      <c r="BW109" s="13"/>
      <c r="BX109" s="13"/>
      <c r="BY109" s="13"/>
      <c r="BZ109" s="13"/>
      <c r="CA109" s="13"/>
      <c r="CB109" s="1220" t="s">
        <v>1427</v>
      </c>
      <c r="CC109" s="38" t="s">
        <v>76</v>
      </c>
      <c r="CD109" s="513"/>
      <c r="CE109" s="513"/>
      <c r="CF109" s="513"/>
      <c r="CG109" s="513"/>
      <c r="CH109" s="513"/>
      <c r="CI109" s="513"/>
      <c r="CJ109" s="513"/>
      <c r="CK109" s="12"/>
    </row>
    <row r="110" spans="2:89" customFormat="1" ht="80.099999999999994" hidden="1" customHeight="1">
      <c r="B110" s="22"/>
      <c r="C110" s="22"/>
      <c r="D110" s="22"/>
      <c r="E110" s="22"/>
      <c r="F110" s="22"/>
      <c r="G110" s="915">
        <v>42005</v>
      </c>
      <c r="H110" s="915"/>
      <c r="I110" s="448">
        <v>43063</v>
      </c>
      <c r="J110" s="16">
        <v>2015</v>
      </c>
      <c r="K110" s="1415"/>
      <c r="L110" s="1415"/>
      <c r="M110" s="17" t="s">
        <v>77</v>
      </c>
      <c r="N110" s="19" t="s">
        <v>403</v>
      </c>
      <c r="O110" s="2" t="s">
        <v>4032</v>
      </c>
      <c r="P110" s="3" t="s">
        <v>404</v>
      </c>
      <c r="Q110" s="3"/>
      <c r="R110" s="4">
        <v>256635.81</v>
      </c>
      <c r="S110" s="6">
        <v>42201</v>
      </c>
      <c r="T110" s="5">
        <v>42201</v>
      </c>
      <c r="U110" s="11">
        <v>42216</v>
      </c>
      <c r="V110" s="13" t="s">
        <v>68</v>
      </c>
      <c r="W110" s="19" t="s">
        <v>68</v>
      </c>
      <c r="X110" s="18" t="s">
        <v>391</v>
      </c>
      <c r="Y110" s="537" t="s">
        <v>74</v>
      </c>
      <c r="Z110" s="691"/>
      <c r="AA110" s="19" t="s">
        <v>396</v>
      </c>
      <c r="AB110" s="8">
        <v>42244</v>
      </c>
      <c r="AC110" s="4">
        <v>256635.81</v>
      </c>
      <c r="AD110" s="4"/>
      <c r="AE110" s="32"/>
      <c r="AF110" s="34" t="s">
        <v>68</v>
      </c>
      <c r="AG110" s="112" t="s">
        <v>68</v>
      </c>
      <c r="AH110" s="112" t="s">
        <v>68</v>
      </c>
      <c r="AI110" s="7" t="s">
        <v>68</v>
      </c>
      <c r="AJ110" s="215" t="s">
        <v>68</v>
      </c>
      <c r="AK110" s="33" t="s">
        <v>68</v>
      </c>
      <c r="AL110" s="1" t="s">
        <v>68</v>
      </c>
      <c r="AM110" s="1"/>
      <c r="AN110" s="1" t="s">
        <v>68</v>
      </c>
      <c r="AO110" s="1"/>
      <c r="AP110" s="1" t="s">
        <v>68</v>
      </c>
      <c r="AQ110" s="1"/>
      <c r="AR110" s="279"/>
      <c r="AS110" s="220">
        <v>0</v>
      </c>
      <c r="AT110" s="894">
        <f t="shared" si="2"/>
        <v>259847.94</v>
      </c>
      <c r="AU110" s="883">
        <v>259797.82</v>
      </c>
      <c r="AV110" s="30">
        <v>42201</v>
      </c>
      <c r="AW110" s="11">
        <v>42214</v>
      </c>
      <c r="AX110" s="223" t="s">
        <v>68</v>
      </c>
      <c r="AY110" s="53" t="s">
        <v>403</v>
      </c>
      <c r="AZ110" s="19"/>
      <c r="BA110" s="1"/>
      <c r="BB110" s="1"/>
      <c r="BC110" s="17"/>
      <c r="BD110" s="30"/>
      <c r="BE110" s="309"/>
      <c r="BF110" s="5"/>
      <c r="BG110" s="5"/>
      <c r="BH110" s="5"/>
      <c r="BI110" s="279">
        <v>259847.94</v>
      </c>
      <c r="BJ110" s="13"/>
      <c r="BK110" s="352"/>
      <c r="BL110" s="694" t="s">
        <v>68</v>
      </c>
      <c r="BM110" s="695" t="s">
        <v>68</v>
      </c>
      <c r="BN110" s="695" t="s">
        <v>68</v>
      </c>
      <c r="BO110" s="694"/>
      <c r="BP110" s="694"/>
      <c r="BQ110" s="694"/>
      <c r="BR110" s="694"/>
      <c r="BS110" s="694"/>
      <c r="BT110" s="694"/>
      <c r="BU110" s="694"/>
      <c r="BV110" s="694" t="s">
        <v>68</v>
      </c>
      <c r="BW110" s="13"/>
      <c r="BX110" s="13"/>
      <c r="BY110" s="13"/>
      <c r="BZ110" s="13"/>
      <c r="CA110" s="13"/>
      <c r="CB110" s="1220" t="s">
        <v>1427</v>
      </c>
      <c r="CC110" s="38" t="s">
        <v>76</v>
      </c>
      <c r="CD110" s="513"/>
      <c r="CE110" s="513"/>
      <c r="CF110" s="513"/>
      <c r="CG110" s="513"/>
      <c r="CH110" s="513"/>
      <c r="CI110" s="513"/>
      <c r="CJ110" s="513"/>
      <c r="CK110" s="12"/>
    </row>
    <row r="111" spans="2:89" customFormat="1" ht="80.099999999999994" hidden="1" customHeight="1">
      <c r="B111" s="22"/>
      <c r="C111" s="22"/>
      <c r="D111" s="22"/>
      <c r="E111" s="22"/>
      <c r="F111" s="22"/>
      <c r="G111" s="915">
        <v>42005</v>
      </c>
      <c r="H111" s="915"/>
      <c r="I111" s="448">
        <v>43063</v>
      </c>
      <c r="J111" s="16">
        <v>2015</v>
      </c>
      <c r="K111" s="1415"/>
      <c r="L111" s="1415"/>
      <c r="M111" s="17" t="s">
        <v>77</v>
      </c>
      <c r="N111" s="19" t="s">
        <v>405</v>
      </c>
      <c r="O111" s="2" t="s">
        <v>4032</v>
      </c>
      <c r="P111" s="3" t="s">
        <v>406</v>
      </c>
      <c r="Q111" s="3"/>
      <c r="R111" s="4">
        <v>186751.07</v>
      </c>
      <c r="S111" s="6">
        <v>42188</v>
      </c>
      <c r="T111" s="5">
        <v>42191</v>
      </c>
      <c r="U111" s="11">
        <v>42210</v>
      </c>
      <c r="V111" s="13" t="s">
        <v>68</v>
      </c>
      <c r="W111" s="19" t="s">
        <v>68</v>
      </c>
      <c r="X111" s="18" t="s">
        <v>391</v>
      </c>
      <c r="Y111" s="537" t="s">
        <v>74</v>
      </c>
      <c r="Z111" s="691"/>
      <c r="AA111" s="19" t="s">
        <v>396</v>
      </c>
      <c r="AB111" s="8">
        <v>42244</v>
      </c>
      <c r="AC111" s="4">
        <v>186751.07</v>
      </c>
      <c r="AD111" s="4"/>
      <c r="AE111" s="32"/>
      <c r="AF111" s="34" t="s">
        <v>68</v>
      </c>
      <c r="AG111" s="112" t="s">
        <v>68</v>
      </c>
      <c r="AH111" s="112" t="s">
        <v>68</v>
      </c>
      <c r="AI111" s="7" t="s">
        <v>68</v>
      </c>
      <c r="AJ111" s="215" t="s">
        <v>68</v>
      </c>
      <c r="AK111" s="33" t="s">
        <v>68</v>
      </c>
      <c r="AL111" s="1" t="s">
        <v>68</v>
      </c>
      <c r="AM111" s="1"/>
      <c r="AN111" s="1" t="s">
        <v>68</v>
      </c>
      <c r="AO111" s="1"/>
      <c r="AP111" s="1" t="s">
        <v>68</v>
      </c>
      <c r="AQ111" s="1"/>
      <c r="AR111" s="279"/>
      <c r="AS111" s="220">
        <v>0</v>
      </c>
      <c r="AT111" s="894">
        <f t="shared" si="2"/>
        <v>152162.73000000001</v>
      </c>
      <c r="AU111" s="883">
        <v>152135.64000000001</v>
      </c>
      <c r="AV111" s="30">
        <v>42191</v>
      </c>
      <c r="AW111" s="11">
        <v>42210</v>
      </c>
      <c r="AX111" s="223" t="s">
        <v>68</v>
      </c>
      <c r="AY111" s="53" t="s">
        <v>405</v>
      </c>
      <c r="AZ111" s="19"/>
      <c r="BA111" s="1"/>
      <c r="BB111" s="1"/>
      <c r="BC111" s="17"/>
      <c r="BD111" s="30"/>
      <c r="BE111" s="309"/>
      <c r="BF111" s="5"/>
      <c r="BG111" s="5"/>
      <c r="BH111" s="5"/>
      <c r="BI111" s="279">
        <v>152162.73000000001</v>
      </c>
      <c r="BJ111" s="13"/>
      <c r="BK111" s="352"/>
      <c r="BL111" s="694" t="s">
        <v>68</v>
      </c>
      <c r="BM111" s="695" t="s">
        <v>68</v>
      </c>
      <c r="BN111" s="695" t="s">
        <v>68</v>
      </c>
      <c r="BO111" s="694"/>
      <c r="BP111" s="694"/>
      <c r="BQ111" s="694"/>
      <c r="BR111" s="694"/>
      <c r="BS111" s="694"/>
      <c r="BT111" s="694"/>
      <c r="BU111" s="694"/>
      <c r="BV111" s="694" t="s">
        <v>68</v>
      </c>
      <c r="BW111" s="13"/>
      <c r="BX111" s="13"/>
      <c r="BY111" s="13"/>
      <c r="BZ111" s="13"/>
      <c r="CA111" s="13"/>
      <c r="CB111" s="1220" t="s">
        <v>1427</v>
      </c>
      <c r="CC111" s="38" t="s">
        <v>76</v>
      </c>
      <c r="CD111" s="513"/>
      <c r="CE111" s="513"/>
      <c r="CF111" s="513"/>
      <c r="CG111" s="513"/>
      <c r="CH111" s="513"/>
      <c r="CI111" s="513"/>
      <c r="CJ111" s="513"/>
      <c r="CK111" s="12"/>
    </row>
    <row r="112" spans="2:89" customFormat="1" ht="80.099999999999994" hidden="1" customHeight="1">
      <c r="B112" s="22"/>
      <c r="C112" s="22"/>
      <c r="D112" s="22"/>
      <c r="E112" s="22"/>
      <c r="F112" s="22"/>
      <c r="G112" s="915">
        <v>42005</v>
      </c>
      <c r="H112" s="915"/>
      <c r="I112" s="448">
        <v>43063</v>
      </c>
      <c r="J112" s="16">
        <v>2015</v>
      </c>
      <c r="K112" s="1415"/>
      <c r="L112" s="1415"/>
      <c r="M112" s="17" t="s">
        <v>77</v>
      </c>
      <c r="N112" s="19" t="s">
        <v>407</v>
      </c>
      <c r="O112" s="2" t="s">
        <v>4032</v>
      </c>
      <c r="P112" s="3" t="s">
        <v>408</v>
      </c>
      <c r="Q112" s="3"/>
      <c r="R112" s="4">
        <v>359833.1</v>
      </c>
      <c r="S112" s="6">
        <v>42210</v>
      </c>
      <c r="T112" s="5">
        <v>42210</v>
      </c>
      <c r="U112" s="11">
        <v>42226</v>
      </c>
      <c r="V112" s="13" t="s">
        <v>68</v>
      </c>
      <c r="W112" s="19" t="s">
        <v>68</v>
      </c>
      <c r="X112" s="18" t="s">
        <v>391</v>
      </c>
      <c r="Y112" s="537" t="s">
        <v>74</v>
      </c>
      <c r="Z112" s="691"/>
      <c r="AA112" s="19" t="s">
        <v>396</v>
      </c>
      <c r="AB112" s="8">
        <v>42244</v>
      </c>
      <c r="AC112" s="4">
        <v>359833.1</v>
      </c>
      <c r="AD112" s="4"/>
      <c r="AE112" s="32"/>
      <c r="AF112" s="34" t="s">
        <v>68</v>
      </c>
      <c r="AG112" s="112" t="s">
        <v>68</v>
      </c>
      <c r="AH112" s="112" t="s">
        <v>68</v>
      </c>
      <c r="AI112" s="7" t="s">
        <v>68</v>
      </c>
      <c r="AJ112" s="215" t="s">
        <v>68</v>
      </c>
      <c r="AK112" s="33" t="s">
        <v>68</v>
      </c>
      <c r="AL112" s="1" t="s">
        <v>68</v>
      </c>
      <c r="AM112" s="1"/>
      <c r="AN112" s="1" t="s">
        <v>68</v>
      </c>
      <c r="AO112" s="1"/>
      <c r="AP112" s="1" t="s">
        <v>68</v>
      </c>
      <c r="AQ112" s="1"/>
      <c r="AR112" s="279"/>
      <c r="AS112" s="220">
        <v>0</v>
      </c>
      <c r="AT112" s="894">
        <f t="shared" si="2"/>
        <v>351798.17</v>
      </c>
      <c r="AU112" s="883">
        <v>351731.88</v>
      </c>
      <c r="AV112" s="30">
        <v>42215</v>
      </c>
      <c r="AW112" s="11">
        <v>42221</v>
      </c>
      <c r="AX112" s="223" t="s">
        <v>68</v>
      </c>
      <c r="AY112" s="53" t="s">
        <v>407</v>
      </c>
      <c r="AZ112" s="19"/>
      <c r="BA112" s="1"/>
      <c r="BB112" s="1"/>
      <c r="BC112" s="17"/>
      <c r="BD112" s="30"/>
      <c r="BE112" s="309"/>
      <c r="BF112" s="5"/>
      <c r="BG112" s="5"/>
      <c r="BH112" s="5"/>
      <c r="BI112" s="279">
        <v>351798.17</v>
      </c>
      <c r="BJ112" s="13"/>
      <c r="BK112" s="352"/>
      <c r="BL112" s="694" t="s">
        <v>68</v>
      </c>
      <c r="BM112" s="695" t="s">
        <v>68</v>
      </c>
      <c r="BN112" s="695" t="s">
        <v>68</v>
      </c>
      <c r="BO112" s="694"/>
      <c r="BP112" s="694"/>
      <c r="BQ112" s="694"/>
      <c r="BR112" s="694"/>
      <c r="BS112" s="694"/>
      <c r="BT112" s="694"/>
      <c r="BU112" s="694"/>
      <c r="BV112" s="694" t="s">
        <v>68</v>
      </c>
      <c r="BW112" s="13"/>
      <c r="BX112" s="13"/>
      <c r="BY112" s="13"/>
      <c r="BZ112" s="13"/>
      <c r="CA112" s="13"/>
      <c r="CB112" s="1220" t="s">
        <v>1427</v>
      </c>
      <c r="CC112" s="38" t="s">
        <v>76</v>
      </c>
      <c r="CD112" s="513"/>
      <c r="CE112" s="513"/>
      <c r="CF112" s="513"/>
      <c r="CG112" s="513"/>
      <c r="CH112" s="513"/>
      <c r="CI112" s="513"/>
      <c r="CJ112" s="513"/>
      <c r="CK112" s="12"/>
    </row>
    <row r="113" spans="2:89" customFormat="1" ht="80.099999999999994" hidden="1" customHeight="1">
      <c r="B113" s="22"/>
      <c r="C113" s="22"/>
      <c r="D113" s="22"/>
      <c r="E113" s="22"/>
      <c r="F113" s="22"/>
      <c r="G113" s="915">
        <v>42005</v>
      </c>
      <c r="H113" s="915"/>
      <c r="I113" s="448">
        <v>43063</v>
      </c>
      <c r="J113" s="16">
        <v>2015</v>
      </c>
      <c r="K113" s="1415"/>
      <c r="L113" s="1415"/>
      <c r="M113" s="17" t="s">
        <v>77</v>
      </c>
      <c r="N113" s="19" t="s">
        <v>409</v>
      </c>
      <c r="O113" s="2" t="s">
        <v>4032</v>
      </c>
      <c r="P113" s="3" t="s">
        <v>410</v>
      </c>
      <c r="Q113" s="3"/>
      <c r="R113" s="4">
        <v>225508.89</v>
      </c>
      <c r="S113" s="6">
        <v>42226</v>
      </c>
      <c r="T113" s="5">
        <v>42226</v>
      </c>
      <c r="U113" s="11">
        <v>42238</v>
      </c>
      <c r="V113" s="13" t="s">
        <v>68</v>
      </c>
      <c r="W113" s="19" t="s">
        <v>68</v>
      </c>
      <c r="X113" s="18" t="s">
        <v>391</v>
      </c>
      <c r="Y113" s="537" t="s">
        <v>74</v>
      </c>
      <c r="Z113" s="691"/>
      <c r="AA113" s="19" t="s">
        <v>396</v>
      </c>
      <c r="AB113" s="8">
        <v>42244</v>
      </c>
      <c r="AC113" s="4">
        <v>225508.89</v>
      </c>
      <c r="AD113" s="4"/>
      <c r="AE113" s="32"/>
      <c r="AF113" s="34" t="s">
        <v>68</v>
      </c>
      <c r="AG113" s="112" t="s">
        <v>68</v>
      </c>
      <c r="AH113" s="112" t="s">
        <v>68</v>
      </c>
      <c r="AI113" s="7" t="s">
        <v>68</v>
      </c>
      <c r="AJ113" s="215" t="s">
        <v>68</v>
      </c>
      <c r="AK113" s="33" t="s">
        <v>68</v>
      </c>
      <c r="AL113" s="1" t="s">
        <v>68</v>
      </c>
      <c r="AM113" s="1"/>
      <c r="AN113" s="1" t="s">
        <v>68</v>
      </c>
      <c r="AO113" s="1"/>
      <c r="AP113" s="1" t="s">
        <v>68</v>
      </c>
      <c r="AQ113" s="1"/>
      <c r="AR113" s="279"/>
      <c r="AS113" s="220">
        <v>0</v>
      </c>
      <c r="AT113" s="894">
        <f t="shared" si="2"/>
        <v>232729.26</v>
      </c>
      <c r="AU113" s="883">
        <v>232686.16</v>
      </c>
      <c r="AV113" s="30">
        <v>42226</v>
      </c>
      <c r="AW113" s="11">
        <v>42235</v>
      </c>
      <c r="AX113" s="223" t="s">
        <v>68</v>
      </c>
      <c r="AY113" s="53" t="s">
        <v>409</v>
      </c>
      <c r="AZ113" s="19"/>
      <c r="BA113" s="1"/>
      <c r="BB113" s="1"/>
      <c r="BC113" s="17"/>
      <c r="BD113" s="30"/>
      <c r="BE113" s="309"/>
      <c r="BF113" s="5"/>
      <c r="BG113" s="5"/>
      <c r="BH113" s="5"/>
      <c r="BI113" s="279">
        <v>232729.26</v>
      </c>
      <c r="BJ113" s="13"/>
      <c r="BK113" s="352"/>
      <c r="BL113" s="694" t="s">
        <v>68</v>
      </c>
      <c r="BM113" s="695" t="s">
        <v>68</v>
      </c>
      <c r="BN113" s="695" t="s">
        <v>68</v>
      </c>
      <c r="BO113" s="694"/>
      <c r="BP113" s="694"/>
      <c r="BQ113" s="694"/>
      <c r="BR113" s="694"/>
      <c r="BS113" s="694"/>
      <c r="BT113" s="694"/>
      <c r="BU113" s="694"/>
      <c r="BV113" s="694" t="s">
        <v>68</v>
      </c>
      <c r="BW113" s="13"/>
      <c r="BX113" s="13"/>
      <c r="BY113" s="13"/>
      <c r="BZ113" s="13"/>
      <c r="CA113" s="13"/>
      <c r="CB113" s="1220" t="s">
        <v>1427</v>
      </c>
      <c r="CC113" s="38" t="s">
        <v>76</v>
      </c>
      <c r="CD113" s="513"/>
      <c r="CE113" s="513"/>
      <c r="CF113" s="513"/>
      <c r="CG113" s="513"/>
      <c r="CH113" s="513"/>
      <c r="CI113" s="513"/>
      <c r="CJ113" s="513"/>
      <c r="CK113" s="12"/>
    </row>
    <row r="114" spans="2:89" customFormat="1" ht="80.099999999999994" hidden="1" customHeight="1">
      <c r="B114" s="22"/>
      <c r="C114" s="22"/>
      <c r="D114" s="22"/>
      <c r="E114" s="22"/>
      <c r="F114" s="22"/>
      <c r="G114" s="915">
        <v>42005</v>
      </c>
      <c r="H114" s="915"/>
      <c r="I114" s="448">
        <v>43063</v>
      </c>
      <c r="J114" s="16">
        <v>2015</v>
      </c>
      <c r="K114" s="1415"/>
      <c r="L114" s="1415"/>
      <c r="M114" s="17" t="s">
        <v>77</v>
      </c>
      <c r="N114" s="19" t="s">
        <v>411</v>
      </c>
      <c r="O114" s="2" t="s">
        <v>4032</v>
      </c>
      <c r="P114" s="3" t="s">
        <v>412</v>
      </c>
      <c r="Q114" s="3"/>
      <c r="R114" s="4">
        <v>373029.23</v>
      </c>
      <c r="S114" s="6">
        <v>42188</v>
      </c>
      <c r="T114" s="5">
        <v>42191</v>
      </c>
      <c r="U114" s="11">
        <v>42210</v>
      </c>
      <c r="V114" s="13" t="s">
        <v>68</v>
      </c>
      <c r="W114" s="19" t="s">
        <v>68</v>
      </c>
      <c r="X114" s="18" t="s">
        <v>391</v>
      </c>
      <c r="Y114" s="62">
        <v>42186</v>
      </c>
      <c r="Z114" s="105"/>
      <c r="AA114" s="19" t="s">
        <v>388</v>
      </c>
      <c r="AB114" s="8">
        <v>42185</v>
      </c>
      <c r="AC114" s="4">
        <v>400121.57</v>
      </c>
      <c r="AD114" s="4"/>
      <c r="AE114" s="32"/>
      <c r="AF114" s="34" t="s">
        <v>68</v>
      </c>
      <c r="AG114" s="112" t="s">
        <v>68</v>
      </c>
      <c r="AH114" s="112" t="s">
        <v>68</v>
      </c>
      <c r="AI114" s="7" t="s">
        <v>68</v>
      </c>
      <c r="AJ114" s="215" t="s">
        <v>68</v>
      </c>
      <c r="AK114" s="33" t="s">
        <v>68</v>
      </c>
      <c r="AL114" s="1"/>
      <c r="AM114" s="1"/>
      <c r="AN114" s="1"/>
      <c r="AO114" s="1"/>
      <c r="AP114" s="1"/>
      <c r="AQ114" s="1"/>
      <c r="AR114" s="279"/>
      <c r="AS114" s="220">
        <v>0</v>
      </c>
      <c r="AT114" s="894">
        <f t="shared" si="2"/>
        <v>374361.23</v>
      </c>
      <c r="AU114" s="883">
        <v>331087.45</v>
      </c>
      <c r="AV114" s="30">
        <v>42191</v>
      </c>
      <c r="AW114" s="11">
        <v>42210</v>
      </c>
      <c r="AX114" s="30" t="s">
        <v>68</v>
      </c>
      <c r="AY114" s="53" t="s">
        <v>411</v>
      </c>
      <c r="AZ114" s="19"/>
      <c r="BA114" s="1"/>
      <c r="BB114" s="1"/>
      <c r="BC114" s="17"/>
      <c r="BD114" s="30"/>
      <c r="BE114" s="309"/>
      <c r="BF114" s="5"/>
      <c r="BG114" s="5"/>
      <c r="BH114" s="5"/>
      <c r="BI114" s="279">
        <v>374361.23</v>
      </c>
      <c r="BJ114" s="13"/>
      <c r="BK114" s="352"/>
      <c r="BL114" s="694" t="s">
        <v>68</v>
      </c>
      <c r="BM114" s="695" t="s">
        <v>68</v>
      </c>
      <c r="BN114" s="695" t="s">
        <v>68</v>
      </c>
      <c r="BO114" s="694"/>
      <c r="BP114" s="694"/>
      <c r="BQ114" s="694"/>
      <c r="BR114" s="694"/>
      <c r="BS114" s="694"/>
      <c r="BT114" s="694"/>
      <c r="BU114" s="694"/>
      <c r="BV114" s="694" t="s">
        <v>68</v>
      </c>
      <c r="BW114" s="13"/>
      <c r="BX114" s="13"/>
      <c r="BY114" s="13"/>
      <c r="BZ114" s="13"/>
      <c r="CA114" s="13"/>
      <c r="CB114" s="1220" t="s">
        <v>1427</v>
      </c>
      <c r="CC114" s="38" t="s">
        <v>76</v>
      </c>
      <c r="CD114" s="513"/>
      <c r="CE114" s="513"/>
      <c r="CF114" s="513"/>
      <c r="CG114" s="513"/>
      <c r="CH114" s="513"/>
      <c r="CI114" s="513"/>
      <c r="CJ114" s="513"/>
      <c r="CK114" s="12"/>
    </row>
    <row r="115" spans="2:89" customFormat="1" ht="80.099999999999994" hidden="1" customHeight="1">
      <c r="B115" s="22"/>
      <c r="C115" s="22"/>
      <c r="D115" s="22"/>
      <c r="E115" s="22"/>
      <c r="F115" s="22"/>
      <c r="G115" s="915">
        <v>42005</v>
      </c>
      <c r="H115" s="915"/>
      <c r="I115" s="448">
        <v>43063</v>
      </c>
      <c r="J115" s="16">
        <v>2015</v>
      </c>
      <c r="K115" s="1415"/>
      <c r="L115" s="1415"/>
      <c r="M115" s="17" t="s">
        <v>77</v>
      </c>
      <c r="N115" s="19" t="s">
        <v>413</v>
      </c>
      <c r="O115" s="2" t="s">
        <v>4032</v>
      </c>
      <c r="P115" s="3" t="s">
        <v>414</v>
      </c>
      <c r="Q115" s="3"/>
      <c r="R115" s="4">
        <v>847454.56</v>
      </c>
      <c r="S115" s="6">
        <v>42219</v>
      </c>
      <c r="T115" s="5">
        <v>42219</v>
      </c>
      <c r="U115" s="11">
        <v>42231</v>
      </c>
      <c r="V115" s="13" t="s">
        <v>68</v>
      </c>
      <c r="W115" s="19" t="s">
        <v>68</v>
      </c>
      <c r="X115" s="18" t="s">
        <v>391</v>
      </c>
      <c r="Y115" s="62">
        <v>42219</v>
      </c>
      <c r="Z115" s="105"/>
      <c r="AA115" s="19" t="s">
        <v>388</v>
      </c>
      <c r="AB115" s="8">
        <v>42185</v>
      </c>
      <c r="AC115" s="4">
        <v>893540.34</v>
      </c>
      <c r="AD115" s="4"/>
      <c r="AE115" s="32"/>
      <c r="AF115" s="34" t="s">
        <v>68</v>
      </c>
      <c r="AG115" s="112" t="s">
        <v>68</v>
      </c>
      <c r="AH115" s="112" t="s">
        <v>68</v>
      </c>
      <c r="AI115" s="7" t="s">
        <v>68</v>
      </c>
      <c r="AJ115" s="215" t="s">
        <v>68</v>
      </c>
      <c r="AK115" s="33" t="s">
        <v>68</v>
      </c>
      <c r="AL115" s="1"/>
      <c r="AM115" s="1"/>
      <c r="AN115" s="1"/>
      <c r="AO115" s="1"/>
      <c r="AP115" s="1"/>
      <c r="AQ115" s="1"/>
      <c r="AR115" s="279"/>
      <c r="AS115" s="220">
        <v>0</v>
      </c>
      <c r="AT115" s="894">
        <f t="shared" si="2"/>
        <v>733036.8</v>
      </c>
      <c r="AU115" s="883">
        <v>845354.85</v>
      </c>
      <c r="AV115" s="30">
        <v>42219</v>
      </c>
      <c r="AW115" s="11">
        <v>42231</v>
      </c>
      <c r="AX115" s="30" t="s">
        <v>68</v>
      </c>
      <c r="AY115" s="53" t="s">
        <v>413</v>
      </c>
      <c r="AZ115" s="19"/>
      <c r="BA115" s="1"/>
      <c r="BB115" s="1"/>
      <c r="BC115" s="17"/>
      <c r="BD115" s="30"/>
      <c r="BE115" s="309"/>
      <c r="BF115" s="5"/>
      <c r="BG115" s="5"/>
      <c r="BH115" s="5"/>
      <c r="BI115" s="279">
        <v>733036.8</v>
      </c>
      <c r="BJ115" s="13"/>
      <c r="BK115" s="352"/>
      <c r="BL115" s="694" t="s">
        <v>68</v>
      </c>
      <c r="BM115" s="695" t="s">
        <v>68</v>
      </c>
      <c r="BN115" s="695" t="s">
        <v>68</v>
      </c>
      <c r="BO115" s="694"/>
      <c r="BP115" s="694"/>
      <c r="BQ115" s="694"/>
      <c r="BR115" s="694"/>
      <c r="BS115" s="694"/>
      <c r="BT115" s="694"/>
      <c r="BU115" s="694"/>
      <c r="BV115" s="694" t="s">
        <v>68</v>
      </c>
      <c r="BW115" s="13"/>
      <c r="BX115" s="13"/>
      <c r="BY115" s="13"/>
      <c r="BZ115" s="13"/>
      <c r="CA115" s="13"/>
      <c r="CB115" s="1220" t="s">
        <v>1427</v>
      </c>
      <c r="CC115" s="38" t="s">
        <v>76</v>
      </c>
      <c r="CD115" s="513"/>
      <c r="CE115" s="513"/>
      <c r="CF115" s="513"/>
      <c r="CG115" s="513"/>
      <c r="CH115" s="513"/>
      <c r="CI115" s="513"/>
      <c r="CJ115" s="513"/>
      <c r="CK115" s="12"/>
    </row>
    <row r="116" spans="2:89" customFormat="1" ht="80.099999999999994" hidden="1" customHeight="1">
      <c r="B116" s="22"/>
      <c r="C116" s="22"/>
      <c r="D116" s="22"/>
      <c r="E116" s="22"/>
      <c r="F116" s="22"/>
      <c r="G116" s="915">
        <v>42005</v>
      </c>
      <c r="H116" s="915"/>
      <c r="I116" s="448">
        <v>43063</v>
      </c>
      <c r="J116" s="16">
        <v>2015</v>
      </c>
      <c r="K116" s="1415"/>
      <c r="L116" s="1415"/>
      <c r="M116" s="17" t="s">
        <v>77</v>
      </c>
      <c r="N116" s="19" t="s">
        <v>415</v>
      </c>
      <c r="O116" s="2" t="s">
        <v>4032</v>
      </c>
      <c r="P116" s="3" t="s">
        <v>416</v>
      </c>
      <c r="Q116" s="3"/>
      <c r="R116" s="4">
        <v>510072.99</v>
      </c>
      <c r="S116" s="6">
        <v>42186</v>
      </c>
      <c r="T116" s="5">
        <v>42233</v>
      </c>
      <c r="U116" s="11">
        <v>42247</v>
      </c>
      <c r="V116" s="13" t="s">
        <v>68</v>
      </c>
      <c r="W116" s="19" t="s">
        <v>68</v>
      </c>
      <c r="X116" s="18" t="s">
        <v>391</v>
      </c>
      <c r="Y116" s="62">
        <v>42219</v>
      </c>
      <c r="Z116" s="105"/>
      <c r="AA116" s="19" t="s">
        <v>388</v>
      </c>
      <c r="AB116" s="8">
        <v>42185</v>
      </c>
      <c r="AC116" s="4">
        <v>543382.36</v>
      </c>
      <c r="AD116" s="4"/>
      <c r="AE116" s="32"/>
      <c r="AF116" s="34" t="s">
        <v>68</v>
      </c>
      <c r="AG116" s="112" t="s">
        <v>68</v>
      </c>
      <c r="AH116" s="112" t="s">
        <v>68</v>
      </c>
      <c r="AI116" s="7" t="s">
        <v>68</v>
      </c>
      <c r="AJ116" s="215" t="s">
        <v>68</v>
      </c>
      <c r="AK116" s="33" t="s">
        <v>68</v>
      </c>
      <c r="AL116" s="1"/>
      <c r="AM116" s="1"/>
      <c r="AN116" s="1"/>
      <c r="AO116" s="1"/>
      <c r="AP116" s="1"/>
      <c r="AQ116" s="1"/>
      <c r="AR116" s="279"/>
      <c r="AS116" s="220">
        <v>0</v>
      </c>
      <c r="AT116" s="894">
        <f t="shared" si="2"/>
        <v>508166.97</v>
      </c>
      <c r="AU116" s="883">
        <v>508072.99</v>
      </c>
      <c r="AV116" s="30">
        <v>42233</v>
      </c>
      <c r="AW116" s="11">
        <v>42245</v>
      </c>
      <c r="AX116" s="30" t="s">
        <v>68</v>
      </c>
      <c r="AY116" s="53" t="s">
        <v>415</v>
      </c>
      <c r="AZ116" s="19"/>
      <c r="BA116" s="1"/>
      <c r="BB116" s="1"/>
      <c r="BC116" s="17"/>
      <c r="BD116" s="30"/>
      <c r="BE116" s="309"/>
      <c r="BF116" s="5"/>
      <c r="BG116" s="5"/>
      <c r="BH116" s="5"/>
      <c r="BI116" s="279">
        <v>508166.97</v>
      </c>
      <c r="BJ116" s="13"/>
      <c r="BK116" s="352"/>
      <c r="BL116" s="694" t="s">
        <v>68</v>
      </c>
      <c r="BM116" s="695" t="s">
        <v>68</v>
      </c>
      <c r="BN116" s="695" t="s">
        <v>68</v>
      </c>
      <c r="BO116" s="694"/>
      <c r="BP116" s="694"/>
      <c r="BQ116" s="694"/>
      <c r="BR116" s="694"/>
      <c r="BS116" s="694"/>
      <c r="BT116" s="694"/>
      <c r="BU116" s="694"/>
      <c r="BV116" s="694" t="s">
        <v>68</v>
      </c>
      <c r="BW116" s="13"/>
      <c r="BX116" s="13"/>
      <c r="BY116" s="13"/>
      <c r="BZ116" s="13"/>
      <c r="CA116" s="13"/>
      <c r="CB116" s="1220" t="s">
        <v>1427</v>
      </c>
      <c r="CC116" s="38" t="s">
        <v>76</v>
      </c>
      <c r="CD116" s="513"/>
      <c r="CE116" s="513"/>
      <c r="CF116" s="513"/>
      <c r="CG116" s="513"/>
      <c r="CH116" s="513"/>
      <c r="CI116" s="513"/>
      <c r="CJ116" s="513"/>
      <c r="CK116" s="12"/>
    </row>
    <row r="117" spans="2:89" customFormat="1" ht="80.099999999999994" hidden="1" customHeight="1">
      <c r="B117" s="22"/>
      <c r="C117" s="22"/>
      <c r="D117" s="22"/>
      <c r="E117" s="22"/>
      <c r="F117" s="22"/>
      <c r="G117" s="915">
        <v>42005</v>
      </c>
      <c r="H117" s="915"/>
      <c r="I117" s="448">
        <v>43063</v>
      </c>
      <c r="J117" s="16">
        <v>2015</v>
      </c>
      <c r="K117" s="1415"/>
      <c r="L117" s="1415"/>
      <c r="M117" s="17" t="s">
        <v>77</v>
      </c>
      <c r="N117" s="19" t="s">
        <v>417</v>
      </c>
      <c r="O117" s="2" t="s">
        <v>4032</v>
      </c>
      <c r="P117" s="3" t="s">
        <v>418</v>
      </c>
      <c r="Q117" s="3"/>
      <c r="R117" s="4">
        <v>125552.88</v>
      </c>
      <c r="S117" s="6">
        <v>42219</v>
      </c>
      <c r="T117" s="5">
        <v>42219</v>
      </c>
      <c r="U117" s="11">
        <v>42231</v>
      </c>
      <c r="V117" s="13" t="s">
        <v>68</v>
      </c>
      <c r="W117" s="19" t="s">
        <v>68</v>
      </c>
      <c r="X117" s="18" t="s">
        <v>391</v>
      </c>
      <c r="Y117" s="537" t="s">
        <v>74</v>
      </c>
      <c r="Z117" s="691"/>
      <c r="AA117" s="19" t="s">
        <v>388</v>
      </c>
      <c r="AB117" s="8">
        <v>42185</v>
      </c>
      <c r="AC117" s="4">
        <v>400121.57</v>
      </c>
      <c r="AD117" s="4"/>
      <c r="AE117" s="32"/>
      <c r="AF117" s="34" t="s">
        <v>68</v>
      </c>
      <c r="AG117" s="112" t="s">
        <v>68</v>
      </c>
      <c r="AH117" s="112" t="s">
        <v>68</v>
      </c>
      <c r="AI117" s="7" t="s">
        <v>68</v>
      </c>
      <c r="AJ117" s="215" t="s">
        <v>68</v>
      </c>
      <c r="AK117" s="33" t="s">
        <v>68</v>
      </c>
      <c r="AL117" s="1" t="s">
        <v>68</v>
      </c>
      <c r="AM117" s="1"/>
      <c r="AN117" s="1" t="s">
        <v>68</v>
      </c>
      <c r="AO117" s="1"/>
      <c r="AP117" s="1" t="s">
        <v>68</v>
      </c>
      <c r="AQ117" s="1"/>
      <c r="AR117" s="279"/>
      <c r="AS117" s="220">
        <v>0</v>
      </c>
      <c r="AT117" s="894">
        <f t="shared" si="2"/>
        <v>113692.02</v>
      </c>
      <c r="AU117" s="883">
        <v>115878.96</v>
      </c>
      <c r="AV117" s="30">
        <v>42191</v>
      </c>
      <c r="AW117" s="11">
        <v>42210</v>
      </c>
      <c r="AX117" s="223" t="s">
        <v>68</v>
      </c>
      <c r="AY117" s="53" t="s">
        <v>411</v>
      </c>
      <c r="AZ117" s="19"/>
      <c r="BA117" s="1"/>
      <c r="BB117" s="1"/>
      <c r="BC117" s="17"/>
      <c r="BD117" s="30"/>
      <c r="BE117" s="309"/>
      <c r="BF117" s="5"/>
      <c r="BG117" s="5"/>
      <c r="BH117" s="5"/>
      <c r="BI117" s="279">
        <v>113692.02</v>
      </c>
      <c r="BJ117" s="13"/>
      <c r="BK117" s="352"/>
      <c r="BL117" s="694" t="s">
        <v>68</v>
      </c>
      <c r="BM117" s="695" t="s">
        <v>68</v>
      </c>
      <c r="BN117" s="695" t="s">
        <v>68</v>
      </c>
      <c r="BO117" s="694"/>
      <c r="BP117" s="694"/>
      <c r="BQ117" s="694"/>
      <c r="BR117" s="694"/>
      <c r="BS117" s="694"/>
      <c r="BT117" s="694"/>
      <c r="BU117" s="694"/>
      <c r="BV117" s="694" t="s">
        <v>68</v>
      </c>
      <c r="BW117" s="13"/>
      <c r="BX117" s="13"/>
      <c r="BY117" s="13"/>
      <c r="BZ117" s="13"/>
      <c r="CA117" s="13"/>
      <c r="CB117" s="1220" t="s">
        <v>1427</v>
      </c>
      <c r="CC117" s="38" t="s">
        <v>76</v>
      </c>
      <c r="CD117" s="513"/>
      <c r="CE117" s="513"/>
      <c r="CF117" s="513"/>
      <c r="CG117" s="513"/>
      <c r="CH117" s="513"/>
      <c r="CI117" s="513"/>
      <c r="CJ117" s="513"/>
      <c r="CK117" s="12"/>
    </row>
    <row r="118" spans="2:89" customFormat="1" ht="80.099999999999994" hidden="1" customHeight="1">
      <c r="B118" s="22"/>
      <c r="C118" s="22"/>
      <c r="D118" s="22"/>
      <c r="E118" s="22"/>
      <c r="F118" s="22"/>
      <c r="G118" s="915">
        <v>42005</v>
      </c>
      <c r="H118" s="915"/>
      <c r="I118" s="448">
        <v>43063</v>
      </c>
      <c r="J118" s="16">
        <v>2015</v>
      </c>
      <c r="K118" s="1415"/>
      <c r="L118" s="1415"/>
      <c r="M118" s="17" t="s">
        <v>77</v>
      </c>
      <c r="N118" s="19" t="s">
        <v>419</v>
      </c>
      <c r="O118" s="2" t="s">
        <v>4032</v>
      </c>
      <c r="P118" s="3" t="s">
        <v>420</v>
      </c>
      <c r="Q118" s="3"/>
      <c r="R118" s="4">
        <v>152209.54999999999</v>
      </c>
      <c r="S118" s="6">
        <v>42225</v>
      </c>
      <c r="T118" s="5">
        <v>42225</v>
      </c>
      <c r="U118" s="11">
        <v>42247</v>
      </c>
      <c r="V118" s="13" t="s">
        <v>68</v>
      </c>
      <c r="W118" s="19" t="s">
        <v>68</v>
      </c>
      <c r="X118" s="18" t="s">
        <v>391</v>
      </c>
      <c r="Y118" s="537" t="s">
        <v>74</v>
      </c>
      <c r="Z118" s="691"/>
      <c r="AA118" s="19" t="s">
        <v>388</v>
      </c>
      <c r="AB118" s="8">
        <v>42185</v>
      </c>
      <c r="AC118" s="4">
        <v>120973.17</v>
      </c>
      <c r="AD118" s="4"/>
      <c r="AE118" s="32"/>
      <c r="AF118" s="34" t="s">
        <v>68</v>
      </c>
      <c r="AG118" s="112" t="s">
        <v>68</v>
      </c>
      <c r="AH118" s="112" t="s">
        <v>68</v>
      </c>
      <c r="AI118" s="7" t="s">
        <v>68</v>
      </c>
      <c r="AJ118" s="215" t="s">
        <v>68</v>
      </c>
      <c r="AK118" s="33" t="s">
        <v>68</v>
      </c>
      <c r="AL118" s="1" t="s">
        <v>68</v>
      </c>
      <c r="AM118" s="1"/>
      <c r="AN118" s="1" t="s">
        <v>68</v>
      </c>
      <c r="AO118" s="1"/>
      <c r="AP118" s="1" t="s">
        <v>68</v>
      </c>
      <c r="AQ118" s="1"/>
      <c r="AR118" s="279"/>
      <c r="AS118" s="220">
        <v>0</v>
      </c>
      <c r="AT118" s="894">
        <f t="shared" si="2"/>
        <v>115900.93</v>
      </c>
      <c r="AU118" s="883">
        <v>113748.67</v>
      </c>
      <c r="AV118" s="30">
        <v>42226</v>
      </c>
      <c r="AW118" s="11">
        <v>42231</v>
      </c>
      <c r="AX118" s="223" t="s">
        <v>68</v>
      </c>
      <c r="AY118" s="53">
        <v>42230</v>
      </c>
      <c r="AZ118" s="19"/>
      <c r="BA118" s="1"/>
      <c r="BB118" s="1"/>
      <c r="BC118" s="17"/>
      <c r="BD118" s="30"/>
      <c r="BE118" s="309"/>
      <c r="BF118" s="5"/>
      <c r="BG118" s="5"/>
      <c r="BH118" s="5"/>
      <c r="BI118" s="279">
        <v>115900.93</v>
      </c>
      <c r="BJ118" s="13"/>
      <c r="BK118" s="352"/>
      <c r="BL118" s="694" t="s">
        <v>68</v>
      </c>
      <c r="BM118" s="695" t="s">
        <v>68</v>
      </c>
      <c r="BN118" s="695" t="s">
        <v>68</v>
      </c>
      <c r="BO118" s="694"/>
      <c r="BP118" s="694"/>
      <c r="BQ118" s="694"/>
      <c r="BR118" s="694"/>
      <c r="BS118" s="694"/>
      <c r="BT118" s="694"/>
      <c r="BU118" s="694"/>
      <c r="BV118" s="694" t="s">
        <v>68</v>
      </c>
      <c r="BW118" s="13"/>
      <c r="BX118" s="13"/>
      <c r="BY118" s="13"/>
      <c r="BZ118" s="13"/>
      <c r="CA118" s="13"/>
      <c r="CB118" s="1220" t="s">
        <v>1427</v>
      </c>
      <c r="CC118" s="38" t="s">
        <v>76</v>
      </c>
      <c r="CD118" s="513"/>
      <c r="CE118" s="513"/>
      <c r="CF118" s="513"/>
      <c r="CG118" s="513"/>
      <c r="CH118" s="513"/>
      <c r="CI118" s="513"/>
      <c r="CJ118" s="513"/>
      <c r="CK118" s="12"/>
    </row>
    <row r="119" spans="2:89" customFormat="1" ht="80.099999999999994" hidden="1" customHeight="1">
      <c r="B119" s="22"/>
      <c r="C119" s="22"/>
      <c r="D119" s="22"/>
      <c r="E119" s="22"/>
      <c r="F119" s="22"/>
      <c r="G119" s="915">
        <v>42005</v>
      </c>
      <c r="H119" s="915"/>
      <c r="I119" s="448">
        <v>42979</v>
      </c>
      <c r="J119" s="16">
        <v>2015</v>
      </c>
      <c r="K119" s="1415"/>
      <c r="L119" s="1415"/>
      <c r="M119" s="17" t="s">
        <v>77</v>
      </c>
      <c r="N119" s="19" t="s">
        <v>421</v>
      </c>
      <c r="O119" s="2" t="s">
        <v>79</v>
      </c>
      <c r="P119" s="3" t="s">
        <v>422</v>
      </c>
      <c r="Q119" s="3"/>
      <c r="R119" s="4">
        <v>1093156.1599999999</v>
      </c>
      <c r="S119" s="6">
        <v>42208</v>
      </c>
      <c r="T119" s="5">
        <v>42212</v>
      </c>
      <c r="U119" s="11">
        <v>42263</v>
      </c>
      <c r="V119" s="62">
        <v>42208</v>
      </c>
      <c r="W119" s="178" t="s">
        <v>423</v>
      </c>
      <c r="X119" s="18" t="s">
        <v>114</v>
      </c>
      <c r="Y119" s="62">
        <v>42230</v>
      </c>
      <c r="Z119" s="105"/>
      <c r="AA119" s="19" t="s">
        <v>424</v>
      </c>
      <c r="AB119" s="8">
        <v>41935</v>
      </c>
      <c r="AC119" s="4"/>
      <c r="AD119" s="4"/>
      <c r="AE119" s="32"/>
      <c r="AF119" s="34" t="s">
        <v>68</v>
      </c>
      <c r="AG119" s="112" t="s">
        <v>68</v>
      </c>
      <c r="AH119" s="112" t="s">
        <v>68</v>
      </c>
      <c r="AI119" s="7" t="s">
        <v>68</v>
      </c>
      <c r="AJ119" s="215" t="s">
        <v>68</v>
      </c>
      <c r="AK119" s="33" t="s">
        <v>186</v>
      </c>
      <c r="AL119" s="1" t="s">
        <v>68</v>
      </c>
      <c r="AM119" s="1"/>
      <c r="AN119" s="1" t="s">
        <v>425</v>
      </c>
      <c r="AO119" s="5">
        <v>42208</v>
      </c>
      <c r="AP119" s="1"/>
      <c r="AQ119" s="1"/>
      <c r="AR119" s="279">
        <f>109315.62*2</f>
        <v>218631.24</v>
      </c>
      <c r="AS119" s="220">
        <v>0</v>
      </c>
      <c r="AT119" s="894">
        <f t="shared" si="2"/>
        <v>862676.78</v>
      </c>
      <c r="AU119" s="883"/>
      <c r="AV119" s="30"/>
      <c r="AW119" s="11"/>
      <c r="AX119" s="30" t="s">
        <v>68</v>
      </c>
      <c r="AY119" s="53" t="s">
        <v>68</v>
      </c>
      <c r="AZ119" s="57">
        <v>42254</v>
      </c>
      <c r="BA119" s="1" t="s">
        <v>68</v>
      </c>
      <c r="BB119" s="1" t="s">
        <v>68</v>
      </c>
      <c r="BC119" s="17" t="s">
        <v>68</v>
      </c>
      <c r="BD119" s="30"/>
      <c r="BE119" s="309"/>
      <c r="BF119" s="5"/>
      <c r="BG119" s="5"/>
      <c r="BH119" s="5"/>
      <c r="BI119" s="36">
        <v>862676.78</v>
      </c>
      <c r="BJ119" s="13"/>
      <c r="BK119" s="352"/>
      <c r="BL119" s="694" t="s">
        <v>68</v>
      </c>
      <c r="BM119" s="695" t="s">
        <v>68</v>
      </c>
      <c r="BN119" s="695" t="s">
        <v>68</v>
      </c>
      <c r="BO119" s="694"/>
      <c r="BP119" s="694"/>
      <c r="BQ119" s="694"/>
      <c r="BR119" s="694"/>
      <c r="BS119" s="694"/>
      <c r="BT119" s="694"/>
      <c r="BU119" s="694"/>
      <c r="BV119" s="694" t="s">
        <v>68</v>
      </c>
      <c r="BW119" s="13"/>
      <c r="BX119" s="13"/>
      <c r="BY119" s="13"/>
      <c r="BZ119" s="13"/>
      <c r="CA119" s="13"/>
      <c r="CB119" s="1220" t="s">
        <v>1427</v>
      </c>
      <c r="CC119" s="38" t="s">
        <v>76</v>
      </c>
      <c r="CD119" s="513"/>
      <c r="CE119" s="513"/>
      <c r="CF119" s="513"/>
      <c r="CG119" s="513"/>
      <c r="CH119" s="513"/>
      <c r="CI119" s="513"/>
      <c r="CJ119" s="513"/>
      <c r="CK119" s="12"/>
    </row>
    <row r="120" spans="2:89" customFormat="1" ht="80.099999999999994" hidden="1" customHeight="1">
      <c r="B120" s="22"/>
      <c r="C120" s="22"/>
      <c r="D120" s="22"/>
      <c r="E120" s="22"/>
      <c r="F120" s="22"/>
      <c r="G120" s="915">
        <v>42005</v>
      </c>
      <c r="H120" s="915"/>
      <c r="I120" s="448">
        <v>43063</v>
      </c>
      <c r="J120" s="169">
        <v>2015</v>
      </c>
      <c r="K120" s="1417"/>
      <c r="L120" s="1417"/>
      <c r="M120" s="17" t="s">
        <v>77</v>
      </c>
      <c r="N120" s="171" t="s">
        <v>426</v>
      </c>
      <c r="O120" s="2" t="s">
        <v>4032</v>
      </c>
      <c r="P120" s="173" t="s">
        <v>427</v>
      </c>
      <c r="Q120" s="173"/>
      <c r="R120" s="174">
        <v>652283.77</v>
      </c>
      <c r="S120" s="175">
        <v>42212</v>
      </c>
      <c r="T120" s="176">
        <v>42219</v>
      </c>
      <c r="U120" s="177">
        <v>42231</v>
      </c>
      <c r="V120" s="13" t="s">
        <v>68</v>
      </c>
      <c r="W120" s="19" t="s">
        <v>68</v>
      </c>
      <c r="X120" s="156" t="s">
        <v>391</v>
      </c>
      <c r="Y120" s="66" t="s">
        <v>74</v>
      </c>
      <c r="Z120" s="66"/>
      <c r="AA120" s="19" t="s">
        <v>396</v>
      </c>
      <c r="AB120" s="8">
        <v>42244</v>
      </c>
      <c r="AC120" s="4"/>
      <c r="AD120" s="4"/>
      <c r="AE120" s="32"/>
      <c r="AF120" s="34" t="s">
        <v>68</v>
      </c>
      <c r="AG120" s="112" t="s">
        <v>68</v>
      </c>
      <c r="AH120" s="112" t="s">
        <v>68</v>
      </c>
      <c r="AI120" s="7" t="s">
        <v>68</v>
      </c>
      <c r="AJ120" s="215" t="s">
        <v>68</v>
      </c>
      <c r="AK120" s="33" t="s">
        <v>68</v>
      </c>
      <c r="AL120" s="1" t="s">
        <v>68</v>
      </c>
      <c r="AM120" s="1"/>
      <c r="AN120" s="1" t="s">
        <v>68</v>
      </c>
      <c r="AO120" s="1"/>
      <c r="AP120" s="1" t="s">
        <v>68</v>
      </c>
      <c r="AQ120" s="1"/>
      <c r="AR120" s="279"/>
      <c r="AS120" s="220">
        <v>0</v>
      </c>
      <c r="AT120" s="894">
        <f t="shared" si="2"/>
        <v>652262.11</v>
      </c>
      <c r="AU120" s="883">
        <v>652140.78</v>
      </c>
      <c r="AV120" s="30"/>
      <c r="AW120" s="11"/>
      <c r="AX120" s="223" t="s">
        <v>68</v>
      </c>
      <c r="AY120" s="11"/>
      <c r="AZ120" s="19"/>
      <c r="BA120" s="1"/>
      <c r="BB120" s="1"/>
      <c r="BC120" s="17"/>
      <c r="BD120" s="30"/>
      <c r="BE120" s="309"/>
      <c r="BF120" s="5"/>
      <c r="BG120" s="5"/>
      <c r="BH120" s="5"/>
      <c r="BI120" s="279">
        <v>652262.11</v>
      </c>
      <c r="BJ120" s="13"/>
      <c r="BK120" s="352"/>
      <c r="BL120" s="694" t="s">
        <v>68</v>
      </c>
      <c r="BM120" s="695" t="s">
        <v>68</v>
      </c>
      <c r="BN120" s="695" t="s">
        <v>68</v>
      </c>
      <c r="BO120" s="694"/>
      <c r="BP120" s="694"/>
      <c r="BQ120" s="694"/>
      <c r="BR120" s="694"/>
      <c r="BS120" s="694"/>
      <c r="BT120" s="694"/>
      <c r="BU120" s="694"/>
      <c r="BV120" s="694" t="s">
        <v>68</v>
      </c>
      <c r="BW120" s="13"/>
      <c r="BX120" s="13"/>
      <c r="BY120" s="13"/>
      <c r="BZ120" s="13"/>
      <c r="CA120" s="13"/>
      <c r="CB120" s="1220" t="s">
        <v>1427</v>
      </c>
      <c r="CC120" s="38" t="s">
        <v>76</v>
      </c>
      <c r="CD120" s="513"/>
      <c r="CE120" s="513"/>
      <c r="CF120" s="513"/>
      <c r="CG120" s="513"/>
      <c r="CH120" s="513"/>
      <c r="CI120" s="513"/>
      <c r="CJ120" s="513"/>
      <c r="CK120" s="12"/>
    </row>
    <row r="121" spans="2:89" customFormat="1" ht="80.099999999999994" hidden="1" customHeight="1">
      <c r="B121" s="22"/>
      <c r="C121" s="22"/>
      <c r="D121" s="22"/>
      <c r="E121" s="22"/>
      <c r="F121" s="22"/>
      <c r="G121" s="915">
        <v>42005</v>
      </c>
      <c r="H121" s="915"/>
      <c r="I121" s="448">
        <v>43063</v>
      </c>
      <c r="J121" s="169">
        <v>2015</v>
      </c>
      <c r="K121" s="1417"/>
      <c r="L121" s="1417"/>
      <c r="M121" s="17" t="s">
        <v>77</v>
      </c>
      <c r="N121" s="19" t="s">
        <v>428</v>
      </c>
      <c r="O121" s="2" t="s">
        <v>4032</v>
      </c>
      <c r="P121" s="3" t="s">
        <v>429</v>
      </c>
      <c r="Q121" s="3"/>
      <c r="R121" s="4">
        <v>363720.15</v>
      </c>
      <c r="S121" s="6">
        <v>42186</v>
      </c>
      <c r="T121" s="5">
        <v>42186</v>
      </c>
      <c r="U121" s="11">
        <v>42195</v>
      </c>
      <c r="V121" s="13" t="s">
        <v>68</v>
      </c>
      <c r="W121" s="19" t="s">
        <v>68</v>
      </c>
      <c r="X121" s="156" t="s">
        <v>391</v>
      </c>
      <c r="Y121" s="262">
        <v>42186</v>
      </c>
      <c r="Z121" s="1365"/>
      <c r="AA121" s="19" t="s">
        <v>388</v>
      </c>
      <c r="AB121" s="8">
        <v>42185</v>
      </c>
      <c r="AC121" s="258">
        <v>387852.54</v>
      </c>
      <c r="AD121" s="258"/>
      <c r="AE121" s="263"/>
      <c r="AF121" s="34" t="s">
        <v>68</v>
      </c>
      <c r="AG121" s="112" t="s">
        <v>68</v>
      </c>
      <c r="AH121" s="112" t="s">
        <v>68</v>
      </c>
      <c r="AI121" s="7" t="s">
        <v>68</v>
      </c>
      <c r="AJ121" s="215" t="s">
        <v>68</v>
      </c>
      <c r="AK121" s="33" t="s">
        <v>68</v>
      </c>
      <c r="AL121" s="1"/>
      <c r="AM121" s="1"/>
      <c r="AN121" s="1"/>
      <c r="AO121" s="1"/>
      <c r="AP121" s="1"/>
      <c r="AQ121" s="1"/>
      <c r="AR121" s="279"/>
      <c r="AS121" s="220">
        <v>0</v>
      </c>
      <c r="AT121" s="894">
        <f t="shared" si="2"/>
        <v>362678.32</v>
      </c>
      <c r="AU121" s="883">
        <v>362715.14</v>
      </c>
      <c r="AV121" s="30">
        <v>42186</v>
      </c>
      <c r="AW121" s="11">
        <v>42195</v>
      </c>
      <c r="AX121" s="30" t="s">
        <v>68</v>
      </c>
      <c r="AY121" s="11" t="s">
        <v>428</v>
      </c>
      <c r="AZ121" s="19"/>
      <c r="BA121" s="1"/>
      <c r="BB121" s="1"/>
      <c r="BC121" s="17"/>
      <c r="BD121" s="30"/>
      <c r="BE121" s="309"/>
      <c r="BF121" s="5"/>
      <c r="BG121" s="5"/>
      <c r="BH121" s="5"/>
      <c r="BI121" s="279">
        <v>362678.32</v>
      </c>
      <c r="BJ121" s="13"/>
      <c r="BK121" s="352"/>
      <c r="BL121" s="694" t="s">
        <v>68</v>
      </c>
      <c r="BM121" s="695" t="s">
        <v>68</v>
      </c>
      <c r="BN121" s="695" t="s">
        <v>68</v>
      </c>
      <c r="BO121" s="694"/>
      <c r="BP121" s="694"/>
      <c r="BQ121" s="694"/>
      <c r="BR121" s="694"/>
      <c r="BS121" s="694"/>
      <c r="BT121" s="694"/>
      <c r="BU121" s="694"/>
      <c r="BV121" s="694" t="s">
        <v>68</v>
      </c>
      <c r="BW121" s="13"/>
      <c r="BX121" s="13"/>
      <c r="BY121" s="13"/>
      <c r="BZ121" s="13"/>
      <c r="CA121" s="13"/>
      <c r="CB121" s="1220" t="s">
        <v>1427</v>
      </c>
      <c r="CC121" s="38" t="s">
        <v>76</v>
      </c>
      <c r="CD121" s="513"/>
      <c r="CE121" s="513"/>
      <c r="CF121" s="513"/>
      <c r="CG121" s="513"/>
      <c r="CH121" s="513"/>
      <c r="CI121" s="513"/>
      <c r="CJ121" s="513"/>
      <c r="CK121" s="12"/>
    </row>
    <row r="122" spans="2:89" customFormat="1" ht="80.099999999999994" hidden="1" customHeight="1">
      <c r="B122" s="22"/>
      <c r="C122" s="22"/>
      <c r="D122" s="22"/>
      <c r="E122" s="22"/>
      <c r="F122" s="22"/>
      <c r="G122" s="915">
        <v>42005</v>
      </c>
      <c r="H122" s="915"/>
      <c r="I122" s="448">
        <v>43063</v>
      </c>
      <c r="J122" s="169">
        <v>2015</v>
      </c>
      <c r="K122" s="1417"/>
      <c r="L122" s="1417"/>
      <c r="M122" s="17" t="s">
        <v>77</v>
      </c>
      <c r="N122" s="188" t="s">
        <v>430</v>
      </c>
      <c r="O122" s="2" t="s">
        <v>4032</v>
      </c>
      <c r="P122" s="257" t="s">
        <v>431</v>
      </c>
      <c r="Q122" s="257"/>
      <c r="R122" s="258">
        <v>410196.06</v>
      </c>
      <c r="S122" s="259">
        <v>42219</v>
      </c>
      <c r="T122" s="260">
        <v>42219</v>
      </c>
      <c r="U122" s="261">
        <v>42231</v>
      </c>
      <c r="V122" s="13" t="s">
        <v>68</v>
      </c>
      <c r="W122" s="19" t="s">
        <v>68</v>
      </c>
      <c r="X122" s="156" t="s">
        <v>391</v>
      </c>
      <c r="Y122" s="62">
        <v>42186</v>
      </c>
      <c r="Z122" s="105"/>
      <c r="AA122" s="19" t="s">
        <v>432</v>
      </c>
      <c r="AB122" s="8">
        <v>42244</v>
      </c>
      <c r="AC122" s="4">
        <v>410196.06</v>
      </c>
      <c r="AD122" s="4"/>
      <c r="AE122" s="32"/>
      <c r="AF122" s="34" t="s">
        <v>68</v>
      </c>
      <c r="AG122" s="112" t="s">
        <v>68</v>
      </c>
      <c r="AH122" s="112" t="s">
        <v>68</v>
      </c>
      <c r="AI122" s="7" t="s">
        <v>68</v>
      </c>
      <c r="AJ122" s="215" t="s">
        <v>68</v>
      </c>
      <c r="AK122" s="33" t="s">
        <v>68</v>
      </c>
      <c r="AL122" s="1"/>
      <c r="AM122" s="1"/>
      <c r="AN122" s="1"/>
      <c r="AO122" s="1"/>
      <c r="AP122" s="1"/>
      <c r="AQ122" s="1"/>
      <c r="AR122" s="279"/>
      <c r="AS122" s="220">
        <v>0</v>
      </c>
      <c r="AT122" s="894">
        <f t="shared" si="2"/>
        <v>383228.64</v>
      </c>
      <c r="AU122" s="883">
        <v>339964.82</v>
      </c>
      <c r="AV122" s="30">
        <v>42219</v>
      </c>
      <c r="AW122" s="11">
        <v>42231</v>
      </c>
      <c r="AX122" s="30" t="s">
        <v>68</v>
      </c>
      <c r="AY122" s="11" t="s">
        <v>430</v>
      </c>
      <c r="AZ122" s="19"/>
      <c r="BA122" s="1"/>
      <c r="BB122" s="1"/>
      <c r="BC122" s="17"/>
      <c r="BD122" s="30"/>
      <c r="BE122" s="309"/>
      <c r="BF122" s="5"/>
      <c r="BG122" s="5"/>
      <c r="BH122" s="5"/>
      <c r="BI122" s="279">
        <v>383228.64</v>
      </c>
      <c r="BJ122" s="13"/>
      <c r="BK122" s="352"/>
      <c r="BL122" s="694" t="s">
        <v>68</v>
      </c>
      <c r="BM122" s="695" t="s">
        <v>68</v>
      </c>
      <c r="BN122" s="695" t="s">
        <v>68</v>
      </c>
      <c r="BO122" s="694"/>
      <c r="BP122" s="694"/>
      <c r="BQ122" s="694"/>
      <c r="BR122" s="694"/>
      <c r="BS122" s="694"/>
      <c r="BT122" s="694"/>
      <c r="BU122" s="694"/>
      <c r="BV122" s="694" t="s">
        <v>68</v>
      </c>
      <c r="BW122" s="13"/>
      <c r="BX122" s="13"/>
      <c r="BY122" s="13"/>
      <c r="BZ122" s="13"/>
      <c r="CA122" s="13"/>
      <c r="CB122" s="1220" t="s">
        <v>1427</v>
      </c>
      <c r="CC122" s="38" t="s">
        <v>76</v>
      </c>
      <c r="CD122" s="513"/>
      <c r="CE122" s="513"/>
      <c r="CF122" s="513"/>
      <c r="CG122" s="513"/>
      <c r="CH122" s="513"/>
      <c r="CI122" s="513"/>
      <c r="CJ122" s="513"/>
      <c r="CK122" s="12"/>
    </row>
    <row r="123" spans="2:89" customFormat="1" ht="80.099999999999994" hidden="1" customHeight="1">
      <c r="B123" s="22"/>
      <c r="C123" s="22"/>
      <c r="D123" s="22"/>
      <c r="E123" s="22"/>
      <c r="F123" s="22"/>
      <c r="G123" s="915">
        <v>42005</v>
      </c>
      <c r="H123" s="915"/>
      <c r="I123" s="448">
        <v>43063</v>
      </c>
      <c r="J123" s="169">
        <v>2015</v>
      </c>
      <c r="K123" s="1417"/>
      <c r="L123" s="1417"/>
      <c r="M123" s="17" t="s">
        <v>77</v>
      </c>
      <c r="N123" s="19" t="s">
        <v>433</v>
      </c>
      <c r="O123" s="2" t="s">
        <v>4032</v>
      </c>
      <c r="P123" s="173" t="s">
        <v>434</v>
      </c>
      <c r="Q123" s="173"/>
      <c r="R123" s="174">
        <v>471720.45</v>
      </c>
      <c r="S123" s="175">
        <v>42230</v>
      </c>
      <c r="T123" s="176">
        <v>42232</v>
      </c>
      <c r="U123" s="177">
        <v>42247</v>
      </c>
      <c r="V123" s="13" t="s">
        <v>68</v>
      </c>
      <c r="W123" s="19" t="s">
        <v>68</v>
      </c>
      <c r="X123" s="156" t="s">
        <v>391</v>
      </c>
      <c r="Y123" s="262">
        <v>42186</v>
      </c>
      <c r="Z123" s="1365"/>
      <c r="AA123" s="19" t="s">
        <v>432</v>
      </c>
      <c r="AB123" s="8">
        <v>42244</v>
      </c>
      <c r="AC123" s="258">
        <v>471720.42</v>
      </c>
      <c r="AD123" s="258"/>
      <c r="AE123" s="263"/>
      <c r="AF123" s="34" t="s">
        <v>68</v>
      </c>
      <c r="AG123" s="112" t="s">
        <v>68</v>
      </c>
      <c r="AH123" s="112" t="s">
        <v>68</v>
      </c>
      <c r="AI123" s="7" t="s">
        <v>68</v>
      </c>
      <c r="AJ123" s="215" t="s">
        <v>68</v>
      </c>
      <c r="AK123" s="33" t="s">
        <v>68</v>
      </c>
      <c r="AL123" s="1"/>
      <c r="AM123" s="1"/>
      <c r="AN123" s="1"/>
      <c r="AO123" s="1"/>
      <c r="AP123" s="1"/>
      <c r="AQ123" s="1"/>
      <c r="AR123" s="279"/>
      <c r="AS123" s="220">
        <v>0</v>
      </c>
      <c r="AT123" s="894">
        <f t="shared" si="2"/>
        <v>158385.24</v>
      </c>
      <c r="AU123" s="883">
        <v>471670.56</v>
      </c>
      <c r="AV123" s="30">
        <v>42233</v>
      </c>
      <c r="AW123" s="11">
        <v>42245</v>
      </c>
      <c r="AX123" s="30" t="s">
        <v>68</v>
      </c>
      <c r="AY123" s="11" t="s">
        <v>433</v>
      </c>
      <c r="AZ123" s="19"/>
      <c r="BA123" s="1"/>
      <c r="BB123" s="1"/>
      <c r="BC123" s="17"/>
      <c r="BD123" s="30"/>
      <c r="BE123" s="309"/>
      <c r="BF123" s="5"/>
      <c r="BG123" s="5"/>
      <c r="BH123" s="5"/>
      <c r="BI123" s="279">
        <v>158385.24</v>
      </c>
      <c r="BJ123" s="13"/>
      <c r="BK123" s="352"/>
      <c r="BL123" s="694" t="s">
        <v>68</v>
      </c>
      <c r="BM123" s="695" t="s">
        <v>68</v>
      </c>
      <c r="BN123" s="695" t="s">
        <v>68</v>
      </c>
      <c r="BO123" s="694"/>
      <c r="BP123" s="694"/>
      <c r="BQ123" s="694"/>
      <c r="BR123" s="694"/>
      <c r="BS123" s="694"/>
      <c r="BT123" s="694"/>
      <c r="BU123" s="694"/>
      <c r="BV123" s="694" t="s">
        <v>68</v>
      </c>
      <c r="BW123" s="13"/>
      <c r="BX123" s="13"/>
      <c r="BY123" s="13"/>
      <c r="BZ123" s="13"/>
      <c r="CA123" s="13"/>
      <c r="CB123" s="1220" t="s">
        <v>1427</v>
      </c>
      <c r="CC123" s="38" t="s">
        <v>76</v>
      </c>
      <c r="CD123" s="513"/>
      <c r="CE123" s="513"/>
      <c r="CF123" s="513"/>
      <c r="CG123" s="513"/>
      <c r="CH123" s="513"/>
      <c r="CI123" s="513"/>
      <c r="CJ123" s="513"/>
      <c r="CK123" s="12"/>
    </row>
    <row r="124" spans="2:89" customFormat="1" ht="80.099999999999994" hidden="1" customHeight="1">
      <c r="B124" s="22"/>
      <c r="C124" s="22"/>
      <c r="D124" s="22"/>
      <c r="E124" s="22"/>
      <c r="F124" s="22"/>
      <c r="G124" s="915">
        <v>42005</v>
      </c>
      <c r="H124" s="915"/>
      <c r="I124" s="448">
        <v>43063</v>
      </c>
      <c r="J124" s="169">
        <v>2015</v>
      </c>
      <c r="K124" s="1417"/>
      <c r="L124" s="1417"/>
      <c r="M124" s="17" t="s">
        <v>77</v>
      </c>
      <c r="N124" s="19" t="s">
        <v>435</v>
      </c>
      <c r="O124" s="2" t="s">
        <v>4032</v>
      </c>
      <c r="P124" s="173" t="s">
        <v>436</v>
      </c>
      <c r="Q124" s="173"/>
      <c r="R124" s="174">
        <v>247047.85</v>
      </c>
      <c r="S124" s="175">
        <v>42230</v>
      </c>
      <c r="T124" s="176">
        <v>42233</v>
      </c>
      <c r="U124" s="177">
        <v>42245</v>
      </c>
      <c r="V124" s="13" t="s">
        <v>68</v>
      </c>
      <c r="W124" s="19" t="s">
        <v>68</v>
      </c>
      <c r="X124" s="156" t="s">
        <v>391</v>
      </c>
      <c r="Y124" s="62">
        <v>42186</v>
      </c>
      <c r="Z124" s="105"/>
      <c r="AA124" s="19" t="s">
        <v>432</v>
      </c>
      <c r="AB124" s="8">
        <v>42244</v>
      </c>
      <c r="AC124" s="4">
        <v>256499.56</v>
      </c>
      <c r="AD124" s="4"/>
      <c r="AE124" s="32"/>
      <c r="AF124" s="34" t="s">
        <v>68</v>
      </c>
      <c r="AG124" s="112" t="s">
        <v>68</v>
      </c>
      <c r="AH124" s="112" t="s">
        <v>68</v>
      </c>
      <c r="AI124" s="7" t="s">
        <v>68</v>
      </c>
      <c r="AJ124" s="215" t="s">
        <v>68</v>
      </c>
      <c r="AK124" s="33" t="s">
        <v>68</v>
      </c>
      <c r="AL124" s="1"/>
      <c r="AM124" s="1"/>
      <c r="AN124" s="1"/>
      <c r="AO124" s="1"/>
      <c r="AP124" s="1"/>
      <c r="AQ124" s="1"/>
      <c r="AR124" s="279"/>
      <c r="AS124" s="220">
        <v>0</v>
      </c>
      <c r="AT124" s="894">
        <f t="shared" si="2"/>
        <v>256750.89</v>
      </c>
      <c r="AU124" s="883">
        <v>256724.74</v>
      </c>
      <c r="AV124" s="30">
        <v>42233</v>
      </c>
      <c r="AW124" s="11">
        <v>42245</v>
      </c>
      <c r="AX124" s="30" t="s">
        <v>68</v>
      </c>
      <c r="AY124" s="11" t="s">
        <v>435</v>
      </c>
      <c r="AZ124" s="19"/>
      <c r="BA124" s="1"/>
      <c r="BB124" s="1"/>
      <c r="BC124" s="17"/>
      <c r="BD124" s="30"/>
      <c r="BE124" s="309"/>
      <c r="BF124" s="5"/>
      <c r="BG124" s="5"/>
      <c r="BH124" s="5"/>
      <c r="BI124" s="279">
        <v>256750.89</v>
      </c>
      <c r="BJ124" s="13"/>
      <c r="BK124" s="352"/>
      <c r="BL124" s="694" t="s">
        <v>68</v>
      </c>
      <c r="BM124" s="695" t="s">
        <v>68</v>
      </c>
      <c r="BN124" s="695" t="s">
        <v>68</v>
      </c>
      <c r="BO124" s="694"/>
      <c r="BP124" s="694"/>
      <c r="BQ124" s="694"/>
      <c r="BR124" s="694"/>
      <c r="BS124" s="694"/>
      <c r="BT124" s="694"/>
      <c r="BU124" s="694"/>
      <c r="BV124" s="694" t="s">
        <v>68</v>
      </c>
      <c r="BW124" s="13"/>
      <c r="BX124" s="13"/>
      <c r="BY124" s="13"/>
      <c r="BZ124" s="13"/>
      <c r="CA124" s="13"/>
      <c r="CB124" s="1220" t="s">
        <v>1427</v>
      </c>
      <c r="CC124" s="38" t="s">
        <v>76</v>
      </c>
      <c r="CD124" s="513"/>
      <c r="CE124" s="513"/>
      <c r="CF124" s="513"/>
      <c r="CG124" s="513"/>
      <c r="CH124" s="513"/>
      <c r="CI124" s="513"/>
      <c r="CJ124" s="513"/>
      <c r="CK124" s="12"/>
    </row>
    <row r="125" spans="2:89" customFormat="1" ht="80.099999999999994" hidden="1" customHeight="1">
      <c r="B125" s="22"/>
      <c r="C125" s="22"/>
      <c r="D125" s="22"/>
      <c r="E125" s="22"/>
      <c r="F125" s="22"/>
      <c r="G125" s="915">
        <v>42005</v>
      </c>
      <c r="H125" s="915"/>
      <c r="I125" s="448">
        <v>43063</v>
      </c>
      <c r="J125" s="169">
        <v>2015</v>
      </c>
      <c r="K125" s="1417"/>
      <c r="L125" s="1417"/>
      <c r="M125" s="17" t="s">
        <v>77</v>
      </c>
      <c r="N125" s="19" t="s">
        <v>437</v>
      </c>
      <c r="O125" s="2" t="s">
        <v>4032</v>
      </c>
      <c r="P125" s="173" t="s">
        <v>438</v>
      </c>
      <c r="Q125" s="173"/>
      <c r="R125" s="174">
        <v>650294</v>
      </c>
      <c r="S125" s="175">
        <v>42228</v>
      </c>
      <c r="T125" s="176">
        <v>42231</v>
      </c>
      <c r="U125" s="177">
        <v>42247</v>
      </c>
      <c r="V125" s="13" t="s">
        <v>68</v>
      </c>
      <c r="W125" s="19" t="s">
        <v>68</v>
      </c>
      <c r="X125" s="156" t="s">
        <v>391</v>
      </c>
      <c r="Y125" s="262">
        <v>42223</v>
      </c>
      <c r="Z125" s="1365"/>
      <c r="AA125" s="19"/>
      <c r="AB125" s="8"/>
      <c r="AC125" s="258"/>
      <c r="AD125" s="258"/>
      <c r="AE125" s="263"/>
      <c r="AF125" s="34" t="s">
        <v>68</v>
      </c>
      <c r="AG125" s="112" t="s">
        <v>68</v>
      </c>
      <c r="AH125" s="112" t="s">
        <v>68</v>
      </c>
      <c r="AI125" s="7" t="s">
        <v>68</v>
      </c>
      <c r="AJ125" s="215" t="s">
        <v>68</v>
      </c>
      <c r="AK125" s="33" t="s">
        <v>68</v>
      </c>
      <c r="AL125" s="1"/>
      <c r="AM125" s="1"/>
      <c r="AN125" s="1"/>
      <c r="AO125" s="1"/>
      <c r="AP125" s="1"/>
      <c r="AQ125" s="1"/>
      <c r="AR125" s="279"/>
      <c r="AS125" s="220">
        <v>0</v>
      </c>
      <c r="AT125" s="894">
        <f t="shared" si="2"/>
        <v>362580.86</v>
      </c>
      <c r="AU125" s="883">
        <v>650217.87</v>
      </c>
      <c r="AV125" s="30">
        <v>42233</v>
      </c>
      <c r="AW125" s="11">
        <v>42245</v>
      </c>
      <c r="AX125" s="30" t="s">
        <v>68</v>
      </c>
      <c r="AY125" s="11" t="s">
        <v>437</v>
      </c>
      <c r="AZ125" s="19"/>
      <c r="BA125" s="1"/>
      <c r="BB125" s="1"/>
      <c r="BC125" s="17"/>
      <c r="BD125" s="30"/>
      <c r="BE125" s="309"/>
      <c r="BF125" s="5"/>
      <c r="BG125" s="5"/>
      <c r="BH125" s="5"/>
      <c r="BI125" s="279">
        <v>362580.86</v>
      </c>
      <c r="BJ125" s="13"/>
      <c r="BK125" s="352"/>
      <c r="BL125" s="694" t="s">
        <v>68</v>
      </c>
      <c r="BM125" s="695" t="s">
        <v>68</v>
      </c>
      <c r="BN125" s="695" t="s">
        <v>68</v>
      </c>
      <c r="BO125" s="694"/>
      <c r="BP125" s="694"/>
      <c r="BQ125" s="694"/>
      <c r="BR125" s="694"/>
      <c r="BS125" s="694"/>
      <c r="BT125" s="694"/>
      <c r="BU125" s="694"/>
      <c r="BV125" s="694" t="s">
        <v>68</v>
      </c>
      <c r="BW125" s="13"/>
      <c r="BX125" s="13"/>
      <c r="BY125" s="13"/>
      <c r="BZ125" s="13"/>
      <c r="CA125" s="13"/>
      <c r="CB125" s="1220" t="s">
        <v>1427</v>
      </c>
      <c r="CC125" s="38" t="s">
        <v>76</v>
      </c>
      <c r="CD125" s="513"/>
      <c r="CE125" s="513"/>
      <c r="CF125" s="513"/>
      <c r="CG125" s="513"/>
      <c r="CH125" s="513"/>
      <c r="CI125" s="513"/>
      <c r="CJ125" s="513"/>
      <c r="CK125" s="12"/>
    </row>
    <row r="126" spans="2:89" customFormat="1" ht="91.5" hidden="1" customHeight="1">
      <c r="B126" s="22"/>
      <c r="C126" s="22"/>
      <c r="D126" s="22"/>
      <c r="E126" s="22"/>
      <c r="F126" s="22"/>
      <c r="G126" s="915">
        <v>42005</v>
      </c>
      <c r="H126" s="915"/>
      <c r="I126" s="448">
        <v>43063</v>
      </c>
      <c r="J126" s="169">
        <v>2015</v>
      </c>
      <c r="K126" s="1417"/>
      <c r="L126" s="1417"/>
      <c r="M126" s="18" t="s">
        <v>166</v>
      </c>
      <c r="N126" s="19" t="s">
        <v>439</v>
      </c>
      <c r="O126" s="2" t="s">
        <v>4032</v>
      </c>
      <c r="P126" s="173" t="s">
        <v>440</v>
      </c>
      <c r="Q126" s="173"/>
      <c r="R126" s="174">
        <v>425150</v>
      </c>
      <c r="S126" s="175">
        <v>42195</v>
      </c>
      <c r="T126" s="176">
        <v>42198</v>
      </c>
      <c r="U126" s="177">
        <v>42223</v>
      </c>
      <c r="V126" s="13" t="s">
        <v>68</v>
      </c>
      <c r="W126" s="19" t="s">
        <v>68</v>
      </c>
      <c r="X126" s="18" t="s">
        <v>114</v>
      </c>
      <c r="Y126" s="200" t="s">
        <v>68</v>
      </c>
      <c r="Z126" s="368"/>
      <c r="AA126" s="19" t="s">
        <v>441</v>
      </c>
      <c r="AB126" s="8">
        <v>41876</v>
      </c>
      <c r="AC126" s="4">
        <v>425152.03</v>
      </c>
      <c r="AD126" s="4" t="s">
        <v>442</v>
      </c>
      <c r="AE126" s="32">
        <v>425150</v>
      </c>
      <c r="AF126" s="34" t="s">
        <v>68</v>
      </c>
      <c r="AG126" s="112" t="s">
        <v>68</v>
      </c>
      <c r="AH126" s="112" t="s">
        <v>68</v>
      </c>
      <c r="AI126" s="7" t="s">
        <v>68</v>
      </c>
      <c r="AJ126" s="215" t="s">
        <v>68</v>
      </c>
      <c r="AK126" s="33" t="s">
        <v>68</v>
      </c>
      <c r="AL126" s="1" t="s">
        <v>68</v>
      </c>
      <c r="AM126" s="1"/>
      <c r="AN126" s="1" t="s">
        <v>68</v>
      </c>
      <c r="AO126" s="1"/>
      <c r="AP126" s="1" t="s">
        <v>68</v>
      </c>
      <c r="AQ126" s="1"/>
      <c r="AR126" s="279"/>
      <c r="AS126" s="220">
        <v>0</v>
      </c>
      <c r="AT126" s="894">
        <f t="shared" si="2"/>
        <v>56113.77</v>
      </c>
      <c r="AU126" s="883"/>
      <c r="AV126" s="116" t="s">
        <v>443</v>
      </c>
      <c r="AW126" s="205" t="s">
        <v>443</v>
      </c>
      <c r="AX126" s="223" t="s">
        <v>68</v>
      </c>
      <c r="AY126" s="11"/>
      <c r="AZ126" s="30">
        <v>42222</v>
      </c>
      <c r="BA126" s="5">
        <v>42229</v>
      </c>
      <c r="BB126" s="5">
        <v>42223</v>
      </c>
      <c r="BC126" s="17"/>
      <c r="BD126" s="30">
        <v>42222</v>
      </c>
      <c r="BE126" s="309"/>
      <c r="BF126" s="5">
        <v>42229</v>
      </c>
      <c r="BG126" s="5">
        <v>42223</v>
      </c>
      <c r="BH126" s="5">
        <v>42223</v>
      </c>
      <c r="BI126" s="36">
        <v>56113.77</v>
      </c>
      <c r="BJ126" s="13" t="s">
        <v>68</v>
      </c>
      <c r="BK126" s="352"/>
      <c r="BL126" s="694" t="s">
        <v>68</v>
      </c>
      <c r="BM126" s="695" t="s">
        <v>68</v>
      </c>
      <c r="BN126" s="695" t="s">
        <v>68</v>
      </c>
      <c r="BO126" s="694"/>
      <c r="BP126" s="694"/>
      <c r="BQ126" s="694"/>
      <c r="BR126" s="694"/>
      <c r="BS126" s="694"/>
      <c r="BT126" s="694"/>
      <c r="BU126" s="694"/>
      <c r="BV126" s="694" t="s">
        <v>68</v>
      </c>
      <c r="BW126" s="13"/>
      <c r="BX126" s="13"/>
      <c r="BY126" s="13"/>
      <c r="BZ126" s="13"/>
      <c r="CA126" s="13"/>
      <c r="CB126" s="1220" t="s">
        <v>1427</v>
      </c>
      <c r="CC126" s="38" t="s">
        <v>76</v>
      </c>
      <c r="CD126" s="513"/>
      <c r="CE126" s="513"/>
      <c r="CF126" s="513"/>
      <c r="CG126" s="513"/>
      <c r="CH126" s="513"/>
      <c r="CI126" s="513"/>
      <c r="CJ126" s="513"/>
      <c r="CK126" s="12"/>
    </row>
    <row r="127" spans="2:89" customFormat="1" ht="80.099999999999994" hidden="1" customHeight="1">
      <c r="B127" s="22"/>
      <c r="C127" s="22"/>
      <c r="D127" s="22"/>
      <c r="E127" s="22"/>
      <c r="F127" s="22"/>
      <c r="G127" s="915">
        <v>42005</v>
      </c>
      <c r="H127" s="915"/>
      <c r="I127" s="448">
        <v>43063</v>
      </c>
      <c r="J127" s="169">
        <v>2015</v>
      </c>
      <c r="K127" s="1417"/>
      <c r="L127" s="1417"/>
      <c r="M127" s="17" t="s">
        <v>77</v>
      </c>
      <c r="N127" s="19" t="s">
        <v>444</v>
      </c>
      <c r="O127" s="2" t="s">
        <v>4032</v>
      </c>
      <c r="P127" s="173" t="s">
        <v>445</v>
      </c>
      <c r="Q127" s="173"/>
      <c r="R127" s="174">
        <v>365900.18</v>
      </c>
      <c r="S127" s="175">
        <v>42254</v>
      </c>
      <c r="T127" s="176">
        <v>42254</v>
      </c>
      <c r="U127" s="177">
        <v>42210</v>
      </c>
      <c r="V127" s="13" t="s">
        <v>68</v>
      </c>
      <c r="W127" s="19" t="s">
        <v>68</v>
      </c>
      <c r="X127" s="264" t="s">
        <v>114</v>
      </c>
      <c r="Y127" s="262">
        <v>42251</v>
      </c>
      <c r="Z127" s="1365"/>
      <c r="AA127" s="265"/>
      <c r="AB127" s="266"/>
      <c r="AC127" s="258"/>
      <c r="AD127" s="258"/>
      <c r="AE127" s="263"/>
      <c r="AF127" s="34" t="s">
        <v>68</v>
      </c>
      <c r="AG127" s="112" t="s">
        <v>68</v>
      </c>
      <c r="AH127" s="112" t="s">
        <v>68</v>
      </c>
      <c r="AI127" s="7" t="s">
        <v>68</v>
      </c>
      <c r="AJ127" s="215" t="s">
        <v>68</v>
      </c>
      <c r="AK127" s="33" t="s">
        <v>68</v>
      </c>
      <c r="AL127" s="1"/>
      <c r="AM127" s="1"/>
      <c r="AN127" s="1"/>
      <c r="AO127" s="1"/>
      <c r="AP127" s="1"/>
      <c r="AQ127" s="1"/>
      <c r="AR127" s="279"/>
      <c r="AS127" s="220">
        <v>0</v>
      </c>
      <c r="AT127" s="894">
        <f t="shared" si="2"/>
        <v>121302.28</v>
      </c>
      <c r="AU127" s="883"/>
      <c r="AV127" s="30"/>
      <c r="AW127" s="11"/>
      <c r="AX127" s="30" t="s">
        <v>68</v>
      </c>
      <c r="AY127" s="11" t="s">
        <v>446</v>
      </c>
      <c r="AZ127" s="19"/>
      <c r="BA127" s="1"/>
      <c r="BB127" s="1"/>
      <c r="BC127" s="17"/>
      <c r="BD127" s="30"/>
      <c r="BE127" s="309"/>
      <c r="BF127" s="5"/>
      <c r="BG127" s="5"/>
      <c r="BH127" s="5"/>
      <c r="BI127" s="279">
        <v>121302.28</v>
      </c>
      <c r="BJ127" s="13"/>
      <c r="BK127" s="352"/>
      <c r="BL127" s="694" t="s">
        <v>68</v>
      </c>
      <c r="BM127" s="695" t="s">
        <v>68</v>
      </c>
      <c r="BN127" s="695" t="s">
        <v>68</v>
      </c>
      <c r="BO127" s="694"/>
      <c r="BP127" s="694"/>
      <c r="BQ127" s="694"/>
      <c r="BR127" s="694"/>
      <c r="BS127" s="694"/>
      <c r="BT127" s="694"/>
      <c r="BU127" s="694"/>
      <c r="BV127" s="694" t="s">
        <v>68</v>
      </c>
      <c r="BW127" s="13"/>
      <c r="BX127" s="13"/>
      <c r="BY127" s="13"/>
      <c r="BZ127" s="13"/>
      <c r="CA127" s="13"/>
      <c r="CB127" s="1220" t="s">
        <v>1427</v>
      </c>
      <c r="CC127" s="38" t="s">
        <v>76</v>
      </c>
      <c r="CD127" s="513"/>
      <c r="CE127" s="513"/>
      <c r="CF127" s="513"/>
      <c r="CG127" s="513"/>
      <c r="CH127" s="513"/>
      <c r="CI127" s="513"/>
      <c r="CJ127" s="513"/>
      <c r="CK127" s="12"/>
    </row>
    <row r="128" spans="2:89" customFormat="1" ht="80.099999999999994" hidden="1" customHeight="1">
      <c r="B128" s="22"/>
      <c r="C128" s="22"/>
      <c r="D128" s="22"/>
      <c r="E128" s="22"/>
      <c r="F128" s="22"/>
      <c r="G128" s="915">
        <v>42005</v>
      </c>
      <c r="H128" s="915"/>
      <c r="I128" s="329">
        <v>43063</v>
      </c>
      <c r="J128" s="169">
        <v>2015</v>
      </c>
      <c r="K128" s="1417"/>
      <c r="L128" s="1417"/>
      <c r="M128" s="17" t="s">
        <v>77</v>
      </c>
      <c r="N128" s="19" t="s">
        <v>446</v>
      </c>
      <c r="O128" s="2" t="s">
        <v>4032</v>
      </c>
      <c r="P128" s="173" t="s">
        <v>447</v>
      </c>
      <c r="Q128" s="173"/>
      <c r="R128" s="174">
        <v>289480.24</v>
      </c>
      <c r="S128" s="175">
        <v>42258</v>
      </c>
      <c r="T128" s="176">
        <v>42258</v>
      </c>
      <c r="U128" s="177">
        <v>42272</v>
      </c>
      <c r="V128" s="13" t="s">
        <v>68</v>
      </c>
      <c r="W128" s="19" t="s">
        <v>68</v>
      </c>
      <c r="X128" s="18" t="s">
        <v>391</v>
      </c>
      <c r="Y128" s="537" t="s">
        <v>74</v>
      </c>
      <c r="Z128" s="691"/>
      <c r="AA128" s="19"/>
      <c r="AB128" s="8"/>
      <c r="AC128" s="4"/>
      <c r="AD128" s="4"/>
      <c r="AE128" s="32"/>
      <c r="AF128" s="34" t="s">
        <v>68</v>
      </c>
      <c r="AG128" s="112" t="s">
        <v>68</v>
      </c>
      <c r="AH128" s="112" t="s">
        <v>68</v>
      </c>
      <c r="AI128" s="7" t="s">
        <v>68</v>
      </c>
      <c r="AJ128" s="215" t="s">
        <v>68</v>
      </c>
      <c r="AK128" s="33" t="s">
        <v>68</v>
      </c>
      <c r="AL128" s="1" t="s">
        <v>68</v>
      </c>
      <c r="AM128" s="1"/>
      <c r="AN128" s="1" t="s">
        <v>68</v>
      </c>
      <c r="AO128" s="1"/>
      <c r="AP128" s="1" t="s">
        <v>68</v>
      </c>
      <c r="AQ128" s="1"/>
      <c r="AR128" s="279"/>
      <c r="AS128" s="220">
        <v>0</v>
      </c>
      <c r="AT128" s="894">
        <f t="shared" si="2"/>
        <v>289195.57</v>
      </c>
      <c r="AU128" s="883"/>
      <c r="AV128" s="30"/>
      <c r="AW128" s="11"/>
      <c r="AX128" s="223" t="s">
        <v>68</v>
      </c>
      <c r="AY128" s="11"/>
      <c r="AZ128" s="19"/>
      <c r="BA128" s="1"/>
      <c r="BB128" s="1"/>
      <c r="BC128" s="17"/>
      <c r="BD128" s="30"/>
      <c r="BE128" s="309"/>
      <c r="BF128" s="5"/>
      <c r="BG128" s="5"/>
      <c r="BH128" s="5"/>
      <c r="BI128" s="279">
        <v>289195.57</v>
      </c>
      <c r="BJ128" s="13"/>
      <c r="BK128" s="352"/>
      <c r="BL128" s="694" t="s">
        <v>68</v>
      </c>
      <c r="BM128" s="695" t="s">
        <v>68</v>
      </c>
      <c r="BN128" s="695" t="s">
        <v>68</v>
      </c>
      <c r="BO128" s="694"/>
      <c r="BP128" s="694"/>
      <c r="BQ128" s="694"/>
      <c r="BR128" s="694"/>
      <c r="BS128" s="694"/>
      <c r="BT128" s="694"/>
      <c r="BU128" s="694"/>
      <c r="BV128" s="694" t="s">
        <v>68</v>
      </c>
      <c r="BW128" s="13"/>
      <c r="BX128" s="13"/>
      <c r="BY128" s="13"/>
      <c r="BZ128" s="13"/>
      <c r="CA128" s="13"/>
      <c r="CB128" s="1220" t="s">
        <v>1427</v>
      </c>
      <c r="CC128" s="38" t="s">
        <v>76</v>
      </c>
      <c r="CD128" s="513"/>
      <c r="CE128" s="513"/>
      <c r="CF128" s="513"/>
      <c r="CG128" s="513"/>
      <c r="CH128" s="513"/>
      <c r="CI128" s="513"/>
      <c r="CJ128" s="513"/>
      <c r="CK128" s="12"/>
    </row>
    <row r="129" spans="2:89" customFormat="1" ht="90.75" hidden="1" customHeight="1">
      <c r="B129" s="22"/>
      <c r="C129" s="22"/>
      <c r="D129" s="22"/>
      <c r="E129" s="22" t="s">
        <v>68</v>
      </c>
      <c r="F129" s="22"/>
      <c r="G129" s="915">
        <v>43327</v>
      </c>
      <c r="H129" s="915"/>
      <c r="I129" s="329">
        <v>43063</v>
      </c>
      <c r="J129" s="16">
        <v>2015</v>
      </c>
      <c r="K129" s="1415"/>
      <c r="L129" s="1415"/>
      <c r="M129" s="18" t="s">
        <v>77</v>
      </c>
      <c r="N129" s="19" t="s">
        <v>411</v>
      </c>
      <c r="O129" s="2" t="s">
        <v>4032</v>
      </c>
      <c r="P129" s="3" t="s">
        <v>448</v>
      </c>
      <c r="Q129" s="3" t="s">
        <v>4409</v>
      </c>
      <c r="R129" s="79">
        <v>1538461.54</v>
      </c>
      <c r="S129" s="67">
        <v>42320</v>
      </c>
      <c r="T129" s="5">
        <v>42321</v>
      </c>
      <c r="U129" s="11">
        <v>42369</v>
      </c>
      <c r="V129" s="13" t="s">
        <v>68</v>
      </c>
      <c r="W129" s="19" t="s">
        <v>68</v>
      </c>
      <c r="X129" s="170" t="s">
        <v>449</v>
      </c>
      <c r="Y129" s="53">
        <v>42306</v>
      </c>
      <c r="Z129" s="52"/>
      <c r="AA129" s="33" t="s">
        <v>450</v>
      </c>
      <c r="AB129" s="8">
        <v>42062</v>
      </c>
      <c r="AC129" s="79">
        <v>2804356.62</v>
      </c>
      <c r="AD129" s="665" t="s">
        <v>451</v>
      </c>
      <c r="AE129" s="651">
        <v>2564102.5699999998</v>
      </c>
      <c r="AF129" s="582" t="s">
        <v>68</v>
      </c>
      <c r="AG129" s="583" t="s">
        <v>68</v>
      </c>
      <c r="AH129" s="583" t="s">
        <v>68</v>
      </c>
      <c r="AI129" s="584" t="s">
        <v>68</v>
      </c>
      <c r="AJ129" s="666" t="s">
        <v>68</v>
      </c>
      <c r="AK129" s="33" t="s">
        <v>68</v>
      </c>
      <c r="AL129" s="1" t="s">
        <v>68</v>
      </c>
      <c r="AM129" s="1"/>
      <c r="AN129" s="1" t="s">
        <v>68</v>
      </c>
      <c r="AO129" s="1"/>
      <c r="AP129" s="1" t="s">
        <v>68</v>
      </c>
      <c r="AQ129" s="1"/>
      <c r="AR129" s="279">
        <v>0</v>
      </c>
      <c r="AS129" s="220">
        <v>0</v>
      </c>
      <c r="AT129" s="894">
        <f t="shared" si="2"/>
        <v>2564102.5699999998</v>
      </c>
      <c r="AU129" s="883"/>
      <c r="AV129" s="65" t="s">
        <v>74</v>
      </c>
      <c r="AW129" s="11" t="s">
        <v>68</v>
      </c>
      <c r="AX129" s="30" t="s">
        <v>68</v>
      </c>
      <c r="AY129" s="56" t="s">
        <v>452</v>
      </c>
      <c r="AZ129" s="667">
        <v>42373</v>
      </c>
      <c r="BA129" s="5">
        <v>42321</v>
      </c>
      <c r="BB129" s="1" t="s">
        <v>68</v>
      </c>
      <c r="BC129" s="11">
        <v>42369</v>
      </c>
      <c r="BD129" s="667">
        <v>42374</v>
      </c>
      <c r="BE129" s="1609"/>
      <c r="BF129" s="5">
        <v>42321</v>
      </c>
      <c r="BG129" s="5">
        <v>42369</v>
      </c>
      <c r="BH129" s="5">
        <v>42369</v>
      </c>
      <c r="BI129" s="36">
        <v>2564102.5699999998</v>
      </c>
      <c r="BJ129" s="13" t="s">
        <v>68</v>
      </c>
      <c r="BK129" s="352"/>
      <c r="BL129" s="694" t="s">
        <v>68</v>
      </c>
      <c r="BM129" s="695" t="s">
        <v>68</v>
      </c>
      <c r="BN129" s="695" t="s">
        <v>68</v>
      </c>
      <c r="BO129" s="694"/>
      <c r="BP129" s="694"/>
      <c r="BQ129" s="694"/>
      <c r="BR129" s="694"/>
      <c r="BS129" s="694"/>
      <c r="BT129" s="694"/>
      <c r="BU129" s="694"/>
      <c r="BV129" s="694" t="s">
        <v>68</v>
      </c>
      <c r="BW129" s="662" t="s">
        <v>453</v>
      </c>
      <c r="BX129" s="662"/>
      <c r="BY129" s="662"/>
      <c r="BZ129" s="662"/>
      <c r="CA129" s="662"/>
      <c r="CB129" s="1221" t="s">
        <v>1563</v>
      </c>
      <c r="CC129" s="586" t="s">
        <v>454</v>
      </c>
      <c r="CD129" s="513"/>
      <c r="CE129" s="513"/>
      <c r="CF129" s="513"/>
      <c r="CG129" s="513"/>
      <c r="CH129" s="513"/>
      <c r="CI129" s="513"/>
      <c r="CJ129" s="513"/>
      <c r="CK129" s="12"/>
    </row>
    <row r="130" spans="2:89" customFormat="1" ht="90.75" hidden="1" customHeight="1">
      <c r="B130" s="22"/>
      <c r="C130" s="22"/>
      <c r="D130" s="22"/>
      <c r="E130" s="22" t="s">
        <v>68</v>
      </c>
      <c r="F130" s="22"/>
      <c r="G130" s="915">
        <v>42307</v>
      </c>
      <c r="H130" s="915"/>
      <c r="I130" s="448">
        <v>43063</v>
      </c>
      <c r="J130" s="16">
        <v>2015</v>
      </c>
      <c r="K130" s="1415"/>
      <c r="L130" s="1415"/>
      <c r="M130" s="18" t="s">
        <v>166</v>
      </c>
      <c r="N130" s="19" t="s">
        <v>455</v>
      </c>
      <c r="O130" s="2" t="s">
        <v>4032</v>
      </c>
      <c r="P130" s="3" t="s">
        <v>456</v>
      </c>
      <c r="Q130" s="3" t="s">
        <v>2575</v>
      </c>
      <c r="R130" s="4">
        <v>162687</v>
      </c>
      <c r="S130" s="6">
        <v>42278</v>
      </c>
      <c r="T130" s="5">
        <v>42278</v>
      </c>
      <c r="U130" s="11">
        <v>42338</v>
      </c>
      <c r="V130" s="13" t="s">
        <v>68</v>
      </c>
      <c r="W130" s="19" t="s">
        <v>68</v>
      </c>
      <c r="X130" s="170" t="s">
        <v>449</v>
      </c>
      <c r="Y130" s="200" t="s">
        <v>68</v>
      </c>
      <c r="Z130" s="368"/>
      <c r="AA130" s="130" t="s">
        <v>457</v>
      </c>
      <c r="AB130" s="74">
        <v>42453</v>
      </c>
      <c r="AC130" s="75">
        <v>153587</v>
      </c>
      <c r="AD130" s="236" t="s">
        <v>458</v>
      </c>
      <c r="AE130" s="32">
        <v>76560</v>
      </c>
      <c r="AF130" s="34" t="s">
        <v>68</v>
      </c>
      <c r="AG130" s="112" t="s">
        <v>68</v>
      </c>
      <c r="AH130" s="112" t="s">
        <v>68</v>
      </c>
      <c r="AI130" s="7" t="s">
        <v>68</v>
      </c>
      <c r="AJ130" s="215" t="s">
        <v>68</v>
      </c>
      <c r="AK130" s="33" t="s">
        <v>68</v>
      </c>
      <c r="AL130" s="1" t="s">
        <v>68</v>
      </c>
      <c r="AM130" s="1"/>
      <c r="AN130" s="1" t="s">
        <v>68</v>
      </c>
      <c r="AO130" s="1"/>
      <c r="AP130" s="1" t="s">
        <v>68</v>
      </c>
      <c r="AQ130" s="1"/>
      <c r="AR130" s="279">
        <v>0</v>
      </c>
      <c r="AS130" s="220">
        <v>0</v>
      </c>
      <c r="AT130" s="894">
        <f t="shared" si="2"/>
        <v>264410.83</v>
      </c>
      <c r="AU130" s="883"/>
      <c r="AV130" s="68">
        <v>42289</v>
      </c>
      <c r="AW130" s="11">
        <v>42592</v>
      </c>
      <c r="AX130" s="223" t="s">
        <v>68</v>
      </c>
      <c r="AY130" s="52" t="s">
        <v>68</v>
      </c>
      <c r="AZ130" s="65" t="s">
        <v>68</v>
      </c>
      <c r="BA130" s="1"/>
      <c r="BB130" s="1"/>
      <c r="BC130" s="17"/>
      <c r="BD130" s="65" t="s">
        <v>68</v>
      </c>
      <c r="BE130" s="1610"/>
      <c r="BF130" s="1"/>
      <c r="BG130" s="1"/>
      <c r="BH130" s="1"/>
      <c r="BI130" s="36">
        <v>264410.83</v>
      </c>
      <c r="BJ130" s="13" t="s">
        <v>68</v>
      </c>
      <c r="BK130" s="352"/>
      <c r="BL130" s="694" t="s">
        <v>68</v>
      </c>
      <c r="BM130" s="695" t="s">
        <v>68</v>
      </c>
      <c r="BN130" s="695" t="s">
        <v>68</v>
      </c>
      <c r="BO130" s="694"/>
      <c r="BP130" s="694"/>
      <c r="BQ130" s="694"/>
      <c r="BR130" s="694"/>
      <c r="BS130" s="694"/>
      <c r="BT130" s="694"/>
      <c r="BU130" s="694"/>
      <c r="BV130" s="694" t="s">
        <v>68</v>
      </c>
      <c r="BW130" s="13"/>
      <c r="BX130" s="13"/>
      <c r="BY130" s="13"/>
      <c r="BZ130" s="13"/>
      <c r="CA130" s="13"/>
      <c r="CB130" s="1221" t="s">
        <v>1563</v>
      </c>
      <c r="CC130" s="321" t="s">
        <v>459</v>
      </c>
      <c r="CD130" s="513"/>
      <c r="CE130" s="513"/>
      <c r="CF130" s="513"/>
      <c r="CG130" s="513"/>
      <c r="CH130" s="513"/>
      <c r="CI130" s="513"/>
      <c r="CJ130" s="513"/>
      <c r="CK130" s="12"/>
    </row>
    <row r="131" spans="2:89" customFormat="1" ht="90.75" hidden="1" customHeight="1">
      <c r="B131" s="22"/>
      <c r="C131" s="22"/>
      <c r="D131" s="22"/>
      <c r="E131" s="22" t="s">
        <v>68</v>
      </c>
      <c r="F131" s="22"/>
      <c r="G131" s="915">
        <v>43327</v>
      </c>
      <c r="H131" s="915"/>
      <c r="I131" s="448">
        <v>43063</v>
      </c>
      <c r="J131" s="16">
        <v>2015</v>
      </c>
      <c r="K131" s="1415"/>
      <c r="L131" s="1415"/>
      <c r="M131" s="18" t="s">
        <v>460</v>
      </c>
      <c r="N131" s="124" t="s">
        <v>461</v>
      </c>
      <c r="O131" s="2" t="s">
        <v>4032</v>
      </c>
      <c r="P131" s="3" t="s">
        <v>448</v>
      </c>
      <c r="Q131" s="3" t="s">
        <v>4409</v>
      </c>
      <c r="R131" s="4">
        <v>1538461.54</v>
      </c>
      <c r="S131" s="6">
        <v>42320</v>
      </c>
      <c r="T131" s="5">
        <v>42321</v>
      </c>
      <c r="U131" s="11">
        <v>42369</v>
      </c>
      <c r="V131" s="13" t="s">
        <v>68</v>
      </c>
      <c r="W131" s="19" t="s">
        <v>68</v>
      </c>
      <c r="X131" s="170" t="s">
        <v>449</v>
      </c>
      <c r="Y131" s="53">
        <v>42306</v>
      </c>
      <c r="Z131" s="52"/>
      <c r="AA131" s="33" t="s">
        <v>450</v>
      </c>
      <c r="AB131" s="8">
        <v>42062</v>
      </c>
      <c r="AC131" s="4">
        <v>2804356.62</v>
      </c>
      <c r="AD131" s="236" t="s">
        <v>451</v>
      </c>
      <c r="AE131" s="32">
        <v>2564102.5699999998</v>
      </c>
      <c r="AF131" s="34" t="s">
        <v>68</v>
      </c>
      <c r="AG131" s="112" t="s">
        <v>68</v>
      </c>
      <c r="AH131" s="112" t="s">
        <v>68</v>
      </c>
      <c r="AI131" s="7" t="s">
        <v>68</v>
      </c>
      <c r="AJ131" s="215" t="s">
        <v>68</v>
      </c>
      <c r="AK131" s="33" t="s">
        <v>68</v>
      </c>
      <c r="AL131" s="1" t="s">
        <v>68</v>
      </c>
      <c r="AM131" s="1"/>
      <c r="AN131" s="1" t="s">
        <v>68</v>
      </c>
      <c r="AO131" s="1"/>
      <c r="AP131" s="1" t="s">
        <v>68</v>
      </c>
      <c r="AQ131" s="1"/>
      <c r="AR131" s="279">
        <v>0</v>
      </c>
      <c r="AS131" s="220">
        <v>471606.52</v>
      </c>
      <c r="AT131" s="894">
        <v>1478527.73</v>
      </c>
      <c r="AU131" s="883"/>
      <c r="AV131" s="65" t="s">
        <v>74</v>
      </c>
      <c r="AW131" s="11"/>
      <c r="AX131" s="30" t="s">
        <v>68</v>
      </c>
      <c r="AY131" s="56" t="s">
        <v>452</v>
      </c>
      <c r="AZ131" s="475" t="s">
        <v>411</v>
      </c>
      <c r="BA131" s="1"/>
      <c r="BB131" s="1"/>
      <c r="BC131" s="17"/>
      <c r="BD131" s="475" t="s">
        <v>411</v>
      </c>
      <c r="BE131" s="1611"/>
      <c r="BF131" s="1"/>
      <c r="BG131" s="1"/>
      <c r="BH131" s="1"/>
      <c r="BI131" s="36">
        <f>AS131+AT131</f>
        <v>1950134.25</v>
      </c>
      <c r="BJ131" s="13" t="s">
        <v>68</v>
      </c>
      <c r="BK131" s="352"/>
      <c r="BL131" s="694" t="s">
        <v>68</v>
      </c>
      <c r="BM131" s="695" t="s">
        <v>68</v>
      </c>
      <c r="BN131" s="695" t="s">
        <v>68</v>
      </c>
      <c r="BO131" s="694"/>
      <c r="BP131" s="694"/>
      <c r="BQ131" s="694"/>
      <c r="BR131" s="694"/>
      <c r="BS131" s="694"/>
      <c r="BT131" s="694"/>
      <c r="BU131" s="694"/>
      <c r="BV131" s="694" t="s">
        <v>68</v>
      </c>
      <c r="BW131" s="662" t="s">
        <v>453</v>
      </c>
      <c r="BX131" s="662"/>
      <c r="BY131" s="662"/>
      <c r="BZ131" s="662"/>
      <c r="CA131" s="662"/>
      <c r="CB131" s="1221" t="s">
        <v>1563</v>
      </c>
      <c r="CC131" s="321" t="s">
        <v>459</v>
      </c>
      <c r="CD131" s="513"/>
      <c r="CE131" s="513"/>
      <c r="CF131" s="513"/>
      <c r="CG131" s="513"/>
      <c r="CH131" s="513"/>
      <c r="CI131" s="513"/>
      <c r="CJ131" s="513"/>
      <c r="CK131" s="12"/>
    </row>
    <row r="132" spans="2:89" customFormat="1" ht="90.75" hidden="1" customHeight="1">
      <c r="B132" s="22"/>
      <c r="C132" s="22"/>
      <c r="D132" s="22"/>
      <c r="E132" s="22" t="s">
        <v>68</v>
      </c>
      <c r="F132" s="22"/>
      <c r="G132" s="915">
        <v>43327</v>
      </c>
      <c r="H132" s="915"/>
      <c r="I132" s="329">
        <v>43063</v>
      </c>
      <c r="J132" s="16">
        <v>2015</v>
      </c>
      <c r="K132" s="1415"/>
      <c r="L132" s="1415"/>
      <c r="M132" s="18" t="s">
        <v>64</v>
      </c>
      <c r="N132" s="19" t="s">
        <v>462</v>
      </c>
      <c r="O132" s="2" t="s">
        <v>4032</v>
      </c>
      <c r="P132" s="3" t="s">
        <v>463</v>
      </c>
      <c r="Q132" s="3" t="s">
        <v>4409</v>
      </c>
      <c r="R132" s="79">
        <v>1025641.03</v>
      </c>
      <c r="S132" s="67">
        <v>42320</v>
      </c>
      <c r="T132" s="5">
        <v>42321</v>
      </c>
      <c r="U132" s="11">
        <v>42369</v>
      </c>
      <c r="V132" s="13" t="s">
        <v>68</v>
      </c>
      <c r="W132" s="19" t="s">
        <v>68</v>
      </c>
      <c r="X132" s="170" t="s">
        <v>449</v>
      </c>
      <c r="Y132" s="53">
        <v>42306</v>
      </c>
      <c r="Z132" s="52"/>
      <c r="AA132" s="33" t="s">
        <v>464</v>
      </c>
      <c r="AB132" s="8">
        <v>42293</v>
      </c>
      <c r="AC132" s="79">
        <v>1025641</v>
      </c>
      <c r="AD132" s="79"/>
      <c r="AE132" s="651"/>
      <c r="AF132" s="582" t="s">
        <v>68</v>
      </c>
      <c r="AG132" s="583" t="s">
        <v>68</v>
      </c>
      <c r="AH132" s="583" t="s">
        <v>68</v>
      </c>
      <c r="AI132" s="584" t="s">
        <v>68</v>
      </c>
      <c r="AJ132" s="666" t="s">
        <v>68</v>
      </c>
      <c r="AK132" s="33" t="s">
        <v>68</v>
      </c>
      <c r="AL132" s="1" t="s">
        <v>68</v>
      </c>
      <c r="AM132" s="1" t="s">
        <v>68</v>
      </c>
      <c r="AN132" s="1" t="s">
        <v>68</v>
      </c>
      <c r="AO132" s="1" t="s">
        <v>68</v>
      </c>
      <c r="AP132" s="1" t="s">
        <v>68</v>
      </c>
      <c r="AQ132" s="1" t="s">
        <v>68</v>
      </c>
      <c r="AR132" s="279">
        <v>0</v>
      </c>
      <c r="AS132" s="35">
        <v>0</v>
      </c>
      <c r="AT132" s="895">
        <v>0</v>
      </c>
      <c r="AU132" s="884"/>
      <c r="AV132" s="65" t="s">
        <v>74</v>
      </c>
      <c r="AW132" s="11"/>
      <c r="AX132" s="223" t="s">
        <v>68</v>
      </c>
      <c r="AY132" s="668"/>
      <c r="AZ132" s="475" t="s">
        <v>411</v>
      </c>
      <c r="BA132" s="1"/>
      <c r="BB132" s="1"/>
      <c r="BC132" s="17"/>
      <c r="BD132" s="475" t="s">
        <v>411</v>
      </c>
      <c r="BE132" s="1611"/>
      <c r="BF132" s="1"/>
      <c r="BG132" s="1"/>
      <c r="BH132" s="1"/>
      <c r="BI132" s="36">
        <f>AS132+AT132</f>
        <v>0</v>
      </c>
      <c r="BJ132" s="13" t="s">
        <v>68</v>
      </c>
      <c r="BK132" s="352"/>
      <c r="BL132" s="694" t="s">
        <v>68</v>
      </c>
      <c r="BM132" s="695" t="s">
        <v>68</v>
      </c>
      <c r="BN132" s="695" t="s">
        <v>68</v>
      </c>
      <c r="BO132" s="694"/>
      <c r="BP132" s="694"/>
      <c r="BQ132" s="694"/>
      <c r="BR132" s="694"/>
      <c r="BS132" s="694"/>
      <c r="BT132" s="694"/>
      <c r="BU132" s="694"/>
      <c r="BV132" s="694" t="s">
        <v>68</v>
      </c>
      <c r="BW132" s="662" t="s">
        <v>453</v>
      </c>
      <c r="BX132" s="662"/>
      <c r="BY132" s="662"/>
      <c r="BZ132" s="662"/>
      <c r="CA132" s="662"/>
      <c r="CB132" s="1221" t="s">
        <v>1563</v>
      </c>
      <c r="CC132" s="321" t="s">
        <v>459</v>
      </c>
      <c r="CD132" s="513"/>
      <c r="CE132" s="513"/>
      <c r="CF132" s="513"/>
      <c r="CG132" s="513"/>
      <c r="CH132" s="513"/>
      <c r="CI132" s="513"/>
      <c r="CJ132" s="513"/>
      <c r="CK132" s="12"/>
    </row>
    <row r="133" spans="2:89" customFormat="1" ht="60.75" hidden="1" customHeight="1">
      <c r="B133" s="22"/>
      <c r="C133" s="22"/>
      <c r="D133" s="22"/>
      <c r="E133" s="22"/>
      <c r="F133" s="22"/>
      <c r="G133" s="915">
        <v>42671</v>
      </c>
      <c r="H133" s="915"/>
      <c r="I133" s="448">
        <v>43013</v>
      </c>
      <c r="J133" s="16">
        <v>2015</v>
      </c>
      <c r="K133" s="1415"/>
      <c r="L133" s="1415"/>
      <c r="M133" s="18" t="s">
        <v>465</v>
      </c>
      <c r="N133" s="33" t="s">
        <v>466</v>
      </c>
      <c r="O133" s="2" t="s">
        <v>467</v>
      </c>
      <c r="P133" s="3" t="s">
        <v>468</v>
      </c>
      <c r="Q133" s="3" t="s">
        <v>2648</v>
      </c>
      <c r="R133" s="4">
        <v>1500000</v>
      </c>
      <c r="S133" s="6">
        <v>42307</v>
      </c>
      <c r="T133" s="5">
        <v>42338</v>
      </c>
      <c r="U133" s="11">
        <v>42696</v>
      </c>
      <c r="V133" s="13" t="s">
        <v>68</v>
      </c>
      <c r="W133" s="33" t="s">
        <v>68</v>
      </c>
      <c r="X133" s="18" t="s">
        <v>68</v>
      </c>
      <c r="Y133" s="200" t="s">
        <v>68</v>
      </c>
      <c r="Z133" s="368"/>
      <c r="AA133" s="19" t="s">
        <v>68</v>
      </c>
      <c r="AB133" s="8" t="s">
        <v>68</v>
      </c>
      <c r="AC133" s="4" t="s">
        <v>68</v>
      </c>
      <c r="AD133" s="4" t="s">
        <v>68</v>
      </c>
      <c r="AE133" s="32" t="s">
        <v>68</v>
      </c>
      <c r="AF133" s="34" t="s">
        <v>68</v>
      </c>
      <c r="AG133" s="112" t="s">
        <v>68</v>
      </c>
      <c r="AH133" s="112" t="s">
        <v>68</v>
      </c>
      <c r="AI133" s="7" t="s">
        <v>68</v>
      </c>
      <c r="AJ133" s="215" t="s">
        <v>68</v>
      </c>
      <c r="AK133" s="33" t="s">
        <v>68</v>
      </c>
      <c r="AL133" s="1" t="s">
        <v>68</v>
      </c>
      <c r="AM133" s="1" t="s">
        <v>68</v>
      </c>
      <c r="AN133" s="1" t="s">
        <v>68</v>
      </c>
      <c r="AO133" s="1"/>
      <c r="AP133" s="1"/>
      <c r="AQ133" s="1"/>
      <c r="AR133" s="279"/>
      <c r="AS133" s="35">
        <v>0</v>
      </c>
      <c r="AT133" s="895">
        <v>0</v>
      </c>
      <c r="AU133" s="884"/>
      <c r="AV133" s="76" t="s">
        <v>68</v>
      </c>
      <c r="AW133" s="127" t="s">
        <v>68</v>
      </c>
      <c r="AX133" s="223" t="s">
        <v>68</v>
      </c>
      <c r="AY133" s="224" t="s">
        <v>68</v>
      </c>
      <c r="AZ133" s="76" t="s">
        <v>68</v>
      </c>
      <c r="BA133" s="1"/>
      <c r="BB133" s="1"/>
      <c r="BC133" s="17"/>
      <c r="BD133" s="76" t="s">
        <v>68</v>
      </c>
      <c r="BE133" s="1612"/>
      <c r="BF133" s="128"/>
      <c r="BG133" s="128"/>
      <c r="BH133" s="128"/>
      <c r="BI133" s="129">
        <f t="shared" ref="BI133:BI151" si="3">AS133+AT133</f>
        <v>0</v>
      </c>
      <c r="BJ133" s="13" t="s">
        <v>68</v>
      </c>
      <c r="BK133" s="352"/>
      <c r="BL133" s="694" t="s">
        <v>68</v>
      </c>
      <c r="BM133" s="695" t="s">
        <v>68</v>
      </c>
      <c r="BN133" s="695" t="s">
        <v>68</v>
      </c>
      <c r="BO133" s="694"/>
      <c r="BP133" s="694"/>
      <c r="BQ133" s="694"/>
      <c r="BR133" s="694"/>
      <c r="BS133" s="694"/>
      <c r="BT133" s="694"/>
      <c r="BU133" s="694"/>
      <c r="BV133" s="694" t="s">
        <v>68</v>
      </c>
      <c r="BW133" s="62"/>
      <c r="BX133" s="62"/>
      <c r="BY133" s="62"/>
      <c r="BZ133" s="62"/>
      <c r="CA133" s="62"/>
      <c r="CB133" s="1221" t="s">
        <v>1563</v>
      </c>
      <c r="CC133" s="586" t="s">
        <v>454</v>
      </c>
      <c r="CD133" s="557"/>
      <c r="CE133" s="557"/>
      <c r="CF133" s="557"/>
      <c r="CG133" s="557"/>
      <c r="CH133" s="557"/>
      <c r="CI133" s="557"/>
      <c r="CJ133" s="557"/>
      <c r="CK133" s="12"/>
    </row>
    <row r="134" spans="2:89" customFormat="1" ht="60.75" hidden="1" customHeight="1">
      <c r="B134" s="22"/>
      <c r="C134" s="22"/>
      <c r="D134" s="22"/>
      <c r="E134" s="22" t="s">
        <v>68</v>
      </c>
      <c r="F134" s="22"/>
      <c r="G134" s="915">
        <v>42397</v>
      </c>
      <c r="H134" s="915"/>
      <c r="I134" s="448">
        <v>43013</v>
      </c>
      <c r="J134" s="16">
        <v>2015</v>
      </c>
      <c r="K134" s="1415"/>
      <c r="L134" s="1415"/>
      <c r="M134" s="18" t="s">
        <v>465</v>
      </c>
      <c r="N134" s="19" t="s">
        <v>469</v>
      </c>
      <c r="O134" s="2" t="s">
        <v>79</v>
      </c>
      <c r="P134" s="3" t="s">
        <v>470</v>
      </c>
      <c r="Q134" s="3" t="s">
        <v>2648</v>
      </c>
      <c r="R134" s="4">
        <v>1500000</v>
      </c>
      <c r="S134" s="6">
        <v>42339</v>
      </c>
      <c r="T134" s="5">
        <v>42338</v>
      </c>
      <c r="U134" s="11">
        <v>42704</v>
      </c>
      <c r="V134" s="68">
        <v>42701</v>
      </c>
      <c r="W134" s="33" t="s">
        <v>471</v>
      </c>
      <c r="X134" s="18" t="s">
        <v>472</v>
      </c>
      <c r="Y134" s="200">
        <v>42398</v>
      </c>
      <c r="Z134" s="368"/>
      <c r="AA134" s="33" t="s">
        <v>473</v>
      </c>
      <c r="AB134" s="8">
        <v>42325</v>
      </c>
      <c r="AC134" s="4">
        <v>500000</v>
      </c>
      <c r="AD134" s="4"/>
      <c r="AE134" s="32"/>
      <c r="AF134" s="34" t="s">
        <v>68</v>
      </c>
      <c r="AG134" s="112" t="s">
        <v>68</v>
      </c>
      <c r="AH134" s="112" t="s">
        <v>68</v>
      </c>
      <c r="AI134" s="7" t="s">
        <v>68</v>
      </c>
      <c r="AJ134" s="215" t="s">
        <v>68</v>
      </c>
      <c r="AK134" s="33" t="s">
        <v>232</v>
      </c>
      <c r="AL134" s="1">
        <v>1955042</v>
      </c>
      <c r="AM134" s="5">
        <v>42338</v>
      </c>
      <c r="AN134" s="1">
        <v>1955045</v>
      </c>
      <c r="AO134" s="5">
        <v>42338</v>
      </c>
      <c r="AP134" s="1">
        <v>2010927</v>
      </c>
      <c r="AQ134" s="5">
        <v>42569</v>
      </c>
      <c r="AR134" s="279">
        <f>525000+150000+150000</f>
        <v>825000</v>
      </c>
      <c r="AS134" s="35">
        <v>0</v>
      </c>
      <c r="AT134" s="895">
        <f>361614.4+671903.9+466581.7</f>
        <v>1500100</v>
      </c>
      <c r="AU134" s="884"/>
      <c r="AV134" s="68">
        <v>42338</v>
      </c>
      <c r="AW134" s="11">
        <v>42543</v>
      </c>
      <c r="AX134" s="223" t="s">
        <v>68</v>
      </c>
      <c r="AY134" s="224" t="s">
        <v>68</v>
      </c>
      <c r="AZ134" s="68">
        <v>42567</v>
      </c>
      <c r="BA134" s="5">
        <v>42338</v>
      </c>
      <c r="BB134" s="5">
        <v>42696</v>
      </c>
      <c r="BC134" s="11">
        <v>42567</v>
      </c>
      <c r="BD134" s="68">
        <v>42580</v>
      </c>
      <c r="BE134" s="342"/>
      <c r="BF134" s="5">
        <v>42338</v>
      </c>
      <c r="BG134" s="5">
        <v>42696</v>
      </c>
      <c r="BH134" s="5">
        <v>42567</v>
      </c>
      <c r="BI134" s="36">
        <f t="shared" si="3"/>
        <v>1500100</v>
      </c>
      <c r="BJ134" s="68">
        <v>42583</v>
      </c>
      <c r="BK134" s="336"/>
      <c r="BL134" s="694" t="s">
        <v>68</v>
      </c>
      <c r="BM134" s="695" t="s">
        <v>68</v>
      </c>
      <c r="BN134" s="695" t="s">
        <v>68</v>
      </c>
      <c r="BO134" s="694"/>
      <c r="BP134" s="694"/>
      <c r="BQ134" s="694"/>
      <c r="BR134" s="694"/>
      <c r="BS134" s="694"/>
      <c r="BT134" s="694"/>
      <c r="BU134" s="694"/>
      <c r="BV134" s="694" t="s">
        <v>68</v>
      </c>
      <c r="BW134" s="68" t="s">
        <v>474</v>
      </c>
      <c r="BX134" s="68"/>
      <c r="BY134" s="68"/>
      <c r="BZ134" s="68"/>
      <c r="CA134" s="68"/>
      <c r="CB134" s="1221" t="s">
        <v>1563</v>
      </c>
      <c r="CC134" s="586" t="s">
        <v>454</v>
      </c>
      <c r="CD134" s="557"/>
      <c r="CE134" s="557"/>
      <c r="CF134" s="557"/>
      <c r="CG134" s="557"/>
      <c r="CH134" s="557"/>
      <c r="CI134" s="557"/>
      <c r="CJ134" s="557"/>
      <c r="CK134" s="12"/>
    </row>
    <row r="135" spans="2:89" s="1050" customFormat="1" ht="75.75" hidden="1" customHeight="1">
      <c r="B135" s="1051"/>
      <c r="C135" s="1051"/>
      <c r="D135" s="1051"/>
      <c r="E135" s="1051"/>
      <c r="F135" s="1051"/>
      <c r="G135" s="553">
        <v>42795</v>
      </c>
      <c r="H135" s="553"/>
      <c r="I135" s="553"/>
      <c r="J135" s="532">
        <v>2015</v>
      </c>
      <c r="K135" s="1418"/>
      <c r="L135" s="1418"/>
      <c r="M135" s="1464" t="s">
        <v>77</v>
      </c>
      <c r="N135" s="829" t="s">
        <v>362</v>
      </c>
      <c r="O135" s="185" t="s">
        <v>251</v>
      </c>
      <c r="P135" s="106" t="s">
        <v>475</v>
      </c>
      <c r="Q135" s="106"/>
      <c r="R135" s="1064">
        <v>369433.09</v>
      </c>
      <c r="S135" s="1463">
        <v>42593</v>
      </c>
      <c r="T135" s="1071">
        <v>42597</v>
      </c>
      <c r="U135" s="1077">
        <v>42704</v>
      </c>
      <c r="V135" s="1476" t="s">
        <v>74</v>
      </c>
      <c r="W135" s="1055" t="s">
        <v>476</v>
      </c>
      <c r="X135" s="1464" t="s">
        <v>477</v>
      </c>
      <c r="Y135" s="1476" t="s">
        <v>74</v>
      </c>
      <c r="Z135" s="1476"/>
      <c r="AA135" s="1476" t="s">
        <v>74</v>
      </c>
      <c r="AB135" s="1063"/>
      <c r="AC135" s="1064"/>
      <c r="AD135" s="1064"/>
      <c r="AE135" s="1065"/>
      <c r="AF135" s="1066" t="s">
        <v>68</v>
      </c>
      <c r="AG135" s="1067" t="s">
        <v>68</v>
      </c>
      <c r="AH135" s="1067" t="s">
        <v>68</v>
      </c>
      <c r="AI135" s="1068" t="s">
        <v>68</v>
      </c>
      <c r="AJ135" s="1466" t="s">
        <v>68</v>
      </c>
      <c r="AK135" s="308" t="s">
        <v>68</v>
      </c>
      <c r="AL135" s="1070" t="s">
        <v>68</v>
      </c>
      <c r="AM135" s="1071"/>
      <c r="AN135" s="1070" t="s">
        <v>68</v>
      </c>
      <c r="AO135" s="1071"/>
      <c r="AP135" s="1070" t="s">
        <v>68</v>
      </c>
      <c r="AQ135" s="1070"/>
      <c r="AR135" s="1072">
        <v>0</v>
      </c>
      <c r="AS135" s="1073">
        <v>0</v>
      </c>
      <c r="AT135" s="1074"/>
      <c r="AU135" s="1075"/>
      <c r="AV135" s="1476" t="s">
        <v>74</v>
      </c>
      <c r="AW135" s="1077"/>
      <c r="AX135" s="1076" t="s">
        <v>68</v>
      </c>
      <c r="AY135" s="1079" t="s">
        <v>68</v>
      </c>
      <c r="AZ135" s="1476" t="s">
        <v>74</v>
      </c>
      <c r="BA135" s="1070"/>
      <c r="BB135" s="1070"/>
      <c r="BC135" s="1080"/>
      <c r="BD135" s="1476" t="s">
        <v>74</v>
      </c>
      <c r="BE135" s="1613"/>
      <c r="BF135" s="1070"/>
      <c r="BG135" s="1070"/>
      <c r="BH135" s="1070"/>
      <c r="BI135" s="1081">
        <f t="shared" si="3"/>
        <v>0</v>
      </c>
      <c r="BJ135" s="1476" t="s">
        <v>74</v>
      </c>
      <c r="BK135" s="1470"/>
      <c r="BL135" s="1470" t="s">
        <v>68</v>
      </c>
      <c r="BM135" s="1471" t="s">
        <v>68</v>
      </c>
      <c r="BN135" s="1471" t="s">
        <v>68</v>
      </c>
      <c r="BO135" s="1470"/>
      <c r="BP135" s="1470"/>
      <c r="BQ135" s="1470"/>
      <c r="BR135" s="1470"/>
      <c r="BS135" s="1470"/>
      <c r="BT135" s="1470"/>
      <c r="BU135" s="1470"/>
      <c r="BV135" s="1470" t="s">
        <v>68</v>
      </c>
      <c r="BW135" s="1476"/>
      <c r="BX135" s="1476"/>
      <c r="BY135" s="1476"/>
      <c r="BZ135" s="1476"/>
      <c r="CA135" s="1476"/>
      <c r="CB135" s="1477" t="s">
        <v>1563</v>
      </c>
      <c r="CC135" s="126" t="s">
        <v>478</v>
      </c>
      <c r="CD135" s="558"/>
      <c r="CE135" s="558"/>
      <c r="CF135" s="558"/>
      <c r="CG135" s="558"/>
      <c r="CH135" s="558"/>
      <c r="CI135" s="558"/>
      <c r="CJ135" s="558"/>
      <c r="CK135" s="1473"/>
    </row>
    <row r="136" spans="2:89" customFormat="1" ht="105.75" hidden="1" customHeight="1">
      <c r="B136" s="22"/>
      <c r="C136" s="22"/>
      <c r="D136" s="22"/>
      <c r="E136" s="22" t="s">
        <v>68</v>
      </c>
      <c r="F136" s="22"/>
      <c r="G136" s="915">
        <v>42808</v>
      </c>
      <c r="H136" s="915"/>
      <c r="I136" s="448">
        <v>43063</v>
      </c>
      <c r="J136" s="16">
        <v>2016</v>
      </c>
      <c r="K136" s="1415"/>
      <c r="L136" s="1415"/>
      <c r="M136" s="18" t="s">
        <v>166</v>
      </c>
      <c r="N136" s="33" t="s">
        <v>479</v>
      </c>
      <c r="O136" s="2" t="s">
        <v>4032</v>
      </c>
      <c r="P136" s="3" t="s">
        <v>480</v>
      </c>
      <c r="Q136" s="3" t="s">
        <v>2648</v>
      </c>
      <c r="R136" s="4">
        <v>375407.88</v>
      </c>
      <c r="S136" s="6">
        <v>42403</v>
      </c>
      <c r="T136" s="5">
        <v>42405</v>
      </c>
      <c r="U136" s="11">
        <v>42441</v>
      </c>
      <c r="V136" s="13" t="s">
        <v>68</v>
      </c>
      <c r="W136" s="19" t="s">
        <v>68</v>
      </c>
      <c r="X136" s="170" t="s">
        <v>449</v>
      </c>
      <c r="Y136" s="53">
        <v>42346</v>
      </c>
      <c r="Z136" s="52"/>
      <c r="AA136" s="19" t="s">
        <v>481</v>
      </c>
      <c r="AB136" s="8">
        <v>42412</v>
      </c>
      <c r="AC136" s="4">
        <v>375407.88</v>
      </c>
      <c r="AD136" s="4"/>
      <c r="AE136" s="32"/>
      <c r="AF136" s="34" t="s">
        <v>68</v>
      </c>
      <c r="AG136" s="112" t="s">
        <v>68</v>
      </c>
      <c r="AH136" s="112" t="s">
        <v>68</v>
      </c>
      <c r="AI136" s="7" t="s">
        <v>68</v>
      </c>
      <c r="AJ136" s="215" t="s">
        <v>68</v>
      </c>
      <c r="AK136" s="33" t="s">
        <v>68</v>
      </c>
      <c r="AL136" s="1" t="s">
        <v>68</v>
      </c>
      <c r="AM136" s="5"/>
      <c r="AN136" s="1" t="s">
        <v>68</v>
      </c>
      <c r="AO136" s="5"/>
      <c r="AP136" s="1" t="s">
        <v>68</v>
      </c>
      <c r="AQ136" s="1"/>
      <c r="AR136" s="279">
        <v>0</v>
      </c>
      <c r="AS136" s="35">
        <v>51198.82</v>
      </c>
      <c r="AT136" s="895">
        <v>131011.99</v>
      </c>
      <c r="AU136" s="884"/>
      <c r="AV136" s="70">
        <v>42424</v>
      </c>
      <c r="AW136" s="11">
        <v>42444</v>
      </c>
      <c r="AX136" s="30" t="s">
        <v>68</v>
      </c>
      <c r="AY136" s="52" t="s">
        <v>482</v>
      </c>
      <c r="AZ136" s="70">
        <v>42446</v>
      </c>
      <c r="BA136" s="71">
        <v>42405</v>
      </c>
      <c r="BB136" s="71">
        <v>42441</v>
      </c>
      <c r="BC136" s="71">
        <v>42444</v>
      </c>
      <c r="BD136" s="70">
        <v>42446</v>
      </c>
      <c r="BE136" s="1614"/>
      <c r="BF136" s="71">
        <v>42405</v>
      </c>
      <c r="BG136" s="71">
        <v>42441</v>
      </c>
      <c r="BH136" s="71">
        <v>42444</v>
      </c>
      <c r="BI136" s="36">
        <f t="shared" si="3"/>
        <v>182210.81</v>
      </c>
      <c r="BJ136" s="13" t="s">
        <v>68</v>
      </c>
      <c r="BK136" s="352"/>
      <c r="BL136" s="694" t="s">
        <v>68</v>
      </c>
      <c r="BM136" s="695" t="s">
        <v>68</v>
      </c>
      <c r="BN136" s="695" t="s">
        <v>68</v>
      </c>
      <c r="BO136" s="694"/>
      <c r="BP136" s="694"/>
      <c r="BQ136" s="694"/>
      <c r="BR136" s="694"/>
      <c r="BS136" s="694"/>
      <c r="BT136" s="694"/>
      <c r="BU136" s="694"/>
      <c r="BV136" s="694" t="s">
        <v>68</v>
      </c>
      <c r="BW136" s="13"/>
      <c r="BX136" s="13"/>
      <c r="BY136" s="13"/>
      <c r="BZ136" s="13"/>
      <c r="CA136" s="13"/>
      <c r="CB136" s="1221" t="s">
        <v>1563</v>
      </c>
      <c r="CC136" s="586" t="s">
        <v>454</v>
      </c>
      <c r="CD136" s="559"/>
      <c r="CE136" s="559"/>
      <c r="CF136" s="559"/>
      <c r="CG136" s="559"/>
      <c r="CH136" s="559"/>
      <c r="CI136" s="559"/>
      <c r="CJ136" s="559"/>
      <c r="CK136" s="12"/>
    </row>
    <row r="137" spans="2:89" customFormat="1" ht="63.75" hidden="1" customHeight="1">
      <c r="B137" s="22"/>
      <c r="C137" s="22"/>
      <c r="D137" s="22"/>
      <c r="E137" s="22" t="s">
        <v>68</v>
      </c>
      <c r="F137" s="22"/>
      <c r="G137" s="915">
        <v>43356</v>
      </c>
      <c r="H137" s="915"/>
      <c r="I137" s="448">
        <v>43063</v>
      </c>
      <c r="J137" s="16">
        <v>2016</v>
      </c>
      <c r="K137" s="1415"/>
      <c r="L137" s="1415"/>
      <c r="M137" s="18" t="s">
        <v>166</v>
      </c>
      <c r="N137" s="33" t="s">
        <v>483</v>
      </c>
      <c r="O137" s="2" t="s">
        <v>4032</v>
      </c>
      <c r="P137" s="3" t="s">
        <v>484</v>
      </c>
      <c r="Q137" s="3" t="s">
        <v>2613</v>
      </c>
      <c r="R137" s="4">
        <v>46400</v>
      </c>
      <c r="S137" s="6">
        <v>42433</v>
      </c>
      <c r="T137" s="5">
        <v>42434</v>
      </c>
      <c r="U137" s="11">
        <v>42439</v>
      </c>
      <c r="V137" s="13" t="s">
        <v>68</v>
      </c>
      <c r="W137" s="19" t="s">
        <v>68</v>
      </c>
      <c r="X137" s="170" t="s">
        <v>449</v>
      </c>
      <c r="Y137" s="200" t="s">
        <v>68</v>
      </c>
      <c r="Z137" s="368"/>
      <c r="AA137" s="76" t="s">
        <v>68</v>
      </c>
      <c r="AB137" s="8"/>
      <c r="AC137" s="79"/>
      <c r="AD137" s="4"/>
      <c r="AE137" s="32"/>
      <c r="AF137" s="34" t="s">
        <v>68</v>
      </c>
      <c r="AG137" s="112" t="s">
        <v>68</v>
      </c>
      <c r="AH137" s="112" t="s">
        <v>68</v>
      </c>
      <c r="AI137" s="7" t="s">
        <v>68</v>
      </c>
      <c r="AJ137" s="215" t="s">
        <v>68</v>
      </c>
      <c r="AK137" s="33" t="s">
        <v>68</v>
      </c>
      <c r="AL137" s="1" t="s">
        <v>68</v>
      </c>
      <c r="AM137" s="1"/>
      <c r="AN137" s="1" t="s">
        <v>68</v>
      </c>
      <c r="AO137" s="1"/>
      <c r="AP137" s="1" t="s">
        <v>68</v>
      </c>
      <c r="AQ137" s="1"/>
      <c r="AR137" s="279">
        <v>0</v>
      </c>
      <c r="AS137" s="35">
        <v>1600</v>
      </c>
      <c r="AT137" s="895">
        <v>23200</v>
      </c>
      <c r="AU137" s="884"/>
      <c r="AV137" s="350" t="s">
        <v>68</v>
      </c>
      <c r="AW137" s="11"/>
      <c r="AX137" s="223" t="s">
        <v>68</v>
      </c>
      <c r="AY137" s="52" t="s">
        <v>68</v>
      </c>
      <c r="AZ137" s="70">
        <v>42489</v>
      </c>
      <c r="BA137" s="5">
        <v>42434</v>
      </c>
      <c r="BB137" s="5">
        <v>42439</v>
      </c>
      <c r="BC137" s="11">
        <v>42487</v>
      </c>
      <c r="BD137" s="70">
        <v>42550</v>
      </c>
      <c r="BE137" s="1614"/>
      <c r="BF137" s="71">
        <v>42434</v>
      </c>
      <c r="BG137" s="71">
        <v>42439</v>
      </c>
      <c r="BH137" s="71">
        <v>42487</v>
      </c>
      <c r="BI137" s="129">
        <f t="shared" si="3"/>
        <v>24800</v>
      </c>
      <c r="BJ137" s="13" t="s">
        <v>68</v>
      </c>
      <c r="BK137" s="352"/>
      <c r="BL137" s="694" t="s">
        <v>68</v>
      </c>
      <c r="BM137" s="695" t="s">
        <v>68</v>
      </c>
      <c r="BN137" s="695" t="s">
        <v>68</v>
      </c>
      <c r="BO137" s="694"/>
      <c r="BP137" s="694"/>
      <c r="BQ137" s="694"/>
      <c r="BR137" s="694"/>
      <c r="BS137" s="694"/>
      <c r="BT137" s="694"/>
      <c r="BU137" s="694"/>
      <c r="BV137" s="694" t="s">
        <v>68</v>
      </c>
      <c r="BW137" s="13"/>
      <c r="BX137" s="13"/>
      <c r="BY137" s="13"/>
      <c r="BZ137" s="13"/>
      <c r="CA137" s="13"/>
      <c r="CB137" s="1221" t="s">
        <v>1563</v>
      </c>
      <c r="CC137" s="586" t="s">
        <v>454</v>
      </c>
      <c r="CD137" s="513"/>
      <c r="CE137" s="2"/>
      <c r="CF137" s="2"/>
      <c r="CG137" s="2"/>
      <c r="CH137" s="2"/>
      <c r="CI137" s="2"/>
      <c r="CJ137" s="2"/>
      <c r="CK137" s="12"/>
    </row>
    <row r="138" spans="2:89" customFormat="1" ht="60.75" hidden="1" customHeight="1">
      <c r="B138" s="22"/>
      <c r="C138" s="22"/>
      <c r="D138" s="22"/>
      <c r="E138" s="22" t="s">
        <v>68</v>
      </c>
      <c r="F138" s="22"/>
      <c r="G138" s="915">
        <v>42808</v>
      </c>
      <c r="H138" s="915"/>
      <c r="I138" s="448">
        <v>43063</v>
      </c>
      <c r="J138" s="16">
        <v>2016</v>
      </c>
      <c r="K138" s="1415"/>
      <c r="L138" s="1415"/>
      <c r="M138" s="18" t="s">
        <v>166</v>
      </c>
      <c r="N138" s="33" t="s">
        <v>485</v>
      </c>
      <c r="O138" s="2" t="s">
        <v>4032</v>
      </c>
      <c r="P138" s="3" t="s">
        <v>486</v>
      </c>
      <c r="Q138" s="3" t="s">
        <v>2538</v>
      </c>
      <c r="R138" s="4">
        <v>192889.77</v>
      </c>
      <c r="S138" s="6">
        <v>42498</v>
      </c>
      <c r="T138" s="58">
        <v>42499</v>
      </c>
      <c r="U138" s="59">
        <v>42560</v>
      </c>
      <c r="V138" s="13" t="s">
        <v>68</v>
      </c>
      <c r="W138" s="19" t="s">
        <v>68</v>
      </c>
      <c r="X138" s="170" t="s">
        <v>449</v>
      </c>
      <c r="Y138" s="200" t="s">
        <v>68</v>
      </c>
      <c r="Z138" s="368"/>
      <c r="AA138" s="19" t="s">
        <v>487</v>
      </c>
      <c r="AB138" s="8">
        <v>42521</v>
      </c>
      <c r="AC138" s="4">
        <v>192889.77</v>
      </c>
      <c r="AD138" s="4"/>
      <c r="AE138" s="32"/>
      <c r="AF138" s="34" t="s">
        <v>68</v>
      </c>
      <c r="AG138" s="112" t="s">
        <v>68</v>
      </c>
      <c r="AH138" s="112" t="s">
        <v>68</v>
      </c>
      <c r="AI138" s="7" t="s">
        <v>68</v>
      </c>
      <c r="AJ138" s="215" t="s">
        <v>68</v>
      </c>
      <c r="AK138" s="33" t="s">
        <v>68</v>
      </c>
      <c r="AL138" s="1" t="s">
        <v>68</v>
      </c>
      <c r="AM138" s="1"/>
      <c r="AN138" s="1" t="s">
        <v>68</v>
      </c>
      <c r="AO138" s="1"/>
      <c r="AP138" s="1" t="s">
        <v>68</v>
      </c>
      <c r="AQ138" s="1"/>
      <c r="AR138" s="279">
        <v>0</v>
      </c>
      <c r="AS138" s="35">
        <v>25242.41</v>
      </c>
      <c r="AT138" s="895">
        <v>180390.65</v>
      </c>
      <c r="AU138" s="884"/>
      <c r="AV138" s="324">
        <v>42499</v>
      </c>
      <c r="AW138" s="11">
        <v>42723</v>
      </c>
      <c r="AX138" s="223" t="s">
        <v>68</v>
      </c>
      <c r="AY138" s="342" t="s">
        <v>68</v>
      </c>
      <c r="AZ138" s="324">
        <v>42726</v>
      </c>
      <c r="BA138" s="5">
        <v>42499</v>
      </c>
      <c r="BB138" s="5">
        <v>42560</v>
      </c>
      <c r="BC138" s="11">
        <v>42723</v>
      </c>
      <c r="BD138" s="324">
        <v>42726</v>
      </c>
      <c r="BE138" s="1615"/>
      <c r="BF138" s="325">
        <v>42499</v>
      </c>
      <c r="BG138" s="325">
        <v>42560</v>
      </c>
      <c r="BH138" s="325">
        <v>42723</v>
      </c>
      <c r="BI138" s="326">
        <f t="shared" si="3"/>
        <v>205633.06</v>
      </c>
      <c r="BJ138" s="13" t="s">
        <v>68</v>
      </c>
      <c r="BK138" s="352"/>
      <c r="BL138" s="694" t="s">
        <v>68</v>
      </c>
      <c r="BM138" s="695" t="s">
        <v>68</v>
      </c>
      <c r="BN138" s="695" t="s">
        <v>68</v>
      </c>
      <c r="BO138" s="694"/>
      <c r="BP138" s="694"/>
      <c r="BQ138" s="694"/>
      <c r="BR138" s="694"/>
      <c r="BS138" s="694"/>
      <c r="BT138" s="694"/>
      <c r="BU138" s="694"/>
      <c r="BV138" s="694" t="s">
        <v>68</v>
      </c>
      <c r="BW138" s="13"/>
      <c r="BX138" s="13"/>
      <c r="BY138" s="13"/>
      <c r="BZ138" s="13"/>
      <c r="CA138" s="13"/>
      <c r="CB138" s="1221" t="s">
        <v>1563</v>
      </c>
      <c r="CC138" s="586" t="s">
        <v>454</v>
      </c>
      <c r="CD138" s="560"/>
      <c r="CE138" s="560"/>
      <c r="CF138" s="560"/>
      <c r="CG138" s="560"/>
      <c r="CH138" s="560"/>
      <c r="CI138" s="560"/>
      <c r="CJ138" s="560"/>
      <c r="CK138" s="12"/>
    </row>
    <row r="139" spans="2:89" customFormat="1" ht="60" hidden="1" customHeight="1">
      <c r="B139" s="22"/>
      <c r="C139" s="22"/>
      <c r="D139" s="22"/>
      <c r="E139" s="22" t="s">
        <v>68</v>
      </c>
      <c r="F139" s="22"/>
      <c r="G139" s="915">
        <v>43299</v>
      </c>
      <c r="H139" s="915"/>
      <c r="I139" s="448">
        <v>43063</v>
      </c>
      <c r="J139" s="16">
        <v>2016</v>
      </c>
      <c r="K139" s="1415"/>
      <c r="L139" s="1415"/>
      <c r="M139" s="18" t="s">
        <v>488</v>
      </c>
      <c r="N139" s="33" t="s">
        <v>489</v>
      </c>
      <c r="O139" s="2" t="s">
        <v>4032</v>
      </c>
      <c r="P139" s="3" t="s">
        <v>490</v>
      </c>
      <c r="Q139" s="3" t="s">
        <v>2648</v>
      </c>
      <c r="R139" s="4">
        <v>509990.89</v>
      </c>
      <c r="S139" s="6">
        <v>42521</v>
      </c>
      <c r="T139" s="5">
        <v>42522</v>
      </c>
      <c r="U139" s="11">
        <v>42578</v>
      </c>
      <c r="V139" s="13" t="s">
        <v>68</v>
      </c>
      <c r="W139" s="19" t="s">
        <v>68</v>
      </c>
      <c r="X139" s="170" t="s">
        <v>449</v>
      </c>
      <c r="Y139" s="200" t="s">
        <v>68</v>
      </c>
      <c r="Z139" s="368"/>
      <c r="AA139" s="19" t="s">
        <v>491</v>
      </c>
      <c r="AB139" s="8">
        <v>42453</v>
      </c>
      <c r="AC139" s="4">
        <v>1590000</v>
      </c>
      <c r="AD139" s="4"/>
      <c r="AE139" s="32"/>
      <c r="AF139" s="34" t="s">
        <v>68</v>
      </c>
      <c r="AG139" s="112" t="s">
        <v>68</v>
      </c>
      <c r="AH139" s="112" t="s">
        <v>68</v>
      </c>
      <c r="AI139" s="7" t="s">
        <v>68</v>
      </c>
      <c r="AJ139" s="215" t="s">
        <v>68</v>
      </c>
      <c r="AK139" s="33" t="s">
        <v>68</v>
      </c>
      <c r="AL139" s="1" t="s">
        <v>68</v>
      </c>
      <c r="AM139" s="1"/>
      <c r="AN139" s="1" t="s">
        <v>68</v>
      </c>
      <c r="AO139" s="1"/>
      <c r="AP139" s="1" t="s">
        <v>68</v>
      </c>
      <c r="AQ139" s="1"/>
      <c r="AR139" s="279">
        <v>0</v>
      </c>
      <c r="AS139" s="462">
        <v>181456</v>
      </c>
      <c r="AT139" s="544">
        <v>287054.42</v>
      </c>
      <c r="AU139" s="340"/>
      <c r="AV139" s="70">
        <v>42522</v>
      </c>
      <c r="AW139" s="11">
        <v>42649</v>
      </c>
      <c r="AX139" s="223" t="s">
        <v>68</v>
      </c>
      <c r="AY139" s="52" t="s">
        <v>492</v>
      </c>
      <c r="AZ139" s="70">
        <v>42649</v>
      </c>
      <c r="BA139" s="5">
        <v>42522</v>
      </c>
      <c r="BB139" s="5">
        <v>42548</v>
      </c>
      <c r="BC139" s="11">
        <v>42649</v>
      </c>
      <c r="BD139" s="70">
        <v>42649</v>
      </c>
      <c r="BE139" s="1614"/>
      <c r="BF139" s="5">
        <v>42522</v>
      </c>
      <c r="BG139" s="5">
        <v>42578</v>
      </c>
      <c r="BH139" s="5">
        <v>42649</v>
      </c>
      <c r="BI139" s="64">
        <v>361674.42</v>
      </c>
      <c r="BJ139" s="13" t="s">
        <v>68</v>
      </c>
      <c r="BK139" s="352"/>
      <c r="BL139" s="694" t="s">
        <v>68</v>
      </c>
      <c r="BM139" s="695" t="s">
        <v>68</v>
      </c>
      <c r="BN139" s="695" t="s">
        <v>68</v>
      </c>
      <c r="BO139" s="694"/>
      <c r="BP139" s="694"/>
      <c r="BQ139" s="694"/>
      <c r="BR139" s="694"/>
      <c r="BS139" s="694"/>
      <c r="BT139" s="694"/>
      <c r="BU139" s="694"/>
      <c r="BV139" s="694" t="s">
        <v>68</v>
      </c>
      <c r="BW139" s="13"/>
      <c r="BX139" s="13"/>
      <c r="BY139" s="13"/>
      <c r="BZ139" s="13"/>
      <c r="CA139" s="13"/>
      <c r="CB139" s="1221" t="s">
        <v>1563</v>
      </c>
      <c r="CC139" s="586" t="s">
        <v>454</v>
      </c>
      <c r="CD139" s="513"/>
      <c r="CE139" s="2"/>
      <c r="CF139" s="2"/>
      <c r="CG139" s="2"/>
      <c r="CH139" s="2"/>
      <c r="CI139" s="2"/>
      <c r="CJ139" s="2"/>
      <c r="CK139" s="12"/>
    </row>
    <row r="140" spans="2:89" customFormat="1" ht="90" hidden="1" customHeight="1">
      <c r="B140" s="22"/>
      <c r="C140" s="22"/>
      <c r="D140" s="22"/>
      <c r="E140" s="22" t="s">
        <v>68</v>
      </c>
      <c r="F140" s="22"/>
      <c r="G140" s="915">
        <v>43299</v>
      </c>
      <c r="H140" s="915"/>
      <c r="I140" s="448">
        <v>43063</v>
      </c>
      <c r="J140" s="16">
        <v>2016</v>
      </c>
      <c r="K140" s="1415"/>
      <c r="L140" s="1415"/>
      <c r="M140" s="18" t="s">
        <v>488</v>
      </c>
      <c r="N140" s="33" t="s">
        <v>493</v>
      </c>
      <c r="O140" s="2" t="s">
        <v>4032</v>
      </c>
      <c r="P140" s="3" t="s">
        <v>494</v>
      </c>
      <c r="Q140" s="3" t="s">
        <v>2648</v>
      </c>
      <c r="R140" s="4">
        <v>1080009.1200000001</v>
      </c>
      <c r="S140" s="67">
        <v>42524</v>
      </c>
      <c r="T140" s="5">
        <v>42527</v>
      </c>
      <c r="U140" s="11">
        <v>42710</v>
      </c>
      <c r="V140" s="13" t="s">
        <v>68</v>
      </c>
      <c r="W140" s="19" t="s">
        <v>68</v>
      </c>
      <c r="X140" s="170" t="s">
        <v>449</v>
      </c>
      <c r="Y140" s="200" t="s">
        <v>68</v>
      </c>
      <c r="Z140" s="368"/>
      <c r="AA140" s="19" t="s">
        <v>491</v>
      </c>
      <c r="AB140" s="8">
        <v>42453</v>
      </c>
      <c r="AC140" s="4">
        <v>1590000</v>
      </c>
      <c r="AD140" s="4"/>
      <c r="AE140" s="32"/>
      <c r="AF140" s="34" t="s">
        <v>68</v>
      </c>
      <c r="AG140" s="112" t="s">
        <v>68</v>
      </c>
      <c r="AH140" s="112" t="s">
        <v>68</v>
      </c>
      <c r="AI140" s="7" t="s">
        <v>68</v>
      </c>
      <c r="AJ140" s="215" t="s">
        <v>68</v>
      </c>
      <c r="AK140" s="33" t="s">
        <v>68</v>
      </c>
      <c r="AL140" s="1" t="s">
        <v>68</v>
      </c>
      <c r="AM140" s="1"/>
      <c r="AN140" s="1" t="s">
        <v>68</v>
      </c>
      <c r="AO140" s="1"/>
      <c r="AP140" s="1" t="s">
        <v>68</v>
      </c>
      <c r="AQ140" s="1"/>
      <c r="AR140" s="279">
        <v>0</v>
      </c>
      <c r="AS140" s="35">
        <v>362809.12</v>
      </c>
      <c r="AT140" s="895">
        <v>716406.19</v>
      </c>
      <c r="AU140" s="884"/>
      <c r="AV140" s="70">
        <v>42528</v>
      </c>
      <c r="AW140" s="127">
        <v>42710</v>
      </c>
      <c r="AX140" s="223" t="s">
        <v>68</v>
      </c>
      <c r="AY140" s="52" t="s">
        <v>495</v>
      </c>
      <c r="AZ140" s="70">
        <v>42712</v>
      </c>
      <c r="BA140" s="5">
        <v>42527</v>
      </c>
      <c r="BB140" s="5">
        <v>42710</v>
      </c>
      <c r="BC140" s="11">
        <v>42712</v>
      </c>
      <c r="BD140" s="70">
        <v>42712</v>
      </c>
      <c r="BE140" s="1614"/>
      <c r="BF140" s="5">
        <v>42527</v>
      </c>
      <c r="BG140" s="5">
        <v>42710</v>
      </c>
      <c r="BH140" s="5">
        <v>42712</v>
      </c>
      <c r="BI140" s="36">
        <v>1069820.27</v>
      </c>
      <c r="BJ140" s="13" t="s">
        <v>68</v>
      </c>
      <c r="BK140" s="352"/>
      <c r="BL140" s="694" t="s">
        <v>68</v>
      </c>
      <c r="BM140" s="695" t="s">
        <v>68</v>
      </c>
      <c r="BN140" s="695" t="s">
        <v>68</v>
      </c>
      <c r="BO140" s="694"/>
      <c r="BP140" s="694"/>
      <c r="BQ140" s="694"/>
      <c r="BR140" s="694"/>
      <c r="BS140" s="694"/>
      <c r="BT140" s="694"/>
      <c r="BU140" s="694"/>
      <c r="BV140" s="694" t="s">
        <v>68</v>
      </c>
      <c r="BW140" s="13"/>
      <c r="BX140" s="13"/>
      <c r="BY140" s="13"/>
      <c r="BZ140" s="13"/>
      <c r="CA140" s="13"/>
      <c r="CB140" s="1221" t="s">
        <v>1563</v>
      </c>
      <c r="CC140" s="586" t="s">
        <v>454</v>
      </c>
      <c r="CD140" s="513"/>
      <c r="CE140" s="2"/>
      <c r="CF140" s="2"/>
      <c r="CG140" s="2"/>
      <c r="CH140" s="2"/>
      <c r="CI140" s="2"/>
      <c r="CJ140" s="2"/>
      <c r="CK140" s="12"/>
    </row>
    <row r="141" spans="2:89" customFormat="1" ht="60" hidden="1" customHeight="1">
      <c r="B141" s="22"/>
      <c r="C141" s="22"/>
      <c r="D141" s="22"/>
      <c r="E141" s="22" t="s">
        <v>68</v>
      </c>
      <c r="F141" s="22"/>
      <c r="G141" s="915">
        <v>43299</v>
      </c>
      <c r="H141" s="915"/>
      <c r="I141" s="448">
        <v>43063</v>
      </c>
      <c r="J141" s="16">
        <v>2016</v>
      </c>
      <c r="K141" s="1415"/>
      <c r="L141" s="1415"/>
      <c r="M141" s="18" t="s">
        <v>77</v>
      </c>
      <c r="N141" s="33" t="s">
        <v>496</v>
      </c>
      <c r="O141" s="2" t="s">
        <v>4032</v>
      </c>
      <c r="P141" s="3" t="s">
        <v>497</v>
      </c>
      <c r="Q141" s="3" t="s">
        <v>2648</v>
      </c>
      <c r="R141" s="4">
        <v>204355.89</v>
      </c>
      <c r="S141" s="67">
        <v>42499</v>
      </c>
      <c r="T141" s="5">
        <v>42502</v>
      </c>
      <c r="U141" s="11">
        <v>42665</v>
      </c>
      <c r="V141" s="13" t="s">
        <v>68</v>
      </c>
      <c r="W141" s="19" t="s">
        <v>68</v>
      </c>
      <c r="X141" s="170" t="s">
        <v>449</v>
      </c>
      <c r="Y141" s="680" t="s">
        <v>68</v>
      </c>
      <c r="Z141" s="1366"/>
      <c r="AA141" s="130" t="s">
        <v>498</v>
      </c>
      <c r="AB141" s="74">
        <v>42586</v>
      </c>
      <c r="AC141" s="75">
        <v>204355.89</v>
      </c>
      <c r="AD141" s="4"/>
      <c r="AE141" s="32"/>
      <c r="AF141" s="34" t="s">
        <v>68</v>
      </c>
      <c r="AG141" s="112" t="s">
        <v>68</v>
      </c>
      <c r="AH141" s="112" t="s">
        <v>68</v>
      </c>
      <c r="AI141" s="7" t="s">
        <v>68</v>
      </c>
      <c r="AJ141" s="215" t="s">
        <v>68</v>
      </c>
      <c r="AK141" s="33" t="s">
        <v>68</v>
      </c>
      <c r="AL141" s="1" t="s">
        <v>68</v>
      </c>
      <c r="AM141" s="5"/>
      <c r="AN141" s="1" t="s">
        <v>68</v>
      </c>
      <c r="AO141" s="5"/>
      <c r="AP141" s="1" t="s">
        <v>68</v>
      </c>
      <c r="AQ141" s="1"/>
      <c r="AR141" s="279">
        <v>0</v>
      </c>
      <c r="AS141" s="462">
        <v>43008</v>
      </c>
      <c r="AT141" s="544">
        <v>227598.54</v>
      </c>
      <c r="AU141" s="340"/>
      <c r="AV141" s="66" t="s">
        <v>74</v>
      </c>
      <c r="AW141" s="11"/>
      <c r="AX141" s="223" t="s">
        <v>68</v>
      </c>
      <c r="AY141" s="52" t="s">
        <v>492</v>
      </c>
      <c r="AZ141" s="70">
        <v>42681</v>
      </c>
      <c r="BA141" s="5">
        <v>42502</v>
      </c>
      <c r="BB141" s="5">
        <v>42665</v>
      </c>
      <c r="BC141" s="11">
        <v>42628</v>
      </c>
      <c r="BD141" s="70">
        <v>42681</v>
      </c>
      <c r="BE141" s="1614"/>
      <c r="BF141" s="71">
        <v>42502</v>
      </c>
      <c r="BG141" s="71">
        <v>42665</v>
      </c>
      <c r="BH141" s="71">
        <v>42628</v>
      </c>
      <c r="BI141" s="129">
        <v>242715.04</v>
      </c>
      <c r="BJ141" s="13" t="s">
        <v>68</v>
      </c>
      <c r="BK141" s="352"/>
      <c r="BL141" s="694" t="s">
        <v>68</v>
      </c>
      <c r="BM141" s="695" t="s">
        <v>68</v>
      </c>
      <c r="BN141" s="695" t="s">
        <v>68</v>
      </c>
      <c r="BO141" s="694"/>
      <c r="BP141" s="694"/>
      <c r="BQ141" s="694"/>
      <c r="BR141" s="694"/>
      <c r="BS141" s="694"/>
      <c r="BT141" s="694"/>
      <c r="BU141" s="694"/>
      <c r="BV141" s="694" t="s">
        <v>68</v>
      </c>
      <c r="BW141" s="13"/>
      <c r="BX141" s="13"/>
      <c r="BY141" s="13"/>
      <c r="BZ141" s="13"/>
      <c r="CA141" s="13"/>
      <c r="CB141" s="1221" t="s">
        <v>1563</v>
      </c>
      <c r="CC141" s="321" t="s">
        <v>459</v>
      </c>
      <c r="CD141" s="513"/>
      <c r="CE141" s="2"/>
      <c r="CF141" s="2"/>
      <c r="CG141" s="2"/>
      <c r="CH141" s="2"/>
      <c r="CI141" s="2"/>
      <c r="CJ141" s="2"/>
      <c r="CK141" s="12"/>
    </row>
    <row r="142" spans="2:89" customFormat="1" ht="60" hidden="1" customHeight="1">
      <c r="B142" s="22"/>
      <c r="C142" s="22"/>
      <c r="D142" s="22"/>
      <c r="E142" s="22" t="s">
        <v>68</v>
      </c>
      <c r="F142" s="22"/>
      <c r="G142" s="915">
        <v>43299</v>
      </c>
      <c r="H142" s="915"/>
      <c r="I142" s="448">
        <v>43063</v>
      </c>
      <c r="J142" s="16">
        <v>2016</v>
      </c>
      <c r="K142" s="1415"/>
      <c r="L142" s="1415"/>
      <c r="M142" s="18" t="s">
        <v>166</v>
      </c>
      <c r="N142" s="33" t="s">
        <v>499</v>
      </c>
      <c r="O142" s="2" t="s">
        <v>4032</v>
      </c>
      <c r="P142" s="3" t="s">
        <v>500</v>
      </c>
      <c r="Q142" s="3" t="s">
        <v>4410</v>
      </c>
      <c r="R142" s="4">
        <v>426643.27</v>
      </c>
      <c r="S142" s="6">
        <v>42524</v>
      </c>
      <c r="T142" s="5">
        <v>42527</v>
      </c>
      <c r="U142" s="11">
        <v>42581</v>
      </c>
      <c r="V142" s="13" t="s">
        <v>68</v>
      </c>
      <c r="W142" s="19" t="s">
        <v>68</v>
      </c>
      <c r="X142" s="18" t="s">
        <v>114</v>
      </c>
      <c r="Y142" s="200" t="s">
        <v>68</v>
      </c>
      <c r="Z142" s="368"/>
      <c r="AA142" s="57">
        <v>42521</v>
      </c>
      <c r="AB142" s="8" t="s">
        <v>501</v>
      </c>
      <c r="AC142" s="4">
        <v>426643.27</v>
      </c>
      <c r="AD142" s="4"/>
      <c r="AE142" s="32"/>
      <c r="AF142" s="34" t="s">
        <v>68</v>
      </c>
      <c r="AG142" s="112" t="s">
        <v>68</v>
      </c>
      <c r="AH142" s="112" t="s">
        <v>68</v>
      </c>
      <c r="AI142" s="7" t="s">
        <v>68</v>
      </c>
      <c r="AJ142" s="215" t="s">
        <v>68</v>
      </c>
      <c r="AK142" s="33" t="s">
        <v>68</v>
      </c>
      <c r="AL142" s="1" t="s">
        <v>68</v>
      </c>
      <c r="AM142" s="1"/>
      <c r="AN142" s="1" t="s">
        <v>68</v>
      </c>
      <c r="AO142" s="1"/>
      <c r="AP142" s="1" t="s">
        <v>68</v>
      </c>
      <c r="AQ142" s="1"/>
      <c r="AR142" s="279">
        <v>0</v>
      </c>
      <c r="AS142" s="35">
        <v>68743.5</v>
      </c>
      <c r="AT142" s="895">
        <v>244293.05</v>
      </c>
      <c r="AU142" s="884"/>
      <c r="AV142" s="66" t="s">
        <v>74</v>
      </c>
      <c r="AW142" s="11"/>
      <c r="AX142" s="223" t="s">
        <v>68</v>
      </c>
      <c r="AY142" s="52" t="s">
        <v>492</v>
      </c>
      <c r="AZ142" s="70">
        <v>42644</v>
      </c>
      <c r="BA142" s="5">
        <v>42551</v>
      </c>
      <c r="BB142" s="5">
        <v>42581</v>
      </c>
      <c r="BC142" s="11">
        <v>42536</v>
      </c>
      <c r="BD142" s="70">
        <v>42644</v>
      </c>
      <c r="BE142" s="1614"/>
      <c r="BF142" s="71">
        <v>42551</v>
      </c>
      <c r="BG142" s="71">
        <v>42581</v>
      </c>
      <c r="BH142" s="71">
        <v>42536</v>
      </c>
      <c r="BI142" s="129">
        <f t="shared" si="3"/>
        <v>313036.55</v>
      </c>
      <c r="BJ142" s="13" t="s">
        <v>68</v>
      </c>
      <c r="BK142" s="352"/>
      <c r="BL142" s="694" t="s">
        <v>68</v>
      </c>
      <c r="BM142" s="695" t="s">
        <v>68</v>
      </c>
      <c r="BN142" s="695" t="s">
        <v>68</v>
      </c>
      <c r="BO142" s="694"/>
      <c r="BP142" s="694"/>
      <c r="BQ142" s="694"/>
      <c r="BR142" s="694"/>
      <c r="BS142" s="694"/>
      <c r="BT142" s="694"/>
      <c r="BU142" s="694"/>
      <c r="BV142" s="694" t="s">
        <v>68</v>
      </c>
      <c r="BW142" s="13"/>
      <c r="BX142" s="13"/>
      <c r="BY142" s="13"/>
      <c r="BZ142" s="13"/>
      <c r="CA142" s="13"/>
      <c r="CB142" s="1221" t="s">
        <v>1563</v>
      </c>
      <c r="CC142" s="321" t="s">
        <v>459</v>
      </c>
      <c r="CD142" s="513"/>
      <c r="CE142" s="513"/>
      <c r="CF142" s="513"/>
      <c r="CG142" s="513"/>
      <c r="CH142" s="513"/>
      <c r="CI142" s="513"/>
      <c r="CJ142" s="513"/>
      <c r="CK142" s="12"/>
    </row>
    <row r="143" spans="2:89" customFormat="1" ht="75" hidden="1" customHeight="1">
      <c r="B143" s="640" t="s">
        <v>502</v>
      </c>
      <c r="C143" s="640"/>
      <c r="D143" s="640"/>
      <c r="E143" s="22" t="s">
        <v>68</v>
      </c>
      <c r="F143" s="22"/>
      <c r="G143" s="915">
        <v>42878</v>
      </c>
      <c r="H143" s="915"/>
      <c r="I143" s="448">
        <v>43063</v>
      </c>
      <c r="J143" s="16">
        <v>2016</v>
      </c>
      <c r="K143" s="1415"/>
      <c r="L143" s="1415"/>
      <c r="M143" s="18" t="s">
        <v>77</v>
      </c>
      <c r="N143" s="33" t="s">
        <v>503</v>
      </c>
      <c r="O143" s="2" t="s">
        <v>4032</v>
      </c>
      <c r="P143" s="3" t="s">
        <v>504</v>
      </c>
      <c r="Q143" s="3" t="s">
        <v>2538</v>
      </c>
      <c r="R143" s="4">
        <v>291113.12</v>
      </c>
      <c r="S143" s="6">
        <v>42531</v>
      </c>
      <c r="T143" s="5">
        <v>42534</v>
      </c>
      <c r="U143" s="11">
        <v>42546</v>
      </c>
      <c r="V143" s="13" t="s">
        <v>68</v>
      </c>
      <c r="W143" s="19" t="s">
        <v>68</v>
      </c>
      <c r="X143" s="170" t="s">
        <v>449</v>
      </c>
      <c r="Y143" s="680" t="s">
        <v>68</v>
      </c>
      <c r="Z143" s="1366"/>
      <c r="AA143" s="19" t="s">
        <v>505</v>
      </c>
      <c r="AB143" s="8">
        <v>42521</v>
      </c>
      <c r="AC143" s="4">
        <v>291113.12</v>
      </c>
      <c r="AD143" s="4"/>
      <c r="AE143" s="32"/>
      <c r="AF143" s="34" t="s">
        <v>68</v>
      </c>
      <c r="AG143" s="112" t="s">
        <v>68</v>
      </c>
      <c r="AH143" s="112" t="s">
        <v>68</v>
      </c>
      <c r="AI143" s="7" t="s">
        <v>68</v>
      </c>
      <c r="AJ143" s="215" t="s">
        <v>68</v>
      </c>
      <c r="AK143" s="33" t="s">
        <v>68</v>
      </c>
      <c r="AL143" s="1" t="s">
        <v>68</v>
      </c>
      <c r="AM143" s="5"/>
      <c r="AN143" s="1" t="s">
        <v>68</v>
      </c>
      <c r="AO143" s="5"/>
      <c r="AP143" s="1" t="s">
        <v>68</v>
      </c>
      <c r="AQ143" s="1"/>
      <c r="AR143" s="279">
        <v>0</v>
      </c>
      <c r="AS143" s="35">
        <v>50766.8</v>
      </c>
      <c r="AT143" s="895">
        <v>179113.36</v>
      </c>
      <c r="AU143" s="884"/>
      <c r="AV143" s="66" t="s">
        <v>74</v>
      </c>
      <c r="AW143" s="11"/>
      <c r="AX143" s="223" t="s">
        <v>68</v>
      </c>
      <c r="AY143" s="52" t="s">
        <v>506</v>
      </c>
      <c r="AZ143" s="324">
        <v>42710</v>
      </c>
      <c r="BA143" s="5">
        <v>42534</v>
      </c>
      <c r="BB143" s="5">
        <v>42546</v>
      </c>
      <c r="BC143" s="11">
        <v>42700</v>
      </c>
      <c r="BD143" s="324">
        <v>42710</v>
      </c>
      <c r="BE143" s="1615"/>
      <c r="BF143" s="325">
        <v>42534</v>
      </c>
      <c r="BG143" s="325">
        <v>42546</v>
      </c>
      <c r="BH143" s="325">
        <v>42700</v>
      </c>
      <c r="BI143" s="326">
        <f t="shared" si="3"/>
        <v>229880.15999999997</v>
      </c>
      <c r="BJ143" s="13" t="s">
        <v>68</v>
      </c>
      <c r="BK143" s="352"/>
      <c r="BL143" s="694" t="s">
        <v>68</v>
      </c>
      <c r="BM143" s="695" t="s">
        <v>68</v>
      </c>
      <c r="BN143" s="695" t="s">
        <v>68</v>
      </c>
      <c r="BO143" s="694"/>
      <c r="BP143" s="694"/>
      <c r="BQ143" s="694"/>
      <c r="BR143" s="694"/>
      <c r="BS143" s="694"/>
      <c r="BT143" s="694"/>
      <c r="BU143" s="694"/>
      <c r="BV143" s="694" t="s">
        <v>68</v>
      </c>
      <c r="BW143" s="13"/>
      <c r="BX143" s="13"/>
      <c r="BY143" s="13"/>
      <c r="BZ143" s="13"/>
      <c r="CA143" s="13"/>
      <c r="CB143" s="1221" t="s">
        <v>1563</v>
      </c>
      <c r="CC143" s="321" t="s">
        <v>459</v>
      </c>
      <c r="CD143" s="561"/>
      <c r="CE143" s="561"/>
      <c r="CF143" s="561"/>
      <c r="CG143" s="561"/>
      <c r="CH143" s="561"/>
      <c r="CI143" s="561"/>
      <c r="CJ143" s="561"/>
      <c r="CK143" s="12"/>
    </row>
    <row r="144" spans="2:89" customFormat="1" ht="75" hidden="1" customHeight="1">
      <c r="B144" s="22"/>
      <c r="C144" s="22"/>
      <c r="D144" s="22"/>
      <c r="E144" s="22" t="s">
        <v>68</v>
      </c>
      <c r="F144" s="22"/>
      <c r="G144" s="915">
        <v>43229</v>
      </c>
      <c r="H144" s="915"/>
      <c r="I144" s="448">
        <v>43063</v>
      </c>
      <c r="J144" s="16">
        <v>2016</v>
      </c>
      <c r="K144" s="1415"/>
      <c r="L144" s="1415"/>
      <c r="M144" s="18" t="s">
        <v>77</v>
      </c>
      <c r="N144" s="33" t="s">
        <v>507</v>
      </c>
      <c r="O144" s="2" t="s">
        <v>4032</v>
      </c>
      <c r="P144" s="3" t="s">
        <v>508</v>
      </c>
      <c r="Q144" s="3" t="s">
        <v>2648</v>
      </c>
      <c r="R144" s="4">
        <v>292744.34000000003</v>
      </c>
      <c r="S144" s="67">
        <v>42499</v>
      </c>
      <c r="T144" s="5">
        <v>42502</v>
      </c>
      <c r="U144" s="11">
        <v>42665</v>
      </c>
      <c r="V144" s="13" t="s">
        <v>68</v>
      </c>
      <c r="W144" s="19" t="s">
        <v>68</v>
      </c>
      <c r="X144" s="170" t="s">
        <v>449</v>
      </c>
      <c r="Y144" s="680" t="s">
        <v>68</v>
      </c>
      <c r="Z144" s="1366"/>
      <c r="AA144" s="130" t="s">
        <v>498</v>
      </c>
      <c r="AB144" s="74">
        <v>42586</v>
      </c>
      <c r="AC144" s="75">
        <v>292744.34000000003</v>
      </c>
      <c r="AD144" s="4"/>
      <c r="AE144" s="32"/>
      <c r="AF144" s="34" t="s">
        <v>68</v>
      </c>
      <c r="AG144" s="112" t="s">
        <v>68</v>
      </c>
      <c r="AH144" s="112" t="s">
        <v>68</v>
      </c>
      <c r="AI144" s="7" t="s">
        <v>68</v>
      </c>
      <c r="AJ144" s="215" t="s">
        <v>68</v>
      </c>
      <c r="AK144" s="33" t="s">
        <v>68</v>
      </c>
      <c r="AL144" s="1" t="s">
        <v>68</v>
      </c>
      <c r="AM144" s="5"/>
      <c r="AN144" s="1" t="s">
        <v>68</v>
      </c>
      <c r="AO144" s="5"/>
      <c r="AP144" s="1" t="s">
        <v>68</v>
      </c>
      <c r="AQ144" s="1"/>
      <c r="AR144" s="279">
        <v>0</v>
      </c>
      <c r="AS144" s="462">
        <v>74598.399999999994</v>
      </c>
      <c r="AT144" s="544">
        <v>111762.82</v>
      </c>
      <c r="AU144" s="340"/>
      <c r="AV144" s="66" t="s">
        <v>74</v>
      </c>
      <c r="AW144" s="11"/>
      <c r="AX144" s="223" t="s">
        <v>68</v>
      </c>
      <c r="AY144" s="52" t="s">
        <v>506</v>
      </c>
      <c r="AZ144" s="70">
        <v>42663</v>
      </c>
      <c r="BA144" s="5">
        <v>42502</v>
      </c>
      <c r="BB144" s="5">
        <v>42665</v>
      </c>
      <c r="BC144" s="11">
        <v>42660</v>
      </c>
      <c r="BD144" s="70">
        <v>42664</v>
      </c>
      <c r="BE144" s="1614"/>
      <c r="BF144" s="71">
        <v>42502</v>
      </c>
      <c r="BG144" s="71">
        <v>42665</v>
      </c>
      <c r="BH144" s="71">
        <v>42507</v>
      </c>
      <c r="BI144" s="129">
        <v>214265.43</v>
      </c>
      <c r="BJ144" s="13" t="s">
        <v>68</v>
      </c>
      <c r="BK144" s="352"/>
      <c r="BL144" s="694" t="s">
        <v>68</v>
      </c>
      <c r="BM144" s="695" t="s">
        <v>68</v>
      </c>
      <c r="BN144" s="695" t="s">
        <v>68</v>
      </c>
      <c r="BO144" s="694"/>
      <c r="BP144" s="694"/>
      <c r="BQ144" s="694"/>
      <c r="BR144" s="694"/>
      <c r="BS144" s="694"/>
      <c r="BT144" s="694"/>
      <c r="BU144" s="694"/>
      <c r="BV144" s="694" t="s">
        <v>68</v>
      </c>
      <c r="BW144" s="13"/>
      <c r="BX144" s="13"/>
      <c r="BY144" s="13"/>
      <c r="BZ144" s="13"/>
      <c r="CA144" s="13"/>
      <c r="CB144" s="1221" t="s">
        <v>1563</v>
      </c>
      <c r="CC144" s="321" t="s">
        <v>459</v>
      </c>
      <c r="CD144" s="513"/>
      <c r="CE144" s="2"/>
      <c r="CF144" s="2"/>
      <c r="CG144" s="2"/>
      <c r="CH144" s="2"/>
      <c r="CI144" s="2"/>
      <c r="CJ144" s="2"/>
      <c r="CK144" s="12"/>
    </row>
    <row r="145" spans="1:89" ht="75" hidden="1" customHeight="1">
      <c r="A145"/>
      <c r="B145" s="22"/>
      <c r="C145" s="22"/>
      <c r="D145" s="22"/>
      <c r="E145" s="22" t="s">
        <v>68</v>
      </c>
      <c r="F145" s="22"/>
      <c r="G145" s="915">
        <v>43306</v>
      </c>
      <c r="H145" s="915"/>
      <c r="I145" s="448">
        <v>43063</v>
      </c>
      <c r="J145" s="16">
        <v>2016</v>
      </c>
      <c r="K145" s="1415"/>
      <c r="L145" s="1415"/>
      <c r="M145" s="18" t="s">
        <v>77</v>
      </c>
      <c r="N145" s="33" t="s">
        <v>509</v>
      </c>
      <c r="O145" s="2" t="s">
        <v>4032</v>
      </c>
      <c r="P145" s="3" t="s">
        <v>510</v>
      </c>
      <c r="Q145" s="3" t="s">
        <v>1975</v>
      </c>
      <c r="R145" s="4">
        <v>93972.47</v>
      </c>
      <c r="S145" s="6">
        <v>42552</v>
      </c>
      <c r="T145" s="5">
        <v>42555</v>
      </c>
      <c r="U145" s="11">
        <v>42586</v>
      </c>
      <c r="V145" s="13" t="s">
        <v>68</v>
      </c>
      <c r="W145" s="19" t="s">
        <v>68</v>
      </c>
      <c r="X145" s="170" t="s">
        <v>449</v>
      </c>
      <c r="Y145" s="680" t="s">
        <v>68</v>
      </c>
      <c r="Z145" s="1367"/>
      <c r="AA145" s="678" t="s">
        <v>511</v>
      </c>
      <c r="AB145" s="8">
        <v>42521</v>
      </c>
      <c r="AC145" s="4">
        <v>93972.47</v>
      </c>
      <c r="AD145" s="4"/>
      <c r="AE145" s="32"/>
      <c r="AF145" s="34" t="s">
        <v>68</v>
      </c>
      <c r="AG145" s="112" t="s">
        <v>68</v>
      </c>
      <c r="AH145" s="112" t="s">
        <v>68</v>
      </c>
      <c r="AI145" s="7" t="s">
        <v>68</v>
      </c>
      <c r="AJ145" s="215" t="s">
        <v>68</v>
      </c>
      <c r="AK145" s="33" t="s">
        <v>68</v>
      </c>
      <c r="AL145" s="1" t="s">
        <v>68</v>
      </c>
      <c r="AM145" s="1"/>
      <c r="AN145" s="1" t="s">
        <v>68</v>
      </c>
      <c r="AO145" s="1"/>
      <c r="AP145" s="1" t="s">
        <v>68</v>
      </c>
      <c r="AQ145" s="1"/>
      <c r="AR145" s="279">
        <v>0</v>
      </c>
      <c r="AS145" s="462">
        <v>23255.599999999999</v>
      </c>
      <c r="AT145" s="544">
        <v>55363.14</v>
      </c>
      <c r="AU145" s="340"/>
      <c r="AV145" s="324">
        <v>42555</v>
      </c>
      <c r="AW145" s="11">
        <v>42608</v>
      </c>
      <c r="AX145" s="223" t="s">
        <v>68</v>
      </c>
      <c r="AY145" s="52" t="s">
        <v>492</v>
      </c>
      <c r="AZ145" s="70">
        <v>42614</v>
      </c>
      <c r="BA145" s="5">
        <v>42555</v>
      </c>
      <c r="BB145" s="5">
        <v>42586</v>
      </c>
      <c r="BC145" s="11">
        <v>42608</v>
      </c>
      <c r="BD145" s="70">
        <v>42614</v>
      </c>
      <c r="BE145" s="1614"/>
      <c r="BF145" s="71">
        <v>42555</v>
      </c>
      <c r="BG145" s="71">
        <v>42586</v>
      </c>
      <c r="BH145" s="71">
        <v>42608</v>
      </c>
      <c r="BI145" s="129">
        <f t="shared" si="3"/>
        <v>78618.739999999991</v>
      </c>
      <c r="BJ145" s="13" t="s">
        <v>68</v>
      </c>
      <c r="BK145" s="352"/>
      <c r="BL145" s="694" t="s">
        <v>68</v>
      </c>
      <c r="BM145" s="695" t="s">
        <v>68</v>
      </c>
      <c r="BN145" s="695" t="s">
        <v>68</v>
      </c>
      <c r="BO145" s="694"/>
      <c r="BP145" s="694"/>
      <c r="BQ145" s="694"/>
      <c r="BR145" s="694"/>
      <c r="BS145" s="694"/>
      <c r="BT145" s="694"/>
      <c r="BU145" s="694"/>
      <c r="BV145" s="694" t="s">
        <v>68</v>
      </c>
      <c r="BW145" s="13"/>
      <c r="BX145" s="13"/>
      <c r="BY145" s="13"/>
      <c r="BZ145" s="13"/>
      <c r="CA145" s="13"/>
      <c r="CB145" s="1221" t="s">
        <v>1563</v>
      </c>
      <c r="CC145" s="586" t="s">
        <v>454</v>
      </c>
      <c r="CD145" s="513"/>
      <c r="CE145" s="2"/>
      <c r="CF145" s="2"/>
      <c r="CG145" s="2"/>
      <c r="CH145" s="2"/>
      <c r="CI145" s="2"/>
      <c r="CJ145" s="2"/>
      <c r="CK145" s="12"/>
    </row>
    <row r="146" spans="1:89" ht="135" hidden="1" customHeight="1">
      <c r="A146"/>
      <c r="B146" s="649"/>
      <c r="C146" s="649"/>
      <c r="D146" s="649"/>
      <c r="E146" s="22" t="s">
        <v>68</v>
      </c>
      <c r="F146" s="22"/>
      <c r="G146" s="915">
        <v>43356</v>
      </c>
      <c r="H146" s="915"/>
      <c r="I146" s="448">
        <v>43063</v>
      </c>
      <c r="J146" s="16">
        <v>2016</v>
      </c>
      <c r="K146" s="1415"/>
      <c r="L146" s="1415"/>
      <c r="M146" s="18" t="s">
        <v>166</v>
      </c>
      <c r="N146" s="33" t="s">
        <v>512</v>
      </c>
      <c r="O146" s="2" t="s">
        <v>4032</v>
      </c>
      <c r="P146" s="3" t="s">
        <v>513</v>
      </c>
      <c r="Q146" s="3" t="s">
        <v>1975</v>
      </c>
      <c r="R146" s="4">
        <v>550572.48</v>
      </c>
      <c r="S146" s="6">
        <v>42531</v>
      </c>
      <c r="T146" s="5">
        <v>42534</v>
      </c>
      <c r="U146" s="11">
        <v>42582</v>
      </c>
      <c r="V146" s="13" t="s">
        <v>68</v>
      </c>
      <c r="W146" s="19" t="s">
        <v>68</v>
      </c>
      <c r="X146" s="18" t="s">
        <v>449</v>
      </c>
      <c r="Y146" s="53">
        <v>42712</v>
      </c>
      <c r="Z146" s="52"/>
      <c r="AA146" s="33" t="s">
        <v>514</v>
      </c>
      <c r="AB146" s="8">
        <v>42485</v>
      </c>
      <c r="AC146" s="4">
        <v>550572.48</v>
      </c>
      <c r="AD146" s="4"/>
      <c r="AE146" s="32"/>
      <c r="AF146" s="34" t="s">
        <v>68</v>
      </c>
      <c r="AG146" s="112" t="s">
        <v>68</v>
      </c>
      <c r="AH146" s="112" t="s">
        <v>68</v>
      </c>
      <c r="AI146" s="7" t="s">
        <v>68</v>
      </c>
      <c r="AJ146" s="215" t="s">
        <v>68</v>
      </c>
      <c r="AK146" s="33" t="s">
        <v>68</v>
      </c>
      <c r="AL146" s="1" t="s">
        <v>68</v>
      </c>
      <c r="AM146" s="5"/>
      <c r="AN146" s="1" t="s">
        <v>68</v>
      </c>
      <c r="AO146" s="5"/>
      <c r="AP146" s="1" t="s">
        <v>68</v>
      </c>
      <c r="AQ146" s="1"/>
      <c r="AR146" s="279">
        <v>0</v>
      </c>
      <c r="AS146" s="35">
        <v>20085.599999999999</v>
      </c>
      <c r="AT146" s="895">
        <v>396177.97</v>
      </c>
      <c r="AU146" s="884"/>
      <c r="AV146" s="669" t="s">
        <v>68</v>
      </c>
      <c r="AW146" s="11"/>
      <c r="AX146" s="30" t="s">
        <v>68</v>
      </c>
      <c r="AY146" s="52" t="s">
        <v>506</v>
      </c>
      <c r="AZ146" s="324">
        <v>42733</v>
      </c>
      <c r="BA146" s="5">
        <v>42534</v>
      </c>
      <c r="BB146" s="5">
        <v>42582</v>
      </c>
      <c r="BC146" s="11">
        <v>42719</v>
      </c>
      <c r="BD146" s="324">
        <v>42734</v>
      </c>
      <c r="BE146" s="1615"/>
      <c r="BF146" s="325">
        <v>42534</v>
      </c>
      <c r="BG146" s="325">
        <v>42582</v>
      </c>
      <c r="BH146" s="325">
        <v>42719</v>
      </c>
      <c r="BI146" s="326">
        <f t="shared" si="3"/>
        <v>416263.56999999995</v>
      </c>
      <c r="BJ146" s="13" t="s">
        <v>68</v>
      </c>
      <c r="BK146" s="352"/>
      <c r="BL146" s="694" t="s">
        <v>68</v>
      </c>
      <c r="BM146" s="695" t="s">
        <v>68</v>
      </c>
      <c r="BN146" s="695" t="s">
        <v>68</v>
      </c>
      <c r="BO146" s="694"/>
      <c r="BP146" s="694"/>
      <c r="BQ146" s="694"/>
      <c r="BR146" s="694"/>
      <c r="BS146" s="694"/>
      <c r="BT146" s="694"/>
      <c r="BU146" s="694"/>
      <c r="BV146" s="694" t="s">
        <v>68</v>
      </c>
      <c r="BW146" s="13"/>
      <c r="BX146" s="13"/>
      <c r="BY146" s="13"/>
      <c r="BZ146" s="13"/>
      <c r="CA146" s="13"/>
      <c r="CB146" s="1221" t="s">
        <v>1563</v>
      </c>
      <c r="CC146" s="321" t="s">
        <v>459</v>
      </c>
      <c r="CD146" s="513"/>
      <c r="CE146" s="2"/>
      <c r="CF146" s="2"/>
      <c r="CG146" s="2"/>
      <c r="CH146" s="2"/>
      <c r="CI146" s="2"/>
      <c r="CJ146" s="2"/>
      <c r="CK146" s="12"/>
    </row>
    <row r="147" spans="1:89" ht="120" hidden="1" customHeight="1">
      <c r="A147"/>
      <c r="B147" s="22"/>
      <c r="C147" s="22"/>
      <c r="D147" s="22"/>
      <c r="E147" s="22" t="s">
        <v>68</v>
      </c>
      <c r="F147" s="22"/>
      <c r="G147" s="915">
        <v>43237</v>
      </c>
      <c r="H147" s="915"/>
      <c r="I147" s="448">
        <v>43063</v>
      </c>
      <c r="J147" s="16">
        <v>2016</v>
      </c>
      <c r="K147" s="1415"/>
      <c r="L147" s="1415"/>
      <c r="M147" s="18" t="s">
        <v>64</v>
      </c>
      <c r="N147" s="33" t="s">
        <v>515</v>
      </c>
      <c r="O147" s="2" t="s">
        <v>4032</v>
      </c>
      <c r="P147" s="3" t="s">
        <v>516</v>
      </c>
      <c r="Q147" s="3" t="s">
        <v>4823</v>
      </c>
      <c r="R147" s="4">
        <v>165675.38</v>
      </c>
      <c r="S147" s="67">
        <v>42591</v>
      </c>
      <c r="T147" s="5">
        <v>42618</v>
      </c>
      <c r="U147" s="11">
        <v>42643</v>
      </c>
      <c r="V147" s="13" t="s">
        <v>68</v>
      </c>
      <c r="W147" s="19" t="s">
        <v>68</v>
      </c>
      <c r="X147" s="264" t="s">
        <v>114</v>
      </c>
      <c r="Y147" s="200" t="s">
        <v>68</v>
      </c>
      <c r="Z147" s="368"/>
      <c r="AA147" s="130" t="s">
        <v>517</v>
      </c>
      <c r="AB147" s="8">
        <v>42453</v>
      </c>
      <c r="AC147" s="79">
        <v>3333333.33</v>
      </c>
      <c r="AD147" s="4"/>
      <c r="AE147" s="32"/>
      <c r="AF147" s="34" t="s">
        <v>68</v>
      </c>
      <c r="AG147" s="112" t="s">
        <v>68</v>
      </c>
      <c r="AH147" s="112" t="s">
        <v>68</v>
      </c>
      <c r="AI147" s="7" t="s">
        <v>68</v>
      </c>
      <c r="AJ147" s="215" t="s">
        <v>68</v>
      </c>
      <c r="AK147" s="33" t="s">
        <v>68</v>
      </c>
      <c r="AL147" s="1" t="s">
        <v>68</v>
      </c>
      <c r="AM147" s="1"/>
      <c r="AN147" s="1" t="s">
        <v>68</v>
      </c>
      <c r="AO147" s="1"/>
      <c r="AP147" s="1" t="s">
        <v>68</v>
      </c>
      <c r="AQ147" s="1"/>
      <c r="AR147" s="279">
        <v>0</v>
      </c>
      <c r="AS147" s="462">
        <v>8065.4</v>
      </c>
      <c r="AT147" s="544">
        <v>142165.41</v>
      </c>
      <c r="AU147" s="340"/>
      <c r="AV147" s="70">
        <v>42592</v>
      </c>
      <c r="AW147" s="11">
        <v>42738</v>
      </c>
      <c r="AX147" s="223" t="s">
        <v>68</v>
      </c>
      <c r="AY147" s="52" t="s">
        <v>518</v>
      </c>
      <c r="AZ147" s="164" t="s">
        <v>68</v>
      </c>
      <c r="BA147" s="1"/>
      <c r="BB147" s="1"/>
      <c r="BC147" s="17"/>
      <c r="BD147" s="70" t="s">
        <v>519</v>
      </c>
      <c r="BE147" s="1614"/>
      <c r="BF147" s="5">
        <v>42592</v>
      </c>
      <c r="BG147" s="5">
        <v>42735</v>
      </c>
      <c r="BH147" s="5"/>
      <c r="BI147" s="36">
        <v>3333333.33</v>
      </c>
      <c r="BJ147" s="13" t="s">
        <v>68</v>
      </c>
      <c r="BK147" s="352"/>
      <c r="BL147" s="694" t="s">
        <v>68</v>
      </c>
      <c r="BM147" s="695" t="s">
        <v>68</v>
      </c>
      <c r="BN147" s="695" t="s">
        <v>68</v>
      </c>
      <c r="BO147" s="694"/>
      <c r="BP147" s="694"/>
      <c r="BQ147" s="694"/>
      <c r="BR147" s="694"/>
      <c r="BS147" s="694"/>
      <c r="BT147" s="694"/>
      <c r="BU147" s="694"/>
      <c r="BV147" s="694" t="s">
        <v>68</v>
      </c>
      <c r="BW147" s="13"/>
      <c r="BX147" s="13"/>
      <c r="BY147" s="13"/>
      <c r="BZ147" s="13"/>
      <c r="CA147" s="13"/>
      <c r="CB147" s="1221" t="s">
        <v>1563</v>
      </c>
      <c r="CC147" s="321" t="s">
        <v>459</v>
      </c>
      <c r="CD147" s="513"/>
      <c r="CE147" s="513"/>
      <c r="CF147" s="513"/>
      <c r="CG147" s="513"/>
      <c r="CH147" s="513"/>
      <c r="CI147" s="513"/>
      <c r="CJ147" s="513"/>
      <c r="CK147" s="12"/>
    </row>
    <row r="148" spans="1:89" ht="123" hidden="1" customHeight="1">
      <c r="A148"/>
      <c r="B148" s="22"/>
      <c r="C148" s="22"/>
      <c r="D148" s="22"/>
      <c r="E148" s="22" t="s">
        <v>68</v>
      </c>
      <c r="F148" s="22"/>
      <c r="G148" s="915">
        <v>43237</v>
      </c>
      <c r="H148" s="915"/>
      <c r="I148" s="448">
        <v>43063</v>
      </c>
      <c r="J148" s="16">
        <v>2016</v>
      </c>
      <c r="K148" s="1415"/>
      <c r="L148" s="1415"/>
      <c r="M148" s="18" t="s">
        <v>64</v>
      </c>
      <c r="N148" s="33" t="s">
        <v>520</v>
      </c>
      <c r="O148" s="2" t="s">
        <v>4032</v>
      </c>
      <c r="P148" s="3" t="s">
        <v>521</v>
      </c>
      <c r="Q148" s="3" t="s">
        <v>4823</v>
      </c>
      <c r="R148" s="4">
        <v>127975.51</v>
      </c>
      <c r="S148" s="67">
        <v>42591</v>
      </c>
      <c r="T148" s="5">
        <v>42632</v>
      </c>
      <c r="U148" s="11">
        <v>42651</v>
      </c>
      <c r="V148" s="13" t="s">
        <v>68</v>
      </c>
      <c r="W148" s="19" t="s">
        <v>68</v>
      </c>
      <c r="X148" s="264" t="s">
        <v>114</v>
      </c>
      <c r="Y148" s="200" t="s">
        <v>68</v>
      </c>
      <c r="Z148" s="368"/>
      <c r="AA148" s="130" t="s">
        <v>517</v>
      </c>
      <c r="AB148" s="8">
        <v>42453</v>
      </c>
      <c r="AC148" s="79">
        <v>3333333.33</v>
      </c>
      <c r="AD148" s="4"/>
      <c r="AE148" s="32"/>
      <c r="AF148" s="34" t="s">
        <v>68</v>
      </c>
      <c r="AG148" s="112" t="s">
        <v>68</v>
      </c>
      <c r="AH148" s="112" t="s">
        <v>68</v>
      </c>
      <c r="AI148" s="7" t="s">
        <v>68</v>
      </c>
      <c r="AJ148" s="215" t="s">
        <v>68</v>
      </c>
      <c r="AK148" s="33" t="s">
        <v>68</v>
      </c>
      <c r="AL148" s="1" t="s">
        <v>68</v>
      </c>
      <c r="AM148" s="1"/>
      <c r="AN148" s="1" t="s">
        <v>68</v>
      </c>
      <c r="AO148" s="1"/>
      <c r="AP148" s="1" t="s">
        <v>68</v>
      </c>
      <c r="AQ148" s="1"/>
      <c r="AR148" s="279">
        <v>0</v>
      </c>
      <c r="AS148" s="462">
        <v>38855.949999999997</v>
      </c>
      <c r="AT148" s="544">
        <v>141928.92000000001</v>
      </c>
      <c r="AU148" s="340"/>
      <c r="AV148" s="70">
        <v>42592</v>
      </c>
      <c r="AW148" s="11">
        <v>42738</v>
      </c>
      <c r="AX148" s="223" t="s">
        <v>68</v>
      </c>
      <c r="AY148" s="52" t="s">
        <v>518</v>
      </c>
      <c r="AZ148" s="164" t="s">
        <v>68</v>
      </c>
      <c r="BA148" s="1"/>
      <c r="BB148" s="1"/>
      <c r="BC148" s="17"/>
      <c r="BD148" s="70" t="s">
        <v>519</v>
      </c>
      <c r="BE148" s="1614"/>
      <c r="BF148" s="5">
        <v>42592</v>
      </c>
      <c r="BG148" s="5">
        <v>42735</v>
      </c>
      <c r="BH148" s="5"/>
      <c r="BI148" s="36">
        <v>3333333.33</v>
      </c>
      <c r="BJ148" s="13" t="s">
        <v>68</v>
      </c>
      <c r="BK148" s="352"/>
      <c r="BL148" s="694" t="s">
        <v>68</v>
      </c>
      <c r="BM148" s="695" t="s">
        <v>68</v>
      </c>
      <c r="BN148" s="695" t="s">
        <v>68</v>
      </c>
      <c r="BO148" s="694"/>
      <c r="BP148" s="694"/>
      <c r="BQ148" s="694"/>
      <c r="BR148" s="694"/>
      <c r="BS148" s="694"/>
      <c r="BT148" s="694"/>
      <c r="BU148" s="694"/>
      <c r="BV148" s="694" t="s">
        <v>68</v>
      </c>
      <c r="BW148" s="13"/>
      <c r="BX148" s="13"/>
      <c r="BY148" s="13"/>
      <c r="BZ148" s="13"/>
      <c r="CA148" s="13"/>
      <c r="CB148" s="1221" t="s">
        <v>1563</v>
      </c>
      <c r="CC148" s="321" t="s">
        <v>459</v>
      </c>
      <c r="CD148" s="513"/>
      <c r="CE148" s="513"/>
      <c r="CF148" s="513"/>
      <c r="CG148" s="513"/>
      <c r="CH148" s="513"/>
      <c r="CI148" s="513"/>
      <c r="CJ148" s="513"/>
      <c r="CK148" s="12"/>
    </row>
    <row r="149" spans="1:89" ht="75" hidden="1" customHeight="1">
      <c r="A149"/>
      <c r="B149" s="22"/>
      <c r="C149" s="22"/>
      <c r="D149" s="22"/>
      <c r="E149" s="22" t="s">
        <v>68</v>
      </c>
      <c r="F149" s="22"/>
      <c r="G149" s="915">
        <v>43237</v>
      </c>
      <c r="H149" s="915"/>
      <c r="I149" s="448">
        <v>43063</v>
      </c>
      <c r="J149" s="16">
        <v>2016</v>
      </c>
      <c r="K149" s="1415"/>
      <c r="L149" s="1415"/>
      <c r="M149" s="18" t="s">
        <v>64</v>
      </c>
      <c r="N149" s="33" t="s">
        <v>522</v>
      </c>
      <c r="O149" s="2" t="s">
        <v>4032</v>
      </c>
      <c r="P149" s="3" t="s">
        <v>523</v>
      </c>
      <c r="Q149" s="3" t="s">
        <v>4823</v>
      </c>
      <c r="R149" s="4">
        <v>2597533.2999999998</v>
      </c>
      <c r="S149" s="67">
        <v>42591</v>
      </c>
      <c r="T149" s="5">
        <v>42592</v>
      </c>
      <c r="U149" s="11">
        <v>42719</v>
      </c>
      <c r="V149" s="13" t="s">
        <v>68</v>
      </c>
      <c r="W149" s="19" t="s">
        <v>68</v>
      </c>
      <c r="X149" s="264" t="s">
        <v>114</v>
      </c>
      <c r="Y149" s="200" t="s">
        <v>68</v>
      </c>
      <c r="Z149" s="368"/>
      <c r="AA149" s="130" t="s">
        <v>517</v>
      </c>
      <c r="AB149" s="8">
        <v>42453</v>
      </c>
      <c r="AC149" s="79">
        <v>3333333.33</v>
      </c>
      <c r="AD149" s="4"/>
      <c r="AE149" s="32"/>
      <c r="AF149" s="34" t="s">
        <v>68</v>
      </c>
      <c r="AG149" s="112" t="s">
        <v>68</v>
      </c>
      <c r="AH149" s="112" t="s">
        <v>68</v>
      </c>
      <c r="AI149" s="7" t="s">
        <v>68</v>
      </c>
      <c r="AJ149" s="215" t="s">
        <v>68</v>
      </c>
      <c r="AK149" s="33" t="s">
        <v>68</v>
      </c>
      <c r="AL149" s="1" t="s">
        <v>68</v>
      </c>
      <c r="AM149" s="1"/>
      <c r="AN149" s="1" t="s">
        <v>68</v>
      </c>
      <c r="AO149" s="1"/>
      <c r="AP149" s="1" t="s">
        <v>68</v>
      </c>
      <c r="AQ149" s="1"/>
      <c r="AR149" s="279">
        <v>0</v>
      </c>
      <c r="AS149" s="462">
        <v>554695.64</v>
      </c>
      <c r="AT149" s="544">
        <v>1460812.47</v>
      </c>
      <c r="AU149" s="340"/>
      <c r="AV149" s="70">
        <v>42592</v>
      </c>
      <c r="AW149" s="11">
        <v>42738</v>
      </c>
      <c r="AX149" s="223" t="s">
        <v>68</v>
      </c>
      <c r="AY149" s="52" t="s">
        <v>518</v>
      </c>
      <c r="AZ149" s="164" t="s">
        <v>68</v>
      </c>
      <c r="BA149" s="1"/>
      <c r="BB149" s="1"/>
      <c r="BC149" s="17"/>
      <c r="BD149" s="70" t="s">
        <v>519</v>
      </c>
      <c r="BE149" s="1614"/>
      <c r="BF149" s="5">
        <v>42592</v>
      </c>
      <c r="BG149" s="5">
        <v>42735</v>
      </c>
      <c r="BH149" s="5"/>
      <c r="BI149" s="36">
        <v>3333333.33</v>
      </c>
      <c r="BJ149" s="13" t="s">
        <v>68</v>
      </c>
      <c r="BK149" s="352"/>
      <c r="BL149" s="694" t="s">
        <v>68</v>
      </c>
      <c r="BM149" s="695" t="s">
        <v>68</v>
      </c>
      <c r="BN149" s="695" t="s">
        <v>68</v>
      </c>
      <c r="BO149" s="694"/>
      <c r="BP149" s="694"/>
      <c r="BQ149" s="694"/>
      <c r="BR149" s="694"/>
      <c r="BS149" s="694"/>
      <c r="BT149" s="694"/>
      <c r="BU149" s="694"/>
      <c r="BV149" s="694" t="s">
        <v>68</v>
      </c>
      <c r="BW149" s="13"/>
      <c r="BX149" s="13"/>
      <c r="BY149" s="13"/>
      <c r="BZ149" s="13"/>
      <c r="CA149" s="13"/>
      <c r="CB149" s="1221" t="s">
        <v>1563</v>
      </c>
      <c r="CC149" s="321" t="s">
        <v>459</v>
      </c>
      <c r="CD149" s="513"/>
      <c r="CE149" s="513"/>
      <c r="CF149" s="513"/>
      <c r="CG149" s="513"/>
      <c r="CH149" s="513"/>
      <c r="CI149" s="513"/>
      <c r="CJ149" s="513"/>
      <c r="CK149" s="12"/>
    </row>
    <row r="150" spans="1:89" ht="93" hidden="1" customHeight="1">
      <c r="A150" t="s">
        <v>524</v>
      </c>
      <c r="B150" s="22"/>
      <c r="C150" s="22"/>
      <c r="D150" s="22"/>
      <c r="E150" s="22" t="s">
        <v>68</v>
      </c>
      <c r="F150" s="22"/>
      <c r="G150" s="915">
        <v>43335</v>
      </c>
      <c r="H150" s="915"/>
      <c r="I150" s="448">
        <v>43063</v>
      </c>
      <c r="J150" s="16">
        <v>2016</v>
      </c>
      <c r="K150" s="1415"/>
      <c r="L150" s="1415"/>
      <c r="M150" s="18" t="s">
        <v>166</v>
      </c>
      <c r="N150" s="33" t="s">
        <v>525</v>
      </c>
      <c r="O150" s="2" t="s">
        <v>4032</v>
      </c>
      <c r="P150" s="3" t="s">
        <v>526</v>
      </c>
      <c r="Q150" s="3" t="s">
        <v>1975</v>
      </c>
      <c r="R150" s="4">
        <v>12001.68</v>
      </c>
      <c r="S150" s="6">
        <v>42548</v>
      </c>
      <c r="T150" s="5">
        <v>42549</v>
      </c>
      <c r="U150" s="11">
        <v>42622</v>
      </c>
      <c r="V150" s="13" t="s">
        <v>68</v>
      </c>
      <c r="W150" s="19" t="s">
        <v>68</v>
      </c>
      <c r="X150" s="170" t="s">
        <v>449</v>
      </c>
      <c r="Y150" s="200" t="s">
        <v>68</v>
      </c>
      <c r="Z150" s="368"/>
      <c r="AA150" s="130" t="s">
        <v>527</v>
      </c>
      <c r="AB150" s="74">
        <v>42608</v>
      </c>
      <c r="AC150" s="75" t="s">
        <v>528</v>
      </c>
      <c r="AD150" s="4"/>
      <c r="AE150" s="32"/>
      <c r="AF150" s="34" t="s">
        <v>68</v>
      </c>
      <c r="AG150" s="112" t="s">
        <v>68</v>
      </c>
      <c r="AH150" s="112" t="s">
        <v>68</v>
      </c>
      <c r="AI150" s="7" t="s">
        <v>68</v>
      </c>
      <c r="AJ150" s="215" t="s">
        <v>68</v>
      </c>
      <c r="AK150" s="33" t="s">
        <v>68</v>
      </c>
      <c r="AL150" s="1" t="s">
        <v>68</v>
      </c>
      <c r="AM150" s="1"/>
      <c r="AN150" s="1" t="s">
        <v>68</v>
      </c>
      <c r="AO150" s="1"/>
      <c r="AP150" s="1" t="s">
        <v>68</v>
      </c>
      <c r="AQ150" s="1"/>
      <c r="AR150" s="279">
        <v>0</v>
      </c>
      <c r="AS150" s="35">
        <v>6050</v>
      </c>
      <c r="AT150" s="895">
        <v>12313.99</v>
      </c>
      <c r="AU150" s="884"/>
      <c r="AV150" s="350" t="s">
        <v>68</v>
      </c>
      <c r="AW150" s="11"/>
      <c r="AX150" s="223" t="s">
        <v>68</v>
      </c>
      <c r="AY150" s="52" t="s">
        <v>492</v>
      </c>
      <c r="AZ150" s="324">
        <v>42703</v>
      </c>
      <c r="BA150" s="5">
        <v>42549</v>
      </c>
      <c r="BB150" s="5">
        <v>42622</v>
      </c>
      <c r="BC150" s="5">
        <v>42702</v>
      </c>
      <c r="BD150" s="324">
        <v>42704</v>
      </c>
      <c r="BE150" s="1615"/>
      <c r="BF150" s="325">
        <v>42549</v>
      </c>
      <c r="BG150" s="325">
        <v>42622</v>
      </c>
      <c r="BH150" s="325">
        <v>42702</v>
      </c>
      <c r="BI150" s="326">
        <f t="shared" si="3"/>
        <v>18363.989999999998</v>
      </c>
      <c r="BJ150" s="13" t="s">
        <v>68</v>
      </c>
      <c r="BK150" s="352"/>
      <c r="BL150" s="694" t="s">
        <v>68</v>
      </c>
      <c r="BM150" s="695" t="s">
        <v>68</v>
      </c>
      <c r="BN150" s="695" t="s">
        <v>68</v>
      </c>
      <c r="BO150" s="694"/>
      <c r="BP150" s="694"/>
      <c r="BQ150" s="694"/>
      <c r="BR150" s="694"/>
      <c r="BS150" s="694"/>
      <c r="BT150" s="694"/>
      <c r="BU150" s="694"/>
      <c r="BV150" s="694" t="s">
        <v>68</v>
      </c>
      <c r="BW150" s="13"/>
      <c r="BX150" s="13"/>
      <c r="BY150" s="13"/>
      <c r="BZ150" s="13"/>
      <c r="CA150" s="13"/>
      <c r="CB150" s="1221" t="s">
        <v>1563</v>
      </c>
      <c r="CC150" s="586" t="s">
        <v>454</v>
      </c>
      <c r="CD150" s="513"/>
      <c r="CE150" s="2"/>
      <c r="CF150" s="2"/>
      <c r="CG150" s="2"/>
      <c r="CH150" s="2"/>
      <c r="CI150" s="2"/>
      <c r="CJ150" s="2"/>
      <c r="CK150" s="12"/>
    </row>
    <row r="151" spans="1:89" ht="93.75" hidden="1" customHeight="1">
      <c r="A151"/>
      <c r="B151" s="22"/>
      <c r="C151" s="22"/>
      <c r="D151" s="22"/>
      <c r="E151" s="22" t="s">
        <v>68</v>
      </c>
      <c r="F151" s="22"/>
      <c r="G151" s="915">
        <v>43335</v>
      </c>
      <c r="H151" s="915"/>
      <c r="I151" s="448">
        <v>43063</v>
      </c>
      <c r="J151" s="16">
        <v>2016</v>
      </c>
      <c r="K151" s="1415"/>
      <c r="L151" s="1415"/>
      <c r="M151" s="18" t="s">
        <v>166</v>
      </c>
      <c r="N151" s="33" t="s">
        <v>529</v>
      </c>
      <c r="O151" s="2" t="s">
        <v>4032</v>
      </c>
      <c r="P151" s="3" t="s">
        <v>530</v>
      </c>
      <c r="Q151" s="3" t="s">
        <v>1975</v>
      </c>
      <c r="R151" s="4">
        <v>27133.54</v>
      </c>
      <c r="S151" s="67">
        <v>42548</v>
      </c>
      <c r="T151" s="5">
        <v>42549</v>
      </c>
      <c r="U151" s="11">
        <v>42622</v>
      </c>
      <c r="V151" s="13" t="s">
        <v>68</v>
      </c>
      <c r="W151" s="19" t="s">
        <v>68</v>
      </c>
      <c r="X151" s="170" t="s">
        <v>449</v>
      </c>
      <c r="Y151" s="200" t="s">
        <v>68</v>
      </c>
      <c r="Z151" s="368"/>
      <c r="AA151" s="130" t="s">
        <v>527</v>
      </c>
      <c r="AB151" s="74">
        <v>42608</v>
      </c>
      <c r="AC151" s="75">
        <v>27133.64</v>
      </c>
      <c r="AD151" s="4"/>
      <c r="AE151" s="32"/>
      <c r="AF151" s="34" t="s">
        <v>68</v>
      </c>
      <c r="AG151" s="112" t="s">
        <v>68</v>
      </c>
      <c r="AH151" s="112" t="s">
        <v>68</v>
      </c>
      <c r="AI151" s="7" t="s">
        <v>68</v>
      </c>
      <c r="AJ151" s="215" t="s">
        <v>68</v>
      </c>
      <c r="AK151" s="33" t="s">
        <v>68</v>
      </c>
      <c r="AL151" s="1" t="s">
        <v>68</v>
      </c>
      <c r="AM151" s="1"/>
      <c r="AN151" s="1" t="s">
        <v>68</v>
      </c>
      <c r="AO151" s="1"/>
      <c r="AP151" s="1" t="s">
        <v>68</v>
      </c>
      <c r="AQ151" s="1"/>
      <c r="AR151" s="279">
        <v>0</v>
      </c>
      <c r="AS151" s="35">
        <v>4620</v>
      </c>
      <c r="AT151" s="895">
        <v>14270.98</v>
      </c>
      <c r="AU151" s="884"/>
      <c r="AV151" s="350" t="s">
        <v>68</v>
      </c>
      <c r="AW151" s="11"/>
      <c r="AX151" s="223" t="s">
        <v>68</v>
      </c>
      <c r="AY151" s="52" t="s">
        <v>492</v>
      </c>
      <c r="AZ151" s="70">
        <v>42703</v>
      </c>
      <c r="BA151" s="5">
        <v>42549</v>
      </c>
      <c r="BB151" s="5">
        <v>42622</v>
      </c>
      <c r="BC151" s="5">
        <v>42690</v>
      </c>
      <c r="BD151" s="70">
        <v>42704</v>
      </c>
      <c r="BE151" s="1614"/>
      <c r="BF151" s="71">
        <v>42549</v>
      </c>
      <c r="BG151" s="71">
        <v>42622</v>
      </c>
      <c r="BH151" s="71">
        <v>42690</v>
      </c>
      <c r="BI151" s="129">
        <f t="shared" si="3"/>
        <v>18890.98</v>
      </c>
      <c r="BJ151" s="13" t="s">
        <v>68</v>
      </c>
      <c r="BK151" s="352"/>
      <c r="BL151" s="694" t="s">
        <v>68</v>
      </c>
      <c r="BM151" s="695" t="s">
        <v>68</v>
      </c>
      <c r="BN151" s="695" t="s">
        <v>68</v>
      </c>
      <c r="BO151" s="694"/>
      <c r="BP151" s="694"/>
      <c r="BQ151" s="694"/>
      <c r="BR151" s="694"/>
      <c r="BS151" s="694"/>
      <c r="BT151" s="694"/>
      <c r="BU151" s="694"/>
      <c r="BV151" s="694" t="s">
        <v>68</v>
      </c>
      <c r="BW151" s="13"/>
      <c r="BX151" s="13"/>
      <c r="BY151" s="13"/>
      <c r="BZ151" s="13"/>
      <c r="CA151" s="13"/>
      <c r="CB151" s="1221" t="s">
        <v>1563</v>
      </c>
      <c r="CC151" s="586" t="s">
        <v>454</v>
      </c>
      <c r="CD151" s="513"/>
      <c r="CE151" s="2"/>
      <c r="CF151" s="2"/>
      <c r="CG151" s="2"/>
      <c r="CH151" s="2"/>
      <c r="CI151" s="2"/>
      <c r="CJ151" s="2"/>
      <c r="CK151" s="12"/>
    </row>
    <row r="152" spans="1:89" ht="87.75" hidden="1" customHeight="1">
      <c r="A152"/>
      <c r="B152" s="22"/>
      <c r="C152" s="22"/>
      <c r="D152" s="22"/>
      <c r="E152" s="22" t="s">
        <v>68</v>
      </c>
      <c r="F152" s="22"/>
      <c r="G152" s="915">
        <v>43237</v>
      </c>
      <c r="H152" s="915"/>
      <c r="I152" s="448">
        <v>43063</v>
      </c>
      <c r="J152" s="16">
        <v>2016</v>
      </c>
      <c r="K152" s="1415"/>
      <c r="L152" s="1415"/>
      <c r="M152" s="18" t="s">
        <v>163</v>
      </c>
      <c r="N152" s="33" t="s">
        <v>531</v>
      </c>
      <c r="O152" s="2" t="s">
        <v>4032</v>
      </c>
      <c r="P152" s="3" t="s">
        <v>532</v>
      </c>
      <c r="Q152" s="3" t="s">
        <v>4824</v>
      </c>
      <c r="R152" s="4">
        <v>136120</v>
      </c>
      <c r="S152" s="67">
        <v>42627</v>
      </c>
      <c r="T152" s="5">
        <v>42627</v>
      </c>
      <c r="U152" s="11">
        <v>42643</v>
      </c>
      <c r="V152" s="13" t="s">
        <v>68</v>
      </c>
      <c r="W152" s="19" t="s">
        <v>68</v>
      </c>
      <c r="X152" s="18" t="s">
        <v>114</v>
      </c>
      <c r="Y152" s="347">
        <v>42443</v>
      </c>
      <c r="Z152" s="342"/>
      <c r="AA152" s="130" t="s">
        <v>533</v>
      </c>
      <c r="AB152" s="74">
        <v>42453</v>
      </c>
      <c r="AC152" s="79">
        <v>136120.53</v>
      </c>
      <c r="AD152" s="4"/>
      <c r="AE152" s="32"/>
      <c r="AF152" s="34" t="s">
        <v>68</v>
      </c>
      <c r="AG152" s="112" t="s">
        <v>68</v>
      </c>
      <c r="AH152" s="112" t="s">
        <v>68</v>
      </c>
      <c r="AI152" s="7" t="s">
        <v>68</v>
      </c>
      <c r="AJ152" s="215" t="s">
        <v>68</v>
      </c>
      <c r="AK152" s="33" t="s">
        <v>68</v>
      </c>
      <c r="AL152" s="1" t="s">
        <v>68</v>
      </c>
      <c r="AM152" s="5"/>
      <c r="AN152" s="1" t="s">
        <v>68</v>
      </c>
      <c r="AO152" s="5"/>
      <c r="AP152" s="1" t="s">
        <v>68</v>
      </c>
      <c r="AQ152" s="1"/>
      <c r="AR152" s="279">
        <v>0</v>
      </c>
      <c r="AS152" s="348">
        <v>46152.6</v>
      </c>
      <c r="AT152" s="899">
        <v>89999.5</v>
      </c>
      <c r="AU152" s="888"/>
      <c r="AV152" s="70">
        <v>42627</v>
      </c>
      <c r="AW152" s="11">
        <v>42643</v>
      </c>
      <c r="AX152" s="223" t="s">
        <v>68</v>
      </c>
      <c r="AY152" s="52" t="s">
        <v>506</v>
      </c>
      <c r="AZ152" s="164" t="s">
        <v>68</v>
      </c>
      <c r="BA152" s="1"/>
      <c r="BB152" s="1"/>
      <c r="BC152" s="17"/>
      <c r="BD152" s="70">
        <v>42683</v>
      </c>
      <c r="BE152" s="1614"/>
      <c r="BF152" s="5">
        <v>42632</v>
      </c>
      <c r="BG152" s="5">
        <v>42677</v>
      </c>
      <c r="BH152" s="5"/>
      <c r="BI152" s="64">
        <v>135120</v>
      </c>
      <c r="BJ152" s="13" t="s">
        <v>68</v>
      </c>
      <c r="BK152" s="352"/>
      <c r="BL152" s="694" t="s">
        <v>68</v>
      </c>
      <c r="BM152" s="695" t="s">
        <v>68</v>
      </c>
      <c r="BN152" s="695" t="s">
        <v>68</v>
      </c>
      <c r="BO152" s="694"/>
      <c r="BP152" s="694"/>
      <c r="BQ152" s="694"/>
      <c r="BR152" s="694"/>
      <c r="BS152" s="694"/>
      <c r="BT152" s="694"/>
      <c r="BU152" s="694"/>
      <c r="BV152" s="694" t="s">
        <v>68</v>
      </c>
      <c r="BW152" s="13"/>
      <c r="BX152" s="13"/>
      <c r="BY152" s="13"/>
      <c r="BZ152" s="13"/>
      <c r="CA152" s="13"/>
      <c r="CB152" s="1221" t="s">
        <v>1563</v>
      </c>
      <c r="CC152" s="586" t="s">
        <v>454</v>
      </c>
      <c r="CD152" s="513"/>
      <c r="CE152" s="513"/>
      <c r="CF152" s="513"/>
      <c r="CG152" s="513"/>
      <c r="CH152" s="513"/>
      <c r="CI152" s="513"/>
      <c r="CJ152" s="513"/>
      <c r="CK152" s="12"/>
    </row>
    <row r="153" spans="1:89" ht="90" hidden="1" customHeight="1">
      <c r="A153"/>
      <c r="B153" s="22"/>
      <c r="C153" s="22"/>
      <c r="D153" s="22"/>
      <c r="E153" s="22" t="s">
        <v>68</v>
      </c>
      <c r="F153" s="22"/>
      <c r="G153" s="915">
        <v>43237</v>
      </c>
      <c r="H153" s="915"/>
      <c r="I153" s="448">
        <v>43063</v>
      </c>
      <c r="J153" s="16">
        <v>2016</v>
      </c>
      <c r="K153" s="1415"/>
      <c r="L153" s="1415"/>
      <c r="M153" s="18" t="s">
        <v>163</v>
      </c>
      <c r="N153" s="33" t="s">
        <v>534</v>
      </c>
      <c r="O153" s="2" t="s">
        <v>4032</v>
      </c>
      <c r="P153" s="3" t="s">
        <v>535</v>
      </c>
      <c r="Q153" s="3" t="s">
        <v>4824</v>
      </c>
      <c r="R153" s="4">
        <v>100336</v>
      </c>
      <c r="S153" s="67">
        <v>42639</v>
      </c>
      <c r="T153" s="5">
        <v>42639</v>
      </c>
      <c r="U153" s="11">
        <v>42651</v>
      </c>
      <c r="V153" s="13" t="s">
        <v>68</v>
      </c>
      <c r="W153" s="19" t="s">
        <v>68</v>
      </c>
      <c r="X153" s="18" t="s">
        <v>114</v>
      </c>
      <c r="Y153" s="347">
        <v>42443</v>
      </c>
      <c r="Z153" s="342"/>
      <c r="AA153" s="130" t="s">
        <v>533</v>
      </c>
      <c r="AB153" s="74">
        <v>42453</v>
      </c>
      <c r="AC153" s="79">
        <v>100338.34</v>
      </c>
      <c r="AD153" s="4"/>
      <c r="AE153" s="32"/>
      <c r="AF153" s="34" t="s">
        <v>68</v>
      </c>
      <c r="AG153" s="112" t="s">
        <v>68</v>
      </c>
      <c r="AH153" s="112" t="s">
        <v>68</v>
      </c>
      <c r="AI153" s="7" t="s">
        <v>68</v>
      </c>
      <c r="AJ153" s="215" t="s">
        <v>68</v>
      </c>
      <c r="AK153" s="33" t="s">
        <v>68</v>
      </c>
      <c r="AL153" s="1" t="s">
        <v>68</v>
      </c>
      <c r="AM153" s="5"/>
      <c r="AN153" s="1" t="s">
        <v>68</v>
      </c>
      <c r="AO153" s="5"/>
      <c r="AP153" s="1" t="s">
        <v>68</v>
      </c>
      <c r="AQ153" s="1"/>
      <c r="AR153" s="279">
        <v>0</v>
      </c>
      <c r="AS153" s="348">
        <v>45878.5</v>
      </c>
      <c r="AT153" s="899">
        <v>40096.480000000003</v>
      </c>
      <c r="AU153" s="888"/>
      <c r="AV153" s="70">
        <v>42639</v>
      </c>
      <c r="AW153" s="11">
        <v>42654</v>
      </c>
      <c r="AX153" s="30" t="s">
        <v>68</v>
      </c>
      <c r="AY153" s="52" t="s">
        <v>492</v>
      </c>
      <c r="AZ153" s="164" t="s">
        <v>68</v>
      </c>
      <c r="BA153" s="1"/>
      <c r="BB153" s="1"/>
      <c r="BC153" s="17"/>
      <c r="BD153" s="70">
        <v>42683</v>
      </c>
      <c r="BE153" s="1614"/>
      <c r="BF153" s="5">
        <v>42646</v>
      </c>
      <c r="BG153" s="5">
        <v>42653</v>
      </c>
      <c r="BH153" s="5">
        <v>42653</v>
      </c>
      <c r="BI153" s="36">
        <v>236752</v>
      </c>
      <c r="BJ153" s="13" t="s">
        <v>68</v>
      </c>
      <c r="BK153" s="352"/>
      <c r="BL153" s="694" t="s">
        <v>68</v>
      </c>
      <c r="BM153" s="695" t="s">
        <v>68</v>
      </c>
      <c r="BN153" s="695" t="s">
        <v>68</v>
      </c>
      <c r="BO153" s="694"/>
      <c r="BP153" s="694"/>
      <c r="BQ153" s="694"/>
      <c r="BR153" s="694"/>
      <c r="BS153" s="694"/>
      <c r="BT153" s="694"/>
      <c r="BU153" s="694"/>
      <c r="BV153" s="694" t="s">
        <v>68</v>
      </c>
      <c r="BW153" s="13"/>
      <c r="BX153" s="13"/>
      <c r="BY153" s="13"/>
      <c r="BZ153" s="13"/>
      <c r="CA153" s="13"/>
      <c r="CB153" s="1221" t="s">
        <v>1563</v>
      </c>
      <c r="CC153" s="586" t="s">
        <v>454</v>
      </c>
      <c r="CD153" s="513"/>
      <c r="CE153" s="513"/>
      <c r="CF153" s="513"/>
      <c r="CG153" s="513"/>
      <c r="CH153" s="513"/>
      <c r="CI153" s="513"/>
      <c r="CJ153" s="513"/>
      <c r="CK153" s="12"/>
    </row>
    <row r="154" spans="1:89" ht="90" hidden="1" customHeight="1">
      <c r="A154"/>
      <c r="B154" s="22"/>
      <c r="C154" s="22"/>
      <c r="D154" s="22"/>
      <c r="E154" s="22" t="s">
        <v>68</v>
      </c>
      <c r="F154" s="22"/>
      <c r="G154" s="915">
        <v>43237</v>
      </c>
      <c r="H154" s="915"/>
      <c r="I154" s="448">
        <v>43063</v>
      </c>
      <c r="J154" s="16">
        <v>2016</v>
      </c>
      <c r="K154" s="1415"/>
      <c r="L154" s="1415"/>
      <c r="M154" s="18" t="s">
        <v>163</v>
      </c>
      <c r="N154" s="33" t="s">
        <v>536</v>
      </c>
      <c r="O154" s="2" t="s">
        <v>4032</v>
      </c>
      <c r="P154" s="3" t="s">
        <v>537</v>
      </c>
      <c r="Q154" s="3" t="s">
        <v>4824</v>
      </c>
      <c r="R154" s="4">
        <v>236752</v>
      </c>
      <c r="S154" s="67">
        <v>42641</v>
      </c>
      <c r="T154" s="5">
        <v>42639</v>
      </c>
      <c r="U154" s="11">
        <v>42663</v>
      </c>
      <c r="V154" s="13" t="s">
        <v>68</v>
      </c>
      <c r="W154" s="19" t="s">
        <v>68</v>
      </c>
      <c r="X154" s="264" t="s">
        <v>114</v>
      </c>
      <c r="Y154" s="347">
        <v>42443</v>
      </c>
      <c r="Z154" s="342"/>
      <c r="AA154" s="130" t="s">
        <v>533</v>
      </c>
      <c r="AB154" s="77">
        <v>42453</v>
      </c>
      <c r="AC154" s="79">
        <v>236752</v>
      </c>
      <c r="AD154" s="4"/>
      <c r="AE154" s="32"/>
      <c r="AF154" s="34" t="s">
        <v>68</v>
      </c>
      <c r="AG154" s="112" t="s">
        <v>68</v>
      </c>
      <c r="AH154" s="112" t="s">
        <v>68</v>
      </c>
      <c r="AI154" s="7" t="s">
        <v>68</v>
      </c>
      <c r="AJ154" s="215" t="s">
        <v>68</v>
      </c>
      <c r="AK154" s="33" t="s">
        <v>68</v>
      </c>
      <c r="AL154" s="1" t="s">
        <v>68</v>
      </c>
      <c r="AM154" s="5"/>
      <c r="AN154" s="1" t="s">
        <v>68</v>
      </c>
      <c r="AO154" s="5"/>
      <c r="AP154" s="1" t="s">
        <v>68</v>
      </c>
      <c r="AQ154" s="1"/>
      <c r="AR154" s="279">
        <v>0</v>
      </c>
      <c r="AS154" s="348">
        <v>82709.78</v>
      </c>
      <c r="AT154" s="899">
        <v>154164</v>
      </c>
      <c r="AU154" s="888"/>
      <c r="AV154" s="70">
        <v>42642</v>
      </c>
      <c r="AW154" s="11">
        <v>42660</v>
      </c>
      <c r="AX154" s="223" t="s">
        <v>68</v>
      </c>
      <c r="AY154" s="52" t="s">
        <v>492</v>
      </c>
      <c r="AZ154" s="70" t="s">
        <v>68</v>
      </c>
      <c r="BA154" s="1"/>
      <c r="BB154" s="1"/>
      <c r="BC154" s="17"/>
      <c r="BD154" s="70">
        <v>42664</v>
      </c>
      <c r="BE154" s="1614"/>
      <c r="BF154" s="5">
        <v>42632</v>
      </c>
      <c r="BG154" s="5">
        <v>42653</v>
      </c>
      <c r="BH154" s="5"/>
      <c r="BI154" s="64">
        <v>236752</v>
      </c>
      <c r="BJ154" s="13" t="s">
        <v>68</v>
      </c>
      <c r="BK154" s="352"/>
      <c r="BL154" s="694" t="s">
        <v>68</v>
      </c>
      <c r="BM154" s="695" t="s">
        <v>68</v>
      </c>
      <c r="BN154" s="695" t="s">
        <v>68</v>
      </c>
      <c r="BO154" s="694"/>
      <c r="BP154" s="694"/>
      <c r="BQ154" s="694"/>
      <c r="BR154" s="694"/>
      <c r="BS154" s="694"/>
      <c r="BT154" s="694"/>
      <c r="BU154" s="694"/>
      <c r="BV154" s="694" t="s">
        <v>68</v>
      </c>
      <c r="BW154" s="13"/>
      <c r="BX154" s="13"/>
      <c r="BY154" s="13"/>
      <c r="BZ154" s="13"/>
      <c r="CA154" s="13"/>
      <c r="CB154" s="1221" t="s">
        <v>1563</v>
      </c>
      <c r="CC154" s="586" t="s">
        <v>454</v>
      </c>
      <c r="CD154" s="513"/>
      <c r="CE154" s="513"/>
      <c r="CF154" s="513"/>
      <c r="CG154" s="513"/>
      <c r="CH154" s="513"/>
      <c r="CI154" s="513"/>
      <c r="CJ154" s="513"/>
      <c r="CK154" s="12"/>
    </row>
    <row r="155" spans="1:89" ht="90" hidden="1" customHeight="1">
      <c r="A155"/>
      <c r="B155" s="22"/>
      <c r="C155" s="22"/>
      <c r="D155" s="22"/>
      <c r="E155" s="22" t="s">
        <v>68</v>
      </c>
      <c r="F155" s="22"/>
      <c r="G155" s="915">
        <v>43237</v>
      </c>
      <c r="H155" s="915"/>
      <c r="I155" s="448">
        <v>43063</v>
      </c>
      <c r="J155" s="16">
        <v>2016</v>
      </c>
      <c r="K155" s="1415"/>
      <c r="L155" s="1415"/>
      <c r="M155" s="18" t="s">
        <v>163</v>
      </c>
      <c r="N155" s="33" t="s">
        <v>538</v>
      </c>
      <c r="O155" s="2" t="s">
        <v>4032</v>
      </c>
      <c r="P155" s="3" t="s">
        <v>539</v>
      </c>
      <c r="Q155" s="3" t="s">
        <v>4824</v>
      </c>
      <c r="R155" s="4">
        <v>214516</v>
      </c>
      <c r="S155" s="67">
        <v>42639</v>
      </c>
      <c r="T155" s="5">
        <v>42641</v>
      </c>
      <c r="U155" s="11">
        <v>42663</v>
      </c>
      <c r="V155" s="13" t="s">
        <v>68</v>
      </c>
      <c r="W155" s="19" t="s">
        <v>68</v>
      </c>
      <c r="X155" s="170" t="s">
        <v>114</v>
      </c>
      <c r="Y155" s="347">
        <v>42443</v>
      </c>
      <c r="Z155" s="342"/>
      <c r="AA155" s="130" t="s">
        <v>533</v>
      </c>
      <c r="AB155" s="77">
        <v>42453</v>
      </c>
      <c r="AC155" s="78">
        <v>214519.54</v>
      </c>
      <c r="AD155" s="4"/>
      <c r="AE155" s="32"/>
      <c r="AF155" s="34" t="s">
        <v>68</v>
      </c>
      <c r="AG155" s="112" t="s">
        <v>68</v>
      </c>
      <c r="AH155" s="112" t="s">
        <v>68</v>
      </c>
      <c r="AI155" s="7" t="s">
        <v>68</v>
      </c>
      <c r="AJ155" s="215" t="s">
        <v>68</v>
      </c>
      <c r="AK155" s="33" t="s">
        <v>68</v>
      </c>
      <c r="AL155" s="1" t="s">
        <v>68</v>
      </c>
      <c r="AM155" s="5"/>
      <c r="AN155" s="1" t="s">
        <v>68</v>
      </c>
      <c r="AO155" s="5"/>
      <c r="AP155" s="1" t="s">
        <v>68</v>
      </c>
      <c r="AQ155" s="1"/>
      <c r="AR155" s="279">
        <v>0</v>
      </c>
      <c r="AS155" s="462">
        <v>61667.4</v>
      </c>
      <c r="AT155" s="544">
        <v>121998.98</v>
      </c>
      <c r="AU155" s="340"/>
      <c r="AV155" s="70">
        <v>42636</v>
      </c>
      <c r="AW155" s="11">
        <v>42657</v>
      </c>
      <c r="AX155" s="223" t="s">
        <v>68</v>
      </c>
      <c r="AY155" s="226" t="s">
        <v>492</v>
      </c>
      <c r="AZ155" s="324" t="s">
        <v>68</v>
      </c>
      <c r="BA155" s="1"/>
      <c r="BB155" s="1"/>
      <c r="BC155" s="17"/>
      <c r="BD155" s="324">
        <v>42683</v>
      </c>
      <c r="BE155" s="1615"/>
      <c r="BF155" s="5">
        <v>42636</v>
      </c>
      <c r="BG155" s="5"/>
      <c r="BH155" s="5">
        <v>42658</v>
      </c>
      <c r="BI155" s="36">
        <v>214516</v>
      </c>
      <c r="BJ155" s="13" t="s">
        <v>68</v>
      </c>
      <c r="BK155" s="352"/>
      <c r="BL155" s="694" t="s">
        <v>68</v>
      </c>
      <c r="BM155" s="695" t="s">
        <v>68</v>
      </c>
      <c r="BN155" s="695" t="s">
        <v>68</v>
      </c>
      <c r="BO155" s="694"/>
      <c r="BP155" s="694"/>
      <c r="BQ155" s="694"/>
      <c r="BR155" s="694"/>
      <c r="BS155" s="694"/>
      <c r="BT155" s="694"/>
      <c r="BU155" s="694"/>
      <c r="BV155" s="694" t="s">
        <v>68</v>
      </c>
      <c r="BW155" s="13"/>
      <c r="BX155" s="13"/>
      <c r="BY155" s="13"/>
      <c r="BZ155" s="13"/>
      <c r="CA155" s="13"/>
      <c r="CB155" s="1221" t="s">
        <v>1563</v>
      </c>
      <c r="CC155" s="586" t="s">
        <v>454</v>
      </c>
      <c r="CD155" s="513"/>
      <c r="CE155" s="513"/>
      <c r="CF155" s="513"/>
      <c r="CG155" s="513"/>
      <c r="CH155" s="513"/>
      <c r="CI155" s="513"/>
      <c r="CJ155" s="513"/>
      <c r="CK155" s="12"/>
    </row>
    <row r="156" spans="1:89" ht="93" hidden="1" customHeight="1">
      <c r="A156"/>
      <c r="B156" s="22"/>
      <c r="C156" s="22"/>
      <c r="D156" s="22"/>
      <c r="E156" s="22" t="s">
        <v>68</v>
      </c>
      <c r="F156" s="22"/>
      <c r="G156" s="915">
        <v>43237</v>
      </c>
      <c r="H156" s="915"/>
      <c r="I156" s="448">
        <v>43063</v>
      </c>
      <c r="J156" s="16">
        <v>2016</v>
      </c>
      <c r="K156" s="1415"/>
      <c r="L156" s="1415"/>
      <c r="M156" s="18" t="s">
        <v>163</v>
      </c>
      <c r="N156" s="33" t="s">
        <v>540</v>
      </c>
      <c r="O156" s="2" t="s">
        <v>4032</v>
      </c>
      <c r="P156" s="3" t="s">
        <v>541</v>
      </c>
      <c r="Q156" s="3" t="s">
        <v>4824</v>
      </c>
      <c r="R156" s="4">
        <v>245400</v>
      </c>
      <c r="S156" s="67">
        <v>42646</v>
      </c>
      <c r="T156" s="5">
        <v>42648</v>
      </c>
      <c r="U156" s="11">
        <v>42669</v>
      </c>
      <c r="V156" s="13" t="s">
        <v>68</v>
      </c>
      <c r="W156" s="19" t="s">
        <v>68</v>
      </c>
      <c r="X156" s="18" t="s">
        <v>114</v>
      </c>
      <c r="Y156" s="347">
        <v>42443</v>
      </c>
      <c r="Z156" s="342"/>
      <c r="AA156" s="130" t="s">
        <v>533</v>
      </c>
      <c r="AB156" s="74">
        <v>42455</v>
      </c>
      <c r="AC156" s="75">
        <v>245402.56</v>
      </c>
      <c r="AD156" s="4"/>
      <c r="AE156" s="32"/>
      <c r="AF156" s="34" t="s">
        <v>68</v>
      </c>
      <c r="AG156" s="112" t="s">
        <v>68</v>
      </c>
      <c r="AH156" s="112" t="s">
        <v>68</v>
      </c>
      <c r="AI156" s="7" t="s">
        <v>68</v>
      </c>
      <c r="AJ156" s="215" t="s">
        <v>68</v>
      </c>
      <c r="AK156" s="33" t="s">
        <v>68</v>
      </c>
      <c r="AL156" s="1" t="s">
        <v>68</v>
      </c>
      <c r="AM156" s="5"/>
      <c r="AN156" s="1" t="s">
        <v>68</v>
      </c>
      <c r="AO156" s="5"/>
      <c r="AP156" s="1" t="s">
        <v>68</v>
      </c>
      <c r="AQ156" s="1"/>
      <c r="AR156" s="279">
        <v>0</v>
      </c>
      <c r="AS156" s="462">
        <v>47765</v>
      </c>
      <c r="AT156" s="544">
        <v>61173.53</v>
      </c>
      <c r="AU156" s="340"/>
      <c r="AV156" s="70">
        <v>42653</v>
      </c>
      <c r="AW156" s="11">
        <v>42664</v>
      </c>
      <c r="AX156" s="223" t="s">
        <v>68</v>
      </c>
      <c r="AY156" s="52" t="s">
        <v>492</v>
      </c>
      <c r="AZ156" s="324" t="s">
        <v>68</v>
      </c>
      <c r="BA156" s="1"/>
      <c r="BB156" s="1"/>
      <c r="BC156" s="17"/>
      <c r="BD156" s="324">
        <v>42683</v>
      </c>
      <c r="BE156" s="1615"/>
      <c r="BF156" s="5">
        <v>42648</v>
      </c>
      <c r="BG156" s="5"/>
      <c r="BH156" s="5">
        <v>42665</v>
      </c>
      <c r="BI156" s="36">
        <v>245400</v>
      </c>
      <c r="BJ156" s="13" t="s">
        <v>68</v>
      </c>
      <c r="BK156" s="352"/>
      <c r="BL156" s="694" t="s">
        <v>68</v>
      </c>
      <c r="BM156" s="695" t="s">
        <v>68</v>
      </c>
      <c r="BN156" s="695" t="s">
        <v>68</v>
      </c>
      <c r="BO156" s="694"/>
      <c r="BP156" s="694"/>
      <c r="BQ156" s="694"/>
      <c r="BR156" s="694"/>
      <c r="BS156" s="694"/>
      <c r="BT156" s="694"/>
      <c r="BU156" s="694"/>
      <c r="BV156" s="694" t="s">
        <v>68</v>
      </c>
      <c r="BW156" s="13"/>
      <c r="BX156" s="13"/>
      <c r="BY156" s="13"/>
      <c r="BZ156" s="13"/>
      <c r="CA156" s="13"/>
      <c r="CB156" s="1221" t="s">
        <v>1563</v>
      </c>
      <c r="CC156" s="586" t="s">
        <v>454</v>
      </c>
      <c r="CD156" s="513"/>
      <c r="CE156" s="513"/>
      <c r="CF156" s="513"/>
      <c r="CG156" s="513"/>
      <c r="CH156" s="513"/>
      <c r="CI156" s="513"/>
      <c r="CJ156" s="513"/>
      <c r="CK156" s="12"/>
    </row>
    <row r="157" spans="1:89" ht="93" hidden="1" customHeight="1">
      <c r="A157"/>
      <c r="B157" s="22"/>
      <c r="C157" s="22"/>
      <c r="D157" s="22"/>
      <c r="E157" s="22" t="s">
        <v>68</v>
      </c>
      <c r="F157" s="22"/>
      <c r="G157" s="915">
        <v>43237</v>
      </c>
      <c r="H157" s="915"/>
      <c r="I157" s="448">
        <v>43063</v>
      </c>
      <c r="J157" s="16">
        <v>2016</v>
      </c>
      <c r="K157" s="1415"/>
      <c r="L157" s="1415"/>
      <c r="M157" s="18" t="s">
        <v>163</v>
      </c>
      <c r="N157" s="33" t="s">
        <v>542</v>
      </c>
      <c r="O157" s="2" t="s">
        <v>4032</v>
      </c>
      <c r="P157" s="3" t="s">
        <v>543</v>
      </c>
      <c r="Q157" s="3" t="s">
        <v>4824</v>
      </c>
      <c r="R157" s="4">
        <v>259860</v>
      </c>
      <c r="S157" s="67">
        <v>42657</v>
      </c>
      <c r="T157" s="5">
        <v>42660</v>
      </c>
      <c r="U157" s="11">
        <v>42684</v>
      </c>
      <c r="V157" s="13" t="s">
        <v>68</v>
      </c>
      <c r="W157" s="19" t="s">
        <v>68</v>
      </c>
      <c r="X157" s="264" t="s">
        <v>114</v>
      </c>
      <c r="Y157" s="347">
        <v>42443</v>
      </c>
      <c r="Z157" s="342"/>
      <c r="AA157" s="130" t="s">
        <v>533</v>
      </c>
      <c r="AB157" s="74">
        <v>42455</v>
      </c>
      <c r="AC157" s="75">
        <v>259863</v>
      </c>
      <c r="AD157" s="4"/>
      <c r="AE157" s="32"/>
      <c r="AF157" s="34" t="s">
        <v>68</v>
      </c>
      <c r="AG157" s="112" t="s">
        <v>68</v>
      </c>
      <c r="AH157" s="112" t="s">
        <v>68</v>
      </c>
      <c r="AI157" s="7" t="s">
        <v>68</v>
      </c>
      <c r="AJ157" s="215" t="s">
        <v>68</v>
      </c>
      <c r="AK157" s="33" t="s">
        <v>68</v>
      </c>
      <c r="AL157" s="1" t="s">
        <v>68</v>
      </c>
      <c r="AM157" s="5"/>
      <c r="AN157" s="1" t="s">
        <v>524</v>
      </c>
      <c r="AO157" s="5"/>
      <c r="AP157" s="1" t="s">
        <v>68</v>
      </c>
      <c r="AQ157" s="1"/>
      <c r="AR157" s="279">
        <v>0</v>
      </c>
      <c r="AS157" s="462">
        <v>77395.13</v>
      </c>
      <c r="AT157" s="544">
        <v>121998.98</v>
      </c>
      <c r="AU157" s="340"/>
      <c r="AV157" s="70">
        <v>42661</v>
      </c>
      <c r="AW157" s="11">
        <v>42677</v>
      </c>
      <c r="AX157" s="223" t="s">
        <v>68</v>
      </c>
      <c r="AY157" s="226" t="s">
        <v>506</v>
      </c>
      <c r="AZ157" s="324" t="s">
        <v>68</v>
      </c>
      <c r="BA157" s="1"/>
      <c r="BB157" s="1"/>
      <c r="BC157" s="17"/>
      <c r="BD157" s="324">
        <v>42683</v>
      </c>
      <c r="BE157" s="1615"/>
      <c r="BF157" s="5">
        <v>42663</v>
      </c>
      <c r="BG157" s="5"/>
      <c r="BH157" s="5">
        <v>42679</v>
      </c>
      <c r="BI157" s="36">
        <v>64965</v>
      </c>
      <c r="BJ157" s="13" t="s">
        <v>68</v>
      </c>
      <c r="BK157" s="352"/>
      <c r="BL157" s="694" t="s">
        <v>68</v>
      </c>
      <c r="BM157" s="695" t="s">
        <v>68</v>
      </c>
      <c r="BN157" s="695" t="s">
        <v>68</v>
      </c>
      <c r="BO157" s="694"/>
      <c r="BP157" s="694"/>
      <c r="BQ157" s="694"/>
      <c r="BR157" s="694"/>
      <c r="BS157" s="694"/>
      <c r="BT157" s="694"/>
      <c r="BU157" s="694"/>
      <c r="BV157" s="694" t="s">
        <v>68</v>
      </c>
      <c r="BW157" s="13"/>
      <c r="BX157" s="13"/>
      <c r="BY157" s="13"/>
      <c r="BZ157" s="13"/>
      <c r="CA157" s="13"/>
      <c r="CB157" s="1221" t="s">
        <v>1563</v>
      </c>
      <c r="CC157" s="586" t="s">
        <v>454</v>
      </c>
      <c r="CD157" s="513"/>
      <c r="CE157" s="513"/>
      <c r="CF157" s="513"/>
      <c r="CG157" s="513"/>
      <c r="CH157" s="513"/>
      <c r="CI157" s="513"/>
      <c r="CJ157" s="513"/>
      <c r="CK157" s="12"/>
    </row>
    <row r="158" spans="1:89" ht="56.25" hidden="1" customHeight="1">
      <c r="A158"/>
      <c r="B158" s="22"/>
      <c r="C158" s="22"/>
      <c r="D158" s="22"/>
      <c r="E158" s="22" t="s">
        <v>68</v>
      </c>
      <c r="F158" s="22"/>
      <c r="G158" s="915">
        <v>43237</v>
      </c>
      <c r="H158" s="915"/>
      <c r="I158" s="448">
        <v>43063</v>
      </c>
      <c r="J158" s="16">
        <v>2016</v>
      </c>
      <c r="K158" s="1415"/>
      <c r="L158" s="1415"/>
      <c r="M158" s="18" t="s">
        <v>163</v>
      </c>
      <c r="N158" s="33" t="s">
        <v>544</v>
      </c>
      <c r="O158" s="2" t="s">
        <v>4032</v>
      </c>
      <c r="P158" s="80" t="s">
        <v>545</v>
      </c>
      <c r="Q158" s="80" t="s">
        <v>1975</v>
      </c>
      <c r="R158" s="4">
        <v>233400</v>
      </c>
      <c r="S158" s="67">
        <v>42627</v>
      </c>
      <c r="T158" s="5">
        <v>42690</v>
      </c>
      <c r="U158" s="11">
        <v>42700</v>
      </c>
      <c r="V158" s="13" t="s">
        <v>68</v>
      </c>
      <c r="W158" s="19" t="s">
        <v>68</v>
      </c>
      <c r="X158" s="170" t="s">
        <v>114</v>
      </c>
      <c r="Y158" s="347">
        <v>42416</v>
      </c>
      <c r="Z158" s="342"/>
      <c r="AA158" s="124" t="s">
        <v>533</v>
      </c>
      <c r="AB158" s="8">
        <v>42453</v>
      </c>
      <c r="AC158" s="79">
        <v>236752</v>
      </c>
      <c r="AD158" s="4"/>
      <c r="AE158" s="32"/>
      <c r="AF158" s="34" t="s">
        <v>68</v>
      </c>
      <c r="AG158" s="112" t="s">
        <v>68</v>
      </c>
      <c r="AH158" s="112" t="s">
        <v>68</v>
      </c>
      <c r="AI158" s="7" t="s">
        <v>68</v>
      </c>
      <c r="AJ158" s="215" t="s">
        <v>68</v>
      </c>
      <c r="AK158" s="33" t="s">
        <v>68</v>
      </c>
      <c r="AL158" s="1" t="s">
        <v>68</v>
      </c>
      <c r="AM158" s="5"/>
      <c r="AN158" s="1" t="s">
        <v>68</v>
      </c>
      <c r="AO158" s="5"/>
      <c r="AP158" s="1" t="s">
        <v>68</v>
      </c>
      <c r="AQ158" s="1"/>
      <c r="AR158" s="279">
        <v>0</v>
      </c>
      <c r="AS158" s="462">
        <v>47840.12</v>
      </c>
      <c r="AT158" s="544">
        <v>135960.35999999999</v>
      </c>
      <c r="AU158" s="340"/>
      <c r="AV158" s="70">
        <v>42705</v>
      </c>
      <c r="AW158" s="205">
        <v>42713</v>
      </c>
      <c r="AX158" s="223" t="s">
        <v>68</v>
      </c>
      <c r="AY158" s="52" t="s">
        <v>492</v>
      </c>
      <c r="AZ158" s="70" t="s">
        <v>68</v>
      </c>
      <c r="BA158" s="1"/>
      <c r="BB158" s="1"/>
      <c r="BC158" s="17"/>
      <c r="BD158" s="70">
        <v>42717</v>
      </c>
      <c r="BE158" s="1614"/>
      <c r="BF158" s="5">
        <v>42705</v>
      </c>
      <c r="BG158" s="5">
        <v>42714</v>
      </c>
      <c r="BH158" s="5"/>
      <c r="BI158" s="36">
        <v>233400</v>
      </c>
      <c r="BJ158" s="13" t="s">
        <v>68</v>
      </c>
      <c r="BK158" s="352"/>
      <c r="BL158" s="694" t="s">
        <v>68</v>
      </c>
      <c r="BM158" s="695" t="s">
        <v>68</v>
      </c>
      <c r="BN158" s="695" t="s">
        <v>68</v>
      </c>
      <c r="BO158" s="694"/>
      <c r="BP158" s="694"/>
      <c r="BQ158" s="694"/>
      <c r="BR158" s="694"/>
      <c r="BS158" s="694"/>
      <c r="BT158" s="694"/>
      <c r="BU158" s="694"/>
      <c r="BV158" s="694" t="s">
        <v>68</v>
      </c>
      <c r="BW158" s="13"/>
      <c r="BX158" s="13"/>
      <c r="BY158" s="13"/>
      <c r="BZ158" s="13"/>
      <c r="CA158" s="13"/>
      <c r="CB158" s="1221" t="s">
        <v>1563</v>
      </c>
      <c r="CC158" s="586" t="s">
        <v>454</v>
      </c>
      <c r="CD158" s="513"/>
      <c r="CE158" s="513"/>
      <c r="CF158" s="513"/>
      <c r="CG158" s="513"/>
      <c r="CH158" s="513"/>
      <c r="CI158" s="513"/>
      <c r="CJ158" s="513"/>
      <c r="CK158" s="12"/>
    </row>
    <row r="159" spans="1:89" ht="62.25" hidden="1" customHeight="1">
      <c r="A159"/>
      <c r="B159" s="22"/>
      <c r="C159" s="22"/>
      <c r="D159" s="22"/>
      <c r="E159" s="22" t="s">
        <v>68</v>
      </c>
      <c r="F159" s="22"/>
      <c r="G159" s="915">
        <v>43237</v>
      </c>
      <c r="H159" s="915"/>
      <c r="I159" s="448">
        <v>43063</v>
      </c>
      <c r="J159" s="16">
        <v>2016</v>
      </c>
      <c r="K159" s="1415"/>
      <c r="L159" s="1415"/>
      <c r="M159" s="18" t="s">
        <v>163</v>
      </c>
      <c r="N159" s="33" t="s">
        <v>546</v>
      </c>
      <c r="O159" s="2" t="s">
        <v>4032</v>
      </c>
      <c r="P159" s="80" t="s">
        <v>547</v>
      </c>
      <c r="Q159" s="80" t="s">
        <v>1975</v>
      </c>
      <c r="R159" s="4">
        <v>456248</v>
      </c>
      <c r="S159" s="67">
        <v>42641</v>
      </c>
      <c r="T159" s="5">
        <v>42702</v>
      </c>
      <c r="U159" s="11">
        <v>42721</v>
      </c>
      <c r="V159" s="13" t="s">
        <v>68</v>
      </c>
      <c r="W159" s="19" t="s">
        <v>68</v>
      </c>
      <c r="X159" s="170" t="s">
        <v>114</v>
      </c>
      <c r="Y159" s="347">
        <v>42416</v>
      </c>
      <c r="Z159" s="342"/>
      <c r="AA159" s="130" t="s">
        <v>533</v>
      </c>
      <c r="AB159" s="74">
        <v>42453</v>
      </c>
      <c r="AC159" s="75">
        <v>456249</v>
      </c>
      <c r="AD159" s="4"/>
      <c r="AE159" s="32"/>
      <c r="AF159" s="34" t="s">
        <v>68</v>
      </c>
      <c r="AG159" s="112" t="s">
        <v>68</v>
      </c>
      <c r="AH159" s="112" t="s">
        <v>68</v>
      </c>
      <c r="AI159" s="7" t="s">
        <v>68</v>
      </c>
      <c r="AJ159" s="215" t="s">
        <v>68</v>
      </c>
      <c r="AK159" s="33" t="s">
        <v>68</v>
      </c>
      <c r="AL159" s="1" t="s">
        <v>68</v>
      </c>
      <c r="AM159" s="5"/>
      <c r="AN159" s="1" t="s">
        <v>68</v>
      </c>
      <c r="AO159" s="5"/>
      <c r="AP159" s="1" t="s">
        <v>68</v>
      </c>
      <c r="AQ159" s="1"/>
      <c r="AR159" s="279">
        <v>0</v>
      </c>
      <c r="AS159" s="462">
        <v>64539.83</v>
      </c>
      <c r="AT159" s="544">
        <v>372626.8</v>
      </c>
      <c r="AU159" s="340"/>
      <c r="AV159" s="70">
        <v>42698</v>
      </c>
      <c r="AW159" s="11">
        <v>42709</v>
      </c>
      <c r="AX159" s="223" t="s">
        <v>68</v>
      </c>
      <c r="AY159" s="52" t="s">
        <v>506</v>
      </c>
      <c r="AZ159" s="70" t="s">
        <v>68</v>
      </c>
      <c r="BA159" s="1"/>
      <c r="BB159" s="1"/>
      <c r="BC159" s="17"/>
      <c r="BD159" s="70">
        <v>42717</v>
      </c>
      <c r="BE159" s="1614"/>
      <c r="BF159" s="5">
        <v>42626</v>
      </c>
      <c r="BG159" s="5">
        <v>42714</v>
      </c>
      <c r="BH159" s="5"/>
      <c r="BI159" s="36">
        <v>456248</v>
      </c>
      <c r="BJ159" s="13" t="s">
        <v>68</v>
      </c>
      <c r="BK159" s="352"/>
      <c r="BL159" s="694" t="s">
        <v>68</v>
      </c>
      <c r="BM159" s="695" t="s">
        <v>68</v>
      </c>
      <c r="BN159" s="695" t="s">
        <v>68</v>
      </c>
      <c r="BO159" s="694"/>
      <c r="BP159" s="694"/>
      <c r="BQ159" s="694"/>
      <c r="BR159" s="694"/>
      <c r="BS159" s="694"/>
      <c r="BT159" s="694"/>
      <c r="BU159" s="694"/>
      <c r="BV159" s="694" t="s">
        <v>68</v>
      </c>
      <c r="BW159" s="13"/>
      <c r="BX159" s="13"/>
      <c r="BY159" s="13"/>
      <c r="BZ159" s="13"/>
      <c r="CA159" s="13"/>
      <c r="CB159" s="1221" t="s">
        <v>1563</v>
      </c>
      <c r="CC159" s="586" t="s">
        <v>454</v>
      </c>
      <c r="CD159" s="513"/>
      <c r="CE159" s="513"/>
      <c r="CF159" s="513"/>
      <c r="CG159" s="513"/>
      <c r="CH159" s="513"/>
      <c r="CI159" s="513"/>
      <c r="CJ159" s="513"/>
      <c r="CK159" s="12"/>
    </row>
    <row r="160" spans="1:89" ht="87" hidden="1" customHeight="1">
      <c r="A160" t="s">
        <v>524</v>
      </c>
      <c r="B160" s="22"/>
      <c r="C160" s="22"/>
      <c r="D160" s="22"/>
      <c r="E160" s="22" t="s">
        <v>68</v>
      </c>
      <c r="F160" s="22"/>
      <c r="G160" s="915">
        <v>43237</v>
      </c>
      <c r="H160" s="915"/>
      <c r="I160" s="448">
        <v>43063</v>
      </c>
      <c r="J160" s="16">
        <v>2016</v>
      </c>
      <c r="K160" s="1415"/>
      <c r="L160" s="1415"/>
      <c r="M160" s="18" t="s">
        <v>163</v>
      </c>
      <c r="N160" s="33" t="s">
        <v>548</v>
      </c>
      <c r="O160" s="2" t="s">
        <v>4032</v>
      </c>
      <c r="P160" s="80" t="s">
        <v>549</v>
      </c>
      <c r="Q160" s="80" t="s">
        <v>2538</v>
      </c>
      <c r="R160" s="4">
        <v>525186</v>
      </c>
      <c r="S160" s="67">
        <v>42630</v>
      </c>
      <c r="T160" s="5">
        <v>42662</v>
      </c>
      <c r="U160" s="11">
        <v>42672</v>
      </c>
      <c r="V160" s="13" t="s">
        <v>68</v>
      </c>
      <c r="W160" s="19" t="s">
        <v>68</v>
      </c>
      <c r="X160" s="264" t="s">
        <v>114</v>
      </c>
      <c r="Y160" s="347">
        <v>42426</v>
      </c>
      <c r="Z160" s="342"/>
      <c r="AA160" s="130" t="s">
        <v>550</v>
      </c>
      <c r="AB160" s="74">
        <v>42453</v>
      </c>
      <c r="AC160" s="75">
        <v>525186</v>
      </c>
      <c r="AD160" s="4"/>
      <c r="AE160" s="32"/>
      <c r="AF160" s="34" t="s">
        <v>68</v>
      </c>
      <c r="AG160" s="112" t="s">
        <v>68</v>
      </c>
      <c r="AH160" s="112" t="s">
        <v>68</v>
      </c>
      <c r="AI160" s="7" t="s">
        <v>68</v>
      </c>
      <c r="AJ160" s="215" t="s">
        <v>68</v>
      </c>
      <c r="AK160" s="33" t="s">
        <v>68</v>
      </c>
      <c r="AL160" s="1" t="s">
        <v>68</v>
      </c>
      <c r="AM160" s="5"/>
      <c r="AN160" s="1" t="s">
        <v>68</v>
      </c>
      <c r="AO160" s="5"/>
      <c r="AP160" s="1" t="s">
        <v>68</v>
      </c>
      <c r="AQ160" s="1"/>
      <c r="AR160" s="279">
        <v>0</v>
      </c>
      <c r="AS160" s="462">
        <v>207267.3</v>
      </c>
      <c r="AT160" s="544">
        <v>318997.28999999998</v>
      </c>
      <c r="AU160" s="340"/>
      <c r="AV160" s="70">
        <v>42662</v>
      </c>
      <c r="AW160" s="11">
        <v>42678</v>
      </c>
      <c r="AX160" s="30" t="s">
        <v>68</v>
      </c>
      <c r="AY160" s="52" t="s">
        <v>551</v>
      </c>
      <c r="AZ160" s="70" t="s">
        <v>68</v>
      </c>
      <c r="BA160" s="1"/>
      <c r="BB160" s="1"/>
      <c r="BC160" s="17"/>
      <c r="BD160" s="70">
        <v>42683</v>
      </c>
      <c r="BE160" s="1614"/>
      <c r="BF160" s="5">
        <v>42662</v>
      </c>
      <c r="BG160" s="5">
        <v>42679</v>
      </c>
      <c r="BH160" s="5"/>
      <c r="BI160" s="36">
        <v>233400</v>
      </c>
      <c r="BJ160" s="13" t="s">
        <v>68</v>
      </c>
      <c r="BK160" s="352"/>
      <c r="BL160" s="694" t="s">
        <v>68</v>
      </c>
      <c r="BM160" s="695" t="s">
        <v>68</v>
      </c>
      <c r="BN160" s="695" t="s">
        <v>68</v>
      </c>
      <c r="BO160" s="694"/>
      <c r="BP160" s="694"/>
      <c r="BQ160" s="694"/>
      <c r="BR160" s="694"/>
      <c r="BS160" s="694"/>
      <c r="BT160" s="694"/>
      <c r="BU160" s="694"/>
      <c r="BV160" s="694" t="s">
        <v>68</v>
      </c>
      <c r="BW160" s="13"/>
      <c r="BX160" s="13"/>
      <c r="BY160" s="13"/>
      <c r="BZ160" s="13"/>
      <c r="CA160" s="13"/>
      <c r="CB160" s="1221" t="s">
        <v>1563</v>
      </c>
      <c r="CC160" s="586" t="s">
        <v>454</v>
      </c>
      <c r="CD160" s="513"/>
      <c r="CE160" s="513"/>
      <c r="CF160" s="513"/>
      <c r="CG160" s="513"/>
      <c r="CH160" s="513"/>
      <c r="CI160" s="513"/>
      <c r="CJ160" s="513"/>
      <c r="CK160" s="12"/>
    </row>
    <row r="161" spans="2:89" customFormat="1" ht="61.5" hidden="1" customHeight="1">
      <c r="B161" s="22"/>
      <c r="C161" s="22"/>
      <c r="D161" s="22"/>
      <c r="E161" s="22" t="s">
        <v>68</v>
      </c>
      <c r="F161" s="22"/>
      <c r="G161" s="915">
        <v>43237</v>
      </c>
      <c r="H161" s="915"/>
      <c r="I161" s="448">
        <v>43063</v>
      </c>
      <c r="J161" s="16">
        <v>2016</v>
      </c>
      <c r="K161" s="1415"/>
      <c r="L161" s="1415"/>
      <c r="M161" s="18" t="s">
        <v>163</v>
      </c>
      <c r="N161" s="33" t="s">
        <v>552</v>
      </c>
      <c r="O161" s="2" t="s">
        <v>4032</v>
      </c>
      <c r="P161" s="80" t="s">
        <v>553</v>
      </c>
      <c r="Q161" s="80" t="s">
        <v>3623</v>
      </c>
      <c r="R161" s="4">
        <v>678342</v>
      </c>
      <c r="S161" s="67">
        <v>42678</v>
      </c>
      <c r="T161" s="5">
        <v>42682</v>
      </c>
      <c r="U161" s="11">
        <v>42704</v>
      </c>
      <c r="V161" s="13" t="s">
        <v>68</v>
      </c>
      <c r="W161" s="19" t="s">
        <v>68</v>
      </c>
      <c r="X161" s="18" t="s">
        <v>114</v>
      </c>
      <c r="Y161" s="347">
        <v>42415</v>
      </c>
      <c r="Z161" s="342"/>
      <c r="AA161" s="130" t="s">
        <v>533</v>
      </c>
      <c r="AB161" s="74">
        <v>42453</v>
      </c>
      <c r="AC161" s="75">
        <v>678343</v>
      </c>
      <c r="AD161" s="4"/>
      <c r="AE161" s="32"/>
      <c r="AF161" s="34" t="s">
        <v>68</v>
      </c>
      <c r="AG161" s="112" t="s">
        <v>68</v>
      </c>
      <c r="AH161" s="112" t="s">
        <v>68</v>
      </c>
      <c r="AI161" s="7" t="s">
        <v>68</v>
      </c>
      <c r="AJ161" s="215" t="s">
        <v>68</v>
      </c>
      <c r="AK161" s="33" t="s">
        <v>68</v>
      </c>
      <c r="AL161" s="1" t="s">
        <v>68</v>
      </c>
      <c r="AM161" s="5"/>
      <c r="AN161" s="1" t="s">
        <v>68</v>
      </c>
      <c r="AO161" s="5"/>
      <c r="AP161" s="1" t="s">
        <v>68</v>
      </c>
      <c r="AQ161" s="1"/>
      <c r="AR161" s="279">
        <v>0</v>
      </c>
      <c r="AS161" s="35">
        <v>205935.63</v>
      </c>
      <c r="AT161" s="895">
        <v>474264.15</v>
      </c>
      <c r="AU161" s="884"/>
      <c r="AV161" s="70">
        <v>42682</v>
      </c>
      <c r="AW161" s="11">
        <v>42702</v>
      </c>
      <c r="AX161" s="223" t="s">
        <v>68</v>
      </c>
      <c r="AY161" s="52" t="s">
        <v>492</v>
      </c>
      <c r="AZ161" s="70" t="s">
        <v>68</v>
      </c>
      <c r="BA161" s="1"/>
      <c r="BB161" s="1"/>
      <c r="BC161" s="17"/>
      <c r="BD161" s="70">
        <v>42745</v>
      </c>
      <c r="BE161" s="1614"/>
      <c r="BF161" s="5">
        <v>42632</v>
      </c>
      <c r="BG161" s="5">
        <v>42704</v>
      </c>
      <c r="BH161" s="5"/>
      <c r="BI161" s="36">
        <v>678342</v>
      </c>
      <c r="BJ161" s="13" t="s">
        <v>68</v>
      </c>
      <c r="BK161" s="352"/>
      <c r="BL161" s="694" t="s">
        <v>68</v>
      </c>
      <c r="BM161" s="695" t="s">
        <v>68</v>
      </c>
      <c r="BN161" s="695" t="s">
        <v>68</v>
      </c>
      <c r="BO161" s="694"/>
      <c r="BP161" s="694"/>
      <c r="BQ161" s="694"/>
      <c r="BR161" s="694"/>
      <c r="BS161" s="694"/>
      <c r="BT161" s="694"/>
      <c r="BU161" s="694"/>
      <c r="BV161" s="694" t="s">
        <v>68</v>
      </c>
      <c r="BW161" s="13"/>
      <c r="BX161" s="13"/>
      <c r="BY161" s="13"/>
      <c r="BZ161" s="13"/>
      <c r="CA161" s="13"/>
      <c r="CB161" s="1221" t="s">
        <v>1563</v>
      </c>
      <c r="CC161" s="321" t="s">
        <v>459</v>
      </c>
      <c r="CD161" s="513"/>
      <c r="CE161" s="513"/>
      <c r="CF161" s="513"/>
      <c r="CG161" s="513"/>
      <c r="CH161" s="513"/>
      <c r="CI161" s="513"/>
      <c r="CJ161" s="513"/>
      <c r="CK161" s="12"/>
    </row>
    <row r="162" spans="2:89" customFormat="1" ht="110.25" hidden="1" customHeight="1">
      <c r="B162" s="22"/>
      <c r="C162" s="22"/>
      <c r="D162" s="22"/>
      <c r="E162" s="22" t="s">
        <v>68</v>
      </c>
      <c r="F162" s="22"/>
      <c r="G162" s="915">
        <v>42999</v>
      </c>
      <c r="H162" s="915"/>
      <c r="I162" s="448">
        <v>43063</v>
      </c>
      <c r="J162" s="16">
        <v>2016</v>
      </c>
      <c r="K162" s="1415"/>
      <c r="L162" s="1415"/>
      <c r="M162" s="18" t="s">
        <v>554</v>
      </c>
      <c r="N162" s="33" t="s">
        <v>555</v>
      </c>
      <c r="O162" s="2" t="s">
        <v>4032</v>
      </c>
      <c r="P162" s="3" t="s">
        <v>556</v>
      </c>
      <c r="Q162" s="3" t="s">
        <v>1975</v>
      </c>
      <c r="R162" s="4">
        <v>275569.48</v>
      </c>
      <c r="S162" s="67">
        <v>43053</v>
      </c>
      <c r="T162" s="5">
        <v>42689</v>
      </c>
      <c r="U162" s="11">
        <v>42734</v>
      </c>
      <c r="V162" s="13" t="s">
        <v>68</v>
      </c>
      <c r="W162" s="19" t="s">
        <v>68</v>
      </c>
      <c r="X162" s="170" t="s">
        <v>449</v>
      </c>
      <c r="Y162" s="200" t="s">
        <v>68</v>
      </c>
      <c r="Z162" s="368"/>
      <c r="AA162" s="334" t="s">
        <v>557</v>
      </c>
      <c r="AB162" s="77">
        <v>42611</v>
      </c>
      <c r="AC162" s="78">
        <v>6000000</v>
      </c>
      <c r="AD162" s="4"/>
      <c r="AE162" s="32"/>
      <c r="AF162" s="34" t="s">
        <v>68</v>
      </c>
      <c r="AG162" s="112" t="s">
        <v>68</v>
      </c>
      <c r="AH162" s="112" t="s">
        <v>68</v>
      </c>
      <c r="AI162" s="7" t="s">
        <v>68</v>
      </c>
      <c r="AJ162" s="215" t="s">
        <v>68</v>
      </c>
      <c r="AK162" s="33" t="s">
        <v>68</v>
      </c>
      <c r="AL162" s="1" t="s">
        <v>68</v>
      </c>
      <c r="AM162" s="1"/>
      <c r="AN162" s="1" t="s">
        <v>68</v>
      </c>
      <c r="AO162" s="1"/>
      <c r="AP162" s="1" t="s">
        <v>68</v>
      </c>
      <c r="AQ162" s="1"/>
      <c r="AR162" s="279">
        <v>0</v>
      </c>
      <c r="AS162" s="35">
        <v>195040.17</v>
      </c>
      <c r="AT162" s="895">
        <v>78131.38</v>
      </c>
      <c r="AU162" s="884"/>
      <c r="AV162" s="70">
        <v>42716</v>
      </c>
      <c r="AW162" s="11">
        <v>42734</v>
      </c>
      <c r="AX162" s="223" t="s">
        <v>68</v>
      </c>
      <c r="AY162" s="52" t="s">
        <v>492</v>
      </c>
      <c r="AZ162" s="70">
        <v>42737</v>
      </c>
      <c r="BA162" s="5">
        <v>42719</v>
      </c>
      <c r="BB162" s="5">
        <v>42734</v>
      </c>
      <c r="BC162" s="11">
        <v>42734</v>
      </c>
      <c r="BD162" s="70">
        <v>42737</v>
      </c>
      <c r="BE162" s="1614"/>
      <c r="BF162" s="71">
        <v>42719</v>
      </c>
      <c r="BG162" s="71">
        <v>42734</v>
      </c>
      <c r="BH162" s="71">
        <v>42734</v>
      </c>
      <c r="BI162" s="129">
        <f t="shared" ref="BI162:BI167" si="4">AS162+AT162</f>
        <v>273171.55000000005</v>
      </c>
      <c r="BJ162" s="13" t="s">
        <v>68</v>
      </c>
      <c r="BK162" s="352"/>
      <c r="BL162" s="694" t="s">
        <v>68</v>
      </c>
      <c r="BM162" s="695" t="s">
        <v>68</v>
      </c>
      <c r="BN162" s="695" t="s">
        <v>68</v>
      </c>
      <c r="BO162" s="694"/>
      <c r="BP162" s="694"/>
      <c r="BQ162" s="694"/>
      <c r="BR162" s="694"/>
      <c r="BS162" s="694"/>
      <c r="BT162" s="694"/>
      <c r="BU162" s="694"/>
      <c r="BV162" s="694" t="s">
        <v>68</v>
      </c>
      <c r="BW162" s="13"/>
      <c r="BX162" s="13"/>
      <c r="BY162" s="13"/>
      <c r="BZ162" s="13"/>
      <c r="CA162" s="13"/>
      <c r="CB162" s="1221" t="s">
        <v>1563</v>
      </c>
      <c r="CC162" s="586" t="s">
        <v>454</v>
      </c>
      <c r="CD162" s="559"/>
      <c r="CE162" s="559"/>
      <c r="CF162" s="559"/>
      <c r="CG162" s="559"/>
      <c r="CH162" s="559"/>
      <c r="CI162" s="559"/>
      <c r="CJ162" s="559"/>
      <c r="CK162" s="12"/>
    </row>
    <row r="163" spans="2:89" customFormat="1" ht="67.5" hidden="1" customHeight="1">
      <c r="B163" s="22"/>
      <c r="C163" s="22"/>
      <c r="D163" s="22"/>
      <c r="E163" s="22" t="s">
        <v>68</v>
      </c>
      <c r="F163" s="22"/>
      <c r="G163" s="915">
        <v>43306</v>
      </c>
      <c r="H163" s="915"/>
      <c r="I163" s="448">
        <v>43063</v>
      </c>
      <c r="J163" s="16">
        <v>2016</v>
      </c>
      <c r="K163" s="1415"/>
      <c r="L163" s="1415"/>
      <c r="M163" s="18" t="s">
        <v>77</v>
      </c>
      <c r="N163" s="33" t="s">
        <v>558</v>
      </c>
      <c r="O163" s="2" t="s">
        <v>4032</v>
      </c>
      <c r="P163" s="3" t="s">
        <v>559</v>
      </c>
      <c r="Q163" s="3" t="s">
        <v>2613</v>
      </c>
      <c r="R163" s="4">
        <v>504950.57</v>
      </c>
      <c r="S163" s="67">
        <v>42704</v>
      </c>
      <c r="T163" s="5">
        <v>42705</v>
      </c>
      <c r="U163" s="11">
        <v>42735</v>
      </c>
      <c r="V163" s="13" t="s">
        <v>68</v>
      </c>
      <c r="W163" s="19" t="s">
        <v>68</v>
      </c>
      <c r="X163" s="170" t="s">
        <v>449</v>
      </c>
      <c r="Y163" s="680" t="s">
        <v>68</v>
      </c>
      <c r="Z163" s="1366"/>
      <c r="AA163" s="130" t="s">
        <v>560</v>
      </c>
      <c r="AB163" s="74">
        <v>42732</v>
      </c>
      <c r="AC163" s="75">
        <v>504950.57</v>
      </c>
      <c r="AD163" s="4"/>
      <c r="AE163" s="32"/>
      <c r="AF163" s="34" t="s">
        <v>68</v>
      </c>
      <c r="AG163" s="112" t="s">
        <v>68</v>
      </c>
      <c r="AH163" s="112" t="s">
        <v>68</v>
      </c>
      <c r="AI163" s="7" t="s">
        <v>68</v>
      </c>
      <c r="AJ163" s="215" t="s">
        <v>68</v>
      </c>
      <c r="AK163" s="33" t="s">
        <v>68</v>
      </c>
      <c r="AL163" s="1" t="s">
        <v>68</v>
      </c>
      <c r="AM163" s="5"/>
      <c r="AN163" s="1" t="s">
        <v>68</v>
      </c>
      <c r="AO163" s="5"/>
      <c r="AP163" s="1" t="s">
        <v>68</v>
      </c>
      <c r="AQ163" s="1"/>
      <c r="AR163" s="279">
        <v>0</v>
      </c>
      <c r="AS163" s="462">
        <v>201320.4</v>
      </c>
      <c r="AT163" s="544">
        <v>294798.74</v>
      </c>
      <c r="AU163" s="340"/>
      <c r="AV163" s="70">
        <v>42705</v>
      </c>
      <c r="AW163" s="11">
        <v>42727</v>
      </c>
      <c r="AX163" s="223" t="s">
        <v>68</v>
      </c>
      <c r="AY163" s="52" t="s">
        <v>492</v>
      </c>
      <c r="AZ163" s="70">
        <v>42733</v>
      </c>
      <c r="BA163" s="5">
        <v>42705</v>
      </c>
      <c r="BB163" s="5">
        <v>42734</v>
      </c>
      <c r="BC163" s="11">
        <v>42727</v>
      </c>
      <c r="BD163" s="70">
        <v>42733</v>
      </c>
      <c r="BE163" s="1614"/>
      <c r="BF163" s="5">
        <v>42705</v>
      </c>
      <c r="BG163" s="5">
        <v>42735</v>
      </c>
      <c r="BH163" s="5">
        <v>42727</v>
      </c>
      <c r="BI163" s="36">
        <f t="shared" si="4"/>
        <v>496119.14</v>
      </c>
      <c r="BJ163" s="13" t="s">
        <v>68</v>
      </c>
      <c r="BK163" s="352"/>
      <c r="BL163" s="694" t="s">
        <v>68</v>
      </c>
      <c r="BM163" s="695" t="s">
        <v>68</v>
      </c>
      <c r="BN163" s="695" t="s">
        <v>68</v>
      </c>
      <c r="BO163" s="694"/>
      <c r="BP163" s="694"/>
      <c r="BQ163" s="694"/>
      <c r="BR163" s="694"/>
      <c r="BS163" s="694"/>
      <c r="BT163" s="694"/>
      <c r="BU163" s="694"/>
      <c r="BV163" s="694" t="s">
        <v>68</v>
      </c>
      <c r="BW163" s="13"/>
      <c r="BX163" s="13"/>
      <c r="BY163" s="13"/>
      <c r="BZ163" s="13"/>
      <c r="CA163" s="13"/>
      <c r="CB163" s="1221" t="s">
        <v>1563</v>
      </c>
      <c r="CC163" s="586" t="s">
        <v>454</v>
      </c>
      <c r="CD163" s="513"/>
      <c r="CE163" s="2"/>
      <c r="CF163" s="2"/>
      <c r="CG163" s="2"/>
      <c r="CH163" s="2"/>
      <c r="CI163" s="2"/>
      <c r="CJ163" s="2"/>
      <c r="CK163" s="12"/>
    </row>
    <row r="164" spans="2:89" customFormat="1" ht="110.25" hidden="1" customHeight="1">
      <c r="B164" s="22"/>
      <c r="C164" s="22"/>
      <c r="D164" s="22"/>
      <c r="E164" s="22" t="s">
        <v>68</v>
      </c>
      <c r="F164" s="22"/>
      <c r="G164" s="915">
        <v>43335</v>
      </c>
      <c r="H164" s="915"/>
      <c r="I164" s="448">
        <v>43063</v>
      </c>
      <c r="J164" s="16">
        <v>2016</v>
      </c>
      <c r="K164" s="1415"/>
      <c r="L164" s="1415"/>
      <c r="M164" s="18" t="s">
        <v>166</v>
      </c>
      <c r="N164" s="33" t="s">
        <v>561</v>
      </c>
      <c r="O164" s="2" t="s">
        <v>4032</v>
      </c>
      <c r="P164" s="3" t="s">
        <v>562</v>
      </c>
      <c r="Q164" s="3" t="s">
        <v>2515</v>
      </c>
      <c r="R164" s="4">
        <v>160904.73000000001</v>
      </c>
      <c r="S164" s="67">
        <v>42702</v>
      </c>
      <c r="T164" s="5">
        <v>42702</v>
      </c>
      <c r="U164" s="11">
        <v>42711</v>
      </c>
      <c r="V164" s="13" t="s">
        <v>68</v>
      </c>
      <c r="W164" s="19" t="s">
        <v>68</v>
      </c>
      <c r="X164" s="170" t="s">
        <v>563</v>
      </c>
      <c r="Y164" s="200" t="s">
        <v>68</v>
      </c>
      <c r="Z164" s="368"/>
      <c r="AA164" s="130" t="s">
        <v>564</v>
      </c>
      <c r="AB164" s="74">
        <v>42704</v>
      </c>
      <c r="AC164" s="75">
        <v>160904.73000000001</v>
      </c>
      <c r="AD164" s="4"/>
      <c r="AE164" s="32"/>
      <c r="AF164" s="34" t="s">
        <v>68</v>
      </c>
      <c r="AG164" s="112" t="s">
        <v>68</v>
      </c>
      <c r="AH164" s="112" t="s">
        <v>68</v>
      </c>
      <c r="AI164" s="7" t="s">
        <v>68</v>
      </c>
      <c r="AJ164" s="215" t="s">
        <v>68</v>
      </c>
      <c r="AK164" s="33" t="s">
        <v>68</v>
      </c>
      <c r="AL164" s="1" t="s">
        <v>68</v>
      </c>
      <c r="AM164" s="1"/>
      <c r="AN164" s="1" t="s">
        <v>68</v>
      </c>
      <c r="AO164" s="1"/>
      <c r="AP164" s="1" t="s">
        <v>68</v>
      </c>
      <c r="AQ164" s="1"/>
      <c r="AR164" s="279">
        <v>0</v>
      </c>
      <c r="AS164" s="35">
        <v>29249.38</v>
      </c>
      <c r="AT164" s="895">
        <v>25984</v>
      </c>
      <c r="AU164" s="884"/>
      <c r="AV164" s="350" t="s">
        <v>68</v>
      </c>
      <c r="AW164" s="11"/>
      <c r="AX164" s="223" t="s">
        <v>68</v>
      </c>
      <c r="AY164" s="52"/>
      <c r="AZ164" s="70">
        <v>42740</v>
      </c>
      <c r="BA164" s="71">
        <v>42702</v>
      </c>
      <c r="BB164" s="71">
        <v>42711</v>
      </c>
      <c r="BC164" s="71">
        <v>41271</v>
      </c>
      <c r="BD164" s="70">
        <v>42741</v>
      </c>
      <c r="BE164" s="1614"/>
      <c r="BF164" s="71">
        <v>42702</v>
      </c>
      <c r="BG164" s="71">
        <v>42711</v>
      </c>
      <c r="BH164" s="71">
        <v>41271</v>
      </c>
      <c r="BI164" s="129">
        <f t="shared" si="4"/>
        <v>55233.380000000005</v>
      </c>
      <c r="BJ164" s="13" t="s">
        <v>68</v>
      </c>
      <c r="BK164" s="352"/>
      <c r="BL164" s="694" t="s">
        <v>68</v>
      </c>
      <c r="BM164" s="695" t="s">
        <v>68</v>
      </c>
      <c r="BN164" s="695" t="s">
        <v>68</v>
      </c>
      <c r="BO164" s="694"/>
      <c r="BP164" s="694"/>
      <c r="BQ164" s="694"/>
      <c r="BR164" s="694"/>
      <c r="BS164" s="694"/>
      <c r="BT164" s="694"/>
      <c r="BU164" s="694"/>
      <c r="BV164" s="694" t="s">
        <v>68</v>
      </c>
      <c r="BW164" s="13"/>
      <c r="BX164" s="13"/>
      <c r="BY164" s="13"/>
      <c r="BZ164" s="13"/>
      <c r="CA164" s="13"/>
      <c r="CB164" s="1221" t="s">
        <v>1563</v>
      </c>
      <c r="CC164" s="586" t="s">
        <v>454</v>
      </c>
      <c r="CD164" s="513"/>
      <c r="CE164" s="513"/>
      <c r="CF164" s="513"/>
      <c r="CG164" s="513"/>
      <c r="CH164" s="513"/>
      <c r="CI164" s="513"/>
      <c r="CJ164" s="513"/>
      <c r="CK164" s="12"/>
    </row>
    <row r="165" spans="2:89" customFormat="1" ht="110.25" hidden="1" customHeight="1">
      <c r="B165" s="22"/>
      <c r="C165" s="22"/>
      <c r="D165" s="22"/>
      <c r="E165" s="22" t="s">
        <v>68</v>
      </c>
      <c r="F165" s="22"/>
      <c r="G165" s="915">
        <v>43342</v>
      </c>
      <c r="H165" s="915"/>
      <c r="I165" s="448">
        <v>43063</v>
      </c>
      <c r="J165" s="16">
        <v>2016</v>
      </c>
      <c r="K165" s="1415"/>
      <c r="L165" s="1415"/>
      <c r="M165" s="18" t="s">
        <v>77</v>
      </c>
      <c r="N165" s="33" t="s">
        <v>565</v>
      </c>
      <c r="O165" s="2" t="s">
        <v>4032</v>
      </c>
      <c r="P165" s="3" t="s">
        <v>566</v>
      </c>
      <c r="Q165" s="3" t="s">
        <v>2538</v>
      </c>
      <c r="R165" s="4">
        <v>587787.4</v>
      </c>
      <c r="S165" s="67">
        <v>42688</v>
      </c>
      <c r="T165" s="5">
        <v>42689</v>
      </c>
      <c r="U165" s="11">
        <v>42705</v>
      </c>
      <c r="V165" s="13" t="s">
        <v>68</v>
      </c>
      <c r="W165" s="19" t="s">
        <v>68</v>
      </c>
      <c r="X165" s="170" t="s">
        <v>449</v>
      </c>
      <c r="Y165" s="673" t="s">
        <v>68</v>
      </c>
      <c r="Z165" s="1368"/>
      <c r="AA165" s="130" t="s">
        <v>567</v>
      </c>
      <c r="AB165" s="74">
        <v>42732</v>
      </c>
      <c r="AC165" s="75">
        <v>587787.4</v>
      </c>
      <c r="AD165" s="4"/>
      <c r="AE165" s="32"/>
      <c r="AF165" s="34" t="s">
        <v>68</v>
      </c>
      <c r="AG165" s="112" t="s">
        <v>68</v>
      </c>
      <c r="AH165" s="112" t="s">
        <v>68</v>
      </c>
      <c r="AI165" s="7" t="s">
        <v>68</v>
      </c>
      <c r="AJ165" s="215" t="s">
        <v>68</v>
      </c>
      <c r="AK165" s="33" t="s">
        <v>68</v>
      </c>
      <c r="AL165" s="1" t="s">
        <v>68</v>
      </c>
      <c r="AM165" s="1"/>
      <c r="AN165" s="1" t="s">
        <v>68</v>
      </c>
      <c r="AO165" s="1"/>
      <c r="AP165" s="1" t="s">
        <v>68</v>
      </c>
      <c r="AQ165" s="1"/>
      <c r="AR165" s="279">
        <v>0</v>
      </c>
      <c r="AS165" s="462">
        <v>151053.31</v>
      </c>
      <c r="AT165" s="544">
        <v>435178.81</v>
      </c>
      <c r="AU165" s="340"/>
      <c r="AV165" s="70">
        <v>42689</v>
      </c>
      <c r="AW165" s="11">
        <v>42765</v>
      </c>
      <c r="AX165" s="223" t="s">
        <v>68</v>
      </c>
      <c r="AY165" s="52" t="s">
        <v>492</v>
      </c>
      <c r="AZ165" s="70">
        <v>42768</v>
      </c>
      <c r="BA165" s="5">
        <v>42689</v>
      </c>
      <c r="BB165" s="5">
        <v>42705</v>
      </c>
      <c r="BC165" s="11">
        <v>42765</v>
      </c>
      <c r="BD165" s="70">
        <v>42769</v>
      </c>
      <c r="BE165" s="1614"/>
      <c r="BF165" s="71">
        <v>42689</v>
      </c>
      <c r="BG165" s="71">
        <v>42705</v>
      </c>
      <c r="BH165" s="71">
        <v>42765</v>
      </c>
      <c r="BI165" s="129">
        <f t="shared" si="4"/>
        <v>586232.12</v>
      </c>
      <c r="BJ165" s="13" t="s">
        <v>68</v>
      </c>
      <c r="BK165" s="352"/>
      <c r="BL165" s="694" t="s">
        <v>68</v>
      </c>
      <c r="BM165" s="695" t="s">
        <v>68</v>
      </c>
      <c r="BN165" s="695" t="s">
        <v>68</v>
      </c>
      <c r="BO165" s="694"/>
      <c r="BP165" s="694"/>
      <c r="BQ165" s="694"/>
      <c r="BR165" s="694"/>
      <c r="BS165" s="694"/>
      <c r="BT165" s="694"/>
      <c r="BU165" s="694"/>
      <c r="BV165" s="694" t="s">
        <v>68</v>
      </c>
      <c r="BW165" s="13"/>
      <c r="BX165" s="13"/>
      <c r="BY165" s="13"/>
      <c r="BZ165" s="13"/>
      <c r="CA165" s="13"/>
      <c r="CB165" s="1221" t="s">
        <v>1563</v>
      </c>
      <c r="CC165" s="586" t="s">
        <v>454</v>
      </c>
      <c r="CD165" s="513"/>
      <c r="CE165" s="2"/>
      <c r="CF165" s="2"/>
      <c r="CG165" s="2"/>
      <c r="CH165" s="2"/>
      <c r="CI165" s="2"/>
      <c r="CJ165" s="2"/>
      <c r="CK165" s="12"/>
    </row>
    <row r="166" spans="2:89" customFormat="1" ht="123" hidden="1" customHeight="1">
      <c r="B166" s="22"/>
      <c r="C166" s="22"/>
      <c r="D166" s="22"/>
      <c r="E166" s="22" t="s">
        <v>68</v>
      </c>
      <c r="F166" s="22"/>
      <c r="G166" s="915">
        <v>43354</v>
      </c>
      <c r="H166" s="915"/>
      <c r="I166" s="448">
        <v>43063</v>
      </c>
      <c r="J166" s="16">
        <v>2016</v>
      </c>
      <c r="K166" s="1415"/>
      <c r="L166" s="1415"/>
      <c r="M166" s="18" t="s">
        <v>77</v>
      </c>
      <c r="N166" s="33" t="s">
        <v>568</v>
      </c>
      <c r="O166" s="2" t="s">
        <v>4032</v>
      </c>
      <c r="P166" s="3" t="s">
        <v>569</v>
      </c>
      <c r="Q166" s="3" t="s">
        <v>2538</v>
      </c>
      <c r="R166" s="4">
        <v>557061.88</v>
      </c>
      <c r="S166" s="67">
        <v>42692</v>
      </c>
      <c r="T166" s="5">
        <v>42695</v>
      </c>
      <c r="U166" s="11">
        <v>42719</v>
      </c>
      <c r="V166" s="13" t="s">
        <v>68</v>
      </c>
      <c r="W166" s="19" t="s">
        <v>68</v>
      </c>
      <c r="X166" s="170" t="s">
        <v>449</v>
      </c>
      <c r="Y166" s="680" t="s">
        <v>68</v>
      </c>
      <c r="Z166" s="1366"/>
      <c r="AA166" s="130" t="s">
        <v>567</v>
      </c>
      <c r="AB166" s="74">
        <v>42732</v>
      </c>
      <c r="AC166" s="75">
        <v>557061.88</v>
      </c>
      <c r="AD166" s="4"/>
      <c r="AE166" s="32"/>
      <c r="AF166" s="34" t="s">
        <v>68</v>
      </c>
      <c r="AG166" s="112" t="s">
        <v>68</v>
      </c>
      <c r="AH166" s="112" t="s">
        <v>68</v>
      </c>
      <c r="AI166" s="7" t="s">
        <v>68</v>
      </c>
      <c r="AJ166" s="215" t="s">
        <v>68</v>
      </c>
      <c r="AK166" s="33" t="s">
        <v>68</v>
      </c>
      <c r="AL166" s="1" t="s">
        <v>68</v>
      </c>
      <c r="AM166" s="1"/>
      <c r="AN166" s="1" t="s">
        <v>68</v>
      </c>
      <c r="AO166" s="1"/>
      <c r="AP166" s="1" t="s">
        <v>68</v>
      </c>
      <c r="AQ166" s="1"/>
      <c r="AR166" s="279">
        <v>0</v>
      </c>
      <c r="AS166" s="462">
        <v>151195.79</v>
      </c>
      <c r="AT166" s="544">
        <v>403963.79</v>
      </c>
      <c r="AU166" s="340"/>
      <c r="AV166" s="70">
        <v>42695</v>
      </c>
      <c r="AW166" s="11">
        <v>42709</v>
      </c>
      <c r="AX166" s="223" t="s">
        <v>68</v>
      </c>
      <c r="AY166" s="52" t="s">
        <v>495</v>
      </c>
      <c r="AZ166" s="70">
        <v>42768</v>
      </c>
      <c r="BA166" s="5">
        <v>42695</v>
      </c>
      <c r="BB166" s="5">
        <v>42719</v>
      </c>
      <c r="BC166" s="11">
        <v>42709</v>
      </c>
      <c r="BD166" s="70">
        <v>42769</v>
      </c>
      <c r="BE166" s="1614"/>
      <c r="BF166" s="5">
        <v>42695</v>
      </c>
      <c r="BG166" s="5">
        <v>42719</v>
      </c>
      <c r="BH166" s="5">
        <v>42709</v>
      </c>
      <c r="BI166" s="36">
        <f t="shared" si="4"/>
        <v>555159.57999999996</v>
      </c>
      <c r="BJ166" s="13" t="s">
        <v>68</v>
      </c>
      <c r="BK166" s="352"/>
      <c r="BL166" s="694" t="s">
        <v>68</v>
      </c>
      <c r="BM166" s="695" t="s">
        <v>68</v>
      </c>
      <c r="BN166" s="695" t="s">
        <v>68</v>
      </c>
      <c r="BO166" s="694"/>
      <c r="BP166" s="694"/>
      <c r="BQ166" s="694"/>
      <c r="BR166" s="694"/>
      <c r="BS166" s="694"/>
      <c r="BT166" s="694"/>
      <c r="BU166" s="694"/>
      <c r="BV166" s="694" t="s">
        <v>68</v>
      </c>
      <c r="BW166" s="13"/>
      <c r="BX166" s="13"/>
      <c r="BY166" s="13"/>
      <c r="BZ166" s="13"/>
      <c r="CA166" s="13"/>
      <c r="CB166" s="1221" t="s">
        <v>1563</v>
      </c>
      <c r="CC166" s="586" t="s">
        <v>454</v>
      </c>
      <c r="CD166" s="513"/>
      <c r="CE166" s="2"/>
      <c r="CF166" s="2"/>
      <c r="CG166" s="2"/>
      <c r="CH166" s="2"/>
      <c r="CI166" s="2"/>
      <c r="CJ166" s="2"/>
      <c r="CK166" s="12"/>
    </row>
    <row r="167" spans="2:89" customFormat="1" ht="110.25" hidden="1" customHeight="1">
      <c r="B167" s="22"/>
      <c r="C167" s="22"/>
      <c r="D167" s="22"/>
      <c r="E167" s="22" t="s">
        <v>68</v>
      </c>
      <c r="F167" s="22"/>
      <c r="G167" s="915">
        <v>43354</v>
      </c>
      <c r="H167" s="915"/>
      <c r="I167" s="448">
        <v>43063</v>
      </c>
      <c r="J167" s="16">
        <v>2016</v>
      </c>
      <c r="K167" s="1415"/>
      <c r="L167" s="1415"/>
      <c r="M167" s="18" t="s">
        <v>77</v>
      </c>
      <c r="N167" s="33" t="s">
        <v>570</v>
      </c>
      <c r="O167" s="2" t="s">
        <v>4032</v>
      </c>
      <c r="P167" s="3" t="s">
        <v>571</v>
      </c>
      <c r="Q167" s="3" t="s">
        <v>2538</v>
      </c>
      <c r="R167" s="4">
        <v>238036.86</v>
      </c>
      <c r="S167" s="67">
        <v>42688</v>
      </c>
      <c r="T167" s="5">
        <v>42689</v>
      </c>
      <c r="U167" s="11">
        <v>42735</v>
      </c>
      <c r="V167" s="13" t="s">
        <v>68</v>
      </c>
      <c r="W167" s="19" t="s">
        <v>68</v>
      </c>
      <c r="X167" s="170" t="s">
        <v>449</v>
      </c>
      <c r="Y167" s="680" t="s">
        <v>68</v>
      </c>
      <c r="Z167" s="1366"/>
      <c r="AA167" s="130" t="s">
        <v>567</v>
      </c>
      <c r="AB167" s="74">
        <v>42732</v>
      </c>
      <c r="AC167" s="75">
        <v>238036.86</v>
      </c>
      <c r="AD167" s="4"/>
      <c r="AE167" s="32"/>
      <c r="AF167" s="34" t="s">
        <v>68</v>
      </c>
      <c r="AG167" s="112" t="s">
        <v>68</v>
      </c>
      <c r="AH167" s="112" t="s">
        <v>68</v>
      </c>
      <c r="AI167" s="7" t="s">
        <v>68</v>
      </c>
      <c r="AJ167" s="215" t="s">
        <v>68</v>
      </c>
      <c r="AK167" s="33" t="s">
        <v>68</v>
      </c>
      <c r="AL167" s="1" t="s">
        <v>68</v>
      </c>
      <c r="AM167" s="1"/>
      <c r="AN167" s="1" t="s">
        <v>68</v>
      </c>
      <c r="AO167" s="1"/>
      <c r="AP167" s="1" t="s">
        <v>68</v>
      </c>
      <c r="AQ167" s="1"/>
      <c r="AR167" s="279">
        <v>0</v>
      </c>
      <c r="AS167" s="462">
        <v>42516.09</v>
      </c>
      <c r="AT167" s="544">
        <v>195142.23</v>
      </c>
      <c r="AU167" s="340"/>
      <c r="AV167" s="70">
        <v>42695</v>
      </c>
      <c r="AW167" s="11">
        <v>42734</v>
      </c>
      <c r="AX167" s="223" t="s">
        <v>68</v>
      </c>
      <c r="AY167" s="52" t="s">
        <v>506</v>
      </c>
      <c r="AZ167" s="70">
        <v>42768</v>
      </c>
      <c r="BA167" s="5">
        <v>42689</v>
      </c>
      <c r="BB167" s="5">
        <v>42735</v>
      </c>
      <c r="BC167" s="11">
        <v>42734</v>
      </c>
      <c r="BD167" s="70">
        <v>42769</v>
      </c>
      <c r="BE167" s="1614"/>
      <c r="BF167" s="71">
        <v>42689</v>
      </c>
      <c r="BG167" s="71">
        <v>42735</v>
      </c>
      <c r="BH167" s="71">
        <v>42734</v>
      </c>
      <c r="BI167" s="129">
        <f t="shared" si="4"/>
        <v>237658.32</v>
      </c>
      <c r="BJ167" s="13" t="s">
        <v>68</v>
      </c>
      <c r="BK167" s="352"/>
      <c r="BL167" s="694" t="s">
        <v>68</v>
      </c>
      <c r="BM167" s="695" t="s">
        <v>68</v>
      </c>
      <c r="BN167" s="695" t="s">
        <v>68</v>
      </c>
      <c r="BO167" s="694"/>
      <c r="BP167" s="694"/>
      <c r="BQ167" s="694"/>
      <c r="BR167" s="694"/>
      <c r="BS167" s="694"/>
      <c r="BT167" s="694"/>
      <c r="BU167" s="694"/>
      <c r="BV167" s="694" t="s">
        <v>68</v>
      </c>
      <c r="BW167" s="13"/>
      <c r="BX167" s="13"/>
      <c r="BY167" s="13"/>
      <c r="BZ167" s="13"/>
      <c r="CA167" s="13"/>
      <c r="CB167" s="1221" t="s">
        <v>1563</v>
      </c>
      <c r="CC167" s="586" t="s">
        <v>454</v>
      </c>
      <c r="CD167" s="513"/>
      <c r="CE167" s="2"/>
      <c r="CF167" s="2"/>
      <c r="CG167" s="2"/>
      <c r="CH167" s="2"/>
      <c r="CI167" s="2"/>
      <c r="CJ167" s="2"/>
      <c r="CK167" s="12"/>
    </row>
    <row r="168" spans="2:89" customFormat="1" ht="110.25" hidden="1" customHeight="1">
      <c r="B168" s="22"/>
      <c r="C168" s="22"/>
      <c r="D168" s="22"/>
      <c r="E168" s="22" t="s">
        <v>68</v>
      </c>
      <c r="F168" s="22"/>
      <c r="G168" s="915">
        <v>43238</v>
      </c>
      <c r="H168" s="915"/>
      <c r="I168" s="448">
        <v>43063</v>
      </c>
      <c r="J168" s="16">
        <v>2016</v>
      </c>
      <c r="K168" s="1415"/>
      <c r="L168" s="1415"/>
      <c r="M168" s="18" t="s">
        <v>163</v>
      </c>
      <c r="N168" s="33" t="s">
        <v>572</v>
      </c>
      <c r="O168" s="2" t="s">
        <v>4032</v>
      </c>
      <c r="P168" s="3" t="s">
        <v>573</v>
      </c>
      <c r="Q168" s="3" t="s">
        <v>3623</v>
      </c>
      <c r="R168" s="4">
        <v>2426000</v>
      </c>
      <c r="S168" s="67">
        <v>42674</v>
      </c>
      <c r="T168" s="5">
        <v>42675</v>
      </c>
      <c r="U168" s="11">
        <v>42735</v>
      </c>
      <c r="V168" s="13" t="s">
        <v>68</v>
      </c>
      <c r="W168" s="19" t="s">
        <v>68</v>
      </c>
      <c r="X168" s="18" t="s">
        <v>114</v>
      </c>
      <c r="Y168" s="643">
        <v>42426</v>
      </c>
      <c r="Z168" s="1369"/>
      <c r="AA168" s="130" t="s">
        <v>533</v>
      </c>
      <c r="AB168" s="74">
        <v>42453</v>
      </c>
      <c r="AC168" s="75">
        <v>2426000</v>
      </c>
      <c r="AD168" s="4"/>
      <c r="AE168" s="32"/>
      <c r="AF168" s="34" t="s">
        <v>68</v>
      </c>
      <c r="AG168" s="112" t="s">
        <v>68</v>
      </c>
      <c r="AH168" s="112" t="s">
        <v>68</v>
      </c>
      <c r="AI168" s="7" t="s">
        <v>68</v>
      </c>
      <c r="AJ168" s="215" t="s">
        <v>68</v>
      </c>
      <c r="AK168" s="33" t="s">
        <v>68</v>
      </c>
      <c r="AL168" s="1" t="s">
        <v>68</v>
      </c>
      <c r="AM168" s="5"/>
      <c r="AN168" s="1" t="s">
        <v>68</v>
      </c>
      <c r="AO168" s="5"/>
      <c r="AP168" s="1" t="s">
        <v>68</v>
      </c>
      <c r="AQ168" s="1"/>
      <c r="AR168" s="279">
        <v>0</v>
      </c>
      <c r="AS168" s="35">
        <v>681684.74</v>
      </c>
      <c r="AT168" s="895">
        <v>1780674.24</v>
      </c>
      <c r="AU168" s="884"/>
      <c r="AV168" s="324">
        <v>42675</v>
      </c>
      <c r="AW168" s="11">
        <v>42734</v>
      </c>
      <c r="AX168" s="30" t="s">
        <v>68</v>
      </c>
      <c r="AY168" s="52" t="s">
        <v>495</v>
      </c>
      <c r="AZ168" s="350" t="s">
        <v>68</v>
      </c>
      <c r="BA168" s="1"/>
      <c r="BB168" s="1"/>
      <c r="BC168" s="17"/>
      <c r="BD168" s="70">
        <v>42745</v>
      </c>
      <c r="BE168" s="1614"/>
      <c r="BF168" s="5">
        <v>42632</v>
      </c>
      <c r="BG168" s="5">
        <v>42735</v>
      </c>
      <c r="BH168" s="5"/>
      <c r="BI168" s="36">
        <v>2425000</v>
      </c>
      <c r="BJ168" s="13" t="s">
        <v>68</v>
      </c>
      <c r="BK168" s="352"/>
      <c r="BL168" s="694" t="s">
        <v>68</v>
      </c>
      <c r="BM168" s="695" t="s">
        <v>68</v>
      </c>
      <c r="BN168" s="695" t="s">
        <v>68</v>
      </c>
      <c r="BO168" s="694"/>
      <c r="BP168" s="694"/>
      <c r="BQ168" s="694"/>
      <c r="BR168" s="694"/>
      <c r="BS168" s="694"/>
      <c r="BT168" s="694"/>
      <c r="BU168" s="694"/>
      <c r="BV168" s="694" t="s">
        <v>68</v>
      </c>
      <c r="BW168" s="13"/>
      <c r="BX168" s="13"/>
      <c r="BY168" s="13"/>
      <c r="BZ168" s="13"/>
      <c r="CA168" s="13"/>
      <c r="CB168" s="1221" t="s">
        <v>1563</v>
      </c>
      <c r="CC168" s="586" t="s">
        <v>454</v>
      </c>
      <c r="CD168" s="513"/>
      <c r="CE168" s="513"/>
      <c r="CF168" s="513"/>
      <c r="CG168" s="513"/>
      <c r="CH168" s="513"/>
      <c r="CI168" s="513"/>
      <c r="CJ168" s="513"/>
      <c r="CK168" s="12"/>
    </row>
    <row r="169" spans="2:89" customFormat="1" ht="208.5" hidden="1" customHeight="1">
      <c r="B169" s="22"/>
      <c r="C169" s="22"/>
      <c r="D169" s="22"/>
      <c r="E169" s="22" t="s">
        <v>68</v>
      </c>
      <c r="F169" s="22"/>
      <c r="G169" s="915">
        <v>43238</v>
      </c>
      <c r="H169" s="915"/>
      <c r="I169" s="329">
        <v>42887</v>
      </c>
      <c r="J169" s="16">
        <v>2016</v>
      </c>
      <c r="K169" s="1415"/>
      <c r="L169" s="1415"/>
      <c r="M169" s="18" t="s">
        <v>574</v>
      </c>
      <c r="N169" s="33" t="s">
        <v>575</v>
      </c>
      <c r="O169" s="2" t="s">
        <v>79</v>
      </c>
      <c r="P169" s="3" t="s">
        <v>576</v>
      </c>
      <c r="Q169" s="3" t="s">
        <v>4506</v>
      </c>
      <c r="R169" s="4">
        <v>892870.48</v>
      </c>
      <c r="S169" s="6">
        <v>42461</v>
      </c>
      <c r="T169" s="5">
        <v>42461</v>
      </c>
      <c r="U169" s="11">
        <v>42583</v>
      </c>
      <c r="V169" s="11">
        <v>42426</v>
      </c>
      <c r="W169" s="33" t="s">
        <v>577</v>
      </c>
      <c r="X169" s="18" t="s">
        <v>114</v>
      </c>
      <c r="Y169" s="673" t="s">
        <v>68</v>
      </c>
      <c r="Z169" s="1368"/>
      <c r="AA169" s="130" t="s">
        <v>578</v>
      </c>
      <c r="AB169" s="8">
        <v>42429</v>
      </c>
      <c r="AC169" s="4" t="s">
        <v>579</v>
      </c>
      <c r="AD169" s="4"/>
      <c r="AE169" s="32"/>
      <c r="AF169" s="34" t="s">
        <v>68</v>
      </c>
      <c r="AG169" s="112" t="s">
        <v>68</v>
      </c>
      <c r="AH169" s="112" t="s">
        <v>68</v>
      </c>
      <c r="AI169" s="7" t="s">
        <v>68</v>
      </c>
      <c r="AJ169" s="215" t="s">
        <v>68</v>
      </c>
      <c r="AK169" s="33" t="s">
        <v>107</v>
      </c>
      <c r="AL169" s="1" t="s">
        <v>68</v>
      </c>
      <c r="AM169" s="5"/>
      <c r="AN169" s="1" t="s">
        <v>68</v>
      </c>
      <c r="AO169" s="5"/>
      <c r="AP169" s="1" t="s">
        <v>580</v>
      </c>
      <c r="AQ169" s="5">
        <v>42688</v>
      </c>
      <c r="AR169" s="279">
        <f>89287.05</f>
        <v>89287.05</v>
      </c>
      <c r="AS169" s="35">
        <v>0</v>
      </c>
      <c r="AT169" s="895">
        <v>1035729.76</v>
      </c>
      <c r="AU169" s="884"/>
      <c r="AV169" s="30">
        <v>42464</v>
      </c>
      <c r="AW169" s="11">
        <v>42583</v>
      </c>
      <c r="AX169" s="223" t="s">
        <v>68</v>
      </c>
      <c r="AY169" s="224" t="s">
        <v>68</v>
      </c>
      <c r="AZ169" s="70" t="s">
        <v>68</v>
      </c>
      <c r="BA169" s="1"/>
      <c r="BB169" s="1"/>
      <c r="BC169" s="17"/>
      <c r="BD169" s="70">
        <v>42684</v>
      </c>
      <c r="BE169" s="1614"/>
      <c r="BF169" s="5"/>
      <c r="BG169" s="5"/>
      <c r="BH169" s="5"/>
      <c r="BI169" s="36">
        <f>AS169+AT169</f>
        <v>1035729.76</v>
      </c>
      <c r="BJ169" s="13"/>
      <c r="BK169" s="352"/>
      <c r="BL169" s="694" t="s">
        <v>68</v>
      </c>
      <c r="BM169" s="695" t="s">
        <v>68</v>
      </c>
      <c r="BN169" s="695" t="s">
        <v>68</v>
      </c>
      <c r="BO169" s="694"/>
      <c r="BP169" s="694"/>
      <c r="BQ169" s="694"/>
      <c r="BR169" s="694"/>
      <c r="BS169" s="694"/>
      <c r="BT169" s="694"/>
      <c r="BU169" s="694"/>
      <c r="BV169" s="694" t="s">
        <v>68</v>
      </c>
      <c r="BW169" s="13"/>
      <c r="BX169" s="13"/>
      <c r="BY169" s="13"/>
      <c r="BZ169" s="13"/>
      <c r="CA169" s="13"/>
      <c r="CB169" s="1221" t="s">
        <v>1563</v>
      </c>
      <c r="CC169" s="586" t="s">
        <v>454</v>
      </c>
      <c r="CD169" s="513"/>
      <c r="CE169" s="513"/>
      <c r="CF169" s="513"/>
      <c r="CG169" s="513"/>
      <c r="CH169" s="513"/>
      <c r="CI169" s="513"/>
      <c r="CJ169" s="513"/>
      <c r="CK169" s="12"/>
    </row>
    <row r="170" spans="2:89" customFormat="1" ht="75.75" hidden="1" customHeight="1">
      <c r="B170" s="22"/>
      <c r="C170" s="22"/>
      <c r="D170" s="22"/>
      <c r="E170" s="22" t="s">
        <v>68</v>
      </c>
      <c r="F170" s="22"/>
      <c r="G170" s="915">
        <v>43238</v>
      </c>
      <c r="H170" s="915"/>
      <c r="I170" s="329">
        <v>42887</v>
      </c>
      <c r="J170" s="16">
        <v>2016</v>
      </c>
      <c r="K170" s="1415"/>
      <c r="L170" s="1415"/>
      <c r="M170" s="18" t="s">
        <v>77</v>
      </c>
      <c r="N170" s="33" t="s">
        <v>581</v>
      </c>
      <c r="O170" s="2" t="s">
        <v>79</v>
      </c>
      <c r="P170" s="3" t="s">
        <v>582</v>
      </c>
      <c r="Q170" s="3" t="s">
        <v>2577</v>
      </c>
      <c r="R170" s="4">
        <v>1451401.32</v>
      </c>
      <c r="S170" s="6">
        <v>42458</v>
      </c>
      <c r="T170" s="5">
        <v>42459</v>
      </c>
      <c r="U170" s="11">
        <v>42498</v>
      </c>
      <c r="V170" s="105">
        <v>42457</v>
      </c>
      <c r="W170" s="33" t="s">
        <v>225</v>
      </c>
      <c r="X170" s="170" t="s">
        <v>449</v>
      </c>
      <c r="Y170" s="680" t="s">
        <v>68</v>
      </c>
      <c r="Z170" s="1366"/>
      <c r="AA170" s="130" t="s">
        <v>583</v>
      </c>
      <c r="AB170" s="8">
        <v>42453</v>
      </c>
      <c r="AC170" s="4">
        <v>1600000</v>
      </c>
      <c r="AD170" s="4"/>
      <c r="AE170" s="32"/>
      <c r="AF170" s="34" t="s">
        <v>68</v>
      </c>
      <c r="AG170" s="112" t="s">
        <v>68</v>
      </c>
      <c r="AH170" s="112" t="s">
        <v>68</v>
      </c>
      <c r="AI170" s="7" t="s">
        <v>68</v>
      </c>
      <c r="AJ170" s="215" t="s">
        <v>68</v>
      </c>
      <c r="AK170" s="33" t="s">
        <v>584</v>
      </c>
      <c r="AL170" s="1" t="s">
        <v>68</v>
      </c>
      <c r="AM170" s="5"/>
      <c r="AN170" s="1" t="s">
        <v>585</v>
      </c>
      <c r="AO170" s="5">
        <v>42531</v>
      </c>
      <c r="AP170" s="1" t="s">
        <v>83</v>
      </c>
      <c r="AQ170" s="5"/>
      <c r="AR170" s="279">
        <v>145140.13</v>
      </c>
      <c r="AS170" s="35">
        <v>0</v>
      </c>
      <c r="AT170" s="895">
        <v>1451401.31</v>
      </c>
      <c r="AU170" s="884"/>
      <c r="AV170" s="30">
        <v>42459</v>
      </c>
      <c r="AW170" s="11">
        <v>42497</v>
      </c>
      <c r="AX170" s="30" t="s">
        <v>68</v>
      </c>
      <c r="AY170" s="52" t="s">
        <v>68</v>
      </c>
      <c r="AZ170" s="57">
        <v>42499</v>
      </c>
      <c r="BA170" s="60">
        <v>42459</v>
      </c>
      <c r="BB170" s="60">
        <v>42498</v>
      </c>
      <c r="BC170" s="61">
        <v>42498</v>
      </c>
      <c r="BD170" s="30">
        <v>42501</v>
      </c>
      <c r="BE170" s="309"/>
      <c r="BF170" s="5">
        <v>42459</v>
      </c>
      <c r="BG170" s="5">
        <v>42498</v>
      </c>
      <c r="BH170" s="5">
        <v>42498</v>
      </c>
      <c r="BI170" s="36">
        <f>AS170+AT170</f>
        <v>1451401.31</v>
      </c>
      <c r="BJ170" s="62">
        <v>42501</v>
      </c>
      <c r="BK170" s="224"/>
      <c r="BL170" s="694" t="s">
        <v>68</v>
      </c>
      <c r="BM170" s="695" t="s">
        <v>68</v>
      </c>
      <c r="BN170" s="695" t="s">
        <v>68</v>
      </c>
      <c r="BO170" s="694"/>
      <c r="BP170" s="694"/>
      <c r="BQ170" s="694"/>
      <c r="BR170" s="694"/>
      <c r="BS170" s="694"/>
      <c r="BT170" s="694"/>
      <c r="BU170" s="694"/>
      <c r="BV170" s="694" t="s">
        <v>68</v>
      </c>
      <c r="BW170" s="62"/>
      <c r="BX170" s="62"/>
      <c r="BY170" s="62"/>
      <c r="BZ170" s="62"/>
      <c r="CA170" s="62"/>
      <c r="CB170" s="1221" t="s">
        <v>1563</v>
      </c>
      <c r="CC170" s="586" t="s">
        <v>454</v>
      </c>
      <c r="CD170" s="513"/>
      <c r="CE170" s="513"/>
      <c r="CF170" s="513"/>
      <c r="CG170" s="513"/>
      <c r="CH170" s="513"/>
      <c r="CI170" s="513"/>
      <c r="CJ170" s="513"/>
      <c r="CK170" s="12"/>
    </row>
    <row r="171" spans="2:89" customFormat="1" ht="90.75" hidden="1" customHeight="1">
      <c r="B171" s="22"/>
      <c r="C171" s="22"/>
      <c r="D171" s="22"/>
      <c r="E171" s="22" t="s">
        <v>68</v>
      </c>
      <c r="F171" s="22"/>
      <c r="G171" s="915">
        <v>43053</v>
      </c>
      <c r="H171" s="915"/>
      <c r="I171" s="329">
        <v>43013</v>
      </c>
      <c r="J171" s="16">
        <v>2016</v>
      </c>
      <c r="K171" s="1415"/>
      <c r="L171" s="1415"/>
      <c r="M171" s="18" t="s">
        <v>64</v>
      </c>
      <c r="N171" s="33" t="s">
        <v>586</v>
      </c>
      <c r="O171" s="2" t="s">
        <v>79</v>
      </c>
      <c r="P171" s="3" t="s">
        <v>587</v>
      </c>
      <c r="Q171" s="3" t="s">
        <v>4823</v>
      </c>
      <c r="R171" s="4">
        <v>441388.12</v>
      </c>
      <c r="S171" s="6">
        <v>42587</v>
      </c>
      <c r="T171" s="5">
        <v>42597</v>
      </c>
      <c r="U171" s="11">
        <v>42628</v>
      </c>
      <c r="V171" s="11">
        <v>42587</v>
      </c>
      <c r="W171" s="33" t="s">
        <v>588</v>
      </c>
      <c r="X171" s="18" t="s">
        <v>114</v>
      </c>
      <c r="Y171" s="200" t="s">
        <v>68</v>
      </c>
      <c r="Z171" s="368"/>
      <c r="AA171" s="130" t="s">
        <v>517</v>
      </c>
      <c r="AB171" s="8">
        <v>42453</v>
      </c>
      <c r="AC171" s="79">
        <v>3333333.33</v>
      </c>
      <c r="AD171" s="4"/>
      <c r="AE171" s="32"/>
      <c r="AF171" s="34" t="s">
        <v>68</v>
      </c>
      <c r="AG171" s="112" t="s">
        <v>68</v>
      </c>
      <c r="AH171" s="112" t="s">
        <v>68</v>
      </c>
      <c r="AI171" s="7" t="s">
        <v>68</v>
      </c>
      <c r="AJ171" s="215" t="s">
        <v>68</v>
      </c>
      <c r="AK171" s="115" t="s">
        <v>589</v>
      </c>
      <c r="AL171" s="1" t="s">
        <v>68</v>
      </c>
      <c r="AM171" s="5"/>
      <c r="AN171" s="1">
        <v>1789117</v>
      </c>
      <c r="AO171" s="5"/>
      <c r="AP171" s="343">
        <v>1792430</v>
      </c>
      <c r="AQ171" s="5">
        <v>42824</v>
      </c>
      <c r="AR171" s="279">
        <f>44138.81+44138.81</f>
        <v>88277.62</v>
      </c>
      <c r="AS171" s="35">
        <v>0</v>
      </c>
      <c r="AT171" s="895">
        <v>457628.12</v>
      </c>
      <c r="AU171" s="884"/>
      <c r="AV171" s="70">
        <v>42597</v>
      </c>
      <c r="AW171" s="11">
        <v>42628</v>
      </c>
      <c r="AX171" s="223" t="s">
        <v>68</v>
      </c>
      <c r="AY171" s="224" t="s">
        <v>68</v>
      </c>
      <c r="AZ171" s="30">
        <v>42628</v>
      </c>
      <c r="BA171" s="5">
        <v>42597</v>
      </c>
      <c r="BB171" s="5">
        <v>42628</v>
      </c>
      <c r="BC171" s="11">
        <v>42628</v>
      </c>
      <c r="BD171" s="30">
        <v>42633</v>
      </c>
      <c r="BE171" s="309"/>
      <c r="BF171" s="5">
        <v>42597</v>
      </c>
      <c r="BG171" s="5">
        <v>42628</v>
      </c>
      <c r="BH171" s="5">
        <v>42628</v>
      </c>
      <c r="BI171" s="36">
        <v>441388</v>
      </c>
      <c r="BJ171" s="13"/>
      <c r="BK171" s="352"/>
      <c r="BL171" s="694" t="s">
        <v>68</v>
      </c>
      <c r="BM171" s="695" t="s">
        <v>68</v>
      </c>
      <c r="BN171" s="695" t="s">
        <v>68</v>
      </c>
      <c r="BO171" s="694"/>
      <c r="BP171" s="694"/>
      <c r="BQ171" s="694"/>
      <c r="BR171" s="694"/>
      <c r="BS171" s="694"/>
      <c r="BT171" s="694"/>
      <c r="BU171" s="694"/>
      <c r="BV171" s="694" t="s">
        <v>68</v>
      </c>
      <c r="BW171" s="13"/>
      <c r="BX171" s="13"/>
      <c r="BY171" s="13"/>
      <c r="BZ171" s="13"/>
      <c r="CA171" s="13"/>
      <c r="CB171" s="1221" t="s">
        <v>1563</v>
      </c>
      <c r="CC171" s="586" t="s">
        <v>454</v>
      </c>
      <c r="CD171" s="513"/>
      <c r="CE171" s="513"/>
      <c r="CF171" s="513"/>
      <c r="CG171" s="513"/>
      <c r="CH171" s="513"/>
      <c r="CI171" s="513"/>
      <c r="CJ171" s="513"/>
      <c r="CK171" s="12"/>
    </row>
    <row r="172" spans="2:89" customFormat="1" ht="112.5" hidden="1" customHeight="1">
      <c r="B172" s="22"/>
      <c r="C172" s="22"/>
      <c r="D172" s="22"/>
      <c r="E172" s="22" t="s">
        <v>68</v>
      </c>
      <c r="F172" s="22"/>
      <c r="G172" s="915">
        <v>43238</v>
      </c>
      <c r="H172" s="915"/>
      <c r="I172" s="329">
        <v>43013</v>
      </c>
      <c r="J172" s="16">
        <v>2016</v>
      </c>
      <c r="K172" s="1415"/>
      <c r="L172" s="1415"/>
      <c r="M172" s="18" t="s">
        <v>77</v>
      </c>
      <c r="N172" s="33" t="s">
        <v>590</v>
      </c>
      <c r="O172" s="2" t="s">
        <v>79</v>
      </c>
      <c r="P172" s="80" t="s">
        <v>591</v>
      </c>
      <c r="Q172" s="80" t="s">
        <v>3623</v>
      </c>
      <c r="R172" s="472">
        <v>346655.86</v>
      </c>
      <c r="S172" s="473">
        <v>42599</v>
      </c>
      <c r="T172" s="71">
        <v>42600</v>
      </c>
      <c r="U172" s="127">
        <v>42704</v>
      </c>
      <c r="V172" s="68">
        <v>42597</v>
      </c>
      <c r="W172" s="33" t="s">
        <v>592</v>
      </c>
      <c r="X172" s="18" t="s">
        <v>3047</v>
      </c>
      <c r="Y172" s="680" t="s">
        <v>68</v>
      </c>
      <c r="Z172" s="1366"/>
      <c r="AA172" s="130" t="s">
        <v>593</v>
      </c>
      <c r="AB172" s="74">
        <v>42591</v>
      </c>
      <c r="AC172" s="75">
        <v>346655.86</v>
      </c>
      <c r="AD172" s="4"/>
      <c r="AE172" s="32"/>
      <c r="AF172" s="34" t="s">
        <v>68</v>
      </c>
      <c r="AG172" s="112" t="s">
        <v>68</v>
      </c>
      <c r="AH172" s="112" t="s">
        <v>68</v>
      </c>
      <c r="AI172" s="7" t="s">
        <v>68</v>
      </c>
      <c r="AJ172" s="215" t="s">
        <v>68</v>
      </c>
      <c r="AK172" s="344" t="s">
        <v>232</v>
      </c>
      <c r="AL172" s="1" t="s">
        <v>68</v>
      </c>
      <c r="AM172" s="5"/>
      <c r="AN172" s="1">
        <v>2056870</v>
      </c>
      <c r="AO172" s="5">
        <v>42599</v>
      </c>
      <c r="AP172" s="1">
        <v>2056880</v>
      </c>
      <c r="AQ172" s="5">
        <v>42719</v>
      </c>
      <c r="AR172" s="279">
        <f>34655.59+34665.59</f>
        <v>69321.179999999993</v>
      </c>
      <c r="AS172" s="35">
        <v>0</v>
      </c>
      <c r="AT172" s="900">
        <v>345714.41</v>
      </c>
      <c r="AU172" s="889"/>
      <c r="AV172" s="66" t="s">
        <v>74</v>
      </c>
      <c r="AW172" s="11"/>
      <c r="AX172" s="30" t="s">
        <v>68</v>
      </c>
      <c r="AY172" s="52" t="s">
        <v>68</v>
      </c>
      <c r="AZ172" s="345">
        <v>42719</v>
      </c>
      <c r="BA172" s="5">
        <v>42600</v>
      </c>
      <c r="BB172" s="5">
        <v>42704</v>
      </c>
      <c r="BC172" s="11">
        <v>42719</v>
      </c>
      <c r="BD172" s="339">
        <v>42719</v>
      </c>
      <c r="BE172" s="1616"/>
      <c r="BF172" s="5">
        <v>42600</v>
      </c>
      <c r="BG172" s="5">
        <v>42704</v>
      </c>
      <c r="BH172" s="5">
        <v>42704</v>
      </c>
      <c r="BI172" s="36">
        <f t="shared" ref="BI172:BI184" si="5">AS172+AT172</f>
        <v>345714.41</v>
      </c>
      <c r="BJ172" s="62">
        <v>42720</v>
      </c>
      <c r="BK172" s="224"/>
      <c r="BL172" s="694" t="s">
        <v>68</v>
      </c>
      <c r="BM172" s="695" t="s">
        <v>68</v>
      </c>
      <c r="BN172" s="695" t="s">
        <v>68</v>
      </c>
      <c r="BO172" s="694"/>
      <c r="BP172" s="694"/>
      <c r="BQ172" s="694"/>
      <c r="BR172" s="694"/>
      <c r="BS172" s="694"/>
      <c r="BT172" s="694"/>
      <c r="BU172" s="694"/>
      <c r="BV172" s="694" t="s">
        <v>68</v>
      </c>
      <c r="BW172" s="13"/>
      <c r="BX172" s="13"/>
      <c r="BY172" s="13"/>
      <c r="BZ172" s="13"/>
      <c r="CA172" s="13"/>
      <c r="CB172" s="1221" t="s">
        <v>1563</v>
      </c>
      <c r="CC172" s="321" t="s">
        <v>459</v>
      </c>
      <c r="CD172" s="513"/>
      <c r="CE172" s="513"/>
      <c r="CF172" s="513"/>
      <c r="CG172" s="513"/>
      <c r="CH172" s="513"/>
      <c r="CI172" s="513"/>
      <c r="CJ172" s="513"/>
      <c r="CK172" s="12"/>
    </row>
    <row r="173" spans="2:89" customFormat="1" ht="112.5" hidden="1" customHeight="1">
      <c r="B173" s="22"/>
      <c r="C173" s="22"/>
      <c r="D173" s="22"/>
      <c r="E173" s="22" t="s">
        <v>68</v>
      </c>
      <c r="F173" s="22"/>
      <c r="G173" s="915">
        <v>43238</v>
      </c>
      <c r="H173" s="915"/>
      <c r="I173" s="329">
        <v>43013</v>
      </c>
      <c r="J173" s="16">
        <v>2016</v>
      </c>
      <c r="K173" s="1415"/>
      <c r="L173" s="1415"/>
      <c r="M173" s="18" t="s">
        <v>77</v>
      </c>
      <c r="N173" s="33" t="s">
        <v>594</v>
      </c>
      <c r="O173" s="2" t="s">
        <v>79</v>
      </c>
      <c r="P173" s="3" t="s">
        <v>595</v>
      </c>
      <c r="Q173" s="3" t="s">
        <v>3623</v>
      </c>
      <c r="R173" s="4">
        <v>410268.05</v>
      </c>
      <c r="S173" s="6">
        <v>42593</v>
      </c>
      <c r="T173" s="5">
        <v>42597</v>
      </c>
      <c r="U173" s="11">
        <v>42704</v>
      </c>
      <c r="V173" s="68">
        <v>42592</v>
      </c>
      <c r="W173" s="33" t="s">
        <v>592</v>
      </c>
      <c r="X173" s="18" t="s">
        <v>3047</v>
      </c>
      <c r="Y173" s="680" t="s">
        <v>68</v>
      </c>
      <c r="Z173" s="1366"/>
      <c r="AA173" s="130" t="s">
        <v>593</v>
      </c>
      <c r="AB173" s="74">
        <v>42591</v>
      </c>
      <c r="AC173" s="79">
        <v>410268.05</v>
      </c>
      <c r="AD173" s="4"/>
      <c r="AE173" s="32"/>
      <c r="AF173" s="34" t="s">
        <v>68</v>
      </c>
      <c r="AG173" s="112" t="s">
        <v>68</v>
      </c>
      <c r="AH173" s="112" t="s">
        <v>68</v>
      </c>
      <c r="AI173" s="7" t="s">
        <v>68</v>
      </c>
      <c r="AJ173" s="215" t="s">
        <v>68</v>
      </c>
      <c r="AK173" s="344" t="s">
        <v>232</v>
      </c>
      <c r="AL173" s="1" t="s">
        <v>68</v>
      </c>
      <c r="AM173" s="5"/>
      <c r="AN173" s="1">
        <v>2056846</v>
      </c>
      <c r="AO173" s="5">
        <v>42593</v>
      </c>
      <c r="AP173" s="1">
        <v>2056849</v>
      </c>
      <c r="AQ173" s="5">
        <v>43084</v>
      </c>
      <c r="AR173" s="279">
        <f>41026.8+41026.8</f>
        <v>82053.600000000006</v>
      </c>
      <c r="AS173" s="35">
        <v>0</v>
      </c>
      <c r="AT173" s="900">
        <v>408611.97</v>
      </c>
      <c r="AU173" s="889"/>
      <c r="AV173" s="66" t="s">
        <v>74</v>
      </c>
      <c r="AW173" s="11"/>
      <c r="AX173" s="30" t="s">
        <v>68</v>
      </c>
      <c r="AY173" s="52" t="s">
        <v>68</v>
      </c>
      <c r="AZ173" s="345">
        <v>42719</v>
      </c>
      <c r="BA173" s="5">
        <v>42597</v>
      </c>
      <c r="BB173" s="5">
        <v>42704</v>
      </c>
      <c r="BC173" s="11">
        <v>42719</v>
      </c>
      <c r="BD173" s="345">
        <v>42719</v>
      </c>
      <c r="BE173" s="1617"/>
      <c r="BF173" s="325">
        <v>42597</v>
      </c>
      <c r="BG173" s="325">
        <v>42704</v>
      </c>
      <c r="BH173" s="325">
        <v>42704</v>
      </c>
      <c r="BI173" s="326">
        <f t="shared" si="5"/>
        <v>408611.97</v>
      </c>
      <c r="BJ173" s="62">
        <v>42720</v>
      </c>
      <c r="BK173" s="224"/>
      <c r="BL173" s="694" t="s">
        <v>68</v>
      </c>
      <c r="BM173" s="695" t="s">
        <v>68</v>
      </c>
      <c r="BN173" s="695" t="s">
        <v>68</v>
      </c>
      <c r="BO173" s="694"/>
      <c r="BP173" s="694"/>
      <c r="BQ173" s="694"/>
      <c r="BR173" s="694"/>
      <c r="BS173" s="694"/>
      <c r="BT173" s="694"/>
      <c r="BU173" s="694"/>
      <c r="BV173" s="694" t="s">
        <v>68</v>
      </c>
      <c r="BW173" s="13"/>
      <c r="BX173" s="13"/>
      <c r="BY173" s="13"/>
      <c r="BZ173" s="13"/>
      <c r="CA173" s="13"/>
      <c r="CB173" s="1221" t="s">
        <v>1563</v>
      </c>
      <c r="CC173" s="321" t="s">
        <v>459</v>
      </c>
      <c r="CD173" s="513"/>
      <c r="CE173" s="513"/>
      <c r="CF173" s="513"/>
      <c r="CG173" s="513"/>
      <c r="CH173" s="513"/>
      <c r="CI173" s="513"/>
      <c r="CJ173" s="513"/>
      <c r="CK173" s="12"/>
    </row>
    <row r="174" spans="2:89" customFormat="1" ht="114.75" hidden="1" customHeight="1">
      <c r="B174" s="22"/>
      <c r="C174" s="22"/>
      <c r="D174" s="22"/>
      <c r="E174" s="22" t="s">
        <v>68</v>
      </c>
      <c r="F174" s="22"/>
      <c r="G174" s="915">
        <v>42877</v>
      </c>
      <c r="H174" s="915"/>
      <c r="I174" s="329">
        <v>43013</v>
      </c>
      <c r="J174" s="532">
        <v>-2015</v>
      </c>
      <c r="K174" s="1418"/>
      <c r="L174" s="1418"/>
      <c r="M174" s="18" t="s">
        <v>77</v>
      </c>
      <c r="N174" s="19" t="s">
        <v>596</v>
      </c>
      <c r="O174" s="2" t="s">
        <v>79</v>
      </c>
      <c r="P174" s="3" t="s">
        <v>597</v>
      </c>
      <c r="Q174" s="3" t="s">
        <v>1975</v>
      </c>
      <c r="R174" s="4">
        <v>369433.07</v>
      </c>
      <c r="S174" s="6">
        <v>42597</v>
      </c>
      <c r="T174" s="5">
        <v>42600</v>
      </c>
      <c r="U174" s="11">
        <v>42704</v>
      </c>
      <c r="V174" s="68">
        <v>42597</v>
      </c>
      <c r="W174" s="178" t="s">
        <v>476</v>
      </c>
      <c r="X174" s="18" t="s">
        <v>3047</v>
      </c>
      <c r="Y174" s="680" t="s">
        <v>68</v>
      </c>
      <c r="Z174" s="1366"/>
      <c r="AA174" s="130" t="s">
        <v>598</v>
      </c>
      <c r="AB174" s="8">
        <v>42307</v>
      </c>
      <c r="AC174" s="79">
        <v>513598.8</v>
      </c>
      <c r="AD174" s="4"/>
      <c r="AE174" s="32"/>
      <c r="AF174" s="34" t="s">
        <v>68</v>
      </c>
      <c r="AG174" s="112" t="s">
        <v>68</v>
      </c>
      <c r="AH174" s="112" t="s">
        <v>68</v>
      </c>
      <c r="AI174" s="7" t="s">
        <v>68</v>
      </c>
      <c r="AJ174" s="215" t="s">
        <v>68</v>
      </c>
      <c r="AK174" s="619" t="s">
        <v>266</v>
      </c>
      <c r="AL174" s="1" t="s">
        <v>68</v>
      </c>
      <c r="AM174" s="5"/>
      <c r="AN174" s="219"/>
      <c r="AO174" s="474"/>
      <c r="AP174" s="1" t="s">
        <v>599</v>
      </c>
      <c r="AQ174" s="5">
        <v>42705</v>
      </c>
      <c r="AR174" s="279">
        <f>36601.06</f>
        <v>36601.06</v>
      </c>
      <c r="AS174" s="35">
        <v>0</v>
      </c>
      <c r="AT174" s="895">
        <v>367595.09</v>
      </c>
      <c r="AU174" s="884"/>
      <c r="AV174" s="66" t="s">
        <v>74</v>
      </c>
      <c r="AW174" s="11"/>
      <c r="AX174" s="30" t="s">
        <v>68</v>
      </c>
      <c r="AY174" s="52" t="s">
        <v>68</v>
      </c>
      <c r="AZ174" s="68">
        <v>42672</v>
      </c>
      <c r="BA174" s="5">
        <v>42600</v>
      </c>
      <c r="BB174" s="5">
        <v>42704</v>
      </c>
      <c r="BC174" s="17"/>
      <c r="BD174" s="68">
        <v>42672</v>
      </c>
      <c r="BE174" s="342"/>
      <c r="BF174" s="5">
        <v>42600</v>
      </c>
      <c r="BG174" s="5">
        <v>42704</v>
      </c>
      <c r="BH174" s="5">
        <v>42672</v>
      </c>
      <c r="BI174" s="36">
        <f t="shared" si="5"/>
        <v>367595.09</v>
      </c>
      <c r="BJ174" s="13"/>
      <c r="BK174" s="352"/>
      <c r="BL174" s="694" t="s">
        <v>68</v>
      </c>
      <c r="BM174" s="695" t="s">
        <v>68</v>
      </c>
      <c r="BN174" s="695" t="s">
        <v>68</v>
      </c>
      <c r="BO174" s="694"/>
      <c r="BP174" s="694"/>
      <c r="BQ174" s="694"/>
      <c r="BR174" s="694"/>
      <c r="BS174" s="694"/>
      <c r="BT174" s="694"/>
      <c r="BU174" s="694"/>
      <c r="BV174" s="694" t="s">
        <v>68</v>
      </c>
      <c r="BW174" s="13"/>
      <c r="BX174" s="13"/>
      <c r="BY174" s="13"/>
      <c r="BZ174" s="13"/>
      <c r="CA174" s="13"/>
      <c r="CB174" s="1221" t="s">
        <v>1563</v>
      </c>
      <c r="CC174" s="321" t="s">
        <v>459</v>
      </c>
      <c r="CD174" s="513"/>
      <c r="CE174" s="513"/>
      <c r="CF174" s="513"/>
      <c r="CG174" s="513"/>
      <c r="CH174" s="513"/>
      <c r="CI174" s="513"/>
      <c r="CJ174" s="513"/>
      <c r="CK174" s="12"/>
    </row>
    <row r="175" spans="2:89" customFormat="1" ht="105.75" hidden="1" customHeight="1">
      <c r="B175" s="22"/>
      <c r="C175" s="22"/>
      <c r="D175" s="22"/>
      <c r="E175" s="22" t="s">
        <v>68</v>
      </c>
      <c r="F175" s="22"/>
      <c r="G175" s="915">
        <v>43126</v>
      </c>
      <c r="H175" s="915"/>
      <c r="I175" s="329">
        <v>43013</v>
      </c>
      <c r="J175" s="532">
        <v>-2015</v>
      </c>
      <c r="K175" s="1418"/>
      <c r="L175" s="1418"/>
      <c r="M175" s="18" t="s">
        <v>77</v>
      </c>
      <c r="N175" s="19" t="s">
        <v>600</v>
      </c>
      <c r="O175" s="2" t="s">
        <v>79</v>
      </c>
      <c r="P175" s="3" t="s">
        <v>601</v>
      </c>
      <c r="Q175" s="3" t="s">
        <v>1975</v>
      </c>
      <c r="R175" s="4">
        <v>369433.09</v>
      </c>
      <c r="S175" s="6">
        <v>42592</v>
      </c>
      <c r="T175" s="5">
        <v>42593</v>
      </c>
      <c r="U175" s="11">
        <v>42704</v>
      </c>
      <c r="V175" s="68">
        <v>42592</v>
      </c>
      <c r="W175" s="178" t="s">
        <v>476</v>
      </c>
      <c r="X175" s="18" t="s">
        <v>3047</v>
      </c>
      <c r="Y175" s="680" t="s">
        <v>68</v>
      </c>
      <c r="Z175" s="1366"/>
      <c r="AA175" s="130" t="s">
        <v>598</v>
      </c>
      <c r="AB175" s="8">
        <v>42307</v>
      </c>
      <c r="AC175" s="79">
        <v>513598.8</v>
      </c>
      <c r="AD175" s="4"/>
      <c r="AE175" s="32"/>
      <c r="AF175" s="34" t="s">
        <v>68</v>
      </c>
      <c r="AG175" s="112" t="s">
        <v>68</v>
      </c>
      <c r="AH175" s="112" t="s">
        <v>68</v>
      </c>
      <c r="AI175" s="7" t="s">
        <v>68</v>
      </c>
      <c r="AJ175" s="215" t="s">
        <v>68</v>
      </c>
      <c r="AK175" s="619" t="s">
        <v>266</v>
      </c>
      <c r="AL175" s="1" t="s">
        <v>68</v>
      </c>
      <c r="AM175" s="5"/>
      <c r="AN175" s="219"/>
      <c r="AO175" s="474"/>
      <c r="AP175" s="1" t="s">
        <v>602</v>
      </c>
      <c r="AQ175" s="5">
        <v>42705</v>
      </c>
      <c r="AR175" s="279">
        <f>36952.17</f>
        <v>36952.17</v>
      </c>
      <c r="AS175" s="35">
        <v>0</v>
      </c>
      <c r="AT175" s="895">
        <v>367595.1</v>
      </c>
      <c r="AU175" s="884"/>
      <c r="AV175" s="66" t="s">
        <v>74</v>
      </c>
      <c r="AW175" s="11"/>
      <c r="AX175" s="30" t="s">
        <v>68</v>
      </c>
      <c r="AY175" s="52" t="s">
        <v>68</v>
      </c>
      <c r="AZ175" s="346">
        <v>42664</v>
      </c>
      <c r="BA175" s="5">
        <v>42593</v>
      </c>
      <c r="BB175" s="5">
        <v>42704</v>
      </c>
      <c r="BC175" s="17"/>
      <c r="BD175" s="346">
        <v>42664</v>
      </c>
      <c r="BE175" s="1264"/>
      <c r="BF175" s="325">
        <v>42593</v>
      </c>
      <c r="BG175" s="325">
        <v>42704</v>
      </c>
      <c r="BH175" s="325">
        <v>42664</v>
      </c>
      <c r="BI175" s="326">
        <f t="shared" si="5"/>
        <v>367595.1</v>
      </c>
      <c r="BJ175" s="13"/>
      <c r="BK175" s="352"/>
      <c r="BL175" s="694" t="s">
        <v>68</v>
      </c>
      <c r="BM175" s="695" t="s">
        <v>68</v>
      </c>
      <c r="BN175" s="695" t="s">
        <v>68</v>
      </c>
      <c r="BO175" s="694"/>
      <c r="BP175" s="694"/>
      <c r="BQ175" s="694"/>
      <c r="BR175" s="694"/>
      <c r="BS175" s="694"/>
      <c r="BT175" s="694"/>
      <c r="BU175" s="694"/>
      <c r="BV175" s="694" t="s">
        <v>68</v>
      </c>
      <c r="BW175" s="13"/>
      <c r="BX175" s="13"/>
      <c r="BY175" s="13"/>
      <c r="BZ175" s="13"/>
      <c r="CA175" s="13"/>
      <c r="CB175" s="1221" t="s">
        <v>1563</v>
      </c>
      <c r="CC175" s="321" t="s">
        <v>459</v>
      </c>
      <c r="CD175" s="513"/>
      <c r="CE175" s="513"/>
      <c r="CF175" s="513"/>
      <c r="CG175" s="513"/>
      <c r="CH175" s="513"/>
      <c r="CI175" s="513"/>
      <c r="CJ175" s="513"/>
      <c r="CK175" s="12"/>
    </row>
    <row r="176" spans="2:89" customFormat="1" ht="93.75" hidden="1" customHeight="1">
      <c r="B176" s="22"/>
      <c r="C176" s="22"/>
      <c r="D176" s="22"/>
      <c r="E176" s="22" t="s">
        <v>68</v>
      </c>
      <c r="F176" s="22"/>
      <c r="G176" s="915">
        <v>43126</v>
      </c>
      <c r="H176" s="915"/>
      <c r="I176" s="329">
        <v>42887</v>
      </c>
      <c r="J176" s="16">
        <v>2016</v>
      </c>
      <c r="K176" s="1415"/>
      <c r="L176" s="1415"/>
      <c r="M176" s="18" t="s">
        <v>77</v>
      </c>
      <c r="N176" s="33" t="s">
        <v>603</v>
      </c>
      <c r="O176" s="2" t="s">
        <v>79</v>
      </c>
      <c r="P176" s="80" t="s">
        <v>604</v>
      </c>
      <c r="Q176" s="80" t="s">
        <v>1975</v>
      </c>
      <c r="R176" s="4">
        <v>205079.87</v>
      </c>
      <c r="S176" s="6">
        <v>42618</v>
      </c>
      <c r="T176" s="5">
        <v>42625</v>
      </c>
      <c r="U176" s="11">
        <v>42704</v>
      </c>
      <c r="V176" s="68">
        <v>42618</v>
      </c>
      <c r="W176" s="178" t="s">
        <v>476</v>
      </c>
      <c r="X176" s="18" t="s">
        <v>3047</v>
      </c>
      <c r="Y176" s="680" t="s">
        <v>68</v>
      </c>
      <c r="Z176" s="1366"/>
      <c r="AA176" s="130" t="s">
        <v>593</v>
      </c>
      <c r="AB176" s="8">
        <v>42591</v>
      </c>
      <c r="AC176" s="79">
        <v>205079.87</v>
      </c>
      <c r="AD176" s="4"/>
      <c r="AE176" s="32"/>
      <c r="AF176" s="34" t="s">
        <v>68</v>
      </c>
      <c r="AG176" s="112" t="s">
        <v>68</v>
      </c>
      <c r="AH176" s="112" t="s">
        <v>68</v>
      </c>
      <c r="AI176" s="7" t="s">
        <v>68</v>
      </c>
      <c r="AJ176" s="215" t="s">
        <v>68</v>
      </c>
      <c r="AK176" s="619" t="s">
        <v>266</v>
      </c>
      <c r="AL176" s="1" t="s">
        <v>68</v>
      </c>
      <c r="AM176" s="5"/>
      <c r="AN176" s="219"/>
      <c r="AO176" s="474"/>
      <c r="AP176" s="1" t="s">
        <v>605</v>
      </c>
      <c r="AQ176" s="60">
        <v>43070</v>
      </c>
      <c r="AR176" s="279">
        <f>20303.93</f>
        <v>20303.93</v>
      </c>
      <c r="AS176" s="35">
        <v>0</v>
      </c>
      <c r="AT176" s="895">
        <v>101409.74</v>
      </c>
      <c r="AU176" s="884"/>
      <c r="AV176" s="66" t="s">
        <v>74</v>
      </c>
      <c r="AW176" s="11"/>
      <c r="AX176" s="30" t="s">
        <v>68</v>
      </c>
      <c r="AY176" s="52" t="s">
        <v>68</v>
      </c>
      <c r="AZ176" s="324">
        <v>42698</v>
      </c>
      <c r="BA176" s="5">
        <v>42625</v>
      </c>
      <c r="BB176" s="5">
        <v>42704</v>
      </c>
      <c r="BC176" s="17"/>
      <c r="BD176" s="568">
        <v>42698</v>
      </c>
      <c r="BE176" s="1618"/>
      <c r="BF176" s="325">
        <v>42625</v>
      </c>
      <c r="BG176" s="325">
        <v>42704</v>
      </c>
      <c r="BH176" s="325">
        <v>42698</v>
      </c>
      <c r="BI176" s="326">
        <f t="shared" si="5"/>
        <v>101409.74</v>
      </c>
      <c r="BJ176" s="13"/>
      <c r="BK176" s="352"/>
      <c r="BL176" s="694" t="s">
        <v>68</v>
      </c>
      <c r="BM176" s="695" t="s">
        <v>68</v>
      </c>
      <c r="BN176" s="695" t="s">
        <v>68</v>
      </c>
      <c r="BO176" s="694"/>
      <c r="BP176" s="694"/>
      <c r="BQ176" s="694"/>
      <c r="BR176" s="694"/>
      <c r="BS176" s="694"/>
      <c r="BT176" s="694"/>
      <c r="BU176" s="694"/>
      <c r="BV176" s="694" t="s">
        <v>68</v>
      </c>
      <c r="BW176" s="13"/>
      <c r="BX176" s="13"/>
      <c r="BY176" s="13"/>
      <c r="BZ176" s="13"/>
      <c r="CA176" s="13"/>
      <c r="CB176" s="1221" t="s">
        <v>1563</v>
      </c>
      <c r="CC176" s="321" t="s">
        <v>459</v>
      </c>
      <c r="CD176" s="513"/>
      <c r="CE176" s="513"/>
      <c r="CF176" s="513"/>
      <c r="CG176" s="513"/>
      <c r="CH176" s="513"/>
      <c r="CI176" s="513"/>
      <c r="CJ176" s="513"/>
      <c r="CK176" s="12"/>
    </row>
    <row r="177" spans="1:89" ht="90.75" hidden="1" customHeight="1">
      <c r="A177"/>
      <c r="B177" s="22"/>
      <c r="C177" s="22"/>
      <c r="D177" s="22"/>
      <c r="E177" s="22" t="s">
        <v>68</v>
      </c>
      <c r="F177" s="22"/>
      <c r="G177" s="915">
        <v>43126</v>
      </c>
      <c r="H177" s="915"/>
      <c r="I177" s="329">
        <v>42887</v>
      </c>
      <c r="J177" s="16">
        <v>2016</v>
      </c>
      <c r="K177" s="1415"/>
      <c r="L177" s="1415"/>
      <c r="M177" s="18" t="s">
        <v>77</v>
      </c>
      <c r="N177" s="33" t="s">
        <v>606</v>
      </c>
      <c r="O177" s="2" t="s">
        <v>79</v>
      </c>
      <c r="P177" s="80" t="s">
        <v>607</v>
      </c>
      <c r="Q177" s="80" t="s">
        <v>1975</v>
      </c>
      <c r="R177" s="4">
        <v>187923.95</v>
      </c>
      <c r="S177" s="6">
        <v>42618</v>
      </c>
      <c r="T177" s="5">
        <v>42625</v>
      </c>
      <c r="U177" s="11">
        <v>42704</v>
      </c>
      <c r="V177" s="68">
        <v>41157</v>
      </c>
      <c r="W177" s="178" t="s">
        <v>476</v>
      </c>
      <c r="X177" s="18" t="s">
        <v>3047</v>
      </c>
      <c r="Y177" s="680" t="s">
        <v>68</v>
      </c>
      <c r="Z177" s="1366"/>
      <c r="AA177" s="130" t="s">
        <v>593</v>
      </c>
      <c r="AB177" s="8">
        <v>42591</v>
      </c>
      <c r="AC177" s="79">
        <v>187923.96</v>
      </c>
      <c r="AD177" s="4"/>
      <c r="AE177" s="32"/>
      <c r="AF177" s="34" t="s">
        <v>68</v>
      </c>
      <c r="AG177" s="112" t="s">
        <v>68</v>
      </c>
      <c r="AH177" s="112" t="s">
        <v>68</v>
      </c>
      <c r="AI177" s="7" t="s">
        <v>68</v>
      </c>
      <c r="AJ177" s="215" t="s">
        <v>68</v>
      </c>
      <c r="AK177" s="619" t="s">
        <v>266</v>
      </c>
      <c r="AL177" s="1" t="s">
        <v>68</v>
      </c>
      <c r="AM177" s="5"/>
      <c r="AN177" s="219"/>
      <c r="AO177" s="474"/>
      <c r="AP177" s="1" t="s">
        <v>608</v>
      </c>
      <c r="AQ177" s="5">
        <v>42705</v>
      </c>
      <c r="AR177" s="279">
        <f>18792.37</f>
        <v>18792.37</v>
      </c>
      <c r="AS177" s="35"/>
      <c r="AT177" s="895">
        <v>93627.95</v>
      </c>
      <c r="AU177" s="884"/>
      <c r="AV177" s="66" t="s">
        <v>74</v>
      </c>
      <c r="AW177" s="11"/>
      <c r="AX177" s="30" t="s">
        <v>68</v>
      </c>
      <c r="AY177" s="52" t="s">
        <v>68</v>
      </c>
      <c r="AZ177" s="324">
        <v>42698</v>
      </c>
      <c r="BA177" s="5">
        <v>42625</v>
      </c>
      <c r="BB177" s="5">
        <v>42704</v>
      </c>
      <c r="BC177" s="17"/>
      <c r="BD177" s="324">
        <v>42698</v>
      </c>
      <c r="BE177" s="1615"/>
      <c r="BF177" s="325">
        <v>42625</v>
      </c>
      <c r="BG177" s="325">
        <v>42704</v>
      </c>
      <c r="BH177" s="325">
        <v>42698</v>
      </c>
      <c r="BI177" s="326">
        <f t="shared" si="5"/>
        <v>93627.95</v>
      </c>
      <c r="BJ177" s="13"/>
      <c r="BK177" s="352"/>
      <c r="BL177" s="694" t="s">
        <v>68</v>
      </c>
      <c r="BM177" s="695" t="s">
        <v>68</v>
      </c>
      <c r="BN177" s="695" t="s">
        <v>68</v>
      </c>
      <c r="BO177" s="694"/>
      <c r="BP177" s="694"/>
      <c r="BQ177" s="694"/>
      <c r="BR177" s="694"/>
      <c r="BS177" s="694"/>
      <c r="BT177" s="694"/>
      <c r="BU177" s="694"/>
      <c r="BV177" s="694" t="s">
        <v>68</v>
      </c>
      <c r="BW177" s="13"/>
      <c r="BX177" s="13"/>
      <c r="BY177" s="13"/>
      <c r="BZ177" s="13"/>
      <c r="CA177" s="13"/>
      <c r="CB177" s="1221" t="s">
        <v>1563</v>
      </c>
      <c r="CC177" s="321" t="s">
        <v>459</v>
      </c>
      <c r="CD177" s="513"/>
      <c r="CE177" s="513"/>
      <c r="CF177" s="513"/>
      <c r="CG177" s="513"/>
      <c r="CH177" s="513"/>
      <c r="CI177" s="513"/>
      <c r="CJ177" s="513"/>
      <c r="CK177" s="12"/>
    </row>
    <row r="178" spans="1:89" ht="77.25" hidden="1" customHeight="1">
      <c r="A178"/>
      <c r="B178" s="22"/>
      <c r="C178" s="22"/>
      <c r="D178" s="22"/>
      <c r="E178" s="22" t="s">
        <v>68</v>
      </c>
      <c r="F178" s="22"/>
      <c r="G178" s="915">
        <v>43126</v>
      </c>
      <c r="H178" s="915"/>
      <c r="I178" s="329">
        <v>42887</v>
      </c>
      <c r="J178" s="16">
        <v>2016</v>
      </c>
      <c r="K178" s="1415"/>
      <c r="L178" s="1415"/>
      <c r="M178" s="18" t="s">
        <v>77</v>
      </c>
      <c r="N178" s="33" t="s">
        <v>609</v>
      </c>
      <c r="O178" s="2" t="s">
        <v>79</v>
      </c>
      <c r="P178" s="80" t="s">
        <v>610</v>
      </c>
      <c r="Q178" s="80" t="s">
        <v>1975</v>
      </c>
      <c r="R178" s="4">
        <v>583370.43999999994</v>
      </c>
      <c r="S178" s="6">
        <v>42632</v>
      </c>
      <c r="T178" s="5">
        <v>42635</v>
      </c>
      <c r="U178" s="11">
        <v>42704</v>
      </c>
      <c r="V178" s="68">
        <v>42632</v>
      </c>
      <c r="W178" s="33" t="s">
        <v>611</v>
      </c>
      <c r="X178" s="18" t="s">
        <v>3047</v>
      </c>
      <c r="Y178" s="68">
        <v>42630</v>
      </c>
      <c r="Z178" s="68"/>
      <c r="AA178" s="130" t="s">
        <v>593</v>
      </c>
      <c r="AB178" s="8">
        <v>42591</v>
      </c>
      <c r="AC178" s="79">
        <v>583370.43999999994</v>
      </c>
      <c r="AD178" s="4"/>
      <c r="AE178" s="32"/>
      <c r="AF178" s="34" t="s">
        <v>68</v>
      </c>
      <c r="AG178" s="112" t="s">
        <v>68</v>
      </c>
      <c r="AH178" s="112" t="s">
        <v>68</v>
      </c>
      <c r="AI178" s="7" t="s">
        <v>68</v>
      </c>
      <c r="AJ178" s="215" t="s">
        <v>68</v>
      </c>
      <c r="AK178" s="130" t="s">
        <v>232</v>
      </c>
      <c r="AL178" s="1" t="s">
        <v>68</v>
      </c>
      <c r="AM178" s="5"/>
      <c r="AN178" s="1">
        <v>2056921</v>
      </c>
      <c r="AO178" s="5">
        <v>42634</v>
      </c>
      <c r="AP178" s="1">
        <v>2056935</v>
      </c>
      <c r="AQ178" s="5">
        <v>42720</v>
      </c>
      <c r="AR178" s="279">
        <f>58337.04*2</f>
        <v>116674.08</v>
      </c>
      <c r="AS178" s="35">
        <v>0</v>
      </c>
      <c r="AT178" s="895">
        <v>581427.36</v>
      </c>
      <c r="AU178" s="884"/>
      <c r="AV178" s="70">
        <v>42636</v>
      </c>
      <c r="AW178" s="11">
        <v>42719</v>
      </c>
      <c r="AX178" s="30" t="s">
        <v>68</v>
      </c>
      <c r="AY178" s="52" t="s">
        <v>68</v>
      </c>
      <c r="AZ178" s="324">
        <v>42720</v>
      </c>
      <c r="BA178" s="5">
        <v>42635</v>
      </c>
      <c r="BB178" s="5">
        <v>42704</v>
      </c>
      <c r="BC178" s="11">
        <v>42720</v>
      </c>
      <c r="BD178" s="568">
        <v>42720</v>
      </c>
      <c r="BE178" s="1618"/>
      <c r="BF178" s="325">
        <v>42635</v>
      </c>
      <c r="BG178" s="325">
        <v>42704</v>
      </c>
      <c r="BH178" s="325">
        <v>42720</v>
      </c>
      <c r="BI178" s="326">
        <f t="shared" si="5"/>
        <v>581427.36</v>
      </c>
      <c r="BJ178" s="203">
        <v>42720</v>
      </c>
      <c r="BK178" s="1818"/>
      <c r="BL178" s="694" t="s">
        <v>68</v>
      </c>
      <c r="BM178" s="695" t="s">
        <v>68</v>
      </c>
      <c r="BN178" s="695" t="s">
        <v>68</v>
      </c>
      <c r="BO178" s="694"/>
      <c r="BP178" s="694"/>
      <c r="BQ178" s="694"/>
      <c r="BR178" s="694"/>
      <c r="BS178" s="694"/>
      <c r="BT178" s="694"/>
      <c r="BU178" s="694"/>
      <c r="BV178" s="694" t="s">
        <v>68</v>
      </c>
      <c r="BW178" s="13"/>
      <c r="BX178" s="13"/>
      <c r="BY178" s="13"/>
      <c r="BZ178" s="13"/>
      <c r="CA178" s="13"/>
      <c r="CB178" s="1221" t="s">
        <v>1563</v>
      </c>
      <c r="CC178" s="586" t="s">
        <v>454</v>
      </c>
      <c r="CD178" s="513"/>
      <c r="CE178" s="513"/>
      <c r="CF178" s="513"/>
      <c r="CG178" s="513"/>
      <c r="CH178" s="513"/>
      <c r="CI178" s="513"/>
      <c r="CJ178" s="513"/>
      <c r="CK178" s="12"/>
    </row>
    <row r="179" spans="1:89" ht="73.5" hidden="1" customHeight="1">
      <c r="A179"/>
      <c r="B179" s="22"/>
      <c r="C179" s="22"/>
      <c r="D179" s="22"/>
      <c r="E179" s="22" t="s">
        <v>68</v>
      </c>
      <c r="F179" s="22"/>
      <c r="G179" s="915">
        <v>43332</v>
      </c>
      <c r="H179" s="915"/>
      <c r="I179" s="329">
        <v>42887</v>
      </c>
      <c r="J179" s="16">
        <v>2016</v>
      </c>
      <c r="K179" s="1415"/>
      <c r="L179" s="1415"/>
      <c r="M179" s="18" t="s">
        <v>77</v>
      </c>
      <c r="N179" s="33" t="s">
        <v>612</v>
      </c>
      <c r="O179" s="2" t="s">
        <v>79</v>
      </c>
      <c r="P179" s="80" t="s">
        <v>613</v>
      </c>
      <c r="Q179" s="80" t="s">
        <v>1975</v>
      </c>
      <c r="R179" s="4">
        <v>490205.03</v>
      </c>
      <c r="S179" s="6">
        <v>42632</v>
      </c>
      <c r="T179" s="5">
        <v>42635</v>
      </c>
      <c r="U179" s="11">
        <v>42704</v>
      </c>
      <c r="V179" s="68">
        <v>42632</v>
      </c>
      <c r="W179" s="33" t="s">
        <v>611</v>
      </c>
      <c r="X179" s="18" t="s">
        <v>3047</v>
      </c>
      <c r="Y179" s="68">
        <v>42630</v>
      </c>
      <c r="Z179" s="68"/>
      <c r="AA179" s="130" t="s">
        <v>593</v>
      </c>
      <c r="AB179" s="8">
        <v>42591</v>
      </c>
      <c r="AC179" s="79">
        <v>490205.03</v>
      </c>
      <c r="AD179" s="4"/>
      <c r="AE179" s="32"/>
      <c r="AF179" s="34" t="s">
        <v>68</v>
      </c>
      <c r="AG179" s="112" t="s">
        <v>68</v>
      </c>
      <c r="AH179" s="112" t="s">
        <v>68</v>
      </c>
      <c r="AI179" s="7" t="s">
        <v>68</v>
      </c>
      <c r="AJ179" s="215" t="s">
        <v>68</v>
      </c>
      <c r="AK179" s="130" t="s">
        <v>232</v>
      </c>
      <c r="AL179" s="1" t="s">
        <v>68</v>
      </c>
      <c r="AM179" s="5"/>
      <c r="AN179" s="1">
        <v>2056910</v>
      </c>
      <c r="AO179" s="5">
        <v>42634</v>
      </c>
      <c r="AP179" s="1">
        <v>2056914</v>
      </c>
      <c r="AQ179" s="5">
        <v>42720</v>
      </c>
      <c r="AR179" s="279">
        <f>49020.5+49020.5</f>
        <v>98041</v>
      </c>
      <c r="AS179" s="35">
        <v>0</v>
      </c>
      <c r="AT179" s="895">
        <v>490205.02</v>
      </c>
      <c r="AU179" s="884"/>
      <c r="AV179" s="70">
        <v>42636</v>
      </c>
      <c r="AW179" s="11">
        <v>42719</v>
      </c>
      <c r="AX179" s="30" t="s">
        <v>68</v>
      </c>
      <c r="AY179" s="52" t="s">
        <v>68</v>
      </c>
      <c r="AZ179" s="324">
        <v>42720</v>
      </c>
      <c r="BA179" s="5">
        <v>42604</v>
      </c>
      <c r="BB179" s="5">
        <v>42704</v>
      </c>
      <c r="BC179" s="5">
        <v>42720</v>
      </c>
      <c r="BD179" s="324">
        <v>42720</v>
      </c>
      <c r="BE179" s="1615"/>
      <c r="BF179" s="325">
        <v>42635</v>
      </c>
      <c r="BG179" s="325">
        <v>42704</v>
      </c>
      <c r="BH179" s="325">
        <v>42720</v>
      </c>
      <c r="BI179" s="326">
        <f t="shared" si="5"/>
        <v>490205.02</v>
      </c>
      <c r="BJ179" s="62">
        <v>42720</v>
      </c>
      <c r="BK179" s="224"/>
      <c r="BL179" s="694" t="s">
        <v>68</v>
      </c>
      <c r="BM179" s="695" t="s">
        <v>68</v>
      </c>
      <c r="BN179" s="695" t="s">
        <v>68</v>
      </c>
      <c r="BO179" s="694"/>
      <c r="BP179" s="694"/>
      <c r="BQ179" s="694"/>
      <c r="BR179" s="694"/>
      <c r="BS179" s="694"/>
      <c r="BT179" s="694"/>
      <c r="BU179" s="694"/>
      <c r="BV179" s="694" t="s">
        <v>68</v>
      </c>
      <c r="BW179" s="13"/>
      <c r="BX179" s="13"/>
      <c r="BY179" s="13"/>
      <c r="BZ179" s="13"/>
      <c r="CA179" s="13"/>
      <c r="CB179" s="1221" t="s">
        <v>1563</v>
      </c>
      <c r="CC179" s="586" t="s">
        <v>454</v>
      </c>
      <c r="CD179" s="513"/>
      <c r="CE179" s="513"/>
      <c r="CF179" s="513"/>
      <c r="CG179" s="513"/>
      <c r="CH179" s="513"/>
      <c r="CI179" s="513"/>
      <c r="CJ179" s="513"/>
      <c r="CK179" s="12"/>
    </row>
    <row r="180" spans="1:89" ht="90.75" hidden="1" customHeight="1">
      <c r="A180"/>
      <c r="B180" s="22"/>
      <c r="C180" s="22"/>
      <c r="D180" s="22"/>
      <c r="E180" s="22" t="s">
        <v>68</v>
      </c>
      <c r="F180" s="22"/>
      <c r="G180" s="915">
        <v>42870</v>
      </c>
      <c r="H180" s="915"/>
      <c r="I180" s="448">
        <v>43013</v>
      </c>
      <c r="J180" s="16">
        <v>2016</v>
      </c>
      <c r="K180" s="1415"/>
      <c r="L180" s="1415"/>
      <c r="M180" s="18" t="s">
        <v>554</v>
      </c>
      <c r="N180" s="19" t="s">
        <v>614</v>
      </c>
      <c r="O180" s="2" t="s">
        <v>615</v>
      </c>
      <c r="P180" s="80" t="s">
        <v>616</v>
      </c>
      <c r="Q180" s="80"/>
      <c r="R180" s="4">
        <v>3930732.57</v>
      </c>
      <c r="S180" s="6">
        <v>42633</v>
      </c>
      <c r="T180" s="5">
        <v>42634</v>
      </c>
      <c r="U180" s="11">
        <v>42719</v>
      </c>
      <c r="V180" s="13" t="s">
        <v>68</v>
      </c>
      <c r="W180" s="33" t="s">
        <v>617</v>
      </c>
      <c r="X180" s="170" t="s">
        <v>449</v>
      </c>
      <c r="Y180" s="200" t="s">
        <v>68</v>
      </c>
      <c r="Z180" s="368"/>
      <c r="AA180" s="19" t="s">
        <v>557</v>
      </c>
      <c r="AB180" s="8">
        <v>42976</v>
      </c>
      <c r="AC180" s="4">
        <v>4000000</v>
      </c>
      <c r="AD180" s="4"/>
      <c r="AE180" s="32"/>
      <c r="AF180" s="34">
        <v>42619</v>
      </c>
      <c r="AG180" s="112">
        <v>42621</v>
      </c>
      <c r="AH180" s="7">
        <v>42621</v>
      </c>
      <c r="AI180" s="112">
        <v>42628</v>
      </c>
      <c r="AJ180" s="109">
        <v>42632</v>
      </c>
      <c r="AK180" s="115" t="s">
        <v>589</v>
      </c>
      <c r="AL180" s="1">
        <v>1741767</v>
      </c>
      <c r="AM180" s="5">
        <v>42633</v>
      </c>
      <c r="AN180" s="1">
        <v>1741772</v>
      </c>
      <c r="AO180" s="5">
        <v>42633</v>
      </c>
      <c r="AP180" s="1">
        <v>1771439</v>
      </c>
      <c r="AQ180" s="5">
        <v>42726</v>
      </c>
      <c r="AR180" s="279">
        <f>982683.14+393073.26+393073.26</f>
        <v>1768829.66</v>
      </c>
      <c r="AS180" s="35">
        <v>0</v>
      </c>
      <c r="AT180" s="895">
        <f>982683.14+979572.74+561283.76+618396.26+600914.41+187882.23</f>
        <v>3930732.5399999996</v>
      </c>
      <c r="AU180" s="884"/>
      <c r="AV180" s="70">
        <v>42634</v>
      </c>
      <c r="AW180" s="11">
        <v>42714</v>
      </c>
      <c r="AX180" s="223" t="s">
        <v>68</v>
      </c>
      <c r="AY180" s="224" t="s">
        <v>68</v>
      </c>
      <c r="AZ180" s="324">
        <v>42730</v>
      </c>
      <c r="BA180" s="5">
        <v>42634</v>
      </c>
      <c r="BB180" s="5">
        <v>42719</v>
      </c>
      <c r="BC180" s="11">
        <v>42714</v>
      </c>
      <c r="BD180" s="324">
        <v>42730</v>
      </c>
      <c r="BE180" s="1615"/>
      <c r="BF180" s="5">
        <v>42634</v>
      </c>
      <c r="BG180" s="5">
        <v>42719</v>
      </c>
      <c r="BH180" s="5">
        <v>42714</v>
      </c>
      <c r="BI180" s="36">
        <f t="shared" si="5"/>
        <v>3930732.5399999996</v>
      </c>
      <c r="BJ180" s="13"/>
      <c r="BK180" s="352"/>
      <c r="BL180" s="694" t="s">
        <v>68</v>
      </c>
      <c r="BM180" s="695" t="s">
        <v>68</v>
      </c>
      <c r="BN180" s="695" t="s">
        <v>68</v>
      </c>
      <c r="BO180" s="694"/>
      <c r="BP180" s="694"/>
      <c r="BQ180" s="694"/>
      <c r="BR180" s="694"/>
      <c r="BS180" s="694"/>
      <c r="BT180" s="694"/>
      <c r="BU180" s="694"/>
      <c r="BV180" s="694" t="s">
        <v>68</v>
      </c>
      <c r="BW180" s="13"/>
      <c r="BX180" s="13"/>
      <c r="BY180" s="13"/>
      <c r="BZ180" s="13"/>
      <c r="CA180" s="13"/>
      <c r="CB180" s="1221" t="s">
        <v>1563</v>
      </c>
      <c r="CC180" s="586" t="s">
        <v>454</v>
      </c>
      <c r="CD180" s="560"/>
      <c r="CE180" s="560"/>
      <c r="CF180" s="560"/>
      <c r="CG180" s="560"/>
      <c r="CH180" s="560"/>
      <c r="CI180" s="560"/>
      <c r="CJ180" s="560"/>
      <c r="CK180" s="12"/>
    </row>
    <row r="181" spans="1:89" ht="57" hidden="1" customHeight="1">
      <c r="A181"/>
      <c r="B181" s="22"/>
      <c r="C181" s="22"/>
      <c r="D181" s="22"/>
      <c r="E181" s="22" t="s">
        <v>68</v>
      </c>
      <c r="F181" s="22"/>
      <c r="G181" s="915">
        <v>43018</v>
      </c>
      <c r="H181" s="915"/>
      <c r="I181" s="329">
        <v>42887</v>
      </c>
      <c r="J181" s="16">
        <v>2016</v>
      </c>
      <c r="K181" s="1415"/>
      <c r="L181" s="1415"/>
      <c r="M181" s="18" t="s">
        <v>77</v>
      </c>
      <c r="N181" s="33" t="s">
        <v>618</v>
      </c>
      <c r="O181" s="2" t="s">
        <v>79</v>
      </c>
      <c r="P181" s="3" t="s">
        <v>619</v>
      </c>
      <c r="Q181" s="3" t="s">
        <v>3623</v>
      </c>
      <c r="R181" s="4">
        <v>352278.81</v>
      </c>
      <c r="S181" s="6">
        <v>42650</v>
      </c>
      <c r="T181" s="5">
        <v>42653</v>
      </c>
      <c r="U181" s="11">
        <v>42734</v>
      </c>
      <c r="V181" s="11">
        <v>42650</v>
      </c>
      <c r="W181" s="33" t="s">
        <v>588</v>
      </c>
      <c r="X181" s="18" t="s">
        <v>114</v>
      </c>
      <c r="Y181" s="680" t="s">
        <v>68</v>
      </c>
      <c r="Z181" s="1366"/>
      <c r="AA181" s="130" t="s">
        <v>620</v>
      </c>
      <c r="AB181" s="74">
        <v>42586</v>
      </c>
      <c r="AC181" s="75">
        <v>352278.81</v>
      </c>
      <c r="AD181" s="4"/>
      <c r="AE181" s="32"/>
      <c r="AF181" s="34" t="s">
        <v>68</v>
      </c>
      <c r="AG181" s="112" t="s">
        <v>68</v>
      </c>
      <c r="AH181" s="112" t="s">
        <v>68</v>
      </c>
      <c r="AI181" s="7" t="s">
        <v>68</v>
      </c>
      <c r="AJ181" s="215" t="s">
        <v>68</v>
      </c>
      <c r="AK181" s="618" t="s">
        <v>589</v>
      </c>
      <c r="AL181" s="1" t="s">
        <v>68</v>
      </c>
      <c r="AM181" s="5"/>
      <c r="AN181" s="1">
        <v>1789113</v>
      </c>
      <c r="AO181" s="5">
        <v>42652</v>
      </c>
      <c r="AP181" s="219"/>
      <c r="AQ181" s="219"/>
      <c r="AR181" s="279">
        <f>35227.88</f>
        <v>35227.879999999997</v>
      </c>
      <c r="AS181" s="35">
        <v>0</v>
      </c>
      <c r="AT181" s="895">
        <v>352278.84</v>
      </c>
      <c r="AU181" s="884"/>
      <c r="AV181" s="70">
        <v>42653</v>
      </c>
      <c r="AW181" s="11">
        <v>42711</v>
      </c>
      <c r="AX181" s="30" t="s">
        <v>68</v>
      </c>
      <c r="AY181" s="52" t="s">
        <v>68</v>
      </c>
      <c r="AZ181" s="70">
        <v>42716</v>
      </c>
      <c r="BA181" s="5">
        <v>42653</v>
      </c>
      <c r="BB181" s="5">
        <v>42734</v>
      </c>
      <c r="BC181" s="11">
        <v>42714</v>
      </c>
      <c r="BD181" s="70">
        <v>42718</v>
      </c>
      <c r="BE181" s="1614"/>
      <c r="BF181" s="5">
        <v>42653</v>
      </c>
      <c r="BG181" s="5">
        <v>42734</v>
      </c>
      <c r="BH181" s="5">
        <v>42714</v>
      </c>
      <c r="BI181" s="36">
        <f t="shared" si="5"/>
        <v>352278.84</v>
      </c>
      <c r="BJ181" s="13"/>
      <c r="BK181" s="352"/>
      <c r="BL181" s="694" t="s">
        <v>68</v>
      </c>
      <c r="BM181" s="695" t="s">
        <v>68</v>
      </c>
      <c r="BN181" s="695" t="s">
        <v>68</v>
      </c>
      <c r="BO181" s="694"/>
      <c r="BP181" s="694"/>
      <c r="BQ181" s="694"/>
      <c r="BR181" s="694"/>
      <c r="BS181" s="694"/>
      <c r="BT181" s="694"/>
      <c r="BU181" s="694"/>
      <c r="BV181" s="694" t="s">
        <v>68</v>
      </c>
      <c r="BW181" s="13"/>
      <c r="BX181" s="13"/>
      <c r="BY181" s="13"/>
      <c r="BZ181" s="13"/>
      <c r="CA181" s="13"/>
      <c r="CB181" s="1221" t="s">
        <v>1563</v>
      </c>
      <c r="CC181" s="321" t="s">
        <v>459</v>
      </c>
      <c r="CD181" s="513"/>
      <c r="CE181" s="513"/>
      <c r="CF181" s="513"/>
      <c r="CG181" s="513"/>
      <c r="CH181" s="513"/>
      <c r="CI181" s="513"/>
      <c r="CJ181" s="513"/>
      <c r="CK181" s="12"/>
    </row>
    <row r="182" spans="1:89" ht="60.75" hidden="1" customHeight="1">
      <c r="A182"/>
      <c r="B182" s="22"/>
      <c r="C182" s="22"/>
      <c r="D182" s="22"/>
      <c r="E182" s="22" t="s">
        <v>68</v>
      </c>
      <c r="F182" s="22"/>
      <c r="G182" s="915">
        <v>43018</v>
      </c>
      <c r="H182" s="915"/>
      <c r="I182" s="329">
        <v>42887</v>
      </c>
      <c r="J182" s="16">
        <v>2016</v>
      </c>
      <c r="K182" s="1415"/>
      <c r="L182" s="1415"/>
      <c r="M182" s="18" t="s">
        <v>77</v>
      </c>
      <c r="N182" s="33" t="s">
        <v>621</v>
      </c>
      <c r="O182" s="2" t="s">
        <v>79</v>
      </c>
      <c r="P182" s="3" t="s">
        <v>622</v>
      </c>
      <c r="Q182" s="3" t="s">
        <v>3623</v>
      </c>
      <c r="R182" s="4">
        <v>364293.06</v>
      </c>
      <c r="S182" s="6">
        <v>42650</v>
      </c>
      <c r="T182" s="5">
        <v>42653</v>
      </c>
      <c r="U182" s="11">
        <v>42734</v>
      </c>
      <c r="V182" s="11">
        <v>42650</v>
      </c>
      <c r="W182" s="33" t="s">
        <v>588</v>
      </c>
      <c r="X182" s="18" t="s">
        <v>114</v>
      </c>
      <c r="Y182" s="680" t="s">
        <v>68</v>
      </c>
      <c r="Z182" s="1366"/>
      <c r="AA182" s="130" t="s">
        <v>623</v>
      </c>
      <c r="AB182" s="8">
        <v>42586</v>
      </c>
      <c r="AC182" s="79">
        <v>364293.06</v>
      </c>
      <c r="AD182" s="4"/>
      <c r="AE182" s="32"/>
      <c r="AF182" s="34" t="s">
        <v>68</v>
      </c>
      <c r="AG182" s="112" t="s">
        <v>68</v>
      </c>
      <c r="AH182" s="112" t="s">
        <v>68</v>
      </c>
      <c r="AI182" s="7" t="s">
        <v>68</v>
      </c>
      <c r="AJ182" s="215" t="s">
        <v>68</v>
      </c>
      <c r="AK182" s="339" t="s">
        <v>589</v>
      </c>
      <c r="AL182" s="128" t="s">
        <v>68</v>
      </c>
      <c r="AM182" s="71"/>
      <c r="AN182" s="128">
        <v>1789116</v>
      </c>
      <c r="AO182" s="71">
        <v>42652</v>
      </c>
      <c r="AP182" s="128">
        <v>1793708</v>
      </c>
      <c r="AQ182" s="71">
        <v>42830</v>
      </c>
      <c r="AR182" s="340">
        <f>36429.3+36429.3</f>
        <v>72858.600000000006</v>
      </c>
      <c r="AS182" s="341">
        <v>0</v>
      </c>
      <c r="AT182" s="901">
        <v>364293.07</v>
      </c>
      <c r="AU182" s="890"/>
      <c r="AV182" s="70">
        <v>42653</v>
      </c>
      <c r="AW182" s="127">
        <v>42723</v>
      </c>
      <c r="AX182" s="70" t="s">
        <v>68</v>
      </c>
      <c r="AY182" s="342" t="s">
        <v>68</v>
      </c>
      <c r="AZ182" s="70">
        <v>42727</v>
      </c>
      <c r="BA182" s="5">
        <v>42653</v>
      </c>
      <c r="BB182" s="5">
        <v>42734</v>
      </c>
      <c r="BC182" s="11">
        <v>42726</v>
      </c>
      <c r="BD182" s="70">
        <v>42730</v>
      </c>
      <c r="BE182" s="1614"/>
      <c r="BF182" s="5">
        <v>42653</v>
      </c>
      <c r="BG182" s="5">
        <v>42734</v>
      </c>
      <c r="BH182" s="5">
        <v>42726</v>
      </c>
      <c r="BI182" s="36">
        <f t="shared" si="5"/>
        <v>364293.07</v>
      </c>
      <c r="BJ182" s="13"/>
      <c r="BK182" s="352"/>
      <c r="BL182" s="694" t="s">
        <v>68</v>
      </c>
      <c r="BM182" s="695" t="s">
        <v>68</v>
      </c>
      <c r="BN182" s="695" t="s">
        <v>68</v>
      </c>
      <c r="BO182" s="694"/>
      <c r="BP182" s="694"/>
      <c r="BQ182" s="694"/>
      <c r="BR182" s="694"/>
      <c r="BS182" s="694"/>
      <c r="BT182" s="694"/>
      <c r="BU182" s="694"/>
      <c r="BV182" s="694" t="s">
        <v>68</v>
      </c>
      <c r="BW182" s="13"/>
      <c r="BX182" s="13"/>
      <c r="BY182" s="13"/>
      <c r="BZ182" s="13"/>
      <c r="CA182" s="13"/>
      <c r="CB182" s="1221" t="s">
        <v>1563</v>
      </c>
      <c r="CC182" s="586" t="s">
        <v>454</v>
      </c>
      <c r="CD182" s="513"/>
      <c r="CE182" s="513"/>
      <c r="CF182" s="513"/>
      <c r="CG182" s="513"/>
      <c r="CH182" s="513"/>
      <c r="CI182" s="513"/>
      <c r="CJ182" s="513"/>
      <c r="CK182" s="12"/>
    </row>
    <row r="183" spans="1:89" s="1050" customFormat="1" ht="45.75" hidden="1" customHeight="1">
      <c r="A183" s="1050" t="s">
        <v>624</v>
      </c>
      <c r="B183" s="1051"/>
      <c r="C183" s="1051"/>
      <c r="D183" s="1051"/>
      <c r="E183" s="1051"/>
      <c r="F183" s="1051"/>
      <c r="G183" s="553" t="s">
        <v>68</v>
      </c>
      <c r="H183" s="553"/>
      <c r="I183" s="553" t="s">
        <v>68</v>
      </c>
      <c r="J183" s="532">
        <v>2016</v>
      </c>
      <c r="K183" s="1418"/>
      <c r="L183" s="1418"/>
      <c r="M183" s="1464" t="s">
        <v>163</v>
      </c>
      <c r="N183" s="829" t="s">
        <v>625</v>
      </c>
      <c r="O183" s="185" t="s">
        <v>251</v>
      </c>
      <c r="P183" s="106" t="s">
        <v>626</v>
      </c>
      <c r="Q183" s="106"/>
      <c r="R183" s="1064">
        <v>2426000</v>
      </c>
      <c r="S183" s="1463" t="s">
        <v>68</v>
      </c>
      <c r="T183" s="1071" t="s">
        <v>68</v>
      </c>
      <c r="U183" s="1077" t="s">
        <v>68</v>
      </c>
      <c r="V183" s="1082" t="s">
        <v>68</v>
      </c>
      <c r="W183" s="308" t="s">
        <v>251</v>
      </c>
      <c r="X183" s="1464" t="s">
        <v>114</v>
      </c>
      <c r="Y183" s="1475" t="s">
        <v>68</v>
      </c>
      <c r="Z183" s="1079"/>
      <c r="AA183" s="829" t="s">
        <v>68</v>
      </c>
      <c r="AB183" s="1063"/>
      <c r="AC183" s="1064"/>
      <c r="AD183" s="1064"/>
      <c r="AE183" s="1065"/>
      <c r="AF183" s="1066" t="s">
        <v>68</v>
      </c>
      <c r="AG183" s="1067" t="s">
        <v>68</v>
      </c>
      <c r="AH183" s="1068" t="s">
        <v>68</v>
      </c>
      <c r="AI183" s="1067" t="s">
        <v>68</v>
      </c>
      <c r="AJ183" s="1069" t="s">
        <v>68</v>
      </c>
      <c r="AK183" s="308" t="s">
        <v>68</v>
      </c>
      <c r="AL183" s="1070" t="s">
        <v>68</v>
      </c>
      <c r="AM183" s="1071"/>
      <c r="AN183" s="1070" t="s">
        <v>68</v>
      </c>
      <c r="AO183" s="1071"/>
      <c r="AP183" s="1070" t="s">
        <v>68</v>
      </c>
      <c r="AQ183" s="1070"/>
      <c r="AR183" s="1072">
        <v>0</v>
      </c>
      <c r="AS183" s="1073">
        <v>0</v>
      </c>
      <c r="AT183" s="1074">
        <v>0</v>
      </c>
      <c r="AU183" s="1075"/>
      <c r="AV183" s="1076" t="s">
        <v>68</v>
      </c>
      <c r="AW183" s="1077" t="s">
        <v>68</v>
      </c>
      <c r="AX183" s="1078" t="s">
        <v>68</v>
      </c>
      <c r="AY183" s="1478" t="s">
        <v>68</v>
      </c>
      <c r="AZ183" s="829" t="s">
        <v>68</v>
      </c>
      <c r="BA183" s="1070"/>
      <c r="BB183" s="1070"/>
      <c r="BC183" s="1080"/>
      <c r="BD183" s="1076" t="s">
        <v>68</v>
      </c>
      <c r="BE183" s="1608"/>
      <c r="BF183" s="1071"/>
      <c r="BG183" s="1071"/>
      <c r="BH183" s="1071"/>
      <c r="BI183" s="1081">
        <f t="shared" si="5"/>
        <v>0</v>
      </c>
      <c r="BJ183" s="1082"/>
      <c r="BK183" s="1816"/>
      <c r="BL183" s="1470" t="s">
        <v>68</v>
      </c>
      <c r="BM183" s="1471" t="s">
        <v>68</v>
      </c>
      <c r="BN183" s="1471" t="s">
        <v>68</v>
      </c>
      <c r="BO183" s="1470"/>
      <c r="BP183" s="1470"/>
      <c r="BQ183" s="1470"/>
      <c r="BR183" s="1470"/>
      <c r="BS183" s="1470"/>
      <c r="BT183" s="1470"/>
      <c r="BU183" s="1470"/>
      <c r="BV183" s="1470" t="s">
        <v>68</v>
      </c>
      <c r="BW183" s="126" t="s">
        <v>627</v>
      </c>
      <c r="BX183" s="126"/>
      <c r="BY183" s="126"/>
      <c r="BZ183" s="126"/>
      <c r="CA183" s="126"/>
      <c r="CB183" s="1477" t="s">
        <v>1563</v>
      </c>
      <c r="CC183" s="126" t="s">
        <v>478</v>
      </c>
      <c r="CD183" s="558"/>
      <c r="CE183" s="558"/>
      <c r="CF183" s="558"/>
      <c r="CG183" s="558"/>
      <c r="CH183" s="558"/>
      <c r="CI183" s="558"/>
      <c r="CJ183" s="558"/>
      <c r="CK183" s="1473"/>
    </row>
    <row r="184" spans="1:89" ht="120.75" hidden="1" customHeight="1">
      <c r="A184"/>
      <c r="B184" s="22"/>
      <c r="C184" s="22"/>
      <c r="D184" s="22"/>
      <c r="E184" s="22" t="s">
        <v>68</v>
      </c>
      <c r="F184" s="22"/>
      <c r="G184" s="915">
        <v>43013</v>
      </c>
      <c r="H184" s="915"/>
      <c r="I184" s="448">
        <v>43013</v>
      </c>
      <c r="J184" s="16">
        <v>2016</v>
      </c>
      <c r="K184" s="1415"/>
      <c r="L184" s="1415"/>
      <c r="M184" s="18" t="s">
        <v>554</v>
      </c>
      <c r="N184" s="19" t="s">
        <v>628</v>
      </c>
      <c r="O184" s="2" t="s">
        <v>615</v>
      </c>
      <c r="P184" s="80" t="s">
        <v>629</v>
      </c>
      <c r="Q184" s="80"/>
      <c r="R184" s="4">
        <v>2439500.65</v>
      </c>
      <c r="S184" s="6">
        <v>42683</v>
      </c>
      <c r="T184" s="5">
        <v>42685</v>
      </c>
      <c r="U184" s="11">
        <v>42735</v>
      </c>
      <c r="V184" s="13" t="s">
        <v>68</v>
      </c>
      <c r="W184" s="115" t="s">
        <v>630</v>
      </c>
      <c r="X184" s="170" t="s">
        <v>449</v>
      </c>
      <c r="Y184" s="200" t="s">
        <v>68</v>
      </c>
      <c r="Z184" s="368"/>
      <c r="AA184" s="19" t="s">
        <v>631</v>
      </c>
      <c r="AB184" s="8">
        <v>42611</v>
      </c>
      <c r="AC184" s="4">
        <v>6000000</v>
      </c>
      <c r="AD184" s="4"/>
      <c r="AE184" s="32"/>
      <c r="AF184" s="34">
        <v>42669</v>
      </c>
      <c r="AG184" s="109">
        <v>42671</v>
      </c>
      <c r="AH184" s="7">
        <v>42675</v>
      </c>
      <c r="AI184" s="112">
        <v>42678</v>
      </c>
      <c r="AJ184" s="109">
        <v>42681</v>
      </c>
      <c r="AK184" s="33" t="s">
        <v>107</v>
      </c>
      <c r="AL184" s="1" t="s">
        <v>632</v>
      </c>
      <c r="AM184" s="5">
        <v>42713</v>
      </c>
      <c r="AN184" s="1" t="s">
        <v>633</v>
      </c>
      <c r="AO184" s="5">
        <v>42683</v>
      </c>
      <c r="AP184" s="1" t="s">
        <v>634</v>
      </c>
      <c r="AQ184" s="5">
        <v>42735</v>
      </c>
      <c r="AR184" s="279">
        <f>609875.16+243950.06+243950.06</f>
        <v>1097775.28</v>
      </c>
      <c r="AS184" s="35">
        <v>0</v>
      </c>
      <c r="AT184" s="895">
        <v>2439085.04</v>
      </c>
      <c r="AU184" s="884"/>
      <c r="AV184" s="70">
        <v>42685</v>
      </c>
      <c r="AW184" s="11">
        <v>42734</v>
      </c>
      <c r="AX184" s="223" t="s">
        <v>68</v>
      </c>
      <c r="AY184" s="224" t="s">
        <v>68</v>
      </c>
      <c r="AZ184" s="30">
        <v>42734</v>
      </c>
      <c r="BA184" s="5">
        <v>42685</v>
      </c>
      <c r="BB184" s="5">
        <v>42735</v>
      </c>
      <c r="BC184" s="11">
        <v>42735</v>
      </c>
      <c r="BD184" s="30">
        <v>42740</v>
      </c>
      <c r="BE184" s="309"/>
      <c r="BF184" s="5">
        <v>42685</v>
      </c>
      <c r="BG184" s="5">
        <v>42735</v>
      </c>
      <c r="BH184" s="5">
        <v>42735</v>
      </c>
      <c r="BI184" s="36">
        <f t="shared" si="5"/>
        <v>2439085.04</v>
      </c>
      <c r="BJ184" s="13"/>
      <c r="BK184" s="352"/>
      <c r="BL184" s="694" t="s">
        <v>68</v>
      </c>
      <c r="BM184" s="695" t="s">
        <v>68</v>
      </c>
      <c r="BN184" s="695" t="s">
        <v>68</v>
      </c>
      <c r="BO184" s="694"/>
      <c r="BP184" s="694"/>
      <c r="BQ184" s="694"/>
      <c r="BR184" s="694"/>
      <c r="BS184" s="694"/>
      <c r="BT184" s="694"/>
      <c r="BU184" s="694"/>
      <c r="BV184" s="694" t="s">
        <v>68</v>
      </c>
      <c r="BW184" s="13"/>
      <c r="BX184" s="13"/>
      <c r="BY184" s="13"/>
      <c r="BZ184" s="13"/>
      <c r="CA184" s="13"/>
      <c r="CB184" s="1221" t="s">
        <v>1563</v>
      </c>
      <c r="CC184" s="586" t="s">
        <v>454</v>
      </c>
      <c r="CD184" s="513"/>
      <c r="CE184" s="513"/>
      <c r="CF184" s="513"/>
      <c r="CG184" s="513"/>
      <c r="CH184" s="513"/>
      <c r="CI184" s="513"/>
      <c r="CJ184" s="513"/>
      <c r="CK184" s="12"/>
    </row>
    <row r="185" spans="1:89" ht="120" hidden="1" customHeight="1">
      <c r="A185"/>
      <c r="B185" s="22"/>
      <c r="C185" s="22"/>
      <c r="D185" s="22"/>
      <c r="E185" s="22" t="s">
        <v>68</v>
      </c>
      <c r="F185" s="22"/>
      <c r="G185" s="915">
        <v>42881</v>
      </c>
      <c r="H185" s="915"/>
      <c r="I185" s="448">
        <v>43013</v>
      </c>
      <c r="J185" s="16">
        <v>2016</v>
      </c>
      <c r="K185" s="1415"/>
      <c r="L185" s="1415"/>
      <c r="M185" s="18" t="s">
        <v>554</v>
      </c>
      <c r="N185" s="19" t="s">
        <v>635</v>
      </c>
      <c r="O185" s="2" t="s">
        <v>615</v>
      </c>
      <c r="P185" s="80" t="s">
        <v>636</v>
      </c>
      <c r="Q185" s="80"/>
      <c r="R185" s="4">
        <v>2623234.52</v>
      </c>
      <c r="S185" s="6">
        <v>42622</v>
      </c>
      <c r="T185" s="5">
        <v>42685</v>
      </c>
      <c r="U185" s="11">
        <v>42735</v>
      </c>
      <c r="V185" s="13" t="s">
        <v>68</v>
      </c>
      <c r="W185" s="115" t="s">
        <v>637</v>
      </c>
      <c r="X185" s="18" t="s">
        <v>477</v>
      </c>
      <c r="Y185" s="200" t="s">
        <v>68</v>
      </c>
      <c r="Z185" s="368"/>
      <c r="AA185" s="19" t="s">
        <v>557</v>
      </c>
      <c r="AB185" s="8">
        <v>42611</v>
      </c>
      <c r="AC185" s="4">
        <v>6000000</v>
      </c>
      <c r="AD185" s="4"/>
      <c r="AE185" s="32"/>
      <c r="AF185" s="34">
        <v>42669</v>
      </c>
      <c r="AG185" s="109">
        <v>42671</v>
      </c>
      <c r="AH185" s="7">
        <v>42675</v>
      </c>
      <c r="AI185" s="112">
        <v>42678</v>
      </c>
      <c r="AJ185" s="109">
        <v>42681</v>
      </c>
      <c r="AK185" s="33" t="s">
        <v>638</v>
      </c>
      <c r="AL185" s="1" t="s">
        <v>639</v>
      </c>
      <c r="AM185" s="5">
        <v>42692</v>
      </c>
      <c r="AN185" s="1" t="s">
        <v>640</v>
      </c>
      <c r="AO185" s="5">
        <v>42692</v>
      </c>
      <c r="AP185" s="1" t="s">
        <v>641</v>
      </c>
      <c r="AQ185" s="5">
        <v>42668</v>
      </c>
      <c r="AR185" s="279">
        <f>655808.62+262323.45+262323.45</f>
        <v>1180455.52</v>
      </c>
      <c r="AS185" s="35">
        <v>0</v>
      </c>
      <c r="AT185" s="895">
        <v>2439189.37</v>
      </c>
      <c r="AU185" s="884"/>
      <c r="AV185" s="70">
        <v>42688</v>
      </c>
      <c r="AW185" s="11">
        <v>42730</v>
      </c>
      <c r="AX185" s="223" t="s">
        <v>68</v>
      </c>
      <c r="AY185" s="224" t="s">
        <v>68</v>
      </c>
      <c r="AZ185" s="117" t="s">
        <v>68</v>
      </c>
      <c r="BA185" s="1"/>
      <c r="BB185" s="1"/>
      <c r="BC185" s="17"/>
      <c r="BD185" s="116">
        <v>42732</v>
      </c>
      <c r="BE185" s="201"/>
      <c r="BF185" s="5">
        <v>42685</v>
      </c>
      <c r="BG185" s="5">
        <v>42735</v>
      </c>
      <c r="BH185" s="5"/>
      <c r="BI185" s="36">
        <v>2623235.04</v>
      </c>
      <c r="BJ185" s="13"/>
      <c r="BK185" s="352"/>
      <c r="BL185" s="694" t="s">
        <v>68</v>
      </c>
      <c r="BM185" s="695" t="s">
        <v>68</v>
      </c>
      <c r="BN185" s="695" t="s">
        <v>68</v>
      </c>
      <c r="BO185" s="694"/>
      <c r="BP185" s="694"/>
      <c r="BQ185" s="694"/>
      <c r="BR185" s="694"/>
      <c r="BS185" s="694"/>
      <c r="BT185" s="694"/>
      <c r="BU185" s="694"/>
      <c r="BV185" s="694" t="s">
        <v>68</v>
      </c>
      <c r="BW185" s="13"/>
      <c r="BX185" s="13"/>
      <c r="BY185" s="13"/>
      <c r="BZ185" s="13"/>
      <c r="CA185" s="13"/>
      <c r="CB185" s="1221" t="s">
        <v>1563</v>
      </c>
      <c r="CC185" s="586" t="s">
        <v>454</v>
      </c>
      <c r="CD185" s="513"/>
      <c r="CE185" s="513"/>
      <c r="CF185" s="513"/>
      <c r="CG185" s="513"/>
      <c r="CH185" s="513"/>
      <c r="CI185" s="513"/>
      <c r="CJ185" s="513"/>
      <c r="CK185" s="12"/>
    </row>
    <row r="186" spans="1:89" ht="75" hidden="1" customHeight="1">
      <c r="A186"/>
      <c r="B186" s="22"/>
      <c r="C186" s="22"/>
      <c r="D186" s="22"/>
      <c r="E186" s="22" t="s">
        <v>68</v>
      </c>
      <c r="F186" s="22"/>
      <c r="G186" s="915">
        <v>42802</v>
      </c>
      <c r="H186" s="915"/>
      <c r="I186" s="448">
        <v>43013</v>
      </c>
      <c r="J186" s="16">
        <v>2016</v>
      </c>
      <c r="K186" s="1415"/>
      <c r="L186" s="1415"/>
      <c r="M186" s="18" t="s">
        <v>642</v>
      </c>
      <c r="N186" s="19" t="s">
        <v>643</v>
      </c>
      <c r="O186" s="2" t="s">
        <v>615</v>
      </c>
      <c r="P186" s="80" t="s">
        <v>644</v>
      </c>
      <c r="Q186" s="80"/>
      <c r="R186" s="4">
        <v>2389400</v>
      </c>
      <c r="S186" s="6">
        <v>42669</v>
      </c>
      <c r="T186" s="5">
        <v>42671</v>
      </c>
      <c r="U186" s="11">
        <v>42735</v>
      </c>
      <c r="V186" s="13" t="s">
        <v>68</v>
      </c>
      <c r="W186" s="115" t="s">
        <v>637</v>
      </c>
      <c r="X186" s="18" t="s">
        <v>477</v>
      </c>
      <c r="Y186" s="200" t="s">
        <v>68</v>
      </c>
      <c r="Z186" s="368"/>
      <c r="AA186" s="19" t="s">
        <v>645</v>
      </c>
      <c r="AB186" s="8">
        <v>42674</v>
      </c>
      <c r="AC186" s="4">
        <v>2400000</v>
      </c>
      <c r="AD186" s="4"/>
      <c r="AE186" s="32"/>
      <c r="AF186" s="34">
        <v>42653</v>
      </c>
      <c r="AG186" s="109">
        <v>42656</v>
      </c>
      <c r="AH186" s="7">
        <v>42661</v>
      </c>
      <c r="AI186" s="112">
        <v>42663</v>
      </c>
      <c r="AJ186" s="109">
        <v>42668</v>
      </c>
      <c r="AK186" s="449" t="s">
        <v>638</v>
      </c>
      <c r="AL186" s="1" t="s">
        <v>646</v>
      </c>
      <c r="AM186" s="5">
        <v>42668</v>
      </c>
      <c r="AN186" s="1" t="s">
        <v>647</v>
      </c>
      <c r="AO186" s="5">
        <v>42668</v>
      </c>
      <c r="AP186" s="1" t="s">
        <v>648</v>
      </c>
      <c r="AQ186" s="5">
        <v>42668</v>
      </c>
      <c r="AR186" s="279">
        <f>599600+238940+238940</f>
        <v>1077480</v>
      </c>
      <c r="AS186" s="35">
        <v>0</v>
      </c>
      <c r="AT186" s="895">
        <v>2401596.3199999998</v>
      </c>
      <c r="AU186" s="884"/>
      <c r="AV186" s="449">
        <v>42701</v>
      </c>
      <c r="AW186" s="11">
        <v>42718</v>
      </c>
      <c r="AX186" s="223" t="s">
        <v>68</v>
      </c>
      <c r="AY186" s="224" t="s">
        <v>68</v>
      </c>
      <c r="AZ186" s="469" t="s">
        <v>68</v>
      </c>
      <c r="BA186" s="1"/>
      <c r="BB186" s="1"/>
      <c r="BC186" s="17"/>
      <c r="BD186" s="248">
        <v>42735</v>
      </c>
      <c r="BE186" s="535"/>
      <c r="BF186" s="5"/>
      <c r="BG186" s="5"/>
      <c r="BH186" s="5"/>
      <c r="BI186" s="36">
        <f>AS186+AT186</f>
        <v>2401596.3199999998</v>
      </c>
      <c r="BJ186" s="13"/>
      <c r="BK186" s="352"/>
      <c r="BL186" s="694" t="s">
        <v>68</v>
      </c>
      <c r="BM186" s="695" t="s">
        <v>68</v>
      </c>
      <c r="BN186" s="695" t="s">
        <v>68</v>
      </c>
      <c r="BO186" s="694"/>
      <c r="BP186" s="694"/>
      <c r="BQ186" s="694"/>
      <c r="BR186" s="694"/>
      <c r="BS186" s="694"/>
      <c r="BT186" s="694"/>
      <c r="BU186" s="694"/>
      <c r="BV186" s="694" t="s">
        <v>68</v>
      </c>
      <c r="BW186" s="13"/>
      <c r="BX186" s="13"/>
      <c r="BY186" s="13"/>
      <c r="BZ186" s="13"/>
      <c r="CA186" s="13"/>
      <c r="CB186" s="1221" t="s">
        <v>1563</v>
      </c>
      <c r="CC186" s="586" t="s">
        <v>454</v>
      </c>
      <c r="CD186" s="513"/>
      <c r="CE186" s="513"/>
      <c r="CF186" s="513"/>
      <c r="CG186" s="513"/>
      <c r="CH186" s="513"/>
      <c r="CI186" s="513"/>
      <c r="CJ186" s="513"/>
      <c r="CK186" s="12"/>
    </row>
    <row r="187" spans="1:89" ht="82.5" hidden="1" customHeight="1">
      <c r="A187"/>
      <c r="B187" s="22"/>
      <c r="C187" s="22"/>
      <c r="D187" s="22"/>
      <c r="E187" s="22" t="s">
        <v>68</v>
      </c>
      <c r="F187" s="22"/>
      <c r="G187" s="915">
        <v>43126</v>
      </c>
      <c r="H187" s="915"/>
      <c r="I187" s="329">
        <v>42887</v>
      </c>
      <c r="J187" s="16">
        <v>2016</v>
      </c>
      <c r="K187" s="1415"/>
      <c r="L187" s="1415"/>
      <c r="M187" s="18" t="s">
        <v>77</v>
      </c>
      <c r="N187" s="33" t="s">
        <v>649</v>
      </c>
      <c r="O187" s="2" t="s">
        <v>79</v>
      </c>
      <c r="P187" s="80" t="s">
        <v>650</v>
      </c>
      <c r="Q187" s="80" t="s">
        <v>3623</v>
      </c>
      <c r="R187" s="4">
        <v>196802.42</v>
      </c>
      <c r="S187" s="6">
        <v>42677</v>
      </c>
      <c r="T187" s="5">
        <v>42681</v>
      </c>
      <c r="U187" s="11">
        <v>42735</v>
      </c>
      <c r="V187" s="68">
        <v>42675</v>
      </c>
      <c r="W187" s="178" t="s">
        <v>476</v>
      </c>
      <c r="X187" s="18" t="s">
        <v>3047</v>
      </c>
      <c r="Y187" s="680" t="s">
        <v>68</v>
      </c>
      <c r="Z187" s="1366"/>
      <c r="AA187" s="130" t="s">
        <v>651</v>
      </c>
      <c r="AB187" s="74">
        <v>42674</v>
      </c>
      <c r="AC187" s="75">
        <v>196802.42</v>
      </c>
      <c r="AD187" s="4"/>
      <c r="AE187" s="32"/>
      <c r="AF187" s="34" t="s">
        <v>68</v>
      </c>
      <c r="AG187" s="112" t="s">
        <v>68</v>
      </c>
      <c r="AH187" s="112" t="s">
        <v>68</v>
      </c>
      <c r="AI187" s="7" t="s">
        <v>68</v>
      </c>
      <c r="AJ187" s="215" t="s">
        <v>68</v>
      </c>
      <c r="AK187" s="619" t="s">
        <v>266</v>
      </c>
      <c r="AL187" s="1" t="s">
        <v>68</v>
      </c>
      <c r="AM187" s="5"/>
      <c r="AN187" s="219"/>
      <c r="AO187" s="474"/>
      <c r="AP187" s="1" t="s">
        <v>652</v>
      </c>
      <c r="AQ187" s="5">
        <v>42705</v>
      </c>
      <c r="AR187" s="279">
        <f>19640.96</f>
        <v>19640.96</v>
      </c>
      <c r="AS187" s="35">
        <v>0</v>
      </c>
      <c r="AT187" s="895">
        <v>196409.58</v>
      </c>
      <c r="AU187" s="884"/>
      <c r="AV187" s="66" t="s">
        <v>74</v>
      </c>
      <c r="AW187" s="11"/>
      <c r="AX187" s="30" t="s">
        <v>68</v>
      </c>
      <c r="AY187" s="52" t="s">
        <v>68</v>
      </c>
      <c r="AZ187" s="345">
        <v>42726</v>
      </c>
      <c r="BA187" s="5">
        <v>42681</v>
      </c>
      <c r="BB187" s="5">
        <v>42735</v>
      </c>
      <c r="BC187" s="17"/>
      <c r="BD187" s="345">
        <v>42726</v>
      </c>
      <c r="BE187" s="1617"/>
      <c r="BF187" s="325">
        <v>42681</v>
      </c>
      <c r="BG187" s="325">
        <v>42734</v>
      </c>
      <c r="BH187" s="325">
        <v>42726</v>
      </c>
      <c r="BI187" s="326">
        <f>AS187+AT187</f>
        <v>196409.58</v>
      </c>
      <c r="BJ187" s="13"/>
      <c r="BK187" s="352"/>
      <c r="BL187" s="694" t="s">
        <v>68</v>
      </c>
      <c r="BM187" s="695" t="s">
        <v>68</v>
      </c>
      <c r="BN187" s="695" t="s">
        <v>68</v>
      </c>
      <c r="BO187" s="694"/>
      <c r="BP187" s="694"/>
      <c r="BQ187" s="694"/>
      <c r="BR187" s="694"/>
      <c r="BS187" s="694"/>
      <c r="BT187" s="694"/>
      <c r="BU187" s="694"/>
      <c r="BV187" s="694" t="s">
        <v>68</v>
      </c>
      <c r="BW187" s="38"/>
      <c r="BX187" s="38"/>
      <c r="BY187" s="38"/>
      <c r="BZ187" s="38"/>
      <c r="CA187" s="38"/>
      <c r="CB187" s="1221" t="s">
        <v>1563</v>
      </c>
      <c r="CC187" s="321" t="s">
        <v>459</v>
      </c>
      <c r="CD187" s="562"/>
      <c r="CE187" s="562"/>
      <c r="CF187" s="562"/>
      <c r="CG187" s="562"/>
      <c r="CH187" s="562"/>
      <c r="CI187" s="562"/>
      <c r="CJ187" s="562"/>
      <c r="CK187" s="12"/>
    </row>
    <row r="188" spans="1:89" ht="90.75" hidden="1" customHeight="1">
      <c r="A188"/>
      <c r="B188" s="22"/>
      <c r="C188" s="22"/>
      <c r="D188" s="22"/>
      <c r="E188" s="22" t="s">
        <v>68</v>
      </c>
      <c r="F188" s="22"/>
      <c r="G188" s="915">
        <v>43238</v>
      </c>
      <c r="H188" s="915"/>
      <c r="I188" s="329">
        <v>42887</v>
      </c>
      <c r="J188" s="16">
        <v>2016</v>
      </c>
      <c r="K188" s="1415"/>
      <c r="L188" s="1415"/>
      <c r="M188" s="18" t="s">
        <v>77</v>
      </c>
      <c r="N188" s="33" t="s">
        <v>653</v>
      </c>
      <c r="O188" s="2" t="s">
        <v>79</v>
      </c>
      <c r="P188" s="80" t="s">
        <v>654</v>
      </c>
      <c r="Q188" s="80" t="s">
        <v>3623</v>
      </c>
      <c r="R188" s="4">
        <v>523396.29</v>
      </c>
      <c r="S188" s="6">
        <v>42677</v>
      </c>
      <c r="T188" s="5">
        <v>42678</v>
      </c>
      <c r="U188" s="11">
        <v>42735</v>
      </c>
      <c r="V188" s="105">
        <v>42675</v>
      </c>
      <c r="W188" s="33" t="s">
        <v>592</v>
      </c>
      <c r="X188" s="18" t="s">
        <v>3047</v>
      </c>
      <c r="Y188" s="680" t="s">
        <v>68</v>
      </c>
      <c r="Z188" s="1366"/>
      <c r="AA188" s="475" t="s">
        <v>655</v>
      </c>
      <c r="AB188" s="476">
        <v>42674</v>
      </c>
      <c r="AC188" s="477">
        <v>523396.29</v>
      </c>
      <c r="AD188" s="4"/>
      <c r="AE188" s="32"/>
      <c r="AF188" s="34" t="s">
        <v>68</v>
      </c>
      <c r="AG188" s="112" t="s">
        <v>68</v>
      </c>
      <c r="AH188" s="112" t="s">
        <v>68</v>
      </c>
      <c r="AI188" s="7" t="s">
        <v>68</v>
      </c>
      <c r="AJ188" s="215" t="s">
        <v>68</v>
      </c>
      <c r="AK188" s="344" t="s">
        <v>232</v>
      </c>
      <c r="AL188" s="1" t="s">
        <v>68</v>
      </c>
      <c r="AM188" s="5"/>
      <c r="AN188" s="1">
        <v>2057356</v>
      </c>
      <c r="AO188" s="5">
        <v>42677</v>
      </c>
      <c r="AP188" s="1">
        <v>2058589</v>
      </c>
      <c r="AQ188" s="5">
        <v>42719</v>
      </c>
      <c r="AR188" s="279">
        <f>52339.63*2</f>
        <v>104679.26</v>
      </c>
      <c r="AS188" s="35">
        <v>0</v>
      </c>
      <c r="AT188" s="895">
        <v>523396.3</v>
      </c>
      <c r="AU188" s="884"/>
      <c r="AV188" s="66" t="s">
        <v>74</v>
      </c>
      <c r="AW188" s="11"/>
      <c r="AX188" s="30" t="s">
        <v>68</v>
      </c>
      <c r="AY188" s="52" t="s">
        <v>68</v>
      </c>
      <c r="AZ188" s="337" t="s">
        <v>656</v>
      </c>
      <c r="BA188" s="1"/>
      <c r="BB188" s="1"/>
      <c r="BC188" s="17"/>
      <c r="BD188" s="337" t="s">
        <v>656</v>
      </c>
      <c r="BE188" s="1619"/>
      <c r="BF188" s="1"/>
      <c r="BG188" s="1"/>
      <c r="BH188" s="1"/>
      <c r="BI188" s="36">
        <f>AS188+AT188</f>
        <v>523396.3</v>
      </c>
      <c r="BJ188" s="13"/>
      <c r="BK188" s="352"/>
      <c r="BL188" s="694" t="s">
        <v>68</v>
      </c>
      <c r="BM188" s="695" t="s">
        <v>68</v>
      </c>
      <c r="BN188" s="695" t="s">
        <v>68</v>
      </c>
      <c r="BO188" s="694"/>
      <c r="BP188" s="694"/>
      <c r="BQ188" s="694"/>
      <c r="BR188" s="694"/>
      <c r="BS188" s="694"/>
      <c r="BT188" s="694"/>
      <c r="BU188" s="694"/>
      <c r="BV188" s="694" t="s">
        <v>68</v>
      </c>
      <c r="BW188" s="13"/>
      <c r="BX188" s="13"/>
      <c r="BY188" s="13"/>
      <c r="BZ188" s="13"/>
      <c r="CA188" s="13"/>
      <c r="CB188" s="1221" t="s">
        <v>1563</v>
      </c>
      <c r="CC188" s="321" t="s">
        <v>459</v>
      </c>
      <c r="CD188" s="563"/>
      <c r="CE188" s="563"/>
      <c r="CF188" s="563"/>
      <c r="CG188" s="563"/>
      <c r="CH188" s="563"/>
      <c r="CI188" s="563"/>
      <c r="CJ188" s="563"/>
      <c r="CK188" s="12"/>
    </row>
    <row r="189" spans="1:89" ht="90" hidden="1" customHeight="1">
      <c r="A189"/>
      <c r="B189" s="22"/>
      <c r="C189" s="22"/>
      <c r="D189" s="22"/>
      <c r="E189" s="22" t="s">
        <v>68</v>
      </c>
      <c r="F189" s="22"/>
      <c r="G189" s="915">
        <v>42871</v>
      </c>
      <c r="H189" s="915"/>
      <c r="I189" s="329">
        <v>42767</v>
      </c>
      <c r="J189" s="16">
        <v>2016</v>
      </c>
      <c r="K189" s="1415"/>
      <c r="L189" s="1415"/>
      <c r="M189" s="18" t="s">
        <v>554</v>
      </c>
      <c r="N189" s="33" t="s">
        <v>657</v>
      </c>
      <c r="O189" s="2" t="s">
        <v>79</v>
      </c>
      <c r="P189" s="80" t="s">
        <v>658</v>
      </c>
      <c r="Q189" s="80" t="s">
        <v>1975</v>
      </c>
      <c r="R189" s="4">
        <v>577695.28</v>
      </c>
      <c r="S189" s="6">
        <v>42688</v>
      </c>
      <c r="T189" s="5">
        <v>42689</v>
      </c>
      <c r="U189" s="11">
        <v>42734</v>
      </c>
      <c r="V189" s="105">
        <v>42688</v>
      </c>
      <c r="W189" s="33" t="s">
        <v>588</v>
      </c>
      <c r="X189" s="170" t="s">
        <v>449</v>
      </c>
      <c r="Y189" s="200" t="s">
        <v>68</v>
      </c>
      <c r="Z189" s="368"/>
      <c r="AA189" s="334" t="s">
        <v>557</v>
      </c>
      <c r="AB189" s="77">
        <v>42611</v>
      </c>
      <c r="AC189" s="78">
        <v>6000000</v>
      </c>
      <c r="AD189" s="4"/>
      <c r="AE189" s="32"/>
      <c r="AF189" s="34" t="s">
        <v>68</v>
      </c>
      <c r="AG189" s="112" t="s">
        <v>68</v>
      </c>
      <c r="AH189" s="112" t="s">
        <v>68</v>
      </c>
      <c r="AI189" s="7" t="s">
        <v>68</v>
      </c>
      <c r="AJ189" s="215" t="s">
        <v>68</v>
      </c>
      <c r="AK189" s="339" t="s">
        <v>589</v>
      </c>
      <c r="AL189" s="1" t="s">
        <v>68</v>
      </c>
      <c r="AM189" s="5"/>
      <c r="AN189" s="1">
        <v>1789281</v>
      </c>
      <c r="AO189" s="5">
        <v>42690</v>
      </c>
      <c r="AP189" s="1">
        <v>1793706</v>
      </c>
      <c r="AQ189" s="5">
        <v>42830</v>
      </c>
      <c r="AR189" s="279">
        <f>57769.52+57769.52</f>
        <v>115539.04</v>
      </c>
      <c r="AS189" s="35">
        <v>0</v>
      </c>
      <c r="AT189" s="895">
        <v>577695.27</v>
      </c>
      <c r="AU189" s="884"/>
      <c r="AV189" s="70">
        <v>42689</v>
      </c>
      <c r="AW189" s="127">
        <v>42723</v>
      </c>
      <c r="AX189" s="335" t="s">
        <v>68</v>
      </c>
      <c r="AY189" s="336" t="s">
        <v>68</v>
      </c>
      <c r="AZ189" s="70">
        <v>42727</v>
      </c>
      <c r="BA189" s="5">
        <v>42689</v>
      </c>
      <c r="BB189" s="5">
        <v>42734</v>
      </c>
      <c r="BC189" s="11">
        <v>42726</v>
      </c>
      <c r="BD189" s="70">
        <v>42731</v>
      </c>
      <c r="BE189" s="1614"/>
      <c r="BF189" s="71">
        <v>42689</v>
      </c>
      <c r="BG189" s="71">
        <v>42734</v>
      </c>
      <c r="BH189" s="71">
        <v>42726</v>
      </c>
      <c r="BI189" s="129">
        <f>AS189+AT189</f>
        <v>577695.27</v>
      </c>
      <c r="BJ189" s="13"/>
      <c r="BK189" s="352"/>
      <c r="BL189" s="694" t="s">
        <v>68</v>
      </c>
      <c r="BM189" s="695" t="s">
        <v>68</v>
      </c>
      <c r="BN189" s="695" t="s">
        <v>68</v>
      </c>
      <c r="BO189" s="694"/>
      <c r="BP189" s="694"/>
      <c r="BQ189" s="694"/>
      <c r="BR189" s="694"/>
      <c r="BS189" s="694"/>
      <c r="BT189" s="694"/>
      <c r="BU189" s="694"/>
      <c r="BV189" s="694" t="s">
        <v>68</v>
      </c>
      <c r="BW189" s="13"/>
      <c r="BX189" s="13"/>
      <c r="BY189" s="13"/>
      <c r="BZ189" s="13"/>
      <c r="CA189" s="13"/>
      <c r="CB189" s="1221" t="s">
        <v>1563</v>
      </c>
      <c r="CC189" s="586" t="s">
        <v>454</v>
      </c>
      <c r="CD189" s="560"/>
      <c r="CE189" s="560"/>
      <c r="CF189" s="560"/>
      <c r="CG189" s="560"/>
      <c r="CH189" s="560"/>
      <c r="CI189" s="560"/>
      <c r="CJ189" s="560"/>
      <c r="CK189" s="12"/>
    </row>
    <row r="190" spans="1:89" s="1050" customFormat="1" ht="26.25" hidden="1" customHeight="1">
      <c r="B190" s="1051"/>
      <c r="C190" s="1051"/>
      <c r="D190" s="1051"/>
      <c r="E190" s="1051"/>
      <c r="F190" s="1051"/>
      <c r="G190" s="553" t="s">
        <v>68</v>
      </c>
      <c r="H190" s="553"/>
      <c r="I190" s="553" t="s">
        <v>68</v>
      </c>
      <c r="J190" s="532">
        <v>2016</v>
      </c>
      <c r="K190" s="1418"/>
      <c r="L190" s="1418"/>
      <c r="M190" s="1464"/>
      <c r="N190" s="829" t="s">
        <v>659</v>
      </c>
      <c r="O190" s="185" t="s">
        <v>251</v>
      </c>
      <c r="P190" s="106" t="s">
        <v>627</v>
      </c>
      <c r="Q190" s="106"/>
      <c r="R190" s="1064"/>
      <c r="S190" s="1463"/>
      <c r="T190" s="1071"/>
      <c r="U190" s="1077"/>
      <c r="V190" s="1082" t="s">
        <v>68</v>
      </c>
      <c r="W190" s="308"/>
      <c r="X190" s="1464"/>
      <c r="Y190" s="1087" t="s">
        <v>68</v>
      </c>
      <c r="Z190" s="1378"/>
      <c r="AA190" s="829"/>
      <c r="AB190" s="1063"/>
      <c r="AC190" s="1064"/>
      <c r="AD190" s="1064"/>
      <c r="AE190" s="1065"/>
      <c r="AF190" s="1066" t="s">
        <v>68</v>
      </c>
      <c r="AG190" s="1067" t="s">
        <v>68</v>
      </c>
      <c r="AH190" s="1067" t="s">
        <v>68</v>
      </c>
      <c r="AI190" s="1068" t="s">
        <v>68</v>
      </c>
      <c r="AJ190" s="1466" t="s">
        <v>68</v>
      </c>
      <c r="AK190" s="308" t="s">
        <v>68</v>
      </c>
      <c r="AL190" s="1070" t="s">
        <v>68</v>
      </c>
      <c r="AM190" s="1071"/>
      <c r="AN190" s="1070" t="s">
        <v>68</v>
      </c>
      <c r="AO190" s="1071"/>
      <c r="AP190" s="1070" t="s">
        <v>68</v>
      </c>
      <c r="AQ190" s="1070"/>
      <c r="AR190" s="1072">
        <v>0</v>
      </c>
      <c r="AS190" s="1073" t="s">
        <v>68</v>
      </c>
      <c r="AT190" s="1074" t="s">
        <v>68</v>
      </c>
      <c r="AU190" s="1075"/>
      <c r="AV190" s="1076" t="s">
        <v>74</v>
      </c>
      <c r="AW190" s="1077"/>
      <c r="AX190" s="1078" t="s">
        <v>68</v>
      </c>
      <c r="AY190" s="1079" t="s">
        <v>68</v>
      </c>
      <c r="AZ190" s="829" t="s">
        <v>68</v>
      </c>
      <c r="BA190" s="1070"/>
      <c r="BB190" s="1070"/>
      <c r="BC190" s="1080"/>
      <c r="BD190" s="829" t="s">
        <v>68</v>
      </c>
      <c r="BE190" s="1473"/>
      <c r="BF190" s="1070"/>
      <c r="BG190" s="1070"/>
      <c r="BH190" s="1070"/>
      <c r="BI190" s="1081"/>
      <c r="BJ190" s="1082"/>
      <c r="BK190" s="1816"/>
      <c r="BL190" s="1470" t="s">
        <v>68</v>
      </c>
      <c r="BM190" s="1471" t="s">
        <v>68</v>
      </c>
      <c r="BN190" s="1471" t="s">
        <v>68</v>
      </c>
      <c r="BO190" s="1470"/>
      <c r="BP190" s="1470"/>
      <c r="BQ190" s="1470"/>
      <c r="BR190" s="1470"/>
      <c r="BS190" s="1470"/>
      <c r="BT190" s="1470"/>
      <c r="BU190" s="1470"/>
      <c r="BV190" s="1470" t="s">
        <v>68</v>
      </c>
      <c r="BW190" s="1082"/>
      <c r="BX190" s="1082"/>
      <c r="BY190" s="1082"/>
      <c r="BZ190" s="1082"/>
      <c r="CA190" s="1082"/>
      <c r="CB190" s="1477" t="s">
        <v>1563</v>
      </c>
      <c r="CC190" s="126" t="s">
        <v>478</v>
      </c>
      <c r="CD190" s="516"/>
      <c r="CE190" s="516"/>
      <c r="CF190" s="516"/>
      <c r="CG190" s="516"/>
      <c r="CH190" s="516"/>
      <c r="CI190" s="516"/>
      <c r="CJ190" s="516"/>
      <c r="CK190" s="1473"/>
    </row>
    <row r="191" spans="1:89" s="1050" customFormat="1" ht="26.25" hidden="1" customHeight="1">
      <c r="B191" s="1051"/>
      <c r="C191" s="1051"/>
      <c r="D191" s="1051"/>
      <c r="E191" s="1051"/>
      <c r="F191" s="1051"/>
      <c r="G191" s="553" t="s">
        <v>68</v>
      </c>
      <c r="H191" s="553"/>
      <c r="I191" s="553" t="s">
        <v>68</v>
      </c>
      <c r="J191" s="532">
        <v>2016</v>
      </c>
      <c r="K191" s="1418"/>
      <c r="L191" s="1418"/>
      <c r="M191" s="1464"/>
      <c r="N191" s="829" t="s">
        <v>660</v>
      </c>
      <c r="O191" s="185" t="s">
        <v>251</v>
      </c>
      <c r="P191" s="106" t="s">
        <v>627</v>
      </c>
      <c r="Q191" s="106"/>
      <c r="R191" s="1064"/>
      <c r="S191" s="1463"/>
      <c r="T191" s="1071"/>
      <c r="U191" s="1077"/>
      <c r="V191" s="1082" t="s">
        <v>68</v>
      </c>
      <c r="W191" s="308"/>
      <c r="X191" s="1464"/>
      <c r="Y191" s="1087" t="s">
        <v>68</v>
      </c>
      <c r="Z191" s="1378"/>
      <c r="AA191" s="829"/>
      <c r="AB191" s="1063"/>
      <c r="AC191" s="1064"/>
      <c r="AD191" s="1064"/>
      <c r="AE191" s="1065"/>
      <c r="AF191" s="1066" t="s">
        <v>68</v>
      </c>
      <c r="AG191" s="1067" t="s">
        <v>68</v>
      </c>
      <c r="AH191" s="1067" t="s">
        <v>68</v>
      </c>
      <c r="AI191" s="1068" t="s">
        <v>68</v>
      </c>
      <c r="AJ191" s="1466" t="s">
        <v>68</v>
      </c>
      <c r="AK191" s="308" t="s">
        <v>68</v>
      </c>
      <c r="AL191" s="1070" t="s">
        <v>68</v>
      </c>
      <c r="AM191" s="1071"/>
      <c r="AN191" s="1070" t="s">
        <v>68</v>
      </c>
      <c r="AO191" s="1071"/>
      <c r="AP191" s="1070" t="s">
        <v>68</v>
      </c>
      <c r="AQ191" s="1070"/>
      <c r="AR191" s="1072">
        <v>0</v>
      </c>
      <c r="AS191" s="1073" t="s">
        <v>68</v>
      </c>
      <c r="AT191" s="1074" t="s">
        <v>68</v>
      </c>
      <c r="AU191" s="1075"/>
      <c r="AV191" s="1076" t="s">
        <v>74</v>
      </c>
      <c r="AW191" s="1077"/>
      <c r="AX191" s="1078" t="s">
        <v>68</v>
      </c>
      <c r="AY191" s="1079" t="s">
        <v>68</v>
      </c>
      <c r="AZ191" s="829" t="s">
        <v>68</v>
      </c>
      <c r="BA191" s="1070"/>
      <c r="BB191" s="1070"/>
      <c r="BC191" s="1080"/>
      <c r="BD191" s="829" t="s">
        <v>68</v>
      </c>
      <c r="BE191" s="1473"/>
      <c r="BF191" s="1070"/>
      <c r="BG191" s="1070"/>
      <c r="BH191" s="1070"/>
      <c r="BI191" s="1081"/>
      <c r="BJ191" s="1082"/>
      <c r="BK191" s="1816"/>
      <c r="BL191" s="1470" t="s">
        <v>68</v>
      </c>
      <c r="BM191" s="1471" t="s">
        <v>68</v>
      </c>
      <c r="BN191" s="1471" t="s">
        <v>68</v>
      </c>
      <c r="BO191" s="1470"/>
      <c r="BP191" s="1470"/>
      <c r="BQ191" s="1470"/>
      <c r="BR191" s="1470"/>
      <c r="BS191" s="1470"/>
      <c r="BT191" s="1470"/>
      <c r="BU191" s="1470"/>
      <c r="BV191" s="1470" t="s">
        <v>68</v>
      </c>
      <c r="BW191" s="1082"/>
      <c r="BX191" s="1082"/>
      <c r="BY191" s="1082"/>
      <c r="BZ191" s="1082"/>
      <c r="CA191" s="1082"/>
      <c r="CB191" s="1477" t="s">
        <v>1563</v>
      </c>
      <c r="CC191" s="126" t="s">
        <v>478</v>
      </c>
      <c r="CD191" s="516"/>
      <c r="CE191" s="516"/>
      <c r="CF191" s="516"/>
      <c r="CG191" s="516"/>
      <c r="CH191" s="516"/>
      <c r="CI191" s="516"/>
      <c r="CJ191" s="516"/>
      <c r="CK191" s="1473"/>
    </row>
    <row r="192" spans="1:89" ht="60.75" hidden="1" customHeight="1">
      <c r="A192"/>
      <c r="B192" s="22"/>
      <c r="C192" s="22"/>
      <c r="D192" s="22"/>
      <c r="E192" s="22" t="s">
        <v>68</v>
      </c>
      <c r="F192" s="22"/>
      <c r="G192" s="915">
        <v>43305</v>
      </c>
      <c r="H192" s="915"/>
      <c r="I192" s="448">
        <v>43013</v>
      </c>
      <c r="J192" s="16">
        <v>2016</v>
      </c>
      <c r="K192" s="1415"/>
      <c r="L192" s="1415"/>
      <c r="M192" s="18" t="s">
        <v>77</v>
      </c>
      <c r="N192" s="19" t="s">
        <v>661</v>
      </c>
      <c r="O192" s="2" t="s">
        <v>615</v>
      </c>
      <c r="P192" s="80" t="s">
        <v>662</v>
      </c>
      <c r="Q192" s="80"/>
      <c r="R192" s="4">
        <v>1630380</v>
      </c>
      <c r="S192" s="6">
        <v>42720</v>
      </c>
      <c r="T192" s="5">
        <v>42720</v>
      </c>
      <c r="U192" s="11">
        <v>42794</v>
      </c>
      <c r="V192" s="13" t="s">
        <v>68</v>
      </c>
      <c r="W192" s="33" t="s">
        <v>663</v>
      </c>
      <c r="X192" s="18" t="s">
        <v>114</v>
      </c>
      <c r="Y192" s="347">
        <v>42717</v>
      </c>
      <c r="Z192" s="342"/>
      <c r="AA192" s="130" t="s">
        <v>664</v>
      </c>
      <c r="AB192" s="74">
        <v>42674</v>
      </c>
      <c r="AC192" s="75">
        <v>1630380</v>
      </c>
      <c r="AD192" s="4"/>
      <c r="AE192" s="32"/>
      <c r="AF192" s="34">
        <v>42698</v>
      </c>
      <c r="AG192" s="112">
        <v>42709</v>
      </c>
      <c r="AH192" s="112">
        <v>42709</v>
      </c>
      <c r="AI192" s="7">
        <v>42720</v>
      </c>
      <c r="AJ192" s="109">
        <v>42720</v>
      </c>
      <c r="AK192" s="339" t="s">
        <v>589</v>
      </c>
      <c r="AL192" s="1">
        <v>17871774</v>
      </c>
      <c r="AM192" s="5">
        <v>43085</v>
      </c>
      <c r="AN192" s="1">
        <v>1787176</v>
      </c>
      <c r="AO192" s="5">
        <v>43085</v>
      </c>
      <c r="AP192" s="1">
        <v>1787180</v>
      </c>
      <c r="AQ192" s="5">
        <v>42794</v>
      </c>
      <c r="AR192" s="279">
        <f>407595+163038+163038</f>
        <v>733671</v>
      </c>
      <c r="AS192" s="35">
        <v>0</v>
      </c>
      <c r="AT192" s="895">
        <v>1779922.8</v>
      </c>
      <c r="AU192" s="884"/>
      <c r="AV192" s="70">
        <v>42705</v>
      </c>
      <c r="AW192" s="11">
        <v>42793</v>
      </c>
      <c r="AX192" s="30" t="s">
        <v>68</v>
      </c>
      <c r="AY192" s="52" t="s">
        <v>68</v>
      </c>
      <c r="AZ192" s="70">
        <v>42796</v>
      </c>
      <c r="BA192" s="5">
        <v>42720</v>
      </c>
      <c r="BB192" s="5">
        <v>42794</v>
      </c>
      <c r="BC192" s="11">
        <v>42794</v>
      </c>
      <c r="BD192" s="70">
        <v>42796</v>
      </c>
      <c r="BE192" s="1614"/>
      <c r="BF192" s="5">
        <v>42720</v>
      </c>
      <c r="BG192" s="5">
        <v>42794</v>
      </c>
      <c r="BH192" s="5">
        <v>42794</v>
      </c>
      <c r="BI192" s="36">
        <v>1630380</v>
      </c>
      <c r="BJ192" s="62">
        <v>42796</v>
      </c>
      <c r="BK192" s="224"/>
      <c r="BL192" s="694" t="s">
        <v>68</v>
      </c>
      <c r="BM192" s="695" t="s">
        <v>68</v>
      </c>
      <c r="BN192" s="695" t="s">
        <v>68</v>
      </c>
      <c r="BO192" s="694"/>
      <c r="BP192" s="694"/>
      <c r="BQ192" s="694"/>
      <c r="BR192" s="694"/>
      <c r="BS192" s="694"/>
      <c r="BT192" s="694"/>
      <c r="BU192" s="694"/>
      <c r="BV192" s="694" t="s">
        <v>68</v>
      </c>
      <c r="BW192" s="13"/>
      <c r="BX192" s="13"/>
      <c r="BY192" s="13"/>
      <c r="BZ192" s="13"/>
      <c r="CA192" s="13"/>
      <c r="CB192" s="1221" t="s">
        <v>1563</v>
      </c>
      <c r="CC192" s="586" t="s">
        <v>454</v>
      </c>
      <c r="CD192" s="513"/>
      <c r="CE192" s="513"/>
      <c r="CF192" s="513"/>
      <c r="CG192" s="513"/>
      <c r="CH192" s="513"/>
      <c r="CI192" s="513"/>
      <c r="CJ192" s="513"/>
      <c r="CK192" s="12"/>
    </row>
    <row r="193" spans="2:89" customFormat="1" ht="57" hidden="1" customHeight="1">
      <c r="B193" s="22"/>
      <c r="C193" s="22"/>
      <c r="D193" s="22"/>
      <c r="E193" s="22" t="s">
        <v>68</v>
      </c>
      <c r="F193" s="22"/>
      <c r="G193" s="915">
        <v>43088</v>
      </c>
      <c r="H193" s="915"/>
      <c r="I193" s="329">
        <v>41426</v>
      </c>
      <c r="J193" s="16">
        <v>-2016</v>
      </c>
      <c r="K193" s="1415"/>
      <c r="L193" s="1415"/>
      <c r="M193" s="18" t="s">
        <v>465</v>
      </c>
      <c r="N193" s="555" t="s">
        <v>665</v>
      </c>
      <c r="O193" s="2" t="s">
        <v>615</v>
      </c>
      <c r="P193" s="80" t="s">
        <v>666</v>
      </c>
      <c r="Q193" s="80"/>
      <c r="R193" s="4">
        <v>1800000</v>
      </c>
      <c r="S193" s="6">
        <v>42779</v>
      </c>
      <c r="T193" s="5">
        <v>42779</v>
      </c>
      <c r="U193" s="11">
        <v>43039</v>
      </c>
      <c r="V193" s="13" t="s">
        <v>68</v>
      </c>
      <c r="W193" s="33" t="s">
        <v>667</v>
      </c>
      <c r="X193" s="18" t="s">
        <v>472</v>
      </c>
      <c r="Y193" s="200">
        <v>42772</v>
      </c>
      <c r="Z193" s="368"/>
      <c r="AA193" s="130" t="s">
        <v>668</v>
      </c>
      <c r="AB193" s="74">
        <v>42773</v>
      </c>
      <c r="AC193" s="75">
        <v>1000000</v>
      </c>
      <c r="AD193" s="4"/>
      <c r="AE193" s="32"/>
      <c r="AF193" s="168">
        <v>42718</v>
      </c>
      <c r="AG193" s="179">
        <v>42723</v>
      </c>
      <c r="AH193" s="179">
        <v>42724</v>
      </c>
      <c r="AI193" s="179">
        <v>42730</v>
      </c>
      <c r="AJ193" s="180">
        <v>42733</v>
      </c>
      <c r="AK193" s="339" t="s">
        <v>589</v>
      </c>
      <c r="AL193" s="1" t="s">
        <v>68</v>
      </c>
      <c r="AM193" s="5"/>
      <c r="AN193" s="1">
        <v>1797375</v>
      </c>
      <c r="AO193" s="5">
        <v>42779</v>
      </c>
      <c r="AP193" s="1">
        <v>1862912</v>
      </c>
      <c r="AQ193" s="5">
        <v>43067</v>
      </c>
      <c r="AR193" s="279">
        <f>180000+180000</f>
        <v>360000</v>
      </c>
      <c r="AS193" s="35">
        <v>0</v>
      </c>
      <c r="AT193" s="895">
        <v>1800176.82</v>
      </c>
      <c r="AU193" s="884"/>
      <c r="AV193" s="70">
        <v>42779</v>
      </c>
      <c r="AW193" s="11">
        <v>43082</v>
      </c>
      <c r="AX193" s="223" t="s">
        <v>68</v>
      </c>
      <c r="AY193" s="224" t="s">
        <v>68</v>
      </c>
      <c r="AZ193" s="30">
        <v>43067</v>
      </c>
      <c r="BA193" s="5">
        <v>42779</v>
      </c>
      <c r="BB193" s="5">
        <v>43069</v>
      </c>
      <c r="BC193" s="11">
        <v>43067</v>
      </c>
      <c r="BD193" s="70">
        <v>43080</v>
      </c>
      <c r="BE193" s="1614"/>
      <c r="BF193" s="5">
        <v>42779</v>
      </c>
      <c r="BG193" s="5">
        <v>43069</v>
      </c>
      <c r="BH193" s="5">
        <v>43067</v>
      </c>
      <c r="BI193" s="548">
        <v>1800871.76</v>
      </c>
      <c r="BJ193" s="62">
        <v>43080</v>
      </c>
      <c r="BK193" s="224"/>
      <c r="BL193" s="694" t="s">
        <v>68</v>
      </c>
      <c r="BM193" s="695" t="s">
        <v>68</v>
      </c>
      <c r="BN193" s="695" t="s">
        <v>68</v>
      </c>
      <c r="BO193" s="694"/>
      <c r="BP193" s="694"/>
      <c r="BQ193" s="694"/>
      <c r="BR193" s="694"/>
      <c r="BS193" s="694"/>
      <c r="BT193" s="694"/>
      <c r="BU193" s="694"/>
      <c r="BV193" s="694" t="s">
        <v>68</v>
      </c>
      <c r="BW193" s="13"/>
      <c r="BX193" s="13"/>
      <c r="BY193" s="13"/>
      <c r="BZ193" s="13"/>
      <c r="CA193" s="13"/>
      <c r="CB193" s="1221" t="s">
        <v>1563</v>
      </c>
      <c r="CC193" s="586" t="s">
        <v>454</v>
      </c>
      <c r="CD193" s="557"/>
      <c r="CE193" s="557"/>
      <c r="CF193" s="557"/>
      <c r="CG193" s="557"/>
      <c r="CH193" s="557"/>
      <c r="CI193" s="557"/>
      <c r="CJ193" s="557"/>
      <c r="CK193" s="12"/>
    </row>
    <row r="194" spans="2:89" customFormat="1" ht="90" hidden="1" customHeight="1">
      <c r="B194" s="22"/>
      <c r="C194" s="22"/>
      <c r="D194" s="22"/>
      <c r="E194" s="22"/>
      <c r="F194" s="22"/>
      <c r="G194" s="915">
        <v>42867</v>
      </c>
      <c r="H194" s="915"/>
      <c r="I194" s="329">
        <v>43013</v>
      </c>
      <c r="J194" s="16">
        <v>2016</v>
      </c>
      <c r="K194" s="1415"/>
      <c r="L194" s="1415"/>
      <c r="M194" s="18" t="s">
        <v>64</v>
      </c>
      <c r="N194" s="33" t="s">
        <v>669</v>
      </c>
      <c r="O194" s="172" t="s">
        <v>467</v>
      </c>
      <c r="P194" s="80" t="s">
        <v>670</v>
      </c>
      <c r="Q194" s="80" t="s">
        <v>3623</v>
      </c>
      <c r="R194" s="4">
        <v>2000000</v>
      </c>
      <c r="S194" s="6">
        <v>42566</v>
      </c>
      <c r="T194" s="5" t="s">
        <v>68</v>
      </c>
      <c r="U194" s="11" t="s">
        <v>68</v>
      </c>
      <c r="V194" s="13" t="s">
        <v>68</v>
      </c>
      <c r="W194" s="33" t="s">
        <v>68</v>
      </c>
      <c r="X194" s="18" t="s">
        <v>68</v>
      </c>
      <c r="Y194" s="200" t="s">
        <v>68</v>
      </c>
      <c r="Z194" s="368"/>
      <c r="AA194" s="130" t="s">
        <v>68</v>
      </c>
      <c r="AB194" s="74"/>
      <c r="AC194" s="75"/>
      <c r="AD194" s="4"/>
      <c r="AE194" s="32"/>
      <c r="AF194" s="34" t="s">
        <v>68</v>
      </c>
      <c r="AG194" s="112" t="s">
        <v>68</v>
      </c>
      <c r="AH194" s="112" t="s">
        <v>68</v>
      </c>
      <c r="AI194" s="7" t="s">
        <v>68</v>
      </c>
      <c r="AJ194" s="215" t="s">
        <v>68</v>
      </c>
      <c r="AK194" s="349" t="s">
        <v>68</v>
      </c>
      <c r="AL194" s="1"/>
      <c r="AM194" s="5"/>
      <c r="AN194" s="1"/>
      <c r="AO194" s="5"/>
      <c r="AP194" s="1"/>
      <c r="AQ194" s="1"/>
      <c r="AR194" s="279"/>
      <c r="AS194" s="35">
        <v>0</v>
      </c>
      <c r="AT194" s="895">
        <v>0</v>
      </c>
      <c r="AU194" s="884"/>
      <c r="AV194" s="350" t="s">
        <v>68</v>
      </c>
      <c r="AW194" s="11"/>
      <c r="AX194" s="223" t="s">
        <v>68</v>
      </c>
      <c r="AY194" s="224" t="s">
        <v>68</v>
      </c>
      <c r="AZ194" s="19" t="s">
        <v>68</v>
      </c>
      <c r="BA194" s="1"/>
      <c r="BB194" s="1"/>
      <c r="BC194" s="17"/>
      <c r="BD194" s="350" t="s">
        <v>68</v>
      </c>
      <c r="BE194" s="1620"/>
      <c r="BF194" s="1"/>
      <c r="BG194" s="1"/>
      <c r="BH194" s="1"/>
      <c r="BI194" s="36"/>
      <c r="BJ194" s="13" t="s">
        <v>68</v>
      </c>
      <c r="BK194" s="352"/>
      <c r="BL194" s="694" t="s">
        <v>68</v>
      </c>
      <c r="BM194" s="695" t="s">
        <v>68</v>
      </c>
      <c r="BN194" s="695" t="s">
        <v>68</v>
      </c>
      <c r="BO194" s="694"/>
      <c r="BP194" s="694"/>
      <c r="BQ194" s="694"/>
      <c r="BR194" s="694"/>
      <c r="BS194" s="694"/>
      <c r="BT194" s="694"/>
      <c r="BU194" s="694"/>
      <c r="BV194" s="694" t="s">
        <v>68</v>
      </c>
      <c r="BW194" s="13"/>
      <c r="BX194" s="13"/>
      <c r="BY194" s="13"/>
      <c r="BZ194" s="13"/>
      <c r="CA194" s="13"/>
      <c r="CB194" s="1221" t="s">
        <v>1563</v>
      </c>
      <c r="CC194" s="321" t="s">
        <v>459</v>
      </c>
      <c r="CD194" s="513"/>
      <c r="CE194" s="513"/>
      <c r="CF194" s="513"/>
      <c r="CG194" s="513"/>
      <c r="CH194" s="513"/>
      <c r="CI194" s="513"/>
      <c r="CJ194" s="513"/>
      <c r="CK194" s="12"/>
    </row>
    <row r="195" spans="2:89" customFormat="1" ht="56.25" hidden="1" customHeight="1">
      <c r="B195" s="22"/>
      <c r="C195" s="22"/>
      <c r="D195" s="22"/>
      <c r="E195" s="22"/>
      <c r="F195" s="22"/>
      <c r="G195" s="915">
        <v>42867</v>
      </c>
      <c r="H195" s="915"/>
      <c r="I195" s="329">
        <v>43013</v>
      </c>
      <c r="J195" s="16">
        <v>2016</v>
      </c>
      <c r="K195" s="1415"/>
      <c r="L195" s="1415"/>
      <c r="M195" s="318" t="s">
        <v>671</v>
      </c>
      <c r="N195" s="319" t="s">
        <v>672</v>
      </c>
      <c r="O195" s="2" t="s">
        <v>467</v>
      </c>
      <c r="P195" s="320" t="s">
        <v>68</v>
      </c>
      <c r="Q195" s="320"/>
      <c r="R195" s="4">
        <v>10000000</v>
      </c>
      <c r="S195" s="6">
        <v>42614</v>
      </c>
      <c r="T195" s="5" t="s">
        <v>68</v>
      </c>
      <c r="U195" s="11" t="s">
        <v>68</v>
      </c>
      <c r="V195" s="13" t="s">
        <v>68</v>
      </c>
      <c r="W195" s="33" t="s">
        <v>68</v>
      </c>
      <c r="X195" s="18" t="s">
        <v>68</v>
      </c>
      <c r="Y195" s="200" t="s">
        <v>68</v>
      </c>
      <c r="Z195" s="368"/>
      <c r="AA195" s="130" t="s">
        <v>68</v>
      </c>
      <c r="AB195" s="74"/>
      <c r="AC195" s="75"/>
      <c r="AD195" s="4"/>
      <c r="AE195" s="32"/>
      <c r="AF195" s="34" t="s">
        <v>68</v>
      </c>
      <c r="AG195" s="112" t="s">
        <v>68</v>
      </c>
      <c r="AH195" s="112" t="s">
        <v>68</v>
      </c>
      <c r="AI195" s="7" t="s">
        <v>68</v>
      </c>
      <c r="AJ195" s="215" t="s">
        <v>68</v>
      </c>
      <c r="AK195" s="349" t="s">
        <v>68</v>
      </c>
      <c r="AL195" s="1"/>
      <c r="AM195" s="5"/>
      <c r="AN195" s="1"/>
      <c r="AO195" s="5"/>
      <c r="AP195" s="1"/>
      <c r="AQ195" s="1"/>
      <c r="AR195" s="279"/>
      <c r="AS195" s="35">
        <v>0</v>
      </c>
      <c r="AT195" s="895">
        <v>0</v>
      </c>
      <c r="AU195" s="884"/>
      <c r="AV195" s="350" t="s">
        <v>68</v>
      </c>
      <c r="AW195" s="11"/>
      <c r="AX195" s="223" t="s">
        <v>68</v>
      </c>
      <c r="AY195" s="224" t="s">
        <v>68</v>
      </c>
      <c r="AZ195" s="19" t="s">
        <v>68</v>
      </c>
      <c r="BA195" s="1"/>
      <c r="BB195" s="1"/>
      <c r="BC195" s="17"/>
      <c r="BD195" s="350" t="s">
        <v>68</v>
      </c>
      <c r="BE195" s="1620"/>
      <c r="BF195" s="1"/>
      <c r="BG195" s="1"/>
      <c r="BH195" s="1"/>
      <c r="BI195" s="36"/>
      <c r="BJ195" s="13" t="s">
        <v>68</v>
      </c>
      <c r="BK195" s="352"/>
      <c r="BL195" s="694" t="s">
        <v>68</v>
      </c>
      <c r="BM195" s="695" t="s">
        <v>68</v>
      </c>
      <c r="BN195" s="695" t="s">
        <v>68</v>
      </c>
      <c r="BO195" s="694"/>
      <c r="BP195" s="694"/>
      <c r="BQ195" s="694"/>
      <c r="BR195" s="694"/>
      <c r="BS195" s="694"/>
      <c r="BT195" s="694"/>
      <c r="BU195" s="694"/>
      <c r="BV195" s="694" t="s">
        <v>68</v>
      </c>
      <c r="BW195" s="13"/>
      <c r="BX195" s="13"/>
      <c r="BY195" s="13"/>
      <c r="BZ195" s="13"/>
      <c r="CA195" s="13"/>
      <c r="CB195" s="1221" t="s">
        <v>1563</v>
      </c>
      <c r="CC195" s="321" t="s">
        <v>459</v>
      </c>
      <c r="CD195" s="561"/>
      <c r="CE195" s="561"/>
      <c r="CF195" s="561"/>
      <c r="CG195" s="561"/>
      <c r="CH195" s="561"/>
      <c r="CI195" s="561"/>
      <c r="CJ195" s="561"/>
      <c r="CK195" s="12"/>
    </row>
    <row r="196" spans="2:89" customFormat="1" ht="56.25" hidden="1" customHeight="1">
      <c r="B196" s="22"/>
      <c r="C196" s="22"/>
      <c r="D196" s="22"/>
      <c r="E196" s="22"/>
      <c r="F196" s="22"/>
      <c r="G196" s="915">
        <v>42867</v>
      </c>
      <c r="H196" s="915"/>
      <c r="I196" s="329">
        <v>43013</v>
      </c>
      <c r="J196" s="16">
        <v>2016</v>
      </c>
      <c r="K196" s="1415"/>
      <c r="L196" s="1415"/>
      <c r="M196" s="318" t="s">
        <v>163</v>
      </c>
      <c r="N196" s="322" t="s">
        <v>673</v>
      </c>
      <c r="O196" s="2" t="s">
        <v>467</v>
      </c>
      <c r="P196" s="320" t="s">
        <v>674</v>
      </c>
      <c r="Q196" s="320" t="s">
        <v>1975</v>
      </c>
      <c r="R196" s="4">
        <v>456248</v>
      </c>
      <c r="S196" s="6">
        <v>42583</v>
      </c>
      <c r="T196" s="5" t="s">
        <v>68</v>
      </c>
      <c r="U196" s="11" t="s">
        <v>68</v>
      </c>
      <c r="V196" s="13" t="s">
        <v>68</v>
      </c>
      <c r="W196" s="33" t="s">
        <v>68</v>
      </c>
      <c r="X196" s="18" t="s">
        <v>68</v>
      </c>
      <c r="Y196" s="200" t="s">
        <v>68</v>
      </c>
      <c r="Z196" s="368"/>
      <c r="AA196" s="130" t="s">
        <v>68</v>
      </c>
      <c r="AB196" s="74"/>
      <c r="AC196" s="75"/>
      <c r="AD196" s="4"/>
      <c r="AE196" s="32"/>
      <c r="AF196" s="34" t="s">
        <v>68</v>
      </c>
      <c r="AG196" s="112" t="s">
        <v>68</v>
      </c>
      <c r="AH196" s="112" t="s">
        <v>68</v>
      </c>
      <c r="AI196" s="7" t="s">
        <v>68</v>
      </c>
      <c r="AJ196" s="215" t="s">
        <v>68</v>
      </c>
      <c r="AK196" s="349" t="s">
        <v>68</v>
      </c>
      <c r="AL196" s="1"/>
      <c r="AM196" s="5"/>
      <c r="AN196" s="1"/>
      <c r="AO196" s="5"/>
      <c r="AP196" s="1"/>
      <c r="AQ196" s="1"/>
      <c r="AR196" s="279"/>
      <c r="AS196" s="35">
        <v>0</v>
      </c>
      <c r="AT196" s="895">
        <v>0</v>
      </c>
      <c r="AU196" s="884"/>
      <c r="AV196" s="350" t="s">
        <v>68</v>
      </c>
      <c r="AW196" s="11"/>
      <c r="AX196" s="223" t="s">
        <v>68</v>
      </c>
      <c r="AY196" s="224" t="s">
        <v>68</v>
      </c>
      <c r="AZ196" s="19" t="s">
        <v>68</v>
      </c>
      <c r="BA196" s="1"/>
      <c r="BB196" s="1"/>
      <c r="BC196" s="17"/>
      <c r="BD196" s="350" t="s">
        <v>68</v>
      </c>
      <c r="BE196" s="1620"/>
      <c r="BF196" s="1"/>
      <c r="BG196" s="1"/>
      <c r="BH196" s="1"/>
      <c r="BI196" s="36"/>
      <c r="BJ196" s="13" t="s">
        <v>68</v>
      </c>
      <c r="BK196" s="352"/>
      <c r="BL196" s="694" t="s">
        <v>68</v>
      </c>
      <c r="BM196" s="695" t="s">
        <v>68</v>
      </c>
      <c r="BN196" s="695" t="s">
        <v>68</v>
      </c>
      <c r="BO196" s="694"/>
      <c r="BP196" s="694"/>
      <c r="BQ196" s="694"/>
      <c r="BR196" s="694"/>
      <c r="BS196" s="694"/>
      <c r="BT196" s="694"/>
      <c r="BU196" s="694"/>
      <c r="BV196" s="694" t="s">
        <v>68</v>
      </c>
      <c r="BW196" s="13"/>
      <c r="BX196" s="13"/>
      <c r="BY196" s="13"/>
      <c r="BZ196" s="13"/>
      <c r="CA196" s="13"/>
      <c r="CB196" s="1221" t="s">
        <v>1563</v>
      </c>
      <c r="CC196" s="321" t="s">
        <v>459</v>
      </c>
      <c r="CD196" s="561"/>
      <c r="CE196" s="561"/>
      <c r="CF196" s="561"/>
      <c r="CG196" s="561"/>
      <c r="CH196" s="561"/>
      <c r="CI196" s="561"/>
      <c r="CJ196" s="561"/>
      <c r="CK196" s="12"/>
    </row>
    <row r="197" spans="2:89" customFormat="1" ht="75" hidden="1" customHeight="1">
      <c r="B197" s="22"/>
      <c r="C197" s="22"/>
      <c r="D197" s="22"/>
      <c r="E197" s="22"/>
      <c r="F197" s="22"/>
      <c r="G197" s="915">
        <v>42867</v>
      </c>
      <c r="H197" s="915"/>
      <c r="I197" s="329">
        <v>43013</v>
      </c>
      <c r="J197" s="16">
        <v>2016</v>
      </c>
      <c r="K197" s="1415"/>
      <c r="L197" s="1415"/>
      <c r="M197" s="318" t="s">
        <v>163</v>
      </c>
      <c r="N197" s="322" t="s">
        <v>675</v>
      </c>
      <c r="O197" s="2" t="s">
        <v>467</v>
      </c>
      <c r="P197" s="320" t="s">
        <v>541</v>
      </c>
      <c r="Q197" s="320" t="s">
        <v>4824</v>
      </c>
      <c r="R197" s="4">
        <v>245400</v>
      </c>
      <c r="S197" s="6">
        <v>42583</v>
      </c>
      <c r="T197" s="5" t="s">
        <v>68</v>
      </c>
      <c r="U197" s="11" t="s">
        <v>68</v>
      </c>
      <c r="V197" s="13" t="s">
        <v>68</v>
      </c>
      <c r="W197" s="33" t="s">
        <v>68</v>
      </c>
      <c r="X197" s="18" t="s">
        <v>68</v>
      </c>
      <c r="Y197" s="200" t="s">
        <v>68</v>
      </c>
      <c r="Z197" s="368"/>
      <c r="AA197" s="130" t="s">
        <v>68</v>
      </c>
      <c r="AB197" s="74"/>
      <c r="AC197" s="75"/>
      <c r="AD197" s="4"/>
      <c r="AE197" s="32"/>
      <c r="AF197" s="34" t="s">
        <v>68</v>
      </c>
      <c r="AG197" s="112" t="s">
        <v>68</v>
      </c>
      <c r="AH197" s="112" t="s">
        <v>68</v>
      </c>
      <c r="AI197" s="7" t="s">
        <v>68</v>
      </c>
      <c r="AJ197" s="215" t="s">
        <v>68</v>
      </c>
      <c r="AK197" s="349" t="s">
        <v>68</v>
      </c>
      <c r="AL197" s="1"/>
      <c r="AM197" s="5"/>
      <c r="AN197" s="1"/>
      <c r="AO197" s="5"/>
      <c r="AP197" s="1"/>
      <c r="AQ197" s="1"/>
      <c r="AR197" s="279"/>
      <c r="AS197" s="35">
        <v>0</v>
      </c>
      <c r="AT197" s="895">
        <v>0</v>
      </c>
      <c r="AU197" s="884"/>
      <c r="AV197" s="350" t="s">
        <v>68</v>
      </c>
      <c r="AW197" s="11"/>
      <c r="AX197" s="223" t="s">
        <v>68</v>
      </c>
      <c r="AY197" s="224" t="s">
        <v>68</v>
      </c>
      <c r="AZ197" s="19" t="s">
        <v>68</v>
      </c>
      <c r="BA197" s="1"/>
      <c r="BB197" s="1"/>
      <c r="BC197" s="17"/>
      <c r="BD197" s="350" t="s">
        <v>68</v>
      </c>
      <c r="BE197" s="1620"/>
      <c r="BF197" s="1"/>
      <c r="BG197" s="1"/>
      <c r="BH197" s="1"/>
      <c r="BI197" s="36"/>
      <c r="BJ197" s="13" t="s">
        <v>68</v>
      </c>
      <c r="BK197" s="352"/>
      <c r="BL197" s="694" t="s">
        <v>68</v>
      </c>
      <c r="BM197" s="695" t="s">
        <v>68</v>
      </c>
      <c r="BN197" s="695" t="s">
        <v>68</v>
      </c>
      <c r="BO197" s="694"/>
      <c r="BP197" s="694"/>
      <c r="BQ197" s="694"/>
      <c r="BR197" s="694"/>
      <c r="BS197" s="694"/>
      <c r="BT197" s="694"/>
      <c r="BU197" s="694"/>
      <c r="BV197" s="694" t="s">
        <v>68</v>
      </c>
      <c r="BW197" s="13"/>
      <c r="BX197" s="13"/>
      <c r="BY197" s="13"/>
      <c r="BZ197" s="13"/>
      <c r="CA197" s="13"/>
      <c r="CB197" s="1221" t="s">
        <v>1563</v>
      </c>
      <c r="CC197" s="321" t="s">
        <v>459</v>
      </c>
      <c r="CD197" s="561"/>
      <c r="CE197" s="561"/>
      <c r="CF197" s="561"/>
      <c r="CG197" s="561"/>
      <c r="CH197" s="561"/>
      <c r="CI197" s="561"/>
      <c r="CJ197" s="561"/>
      <c r="CK197" s="12"/>
    </row>
    <row r="198" spans="2:89" customFormat="1" ht="90.75" hidden="1" customHeight="1">
      <c r="B198" s="22"/>
      <c r="C198" s="22"/>
      <c r="D198" s="22"/>
      <c r="E198" s="22"/>
      <c r="F198" s="22"/>
      <c r="G198" s="915">
        <v>42867</v>
      </c>
      <c r="H198" s="915"/>
      <c r="I198" s="329">
        <v>43013</v>
      </c>
      <c r="J198" s="16">
        <v>2016</v>
      </c>
      <c r="K198" s="1415"/>
      <c r="L198" s="1415"/>
      <c r="M198" s="318" t="s">
        <v>163</v>
      </c>
      <c r="N198" s="322" t="s">
        <v>676</v>
      </c>
      <c r="O198" s="2" t="s">
        <v>467</v>
      </c>
      <c r="P198" s="320" t="s">
        <v>535</v>
      </c>
      <c r="Q198" s="320" t="s">
        <v>4824</v>
      </c>
      <c r="R198" s="4">
        <v>100336</v>
      </c>
      <c r="S198" s="6">
        <v>42583</v>
      </c>
      <c r="T198" s="5" t="s">
        <v>68</v>
      </c>
      <c r="U198" s="11" t="s">
        <v>68</v>
      </c>
      <c r="V198" s="13" t="s">
        <v>68</v>
      </c>
      <c r="W198" s="33" t="s">
        <v>68</v>
      </c>
      <c r="X198" s="18" t="s">
        <v>68</v>
      </c>
      <c r="Y198" s="200" t="s">
        <v>68</v>
      </c>
      <c r="Z198" s="368"/>
      <c r="AA198" s="130" t="s">
        <v>68</v>
      </c>
      <c r="AB198" s="74"/>
      <c r="AC198" s="75"/>
      <c r="AD198" s="4"/>
      <c r="AE198" s="32"/>
      <c r="AF198" s="34" t="s">
        <v>68</v>
      </c>
      <c r="AG198" s="112" t="s">
        <v>68</v>
      </c>
      <c r="AH198" s="112" t="s">
        <v>68</v>
      </c>
      <c r="AI198" s="7" t="s">
        <v>68</v>
      </c>
      <c r="AJ198" s="215" t="s">
        <v>68</v>
      </c>
      <c r="AK198" s="349" t="s">
        <v>68</v>
      </c>
      <c r="AL198" s="1"/>
      <c r="AM198" s="5"/>
      <c r="AN198" s="1"/>
      <c r="AO198" s="5"/>
      <c r="AP198" s="1"/>
      <c r="AQ198" s="1"/>
      <c r="AR198" s="279"/>
      <c r="AS198" s="35">
        <v>0</v>
      </c>
      <c r="AT198" s="895">
        <v>0</v>
      </c>
      <c r="AU198" s="884"/>
      <c r="AV198" s="350" t="s">
        <v>68</v>
      </c>
      <c r="AW198" s="11"/>
      <c r="AX198" s="223" t="s">
        <v>68</v>
      </c>
      <c r="AY198" s="224" t="s">
        <v>68</v>
      </c>
      <c r="AZ198" s="19" t="s">
        <v>68</v>
      </c>
      <c r="BA198" s="1"/>
      <c r="BB198" s="1"/>
      <c r="BC198" s="17"/>
      <c r="BD198" s="350" t="s">
        <v>68</v>
      </c>
      <c r="BE198" s="1620"/>
      <c r="BF198" s="1"/>
      <c r="BG198" s="1"/>
      <c r="BH198" s="1"/>
      <c r="BI198" s="36"/>
      <c r="BJ198" s="13" t="s">
        <v>68</v>
      </c>
      <c r="BK198" s="352"/>
      <c r="BL198" s="694" t="s">
        <v>68</v>
      </c>
      <c r="BM198" s="695" t="s">
        <v>68</v>
      </c>
      <c r="BN198" s="695" t="s">
        <v>68</v>
      </c>
      <c r="BO198" s="694"/>
      <c r="BP198" s="694"/>
      <c r="BQ198" s="694"/>
      <c r="BR198" s="694"/>
      <c r="BS198" s="694"/>
      <c r="BT198" s="694"/>
      <c r="BU198" s="694"/>
      <c r="BV198" s="694" t="s">
        <v>68</v>
      </c>
      <c r="BW198" s="13"/>
      <c r="BX198" s="13"/>
      <c r="BY198" s="13"/>
      <c r="BZ198" s="13"/>
      <c r="CA198" s="13"/>
      <c r="CB198" s="1221" t="s">
        <v>1563</v>
      </c>
      <c r="CC198" s="321" t="s">
        <v>459</v>
      </c>
      <c r="CD198" s="561"/>
      <c r="CE198" s="561"/>
      <c r="CF198" s="561"/>
      <c r="CG198" s="561"/>
      <c r="CH198" s="561"/>
      <c r="CI198" s="561"/>
      <c r="CJ198" s="561"/>
      <c r="CK198" s="12"/>
    </row>
    <row r="199" spans="2:89" customFormat="1" ht="75" hidden="1" customHeight="1">
      <c r="B199" s="22"/>
      <c r="C199" s="22"/>
      <c r="D199" s="22"/>
      <c r="E199" s="22"/>
      <c r="F199" s="22"/>
      <c r="G199" s="915">
        <v>42867</v>
      </c>
      <c r="H199" s="915"/>
      <c r="I199" s="329">
        <v>43013</v>
      </c>
      <c r="J199" s="16">
        <v>2016</v>
      </c>
      <c r="K199" s="1415"/>
      <c r="L199" s="1415"/>
      <c r="M199" s="318" t="s">
        <v>163</v>
      </c>
      <c r="N199" s="322" t="s">
        <v>677</v>
      </c>
      <c r="O199" s="2" t="s">
        <v>467</v>
      </c>
      <c r="P199" s="320" t="s">
        <v>539</v>
      </c>
      <c r="Q199" s="320" t="s">
        <v>4824</v>
      </c>
      <c r="R199" s="4">
        <v>214516</v>
      </c>
      <c r="S199" s="6">
        <v>42583</v>
      </c>
      <c r="T199" s="5" t="s">
        <v>68</v>
      </c>
      <c r="U199" s="11" t="s">
        <v>68</v>
      </c>
      <c r="V199" s="13" t="s">
        <v>68</v>
      </c>
      <c r="W199" s="33" t="s">
        <v>68</v>
      </c>
      <c r="X199" s="18" t="s">
        <v>68</v>
      </c>
      <c r="Y199" s="200" t="s">
        <v>68</v>
      </c>
      <c r="Z199" s="368"/>
      <c r="AA199" s="130" t="s">
        <v>68</v>
      </c>
      <c r="AB199" s="74"/>
      <c r="AC199" s="75"/>
      <c r="AD199" s="4"/>
      <c r="AE199" s="32"/>
      <c r="AF199" s="34" t="s">
        <v>68</v>
      </c>
      <c r="AG199" s="112" t="s">
        <v>68</v>
      </c>
      <c r="AH199" s="112" t="s">
        <v>68</v>
      </c>
      <c r="AI199" s="7" t="s">
        <v>68</v>
      </c>
      <c r="AJ199" s="215" t="s">
        <v>68</v>
      </c>
      <c r="AK199" s="349" t="s">
        <v>68</v>
      </c>
      <c r="AL199" s="1"/>
      <c r="AM199" s="5"/>
      <c r="AN199" s="1"/>
      <c r="AO199" s="5"/>
      <c r="AP199" s="1"/>
      <c r="AQ199" s="1"/>
      <c r="AR199" s="279"/>
      <c r="AS199" s="35">
        <v>0</v>
      </c>
      <c r="AT199" s="895">
        <v>0</v>
      </c>
      <c r="AU199" s="884"/>
      <c r="AV199" s="350" t="s">
        <v>68</v>
      </c>
      <c r="AW199" s="11"/>
      <c r="AX199" s="223" t="s">
        <v>68</v>
      </c>
      <c r="AY199" s="224" t="s">
        <v>68</v>
      </c>
      <c r="AZ199" s="19" t="s">
        <v>68</v>
      </c>
      <c r="BA199" s="1"/>
      <c r="BB199" s="1"/>
      <c r="BC199" s="17"/>
      <c r="BD199" s="350" t="s">
        <v>68</v>
      </c>
      <c r="BE199" s="1620"/>
      <c r="BF199" s="1"/>
      <c r="BG199" s="1"/>
      <c r="BH199" s="1"/>
      <c r="BI199" s="36"/>
      <c r="BJ199" s="13" t="s">
        <v>68</v>
      </c>
      <c r="BK199" s="352"/>
      <c r="BL199" s="694" t="s">
        <v>68</v>
      </c>
      <c r="BM199" s="695" t="s">
        <v>68</v>
      </c>
      <c r="BN199" s="695" t="s">
        <v>68</v>
      </c>
      <c r="BO199" s="694"/>
      <c r="BP199" s="694"/>
      <c r="BQ199" s="694"/>
      <c r="BR199" s="694"/>
      <c r="BS199" s="694"/>
      <c r="BT199" s="694"/>
      <c r="BU199" s="694"/>
      <c r="BV199" s="694" t="s">
        <v>68</v>
      </c>
      <c r="BW199" s="13"/>
      <c r="BX199" s="13"/>
      <c r="BY199" s="13"/>
      <c r="BZ199" s="13"/>
      <c r="CA199" s="13"/>
      <c r="CB199" s="1221" t="s">
        <v>1563</v>
      </c>
      <c r="CC199" s="321" t="s">
        <v>459</v>
      </c>
      <c r="CD199" s="561"/>
      <c r="CE199" s="561"/>
      <c r="CF199" s="561"/>
      <c r="CG199" s="561"/>
      <c r="CH199" s="561"/>
      <c r="CI199" s="561"/>
      <c r="CJ199" s="561"/>
      <c r="CK199" s="12"/>
    </row>
    <row r="200" spans="2:89" customFormat="1" ht="60" hidden="1" customHeight="1">
      <c r="B200" s="22"/>
      <c r="C200" s="22"/>
      <c r="D200" s="22"/>
      <c r="E200" s="22"/>
      <c r="F200" s="22"/>
      <c r="G200" s="915">
        <v>42867</v>
      </c>
      <c r="H200" s="915"/>
      <c r="I200" s="329">
        <v>43013</v>
      </c>
      <c r="J200" s="16">
        <v>2016</v>
      </c>
      <c r="K200" s="1415"/>
      <c r="L200" s="1415"/>
      <c r="M200" s="318" t="s">
        <v>163</v>
      </c>
      <c r="N200" s="322" t="s">
        <v>678</v>
      </c>
      <c r="O200" s="2" t="s">
        <v>467</v>
      </c>
      <c r="P200" s="320" t="s">
        <v>679</v>
      </c>
      <c r="Q200" s="320" t="s">
        <v>1975</v>
      </c>
      <c r="R200" s="4">
        <v>233400</v>
      </c>
      <c r="S200" s="6">
        <v>42583</v>
      </c>
      <c r="T200" s="5" t="s">
        <v>68</v>
      </c>
      <c r="U200" s="11" t="s">
        <v>68</v>
      </c>
      <c r="V200" s="13" t="s">
        <v>68</v>
      </c>
      <c r="W200" s="33" t="s">
        <v>68</v>
      </c>
      <c r="X200" s="18" t="s">
        <v>68</v>
      </c>
      <c r="Y200" s="200" t="s">
        <v>68</v>
      </c>
      <c r="Z200" s="368"/>
      <c r="AA200" s="130" t="s">
        <v>68</v>
      </c>
      <c r="AB200" s="74"/>
      <c r="AC200" s="75"/>
      <c r="AD200" s="4"/>
      <c r="AE200" s="32"/>
      <c r="AF200" s="34" t="s">
        <v>68</v>
      </c>
      <c r="AG200" s="112" t="s">
        <v>68</v>
      </c>
      <c r="AH200" s="112" t="s">
        <v>68</v>
      </c>
      <c r="AI200" s="7" t="s">
        <v>68</v>
      </c>
      <c r="AJ200" s="215" t="s">
        <v>68</v>
      </c>
      <c r="AK200" s="349" t="s">
        <v>68</v>
      </c>
      <c r="AL200" s="1"/>
      <c r="AM200" s="5"/>
      <c r="AN200" s="1"/>
      <c r="AO200" s="5"/>
      <c r="AP200" s="1"/>
      <c r="AQ200" s="1"/>
      <c r="AR200" s="279"/>
      <c r="AS200" s="35">
        <v>0</v>
      </c>
      <c r="AT200" s="895">
        <v>0</v>
      </c>
      <c r="AU200" s="884"/>
      <c r="AV200" s="350" t="s">
        <v>68</v>
      </c>
      <c r="AW200" s="11"/>
      <c r="AX200" s="223" t="s">
        <v>68</v>
      </c>
      <c r="AY200" s="224" t="s">
        <v>68</v>
      </c>
      <c r="AZ200" s="19" t="s">
        <v>68</v>
      </c>
      <c r="BA200" s="1"/>
      <c r="BB200" s="1"/>
      <c r="BC200" s="17"/>
      <c r="BD200" s="350" t="s">
        <v>68</v>
      </c>
      <c r="BE200" s="1620"/>
      <c r="BF200" s="1"/>
      <c r="BG200" s="1"/>
      <c r="BH200" s="1"/>
      <c r="BI200" s="36"/>
      <c r="BJ200" s="13" t="s">
        <v>68</v>
      </c>
      <c r="BK200" s="352"/>
      <c r="BL200" s="694" t="s">
        <v>68</v>
      </c>
      <c r="BM200" s="695" t="s">
        <v>68</v>
      </c>
      <c r="BN200" s="695" t="s">
        <v>68</v>
      </c>
      <c r="BO200" s="694"/>
      <c r="BP200" s="694"/>
      <c r="BQ200" s="694"/>
      <c r="BR200" s="694"/>
      <c r="BS200" s="694"/>
      <c r="BT200" s="694"/>
      <c r="BU200" s="694"/>
      <c r="BV200" s="694" t="s">
        <v>68</v>
      </c>
      <c r="BW200" s="13"/>
      <c r="BX200" s="13"/>
      <c r="BY200" s="13"/>
      <c r="BZ200" s="13"/>
      <c r="CA200" s="13"/>
      <c r="CB200" s="1221" t="s">
        <v>1563</v>
      </c>
      <c r="CC200" s="321" t="s">
        <v>459</v>
      </c>
      <c r="CD200" s="561"/>
      <c r="CE200" s="561"/>
      <c r="CF200" s="561"/>
      <c r="CG200" s="561"/>
      <c r="CH200" s="561"/>
      <c r="CI200" s="561"/>
      <c r="CJ200" s="561"/>
      <c r="CK200" s="12"/>
    </row>
    <row r="201" spans="2:89" customFormat="1" ht="75" hidden="1" customHeight="1">
      <c r="B201" s="22"/>
      <c r="C201" s="22"/>
      <c r="D201" s="22"/>
      <c r="E201" s="22"/>
      <c r="F201" s="22"/>
      <c r="G201" s="915">
        <v>42867</v>
      </c>
      <c r="H201" s="915"/>
      <c r="I201" s="329">
        <v>43013</v>
      </c>
      <c r="J201" s="16">
        <v>2016</v>
      </c>
      <c r="K201" s="1415"/>
      <c r="L201" s="1415"/>
      <c r="M201" s="318" t="s">
        <v>163</v>
      </c>
      <c r="N201" s="322" t="s">
        <v>680</v>
      </c>
      <c r="O201" s="2" t="s">
        <v>467</v>
      </c>
      <c r="P201" s="320" t="s">
        <v>539</v>
      </c>
      <c r="Q201" s="320" t="s">
        <v>4824</v>
      </c>
      <c r="R201" s="4">
        <v>136120</v>
      </c>
      <c r="S201" s="6">
        <v>42583</v>
      </c>
      <c r="T201" s="5" t="s">
        <v>68</v>
      </c>
      <c r="U201" s="11" t="s">
        <v>68</v>
      </c>
      <c r="V201" s="13" t="s">
        <v>68</v>
      </c>
      <c r="W201" s="33" t="s">
        <v>68</v>
      </c>
      <c r="X201" s="18" t="s">
        <v>68</v>
      </c>
      <c r="Y201" s="200" t="s">
        <v>68</v>
      </c>
      <c r="Z201" s="368"/>
      <c r="AA201" s="130" t="s">
        <v>68</v>
      </c>
      <c r="AB201" s="74"/>
      <c r="AC201" s="75"/>
      <c r="AD201" s="4"/>
      <c r="AE201" s="32"/>
      <c r="AF201" s="34" t="s">
        <v>68</v>
      </c>
      <c r="AG201" s="112" t="s">
        <v>68</v>
      </c>
      <c r="AH201" s="112" t="s">
        <v>68</v>
      </c>
      <c r="AI201" s="7" t="s">
        <v>68</v>
      </c>
      <c r="AJ201" s="215" t="s">
        <v>68</v>
      </c>
      <c r="AK201" s="349" t="s">
        <v>68</v>
      </c>
      <c r="AL201" s="1"/>
      <c r="AM201" s="5"/>
      <c r="AN201" s="1"/>
      <c r="AO201" s="5"/>
      <c r="AP201" s="1"/>
      <c r="AQ201" s="1"/>
      <c r="AR201" s="279"/>
      <c r="AS201" s="35">
        <v>0</v>
      </c>
      <c r="AT201" s="895">
        <v>0</v>
      </c>
      <c r="AU201" s="884"/>
      <c r="AV201" s="350" t="s">
        <v>68</v>
      </c>
      <c r="AW201" s="11"/>
      <c r="AX201" s="223" t="s">
        <v>68</v>
      </c>
      <c r="AY201" s="224" t="s">
        <v>68</v>
      </c>
      <c r="AZ201" s="19" t="s">
        <v>68</v>
      </c>
      <c r="BA201" s="1"/>
      <c r="BB201" s="1"/>
      <c r="BC201" s="17"/>
      <c r="BD201" s="350" t="s">
        <v>68</v>
      </c>
      <c r="BE201" s="1620"/>
      <c r="BF201" s="1"/>
      <c r="BG201" s="1"/>
      <c r="BH201" s="1"/>
      <c r="BI201" s="36"/>
      <c r="BJ201" s="13" t="s">
        <v>68</v>
      </c>
      <c r="BK201" s="352"/>
      <c r="BL201" s="694" t="s">
        <v>68</v>
      </c>
      <c r="BM201" s="695" t="s">
        <v>68</v>
      </c>
      <c r="BN201" s="695" t="s">
        <v>68</v>
      </c>
      <c r="BO201" s="694"/>
      <c r="BP201" s="694"/>
      <c r="BQ201" s="694"/>
      <c r="BR201" s="694"/>
      <c r="BS201" s="694"/>
      <c r="BT201" s="694"/>
      <c r="BU201" s="694"/>
      <c r="BV201" s="694" t="s">
        <v>68</v>
      </c>
      <c r="BW201" s="13"/>
      <c r="BX201" s="13"/>
      <c r="BY201" s="13"/>
      <c r="BZ201" s="13"/>
      <c r="CA201" s="13"/>
      <c r="CB201" s="1221" t="s">
        <v>1563</v>
      </c>
      <c r="CC201" s="321" t="s">
        <v>459</v>
      </c>
      <c r="CD201" s="561"/>
      <c r="CE201" s="561"/>
      <c r="CF201" s="561"/>
      <c r="CG201" s="561"/>
      <c r="CH201" s="561"/>
      <c r="CI201" s="561"/>
      <c r="CJ201" s="561"/>
      <c r="CK201" s="12"/>
    </row>
    <row r="202" spans="2:89" customFormat="1" ht="90" hidden="1" customHeight="1">
      <c r="B202" s="22"/>
      <c r="C202" s="22"/>
      <c r="D202" s="22"/>
      <c r="E202" s="22"/>
      <c r="F202" s="22"/>
      <c r="G202" s="915">
        <v>42867</v>
      </c>
      <c r="H202" s="915"/>
      <c r="I202" s="329">
        <v>43013</v>
      </c>
      <c r="J202" s="16">
        <v>2016</v>
      </c>
      <c r="K202" s="1415"/>
      <c r="L202" s="1415"/>
      <c r="M202" s="318" t="s">
        <v>163</v>
      </c>
      <c r="N202" s="322" t="s">
        <v>681</v>
      </c>
      <c r="O202" s="2" t="s">
        <v>467</v>
      </c>
      <c r="P202" s="320" t="s">
        <v>682</v>
      </c>
      <c r="Q202" s="320" t="s">
        <v>2538</v>
      </c>
      <c r="R202" s="4">
        <v>525186</v>
      </c>
      <c r="S202" s="6">
        <v>42583</v>
      </c>
      <c r="T202" s="5" t="s">
        <v>68</v>
      </c>
      <c r="U202" s="11" t="s">
        <v>68</v>
      </c>
      <c r="V202" s="13" t="s">
        <v>68</v>
      </c>
      <c r="W202" s="33" t="s">
        <v>68</v>
      </c>
      <c r="X202" s="18" t="s">
        <v>68</v>
      </c>
      <c r="Y202" s="200" t="s">
        <v>68</v>
      </c>
      <c r="Z202" s="368"/>
      <c r="AA202" s="130" t="s">
        <v>68</v>
      </c>
      <c r="AB202" s="74"/>
      <c r="AC202" s="75"/>
      <c r="AD202" s="4"/>
      <c r="AE202" s="32"/>
      <c r="AF202" s="34" t="s">
        <v>68</v>
      </c>
      <c r="AG202" s="112" t="s">
        <v>68</v>
      </c>
      <c r="AH202" s="112" t="s">
        <v>68</v>
      </c>
      <c r="AI202" s="7" t="s">
        <v>68</v>
      </c>
      <c r="AJ202" s="215" t="s">
        <v>68</v>
      </c>
      <c r="AK202" s="349" t="s">
        <v>68</v>
      </c>
      <c r="AL202" s="1"/>
      <c r="AM202" s="5"/>
      <c r="AN202" s="1"/>
      <c r="AO202" s="5"/>
      <c r="AP202" s="1"/>
      <c r="AQ202" s="1"/>
      <c r="AR202" s="279"/>
      <c r="AS202" s="35">
        <v>0</v>
      </c>
      <c r="AT202" s="895">
        <v>0</v>
      </c>
      <c r="AU202" s="884"/>
      <c r="AV202" s="350" t="s">
        <v>68</v>
      </c>
      <c r="AW202" s="11"/>
      <c r="AX202" s="223" t="s">
        <v>68</v>
      </c>
      <c r="AY202" s="224" t="s">
        <v>68</v>
      </c>
      <c r="AZ202" s="19" t="s">
        <v>68</v>
      </c>
      <c r="BA202" s="1"/>
      <c r="BB202" s="1"/>
      <c r="BC202" s="17"/>
      <c r="BD202" s="350" t="s">
        <v>68</v>
      </c>
      <c r="BE202" s="1620"/>
      <c r="BF202" s="1"/>
      <c r="BG202" s="1"/>
      <c r="BH202" s="1"/>
      <c r="BI202" s="36"/>
      <c r="BJ202" s="13" t="s">
        <v>68</v>
      </c>
      <c r="BK202" s="352"/>
      <c r="BL202" s="694" t="s">
        <v>68</v>
      </c>
      <c r="BM202" s="695" t="s">
        <v>68</v>
      </c>
      <c r="BN202" s="695" t="s">
        <v>68</v>
      </c>
      <c r="BO202" s="694"/>
      <c r="BP202" s="694"/>
      <c r="BQ202" s="694"/>
      <c r="BR202" s="694"/>
      <c r="BS202" s="694"/>
      <c r="BT202" s="694"/>
      <c r="BU202" s="694"/>
      <c r="BV202" s="694" t="s">
        <v>68</v>
      </c>
      <c r="BW202" s="13"/>
      <c r="BX202" s="13"/>
      <c r="BY202" s="13"/>
      <c r="BZ202" s="13"/>
      <c r="CA202" s="13"/>
      <c r="CB202" s="1221" t="s">
        <v>1563</v>
      </c>
      <c r="CC202" s="321" t="s">
        <v>459</v>
      </c>
      <c r="CD202" s="561"/>
      <c r="CE202" s="561"/>
      <c r="CF202" s="561"/>
      <c r="CG202" s="561"/>
      <c r="CH202" s="561"/>
      <c r="CI202" s="561"/>
      <c r="CJ202" s="561"/>
      <c r="CK202" s="12"/>
    </row>
    <row r="203" spans="2:89" customFormat="1" ht="75" hidden="1" customHeight="1">
      <c r="B203" s="22"/>
      <c r="C203" s="22"/>
      <c r="D203" s="22"/>
      <c r="E203" s="22"/>
      <c r="F203" s="22"/>
      <c r="G203" s="915">
        <v>42867</v>
      </c>
      <c r="H203" s="915"/>
      <c r="I203" s="329">
        <v>43013</v>
      </c>
      <c r="J203" s="16">
        <v>2016</v>
      </c>
      <c r="K203" s="1415"/>
      <c r="L203" s="1415"/>
      <c r="M203" s="318" t="s">
        <v>163</v>
      </c>
      <c r="N203" s="322" t="s">
        <v>683</v>
      </c>
      <c r="O203" s="2" t="s">
        <v>467</v>
      </c>
      <c r="P203" s="320" t="s">
        <v>684</v>
      </c>
      <c r="Q203" s="320" t="s">
        <v>3623</v>
      </c>
      <c r="R203" s="4">
        <v>678342</v>
      </c>
      <c r="S203" s="6">
        <v>42583</v>
      </c>
      <c r="T203" s="5" t="s">
        <v>68</v>
      </c>
      <c r="U203" s="11" t="s">
        <v>68</v>
      </c>
      <c r="V203" s="13" t="s">
        <v>68</v>
      </c>
      <c r="W203" s="33" t="s">
        <v>68</v>
      </c>
      <c r="X203" s="18" t="s">
        <v>68</v>
      </c>
      <c r="Y203" s="200" t="s">
        <v>68</v>
      </c>
      <c r="Z203" s="368"/>
      <c r="AA203" s="130" t="s">
        <v>68</v>
      </c>
      <c r="AB203" s="74"/>
      <c r="AC203" s="75"/>
      <c r="AD203" s="4"/>
      <c r="AE203" s="32"/>
      <c r="AF203" s="34" t="s">
        <v>68</v>
      </c>
      <c r="AG203" s="112" t="s">
        <v>68</v>
      </c>
      <c r="AH203" s="112" t="s">
        <v>68</v>
      </c>
      <c r="AI203" s="7" t="s">
        <v>68</v>
      </c>
      <c r="AJ203" s="215" t="s">
        <v>68</v>
      </c>
      <c r="AK203" s="349" t="s">
        <v>68</v>
      </c>
      <c r="AL203" s="1"/>
      <c r="AM203" s="5"/>
      <c r="AN203" s="1"/>
      <c r="AO203" s="5"/>
      <c r="AP203" s="1"/>
      <c r="AQ203" s="1"/>
      <c r="AR203" s="279"/>
      <c r="AS203" s="35">
        <v>0</v>
      </c>
      <c r="AT203" s="895">
        <v>0</v>
      </c>
      <c r="AU203" s="884"/>
      <c r="AV203" s="350" t="s">
        <v>68</v>
      </c>
      <c r="AW203" s="11"/>
      <c r="AX203" s="223" t="s">
        <v>68</v>
      </c>
      <c r="AY203" s="224" t="s">
        <v>68</v>
      </c>
      <c r="AZ203" s="19" t="s">
        <v>68</v>
      </c>
      <c r="BA203" s="1"/>
      <c r="BB203" s="1"/>
      <c r="BC203" s="17"/>
      <c r="BD203" s="350" t="s">
        <v>68</v>
      </c>
      <c r="BE203" s="1620"/>
      <c r="BF203" s="1"/>
      <c r="BG203" s="1"/>
      <c r="BH203" s="1"/>
      <c r="BI203" s="36"/>
      <c r="BJ203" s="13" t="s">
        <v>68</v>
      </c>
      <c r="BK203" s="352"/>
      <c r="BL203" s="694" t="s">
        <v>68</v>
      </c>
      <c r="BM203" s="695" t="s">
        <v>68</v>
      </c>
      <c r="BN203" s="695" t="s">
        <v>68</v>
      </c>
      <c r="BO203" s="694"/>
      <c r="BP203" s="694"/>
      <c r="BQ203" s="694"/>
      <c r="BR203" s="694"/>
      <c r="BS203" s="694"/>
      <c r="BT203" s="694"/>
      <c r="BU203" s="694"/>
      <c r="BV203" s="694" t="s">
        <v>68</v>
      </c>
      <c r="BW203" s="13"/>
      <c r="BX203" s="13"/>
      <c r="BY203" s="13"/>
      <c r="BZ203" s="13"/>
      <c r="CA203" s="13"/>
      <c r="CB203" s="1221" t="s">
        <v>1563</v>
      </c>
      <c r="CC203" s="321" t="s">
        <v>459</v>
      </c>
      <c r="CD203" s="561"/>
      <c r="CE203" s="561"/>
      <c r="CF203" s="561"/>
      <c r="CG203" s="561"/>
      <c r="CH203" s="561"/>
      <c r="CI203" s="561"/>
      <c r="CJ203" s="561"/>
      <c r="CK203" s="12"/>
    </row>
    <row r="204" spans="2:89" customFormat="1" ht="56.25" hidden="1" customHeight="1">
      <c r="B204" s="22"/>
      <c r="C204" s="22"/>
      <c r="D204" s="22"/>
      <c r="E204" s="22"/>
      <c r="F204" s="22"/>
      <c r="G204" s="915">
        <v>42867</v>
      </c>
      <c r="H204" s="915"/>
      <c r="I204" s="329">
        <v>43013</v>
      </c>
      <c r="J204" s="16">
        <v>2016</v>
      </c>
      <c r="K204" s="1415"/>
      <c r="L204" s="1415"/>
      <c r="M204" s="318" t="s">
        <v>163</v>
      </c>
      <c r="N204" s="322" t="s">
        <v>685</v>
      </c>
      <c r="O204" s="2" t="s">
        <v>467</v>
      </c>
      <c r="P204" s="320" t="s">
        <v>626</v>
      </c>
      <c r="Q204" s="320" t="s">
        <v>3623</v>
      </c>
      <c r="R204" s="4">
        <v>2426000</v>
      </c>
      <c r="S204" s="6">
        <v>42583</v>
      </c>
      <c r="T204" s="5" t="s">
        <v>68</v>
      </c>
      <c r="U204" s="11" t="s">
        <v>68</v>
      </c>
      <c r="V204" s="13" t="s">
        <v>68</v>
      </c>
      <c r="W204" s="33" t="s">
        <v>68</v>
      </c>
      <c r="X204" s="18" t="s">
        <v>68</v>
      </c>
      <c r="Y204" s="200" t="s">
        <v>68</v>
      </c>
      <c r="Z204" s="368"/>
      <c r="AA204" s="130" t="s">
        <v>68</v>
      </c>
      <c r="AB204" s="74"/>
      <c r="AC204" s="75"/>
      <c r="AD204" s="4"/>
      <c r="AE204" s="32"/>
      <c r="AF204" s="34" t="s">
        <v>68</v>
      </c>
      <c r="AG204" s="112" t="s">
        <v>68</v>
      </c>
      <c r="AH204" s="112" t="s">
        <v>68</v>
      </c>
      <c r="AI204" s="7" t="s">
        <v>68</v>
      </c>
      <c r="AJ204" s="215" t="s">
        <v>68</v>
      </c>
      <c r="AK204" s="349" t="s">
        <v>68</v>
      </c>
      <c r="AL204" s="1"/>
      <c r="AM204" s="5"/>
      <c r="AN204" s="1"/>
      <c r="AO204" s="5"/>
      <c r="AP204" s="1"/>
      <c r="AQ204" s="1"/>
      <c r="AR204" s="279"/>
      <c r="AS204" s="35">
        <v>0</v>
      </c>
      <c r="AT204" s="895">
        <v>0</v>
      </c>
      <c r="AU204" s="884"/>
      <c r="AV204" s="350" t="s">
        <v>68</v>
      </c>
      <c r="AW204" s="11"/>
      <c r="AX204" s="223" t="s">
        <v>68</v>
      </c>
      <c r="AY204" s="224" t="s">
        <v>68</v>
      </c>
      <c r="AZ204" s="19" t="s">
        <v>68</v>
      </c>
      <c r="BA204" s="1"/>
      <c r="BB204" s="1"/>
      <c r="BC204" s="17"/>
      <c r="BD204" s="350" t="s">
        <v>68</v>
      </c>
      <c r="BE204" s="1620"/>
      <c r="BF204" s="1"/>
      <c r="BG204" s="1"/>
      <c r="BH204" s="1"/>
      <c r="BI204" s="36"/>
      <c r="BJ204" s="13" t="s">
        <v>68</v>
      </c>
      <c r="BK204" s="352"/>
      <c r="BL204" s="694" t="s">
        <v>68</v>
      </c>
      <c r="BM204" s="695" t="s">
        <v>68</v>
      </c>
      <c r="BN204" s="695" t="s">
        <v>68</v>
      </c>
      <c r="BO204" s="694"/>
      <c r="BP204" s="694"/>
      <c r="BQ204" s="694"/>
      <c r="BR204" s="694"/>
      <c r="BS204" s="694"/>
      <c r="BT204" s="694"/>
      <c r="BU204" s="694"/>
      <c r="BV204" s="694" t="s">
        <v>68</v>
      </c>
      <c r="BW204" s="13"/>
      <c r="BX204" s="13"/>
      <c r="BY204" s="13"/>
      <c r="BZ204" s="13"/>
      <c r="CA204" s="13"/>
      <c r="CB204" s="1221" t="s">
        <v>1563</v>
      </c>
      <c r="CC204" s="321" t="s">
        <v>459</v>
      </c>
      <c r="CD204" s="561"/>
      <c r="CE204" s="561"/>
      <c r="CF204" s="561"/>
      <c r="CG204" s="561"/>
      <c r="CH204" s="561"/>
      <c r="CI204" s="561"/>
      <c r="CJ204" s="561"/>
      <c r="CK204" s="12"/>
    </row>
    <row r="205" spans="2:89" customFormat="1" ht="105" hidden="1" customHeight="1">
      <c r="B205" s="22"/>
      <c r="C205" s="22"/>
      <c r="D205" s="22"/>
      <c r="E205" s="22"/>
      <c r="F205" s="22"/>
      <c r="G205" s="915">
        <v>42867</v>
      </c>
      <c r="H205" s="915"/>
      <c r="I205" s="329">
        <v>43013</v>
      </c>
      <c r="J205" s="16">
        <v>2016</v>
      </c>
      <c r="K205" s="1415"/>
      <c r="L205" s="1415"/>
      <c r="M205" s="318" t="s">
        <v>163</v>
      </c>
      <c r="N205" s="322" t="s">
        <v>686</v>
      </c>
      <c r="O205" s="2" t="s">
        <v>467</v>
      </c>
      <c r="P205" s="320" t="s">
        <v>687</v>
      </c>
      <c r="Q205" s="320" t="s">
        <v>4824</v>
      </c>
      <c r="R205" s="4">
        <v>236752</v>
      </c>
      <c r="S205" s="6">
        <v>42583</v>
      </c>
      <c r="T205" s="5" t="s">
        <v>68</v>
      </c>
      <c r="U205" s="11" t="s">
        <v>68</v>
      </c>
      <c r="V205" s="13" t="s">
        <v>68</v>
      </c>
      <c r="W205" s="33" t="s">
        <v>68</v>
      </c>
      <c r="X205" s="18" t="s">
        <v>68</v>
      </c>
      <c r="Y205" s="200" t="s">
        <v>68</v>
      </c>
      <c r="Z205" s="368"/>
      <c r="AA205" s="130" t="s">
        <v>68</v>
      </c>
      <c r="AB205" s="74"/>
      <c r="AC205" s="75"/>
      <c r="AD205" s="4"/>
      <c r="AE205" s="32"/>
      <c r="AF205" s="34" t="s">
        <v>68</v>
      </c>
      <c r="AG205" s="112" t="s">
        <v>68</v>
      </c>
      <c r="AH205" s="112" t="s">
        <v>68</v>
      </c>
      <c r="AI205" s="7" t="s">
        <v>68</v>
      </c>
      <c r="AJ205" s="215" t="s">
        <v>68</v>
      </c>
      <c r="AK205" s="349" t="s">
        <v>68</v>
      </c>
      <c r="AL205" s="1"/>
      <c r="AM205" s="5"/>
      <c r="AN205" s="1"/>
      <c r="AO205" s="5"/>
      <c r="AP205" s="1"/>
      <c r="AQ205" s="1"/>
      <c r="AR205" s="279"/>
      <c r="AS205" s="35">
        <v>0</v>
      </c>
      <c r="AT205" s="895">
        <v>0</v>
      </c>
      <c r="AU205" s="884"/>
      <c r="AV205" s="350" t="s">
        <v>68</v>
      </c>
      <c r="AW205" s="11"/>
      <c r="AX205" s="223" t="s">
        <v>68</v>
      </c>
      <c r="AY205" s="224" t="s">
        <v>68</v>
      </c>
      <c r="AZ205" s="19" t="s">
        <v>68</v>
      </c>
      <c r="BA205" s="1"/>
      <c r="BB205" s="1"/>
      <c r="BC205" s="17"/>
      <c r="BD205" s="350" t="s">
        <v>68</v>
      </c>
      <c r="BE205" s="1620"/>
      <c r="BF205" s="1"/>
      <c r="BG205" s="1"/>
      <c r="BH205" s="1"/>
      <c r="BI205" s="36"/>
      <c r="BJ205" s="13" t="s">
        <v>68</v>
      </c>
      <c r="BK205" s="352"/>
      <c r="BL205" s="694" t="s">
        <v>68</v>
      </c>
      <c r="BM205" s="695" t="s">
        <v>68</v>
      </c>
      <c r="BN205" s="695" t="s">
        <v>68</v>
      </c>
      <c r="BO205" s="694"/>
      <c r="BP205" s="694"/>
      <c r="BQ205" s="694"/>
      <c r="BR205" s="694"/>
      <c r="BS205" s="694"/>
      <c r="BT205" s="694"/>
      <c r="BU205" s="694"/>
      <c r="BV205" s="694" t="s">
        <v>68</v>
      </c>
      <c r="BW205" s="13"/>
      <c r="BX205" s="13"/>
      <c r="BY205" s="13"/>
      <c r="BZ205" s="13"/>
      <c r="CA205" s="13"/>
      <c r="CB205" s="1221" t="s">
        <v>1563</v>
      </c>
      <c r="CC205" s="321" t="s">
        <v>459</v>
      </c>
      <c r="CD205" s="561"/>
      <c r="CE205" s="561"/>
      <c r="CF205" s="561"/>
      <c r="CG205" s="561"/>
      <c r="CH205" s="561"/>
      <c r="CI205" s="561"/>
      <c r="CJ205" s="561"/>
      <c r="CK205" s="12"/>
    </row>
    <row r="206" spans="2:89" customFormat="1" ht="90" hidden="1" customHeight="1">
      <c r="B206" s="22"/>
      <c r="C206" s="22"/>
      <c r="D206" s="22"/>
      <c r="E206" s="22"/>
      <c r="F206" s="22"/>
      <c r="G206" s="915">
        <v>42867</v>
      </c>
      <c r="H206" s="915"/>
      <c r="I206" s="329">
        <v>43013</v>
      </c>
      <c r="J206" s="16">
        <v>2016</v>
      </c>
      <c r="K206" s="1415"/>
      <c r="L206" s="1415"/>
      <c r="M206" s="318" t="s">
        <v>163</v>
      </c>
      <c r="N206" s="322" t="s">
        <v>688</v>
      </c>
      <c r="O206" s="2" t="s">
        <v>467</v>
      </c>
      <c r="P206" s="320" t="s">
        <v>543</v>
      </c>
      <c r="Q206" s="320" t="s">
        <v>4824</v>
      </c>
      <c r="R206" s="4">
        <v>259860</v>
      </c>
      <c r="S206" s="6">
        <v>42583</v>
      </c>
      <c r="T206" s="5" t="s">
        <v>68</v>
      </c>
      <c r="U206" s="11" t="s">
        <v>68</v>
      </c>
      <c r="V206" s="13" t="s">
        <v>68</v>
      </c>
      <c r="W206" s="33" t="s">
        <v>68</v>
      </c>
      <c r="X206" s="18" t="s">
        <v>68</v>
      </c>
      <c r="Y206" s="200" t="s">
        <v>68</v>
      </c>
      <c r="Z206" s="368"/>
      <c r="AA206" s="130" t="s">
        <v>68</v>
      </c>
      <c r="AB206" s="74"/>
      <c r="AC206" s="75"/>
      <c r="AD206" s="4"/>
      <c r="AE206" s="32"/>
      <c r="AF206" s="34" t="s">
        <v>68</v>
      </c>
      <c r="AG206" s="112" t="s">
        <v>68</v>
      </c>
      <c r="AH206" s="112" t="s">
        <v>68</v>
      </c>
      <c r="AI206" s="7" t="s">
        <v>68</v>
      </c>
      <c r="AJ206" s="215" t="s">
        <v>68</v>
      </c>
      <c r="AK206" s="349" t="s">
        <v>68</v>
      </c>
      <c r="AL206" s="1"/>
      <c r="AM206" s="5"/>
      <c r="AN206" s="1"/>
      <c r="AO206" s="5"/>
      <c r="AP206" s="1"/>
      <c r="AQ206" s="1"/>
      <c r="AR206" s="279"/>
      <c r="AS206" s="35">
        <v>0</v>
      </c>
      <c r="AT206" s="895">
        <v>0</v>
      </c>
      <c r="AU206" s="884"/>
      <c r="AV206" s="350" t="s">
        <v>68</v>
      </c>
      <c r="AW206" s="11"/>
      <c r="AX206" s="223" t="s">
        <v>68</v>
      </c>
      <c r="AY206" s="224" t="s">
        <v>68</v>
      </c>
      <c r="AZ206" s="19" t="s">
        <v>68</v>
      </c>
      <c r="BA206" s="1"/>
      <c r="BB206" s="1"/>
      <c r="BC206" s="17"/>
      <c r="BD206" s="350" t="s">
        <v>68</v>
      </c>
      <c r="BE206" s="1620"/>
      <c r="BF206" s="1"/>
      <c r="BG206" s="1"/>
      <c r="BH206" s="1"/>
      <c r="BI206" s="36"/>
      <c r="BJ206" s="13" t="s">
        <v>68</v>
      </c>
      <c r="BK206" s="352"/>
      <c r="BL206" s="694" t="s">
        <v>68</v>
      </c>
      <c r="BM206" s="695" t="s">
        <v>68</v>
      </c>
      <c r="BN206" s="695" t="s">
        <v>68</v>
      </c>
      <c r="BO206" s="694"/>
      <c r="BP206" s="694"/>
      <c r="BQ206" s="694"/>
      <c r="BR206" s="694"/>
      <c r="BS206" s="694"/>
      <c r="BT206" s="694"/>
      <c r="BU206" s="694"/>
      <c r="BV206" s="694" t="s">
        <v>68</v>
      </c>
      <c r="BW206" s="13"/>
      <c r="BX206" s="13"/>
      <c r="BY206" s="13"/>
      <c r="BZ206" s="13"/>
      <c r="CA206" s="13"/>
      <c r="CB206" s="1221" t="s">
        <v>1563</v>
      </c>
      <c r="CC206" s="321" t="s">
        <v>459</v>
      </c>
      <c r="CD206" s="561"/>
      <c r="CE206" s="561"/>
      <c r="CF206" s="561"/>
      <c r="CG206" s="561"/>
      <c r="CH206" s="561"/>
      <c r="CI206" s="561"/>
      <c r="CJ206" s="561"/>
      <c r="CK206" s="12"/>
    </row>
    <row r="207" spans="2:89" customFormat="1" ht="111.75" hidden="1" customHeight="1">
      <c r="B207" s="22"/>
      <c r="C207" s="22"/>
      <c r="D207" s="22"/>
      <c r="E207" s="22"/>
      <c r="F207" s="22"/>
      <c r="G207" s="915"/>
      <c r="H207" s="915"/>
      <c r="I207" s="329"/>
      <c r="J207" s="16">
        <v>2017</v>
      </c>
      <c r="K207" s="1415"/>
      <c r="L207" s="1415"/>
      <c r="M207" s="318" t="s">
        <v>64</v>
      </c>
      <c r="N207" s="322" t="s">
        <v>3216</v>
      </c>
      <c r="O207" s="2" t="s">
        <v>467</v>
      </c>
      <c r="P207" s="320" t="s">
        <v>3217</v>
      </c>
      <c r="Q207" s="320" t="s">
        <v>1975</v>
      </c>
      <c r="R207" s="79">
        <v>2068965.52</v>
      </c>
      <c r="S207" s="67">
        <v>42898</v>
      </c>
      <c r="T207" s="5" t="s">
        <v>68</v>
      </c>
      <c r="U207" s="11" t="s">
        <v>68</v>
      </c>
      <c r="V207" s="13" t="s">
        <v>68</v>
      </c>
      <c r="W207" s="33" t="s">
        <v>1177</v>
      </c>
      <c r="X207" s="18" t="s">
        <v>68</v>
      </c>
      <c r="Y207" s="200" t="s">
        <v>68</v>
      </c>
      <c r="Z207" s="368"/>
      <c r="AA207" s="619"/>
      <c r="AB207" s="74"/>
      <c r="AC207" s="75"/>
      <c r="AD207" s="4"/>
      <c r="AE207" s="32"/>
      <c r="AF207" s="34" t="s">
        <v>68</v>
      </c>
      <c r="AG207" s="112" t="s">
        <v>68</v>
      </c>
      <c r="AH207" s="112" t="s">
        <v>68</v>
      </c>
      <c r="AI207" s="7" t="s">
        <v>68</v>
      </c>
      <c r="AJ207" s="215" t="s">
        <v>68</v>
      </c>
      <c r="AK207" s="349" t="s">
        <v>68</v>
      </c>
      <c r="AL207" s="1"/>
      <c r="AM207" s="5"/>
      <c r="AN207" s="1"/>
      <c r="AO207" s="5"/>
      <c r="AP207" s="1"/>
      <c r="AQ207" s="1"/>
      <c r="AR207" s="279"/>
      <c r="AS207" s="35">
        <v>0</v>
      </c>
      <c r="AT207" s="895">
        <v>0</v>
      </c>
      <c r="AU207" s="884"/>
      <c r="AV207" s="350" t="s">
        <v>68</v>
      </c>
      <c r="AW207" s="11"/>
      <c r="AX207" s="223" t="s">
        <v>68</v>
      </c>
      <c r="AY207" s="224" t="s">
        <v>68</v>
      </c>
      <c r="AZ207" s="19" t="s">
        <v>68</v>
      </c>
      <c r="BA207" s="1"/>
      <c r="BB207" s="1"/>
      <c r="BC207" s="17"/>
      <c r="BD207" s="350" t="s">
        <v>68</v>
      </c>
      <c r="BE207" s="1620"/>
      <c r="BF207" s="1"/>
      <c r="BG207" s="1"/>
      <c r="BH207" s="1"/>
      <c r="BI207" s="36"/>
      <c r="BJ207" s="13" t="s">
        <v>68</v>
      </c>
      <c r="BK207" s="352"/>
      <c r="BL207" s="694" t="s">
        <v>68</v>
      </c>
      <c r="BM207" s="695" t="s">
        <v>68</v>
      </c>
      <c r="BN207" s="695" t="s">
        <v>68</v>
      </c>
      <c r="BO207" s="694"/>
      <c r="BP207" s="694"/>
      <c r="BQ207" s="694"/>
      <c r="BR207" s="694"/>
      <c r="BS207" s="694"/>
      <c r="BT207" s="694"/>
      <c r="BU207" s="694"/>
      <c r="BV207" s="694"/>
      <c r="BW207" s="13"/>
      <c r="BX207" s="13"/>
      <c r="BY207" s="13"/>
      <c r="BZ207" s="13"/>
      <c r="CA207" s="13"/>
      <c r="CB207" s="1221" t="s">
        <v>1563</v>
      </c>
      <c r="CC207" s="586" t="s">
        <v>454</v>
      </c>
      <c r="CD207" s="561"/>
      <c r="CE207" s="561"/>
      <c r="CF207" s="561"/>
      <c r="CG207" s="561"/>
      <c r="CH207" s="561"/>
      <c r="CI207" s="561"/>
      <c r="CJ207" s="561"/>
      <c r="CK207" s="12"/>
    </row>
    <row r="208" spans="2:89" customFormat="1" ht="111.75" hidden="1" customHeight="1">
      <c r="B208" s="22"/>
      <c r="C208" s="22"/>
      <c r="D208" s="22"/>
      <c r="E208" s="22"/>
      <c r="F208" s="22"/>
      <c r="G208" s="915"/>
      <c r="H208" s="915"/>
      <c r="I208" s="329"/>
      <c r="J208" s="16">
        <v>2017</v>
      </c>
      <c r="K208" s="1415"/>
      <c r="L208" s="1415"/>
      <c r="M208" s="318" t="s">
        <v>867</v>
      </c>
      <c r="N208" s="322" t="s">
        <v>68</v>
      </c>
      <c r="O208" s="2" t="s">
        <v>467</v>
      </c>
      <c r="P208" s="320" t="s">
        <v>3218</v>
      </c>
      <c r="Q208" s="320" t="s">
        <v>1975</v>
      </c>
      <c r="R208" s="4">
        <v>2940000</v>
      </c>
      <c r="S208" s="6">
        <v>42879</v>
      </c>
      <c r="T208" s="5" t="s">
        <v>68</v>
      </c>
      <c r="U208" s="11" t="s">
        <v>68</v>
      </c>
      <c r="V208" s="13" t="s">
        <v>68</v>
      </c>
      <c r="W208" s="33" t="s">
        <v>1177</v>
      </c>
      <c r="X208" s="18" t="s">
        <v>68</v>
      </c>
      <c r="Y208" s="200" t="s">
        <v>68</v>
      </c>
      <c r="Z208" s="368"/>
      <c r="AA208" s="619"/>
      <c r="AB208" s="74"/>
      <c r="AC208" s="75"/>
      <c r="AD208" s="4"/>
      <c r="AE208" s="32"/>
      <c r="AF208" s="34" t="s">
        <v>68</v>
      </c>
      <c r="AG208" s="112" t="s">
        <v>68</v>
      </c>
      <c r="AH208" s="112" t="s">
        <v>68</v>
      </c>
      <c r="AI208" s="7" t="s">
        <v>68</v>
      </c>
      <c r="AJ208" s="215" t="s">
        <v>68</v>
      </c>
      <c r="AK208" s="349" t="s">
        <v>68</v>
      </c>
      <c r="AL208" s="1"/>
      <c r="AM208" s="5"/>
      <c r="AN208" s="1"/>
      <c r="AO208" s="5"/>
      <c r="AP208" s="1"/>
      <c r="AQ208" s="1"/>
      <c r="AR208" s="279"/>
      <c r="AS208" s="35">
        <v>0</v>
      </c>
      <c r="AT208" s="895">
        <v>0</v>
      </c>
      <c r="AU208" s="884"/>
      <c r="AV208" s="350" t="s">
        <v>68</v>
      </c>
      <c r="AW208" s="11"/>
      <c r="AX208" s="223" t="s">
        <v>68</v>
      </c>
      <c r="AY208" s="224" t="s">
        <v>68</v>
      </c>
      <c r="AZ208" s="19" t="s">
        <v>68</v>
      </c>
      <c r="BA208" s="1"/>
      <c r="BB208" s="1"/>
      <c r="BC208" s="17"/>
      <c r="BD208" s="350" t="s">
        <v>68</v>
      </c>
      <c r="BE208" s="1620"/>
      <c r="BF208" s="1"/>
      <c r="BG208" s="1"/>
      <c r="BH208" s="1"/>
      <c r="BI208" s="36"/>
      <c r="BJ208" s="13" t="s">
        <v>68</v>
      </c>
      <c r="BK208" s="352"/>
      <c r="BL208" s="694" t="s">
        <v>68</v>
      </c>
      <c r="BM208" s="695" t="s">
        <v>68</v>
      </c>
      <c r="BN208" s="695" t="s">
        <v>68</v>
      </c>
      <c r="BO208" s="694"/>
      <c r="BP208" s="694"/>
      <c r="BQ208" s="694"/>
      <c r="BR208" s="694"/>
      <c r="BS208" s="694"/>
      <c r="BT208" s="694"/>
      <c r="BU208" s="694"/>
      <c r="BV208" s="694"/>
      <c r="BW208" s="13"/>
      <c r="BX208" s="13"/>
      <c r="BY208" s="13"/>
      <c r="BZ208" s="13"/>
      <c r="CA208" s="13"/>
      <c r="CB208" s="1221" t="s">
        <v>1563</v>
      </c>
      <c r="CC208" s="586" t="s">
        <v>454</v>
      </c>
      <c r="CD208" s="561"/>
      <c r="CE208" s="561"/>
      <c r="CF208" s="561"/>
      <c r="CG208" s="561"/>
      <c r="CH208" s="561"/>
      <c r="CI208" s="561"/>
      <c r="CJ208" s="561"/>
      <c r="CK208" s="12"/>
    </row>
    <row r="209" spans="2:91" customFormat="1" ht="111.75" hidden="1" customHeight="1">
      <c r="B209" s="22"/>
      <c r="C209" s="22"/>
      <c r="D209" s="22"/>
      <c r="E209" s="22"/>
      <c r="F209" s="22"/>
      <c r="G209" s="915"/>
      <c r="H209" s="915"/>
      <c r="I209" s="329"/>
      <c r="J209" s="16">
        <v>2017</v>
      </c>
      <c r="K209" s="1415"/>
      <c r="L209" s="1415"/>
      <c r="M209" s="318" t="s">
        <v>3221</v>
      </c>
      <c r="N209" s="322" t="s">
        <v>3221</v>
      </c>
      <c r="O209" s="2" t="s">
        <v>467</v>
      </c>
      <c r="P209" s="320" t="s">
        <v>68</v>
      </c>
      <c r="Q209" s="320"/>
      <c r="R209" s="4">
        <v>2910056.73</v>
      </c>
      <c r="S209" s="6">
        <v>42863</v>
      </c>
      <c r="T209" s="5" t="s">
        <v>68</v>
      </c>
      <c r="U209" s="11" t="s">
        <v>68</v>
      </c>
      <c r="V209" s="13" t="s">
        <v>68</v>
      </c>
      <c r="W209" s="33" t="s">
        <v>1177</v>
      </c>
      <c r="X209" s="18" t="s">
        <v>68</v>
      </c>
      <c r="Y209" s="200" t="s">
        <v>68</v>
      </c>
      <c r="Z209" s="368"/>
      <c r="AA209" s="619"/>
      <c r="AB209" s="74"/>
      <c r="AC209" s="75"/>
      <c r="AD209" s="4"/>
      <c r="AE209" s="32"/>
      <c r="AF209" s="34" t="s">
        <v>68</v>
      </c>
      <c r="AG209" s="112" t="s">
        <v>68</v>
      </c>
      <c r="AH209" s="112" t="s">
        <v>68</v>
      </c>
      <c r="AI209" s="7" t="s">
        <v>68</v>
      </c>
      <c r="AJ209" s="215" t="s">
        <v>68</v>
      </c>
      <c r="AK209" s="349" t="s">
        <v>68</v>
      </c>
      <c r="AL209" s="1"/>
      <c r="AM209" s="5"/>
      <c r="AN209" s="1"/>
      <c r="AO209" s="5"/>
      <c r="AP209" s="1"/>
      <c r="AQ209" s="1"/>
      <c r="AR209" s="279"/>
      <c r="AS209" s="35">
        <v>0</v>
      </c>
      <c r="AT209" s="895">
        <v>0</v>
      </c>
      <c r="AU209" s="884"/>
      <c r="AV209" s="350" t="s">
        <v>68</v>
      </c>
      <c r="AW209" s="11"/>
      <c r="AX209" s="223" t="s">
        <v>68</v>
      </c>
      <c r="AY209" s="224" t="s">
        <v>68</v>
      </c>
      <c r="AZ209" s="19" t="s">
        <v>68</v>
      </c>
      <c r="BA209" s="1"/>
      <c r="BB209" s="1"/>
      <c r="BC209" s="17"/>
      <c r="BD209" s="350" t="s">
        <v>68</v>
      </c>
      <c r="BE209" s="1620"/>
      <c r="BF209" s="1"/>
      <c r="BG209" s="1"/>
      <c r="BH209" s="1"/>
      <c r="BI209" s="36"/>
      <c r="BJ209" s="13" t="s">
        <v>68</v>
      </c>
      <c r="BK209" s="352"/>
      <c r="BL209" s="694" t="s">
        <v>68</v>
      </c>
      <c r="BM209" s="695" t="s">
        <v>68</v>
      </c>
      <c r="BN209" s="695" t="s">
        <v>68</v>
      </c>
      <c r="BO209" s="694"/>
      <c r="BP209" s="694"/>
      <c r="BQ209" s="694"/>
      <c r="BR209" s="694"/>
      <c r="BS209" s="694"/>
      <c r="BT209" s="694"/>
      <c r="BU209" s="694"/>
      <c r="BV209" s="694"/>
      <c r="BW209" s="13"/>
      <c r="BX209" s="13"/>
      <c r="BY209" s="13"/>
      <c r="BZ209" s="13"/>
      <c r="CA209" s="13"/>
      <c r="CB209" s="1221" t="s">
        <v>1563</v>
      </c>
      <c r="CC209" s="586" t="s">
        <v>454</v>
      </c>
      <c r="CD209" s="561"/>
      <c r="CE209" s="561"/>
      <c r="CF209" s="561"/>
      <c r="CG209" s="561"/>
      <c r="CH209" s="561"/>
      <c r="CI209" s="561"/>
      <c r="CJ209" s="561"/>
      <c r="CK209" s="12"/>
    </row>
    <row r="210" spans="2:91" customFormat="1" ht="408.75" hidden="1" customHeight="1">
      <c r="B210" s="22"/>
      <c r="C210" s="22"/>
      <c r="D210" s="22"/>
      <c r="E210" s="22"/>
      <c r="F210" s="22"/>
      <c r="G210" s="915"/>
      <c r="H210" s="915"/>
      <c r="I210" s="329"/>
      <c r="J210" s="16">
        <v>2017</v>
      </c>
      <c r="K210" s="1415"/>
      <c r="L210" s="1415"/>
      <c r="M210" s="318" t="s">
        <v>3221</v>
      </c>
      <c r="N210" s="322" t="s">
        <v>3222</v>
      </c>
      <c r="O210" s="2" t="s">
        <v>467</v>
      </c>
      <c r="P210" s="320" t="s">
        <v>3225</v>
      </c>
      <c r="Q210" s="320" t="s">
        <v>1975</v>
      </c>
      <c r="R210" s="4">
        <v>3089943.27</v>
      </c>
      <c r="S210" s="6">
        <v>42885</v>
      </c>
      <c r="T210" s="5" t="s">
        <v>68</v>
      </c>
      <c r="U210" s="11" t="s">
        <v>68</v>
      </c>
      <c r="V210" s="13" t="s">
        <v>68</v>
      </c>
      <c r="W210" s="33" t="s">
        <v>1177</v>
      </c>
      <c r="X210" s="18" t="s">
        <v>68</v>
      </c>
      <c r="Y210" s="200" t="s">
        <v>68</v>
      </c>
      <c r="Z210" s="368"/>
      <c r="AA210" s="619"/>
      <c r="AB210" s="74"/>
      <c r="AC210" s="75"/>
      <c r="AD210" s="4"/>
      <c r="AE210" s="32"/>
      <c r="AF210" s="34" t="s">
        <v>68</v>
      </c>
      <c r="AG210" s="112" t="s">
        <v>68</v>
      </c>
      <c r="AH210" s="112" t="s">
        <v>68</v>
      </c>
      <c r="AI210" s="7" t="s">
        <v>68</v>
      </c>
      <c r="AJ210" s="215" t="s">
        <v>68</v>
      </c>
      <c r="AK210" s="349" t="s">
        <v>68</v>
      </c>
      <c r="AL210" s="1"/>
      <c r="AM210" s="5"/>
      <c r="AN210" s="1"/>
      <c r="AO210" s="5"/>
      <c r="AP210" s="1"/>
      <c r="AQ210" s="1"/>
      <c r="AR210" s="279"/>
      <c r="AS210" s="35">
        <v>0</v>
      </c>
      <c r="AT210" s="895">
        <v>0</v>
      </c>
      <c r="AU210" s="884"/>
      <c r="AV210" s="350" t="s">
        <v>68</v>
      </c>
      <c r="AW210" s="11"/>
      <c r="AX210" s="223" t="s">
        <v>68</v>
      </c>
      <c r="AY210" s="224" t="s">
        <v>68</v>
      </c>
      <c r="AZ210" s="19" t="s">
        <v>68</v>
      </c>
      <c r="BA210" s="1"/>
      <c r="BB210" s="1"/>
      <c r="BC210" s="17"/>
      <c r="BD210" s="350" t="s">
        <v>68</v>
      </c>
      <c r="BE210" s="1620"/>
      <c r="BF210" s="1"/>
      <c r="BG210" s="1"/>
      <c r="BH210" s="1"/>
      <c r="BI210" s="36"/>
      <c r="BJ210" s="13" t="s">
        <v>68</v>
      </c>
      <c r="BK210" s="352"/>
      <c r="BL210" s="694" t="s">
        <v>68</v>
      </c>
      <c r="BM210" s="695" t="s">
        <v>68</v>
      </c>
      <c r="BN210" s="695" t="s">
        <v>68</v>
      </c>
      <c r="BO210" s="694"/>
      <c r="BP210" s="694"/>
      <c r="BQ210" s="694"/>
      <c r="BR210" s="694"/>
      <c r="BS210" s="694"/>
      <c r="BT210" s="694"/>
      <c r="BU210" s="694"/>
      <c r="BV210" s="694"/>
      <c r="BW210" s="13"/>
      <c r="BX210" s="13"/>
      <c r="BY210" s="13"/>
      <c r="BZ210" s="13"/>
      <c r="CA210" s="13"/>
      <c r="CB210" s="1221" t="s">
        <v>1563</v>
      </c>
      <c r="CC210" s="586" t="s">
        <v>454</v>
      </c>
      <c r="CD210" s="561"/>
      <c r="CE210" s="561"/>
      <c r="CF210" s="561"/>
      <c r="CG210" s="561"/>
      <c r="CH210" s="561"/>
      <c r="CI210" s="561"/>
      <c r="CJ210" s="561"/>
      <c r="CK210" s="12"/>
    </row>
    <row r="211" spans="2:91" customFormat="1" ht="160.5" hidden="1" customHeight="1">
      <c r="B211" s="22"/>
      <c r="C211" s="22"/>
      <c r="D211" s="22"/>
      <c r="E211" s="22" t="s">
        <v>68</v>
      </c>
      <c r="F211" s="22"/>
      <c r="G211" s="915">
        <v>43244</v>
      </c>
      <c r="H211" s="915"/>
      <c r="I211" s="329"/>
      <c r="J211" s="16">
        <v>2017</v>
      </c>
      <c r="K211" s="1415"/>
      <c r="L211" s="1415"/>
      <c r="M211" s="18" t="s">
        <v>166</v>
      </c>
      <c r="N211" s="33" t="s">
        <v>689</v>
      </c>
      <c r="O211" s="2" t="s">
        <v>4032</v>
      </c>
      <c r="P211" s="3" t="s">
        <v>690</v>
      </c>
      <c r="Q211" s="3" t="s">
        <v>1975</v>
      </c>
      <c r="R211" s="4">
        <v>162823.91</v>
      </c>
      <c r="S211" s="67">
        <v>42755</v>
      </c>
      <c r="T211" s="5">
        <v>42740</v>
      </c>
      <c r="U211" s="11">
        <v>42746</v>
      </c>
      <c r="V211" s="62" t="s">
        <v>68</v>
      </c>
      <c r="W211" s="19" t="s">
        <v>1177</v>
      </c>
      <c r="X211" s="18" t="s">
        <v>213</v>
      </c>
      <c r="Y211" s="675" t="s">
        <v>68</v>
      </c>
      <c r="Z211" s="1370"/>
      <c r="AA211" s="33" t="s">
        <v>691</v>
      </c>
      <c r="AB211" s="596">
        <v>42804</v>
      </c>
      <c r="AC211" s="4">
        <v>162823.91</v>
      </c>
      <c r="AD211" s="4"/>
      <c r="AE211" s="32"/>
      <c r="AF211" s="34" t="s">
        <v>68</v>
      </c>
      <c r="AG211" s="112" t="s">
        <v>68</v>
      </c>
      <c r="AH211" s="112" t="s">
        <v>68</v>
      </c>
      <c r="AI211" s="7" t="s">
        <v>68</v>
      </c>
      <c r="AJ211" s="215" t="s">
        <v>68</v>
      </c>
      <c r="AK211" s="33" t="s">
        <v>68</v>
      </c>
      <c r="AL211" s="1" t="s">
        <v>68</v>
      </c>
      <c r="AM211" s="1"/>
      <c r="AN211" s="1" t="s">
        <v>68</v>
      </c>
      <c r="AO211" s="1"/>
      <c r="AP211" s="1" t="s">
        <v>68</v>
      </c>
      <c r="AQ211" s="1"/>
      <c r="AR211" s="279">
        <v>0</v>
      </c>
      <c r="AS211" s="462">
        <v>30600</v>
      </c>
      <c r="AT211" s="544">
        <v>100961.34</v>
      </c>
      <c r="AU211" s="340"/>
      <c r="AV211" s="350" t="s">
        <v>68</v>
      </c>
      <c r="AW211" s="11"/>
      <c r="AX211" s="223"/>
      <c r="AY211" s="52"/>
      <c r="AZ211" s="66" t="s">
        <v>692</v>
      </c>
      <c r="BA211" s="5">
        <v>42740</v>
      </c>
      <c r="BB211" s="5">
        <v>42746</v>
      </c>
      <c r="BC211" s="5">
        <v>42882</v>
      </c>
      <c r="BD211" s="66" t="s">
        <v>692</v>
      </c>
      <c r="BE211" s="1423"/>
      <c r="BF211" s="5">
        <v>42740</v>
      </c>
      <c r="BG211" s="5">
        <v>42746</v>
      </c>
      <c r="BH211" s="5">
        <v>42882</v>
      </c>
      <c r="BI211" s="36">
        <f>AS211+AT211</f>
        <v>131561.34</v>
      </c>
      <c r="BJ211" s="13" t="s">
        <v>68</v>
      </c>
      <c r="BK211" s="22"/>
      <c r="BL211" s="105"/>
      <c r="BM211" s="5"/>
      <c r="BN211" s="5"/>
      <c r="BO211" s="52"/>
      <c r="BP211" s="52"/>
      <c r="BQ211" s="52"/>
      <c r="BR211" s="52"/>
      <c r="BS211" s="52"/>
      <c r="BT211" s="52"/>
      <c r="BU211" s="52"/>
      <c r="BV211" s="53"/>
      <c r="BW211" s="13"/>
      <c r="BX211" s="13"/>
      <c r="BY211" s="13"/>
      <c r="BZ211" s="13"/>
      <c r="CA211" s="13"/>
      <c r="CB211" s="1221" t="s">
        <v>1563</v>
      </c>
      <c r="CC211" s="321" t="s">
        <v>459</v>
      </c>
      <c r="CD211" s="513"/>
      <c r="CE211" s="513"/>
      <c r="CF211" s="513"/>
      <c r="CG211" s="513"/>
      <c r="CH211" s="513"/>
      <c r="CI211" s="513"/>
      <c r="CJ211" s="513"/>
      <c r="CK211" s="12"/>
    </row>
    <row r="212" spans="2:91" customFormat="1" ht="93" hidden="1" customHeight="1">
      <c r="B212" s="22"/>
      <c r="C212" s="22"/>
      <c r="D212" s="22"/>
      <c r="E212" s="22" t="s">
        <v>68</v>
      </c>
      <c r="F212" s="22"/>
      <c r="G212" s="915">
        <v>43067</v>
      </c>
      <c r="H212" s="915"/>
      <c r="I212" s="329"/>
      <c r="J212" s="16">
        <v>2017</v>
      </c>
      <c r="K212" s="1415"/>
      <c r="L212" s="1415"/>
      <c r="M212" s="18" t="s">
        <v>166</v>
      </c>
      <c r="N212" s="33" t="s">
        <v>693</v>
      </c>
      <c r="O212" s="2" t="s">
        <v>4032</v>
      </c>
      <c r="P212" s="3" t="s">
        <v>694</v>
      </c>
      <c r="Q212" s="3" t="s">
        <v>4409</v>
      </c>
      <c r="R212" s="4">
        <v>313594.21000000002</v>
      </c>
      <c r="S212" s="6">
        <v>42872</v>
      </c>
      <c r="T212" s="5">
        <v>42893</v>
      </c>
      <c r="U212" s="11">
        <v>43046</v>
      </c>
      <c r="V212" s="62" t="s">
        <v>68</v>
      </c>
      <c r="W212" s="19" t="s">
        <v>1177</v>
      </c>
      <c r="X212" s="18" t="s">
        <v>213</v>
      </c>
      <c r="Y212" s="461" t="s">
        <v>74</v>
      </c>
      <c r="Z212" s="1371"/>
      <c r="AA212" s="33" t="s">
        <v>695</v>
      </c>
      <c r="AB212" s="8">
        <v>42854</v>
      </c>
      <c r="AC212" s="4">
        <v>313594.21000000002</v>
      </c>
      <c r="AD212" s="4"/>
      <c r="AE212" s="32"/>
      <c r="AF212" s="34" t="s">
        <v>68</v>
      </c>
      <c r="AG212" s="112" t="s">
        <v>68</v>
      </c>
      <c r="AH212" s="112" t="s">
        <v>68</v>
      </c>
      <c r="AI212" s="7" t="s">
        <v>68</v>
      </c>
      <c r="AJ212" s="215" t="s">
        <v>68</v>
      </c>
      <c r="AK212" s="33" t="s">
        <v>68</v>
      </c>
      <c r="AL212" s="1" t="s">
        <v>68</v>
      </c>
      <c r="AM212" s="1"/>
      <c r="AN212" s="1" t="s">
        <v>68</v>
      </c>
      <c r="AO212" s="1"/>
      <c r="AP212" s="1" t="s">
        <v>68</v>
      </c>
      <c r="AQ212" s="1"/>
      <c r="AR212" s="279">
        <v>0</v>
      </c>
      <c r="AS212" s="462">
        <v>93000</v>
      </c>
      <c r="AT212" s="544">
        <v>58338.45</v>
      </c>
      <c r="AU212" s="340"/>
      <c r="AV212" s="66" t="s">
        <v>74</v>
      </c>
      <c r="AW212" s="11"/>
      <c r="AX212" s="223" t="s">
        <v>68</v>
      </c>
      <c r="AY212" s="52"/>
      <c r="AZ212" s="66" t="s">
        <v>692</v>
      </c>
      <c r="BA212" s="5">
        <v>42893</v>
      </c>
      <c r="BB212" s="5">
        <v>43046</v>
      </c>
      <c r="BC212" s="632"/>
      <c r="BD212" s="66" t="s">
        <v>692</v>
      </c>
      <c r="BE212" s="1423"/>
      <c r="BF212" s="5">
        <v>42893</v>
      </c>
      <c r="BG212" s="5">
        <v>43046</v>
      </c>
      <c r="BH212" s="474"/>
      <c r="BI212" s="36">
        <f>AS212+AT212</f>
        <v>151338.45000000001</v>
      </c>
      <c r="BJ212" s="13" t="s">
        <v>68</v>
      </c>
      <c r="BK212" s="22"/>
      <c r="BL212" s="105"/>
      <c r="BM212" s="5"/>
      <c r="BN212" s="5"/>
      <c r="BO212" s="52"/>
      <c r="BP212" s="52"/>
      <c r="BQ212" s="52"/>
      <c r="BR212" s="52"/>
      <c r="BS212" s="52"/>
      <c r="BT212" s="52"/>
      <c r="BU212" s="52"/>
      <c r="BV212" s="53"/>
      <c r="BW212" s="13"/>
      <c r="BX212" s="13"/>
      <c r="BY212" s="13"/>
      <c r="BZ212" s="13"/>
      <c r="CA212" s="13"/>
      <c r="CB212" s="1221" t="s">
        <v>1563</v>
      </c>
      <c r="CC212" s="321" t="s">
        <v>459</v>
      </c>
      <c r="CD212" s="513"/>
      <c r="CE212" s="513"/>
      <c r="CF212" s="513"/>
      <c r="CG212" s="513"/>
      <c r="CH212" s="513"/>
      <c r="CI212" s="513"/>
      <c r="CJ212" s="513"/>
      <c r="CK212" s="12"/>
    </row>
    <row r="213" spans="2:91" customFormat="1" ht="84.75" hidden="1" customHeight="1">
      <c r="B213" s="22"/>
      <c r="C213" s="22"/>
      <c r="D213" s="22"/>
      <c r="E213" s="22" t="s">
        <v>68</v>
      </c>
      <c r="F213" s="22"/>
      <c r="G213" s="915">
        <v>43347</v>
      </c>
      <c r="H213" s="915"/>
      <c r="I213" s="329">
        <v>43352</v>
      </c>
      <c r="J213" s="16">
        <v>2017</v>
      </c>
      <c r="K213" s="1415"/>
      <c r="L213" s="1415"/>
      <c r="M213" s="18" t="s">
        <v>166</v>
      </c>
      <c r="N213" s="33" t="s">
        <v>696</v>
      </c>
      <c r="O213" s="2" t="s">
        <v>4032</v>
      </c>
      <c r="P213" s="3" t="s">
        <v>697</v>
      </c>
      <c r="Q213" s="3" t="s">
        <v>4410</v>
      </c>
      <c r="R213" s="4">
        <v>129065</v>
      </c>
      <c r="S213" s="6">
        <v>42947</v>
      </c>
      <c r="T213" s="5">
        <v>42948</v>
      </c>
      <c r="U213" s="11">
        <v>42959</v>
      </c>
      <c r="V213" s="13" t="s">
        <v>68</v>
      </c>
      <c r="W213" s="19" t="s">
        <v>1177</v>
      </c>
      <c r="X213" s="18" t="s">
        <v>114</v>
      </c>
      <c r="Y213" s="200" t="s">
        <v>68</v>
      </c>
      <c r="Z213" s="368"/>
      <c r="AA213" s="115" t="s">
        <v>698</v>
      </c>
      <c r="AB213" s="8">
        <v>42947</v>
      </c>
      <c r="AC213" s="4">
        <v>129065</v>
      </c>
      <c r="AD213" s="4"/>
      <c r="AE213" s="32"/>
      <c r="AF213" s="34" t="s">
        <v>68</v>
      </c>
      <c r="AG213" s="112" t="s">
        <v>68</v>
      </c>
      <c r="AH213" s="112" t="s">
        <v>68</v>
      </c>
      <c r="AI213" s="7" t="s">
        <v>68</v>
      </c>
      <c r="AJ213" s="215" t="s">
        <v>68</v>
      </c>
      <c r="AK213" s="33" t="s">
        <v>68</v>
      </c>
      <c r="AL213" s="1" t="s">
        <v>68</v>
      </c>
      <c r="AM213" s="1"/>
      <c r="AN213" s="1" t="s">
        <v>68</v>
      </c>
      <c r="AO213" s="1"/>
      <c r="AP213" s="1" t="s">
        <v>68</v>
      </c>
      <c r="AQ213" s="1"/>
      <c r="AR213" s="279">
        <v>0</v>
      </c>
      <c r="AS213" s="35">
        <v>50496</v>
      </c>
      <c r="AT213" s="895">
        <v>93513.45</v>
      </c>
      <c r="AU213" s="646"/>
      <c r="AV213" s="669" t="s">
        <v>68</v>
      </c>
      <c r="AW213" s="11"/>
      <c r="AX213" s="223" t="s">
        <v>68</v>
      </c>
      <c r="AY213" s="52"/>
      <c r="AZ213" s="66" t="s">
        <v>692</v>
      </c>
      <c r="BA213" s="5">
        <v>42947</v>
      </c>
      <c r="BB213" s="5">
        <v>42948</v>
      </c>
      <c r="BC213" s="5">
        <v>42965</v>
      </c>
      <c r="BD213" s="66" t="s">
        <v>692</v>
      </c>
      <c r="BE213" s="1423"/>
      <c r="BF213" s="5">
        <v>42947</v>
      </c>
      <c r="BG213" s="5">
        <v>42948</v>
      </c>
      <c r="BH213" s="5">
        <v>42965</v>
      </c>
      <c r="BI213" s="36">
        <f>AS213+AT213</f>
        <v>144009.45000000001</v>
      </c>
      <c r="BJ213" s="13" t="s">
        <v>68</v>
      </c>
      <c r="BK213" s="22"/>
      <c r="BL213" s="105"/>
      <c r="BM213" s="5"/>
      <c r="BN213" s="5"/>
      <c r="BO213" s="52"/>
      <c r="BP213" s="52"/>
      <c r="BQ213" s="52"/>
      <c r="BR213" s="52"/>
      <c r="BS213" s="52"/>
      <c r="BT213" s="52"/>
      <c r="BU213" s="52"/>
      <c r="BV213" s="53"/>
      <c r="BW213" s="13"/>
      <c r="BX213" s="13"/>
      <c r="BY213" s="13"/>
      <c r="BZ213" s="13"/>
      <c r="CA213" s="13"/>
      <c r="CB213" s="1221" t="s">
        <v>1563</v>
      </c>
      <c r="CC213" s="321" t="s">
        <v>459</v>
      </c>
      <c r="CD213" s="513"/>
      <c r="CE213" s="513"/>
      <c r="CF213" s="513"/>
      <c r="CG213" s="513"/>
      <c r="CH213" s="513"/>
      <c r="CI213" s="513"/>
      <c r="CJ213" s="513"/>
      <c r="CK213" s="12"/>
    </row>
    <row r="214" spans="2:91" customFormat="1" ht="118.5" hidden="1" customHeight="1">
      <c r="B214" s="22"/>
      <c r="C214" s="22"/>
      <c r="D214" s="22"/>
      <c r="E214" s="22" t="s">
        <v>68</v>
      </c>
      <c r="F214" s="22"/>
      <c r="G214" s="915">
        <v>43244</v>
      </c>
      <c r="H214" s="915"/>
      <c r="I214" s="329"/>
      <c r="J214" s="16">
        <v>2017</v>
      </c>
      <c r="K214" s="1415"/>
      <c r="L214" s="1415"/>
      <c r="M214" s="18" t="s">
        <v>166</v>
      </c>
      <c r="N214" s="33" t="s">
        <v>699</v>
      </c>
      <c r="O214" s="2" t="s">
        <v>4032</v>
      </c>
      <c r="P214" s="3" t="s">
        <v>700</v>
      </c>
      <c r="Q214" s="3" t="s">
        <v>4409</v>
      </c>
      <c r="R214" s="4">
        <v>75540.72</v>
      </c>
      <c r="S214" s="6">
        <v>42947</v>
      </c>
      <c r="T214" s="5">
        <v>42947</v>
      </c>
      <c r="U214" s="11">
        <v>42959</v>
      </c>
      <c r="V214" s="13" t="s">
        <v>68</v>
      </c>
      <c r="W214" s="19" t="s">
        <v>1177</v>
      </c>
      <c r="X214" s="18" t="s">
        <v>114</v>
      </c>
      <c r="Y214" s="200" t="s">
        <v>68</v>
      </c>
      <c r="Z214" s="368"/>
      <c r="AA214" s="115" t="s">
        <v>701</v>
      </c>
      <c r="AB214" s="8">
        <v>42915</v>
      </c>
      <c r="AC214" s="4">
        <v>75540.72</v>
      </c>
      <c r="AD214" s="4"/>
      <c r="AE214" s="32"/>
      <c r="AF214" s="34" t="s">
        <v>68</v>
      </c>
      <c r="AG214" s="112" t="s">
        <v>68</v>
      </c>
      <c r="AH214" s="112" t="s">
        <v>68</v>
      </c>
      <c r="AI214" s="7" t="s">
        <v>68</v>
      </c>
      <c r="AJ214" s="215" t="s">
        <v>68</v>
      </c>
      <c r="AK214" s="33" t="s">
        <v>68</v>
      </c>
      <c r="AL214" s="1" t="s">
        <v>68</v>
      </c>
      <c r="AM214" s="1"/>
      <c r="AN214" s="1" t="s">
        <v>68</v>
      </c>
      <c r="AO214" s="1"/>
      <c r="AP214" s="1" t="s">
        <v>68</v>
      </c>
      <c r="AQ214" s="1"/>
      <c r="AR214" s="279">
        <v>0</v>
      </c>
      <c r="AS214" s="35">
        <v>21483.8</v>
      </c>
      <c r="AT214" s="895">
        <v>50743.12</v>
      </c>
      <c r="AU214" s="646"/>
      <c r="AV214" s="350" t="s">
        <v>68</v>
      </c>
      <c r="AW214" s="11"/>
      <c r="AX214" s="223" t="s">
        <v>68</v>
      </c>
      <c r="AY214" s="52" t="s">
        <v>702</v>
      </c>
      <c r="AZ214" s="30">
        <v>42961</v>
      </c>
      <c r="BA214" s="5">
        <v>42947</v>
      </c>
      <c r="BB214" s="1" t="s">
        <v>68</v>
      </c>
      <c r="BC214" s="11">
        <v>42959</v>
      </c>
      <c r="BD214" s="30">
        <v>42963</v>
      </c>
      <c r="BE214" s="309"/>
      <c r="BF214" s="5">
        <v>42947</v>
      </c>
      <c r="BG214" s="1" t="s">
        <v>68</v>
      </c>
      <c r="BH214" s="5">
        <v>42959</v>
      </c>
      <c r="BI214" s="36">
        <v>72199.95</v>
      </c>
      <c r="BJ214" s="13" t="s">
        <v>68</v>
      </c>
      <c r="BK214" s="22"/>
      <c r="BL214" s="105"/>
      <c r="BM214" s="5"/>
      <c r="BN214" s="5"/>
      <c r="BO214" s="52"/>
      <c r="BP214" s="52"/>
      <c r="BQ214" s="52"/>
      <c r="BR214" s="52"/>
      <c r="BS214" s="52"/>
      <c r="BT214" s="52"/>
      <c r="BU214" s="52"/>
      <c r="BV214" s="53"/>
      <c r="BW214" s="13"/>
      <c r="BX214" s="13"/>
      <c r="BY214" s="13"/>
      <c r="BZ214" s="13"/>
      <c r="CA214" s="13"/>
      <c r="CB214" s="1221" t="s">
        <v>1563</v>
      </c>
      <c r="CC214" s="586" t="s">
        <v>454</v>
      </c>
      <c r="CD214" s="513"/>
      <c r="CE214" s="513"/>
      <c r="CF214" s="513"/>
      <c r="CG214" s="513"/>
      <c r="CH214" s="513"/>
      <c r="CI214" s="513"/>
      <c r="CJ214" s="513"/>
      <c r="CK214" s="12"/>
      <c r="CM214" s="593"/>
    </row>
    <row r="215" spans="2:91" customFormat="1" ht="97.5" hidden="1" customHeight="1">
      <c r="B215" s="22"/>
      <c r="C215" s="22"/>
      <c r="D215" s="22"/>
      <c r="E215" s="22" t="s">
        <v>68</v>
      </c>
      <c r="F215" s="22"/>
      <c r="G215" s="915">
        <v>43153</v>
      </c>
      <c r="H215" s="915"/>
      <c r="I215" s="329"/>
      <c r="J215" s="16">
        <v>2017</v>
      </c>
      <c r="K215" s="1415"/>
      <c r="L215" s="1415"/>
      <c r="M215" s="18" t="s">
        <v>166</v>
      </c>
      <c r="N215" s="33" t="s">
        <v>703</v>
      </c>
      <c r="O215" s="2" t="s">
        <v>4032</v>
      </c>
      <c r="P215" s="3" t="s">
        <v>704</v>
      </c>
      <c r="Q215" s="3" t="s">
        <v>2515</v>
      </c>
      <c r="R215" s="4">
        <v>266570.25</v>
      </c>
      <c r="S215" s="6">
        <v>42947</v>
      </c>
      <c r="T215" s="5">
        <v>42947</v>
      </c>
      <c r="U215" s="11">
        <v>43008</v>
      </c>
      <c r="V215" s="13" t="s">
        <v>68</v>
      </c>
      <c r="W215" s="19" t="s">
        <v>1177</v>
      </c>
      <c r="X215" s="170" t="s">
        <v>449</v>
      </c>
      <c r="Y215" s="200" t="s">
        <v>68</v>
      </c>
      <c r="Z215" s="368"/>
      <c r="AA215" s="115" t="s">
        <v>705</v>
      </c>
      <c r="AB215" s="8">
        <v>42947</v>
      </c>
      <c r="AC215" s="4">
        <v>266570.25</v>
      </c>
      <c r="AD215" s="4"/>
      <c r="AE215" s="32"/>
      <c r="AF215" s="34" t="s">
        <v>68</v>
      </c>
      <c r="AG215" s="112" t="s">
        <v>68</v>
      </c>
      <c r="AH215" s="112" t="s">
        <v>68</v>
      </c>
      <c r="AI215" s="7" t="s">
        <v>68</v>
      </c>
      <c r="AJ215" s="215" t="s">
        <v>68</v>
      </c>
      <c r="AK215" s="33" t="s">
        <v>68</v>
      </c>
      <c r="AL215" s="1" t="s">
        <v>68</v>
      </c>
      <c r="AM215" s="1"/>
      <c r="AN215" s="1" t="s">
        <v>68</v>
      </c>
      <c r="AO215" s="1"/>
      <c r="AP215" s="1" t="s">
        <v>68</v>
      </c>
      <c r="AQ215" s="1"/>
      <c r="AR215" s="279">
        <v>0</v>
      </c>
      <c r="AS215" s="66"/>
      <c r="AT215" s="902"/>
      <c r="AU215" s="891"/>
      <c r="AV215" s="66" t="s">
        <v>74</v>
      </c>
      <c r="AW215" s="11"/>
      <c r="AX215" s="223" t="s">
        <v>68</v>
      </c>
      <c r="AY215" s="52"/>
      <c r="AZ215" s="66" t="s">
        <v>692</v>
      </c>
      <c r="BA215" s="5">
        <v>42947</v>
      </c>
      <c r="BB215" s="5">
        <v>43008</v>
      </c>
      <c r="BC215" s="632"/>
      <c r="BD215" s="66" t="s">
        <v>692</v>
      </c>
      <c r="BE215" s="1423"/>
      <c r="BF215" s="5">
        <v>42947</v>
      </c>
      <c r="BG215" s="5">
        <v>43008</v>
      </c>
      <c r="BH215" s="474"/>
      <c r="BI215" s="64">
        <f>AS215+AT215</f>
        <v>0</v>
      </c>
      <c r="BJ215" s="13" t="s">
        <v>68</v>
      </c>
      <c r="BK215" s="22"/>
      <c r="BL215" s="105"/>
      <c r="BM215" s="5"/>
      <c r="BN215" s="5"/>
      <c r="BO215" s="52"/>
      <c r="BP215" s="52"/>
      <c r="BQ215" s="52"/>
      <c r="BR215" s="52"/>
      <c r="BS215" s="52"/>
      <c r="BT215" s="52"/>
      <c r="BU215" s="52"/>
      <c r="BV215" s="53"/>
      <c r="BW215" s="13"/>
      <c r="BX215" s="13"/>
      <c r="BY215" s="13"/>
      <c r="BZ215" s="13"/>
      <c r="CA215" s="13"/>
      <c r="CB215" s="1221" t="s">
        <v>1563</v>
      </c>
      <c r="CC215" s="321" t="s">
        <v>459</v>
      </c>
      <c r="CD215" s="513"/>
      <c r="CE215" s="2"/>
      <c r="CF215" s="2"/>
      <c r="CG215" s="2"/>
      <c r="CH215" s="2"/>
      <c r="CI215" s="2"/>
      <c r="CJ215" s="2"/>
      <c r="CK215" s="12"/>
    </row>
    <row r="216" spans="2:91" s="1050" customFormat="1" ht="30" hidden="1" customHeight="1">
      <c r="B216" s="1051"/>
      <c r="C216" s="1051"/>
      <c r="D216" s="1051"/>
      <c r="E216" s="1051"/>
      <c r="F216" s="1051"/>
      <c r="G216" s="553"/>
      <c r="H216" s="553"/>
      <c r="I216" s="553"/>
      <c r="J216" s="532">
        <v>2017</v>
      </c>
      <c r="K216" s="1418"/>
      <c r="L216" s="1418"/>
      <c r="M216" s="1464"/>
      <c r="N216" s="829" t="s">
        <v>706</v>
      </c>
      <c r="O216" s="186" t="s">
        <v>251</v>
      </c>
      <c r="P216" s="106"/>
      <c r="Q216" s="106"/>
      <c r="R216" s="1064"/>
      <c r="S216" s="1463"/>
      <c r="T216" s="1071"/>
      <c r="U216" s="1077"/>
      <c r="V216" s="1082" t="s">
        <v>68</v>
      </c>
      <c r="W216" s="829" t="s">
        <v>68</v>
      </c>
      <c r="X216" s="1464"/>
      <c r="Y216" s="1087" t="s">
        <v>68</v>
      </c>
      <c r="Z216" s="1378"/>
      <c r="AA216" s="308"/>
      <c r="AB216" s="1063"/>
      <c r="AC216" s="1064"/>
      <c r="AD216" s="1064"/>
      <c r="AE216" s="1065"/>
      <c r="AF216" s="1066" t="s">
        <v>68</v>
      </c>
      <c r="AG216" s="1067" t="s">
        <v>68</v>
      </c>
      <c r="AH216" s="1067" t="s">
        <v>68</v>
      </c>
      <c r="AI216" s="1068" t="s">
        <v>68</v>
      </c>
      <c r="AJ216" s="1466" t="s">
        <v>68</v>
      </c>
      <c r="AK216" s="308" t="s">
        <v>68</v>
      </c>
      <c r="AL216" s="1070" t="s">
        <v>68</v>
      </c>
      <c r="AM216" s="1070"/>
      <c r="AN216" s="1070" t="s">
        <v>68</v>
      </c>
      <c r="AO216" s="1070"/>
      <c r="AP216" s="1070" t="s">
        <v>68</v>
      </c>
      <c r="AQ216" s="1070"/>
      <c r="AR216" s="1072">
        <v>0</v>
      </c>
      <c r="AS216" s="1076"/>
      <c r="AT216" s="1074"/>
      <c r="AU216" s="1075"/>
      <c r="AV216" s="1479" t="s">
        <v>74</v>
      </c>
      <c r="AW216" s="1077"/>
      <c r="AX216" s="1078" t="s">
        <v>68</v>
      </c>
      <c r="AY216" s="1079"/>
      <c r="AZ216" s="1479" t="s">
        <v>74</v>
      </c>
      <c r="BA216" s="1070"/>
      <c r="BB216" s="1070"/>
      <c r="BC216" s="1080"/>
      <c r="BD216" s="1479" t="s">
        <v>74</v>
      </c>
      <c r="BE216" s="1621"/>
      <c r="BF216" s="1070"/>
      <c r="BG216" s="1070"/>
      <c r="BH216" s="1070"/>
      <c r="BI216" s="1081"/>
      <c r="BJ216" s="1082" t="s">
        <v>68</v>
      </c>
      <c r="BK216" s="1051"/>
      <c r="BL216" s="1061"/>
      <c r="BM216" s="1071"/>
      <c r="BN216" s="1071"/>
      <c r="BO216" s="1079"/>
      <c r="BP216" s="1079"/>
      <c r="BQ216" s="1079"/>
      <c r="BR216" s="1079"/>
      <c r="BS216" s="1079"/>
      <c r="BT216" s="1079"/>
      <c r="BU216" s="1079"/>
      <c r="BV216" s="1475"/>
      <c r="BW216" s="1082"/>
      <c r="BX216" s="1082"/>
      <c r="BY216" s="1082"/>
      <c r="BZ216" s="1082"/>
      <c r="CA216" s="1082"/>
      <c r="CB216" s="1477" t="s">
        <v>1563</v>
      </c>
      <c r="CC216" s="126" t="s">
        <v>478</v>
      </c>
      <c r="CD216" s="516"/>
      <c r="CE216" s="516"/>
      <c r="CF216" s="516"/>
      <c r="CG216" s="516"/>
      <c r="CH216" s="516"/>
      <c r="CI216" s="516"/>
      <c r="CJ216" s="516"/>
      <c r="CK216" s="1473"/>
    </row>
    <row r="217" spans="2:91" customFormat="1" ht="80.25" hidden="1" customHeight="1">
      <c r="B217" s="22"/>
      <c r="C217" s="22"/>
      <c r="D217" s="22"/>
      <c r="E217" s="22" t="s">
        <v>68</v>
      </c>
      <c r="F217" s="22"/>
      <c r="G217" s="915">
        <v>43333</v>
      </c>
      <c r="H217" s="915"/>
      <c r="I217" s="329"/>
      <c r="J217" s="16">
        <v>2017</v>
      </c>
      <c r="K217" s="1415"/>
      <c r="L217" s="1415"/>
      <c r="M217" s="18" t="s">
        <v>166</v>
      </c>
      <c r="N217" s="33" t="s">
        <v>707</v>
      </c>
      <c r="O217" s="2" t="s">
        <v>4032</v>
      </c>
      <c r="P217" s="3" t="s">
        <v>708</v>
      </c>
      <c r="Q217" s="3" t="s">
        <v>2515</v>
      </c>
      <c r="R217" s="4">
        <v>80202.34</v>
      </c>
      <c r="S217" s="670">
        <v>43046</v>
      </c>
      <c r="T217" s="5">
        <v>43054</v>
      </c>
      <c r="U217" s="11">
        <v>43084</v>
      </c>
      <c r="V217" s="13" t="s">
        <v>68</v>
      </c>
      <c r="W217" s="19" t="s">
        <v>1177</v>
      </c>
      <c r="X217" s="671" t="s">
        <v>709</v>
      </c>
      <c r="Y217" s="200" t="s">
        <v>68</v>
      </c>
      <c r="Z217" s="368"/>
      <c r="AA217" s="33" t="s">
        <v>710</v>
      </c>
      <c r="AB217" s="8">
        <v>43045</v>
      </c>
      <c r="AC217" s="4">
        <v>80202.34</v>
      </c>
      <c r="AD217" s="4"/>
      <c r="AE217" s="32"/>
      <c r="AF217" s="34" t="s">
        <v>68</v>
      </c>
      <c r="AG217" s="112" t="s">
        <v>68</v>
      </c>
      <c r="AH217" s="112" t="s">
        <v>68</v>
      </c>
      <c r="AI217" s="7" t="s">
        <v>68</v>
      </c>
      <c r="AJ217" s="215" t="s">
        <v>68</v>
      </c>
      <c r="AK217" s="33" t="s">
        <v>68</v>
      </c>
      <c r="AL217" s="1" t="s">
        <v>68</v>
      </c>
      <c r="AM217" s="1"/>
      <c r="AN217" s="1" t="s">
        <v>68</v>
      </c>
      <c r="AO217" s="1"/>
      <c r="AP217" s="1" t="s">
        <v>68</v>
      </c>
      <c r="AQ217" s="1"/>
      <c r="AR217" s="279">
        <v>0</v>
      </c>
      <c r="AS217" s="462">
        <v>18552.240000000002</v>
      </c>
      <c r="AT217" s="544">
        <v>38895.050000000003</v>
      </c>
      <c r="AU217" s="340"/>
      <c r="AV217" s="350" t="s">
        <v>68</v>
      </c>
      <c r="AW217" s="11"/>
      <c r="AX217" s="223" t="s">
        <v>68</v>
      </c>
      <c r="AY217" s="52"/>
      <c r="AZ217" s="66" t="s">
        <v>692</v>
      </c>
      <c r="BA217" s="5">
        <v>43054</v>
      </c>
      <c r="BB217" s="5">
        <v>43084</v>
      </c>
      <c r="BC217" s="11">
        <v>43084</v>
      </c>
      <c r="BD217" s="66" t="s">
        <v>692</v>
      </c>
      <c r="BE217" s="1423"/>
      <c r="BF217" s="5">
        <v>43054</v>
      </c>
      <c r="BG217" s="5">
        <v>43084</v>
      </c>
      <c r="BH217" s="5">
        <v>43084</v>
      </c>
      <c r="BI217" s="36">
        <f>AS217+AT217</f>
        <v>57447.290000000008</v>
      </c>
      <c r="BJ217" s="13" t="s">
        <v>68</v>
      </c>
      <c r="BK217" s="22"/>
      <c r="BL217" s="105"/>
      <c r="BM217" s="5"/>
      <c r="BN217" s="5"/>
      <c r="BO217" s="52"/>
      <c r="BP217" s="52"/>
      <c r="BQ217" s="52"/>
      <c r="BR217" s="52"/>
      <c r="BS217" s="52"/>
      <c r="BT217" s="52"/>
      <c r="BU217" s="52"/>
      <c r="BV217" s="53"/>
      <c r="BW217" s="13"/>
      <c r="BX217" s="13"/>
      <c r="BY217" s="13"/>
      <c r="BZ217" s="13"/>
      <c r="CA217" s="13"/>
      <c r="CB217" s="1221" t="s">
        <v>1563</v>
      </c>
      <c r="CC217" s="321" t="s">
        <v>459</v>
      </c>
      <c r="CD217" s="513"/>
      <c r="CE217" s="513"/>
      <c r="CF217" s="513"/>
      <c r="CG217" s="513"/>
      <c r="CH217" s="513"/>
      <c r="CI217" s="513"/>
      <c r="CJ217" s="513"/>
      <c r="CK217" s="12"/>
    </row>
    <row r="218" spans="2:91" customFormat="1" ht="111.75" hidden="1" customHeight="1">
      <c r="B218" s="22"/>
      <c r="C218" s="22"/>
      <c r="D218" s="22"/>
      <c r="E218" s="22" t="s">
        <v>68</v>
      </c>
      <c r="F218" s="22"/>
      <c r="G218" s="915">
        <v>43147</v>
      </c>
      <c r="H218" s="915"/>
      <c r="I218" s="329"/>
      <c r="J218" s="16">
        <v>2017</v>
      </c>
      <c r="K218" s="1415"/>
      <c r="L218" s="1415"/>
      <c r="M218" s="18" t="s">
        <v>77</v>
      </c>
      <c r="N218" s="33" t="s">
        <v>711</v>
      </c>
      <c r="O218" s="2" t="s">
        <v>4032</v>
      </c>
      <c r="P218" s="3" t="s">
        <v>712</v>
      </c>
      <c r="Q218" s="3" t="s">
        <v>1975</v>
      </c>
      <c r="R218" s="4">
        <v>121598.89</v>
      </c>
      <c r="S218" s="6">
        <v>43054</v>
      </c>
      <c r="T218" s="5">
        <v>43052</v>
      </c>
      <c r="U218" s="11">
        <v>43066</v>
      </c>
      <c r="V218" s="13" t="s">
        <v>68</v>
      </c>
      <c r="W218" s="19" t="s">
        <v>1177</v>
      </c>
      <c r="X218" s="18" t="s">
        <v>563</v>
      </c>
      <c r="Y218" s="69" t="s">
        <v>74</v>
      </c>
      <c r="Z218" s="879"/>
      <c r="AA218" s="33" t="s">
        <v>713</v>
      </c>
      <c r="AB218" s="8">
        <v>42947</v>
      </c>
      <c r="AC218" s="4">
        <v>121598.89</v>
      </c>
      <c r="AD218" s="4"/>
      <c r="AE218" s="32"/>
      <c r="AF218" s="34" t="s">
        <v>68</v>
      </c>
      <c r="AG218" s="112" t="s">
        <v>68</v>
      </c>
      <c r="AH218" s="112" t="s">
        <v>68</v>
      </c>
      <c r="AI218" s="7" t="s">
        <v>68</v>
      </c>
      <c r="AJ218" s="215" t="s">
        <v>68</v>
      </c>
      <c r="AK218" s="33" t="s">
        <v>68</v>
      </c>
      <c r="AL218" s="1" t="s">
        <v>68</v>
      </c>
      <c r="AM218" s="1"/>
      <c r="AN218" s="1" t="s">
        <v>68</v>
      </c>
      <c r="AO218" s="1"/>
      <c r="AP218" s="1" t="s">
        <v>68</v>
      </c>
      <c r="AQ218" s="1"/>
      <c r="AR218" s="279">
        <v>0</v>
      </c>
      <c r="AS218" s="462">
        <v>13654.58</v>
      </c>
      <c r="AT218" s="901">
        <v>66337.600000000006</v>
      </c>
      <c r="AU218" s="890"/>
      <c r="AV218" s="350" t="s">
        <v>68</v>
      </c>
      <c r="AW218" s="11"/>
      <c r="AX218" s="223" t="s">
        <v>68</v>
      </c>
      <c r="AY218" s="457" t="s">
        <v>492</v>
      </c>
      <c r="AZ218" s="324">
        <v>43099</v>
      </c>
      <c r="BA218" s="325">
        <v>43052</v>
      </c>
      <c r="BB218" s="325">
        <v>43066</v>
      </c>
      <c r="BC218" s="11">
        <v>43099</v>
      </c>
      <c r="BD218" s="324">
        <v>43099</v>
      </c>
      <c r="BE218" s="1615"/>
      <c r="BF218" s="325">
        <v>43052</v>
      </c>
      <c r="BG218" s="325">
        <v>43066</v>
      </c>
      <c r="BH218" s="325">
        <v>43099</v>
      </c>
      <c r="BI218" s="326">
        <f>AS218+AT218</f>
        <v>79992.180000000008</v>
      </c>
      <c r="BJ218" s="13" t="s">
        <v>68</v>
      </c>
      <c r="BK218" s="22"/>
      <c r="BL218" s="105"/>
      <c r="BM218" s="5"/>
      <c r="BN218" s="5"/>
      <c r="BO218" s="52"/>
      <c r="BP218" s="52"/>
      <c r="BQ218" s="52"/>
      <c r="BR218" s="52"/>
      <c r="BS218" s="52"/>
      <c r="BT218" s="52"/>
      <c r="BU218" s="52"/>
      <c r="BV218" s="53"/>
      <c r="BW218" s="13"/>
      <c r="BX218" s="13"/>
      <c r="BY218" s="13"/>
      <c r="BZ218" s="13"/>
      <c r="CA218" s="13"/>
      <c r="CB218" s="1221" t="s">
        <v>1563</v>
      </c>
      <c r="CC218" s="586" t="s">
        <v>454</v>
      </c>
      <c r="CD218" s="513"/>
      <c r="CE218" s="513"/>
      <c r="CF218" s="513"/>
      <c r="CG218" s="513"/>
      <c r="CH218" s="513"/>
      <c r="CI218" s="513"/>
      <c r="CJ218" s="513"/>
      <c r="CK218" s="12"/>
      <c r="CM218" s="593"/>
    </row>
    <row r="219" spans="2:91" customFormat="1" ht="107.25" hidden="1" customHeight="1">
      <c r="B219" s="22"/>
      <c r="C219" s="22"/>
      <c r="D219" s="22"/>
      <c r="E219" s="22" t="s">
        <v>68</v>
      </c>
      <c r="F219" s="22"/>
      <c r="G219" s="915">
        <v>43251</v>
      </c>
      <c r="H219" s="915"/>
      <c r="I219" s="329"/>
      <c r="J219" s="16">
        <v>2017</v>
      </c>
      <c r="K219" s="1415"/>
      <c r="L219" s="1415"/>
      <c r="M219" s="18" t="s">
        <v>77</v>
      </c>
      <c r="N219" s="33" t="s">
        <v>714</v>
      </c>
      <c r="O219" s="2" t="s">
        <v>4032</v>
      </c>
      <c r="P219" s="3" t="s">
        <v>715</v>
      </c>
      <c r="Q219" s="3" t="s">
        <v>3623</v>
      </c>
      <c r="R219" s="4">
        <v>54161.63</v>
      </c>
      <c r="S219" s="67">
        <v>43078</v>
      </c>
      <c r="T219" s="5">
        <v>43078</v>
      </c>
      <c r="U219" s="11">
        <v>43099</v>
      </c>
      <c r="V219" s="13" t="s">
        <v>68</v>
      </c>
      <c r="W219" s="19" t="s">
        <v>1177</v>
      </c>
      <c r="X219" s="18" t="s">
        <v>563</v>
      </c>
      <c r="Y219" s="611">
        <v>43073</v>
      </c>
      <c r="Z219" s="1372"/>
      <c r="AA219" s="33" t="s">
        <v>716</v>
      </c>
      <c r="AB219" s="8">
        <v>43077</v>
      </c>
      <c r="AC219" s="4">
        <v>54161.63</v>
      </c>
      <c r="AD219" s="4"/>
      <c r="AE219" s="32"/>
      <c r="AF219" s="34" t="s">
        <v>68</v>
      </c>
      <c r="AG219" s="112" t="s">
        <v>68</v>
      </c>
      <c r="AH219" s="112" t="s">
        <v>68</v>
      </c>
      <c r="AI219" s="7" t="s">
        <v>68</v>
      </c>
      <c r="AJ219" s="215" t="s">
        <v>68</v>
      </c>
      <c r="AK219" s="33" t="s">
        <v>68</v>
      </c>
      <c r="AL219" s="1" t="s">
        <v>68</v>
      </c>
      <c r="AM219" s="1"/>
      <c r="AN219" s="1" t="s">
        <v>68</v>
      </c>
      <c r="AO219" s="1"/>
      <c r="AP219" s="1" t="s">
        <v>68</v>
      </c>
      <c r="AQ219" s="1"/>
      <c r="AR219" s="279">
        <v>0</v>
      </c>
      <c r="AS219" s="35">
        <v>14458.72</v>
      </c>
      <c r="AT219" s="901">
        <v>39678.15</v>
      </c>
      <c r="AU219" s="890"/>
      <c r="AV219" s="350" t="s">
        <v>68</v>
      </c>
      <c r="AW219" s="11"/>
      <c r="AX219" s="223" t="s">
        <v>68</v>
      </c>
      <c r="AY219" s="52"/>
      <c r="AZ219" s="30">
        <v>43099</v>
      </c>
      <c r="BA219" s="5">
        <v>43078</v>
      </c>
      <c r="BB219" s="5">
        <v>43099</v>
      </c>
      <c r="BC219" s="11">
        <v>43099</v>
      </c>
      <c r="BD219" s="30">
        <v>43099</v>
      </c>
      <c r="BE219" s="309"/>
      <c r="BF219" s="5">
        <v>43078</v>
      </c>
      <c r="BG219" s="5">
        <v>43099</v>
      </c>
      <c r="BH219" s="5">
        <v>43099</v>
      </c>
      <c r="BI219" s="36">
        <f>AS219+AT219</f>
        <v>54136.87</v>
      </c>
      <c r="BJ219" s="13" t="s">
        <v>68</v>
      </c>
      <c r="BK219" s="22"/>
      <c r="BL219" s="105"/>
      <c r="BM219" s="5"/>
      <c r="BN219" s="5"/>
      <c r="BO219" s="52"/>
      <c r="BP219" s="52"/>
      <c r="BQ219" s="52"/>
      <c r="BR219" s="52"/>
      <c r="BS219" s="52"/>
      <c r="BT219" s="52"/>
      <c r="BU219" s="52"/>
      <c r="BV219" s="53"/>
      <c r="BW219" s="13"/>
      <c r="BX219" s="13"/>
      <c r="BY219" s="13"/>
      <c r="BZ219" s="13"/>
      <c r="CA219" s="13"/>
      <c r="CB219" s="1221" t="s">
        <v>1563</v>
      </c>
      <c r="CC219" s="586" t="s">
        <v>454</v>
      </c>
      <c r="CD219" s="513"/>
      <c r="CE219" s="513"/>
      <c r="CF219" s="513"/>
      <c r="CG219" s="513"/>
      <c r="CH219" s="513"/>
      <c r="CI219" s="513"/>
      <c r="CJ219" s="513"/>
      <c r="CK219" s="12"/>
    </row>
    <row r="220" spans="2:91" customFormat="1" ht="100.5" hidden="1" customHeight="1">
      <c r="B220" s="22"/>
      <c r="C220" s="22"/>
      <c r="D220" s="22"/>
      <c r="E220" s="22" t="s">
        <v>68</v>
      </c>
      <c r="F220" s="22"/>
      <c r="G220" s="915">
        <v>43251</v>
      </c>
      <c r="H220" s="915"/>
      <c r="I220" s="329"/>
      <c r="J220" s="16">
        <v>2017</v>
      </c>
      <c r="K220" s="1415"/>
      <c r="L220" s="1415"/>
      <c r="M220" s="18" t="s">
        <v>77</v>
      </c>
      <c r="N220" s="33" t="s">
        <v>717</v>
      </c>
      <c r="O220" s="2" t="s">
        <v>4032</v>
      </c>
      <c r="P220" s="3" t="s">
        <v>718</v>
      </c>
      <c r="Q220" s="3" t="s">
        <v>3623</v>
      </c>
      <c r="R220" s="4">
        <v>72083.75</v>
      </c>
      <c r="S220" s="67">
        <v>43078</v>
      </c>
      <c r="T220" s="5">
        <v>43078</v>
      </c>
      <c r="U220" s="11">
        <v>43099</v>
      </c>
      <c r="V220" s="13" t="s">
        <v>68</v>
      </c>
      <c r="W220" s="19" t="s">
        <v>1177</v>
      </c>
      <c r="X220" s="18" t="s">
        <v>563</v>
      </c>
      <c r="Y220" s="611">
        <v>43073</v>
      </c>
      <c r="Z220" s="1372"/>
      <c r="AA220" s="33" t="s">
        <v>719</v>
      </c>
      <c r="AB220" s="8">
        <v>43077</v>
      </c>
      <c r="AC220" s="4">
        <v>72083.75</v>
      </c>
      <c r="AD220" s="4"/>
      <c r="AE220" s="32"/>
      <c r="AF220" s="34" t="s">
        <v>68</v>
      </c>
      <c r="AG220" s="112" t="s">
        <v>68</v>
      </c>
      <c r="AH220" s="112" t="s">
        <v>68</v>
      </c>
      <c r="AI220" s="7" t="s">
        <v>68</v>
      </c>
      <c r="AJ220" s="215" t="s">
        <v>68</v>
      </c>
      <c r="AK220" s="33" t="s">
        <v>68</v>
      </c>
      <c r="AL220" s="1" t="s">
        <v>68</v>
      </c>
      <c r="AM220" s="1"/>
      <c r="AN220" s="1" t="s">
        <v>68</v>
      </c>
      <c r="AO220" s="1"/>
      <c r="AP220" s="1" t="s">
        <v>68</v>
      </c>
      <c r="AQ220" s="1"/>
      <c r="AR220" s="279">
        <v>0</v>
      </c>
      <c r="AS220" s="35">
        <v>17279.54</v>
      </c>
      <c r="AT220" s="901">
        <v>39678.15</v>
      </c>
      <c r="AU220" s="890"/>
      <c r="AV220" s="350" t="s">
        <v>68</v>
      </c>
      <c r="AW220" s="11"/>
      <c r="AX220" s="223" t="s">
        <v>68</v>
      </c>
      <c r="AY220" s="52"/>
      <c r="AZ220" s="30">
        <v>43099</v>
      </c>
      <c r="BA220" s="5">
        <v>43078</v>
      </c>
      <c r="BB220" s="5">
        <v>43099</v>
      </c>
      <c r="BC220" s="11">
        <v>43099</v>
      </c>
      <c r="BD220" s="30">
        <v>43099</v>
      </c>
      <c r="BE220" s="309"/>
      <c r="BF220" s="5">
        <v>43078</v>
      </c>
      <c r="BG220" s="5">
        <v>43099</v>
      </c>
      <c r="BH220" s="5">
        <v>43099</v>
      </c>
      <c r="BI220" s="36">
        <f>AS220+AT220</f>
        <v>56957.69</v>
      </c>
      <c r="BJ220" s="13" t="s">
        <v>68</v>
      </c>
      <c r="BK220" s="22"/>
      <c r="BL220" s="105"/>
      <c r="BM220" s="5"/>
      <c r="BN220" s="5"/>
      <c r="BO220" s="52"/>
      <c r="BP220" s="52"/>
      <c r="BQ220" s="52"/>
      <c r="BR220" s="52"/>
      <c r="BS220" s="52"/>
      <c r="BT220" s="52"/>
      <c r="BU220" s="52"/>
      <c r="BV220" s="53"/>
      <c r="BW220" s="13"/>
      <c r="BX220" s="13"/>
      <c r="BY220" s="13"/>
      <c r="BZ220" s="13"/>
      <c r="CA220" s="13"/>
      <c r="CB220" s="1221" t="s">
        <v>1563</v>
      </c>
      <c r="CC220" s="586" t="s">
        <v>454</v>
      </c>
      <c r="CD220" s="513"/>
      <c r="CE220" s="513"/>
      <c r="CF220" s="513"/>
      <c r="CG220" s="513"/>
      <c r="CH220" s="513"/>
      <c r="CI220" s="513"/>
      <c r="CJ220" s="513"/>
      <c r="CK220" s="12"/>
    </row>
    <row r="221" spans="2:91" customFormat="1" ht="60" hidden="1" customHeight="1">
      <c r="B221" s="22"/>
      <c r="C221" s="22"/>
      <c r="D221" s="22"/>
      <c r="E221" s="22" t="s">
        <v>68</v>
      </c>
      <c r="F221" s="22"/>
      <c r="G221" s="915">
        <v>43339</v>
      </c>
      <c r="H221" s="915"/>
      <c r="I221" s="329">
        <v>43350</v>
      </c>
      <c r="J221" s="16">
        <v>2017</v>
      </c>
      <c r="K221" s="1415"/>
      <c r="L221" s="1415"/>
      <c r="M221" s="18" t="s">
        <v>166</v>
      </c>
      <c r="N221" s="33" t="s">
        <v>720</v>
      </c>
      <c r="O221" s="2" t="s">
        <v>4032</v>
      </c>
      <c r="P221" s="3" t="s">
        <v>721</v>
      </c>
      <c r="Q221" s="3" t="s">
        <v>4409</v>
      </c>
      <c r="R221" s="4">
        <v>574043.4</v>
      </c>
      <c r="S221" s="6">
        <v>42986</v>
      </c>
      <c r="T221" s="5">
        <v>42989</v>
      </c>
      <c r="U221" s="11">
        <v>43099</v>
      </c>
      <c r="V221" s="22" t="s">
        <v>68</v>
      </c>
      <c r="W221" s="19" t="s">
        <v>1177</v>
      </c>
      <c r="X221" s="18" t="s">
        <v>213</v>
      </c>
      <c r="Y221" s="200" t="s">
        <v>68</v>
      </c>
      <c r="Z221" s="368"/>
      <c r="AA221" s="115" t="s">
        <v>722</v>
      </c>
      <c r="AB221" s="8">
        <v>42854</v>
      </c>
      <c r="AC221" s="4">
        <v>574043.4</v>
      </c>
      <c r="AD221" s="4"/>
      <c r="AE221" s="32"/>
      <c r="AF221" s="34" t="s">
        <v>68</v>
      </c>
      <c r="AG221" s="112" t="s">
        <v>68</v>
      </c>
      <c r="AH221" s="112" t="s">
        <v>68</v>
      </c>
      <c r="AI221" s="7" t="s">
        <v>68</v>
      </c>
      <c r="AJ221" s="215" t="s">
        <v>68</v>
      </c>
      <c r="AK221" s="33" t="s">
        <v>68</v>
      </c>
      <c r="AL221" s="1" t="s">
        <v>68</v>
      </c>
      <c r="AM221" s="1"/>
      <c r="AN221" s="1" t="s">
        <v>68</v>
      </c>
      <c r="AO221" s="1"/>
      <c r="AP221" s="1" t="s">
        <v>68</v>
      </c>
      <c r="AQ221" s="1"/>
      <c r="AR221" s="279">
        <v>0</v>
      </c>
      <c r="AS221" s="568"/>
      <c r="AT221" s="903"/>
      <c r="AU221" s="892"/>
      <c r="AV221" s="337" t="s">
        <v>74</v>
      </c>
      <c r="AW221" s="11"/>
      <c r="AX221" s="223" t="s">
        <v>68</v>
      </c>
      <c r="AY221" s="52"/>
      <c r="AZ221" s="337" t="s">
        <v>692</v>
      </c>
      <c r="BA221" s="5">
        <v>42989</v>
      </c>
      <c r="BB221" s="5">
        <v>43099</v>
      </c>
      <c r="BC221" s="632"/>
      <c r="BD221" s="337" t="s">
        <v>692</v>
      </c>
      <c r="BE221" s="1619"/>
      <c r="BF221" s="5">
        <v>42989</v>
      </c>
      <c r="BG221" s="5">
        <v>43099</v>
      </c>
      <c r="BH221" s="474"/>
      <c r="BI221" s="64">
        <f>AS221+AT221</f>
        <v>0</v>
      </c>
      <c r="BJ221" s="13"/>
      <c r="BK221" s="22"/>
      <c r="BL221" s="105"/>
      <c r="BM221" s="5"/>
      <c r="BN221" s="5"/>
      <c r="BO221" s="52"/>
      <c r="BP221" s="52"/>
      <c r="BQ221" s="52"/>
      <c r="BR221" s="52"/>
      <c r="BS221" s="52"/>
      <c r="BT221" s="52"/>
      <c r="BU221" s="52"/>
      <c r="BV221" s="53"/>
      <c r="BW221" s="13"/>
      <c r="BX221" s="13"/>
      <c r="BY221" s="13"/>
      <c r="BZ221" s="13"/>
      <c r="CA221" s="13"/>
      <c r="CB221" s="1221" t="s">
        <v>1563</v>
      </c>
      <c r="CC221" s="321" t="s">
        <v>459</v>
      </c>
      <c r="CD221" s="513"/>
      <c r="CE221" s="513"/>
      <c r="CF221" s="513"/>
      <c r="CG221" s="513"/>
      <c r="CH221" s="513"/>
      <c r="CI221" s="513"/>
      <c r="CJ221" s="513"/>
      <c r="CK221" s="12"/>
    </row>
    <row r="222" spans="2:91" s="1050" customFormat="1" ht="60" hidden="1" customHeight="1">
      <c r="B222" s="1051"/>
      <c r="C222" s="1051"/>
      <c r="D222" s="1051"/>
      <c r="E222" s="1051"/>
      <c r="F222" s="1051"/>
      <c r="G222" s="553"/>
      <c r="H222" s="553"/>
      <c r="I222" s="553"/>
      <c r="J222" s="532">
        <v>2017</v>
      </c>
      <c r="K222" s="1418"/>
      <c r="L222" s="1418"/>
      <c r="M222" s="1464" t="s">
        <v>77</v>
      </c>
      <c r="N222" s="829" t="s">
        <v>723</v>
      </c>
      <c r="O222" s="185" t="s">
        <v>251</v>
      </c>
      <c r="P222" s="106" t="s">
        <v>724</v>
      </c>
      <c r="Q222" s="106"/>
      <c r="R222" s="1064">
        <v>46522.58</v>
      </c>
      <c r="S222" s="1463"/>
      <c r="T222" s="1071">
        <v>42979</v>
      </c>
      <c r="U222" s="1077">
        <v>42734</v>
      </c>
      <c r="V222" s="1051"/>
      <c r="W222" s="829" t="s">
        <v>68</v>
      </c>
      <c r="X222" s="1464"/>
      <c r="Y222" s="1087"/>
      <c r="Z222" s="1378"/>
      <c r="AA222" s="308"/>
      <c r="AB222" s="1063"/>
      <c r="AC222" s="1064"/>
      <c r="AD222" s="1064"/>
      <c r="AE222" s="1065"/>
      <c r="AF222" s="1066"/>
      <c r="AG222" s="1067"/>
      <c r="AH222" s="1067"/>
      <c r="AI222" s="1068"/>
      <c r="AJ222" s="1466"/>
      <c r="AK222" s="308" t="s">
        <v>68</v>
      </c>
      <c r="AL222" s="1070" t="s">
        <v>68</v>
      </c>
      <c r="AM222" s="1070"/>
      <c r="AN222" s="1070" t="s">
        <v>68</v>
      </c>
      <c r="AO222" s="1070"/>
      <c r="AP222" s="1070" t="s">
        <v>68</v>
      </c>
      <c r="AQ222" s="1070"/>
      <c r="AR222" s="1072">
        <v>0</v>
      </c>
      <c r="AS222" s="1073">
        <v>0</v>
      </c>
      <c r="AT222" s="1074"/>
      <c r="AU222" s="1075"/>
      <c r="AV222" s="1076"/>
      <c r="AW222" s="1077"/>
      <c r="AX222" s="1078"/>
      <c r="AY222" s="1478"/>
      <c r="AZ222" s="829"/>
      <c r="BA222" s="1070"/>
      <c r="BB222" s="1070"/>
      <c r="BC222" s="1080"/>
      <c r="BD222" s="829"/>
      <c r="BE222" s="1473"/>
      <c r="BF222" s="1070"/>
      <c r="BG222" s="1070"/>
      <c r="BH222" s="1070"/>
      <c r="BI222" s="1081"/>
      <c r="BJ222" s="1082"/>
      <c r="BK222" s="1051"/>
      <c r="BL222" s="1061"/>
      <c r="BM222" s="1071"/>
      <c r="BN222" s="1071"/>
      <c r="BO222" s="1079"/>
      <c r="BP222" s="1079"/>
      <c r="BQ222" s="1079"/>
      <c r="BR222" s="1079"/>
      <c r="BS222" s="1079"/>
      <c r="BT222" s="1079"/>
      <c r="BU222" s="1079"/>
      <c r="BV222" s="1475"/>
      <c r="BW222" s="1082"/>
      <c r="BX222" s="1082"/>
      <c r="BY222" s="1082"/>
      <c r="BZ222" s="1082"/>
      <c r="CA222" s="1082"/>
      <c r="CB222" s="1477" t="s">
        <v>1563</v>
      </c>
      <c r="CC222" s="126" t="s">
        <v>478</v>
      </c>
      <c r="CD222" s="516"/>
      <c r="CE222" s="516"/>
      <c r="CF222" s="516"/>
      <c r="CG222" s="516"/>
      <c r="CH222" s="516"/>
      <c r="CI222" s="516"/>
      <c r="CJ222" s="516"/>
      <c r="CK222" s="1473"/>
    </row>
    <row r="223" spans="2:91" s="1050" customFormat="1" ht="60" hidden="1" customHeight="1">
      <c r="B223" s="1051"/>
      <c r="C223" s="1051"/>
      <c r="D223" s="1051"/>
      <c r="E223" s="1051"/>
      <c r="F223" s="1051"/>
      <c r="G223" s="553"/>
      <c r="H223" s="553"/>
      <c r="I223" s="553"/>
      <c r="J223" s="532">
        <v>2017</v>
      </c>
      <c r="K223" s="1418"/>
      <c r="L223" s="1418"/>
      <c r="M223" s="1464" t="s">
        <v>77</v>
      </c>
      <c r="N223" s="829" t="s">
        <v>725</v>
      </c>
      <c r="O223" s="185" t="s">
        <v>251</v>
      </c>
      <c r="P223" s="106" t="s">
        <v>726</v>
      </c>
      <c r="Q223" s="106"/>
      <c r="R223" s="1064">
        <v>107544.91</v>
      </c>
      <c r="S223" s="1463"/>
      <c r="T223" s="1071">
        <v>43070</v>
      </c>
      <c r="U223" s="1077">
        <v>43099</v>
      </c>
      <c r="V223" s="1051"/>
      <c r="W223" s="829" t="s">
        <v>68</v>
      </c>
      <c r="X223" s="1464"/>
      <c r="Y223" s="1087"/>
      <c r="Z223" s="1378"/>
      <c r="AA223" s="308"/>
      <c r="AB223" s="1063"/>
      <c r="AC223" s="1064"/>
      <c r="AD223" s="1064"/>
      <c r="AE223" s="1065"/>
      <c r="AF223" s="1066"/>
      <c r="AG223" s="1067"/>
      <c r="AH223" s="1067"/>
      <c r="AI223" s="1068"/>
      <c r="AJ223" s="1466"/>
      <c r="AK223" s="308" t="s">
        <v>68</v>
      </c>
      <c r="AL223" s="1070" t="s">
        <v>68</v>
      </c>
      <c r="AM223" s="1070"/>
      <c r="AN223" s="1070" t="s">
        <v>68</v>
      </c>
      <c r="AO223" s="1070"/>
      <c r="AP223" s="1070" t="s">
        <v>68</v>
      </c>
      <c r="AQ223" s="1070"/>
      <c r="AR223" s="1072">
        <v>0</v>
      </c>
      <c r="AS223" s="1073">
        <v>0</v>
      </c>
      <c r="AT223" s="1074"/>
      <c r="AU223" s="1075"/>
      <c r="AV223" s="1076"/>
      <c r="AW223" s="1077"/>
      <c r="AX223" s="1078"/>
      <c r="AY223" s="1478"/>
      <c r="AZ223" s="829"/>
      <c r="BA223" s="1070"/>
      <c r="BB223" s="1070"/>
      <c r="BC223" s="1080"/>
      <c r="BD223" s="829"/>
      <c r="BE223" s="1473"/>
      <c r="BF223" s="1070"/>
      <c r="BG223" s="1070"/>
      <c r="BH223" s="1070"/>
      <c r="BI223" s="1081"/>
      <c r="BJ223" s="1082"/>
      <c r="BK223" s="1051"/>
      <c r="BL223" s="1061"/>
      <c r="BM223" s="1071"/>
      <c r="BN223" s="1071"/>
      <c r="BO223" s="1079"/>
      <c r="BP223" s="1079"/>
      <c r="BQ223" s="1079"/>
      <c r="BR223" s="1079"/>
      <c r="BS223" s="1079"/>
      <c r="BT223" s="1079"/>
      <c r="BU223" s="1079"/>
      <c r="BV223" s="1475"/>
      <c r="BW223" s="1082"/>
      <c r="BX223" s="1082"/>
      <c r="BY223" s="1082"/>
      <c r="BZ223" s="1082"/>
      <c r="CA223" s="1082"/>
      <c r="CB223" s="1477" t="s">
        <v>1563</v>
      </c>
      <c r="CC223" s="126" t="s">
        <v>478</v>
      </c>
      <c r="CD223" s="516"/>
      <c r="CE223" s="516"/>
      <c r="CF223" s="516"/>
      <c r="CG223" s="516"/>
      <c r="CH223" s="516"/>
      <c r="CI223" s="516"/>
      <c r="CJ223" s="516"/>
      <c r="CK223" s="1473"/>
    </row>
    <row r="224" spans="2:91" customFormat="1" ht="116.25" hidden="1" customHeight="1">
      <c r="B224" s="22"/>
      <c r="C224" s="22"/>
      <c r="D224" s="22"/>
      <c r="E224" s="22" t="s">
        <v>68</v>
      </c>
      <c r="F224" s="22"/>
      <c r="G224" s="915">
        <v>43348</v>
      </c>
      <c r="H224" s="915"/>
      <c r="I224" s="329">
        <v>43352</v>
      </c>
      <c r="J224" s="16">
        <v>2017</v>
      </c>
      <c r="K224" s="1415"/>
      <c r="L224" s="1415"/>
      <c r="M224" s="18" t="s">
        <v>166</v>
      </c>
      <c r="N224" s="33" t="s">
        <v>727</v>
      </c>
      <c r="O224" s="2" t="s">
        <v>4032</v>
      </c>
      <c r="P224" s="3" t="s">
        <v>728</v>
      </c>
      <c r="Q224" s="3" t="s">
        <v>1975</v>
      </c>
      <c r="R224" s="79">
        <v>60000</v>
      </c>
      <c r="S224" s="67">
        <v>43078</v>
      </c>
      <c r="T224" s="5">
        <v>43078</v>
      </c>
      <c r="U224" s="11">
        <v>43099</v>
      </c>
      <c r="V224" s="22" t="s">
        <v>68</v>
      </c>
      <c r="W224" s="19" t="s">
        <v>1177</v>
      </c>
      <c r="X224" s="18" t="s">
        <v>709</v>
      </c>
      <c r="Y224" s="200" t="s">
        <v>68</v>
      </c>
      <c r="Z224" s="368"/>
      <c r="AA224" s="33" t="s">
        <v>729</v>
      </c>
      <c r="AB224" s="8">
        <v>43077</v>
      </c>
      <c r="AC224" s="4">
        <v>40000</v>
      </c>
      <c r="AD224" s="4"/>
      <c r="AE224" s="32"/>
      <c r="AF224" s="34" t="s">
        <v>68</v>
      </c>
      <c r="AG224" s="112" t="s">
        <v>68</v>
      </c>
      <c r="AH224" s="112" t="s">
        <v>68</v>
      </c>
      <c r="AI224" s="7" t="s">
        <v>68</v>
      </c>
      <c r="AJ224" s="215" t="s">
        <v>68</v>
      </c>
      <c r="AK224" s="33" t="s">
        <v>68</v>
      </c>
      <c r="AL224" s="1" t="s">
        <v>68</v>
      </c>
      <c r="AM224" s="1"/>
      <c r="AN224" s="1" t="s">
        <v>68</v>
      </c>
      <c r="AO224" s="1"/>
      <c r="AP224" s="1" t="s">
        <v>68</v>
      </c>
      <c r="AQ224" s="1"/>
      <c r="AR224" s="279">
        <v>0</v>
      </c>
      <c r="AS224" s="568"/>
      <c r="AT224" s="903"/>
      <c r="AU224" s="892"/>
      <c r="AV224" s="350" t="s">
        <v>68</v>
      </c>
      <c r="AW224" s="11"/>
      <c r="AX224" s="223" t="s">
        <v>68</v>
      </c>
      <c r="AY224" s="224" t="s">
        <v>492</v>
      </c>
      <c r="AZ224" s="117" t="s">
        <v>692</v>
      </c>
      <c r="BA224" s="5">
        <v>43078</v>
      </c>
      <c r="BB224" s="5">
        <v>43099</v>
      </c>
      <c r="BC224" s="632"/>
      <c r="BD224" s="117" t="s">
        <v>692</v>
      </c>
      <c r="BE224" s="1622"/>
      <c r="BF224" s="5">
        <v>43078</v>
      </c>
      <c r="BG224" s="5">
        <v>43099</v>
      </c>
      <c r="BH224" s="219"/>
      <c r="BI224" s="64">
        <f>AS224+AT224</f>
        <v>0</v>
      </c>
      <c r="BJ224" s="13" t="s">
        <v>68</v>
      </c>
      <c r="BK224" s="22"/>
      <c r="BL224" s="105"/>
      <c r="BM224" s="5"/>
      <c r="BN224" s="5"/>
      <c r="BO224" s="52"/>
      <c r="BP224" s="52"/>
      <c r="BQ224" s="52"/>
      <c r="BR224" s="52"/>
      <c r="BS224" s="52"/>
      <c r="BT224" s="52"/>
      <c r="BU224" s="52"/>
      <c r="BV224" s="53"/>
      <c r="BW224" s="13"/>
      <c r="BX224" s="13"/>
      <c r="BY224" s="13"/>
      <c r="BZ224" s="13"/>
      <c r="CA224" s="13"/>
      <c r="CB224" s="1221" t="s">
        <v>1563</v>
      </c>
      <c r="CC224" s="321" t="s">
        <v>459</v>
      </c>
      <c r="CD224" s="513"/>
      <c r="CE224" s="513"/>
      <c r="CF224" s="513"/>
      <c r="CG224" s="513"/>
      <c r="CH224" s="513"/>
      <c r="CI224" s="513"/>
      <c r="CJ224" s="513"/>
      <c r="CK224" s="12"/>
    </row>
    <row r="225" spans="2:89" s="1050" customFormat="1" ht="60" hidden="1" customHeight="1">
      <c r="B225" s="1051"/>
      <c r="C225" s="1051"/>
      <c r="D225" s="1051"/>
      <c r="E225" s="1051"/>
      <c r="F225" s="1051"/>
      <c r="G225" s="553"/>
      <c r="H225" s="553"/>
      <c r="I225" s="553"/>
      <c r="J225" s="532">
        <v>2017</v>
      </c>
      <c r="K225" s="1418"/>
      <c r="L225" s="1418"/>
      <c r="M225" s="1464"/>
      <c r="N225" s="829" t="s">
        <v>730</v>
      </c>
      <c r="O225" s="185" t="s">
        <v>251</v>
      </c>
      <c r="P225" s="106"/>
      <c r="Q225" s="106"/>
      <c r="R225" s="1064"/>
      <c r="S225" s="1463"/>
      <c r="T225" s="1071"/>
      <c r="U225" s="1077"/>
      <c r="V225" s="1051"/>
      <c r="W225" s="829" t="s">
        <v>68</v>
      </c>
      <c r="X225" s="1464"/>
      <c r="Y225" s="1087"/>
      <c r="Z225" s="1378"/>
      <c r="AA225" s="308"/>
      <c r="AB225" s="1063"/>
      <c r="AC225" s="1064"/>
      <c r="AD225" s="1064"/>
      <c r="AE225" s="1065"/>
      <c r="AF225" s="1066"/>
      <c r="AG225" s="1067"/>
      <c r="AH225" s="1067"/>
      <c r="AI225" s="1068"/>
      <c r="AJ225" s="1466"/>
      <c r="AK225" s="308" t="s">
        <v>68</v>
      </c>
      <c r="AL225" s="1070" t="s">
        <v>68</v>
      </c>
      <c r="AM225" s="1070"/>
      <c r="AN225" s="1070" t="s">
        <v>68</v>
      </c>
      <c r="AO225" s="1070"/>
      <c r="AP225" s="1070" t="s">
        <v>68</v>
      </c>
      <c r="AQ225" s="1070"/>
      <c r="AR225" s="1072">
        <v>0</v>
      </c>
      <c r="AS225" s="1073">
        <v>0</v>
      </c>
      <c r="AT225" s="1074"/>
      <c r="AU225" s="1075"/>
      <c r="AV225" s="1479" t="s">
        <v>74</v>
      </c>
      <c r="AW225" s="1077"/>
      <c r="AX225" s="1078"/>
      <c r="AY225" s="1478"/>
      <c r="AZ225" s="829"/>
      <c r="BA225" s="1070"/>
      <c r="BB225" s="1070"/>
      <c r="BC225" s="1080"/>
      <c r="BD225" s="829"/>
      <c r="BE225" s="1473"/>
      <c r="BF225" s="1070"/>
      <c r="BG225" s="1070"/>
      <c r="BH225" s="1070"/>
      <c r="BI225" s="1081"/>
      <c r="BJ225" s="1082"/>
      <c r="BK225" s="1051"/>
      <c r="BL225" s="1061"/>
      <c r="BM225" s="1071"/>
      <c r="BN225" s="1071"/>
      <c r="BO225" s="1079"/>
      <c r="BP225" s="1079"/>
      <c r="BQ225" s="1079"/>
      <c r="BR225" s="1079"/>
      <c r="BS225" s="1079"/>
      <c r="BT225" s="1079"/>
      <c r="BU225" s="1079"/>
      <c r="BV225" s="1475"/>
      <c r="BW225" s="1082"/>
      <c r="BX225" s="1082"/>
      <c r="BY225" s="1082"/>
      <c r="BZ225" s="1082"/>
      <c r="CA225" s="1082"/>
      <c r="CB225" s="1477" t="s">
        <v>1563</v>
      </c>
      <c r="CC225" s="126" t="s">
        <v>478</v>
      </c>
      <c r="CD225" s="516"/>
      <c r="CE225" s="516"/>
      <c r="CF225" s="516"/>
      <c r="CG225" s="516"/>
      <c r="CH225" s="516"/>
      <c r="CI225" s="516"/>
      <c r="CJ225" s="516"/>
      <c r="CK225" s="1473"/>
    </row>
    <row r="226" spans="2:89" customFormat="1" ht="337.5" hidden="1" customHeight="1">
      <c r="B226" s="22"/>
      <c r="C226" s="22"/>
      <c r="D226" s="22"/>
      <c r="E226" s="22" t="s">
        <v>68</v>
      </c>
      <c r="F226" s="22"/>
      <c r="G226" s="915">
        <v>43077</v>
      </c>
      <c r="H226" s="915"/>
      <c r="I226" s="329">
        <v>42767</v>
      </c>
      <c r="J226" s="16">
        <v>2017</v>
      </c>
      <c r="K226" s="1415"/>
      <c r="L226" s="1415"/>
      <c r="M226" s="18" t="s">
        <v>166</v>
      </c>
      <c r="N226" s="33" t="s">
        <v>731</v>
      </c>
      <c r="O226" s="2" t="s">
        <v>79</v>
      </c>
      <c r="P226" s="3" t="s">
        <v>732</v>
      </c>
      <c r="Q226" s="3" t="s">
        <v>1975</v>
      </c>
      <c r="R226" s="4">
        <v>1499890.33</v>
      </c>
      <c r="S226" s="6">
        <v>42737</v>
      </c>
      <c r="T226" s="5">
        <v>42740</v>
      </c>
      <c r="U226" s="11">
        <v>42746</v>
      </c>
      <c r="V226" s="105">
        <v>42737</v>
      </c>
      <c r="W226" s="33" t="s">
        <v>733</v>
      </c>
      <c r="X226" s="18" t="s">
        <v>563</v>
      </c>
      <c r="Y226" s="200" t="s">
        <v>68</v>
      </c>
      <c r="Z226" s="368"/>
      <c r="AA226" s="33" t="s">
        <v>734</v>
      </c>
      <c r="AB226" s="540">
        <v>42739</v>
      </c>
      <c r="AC226" s="196">
        <v>2815943.3</v>
      </c>
      <c r="AD226" s="4"/>
      <c r="AE226" s="32"/>
      <c r="AF226" s="34" t="s">
        <v>68</v>
      </c>
      <c r="AG226" s="112" t="s">
        <v>68</v>
      </c>
      <c r="AH226" s="112" t="s">
        <v>68</v>
      </c>
      <c r="AI226" s="7" t="s">
        <v>68</v>
      </c>
      <c r="AJ226" s="215" t="s">
        <v>68</v>
      </c>
      <c r="AK226" s="339" t="s">
        <v>589</v>
      </c>
      <c r="AL226" s="1" t="s">
        <v>68</v>
      </c>
      <c r="AM226" s="5"/>
      <c r="AN226" s="1">
        <v>1788257</v>
      </c>
      <c r="AO226" s="5">
        <v>42740</v>
      </c>
      <c r="AP226" s="1">
        <v>1788260</v>
      </c>
      <c r="AQ226" s="5">
        <v>42746</v>
      </c>
      <c r="AR226" s="279">
        <f>149989.03*2</f>
        <v>299978.06</v>
      </c>
      <c r="AS226" s="35">
        <v>0</v>
      </c>
      <c r="AT226" s="900">
        <v>1499890.33</v>
      </c>
      <c r="AU226" s="889"/>
      <c r="AV226" s="345">
        <v>42741</v>
      </c>
      <c r="AW226" s="11">
        <v>42746</v>
      </c>
      <c r="AX226" s="223" t="s">
        <v>68</v>
      </c>
      <c r="AY226" s="224" t="s">
        <v>68</v>
      </c>
      <c r="AZ226" s="345">
        <v>42747</v>
      </c>
      <c r="BA226" s="5">
        <v>42740</v>
      </c>
      <c r="BB226" s="5">
        <v>42746</v>
      </c>
      <c r="BC226" s="11">
        <v>42746</v>
      </c>
      <c r="BD226" s="345">
        <v>42747</v>
      </c>
      <c r="BE226" s="1617"/>
      <c r="BF226" s="5">
        <v>42740</v>
      </c>
      <c r="BG226" s="5">
        <v>42746</v>
      </c>
      <c r="BH226" s="5">
        <v>42746</v>
      </c>
      <c r="BI226" s="36">
        <f>AS226+AT226</f>
        <v>1499890.33</v>
      </c>
      <c r="BJ226" s="62">
        <v>42748</v>
      </c>
      <c r="BK226" s="105"/>
      <c r="BL226" s="105"/>
      <c r="BM226" s="5"/>
      <c r="BN226" s="5"/>
      <c r="BO226" s="52"/>
      <c r="BP226" s="52"/>
      <c r="BQ226" s="52"/>
      <c r="BR226" s="52"/>
      <c r="BS226" s="52"/>
      <c r="BT226" s="52"/>
      <c r="BU226" s="52"/>
      <c r="BV226" s="53"/>
      <c r="BW226" s="13"/>
      <c r="BX226" s="13"/>
      <c r="BY226" s="13"/>
      <c r="BZ226" s="13"/>
      <c r="CA226" s="13"/>
      <c r="CB226" s="1221" t="s">
        <v>1563</v>
      </c>
      <c r="CC226" s="586" t="s">
        <v>454</v>
      </c>
      <c r="CD226" s="564"/>
      <c r="CE226" s="564"/>
      <c r="CF226" s="564"/>
      <c r="CG226" s="564"/>
      <c r="CH226" s="564"/>
      <c r="CI226" s="564"/>
      <c r="CJ226" s="564"/>
      <c r="CK226" s="12"/>
    </row>
    <row r="227" spans="2:89" customFormat="1" ht="305.25" hidden="1" customHeight="1">
      <c r="B227" s="22"/>
      <c r="C227" s="22"/>
      <c r="D227" s="22"/>
      <c r="E227" s="22" t="s">
        <v>68</v>
      </c>
      <c r="F227" s="22"/>
      <c r="G227" s="915">
        <v>43077</v>
      </c>
      <c r="H227" s="915"/>
      <c r="I227" s="329">
        <v>42767</v>
      </c>
      <c r="J227" s="16">
        <v>2017</v>
      </c>
      <c r="K227" s="1415"/>
      <c r="L227" s="1415"/>
      <c r="M227" s="18" t="s">
        <v>166</v>
      </c>
      <c r="N227" s="33" t="s">
        <v>735</v>
      </c>
      <c r="O227" s="2" t="s">
        <v>79</v>
      </c>
      <c r="P227" s="3" t="s">
        <v>736</v>
      </c>
      <c r="Q227" s="3" t="s">
        <v>1975</v>
      </c>
      <c r="R227" s="4">
        <v>1316020.1499999999</v>
      </c>
      <c r="S227" s="6">
        <v>42747</v>
      </c>
      <c r="T227" s="5">
        <v>42747</v>
      </c>
      <c r="U227" s="11">
        <v>42837</v>
      </c>
      <c r="V227" s="105">
        <v>42747</v>
      </c>
      <c r="W227" s="33" t="s">
        <v>733</v>
      </c>
      <c r="X227" s="18" t="s">
        <v>563</v>
      </c>
      <c r="Y227" s="200" t="s">
        <v>68</v>
      </c>
      <c r="Z227" s="368"/>
      <c r="AA227" s="33" t="s">
        <v>734</v>
      </c>
      <c r="AB227" s="540">
        <v>42739</v>
      </c>
      <c r="AC227" s="196">
        <v>2815943.3</v>
      </c>
      <c r="AD227" s="4"/>
      <c r="AE227" s="32"/>
      <c r="AF227" s="34" t="s">
        <v>68</v>
      </c>
      <c r="AG227" s="112" t="s">
        <v>68</v>
      </c>
      <c r="AH227" s="112" t="s">
        <v>68</v>
      </c>
      <c r="AI227" s="7" t="s">
        <v>68</v>
      </c>
      <c r="AJ227" s="215" t="s">
        <v>68</v>
      </c>
      <c r="AK227" s="339" t="s">
        <v>589</v>
      </c>
      <c r="AL227" s="1" t="s">
        <v>68</v>
      </c>
      <c r="AM227" s="5"/>
      <c r="AN227" s="1">
        <v>1789996</v>
      </c>
      <c r="AO227" s="5">
        <v>42747</v>
      </c>
      <c r="AP227" s="1">
        <v>1791140</v>
      </c>
      <c r="AQ227" s="5">
        <v>42781</v>
      </c>
      <c r="AR227" s="279">
        <f>131602.01+131602.01</f>
        <v>263204.02</v>
      </c>
      <c r="AS227" s="35">
        <v>0</v>
      </c>
      <c r="AT227" s="900">
        <v>1316020.1399999999</v>
      </c>
      <c r="AU227" s="889"/>
      <c r="AV227" s="345">
        <v>42748</v>
      </c>
      <c r="AW227" s="11">
        <v>42767</v>
      </c>
      <c r="AX227" s="223" t="s">
        <v>68</v>
      </c>
      <c r="AY227" s="224" t="s">
        <v>68</v>
      </c>
      <c r="AZ227" s="339">
        <v>42838</v>
      </c>
      <c r="BA227" s="5">
        <v>42747</v>
      </c>
      <c r="BB227" s="5">
        <v>42837</v>
      </c>
      <c r="BC227" s="11">
        <v>42837</v>
      </c>
      <c r="BD227" s="339">
        <v>42838</v>
      </c>
      <c r="BE227" s="1616"/>
      <c r="BF227" s="71">
        <v>42747</v>
      </c>
      <c r="BG227" s="71">
        <v>42837</v>
      </c>
      <c r="BH227" s="71">
        <v>42837</v>
      </c>
      <c r="BI227" s="129">
        <f>AS227+AT227+0.01</f>
        <v>1316020.1499999999</v>
      </c>
      <c r="BJ227" s="62">
        <v>42839</v>
      </c>
      <c r="BK227" s="105"/>
      <c r="BL227" s="105"/>
      <c r="BM227" s="5"/>
      <c r="BN227" s="5"/>
      <c r="BO227" s="52"/>
      <c r="BP227" s="52"/>
      <c r="BQ227" s="52"/>
      <c r="BR227" s="52"/>
      <c r="BS227" s="52"/>
      <c r="BT227" s="52"/>
      <c r="BU227" s="52"/>
      <c r="BV227" s="53"/>
      <c r="BW227" s="13"/>
      <c r="BX227" s="13"/>
      <c r="BY227" s="13"/>
      <c r="BZ227" s="13"/>
      <c r="CA227" s="13"/>
      <c r="CB227" s="1221" t="s">
        <v>1563</v>
      </c>
      <c r="CC227" s="586" t="s">
        <v>454</v>
      </c>
      <c r="CD227" s="513"/>
      <c r="CE227" s="513"/>
      <c r="CF227" s="513"/>
      <c r="CG227" s="513"/>
      <c r="CH227" s="513"/>
      <c r="CI227" s="513"/>
      <c r="CJ227" s="513"/>
      <c r="CK227" s="12"/>
    </row>
    <row r="228" spans="2:89" customFormat="1" ht="77.25" hidden="1" customHeight="1">
      <c r="B228" s="22"/>
      <c r="C228" s="22"/>
      <c r="D228" s="22"/>
      <c r="E228" s="22" t="s">
        <v>68</v>
      </c>
      <c r="F228" s="22"/>
      <c r="G228" s="915">
        <v>43244</v>
      </c>
      <c r="H228" s="915"/>
      <c r="I228" s="329">
        <v>43048</v>
      </c>
      <c r="J228" s="16">
        <v>2017</v>
      </c>
      <c r="K228" s="1415"/>
      <c r="L228" s="1415"/>
      <c r="M228" s="18" t="s">
        <v>77</v>
      </c>
      <c r="N228" s="33" t="s">
        <v>737</v>
      </c>
      <c r="O228" s="2" t="s">
        <v>79</v>
      </c>
      <c r="P228" s="3" t="s">
        <v>738</v>
      </c>
      <c r="Q228" s="3" t="s">
        <v>1975</v>
      </c>
      <c r="R228" s="4">
        <v>626112.69999999995</v>
      </c>
      <c r="S228" s="6">
        <v>42857</v>
      </c>
      <c r="T228" s="5">
        <v>42860</v>
      </c>
      <c r="U228" s="11">
        <v>42880</v>
      </c>
      <c r="V228" s="105">
        <v>42857</v>
      </c>
      <c r="W228" s="178" t="s">
        <v>739</v>
      </c>
      <c r="X228" s="18" t="s">
        <v>563</v>
      </c>
      <c r="Y228" s="69" t="s">
        <v>74</v>
      </c>
      <c r="Z228" s="879"/>
      <c r="AA228" s="33" t="s">
        <v>740</v>
      </c>
      <c r="AB228" s="74">
        <v>42854</v>
      </c>
      <c r="AC228" s="75">
        <v>626112.69999999995</v>
      </c>
      <c r="AD228" s="4"/>
      <c r="AE228" s="32"/>
      <c r="AF228" s="34" t="s">
        <v>68</v>
      </c>
      <c r="AG228" s="112" t="s">
        <v>68</v>
      </c>
      <c r="AH228" s="112" t="s">
        <v>68</v>
      </c>
      <c r="AI228" s="7" t="s">
        <v>68</v>
      </c>
      <c r="AJ228" s="215" t="s">
        <v>68</v>
      </c>
      <c r="AK228" s="115" t="s">
        <v>232</v>
      </c>
      <c r="AL228" s="1" t="s">
        <v>68</v>
      </c>
      <c r="AM228" s="5"/>
      <c r="AN228" s="1">
        <v>2093929</v>
      </c>
      <c r="AO228" s="5">
        <v>42858</v>
      </c>
      <c r="AP228" s="1">
        <v>2107004</v>
      </c>
      <c r="AQ228" s="5">
        <v>42920</v>
      </c>
      <c r="AR228" s="279">
        <f>62611.27+62611.27</f>
        <v>125222.54</v>
      </c>
      <c r="AS228" s="35">
        <v>0</v>
      </c>
      <c r="AT228" s="895">
        <v>673715.91</v>
      </c>
      <c r="AU228" s="884"/>
      <c r="AV228" s="339">
        <v>42860</v>
      </c>
      <c r="AW228" s="11">
        <v>42880</v>
      </c>
      <c r="AX228" s="223" t="s">
        <v>68</v>
      </c>
      <c r="AY228" s="224" t="s">
        <v>68</v>
      </c>
      <c r="AZ228" s="339">
        <v>42880</v>
      </c>
      <c r="BA228" s="71">
        <v>42860</v>
      </c>
      <c r="BB228" s="71">
        <v>42880</v>
      </c>
      <c r="BC228" s="11">
        <v>42880</v>
      </c>
      <c r="BD228" s="339">
        <v>42880</v>
      </c>
      <c r="BE228" s="1616"/>
      <c r="BF228" s="71">
        <v>42860</v>
      </c>
      <c r="BG228" s="71">
        <v>42880</v>
      </c>
      <c r="BH228" s="71">
        <v>42880</v>
      </c>
      <c r="BI228" s="129">
        <v>673715.91</v>
      </c>
      <c r="BJ228" s="13"/>
      <c r="BK228" s="22"/>
      <c r="BL228" s="105"/>
      <c r="BM228" s="5"/>
      <c r="BN228" s="5"/>
      <c r="BO228" s="52"/>
      <c r="BP228" s="52"/>
      <c r="BQ228" s="52"/>
      <c r="BR228" s="52"/>
      <c r="BS228" s="52"/>
      <c r="BT228" s="52"/>
      <c r="BU228" s="52"/>
      <c r="BV228" s="53"/>
      <c r="BW228" s="13"/>
      <c r="BX228" s="13"/>
      <c r="BY228" s="13"/>
      <c r="BZ228" s="13"/>
      <c r="CA228" s="13"/>
      <c r="CB228" s="1221" t="s">
        <v>1563</v>
      </c>
      <c r="CC228" s="321" t="s">
        <v>459</v>
      </c>
      <c r="CD228" s="513"/>
      <c r="CE228" s="513"/>
      <c r="CF228" s="513"/>
      <c r="CG228" s="513"/>
      <c r="CH228" s="513"/>
      <c r="CI228" s="513"/>
      <c r="CJ228" s="513"/>
      <c r="CK228" s="12"/>
    </row>
    <row r="229" spans="2:89" customFormat="1" ht="75" hidden="1" customHeight="1">
      <c r="B229" s="22"/>
      <c r="C229" s="22"/>
      <c r="D229" s="22"/>
      <c r="E229" s="22" t="s">
        <v>68</v>
      </c>
      <c r="F229" s="22"/>
      <c r="G229" s="915">
        <v>43250</v>
      </c>
      <c r="H229" s="915"/>
      <c r="I229" s="329">
        <v>43048</v>
      </c>
      <c r="J229" s="16">
        <v>2017</v>
      </c>
      <c r="K229" s="1415"/>
      <c r="L229" s="1415"/>
      <c r="M229" s="18" t="s">
        <v>77</v>
      </c>
      <c r="N229" s="33" t="s">
        <v>741</v>
      </c>
      <c r="O229" s="2" t="s">
        <v>79</v>
      </c>
      <c r="P229" s="3" t="s">
        <v>742</v>
      </c>
      <c r="Q229" s="3" t="s">
        <v>1975</v>
      </c>
      <c r="R229" s="4">
        <v>475018.98</v>
      </c>
      <c r="S229" s="6">
        <v>42857</v>
      </c>
      <c r="T229" s="5">
        <v>42860</v>
      </c>
      <c r="U229" s="11">
        <v>42885</v>
      </c>
      <c r="V229" s="105">
        <v>42857</v>
      </c>
      <c r="W229" s="178" t="s">
        <v>739</v>
      </c>
      <c r="X229" s="18" t="s">
        <v>563</v>
      </c>
      <c r="Y229" s="69" t="s">
        <v>74</v>
      </c>
      <c r="Z229" s="879"/>
      <c r="AA229" s="33" t="s">
        <v>743</v>
      </c>
      <c r="AB229" s="8">
        <v>42854</v>
      </c>
      <c r="AC229" s="79">
        <v>475018.89</v>
      </c>
      <c r="AD229" s="4"/>
      <c r="AE229" s="32"/>
      <c r="AF229" s="34" t="s">
        <v>68</v>
      </c>
      <c r="AG229" s="112" t="s">
        <v>68</v>
      </c>
      <c r="AH229" s="112" t="s">
        <v>68</v>
      </c>
      <c r="AI229" s="7" t="s">
        <v>68</v>
      </c>
      <c r="AJ229" s="215" t="s">
        <v>68</v>
      </c>
      <c r="AK229" s="115" t="s">
        <v>232</v>
      </c>
      <c r="AL229" s="1" t="s">
        <v>68</v>
      </c>
      <c r="AM229" s="5"/>
      <c r="AN229" s="1">
        <v>2093933</v>
      </c>
      <c r="AO229" s="5">
        <v>42858</v>
      </c>
      <c r="AP229" s="1">
        <v>2106985</v>
      </c>
      <c r="AQ229" s="5">
        <v>42919</v>
      </c>
      <c r="AR229" s="279">
        <f>47501.89+47501.89</f>
        <v>95003.78</v>
      </c>
      <c r="AS229" s="35">
        <v>0</v>
      </c>
      <c r="AT229" s="895">
        <v>502258.4</v>
      </c>
      <c r="AU229" s="884"/>
      <c r="AV229" s="339">
        <v>42860</v>
      </c>
      <c r="AW229" s="11">
        <v>42885</v>
      </c>
      <c r="AX229" s="223" t="s">
        <v>68</v>
      </c>
      <c r="AY229" s="224" t="s">
        <v>68</v>
      </c>
      <c r="AZ229" s="339">
        <v>42885</v>
      </c>
      <c r="BA229" s="5">
        <v>42860</v>
      </c>
      <c r="BB229" s="5">
        <v>42885</v>
      </c>
      <c r="BC229" s="11">
        <v>42885</v>
      </c>
      <c r="BD229" s="339">
        <v>42885</v>
      </c>
      <c r="BE229" s="1616"/>
      <c r="BF229" s="71">
        <v>42860</v>
      </c>
      <c r="BG229" s="71">
        <v>42885</v>
      </c>
      <c r="BH229" s="71">
        <v>42885</v>
      </c>
      <c r="BI229" s="129">
        <f>AS229+AT229</f>
        <v>502258.4</v>
      </c>
      <c r="BJ229" s="13"/>
      <c r="BK229" s="22"/>
      <c r="BL229" s="105"/>
      <c r="BM229" s="5"/>
      <c r="BN229" s="5"/>
      <c r="BO229" s="52"/>
      <c r="BP229" s="52"/>
      <c r="BQ229" s="52"/>
      <c r="BR229" s="52"/>
      <c r="BS229" s="52"/>
      <c r="BT229" s="52"/>
      <c r="BU229" s="52"/>
      <c r="BV229" s="53"/>
      <c r="BW229" s="13"/>
      <c r="BX229" s="13"/>
      <c r="BY229" s="13"/>
      <c r="BZ229" s="13"/>
      <c r="CA229" s="13"/>
      <c r="CB229" s="1221" t="s">
        <v>1563</v>
      </c>
      <c r="CC229" s="321" t="s">
        <v>459</v>
      </c>
      <c r="CD229" s="513"/>
      <c r="CE229" s="513"/>
      <c r="CF229" s="513"/>
      <c r="CG229" s="513"/>
      <c r="CH229" s="513"/>
      <c r="CI229" s="513"/>
      <c r="CJ229" s="513"/>
      <c r="CK229" s="12"/>
    </row>
    <row r="230" spans="2:89" customFormat="1" ht="75" hidden="1" customHeight="1">
      <c r="B230" s="22"/>
      <c r="C230" s="22"/>
      <c r="D230" s="22"/>
      <c r="E230" s="22" t="s">
        <v>68</v>
      </c>
      <c r="F230" s="22"/>
      <c r="G230" s="915">
        <v>43130</v>
      </c>
      <c r="H230" s="915"/>
      <c r="I230" s="329">
        <v>43048</v>
      </c>
      <c r="J230" s="16">
        <v>2017</v>
      </c>
      <c r="K230" s="1415"/>
      <c r="L230" s="1415"/>
      <c r="M230" s="18" t="s">
        <v>77</v>
      </c>
      <c r="N230" s="33" t="s">
        <v>744</v>
      </c>
      <c r="O230" s="2" t="s">
        <v>79</v>
      </c>
      <c r="P230" s="3" t="s">
        <v>745</v>
      </c>
      <c r="Q230" s="3" t="s">
        <v>1975</v>
      </c>
      <c r="R230" s="4">
        <v>383419.34</v>
      </c>
      <c r="S230" s="6">
        <v>42857</v>
      </c>
      <c r="T230" s="5">
        <v>42861</v>
      </c>
      <c r="U230" s="11">
        <v>42901</v>
      </c>
      <c r="V230" s="105">
        <v>42857</v>
      </c>
      <c r="W230" s="178" t="s">
        <v>739</v>
      </c>
      <c r="X230" s="18" t="s">
        <v>563</v>
      </c>
      <c r="Y230" s="69" t="s">
        <v>74</v>
      </c>
      <c r="Z230" s="879"/>
      <c r="AA230" s="33" t="s">
        <v>746</v>
      </c>
      <c r="AB230" s="8">
        <v>42854</v>
      </c>
      <c r="AC230" s="79">
        <v>383419.34</v>
      </c>
      <c r="AD230" s="4"/>
      <c r="AE230" s="32"/>
      <c r="AF230" s="34" t="s">
        <v>68</v>
      </c>
      <c r="AG230" s="112" t="s">
        <v>68</v>
      </c>
      <c r="AH230" s="112" t="s">
        <v>68</v>
      </c>
      <c r="AI230" s="7" t="s">
        <v>68</v>
      </c>
      <c r="AJ230" s="215" t="s">
        <v>68</v>
      </c>
      <c r="AK230" s="115" t="s">
        <v>232</v>
      </c>
      <c r="AL230" s="1" t="s">
        <v>68</v>
      </c>
      <c r="AM230" s="5"/>
      <c r="AN230" s="1">
        <v>2093934</v>
      </c>
      <c r="AO230" s="5">
        <v>42858</v>
      </c>
      <c r="AP230" s="1">
        <v>2107000</v>
      </c>
      <c r="AQ230" s="5">
        <v>42919</v>
      </c>
      <c r="AR230" s="279">
        <f>38341.93+38341.93</f>
        <v>76683.86</v>
      </c>
      <c r="AS230" s="35">
        <v>0</v>
      </c>
      <c r="AT230" s="895">
        <v>380404.63</v>
      </c>
      <c r="AU230" s="884"/>
      <c r="AV230" s="337" t="s">
        <v>74</v>
      </c>
      <c r="AW230" s="11"/>
      <c r="AX230" s="223" t="s">
        <v>68</v>
      </c>
      <c r="AY230" s="224" t="s">
        <v>68</v>
      </c>
      <c r="AZ230" s="339">
        <v>42902</v>
      </c>
      <c r="BA230" s="5">
        <v>42861</v>
      </c>
      <c r="BB230" s="5">
        <v>42901</v>
      </c>
      <c r="BC230" s="11">
        <v>42901</v>
      </c>
      <c r="BD230" s="339">
        <v>42902</v>
      </c>
      <c r="BE230" s="1616"/>
      <c r="BF230" s="71">
        <v>42861</v>
      </c>
      <c r="BG230" s="71">
        <v>42901</v>
      </c>
      <c r="BH230" s="71">
        <v>42901</v>
      </c>
      <c r="BI230" s="129">
        <v>383464.63</v>
      </c>
      <c r="BJ230" s="13"/>
      <c r="BK230" s="22"/>
      <c r="BL230" s="105"/>
      <c r="BM230" s="5"/>
      <c r="BN230" s="5"/>
      <c r="BO230" s="52"/>
      <c r="BP230" s="52"/>
      <c r="BQ230" s="52"/>
      <c r="BR230" s="52"/>
      <c r="BS230" s="52"/>
      <c r="BT230" s="52"/>
      <c r="BU230" s="52"/>
      <c r="BV230" s="53"/>
      <c r="BW230" s="13"/>
      <c r="BX230" s="13"/>
      <c r="BY230" s="13"/>
      <c r="BZ230" s="13"/>
      <c r="CA230" s="13"/>
      <c r="CB230" s="1221" t="s">
        <v>1563</v>
      </c>
      <c r="CC230" s="321" t="s">
        <v>459</v>
      </c>
      <c r="CD230" s="513"/>
      <c r="CE230" s="513"/>
      <c r="CF230" s="513"/>
      <c r="CG230" s="513"/>
      <c r="CH230" s="513"/>
      <c r="CI230" s="513"/>
      <c r="CJ230" s="513"/>
      <c r="CK230" s="12"/>
    </row>
    <row r="231" spans="2:89" customFormat="1" ht="59.25" hidden="1" customHeight="1">
      <c r="B231" s="22"/>
      <c r="C231" s="22"/>
      <c r="D231" s="22"/>
      <c r="E231" s="22" t="s">
        <v>68</v>
      </c>
      <c r="F231" s="22"/>
      <c r="G231" s="915">
        <v>43224</v>
      </c>
      <c r="H231" s="1746"/>
      <c r="I231" s="330">
        <v>43048</v>
      </c>
      <c r="J231" s="16">
        <v>2017</v>
      </c>
      <c r="K231" s="1417"/>
      <c r="L231" s="1417"/>
      <c r="M231" s="170" t="s">
        <v>77</v>
      </c>
      <c r="N231" s="33" t="s">
        <v>747</v>
      </c>
      <c r="O231" s="172" t="s">
        <v>79</v>
      </c>
      <c r="P231" s="451" t="s">
        <v>748</v>
      </c>
      <c r="Q231" s="451" t="s">
        <v>2538</v>
      </c>
      <c r="R231" s="174">
        <v>167666.94</v>
      </c>
      <c r="S231" s="590">
        <v>42858</v>
      </c>
      <c r="T231" s="176">
        <v>42859</v>
      </c>
      <c r="U231" s="177">
        <v>42875</v>
      </c>
      <c r="V231" s="105">
        <v>42857</v>
      </c>
      <c r="W231" s="115" t="s">
        <v>637</v>
      </c>
      <c r="X231" s="18" t="s">
        <v>3047</v>
      </c>
      <c r="Y231" s="347">
        <v>42859</v>
      </c>
      <c r="Z231" s="342"/>
      <c r="AA231" s="33" t="s">
        <v>749</v>
      </c>
      <c r="AB231" s="77">
        <v>42854</v>
      </c>
      <c r="AC231" s="78">
        <v>167666.94</v>
      </c>
      <c r="AD231" s="4"/>
      <c r="AE231" s="32"/>
      <c r="AF231" s="34" t="s">
        <v>68</v>
      </c>
      <c r="AG231" s="112" t="s">
        <v>68</v>
      </c>
      <c r="AH231" s="112" t="s">
        <v>68</v>
      </c>
      <c r="AI231" s="7" t="s">
        <v>68</v>
      </c>
      <c r="AJ231" s="215" t="s">
        <v>68</v>
      </c>
      <c r="AK231" s="344" t="s">
        <v>638</v>
      </c>
      <c r="AL231" s="1" t="s">
        <v>68</v>
      </c>
      <c r="AM231" s="5"/>
      <c r="AN231" s="1" t="s">
        <v>750</v>
      </c>
      <c r="AO231" s="5">
        <v>42871</v>
      </c>
      <c r="AP231" s="1" t="s">
        <v>751</v>
      </c>
      <c r="AQ231" s="5">
        <v>42871</v>
      </c>
      <c r="AR231" s="279">
        <f>16766.69+16766.69</f>
        <v>33533.379999999997</v>
      </c>
      <c r="AS231" s="35">
        <v>0</v>
      </c>
      <c r="AT231" s="900">
        <v>166947.16</v>
      </c>
      <c r="AU231" s="889"/>
      <c r="AV231" s="337" t="s">
        <v>74</v>
      </c>
      <c r="AW231" s="11"/>
      <c r="AX231" s="223" t="s">
        <v>68</v>
      </c>
      <c r="AY231" s="224" t="s">
        <v>68</v>
      </c>
      <c r="AZ231" s="339">
        <v>42874</v>
      </c>
      <c r="BA231" s="5">
        <v>42860</v>
      </c>
      <c r="BB231" s="5">
        <v>42875</v>
      </c>
      <c r="BC231" s="17"/>
      <c r="BD231" s="339">
        <v>42875</v>
      </c>
      <c r="BE231" s="1616"/>
      <c r="BF231" s="71">
        <v>42860</v>
      </c>
      <c r="BG231" s="71">
        <v>42875</v>
      </c>
      <c r="BH231" s="71">
        <v>42873</v>
      </c>
      <c r="BI231" s="129">
        <v>166227.56</v>
      </c>
      <c r="BJ231" s="62">
        <v>42874</v>
      </c>
      <c r="BK231" s="105"/>
      <c r="BL231" s="105"/>
      <c r="BM231" s="5"/>
      <c r="BN231" s="5"/>
      <c r="BO231" s="52"/>
      <c r="BP231" s="52"/>
      <c r="BQ231" s="52"/>
      <c r="BR231" s="52"/>
      <c r="BS231" s="52"/>
      <c r="BT231" s="52"/>
      <c r="BU231" s="52"/>
      <c r="BV231" s="53"/>
      <c r="BW231" s="13"/>
      <c r="BX231" s="13"/>
      <c r="BY231" s="13"/>
      <c r="BZ231" s="13"/>
      <c r="CA231" s="13"/>
      <c r="CB231" s="1221" t="s">
        <v>1563</v>
      </c>
      <c r="CC231" s="321" t="s">
        <v>459</v>
      </c>
      <c r="CD231" s="526"/>
      <c r="CE231" s="2"/>
      <c r="CF231" s="2"/>
      <c r="CG231" s="2"/>
      <c r="CH231" s="2"/>
      <c r="CI231" s="2"/>
      <c r="CJ231" s="2"/>
      <c r="CK231" s="15"/>
    </row>
    <row r="232" spans="2:89" customFormat="1" ht="92.25" hidden="1" customHeight="1">
      <c r="B232" s="22"/>
      <c r="C232" s="22"/>
      <c r="D232" s="22"/>
      <c r="E232" s="22" t="s">
        <v>68</v>
      </c>
      <c r="F232" s="22"/>
      <c r="G232" s="915">
        <v>43251</v>
      </c>
      <c r="H232" s="1746"/>
      <c r="I232" s="330">
        <v>43048</v>
      </c>
      <c r="J232" s="16">
        <v>2017</v>
      </c>
      <c r="K232" s="1417"/>
      <c r="L232" s="1417"/>
      <c r="M232" s="170" t="s">
        <v>77</v>
      </c>
      <c r="N232" s="33" t="s">
        <v>752</v>
      </c>
      <c r="O232" s="172" t="s">
        <v>79</v>
      </c>
      <c r="P232" s="451" t="s">
        <v>753</v>
      </c>
      <c r="Q232" s="451" t="s">
        <v>2538</v>
      </c>
      <c r="R232" s="174">
        <v>336153.85</v>
      </c>
      <c r="S232" s="175">
        <v>42857</v>
      </c>
      <c r="T232" s="176">
        <v>42868</v>
      </c>
      <c r="U232" s="177">
        <v>42899</v>
      </c>
      <c r="V232" s="105">
        <v>42857</v>
      </c>
      <c r="W232" s="115" t="s">
        <v>637</v>
      </c>
      <c r="X232" s="18" t="s">
        <v>3047</v>
      </c>
      <c r="Y232" s="461" t="s">
        <v>74</v>
      </c>
      <c r="Z232" s="1371"/>
      <c r="AA232" s="33" t="s">
        <v>754</v>
      </c>
      <c r="AB232" s="77">
        <v>42854</v>
      </c>
      <c r="AC232" s="78">
        <v>336153.85</v>
      </c>
      <c r="AD232" s="4"/>
      <c r="AE232" s="32"/>
      <c r="AF232" s="34" t="s">
        <v>68</v>
      </c>
      <c r="AG232" s="112" t="s">
        <v>68</v>
      </c>
      <c r="AH232" s="112" t="s">
        <v>68</v>
      </c>
      <c r="AI232" s="7" t="s">
        <v>68</v>
      </c>
      <c r="AJ232" s="215" t="s">
        <v>68</v>
      </c>
      <c r="AK232" s="344" t="s">
        <v>638</v>
      </c>
      <c r="AL232" s="1" t="s">
        <v>68</v>
      </c>
      <c r="AM232" s="5"/>
      <c r="AN232" s="1" t="s">
        <v>755</v>
      </c>
      <c r="AO232" s="5">
        <v>42871</v>
      </c>
      <c r="AP232" s="1" t="s">
        <v>756</v>
      </c>
      <c r="AQ232" s="5">
        <v>42871</v>
      </c>
      <c r="AR232" s="279">
        <f>33615.38*2</f>
        <v>67230.759999999995</v>
      </c>
      <c r="AS232" s="35">
        <v>0</v>
      </c>
      <c r="AT232" s="895">
        <v>334711.14</v>
      </c>
      <c r="AU232" s="884"/>
      <c r="AV232" s="337" t="s">
        <v>74</v>
      </c>
      <c r="AW232" s="11"/>
      <c r="AX232" s="223" t="s">
        <v>68</v>
      </c>
      <c r="AY232" s="224" t="s">
        <v>68</v>
      </c>
      <c r="AZ232" s="339">
        <v>42895</v>
      </c>
      <c r="BA232" s="5">
        <v>42877</v>
      </c>
      <c r="BB232" s="5">
        <v>42899</v>
      </c>
      <c r="BC232" s="17"/>
      <c r="BD232" s="339">
        <v>42898</v>
      </c>
      <c r="BE232" s="1616"/>
      <c r="BF232" s="71">
        <v>42877</v>
      </c>
      <c r="BG232" s="71">
        <v>42899</v>
      </c>
      <c r="BH232" s="612">
        <v>42893</v>
      </c>
      <c r="BI232" s="129">
        <v>335050.68</v>
      </c>
      <c r="BJ232" s="62">
        <v>42899</v>
      </c>
      <c r="BK232" s="105"/>
      <c r="BL232" s="105"/>
      <c r="BM232" s="5"/>
      <c r="BN232" s="5"/>
      <c r="BO232" s="52"/>
      <c r="BP232" s="52"/>
      <c r="BQ232" s="52"/>
      <c r="BR232" s="52"/>
      <c r="BS232" s="52"/>
      <c r="BT232" s="52"/>
      <c r="BU232" s="52"/>
      <c r="BV232" s="53"/>
      <c r="BW232" s="13"/>
      <c r="BX232" s="13"/>
      <c r="BY232" s="13"/>
      <c r="BZ232" s="13"/>
      <c r="CA232" s="13"/>
      <c r="CB232" s="1221" t="s">
        <v>1563</v>
      </c>
      <c r="CC232" s="321" t="s">
        <v>459</v>
      </c>
      <c r="CD232" s="526"/>
      <c r="CE232" s="526"/>
      <c r="CF232" s="526"/>
      <c r="CG232" s="526"/>
      <c r="CH232" s="526"/>
      <c r="CI232" s="526"/>
      <c r="CJ232" s="526"/>
      <c r="CK232" s="15"/>
    </row>
    <row r="233" spans="2:89" customFormat="1" ht="62.25" hidden="1" customHeight="1">
      <c r="B233" s="22"/>
      <c r="C233" s="22"/>
      <c r="D233" s="22"/>
      <c r="E233" s="22" t="s">
        <v>68</v>
      </c>
      <c r="F233" s="22"/>
      <c r="G233" s="915">
        <v>43158</v>
      </c>
      <c r="H233" s="1746"/>
      <c r="I233" s="330">
        <v>43048</v>
      </c>
      <c r="J233" s="16">
        <v>2017</v>
      </c>
      <c r="K233" s="1417"/>
      <c r="L233" s="1417"/>
      <c r="M233" s="170" t="s">
        <v>77</v>
      </c>
      <c r="N233" s="33" t="s">
        <v>757</v>
      </c>
      <c r="O233" s="172" t="s">
        <v>79</v>
      </c>
      <c r="P233" s="451" t="s">
        <v>758</v>
      </c>
      <c r="Q233" s="451" t="s">
        <v>1975</v>
      </c>
      <c r="R233" s="174">
        <v>177076.07</v>
      </c>
      <c r="S233" s="590">
        <v>42857</v>
      </c>
      <c r="T233" s="176">
        <v>42859</v>
      </c>
      <c r="U233" s="177">
        <v>42890</v>
      </c>
      <c r="V233" s="68">
        <v>42857</v>
      </c>
      <c r="W233" s="178" t="s">
        <v>476</v>
      </c>
      <c r="X233" s="170" t="s">
        <v>213</v>
      </c>
      <c r="Y233" s="638">
        <v>42856</v>
      </c>
      <c r="Z233" s="1264"/>
      <c r="AA233" s="33" t="s">
        <v>759</v>
      </c>
      <c r="AB233" s="8">
        <v>42854</v>
      </c>
      <c r="AC233" s="79">
        <v>177076.07</v>
      </c>
      <c r="AD233" s="4"/>
      <c r="AE233" s="32"/>
      <c r="AF233" s="34" t="s">
        <v>68</v>
      </c>
      <c r="AG233" s="112" t="s">
        <v>68</v>
      </c>
      <c r="AH233" s="112" t="s">
        <v>68</v>
      </c>
      <c r="AI233" s="7" t="s">
        <v>68</v>
      </c>
      <c r="AJ233" s="215" t="s">
        <v>68</v>
      </c>
      <c r="AK233" s="337" t="s">
        <v>74</v>
      </c>
      <c r="AL233" s="1"/>
      <c r="AM233" s="5"/>
      <c r="AN233" s="1"/>
      <c r="AO233" s="5"/>
      <c r="AP233" s="1"/>
      <c r="AQ233" s="1"/>
      <c r="AR233" s="279"/>
      <c r="AS233" s="35">
        <v>0</v>
      </c>
      <c r="AT233" s="904">
        <v>175527.04000000001</v>
      </c>
      <c r="AU233" s="893"/>
      <c r="AV233" s="337" t="s">
        <v>74</v>
      </c>
      <c r="AW233" s="11"/>
      <c r="AX233" s="223" t="s">
        <v>68</v>
      </c>
      <c r="AY233" s="224" t="s">
        <v>68</v>
      </c>
      <c r="AZ233" s="337" t="s">
        <v>74</v>
      </c>
      <c r="BA233" s="1"/>
      <c r="BB233" s="1"/>
      <c r="BC233" s="17"/>
      <c r="BD233" s="337" t="s">
        <v>74</v>
      </c>
      <c r="BE233" s="1619"/>
      <c r="BF233" s="5"/>
      <c r="BG233" s="5"/>
      <c r="BH233" s="5"/>
      <c r="BI233" s="36">
        <f t="shared" ref="BI233:BI238" si="6">AS233+AT233</f>
        <v>175527.04000000001</v>
      </c>
      <c r="BJ233" s="13"/>
      <c r="BK233" s="22"/>
      <c r="BL233" s="105"/>
      <c r="BM233" s="5"/>
      <c r="BN233" s="5"/>
      <c r="BO233" s="52"/>
      <c r="BP233" s="52"/>
      <c r="BQ233" s="52"/>
      <c r="BR233" s="52"/>
      <c r="BS233" s="52"/>
      <c r="BT233" s="52"/>
      <c r="BU233" s="52"/>
      <c r="BV233" s="53"/>
      <c r="BW233" s="13"/>
      <c r="BX233" s="13"/>
      <c r="BY233" s="13"/>
      <c r="BZ233" s="13"/>
      <c r="CA233" s="13"/>
      <c r="CB233" s="1221" t="s">
        <v>1563</v>
      </c>
      <c r="CC233" s="321" t="s">
        <v>459</v>
      </c>
      <c r="CD233" s="526"/>
      <c r="CE233" s="526"/>
      <c r="CF233" s="526"/>
      <c r="CG233" s="526"/>
      <c r="CH233" s="526"/>
      <c r="CI233" s="526"/>
      <c r="CJ233" s="526"/>
      <c r="CK233" s="15"/>
    </row>
    <row r="234" spans="2:89" customFormat="1" ht="97.5" hidden="1" customHeight="1">
      <c r="B234" s="22"/>
      <c r="C234" s="22"/>
      <c r="D234" s="22"/>
      <c r="E234" s="22" t="s">
        <v>68</v>
      </c>
      <c r="F234" s="22"/>
      <c r="G234" s="915">
        <v>43235</v>
      </c>
      <c r="H234" s="1746"/>
      <c r="I234" s="330">
        <v>43048</v>
      </c>
      <c r="J234" s="16">
        <v>2017</v>
      </c>
      <c r="K234" s="1417"/>
      <c r="L234" s="1417"/>
      <c r="M234" s="170" t="s">
        <v>77</v>
      </c>
      <c r="N234" s="33" t="s">
        <v>760</v>
      </c>
      <c r="O234" s="172" t="s">
        <v>79</v>
      </c>
      <c r="P234" s="173" t="s">
        <v>761</v>
      </c>
      <c r="Q234" s="173" t="s">
        <v>1975</v>
      </c>
      <c r="R234" s="174">
        <v>113674.93</v>
      </c>
      <c r="S234" s="590">
        <v>42858</v>
      </c>
      <c r="T234" s="176">
        <v>42870</v>
      </c>
      <c r="U234" s="177">
        <v>42886</v>
      </c>
      <c r="V234" s="68">
        <v>42857</v>
      </c>
      <c r="W234" s="178" t="s">
        <v>476</v>
      </c>
      <c r="X234" s="170" t="s">
        <v>213</v>
      </c>
      <c r="Y234" s="638">
        <v>42856</v>
      </c>
      <c r="Z234" s="1264"/>
      <c r="AA234" s="115" t="s">
        <v>762</v>
      </c>
      <c r="AB234" s="8">
        <v>42854</v>
      </c>
      <c r="AC234" s="79">
        <v>113674.93</v>
      </c>
      <c r="AD234" s="4"/>
      <c r="AE234" s="32"/>
      <c r="AF234" s="34" t="s">
        <v>68</v>
      </c>
      <c r="AG234" s="112" t="s">
        <v>68</v>
      </c>
      <c r="AH234" s="112" t="s">
        <v>68</v>
      </c>
      <c r="AI234" s="7" t="s">
        <v>68</v>
      </c>
      <c r="AJ234" s="215" t="s">
        <v>68</v>
      </c>
      <c r="AK234" s="337" t="s">
        <v>74</v>
      </c>
      <c r="AL234" s="1"/>
      <c r="AM234" s="5"/>
      <c r="AN234" s="1"/>
      <c r="AO234" s="5"/>
      <c r="AP234" s="1"/>
      <c r="AQ234" s="1"/>
      <c r="AR234" s="279"/>
      <c r="AS234" s="35">
        <v>0</v>
      </c>
      <c r="AT234" s="904">
        <v>113674.77</v>
      </c>
      <c r="AU234" s="893"/>
      <c r="AV234" s="337" t="s">
        <v>74</v>
      </c>
      <c r="AW234" s="11"/>
      <c r="AX234" s="223" t="s">
        <v>68</v>
      </c>
      <c r="AY234" s="224" t="s">
        <v>68</v>
      </c>
      <c r="AZ234" s="337" t="s">
        <v>74</v>
      </c>
      <c r="BA234" s="1"/>
      <c r="BB234" s="1"/>
      <c r="BC234" s="17"/>
      <c r="BD234" s="337" t="s">
        <v>74</v>
      </c>
      <c r="BE234" s="1619"/>
      <c r="BF234" s="5"/>
      <c r="BG234" s="5"/>
      <c r="BH234" s="5"/>
      <c r="BI234" s="36">
        <f t="shared" si="6"/>
        <v>113674.77</v>
      </c>
      <c r="BJ234" s="13"/>
      <c r="BK234" s="22"/>
      <c r="BL234" s="105"/>
      <c r="BM234" s="5"/>
      <c r="BN234" s="5"/>
      <c r="BO234" s="52"/>
      <c r="BP234" s="52"/>
      <c r="BQ234" s="52"/>
      <c r="BR234" s="52"/>
      <c r="BS234" s="52"/>
      <c r="BT234" s="52"/>
      <c r="BU234" s="52"/>
      <c r="BV234" s="53"/>
      <c r="BW234" s="13"/>
      <c r="BX234" s="13"/>
      <c r="BY234" s="13"/>
      <c r="BZ234" s="13"/>
      <c r="CA234" s="13"/>
      <c r="CB234" s="1221" t="s">
        <v>1563</v>
      </c>
      <c r="CC234" s="321" t="s">
        <v>459</v>
      </c>
      <c r="CD234" s="526"/>
      <c r="CE234" s="526"/>
      <c r="CF234" s="526"/>
      <c r="CG234" s="526"/>
      <c r="CH234" s="526"/>
      <c r="CI234" s="526"/>
      <c r="CJ234" s="526"/>
      <c r="CK234" s="15"/>
    </row>
    <row r="235" spans="2:89" customFormat="1" ht="60" hidden="1" customHeight="1">
      <c r="B235" s="22"/>
      <c r="C235" s="22"/>
      <c r="D235" s="22"/>
      <c r="E235" s="22" t="s">
        <v>68</v>
      </c>
      <c r="F235" s="22"/>
      <c r="G235" s="915">
        <v>43158</v>
      </c>
      <c r="H235" s="1746"/>
      <c r="I235" s="330">
        <v>43048</v>
      </c>
      <c r="J235" s="16">
        <v>2017</v>
      </c>
      <c r="K235" s="1417"/>
      <c r="L235" s="1417"/>
      <c r="M235" s="170" t="s">
        <v>77</v>
      </c>
      <c r="N235" s="33" t="s">
        <v>763</v>
      </c>
      <c r="O235" s="172" t="s">
        <v>79</v>
      </c>
      <c r="P235" s="451" t="s">
        <v>764</v>
      </c>
      <c r="Q235" s="451" t="s">
        <v>1975</v>
      </c>
      <c r="R235" s="174">
        <v>228407.58</v>
      </c>
      <c r="S235" s="590">
        <v>42857</v>
      </c>
      <c r="T235" s="176">
        <v>42859</v>
      </c>
      <c r="U235" s="177">
        <v>42890</v>
      </c>
      <c r="V235" s="68">
        <v>42857</v>
      </c>
      <c r="W235" s="178" t="s">
        <v>476</v>
      </c>
      <c r="X235" s="170" t="s">
        <v>213</v>
      </c>
      <c r="Y235" s="638">
        <v>42856</v>
      </c>
      <c r="Z235" s="1264"/>
      <c r="AA235" s="115" t="s">
        <v>765</v>
      </c>
      <c r="AB235" s="8">
        <v>42854</v>
      </c>
      <c r="AC235" s="79">
        <v>228407.58</v>
      </c>
      <c r="AD235" s="4"/>
      <c r="AE235" s="32"/>
      <c r="AF235" s="34" t="s">
        <v>68</v>
      </c>
      <c r="AG235" s="112" t="s">
        <v>68</v>
      </c>
      <c r="AH235" s="112" t="s">
        <v>68</v>
      </c>
      <c r="AI235" s="7" t="s">
        <v>68</v>
      </c>
      <c r="AJ235" s="215" t="s">
        <v>68</v>
      </c>
      <c r="AK235" s="337" t="s">
        <v>74</v>
      </c>
      <c r="AL235" s="1"/>
      <c r="AM235" s="5"/>
      <c r="AN235" s="1"/>
      <c r="AO235" s="5"/>
      <c r="AP235" s="1"/>
      <c r="AQ235" s="1"/>
      <c r="AR235" s="279"/>
      <c r="AS235" s="35">
        <v>0</v>
      </c>
      <c r="AT235" s="904">
        <v>228406.51</v>
      </c>
      <c r="AU235" s="893"/>
      <c r="AV235" s="337" t="s">
        <v>74</v>
      </c>
      <c r="AW235" s="11"/>
      <c r="AX235" s="223" t="s">
        <v>68</v>
      </c>
      <c r="AY235" s="224" t="s">
        <v>68</v>
      </c>
      <c r="AZ235" s="337" t="s">
        <v>74</v>
      </c>
      <c r="BA235" s="1"/>
      <c r="BB235" s="1"/>
      <c r="BC235" s="17"/>
      <c r="BD235" s="337" t="s">
        <v>74</v>
      </c>
      <c r="BE235" s="1619"/>
      <c r="BF235" s="5"/>
      <c r="BG235" s="5"/>
      <c r="BH235" s="5"/>
      <c r="BI235" s="36">
        <f t="shared" si="6"/>
        <v>228406.51</v>
      </c>
      <c r="BJ235" s="13"/>
      <c r="BK235" s="22"/>
      <c r="BL235" s="105"/>
      <c r="BM235" s="5"/>
      <c r="BN235" s="5"/>
      <c r="BO235" s="52"/>
      <c r="BP235" s="52"/>
      <c r="BQ235" s="52"/>
      <c r="BR235" s="52"/>
      <c r="BS235" s="52"/>
      <c r="BT235" s="52"/>
      <c r="BU235" s="52"/>
      <c r="BV235" s="53"/>
      <c r="BW235" s="13"/>
      <c r="BX235" s="13"/>
      <c r="BY235" s="13"/>
      <c r="BZ235" s="13"/>
      <c r="CA235" s="13"/>
      <c r="CB235" s="1221" t="s">
        <v>1563</v>
      </c>
      <c r="CC235" s="321" t="s">
        <v>459</v>
      </c>
      <c r="CD235" s="526"/>
      <c r="CE235" s="526"/>
      <c r="CF235" s="526"/>
      <c r="CG235" s="526"/>
      <c r="CH235" s="526"/>
      <c r="CI235" s="526"/>
      <c r="CJ235" s="526"/>
      <c r="CK235" s="15"/>
    </row>
    <row r="236" spans="2:89" customFormat="1" ht="85.5" hidden="1" customHeight="1">
      <c r="B236" s="22"/>
      <c r="C236" s="22"/>
      <c r="D236" s="22"/>
      <c r="E236" s="22" t="s">
        <v>68</v>
      </c>
      <c r="F236" s="22"/>
      <c r="G236" s="915">
        <v>43235</v>
      </c>
      <c r="H236" s="1746"/>
      <c r="I236" s="330">
        <v>43048</v>
      </c>
      <c r="J236" s="16">
        <v>2017</v>
      </c>
      <c r="K236" s="1417"/>
      <c r="L236" s="1417"/>
      <c r="M236" s="170" t="s">
        <v>77</v>
      </c>
      <c r="N236" s="33" t="s">
        <v>766</v>
      </c>
      <c r="O236" s="172" t="s">
        <v>79</v>
      </c>
      <c r="P236" s="173" t="s">
        <v>767</v>
      </c>
      <c r="Q236" s="173" t="s">
        <v>1975</v>
      </c>
      <c r="R236" s="594">
        <v>147033.21</v>
      </c>
      <c r="S236" s="590">
        <v>42858</v>
      </c>
      <c r="T236" s="176">
        <v>42870</v>
      </c>
      <c r="U236" s="177">
        <v>42886</v>
      </c>
      <c r="V236" s="68">
        <v>42857</v>
      </c>
      <c r="W236" s="178" t="s">
        <v>476</v>
      </c>
      <c r="X236" s="170" t="s">
        <v>213</v>
      </c>
      <c r="Y236" s="638">
        <v>42856</v>
      </c>
      <c r="Z236" s="1264"/>
      <c r="AA236" s="115" t="s">
        <v>768</v>
      </c>
      <c r="AB236" s="8">
        <v>42854</v>
      </c>
      <c r="AC236" s="4">
        <v>147033.21</v>
      </c>
      <c r="AD236" s="4"/>
      <c r="AE236" s="32"/>
      <c r="AF236" s="34" t="s">
        <v>68</v>
      </c>
      <c r="AG236" s="112" t="s">
        <v>68</v>
      </c>
      <c r="AH236" s="112" t="s">
        <v>68</v>
      </c>
      <c r="AI236" s="7" t="s">
        <v>68</v>
      </c>
      <c r="AJ236" s="215" t="s">
        <v>68</v>
      </c>
      <c r="AK236" s="337" t="s">
        <v>74</v>
      </c>
      <c r="AL236" s="1"/>
      <c r="AM236" s="5"/>
      <c r="AN236" s="1"/>
      <c r="AO236" s="5"/>
      <c r="AP236" s="1"/>
      <c r="AQ236" s="1"/>
      <c r="AR236" s="279"/>
      <c r="AS236" s="35">
        <v>0</v>
      </c>
      <c r="AT236" s="904">
        <v>146402.1</v>
      </c>
      <c r="AU236" s="893"/>
      <c r="AV236" s="337" t="s">
        <v>74</v>
      </c>
      <c r="AW236" s="11"/>
      <c r="AX236" s="223" t="s">
        <v>68</v>
      </c>
      <c r="AY236" s="224" t="s">
        <v>68</v>
      </c>
      <c r="AZ236" s="337" t="s">
        <v>74</v>
      </c>
      <c r="BA236" s="1"/>
      <c r="BB236" s="1"/>
      <c r="BC236" s="17"/>
      <c r="BD236" s="337" t="s">
        <v>74</v>
      </c>
      <c r="BE236" s="1619"/>
      <c r="BF236" s="5"/>
      <c r="BG236" s="5"/>
      <c r="BH236" s="5"/>
      <c r="BI236" s="36">
        <f t="shared" si="6"/>
        <v>146402.1</v>
      </c>
      <c r="BJ236" s="13"/>
      <c r="BK236" s="22"/>
      <c r="BL236" s="105"/>
      <c r="BM236" s="5"/>
      <c r="BN236" s="5"/>
      <c r="BO236" s="52"/>
      <c r="BP236" s="52"/>
      <c r="BQ236" s="52"/>
      <c r="BR236" s="52"/>
      <c r="BS236" s="52"/>
      <c r="BT236" s="52"/>
      <c r="BU236" s="52"/>
      <c r="BV236" s="53"/>
      <c r="BW236" s="13"/>
      <c r="BX236" s="13"/>
      <c r="BY236" s="13"/>
      <c r="BZ236" s="13"/>
      <c r="CA236" s="13"/>
      <c r="CB236" s="1221" t="s">
        <v>1563</v>
      </c>
      <c r="CC236" s="321" t="s">
        <v>459</v>
      </c>
      <c r="CD236" s="526"/>
      <c r="CE236" s="526"/>
      <c r="CF236" s="526"/>
      <c r="CG236" s="526"/>
      <c r="CH236" s="526"/>
      <c r="CI236" s="526"/>
      <c r="CJ236" s="526"/>
      <c r="CK236" s="15"/>
    </row>
    <row r="237" spans="2:89" customFormat="1" ht="81" hidden="1" customHeight="1">
      <c r="B237" s="22"/>
      <c r="C237" s="22"/>
      <c r="D237" s="22"/>
      <c r="E237" s="22" t="s">
        <v>68</v>
      </c>
      <c r="F237" s="22"/>
      <c r="G237" s="915"/>
      <c r="H237" s="1746"/>
      <c r="I237" s="330">
        <v>43048</v>
      </c>
      <c r="J237" s="16">
        <v>2017</v>
      </c>
      <c r="K237" s="1417"/>
      <c r="L237" s="1417"/>
      <c r="M237" s="170" t="s">
        <v>77</v>
      </c>
      <c r="N237" s="33" t="s">
        <v>769</v>
      </c>
      <c r="O237" s="172" t="s">
        <v>79</v>
      </c>
      <c r="P237" s="173" t="s">
        <v>770</v>
      </c>
      <c r="Q237" s="173" t="s">
        <v>1975</v>
      </c>
      <c r="R237" s="174">
        <v>81517.39</v>
      </c>
      <c r="S237" s="590">
        <v>42858</v>
      </c>
      <c r="T237" s="176">
        <v>42859</v>
      </c>
      <c r="U237" s="177">
        <v>42890</v>
      </c>
      <c r="V237" s="68">
        <v>42857</v>
      </c>
      <c r="W237" s="178" t="s">
        <v>476</v>
      </c>
      <c r="X237" s="170" t="s">
        <v>213</v>
      </c>
      <c r="Y237" s="638">
        <v>42856</v>
      </c>
      <c r="Z237" s="1264"/>
      <c r="AA237" s="115" t="s">
        <v>771</v>
      </c>
      <c r="AB237" s="8">
        <v>42854</v>
      </c>
      <c r="AC237" s="4">
        <v>81517.39</v>
      </c>
      <c r="AD237" s="4"/>
      <c r="AE237" s="32"/>
      <c r="AF237" s="34" t="s">
        <v>68</v>
      </c>
      <c r="AG237" s="112" t="s">
        <v>68</v>
      </c>
      <c r="AH237" s="112" t="s">
        <v>68</v>
      </c>
      <c r="AI237" s="7" t="s">
        <v>68</v>
      </c>
      <c r="AJ237" s="215" t="s">
        <v>68</v>
      </c>
      <c r="AK237" s="337" t="s">
        <v>74</v>
      </c>
      <c r="AL237" s="1"/>
      <c r="AM237" s="5"/>
      <c r="AN237" s="1"/>
      <c r="AO237" s="5"/>
      <c r="AP237" s="1"/>
      <c r="AQ237" s="1"/>
      <c r="AR237" s="279"/>
      <c r="AS237" s="35">
        <v>0</v>
      </c>
      <c r="AT237" s="904">
        <v>81517.22</v>
      </c>
      <c r="AU237" s="893"/>
      <c r="AV237" s="337" t="s">
        <v>74</v>
      </c>
      <c r="AW237" s="11"/>
      <c r="AX237" s="223" t="s">
        <v>68</v>
      </c>
      <c r="AY237" s="224" t="s">
        <v>68</v>
      </c>
      <c r="AZ237" s="337" t="s">
        <v>74</v>
      </c>
      <c r="BA237" s="1"/>
      <c r="BB237" s="1"/>
      <c r="BC237" s="17"/>
      <c r="BD237" s="337" t="s">
        <v>74</v>
      </c>
      <c r="BE237" s="1619"/>
      <c r="BF237" s="5"/>
      <c r="BG237" s="5"/>
      <c r="BH237" s="5"/>
      <c r="BI237" s="36">
        <f t="shared" si="6"/>
        <v>81517.22</v>
      </c>
      <c r="BJ237" s="13"/>
      <c r="BK237" s="22"/>
      <c r="BL237" s="105"/>
      <c r="BM237" s="5"/>
      <c r="BN237" s="5"/>
      <c r="BO237" s="52"/>
      <c r="BP237" s="52"/>
      <c r="BQ237" s="52"/>
      <c r="BR237" s="52"/>
      <c r="BS237" s="52"/>
      <c r="BT237" s="52"/>
      <c r="BU237" s="52"/>
      <c r="BV237" s="53"/>
      <c r="BW237" s="13"/>
      <c r="BX237" s="13"/>
      <c r="BY237" s="13"/>
      <c r="BZ237" s="13"/>
      <c r="CA237" s="13"/>
      <c r="CB237" s="1221" t="s">
        <v>1563</v>
      </c>
      <c r="CC237" s="321" t="s">
        <v>459</v>
      </c>
      <c r="CD237" s="526"/>
      <c r="CE237" s="526"/>
      <c r="CF237" s="526"/>
      <c r="CG237" s="526"/>
      <c r="CH237" s="526"/>
      <c r="CI237" s="526"/>
      <c r="CJ237" s="526"/>
      <c r="CK237" s="15"/>
    </row>
    <row r="238" spans="2:89" customFormat="1" ht="79.5" hidden="1" customHeight="1">
      <c r="B238" s="22"/>
      <c r="C238" s="22"/>
      <c r="D238" s="22"/>
      <c r="E238" s="22" t="s">
        <v>68</v>
      </c>
      <c r="F238" s="22"/>
      <c r="G238" s="915">
        <v>43235</v>
      </c>
      <c r="H238" s="1746"/>
      <c r="I238" s="330">
        <v>43048</v>
      </c>
      <c r="J238" s="16">
        <v>2017</v>
      </c>
      <c r="K238" s="1417"/>
      <c r="L238" s="1417"/>
      <c r="M238" s="170" t="s">
        <v>77</v>
      </c>
      <c r="N238" s="33" t="s">
        <v>772</v>
      </c>
      <c r="O238" s="172" t="s">
        <v>79</v>
      </c>
      <c r="P238" s="173" t="s">
        <v>773</v>
      </c>
      <c r="Q238" s="173" t="s">
        <v>1975</v>
      </c>
      <c r="R238" s="174">
        <v>52148.39</v>
      </c>
      <c r="S238" s="590">
        <v>42858</v>
      </c>
      <c r="T238" s="176">
        <v>42870</v>
      </c>
      <c r="U238" s="177">
        <v>42886</v>
      </c>
      <c r="V238" s="68">
        <v>42857</v>
      </c>
      <c r="W238" s="178" t="s">
        <v>476</v>
      </c>
      <c r="X238" s="170" t="s">
        <v>213</v>
      </c>
      <c r="Y238" s="638">
        <v>42856</v>
      </c>
      <c r="Z238" s="1264"/>
      <c r="AA238" s="115" t="s">
        <v>774</v>
      </c>
      <c r="AB238" s="8">
        <v>42854</v>
      </c>
      <c r="AC238" s="4">
        <v>52148.39</v>
      </c>
      <c r="AD238" s="4"/>
      <c r="AE238" s="32"/>
      <c r="AF238" s="34" t="s">
        <v>68</v>
      </c>
      <c r="AG238" s="112" t="s">
        <v>68</v>
      </c>
      <c r="AH238" s="112" t="s">
        <v>68</v>
      </c>
      <c r="AI238" s="7" t="s">
        <v>68</v>
      </c>
      <c r="AJ238" s="215" t="s">
        <v>68</v>
      </c>
      <c r="AK238" s="337" t="s">
        <v>74</v>
      </c>
      <c r="AL238" s="1"/>
      <c r="AM238" s="5"/>
      <c r="AN238" s="1"/>
      <c r="AO238" s="5"/>
      <c r="AP238" s="1"/>
      <c r="AQ238" s="1"/>
      <c r="AR238" s="279"/>
      <c r="AS238" s="35">
        <v>0</v>
      </c>
      <c r="AT238" s="904">
        <v>53036.21</v>
      </c>
      <c r="AU238" s="893"/>
      <c r="AV238" s="337" t="s">
        <v>74</v>
      </c>
      <c r="AW238" s="11"/>
      <c r="AX238" s="223" t="s">
        <v>68</v>
      </c>
      <c r="AY238" s="224" t="s">
        <v>68</v>
      </c>
      <c r="AZ238" s="337" t="s">
        <v>74</v>
      </c>
      <c r="BA238" s="1"/>
      <c r="BB238" s="1"/>
      <c r="BC238" s="17"/>
      <c r="BD238" s="337" t="s">
        <v>74</v>
      </c>
      <c r="BE238" s="1619"/>
      <c r="BF238" s="5"/>
      <c r="BG238" s="5"/>
      <c r="BH238" s="5"/>
      <c r="BI238" s="36">
        <f t="shared" si="6"/>
        <v>53036.21</v>
      </c>
      <c r="BJ238" s="13"/>
      <c r="BK238" s="22"/>
      <c r="BL238" s="105"/>
      <c r="BM238" s="5"/>
      <c r="BN238" s="5"/>
      <c r="BO238" s="52"/>
      <c r="BP238" s="52"/>
      <c r="BQ238" s="52"/>
      <c r="BR238" s="52"/>
      <c r="BS238" s="52"/>
      <c r="BT238" s="52"/>
      <c r="BU238" s="52"/>
      <c r="BV238" s="53"/>
      <c r="BW238" s="13"/>
      <c r="BX238" s="13"/>
      <c r="BY238" s="13"/>
      <c r="BZ238" s="13"/>
      <c r="CA238" s="13"/>
      <c r="CB238" s="1221" t="s">
        <v>1563</v>
      </c>
      <c r="CC238" s="321" t="s">
        <v>459</v>
      </c>
      <c r="CD238" s="526"/>
      <c r="CE238" s="526"/>
      <c r="CF238" s="526"/>
      <c r="CG238" s="526"/>
      <c r="CH238" s="526"/>
      <c r="CI238" s="526"/>
      <c r="CJ238" s="526"/>
      <c r="CK238" s="15"/>
    </row>
    <row r="239" spans="2:89" customFormat="1" ht="94.5" hidden="1" customHeight="1">
      <c r="B239" s="22"/>
      <c r="C239" s="22"/>
      <c r="D239" s="22"/>
      <c r="E239" s="22" t="s">
        <v>68</v>
      </c>
      <c r="F239" s="22"/>
      <c r="G239" s="915">
        <v>43146</v>
      </c>
      <c r="H239" s="1746"/>
      <c r="I239" s="330">
        <v>43048</v>
      </c>
      <c r="J239" s="16">
        <v>2017</v>
      </c>
      <c r="K239" s="1417"/>
      <c r="L239" s="1417"/>
      <c r="M239" s="170" t="s">
        <v>77</v>
      </c>
      <c r="N239" s="33" t="s">
        <v>775</v>
      </c>
      <c r="O239" s="172" t="s">
        <v>79</v>
      </c>
      <c r="P239" s="451" t="s">
        <v>776</v>
      </c>
      <c r="Q239" s="451" t="s">
        <v>1975</v>
      </c>
      <c r="R239" s="174">
        <v>206557.32</v>
      </c>
      <c r="S239" s="590">
        <v>42888</v>
      </c>
      <c r="T239" s="176">
        <v>42888</v>
      </c>
      <c r="U239" s="177">
        <v>42902</v>
      </c>
      <c r="V239" s="105">
        <v>42887</v>
      </c>
      <c r="W239" s="178" t="s">
        <v>777</v>
      </c>
      <c r="X239" s="170" t="s">
        <v>449</v>
      </c>
      <c r="Y239" s="611">
        <v>42856</v>
      </c>
      <c r="Z239" s="1372"/>
      <c r="AA239" s="33" t="s">
        <v>778</v>
      </c>
      <c r="AB239" s="8">
        <v>42886</v>
      </c>
      <c r="AC239" s="4">
        <v>206557.32</v>
      </c>
      <c r="AD239" s="4"/>
      <c r="AE239" s="32"/>
      <c r="AF239" s="34" t="s">
        <v>68</v>
      </c>
      <c r="AG239" s="112" t="s">
        <v>68</v>
      </c>
      <c r="AH239" s="112" t="s">
        <v>68</v>
      </c>
      <c r="AI239" s="7" t="s">
        <v>68</v>
      </c>
      <c r="AJ239" s="109" t="s">
        <v>68</v>
      </c>
      <c r="AK239" s="33" t="s">
        <v>779</v>
      </c>
      <c r="AL239" s="1" t="s">
        <v>68</v>
      </c>
      <c r="AM239" s="5"/>
      <c r="AN239" s="1">
        <v>31700009821</v>
      </c>
      <c r="AO239" s="5">
        <v>42888</v>
      </c>
      <c r="AP239" s="1" t="s">
        <v>83</v>
      </c>
      <c r="AQ239" s="5"/>
      <c r="AR239" s="279">
        <f>20655.73</f>
        <v>20655.73</v>
      </c>
      <c r="AS239" s="35">
        <v>0</v>
      </c>
      <c r="AT239" s="895">
        <v>187754.15</v>
      </c>
      <c r="AU239" s="884"/>
      <c r="AV239" s="66" t="s">
        <v>74</v>
      </c>
      <c r="AW239" s="11"/>
      <c r="AX239" s="223" t="s">
        <v>68</v>
      </c>
      <c r="AY239" s="224" t="s">
        <v>68</v>
      </c>
      <c r="AZ239" s="30">
        <v>42906</v>
      </c>
      <c r="BA239" s="5">
        <v>42888</v>
      </c>
      <c r="BB239" s="5">
        <v>42902</v>
      </c>
      <c r="BC239" s="11">
        <v>42902</v>
      </c>
      <c r="BD239" s="30">
        <v>42906</v>
      </c>
      <c r="BE239" s="309"/>
      <c r="BF239" s="60">
        <v>42888</v>
      </c>
      <c r="BG239" s="5">
        <v>42902</v>
      </c>
      <c r="BH239" s="60">
        <v>42902</v>
      </c>
      <c r="BI239" s="36">
        <v>187754.14</v>
      </c>
      <c r="BJ239" s="62">
        <v>42906</v>
      </c>
      <c r="BK239" s="105"/>
      <c r="BL239" s="105"/>
      <c r="BM239" s="5"/>
      <c r="BN239" s="5"/>
      <c r="BO239" s="52"/>
      <c r="BP239" s="52"/>
      <c r="BQ239" s="52"/>
      <c r="BR239" s="52"/>
      <c r="BS239" s="52"/>
      <c r="BT239" s="52"/>
      <c r="BU239" s="52"/>
      <c r="BV239" s="53"/>
      <c r="BW239" s="13"/>
      <c r="BX239" s="13"/>
      <c r="BY239" s="13"/>
      <c r="BZ239" s="13"/>
      <c r="CA239" s="13"/>
      <c r="CB239" s="1221" t="s">
        <v>1563</v>
      </c>
      <c r="CC239" s="321" t="s">
        <v>459</v>
      </c>
      <c r="CD239" s="526"/>
      <c r="CE239" s="526"/>
      <c r="CF239" s="526"/>
      <c r="CG239" s="526"/>
      <c r="CH239" s="526"/>
      <c r="CI239" s="526"/>
      <c r="CJ239" s="526"/>
      <c r="CK239" s="15"/>
    </row>
    <row r="240" spans="2:89" customFormat="1" ht="92.25" hidden="1" customHeight="1">
      <c r="B240" s="22"/>
      <c r="C240" s="22"/>
      <c r="D240" s="22"/>
      <c r="E240" s="22" t="s">
        <v>68</v>
      </c>
      <c r="F240" s="22"/>
      <c r="G240" s="915">
        <v>43251</v>
      </c>
      <c r="H240" s="1746"/>
      <c r="I240" s="330">
        <v>43048</v>
      </c>
      <c r="J240" s="16">
        <v>2017</v>
      </c>
      <c r="K240" s="1417"/>
      <c r="L240" s="1417"/>
      <c r="M240" s="170" t="s">
        <v>77</v>
      </c>
      <c r="N240" s="33" t="s">
        <v>780</v>
      </c>
      <c r="O240" s="172" t="s">
        <v>79</v>
      </c>
      <c r="P240" s="451" t="s">
        <v>781</v>
      </c>
      <c r="Q240" s="451" t="s">
        <v>1975</v>
      </c>
      <c r="R240" s="174">
        <v>125546.81</v>
      </c>
      <c r="S240" s="175">
        <v>42887</v>
      </c>
      <c r="T240" s="176">
        <v>42888</v>
      </c>
      <c r="U240" s="177">
        <v>42902</v>
      </c>
      <c r="V240" s="176">
        <v>42887</v>
      </c>
      <c r="W240" s="178" t="s">
        <v>777</v>
      </c>
      <c r="X240" s="170" t="s">
        <v>449</v>
      </c>
      <c r="Y240" s="611">
        <v>42856</v>
      </c>
      <c r="Z240" s="1372"/>
      <c r="AA240" s="33" t="s">
        <v>778</v>
      </c>
      <c r="AB240" s="8">
        <v>42886</v>
      </c>
      <c r="AC240" s="4">
        <v>125546.81</v>
      </c>
      <c r="AD240" s="4"/>
      <c r="AE240" s="32"/>
      <c r="AF240" s="34" t="s">
        <v>68</v>
      </c>
      <c r="AG240" s="112" t="s">
        <v>68</v>
      </c>
      <c r="AH240" s="112" t="s">
        <v>68</v>
      </c>
      <c r="AI240" s="7" t="s">
        <v>68</v>
      </c>
      <c r="AJ240" s="109" t="s">
        <v>68</v>
      </c>
      <c r="AK240" s="33" t="s">
        <v>779</v>
      </c>
      <c r="AL240" s="1" t="s">
        <v>68</v>
      </c>
      <c r="AM240" s="5"/>
      <c r="AN240" s="1">
        <v>31700009822</v>
      </c>
      <c r="AO240" s="5">
        <v>42888</v>
      </c>
      <c r="AP240" s="1" t="s">
        <v>83</v>
      </c>
      <c r="AQ240" s="5"/>
      <c r="AR240" s="279">
        <f>12554.68</f>
        <v>12554.68</v>
      </c>
      <c r="AS240" s="35">
        <v>0</v>
      </c>
      <c r="AT240" s="895">
        <v>125655.98</v>
      </c>
      <c r="AU240" s="884"/>
      <c r="AV240" s="66" t="s">
        <v>74</v>
      </c>
      <c r="AW240" s="11"/>
      <c r="AX240" s="223" t="s">
        <v>68</v>
      </c>
      <c r="AY240" s="224" t="s">
        <v>68</v>
      </c>
      <c r="AZ240" s="30">
        <v>42902</v>
      </c>
      <c r="BA240" s="5">
        <v>42888</v>
      </c>
      <c r="BB240" s="5">
        <v>42902</v>
      </c>
      <c r="BC240" s="11">
        <v>42901</v>
      </c>
      <c r="BD240" s="30">
        <v>42902</v>
      </c>
      <c r="BE240" s="309"/>
      <c r="BF240" s="5">
        <v>42888</v>
      </c>
      <c r="BG240" s="5">
        <v>42902</v>
      </c>
      <c r="BH240" s="5">
        <v>42901</v>
      </c>
      <c r="BI240" s="36">
        <v>122655.98</v>
      </c>
      <c r="BJ240" s="62">
        <v>42902</v>
      </c>
      <c r="BK240" s="105"/>
      <c r="BL240" s="105"/>
      <c r="BM240" s="5"/>
      <c r="BN240" s="5"/>
      <c r="BO240" s="52"/>
      <c r="BP240" s="52"/>
      <c r="BQ240" s="52"/>
      <c r="BR240" s="52"/>
      <c r="BS240" s="52"/>
      <c r="BT240" s="52"/>
      <c r="BU240" s="52"/>
      <c r="BV240" s="53"/>
      <c r="BW240" s="13"/>
      <c r="BX240" s="13"/>
      <c r="BY240" s="13"/>
      <c r="BZ240" s="13"/>
      <c r="CA240" s="13"/>
      <c r="CB240" s="1221" t="s">
        <v>1563</v>
      </c>
      <c r="CC240" s="321" t="s">
        <v>459</v>
      </c>
      <c r="CD240" s="526"/>
      <c r="CE240" s="526"/>
      <c r="CF240" s="526"/>
      <c r="CG240" s="526"/>
      <c r="CH240" s="526"/>
      <c r="CI240" s="526"/>
      <c r="CJ240" s="526"/>
      <c r="CK240" s="15"/>
    </row>
    <row r="241" spans="2:89" customFormat="1" ht="77.25" hidden="1" customHeight="1">
      <c r="B241" s="22"/>
      <c r="C241" s="22"/>
      <c r="D241" s="22"/>
      <c r="E241" s="22" t="s">
        <v>68</v>
      </c>
      <c r="F241" s="22"/>
      <c r="G241" s="915">
        <v>43340</v>
      </c>
      <c r="H241" s="1746"/>
      <c r="I241" s="330">
        <v>43048</v>
      </c>
      <c r="J241" s="16">
        <v>2017</v>
      </c>
      <c r="K241" s="1417"/>
      <c r="L241" s="1417"/>
      <c r="M241" s="170" t="s">
        <v>166</v>
      </c>
      <c r="N241" s="33" t="s">
        <v>782</v>
      </c>
      <c r="O241" s="172" t="s">
        <v>79</v>
      </c>
      <c r="P241" s="173" t="s">
        <v>783</v>
      </c>
      <c r="Q241" s="173" t="s">
        <v>1975</v>
      </c>
      <c r="R241" s="174">
        <v>1570967.83</v>
      </c>
      <c r="S241" s="175">
        <v>42893</v>
      </c>
      <c r="T241" s="176">
        <v>42905</v>
      </c>
      <c r="U241" s="177">
        <v>43027</v>
      </c>
      <c r="V241" s="105">
        <v>42893</v>
      </c>
      <c r="W241" s="178" t="s">
        <v>471</v>
      </c>
      <c r="X241" s="170" t="s">
        <v>213</v>
      </c>
      <c r="Y241" s="461" t="s">
        <v>74</v>
      </c>
      <c r="Z241" s="1371"/>
      <c r="AA241" s="33" t="s">
        <v>784</v>
      </c>
      <c r="AB241" s="8">
        <v>42854</v>
      </c>
      <c r="AC241" s="4">
        <v>4600000</v>
      </c>
      <c r="AD241" s="4"/>
      <c r="AE241" s="32"/>
      <c r="AF241" s="34" t="s">
        <v>68</v>
      </c>
      <c r="AG241" s="112" t="s">
        <v>68</v>
      </c>
      <c r="AH241" s="112" t="s">
        <v>68</v>
      </c>
      <c r="AI241" s="7" t="s">
        <v>68</v>
      </c>
      <c r="AJ241" s="109" t="s">
        <v>68</v>
      </c>
      <c r="AK241" s="344" t="s">
        <v>589</v>
      </c>
      <c r="AL241" s="1">
        <v>1812410</v>
      </c>
      <c r="AM241" s="5">
        <v>42891</v>
      </c>
      <c r="AN241" s="1">
        <v>1812447</v>
      </c>
      <c r="AO241" s="5">
        <v>42891</v>
      </c>
      <c r="AP241" s="242">
        <v>1905567</v>
      </c>
      <c r="AQ241" s="60">
        <v>43236</v>
      </c>
      <c r="AR241" s="279">
        <f>314193.5+157096.78+157096.7</f>
        <v>628386.98</v>
      </c>
      <c r="AS241" s="35">
        <v>0</v>
      </c>
      <c r="AT241" s="900">
        <v>1577830.51</v>
      </c>
      <c r="AU241" s="889"/>
      <c r="AV241" s="339">
        <v>42917</v>
      </c>
      <c r="AW241" s="11">
        <v>43097</v>
      </c>
      <c r="AX241" s="223" t="s">
        <v>68</v>
      </c>
      <c r="AY241" s="224" t="s">
        <v>68</v>
      </c>
      <c r="AZ241" s="345">
        <v>43098</v>
      </c>
      <c r="BA241" s="5">
        <v>42905</v>
      </c>
      <c r="BB241" s="5">
        <v>43100</v>
      </c>
      <c r="BC241" s="11">
        <v>43098</v>
      </c>
      <c r="BD241" s="345">
        <v>43098</v>
      </c>
      <c r="BE241" s="1617"/>
      <c r="BF241" s="5">
        <v>42905</v>
      </c>
      <c r="BG241" s="5">
        <v>43100</v>
      </c>
      <c r="BH241" s="5">
        <v>43098</v>
      </c>
      <c r="BI241" s="64">
        <f t="shared" ref="BI241:BI261" si="7">AS241+AT241</f>
        <v>1577830.51</v>
      </c>
      <c r="BJ241" s="62">
        <v>43098</v>
      </c>
      <c r="BK241" s="105"/>
      <c r="BL241" s="105"/>
      <c r="BM241" s="5"/>
      <c r="BN241" s="5"/>
      <c r="BO241" s="52"/>
      <c r="BP241" s="52"/>
      <c r="BQ241" s="52"/>
      <c r="BR241" s="52"/>
      <c r="BS241" s="52"/>
      <c r="BT241" s="52"/>
      <c r="BU241" s="52"/>
      <c r="BV241" s="53"/>
      <c r="BW241" s="13"/>
      <c r="BX241" s="13"/>
      <c r="BY241" s="13"/>
      <c r="BZ241" s="13"/>
      <c r="CA241" s="13"/>
      <c r="CB241" s="1221" t="s">
        <v>1563</v>
      </c>
      <c r="CC241" s="321" t="s">
        <v>459</v>
      </c>
      <c r="CD241" s="526"/>
      <c r="CE241" s="526"/>
      <c r="CF241" s="526"/>
      <c r="CG241" s="526"/>
      <c r="CH241" s="526"/>
      <c r="CI241" s="526"/>
      <c r="CJ241" s="526"/>
      <c r="CK241" s="15"/>
    </row>
    <row r="242" spans="2:89" customFormat="1" ht="90" hidden="1" customHeight="1">
      <c r="B242" s="22"/>
      <c r="C242" s="22"/>
      <c r="D242" s="22"/>
      <c r="E242" s="22" t="s">
        <v>68</v>
      </c>
      <c r="F242" s="22"/>
      <c r="G242" s="915">
        <v>43252</v>
      </c>
      <c r="H242" s="1746"/>
      <c r="I242" s="330">
        <v>43048</v>
      </c>
      <c r="J242" s="16">
        <v>2017</v>
      </c>
      <c r="K242" s="1417"/>
      <c r="L242" s="1417"/>
      <c r="M242" s="170" t="s">
        <v>77</v>
      </c>
      <c r="N242" s="33" t="s">
        <v>785</v>
      </c>
      <c r="O242" s="172" t="s">
        <v>79</v>
      </c>
      <c r="P242" s="173" t="s">
        <v>786</v>
      </c>
      <c r="Q242" s="173" t="s">
        <v>1975</v>
      </c>
      <c r="R242" s="174">
        <v>143878.99</v>
      </c>
      <c r="S242" s="175">
        <v>42902</v>
      </c>
      <c r="T242" s="176">
        <v>42907</v>
      </c>
      <c r="U242" s="177">
        <v>42968</v>
      </c>
      <c r="V242" s="105">
        <v>42902</v>
      </c>
      <c r="W242" s="178" t="s">
        <v>739</v>
      </c>
      <c r="X242" s="170" t="s">
        <v>449</v>
      </c>
      <c r="Y242" s="461" t="s">
        <v>74</v>
      </c>
      <c r="Z242" s="1371"/>
      <c r="AA242" s="33" t="s">
        <v>778</v>
      </c>
      <c r="AB242" s="8">
        <v>42886</v>
      </c>
      <c r="AC242" s="4">
        <v>143878.99</v>
      </c>
      <c r="AD242" s="4"/>
      <c r="AE242" s="32"/>
      <c r="AF242" s="34" t="s">
        <v>68</v>
      </c>
      <c r="AG242" s="112" t="s">
        <v>68</v>
      </c>
      <c r="AH242" s="112" t="s">
        <v>68</v>
      </c>
      <c r="AI242" s="7" t="s">
        <v>68</v>
      </c>
      <c r="AJ242" s="109" t="s">
        <v>68</v>
      </c>
      <c r="AK242" s="33" t="s">
        <v>787</v>
      </c>
      <c r="AL242" s="1">
        <v>2104909</v>
      </c>
      <c r="AM242" s="5">
        <v>42905</v>
      </c>
      <c r="AN242" s="128">
        <v>2104684</v>
      </c>
      <c r="AO242" s="5">
        <v>42905</v>
      </c>
      <c r="AP242" s="128">
        <v>2136650</v>
      </c>
      <c r="AQ242" s="5">
        <v>43024</v>
      </c>
      <c r="AR242" s="279">
        <f>35969.74+14387.89+14387.89</f>
        <v>64745.52</v>
      </c>
      <c r="AS242" s="35">
        <v>0</v>
      </c>
      <c r="AT242" s="895">
        <v>157116</v>
      </c>
      <c r="AU242" s="884"/>
      <c r="AV242" s="66" t="s">
        <v>74</v>
      </c>
      <c r="AW242" s="11"/>
      <c r="AX242" s="223" t="s">
        <v>68</v>
      </c>
      <c r="AY242" s="224" t="s">
        <v>68</v>
      </c>
      <c r="AZ242" s="117" t="s">
        <v>692</v>
      </c>
      <c r="BA242" s="5">
        <v>42907</v>
      </c>
      <c r="BB242" s="5">
        <v>42968</v>
      </c>
      <c r="BC242" s="632"/>
      <c r="BD242" s="117" t="s">
        <v>692</v>
      </c>
      <c r="BE242" s="1622"/>
      <c r="BF242" s="5">
        <v>42907</v>
      </c>
      <c r="BG242" s="5">
        <v>42968</v>
      </c>
      <c r="BH242" s="474"/>
      <c r="BI242" s="36">
        <f>AS242+AT242</f>
        <v>157116</v>
      </c>
      <c r="BJ242" s="197" t="s">
        <v>692</v>
      </c>
      <c r="BK242" s="65"/>
      <c r="BL242" s="691"/>
      <c r="BM242" s="693"/>
      <c r="BN242" s="693"/>
      <c r="BO242" s="879"/>
      <c r="BP242" s="879"/>
      <c r="BQ242" s="879"/>
      <c r="BR242" s="879"/>
      <c r="BS242" s="879"/>
      <c r="BT242" s="879"/>
      <c r="BU242" s="879"/>
      <c r="BV242" s="69"/>
      <c r="BW242" s="13"/>
      <c r="BX242" s="13"/>
      <c r="BY242" s="13"/>
      <c r="BZ242" s="13"/>
      <c r="CA242" s="13"/>
      <c r="CB242" s="1221" t="s">
        <v>1563</v>
      </c>
      <c r="CC242" s="321" t="s">
        <v>459</v>
      </c>
      <c r="CD242" s="526"/>
      <c r="CE242" s="2"/>
      <c r="CF242" s="2"/>
      <c r="CG242" s="2"/>
      <c r="CH242" s="2"/>
      <c r="CI242" s="2"/>
      <c r="CJ242" s="2"/>
      <c r="CK242" s="15"/>
    </row>
    <row r="243" spans="2:89" customFormat="1" ht="89.25" hidden="1" customHeight="1">
      <c r="B243" s="22"/>
      <c r="C243" s="22"/>
      <c r="D243" s="22"/>
      <c r="E243" s="22" t="s">
        <v>68</v>
      </c>
      <c r="F243" s="22"/>
      <c r="G243" s="915">
        <v>43321</v>
      </c>
      <c r="H243" s="1746"/>
      <c r="I243" s="330">
        <v>43048</v>
      </c>
      <c r="J243" s="16">
        <v>2017</v>
      </c>
      <c r="K243" s="1417"/>
      <c r="L243" s="1417"/>
      <c r="M243" s="170" t="s">
        <v>77</v>
      </c>
      <c r="N243" s="33" t="s">
        <v>788</v>
      </c>
      <c r="O243" s="172" t="s">
        <v>79</v>
      </c>
      <c r="P243" s="173" t="s">
        <v>789</v>
      </c>
      <c r="Q243" s="173" t="s">
        <v>1975</v>
      </c>
      <c r="R243" s="174">
        <v>88991.13</v>
      </c>
      <c r="S243" s="175">
        <v>42902</v>
      </c>
      <c r="T243" s="176">
        <v>42907</v>
      </c>
      <c r="U243" s="177">
        <v>42968</v>
      </c>
      <c r="V243" s="105">
        <v>42902</v>
      </c>
      <c r="W243" s="178" t="s">
        <v>739</v>
      </c>
      <c r="X243" s="170" t="s">
        <v>449</v>
      </c>
      <c r="Y243" s="461" t="s">
        <v>74</v>
      </c>
      <c r="Z243" s="1371"/>
      <c r="AA243" s="33" t="s">
        <v>778</v>
      </c>
      <c r="AB243" s="8">
        <v>42886</v>
      </c>
      <c r="AC243" s="4">
        <v>88991.13</v>
      </c>
      <c r="AD243" s="4"/>
      <c r="AE243" s="32"/>
      <c r="AF243" s="34" t="s">
        <v>68</v>
      </c>
      <c r="AG243" s="112" t="s">
        <v>68</v>
      </c>
      <c r="AH243" s="112" t="s">
        <v>68</v>
      </c>
      <c r="AI243" s="7" t="s">
        <v>68</v>
      </c>
      <c r="AJ243" s="109" t="s">
        <v>68</v>
      </c>
      <c r="AK243" s="115" t="s">
        <v>787</v>
      </c>
      <c r="AL243" s="128">
        <v>2104912</v>
      </c>
      <c r="AM243" s="71">
        <v>42905</v>
      </c>
      <c r="AN243" s="128">
        <v>2104688</v>
      </c>
      <c r="AO243" s="5">
        <v>42905</v>
      </c>
      <c r="AP243" s="128">
        <v>2136630</v>
      </c>
      <c r="AQ243" s="5">
        <v>43024</v>
      </c>
      <c r="AR243" s="279">
        <f>22247.78+8899.11</f>
        <v>31146.89</v>
      </c>
      <c r="AS243" s="35">
        <v>0</v>
      </c>
      <c r="AT243" s="895">
        <v>409917.97</v>
      </c>
      <c r="AU243" s="884"/>
      <c r="AV243" s="324">
        <v>42907</v>
      </c>
      <c r="AW243" s="11">
        <v>42967</v>
      </c>
      <c r="AX243" s="223" t="s">
        <v>68</v>
      </c>
      <c r="AY243" s="224" t="s">
        <v>68</v>
      </c>
      <c r="AZ243" s="117" t="s">
        <v>74</v>
      </c>
      <c r="BA243" s="1"/>
      <c r="BB243" s="1"/>
      <c r="BC243" s="17"/>
      <c r="BD243" s="117" t="s">
        <v>74</v>
      </c>
      <c r="BE243" s="1622"/>
      <c r="BF243" s="5"/>
      <c r="BG243" s="5"/>
      <c r="BH243" s="5"/>
      <c r="BI243" s="36">
        <f>AS244+AT244</f>
        <v>144956.81</v>
      </c>
      <c r="BJ243" s="202"/>
      <c r="BK243" s="1362"/>
      <c r="BL243" s="676"/>
      <c r="BM243" s="474"/>
      <c r="BN243" s="474"/>
      <c r="BO243" s="880"/>
      <c r="BP243" s="880"/>
      <c r="BQ243" s="880"/>
      <c r="BR243" s="880"/>
      <c r="BS243" s="880"/>
      <c r="BT243" s="880"/>
      <c r="BU243" s="880"/>
      <c r="BV243" s="692"/>
      <c r="BW243" s="13"/>
      <c r="BX243" s="13"/>
      <c r="BY243" s="13"/>
      <c r="BZ243" s="13"/>
      <c r="CA243" s="13"/>
      <c r="CB243" s="1221" t="s">
        <v>1563</v>
      </c>
      <c r="CC243" s="321" t="s">
        <v>459</v>
      </c>
      <c r="CD243" s="526"/>
      <c r="CE243" s="2"/>
      <c r="CF243" s="2"/>
      <c r="CG243" s="2"/>
      <c r="CH243" s="2"/>
      <c r="CI243" s="2"/>
      <c r="CJ243" s="2"/>
      <c r="CK243" s="15"/>
    </row>
    <row r="244" spans="2:89" customFormat="1" ht="75" hidden="1" customHeight="1">
      <c r="B244" s="22"/>
      <c r="C244" s="22"/>
      <c r="D244" s="22"/>
      <c r="E244" s="22" t="s">
        <v>68</v>
      </c>
      <c r="F244" s="22"/>
      <c r="G244" s="915">
        <v>43264</v>
      </c>
      <c r="H244" s="1746"/>
      <c r="I244" s="330">
        <v>43048</v>
      </c>
      <c r="J244" s="16">
        <v>2017</v>
      </c>
      <c r="K244" s="1417"/>
      <c r="L244" s="1417"/>
      <c r="M244" s="170" t="s">
        <v>77</v>
      </c>
      <c r="N244" s="33" t="s">
        <v>790</v>
      </c>
      <c r="O244" s="172" t="s">
        <v>79</v>
      </c>
      <c r="P244" s="173" t="s">
        <v>791</v>
      </c>
      <c r="Q244" s="173" t="s">
        <v>1975</v>
      </c>
      <c r="R244" s="174">
        <v>120964.57</v>
      </c>
      <c r="S244" s="175">
        <v>42902</v>
      </c>
      <c r="T244" s="176">
        <v>42907</v>
      </c>
      <c r="U244" s="177">
        <v>42968</v>
      </c>
      <c r="V244" s="105">
        <v>42902</v>
      </c>
      <c r="W244" s="178" t="s">
        <v>739</v>
      </c>
      <c r="X244" s="170" t="s">
        <v>449</v>
      </c>
      <c r="Y244" s="461" t="s">
        <v>74</v>
      </c>
      <c r="Z244" s="1371"/>
      <c r="AA244" s="33" t="s">
        <v>778</v>
      </c>
      <c r="AB244" s="8">
        <v>42886</v>
      </c>
      <c r="AC244" s="4">
        <v>120964.24</v>
      </c>
      <c r="AD244" s="4"/>
      <c r="AE244" s="32"/>
      <c r="AF244" s="34" t="s">
        <v>68</v>
      </c>
      <c r="AG244" s="112" t="s">
        <v>68</v>
      </c>
      <c r="AH244" s="112" t="s">
        <v>68</v>
      </c>
      <c r="AI244" s="7" t="s">
        <v>68</v>
      </c>
      <c r="AJ244" s="109" t="s">
        <v>68</v>
      </c>
      <c r="AK244" s="115" t="s">
        <v>787</v>
      </c>
      <c r="AL244" s="128">
        <v>2104917</v>
      </c>
      <c r="AM244" s="71">
        <v>42905</v>
      </c>
      <c r="AN244" s="128">
        <v>2104692</v>
      </c>
      <c r="AO244" s="5">
        <v>42905</v>
      </c>
      <c r="AP244" s="128">
        <v>2136640</v>
      </c>
      <c r="AQ244" s="5">
        <v>43024</v>
      </c>
      <c r="AR244" s="279">
        <f>30241.14+12096.45+12096.45</f>
        <v>54434.039999999994</v>
      </c>
      <c r="AS244" s="35">
        <v>0</v>
      </c>
      <c r="AT244" s="895">
        <v>144956.81</v>
      </c>
      <c r="AU244" s="884"/>
      <c r="AV244" s="66" t="s">
        <v>74</v>
      </c>
      <c r="AW244" s="11"/>
      <c r="AX244" s="223" t="s">
        <v>68</v>
      </c>
      <c r="AY244" s="224" t="s">
        <v>68</v>
      </c>
      <c r="AZ244" s="117" t="s">
        <v>74</v>
      </c>
      <c r="BA244" s="1"/>
      <c r="BB244" s="1"/>
      <c r="BC244" s="17"/>
      <c r="BD244" s="117" t="s">
        <v>74</v>
      </c>
      <c r="BE244" s="1622"/>
      <c r="BF244" s="5"/>
      <c r="BG244" s="5"/>
      <c r="BH244" s="5"/>
      <c r="BI244" s="36">
        <f t="shared" si="7"/>
        <v>144956.81</v>
      </c>
      <c r="BJ244" s="202"/>
      <c r="BK244" s="1362"/>
      <c r="BL244" s="676"/>
      <c r="BM244" s="474"/>
      <c r="BN244" s="474"/>
      <c r="BO244" s="880"/>
      <c r="BP244" s="880"/>
      <c r="BQ244" s="880"/>
      <c r="BR244" s="880"/>
      <c r="BS244" s="880"/>
      <c r="BT244" s="880"/>
      <c r="BU244" s="880"/>
      <c r="BV244" s="692"/>
      <c r="BW244" s="13"/>
      <c r="BX244" s="13"/>
      <c r="BY244" s="13"/>
      <c r="BZ244" s="13"/>
      <c r="CA244" s="13"/>
      <c r="CB244" s="1221" t="s">
        <v>1563</v>
      </c>
      <c r="CC244" s="321" t="s">
        <v>459</v>
      </c>
      <c r="CD244" s="526"/>
      <c r="CE244" s="2"/>
      <c r="CF244" s="2"/>
      <c r="CG244" s="2"/>
      <c r="CH244" s="2"/>
      <c r="CI244" s="2"/>
      <c r="CJ244" s="2"/>
      <c r="CK244" s="15"/>
    </row>
    <row r="245" spans="2:89" customFormat="1" ht="75" hidden="1" customHeight="1">
      <c r="B245" s="22"/>
      <c r="C245" s="22"/>
      <c r="D245" s="22"/>
      <c r="E245" s="22" t="s">
        <v>68</v>
      </c>
      <c r="F245" s="22"/>
      <c r="G245" s="915">
        <v>43264</v>
      </c>
      <c r="H245" s="1746"/>
      <c r="I245" s="330">
        <v>43048</v>
      </c>
      <c r="J245" s="16">
        <v>2017</v>
      </c>
      <c r="K245" s="1417"/>
      <c r="L245" s="1417"/>
      <c r="M245" s="170" t="s">
        <v>77</v>
      </c>
      <c r="N245" s="33" t="s">
        <v>792</v>
      </c>
      <c r="O245" s="172" t="s">
        <v>79</v>
      </c>
      <c r="P245" s="173" t="s">
        <v>793</v>
      </c>
      <c r="Q245" s="173" t="s">
        <v>1975</v>
      </c>
      <c r="R245" s="174">
        <v>77992.240000000005</v>
      </c>
      <c r="S245" s="175">
        <v>42902</v>
      </c>
      <c r="T245" s="176">
        <v>42907</v>
      </c>
      <c r="U245" s="177">
        <v>42968</v>
      </c>
      <c r="V245" s="105">
        <v>42902</v>
      </c>
      <c r="W245" s="178" t="s">
        <v>739</v>
      </c>
      <c r="X245" s="170" t="s">
        <v>449</v>
      </c>
      <c r="Y245" s="461" t="s">
        <v>74</v>
      </c>
      <c r="Z245" s="1371"/>
      <c r="AA245" s="33" t="s">
        <v>778</v>
      </c>
      <c r="AB245" s="8">
        <v>42886</v>
      </c>
      <c r="AC245" s="4">
        <v>77992.240000000005</v>
      </c>
      <c r="AD245" s="4"/>
      <c r="AE245" s="32"/>
      <c r="AF245" s="34" t="s">
        <v>68</v>
      </c>
      <c r="AG245" s="112" t="s">
        <v>68</v>
      </c>
      <c r="AH245" s="112" t="s">
        <v>68</v>
      </c>
      <c r="AI245" s="7" t="s">
        <v>68</v>
      </c>
      <c r="AJ245" s="109" t="s">
        <v>68</v>
      </c>
      <c r="AK245" s="255" t="s">
        <v>787</v>
      </c>
      <c r="AL245" s="1">
        <v>2104921</v>
      </c>
      <c r="AM245" s="5">
        <v>42905</v>
      </c>
      <c r="AN245" s="128">
        <v>2104694</v>
      </c>
      <c r="AO245" s="5">
        <v>42909</v>
      </c>
      <c r="AP245" s="218" t="s">
        <v>74</v>
      </c>
      <c r="AQ245" s="1"/>
      <c r="AR245" s="279">
        <f>19498.06+7799.22</f>
        <v>27297.280000000002</v>
      </c>
      <c r="AS245" s="35">
        <v>0</v>
      </c>
      <c r="AT245" s="895">
        <v>93230.1</v>
      </c>
      <c r="AU245" s="884"/>
      <c r="AV245" s="66" t="s">
        <v>74</v>
      </c>
      <c r="AW245" s="11"/>
      <c r="AX245" s="223" t="s">
        <v>68</v>
      </c>
      <c r="AY245" s="224" t="s">
        <v>68</v>
      </c>
      <c r="AZ245" s="117" t="s">
        <v>74</v>
      </c>
      <c r="BA245" s="1"/>
      <c r="BB245" s="1"/>
      <c r="BC245" s="17"/>
      <c r="BD245" s="117" t="s">
        <v>74</v>
      </c>
      <c r="BE245" s="1622"/>
      <c r="BF245" s="5"/>
      <c r="BG245" s="5"/>
      <c r="BH245" s="5"/>
      <c r="BI245" s="36">
        <f t="shared" si="7"/>
        <v>93230.1</v>
      </c>
      <c r="BJ245" s="202"/>
      <c r="BK245" s="1362"/>
      <c r="BL245" s="676"/>
      <c r="BM245" s="474"/>
      <c r="BN245" s="474"/>
      <c r="BO245" s="880"/>
      <c r="BP245" s="880"/>
      <c r="BQ245" s="880"/>
      <c r="BR245" s="880"/>
      <c r="BS245" s="880"/>
      <c r="BT245" s="880"/>
      <c r="BU245" s="880"/>
      <c r="BV245" s="692"/>
      <c r="BW245" s="13"/>
      <c r="BX245" s="13"/>
      <c r="BY245" s="13"/>
      <c r="BZ245" s="13"/>
      <c r="CA245" s="13"/>
      <c r="CB245" s="1221" t="s">
        <v>1563</v>
      </c>
      <c r="CC245" s="321" t="s">
        <v>459</v>
      </c>
      <c r="CD245" s="526"/>
      <c r="CE245" s="2"/>
      <c r="CF245" s="2"/>
      <c r="CG245" s="2"/>
      <c r="CH245" s="2"/>
      <c r="CI245" s="2"/>
      <c r="CJ245" s="2"/>
      <c r="CK245" s="15"/>
    </row>
    <row r="246" spans="2:89" customFormat="1" ht="75" hidden="1" customHeight="1">
      <c r="B246" s="22"/>
      <c r="C246" s="22"/>
      <c r="D246" s="22"/>
      <c r="E246" s="22" t="s">
        <v>68</v>
      </c>
      <c r="F246" s="22"/>
      <c r="G246" s="915">
        <v>43256</v>
      </c>
      <c r="H246" s="1746"/>
      <c r="I246" s="330">
        <v>43048</v>
      </c>
      <c r="J246" s="16">
        <v>2017</v>
      </c>
      <c r="K246" s="1417"/>
      <c r="L246" s="1417"/>
      <c r="M246" s="170" t="s">
        <v>77</v>
      </c>
      <c r="N246" s="33" t="s">
        <v>794</v>
      </c>
      <c r="O246" s="172" t="s">
        <v>79</v>
      </c>
      <c r="P246" s="173" t="s">
        <v>795</v>
      </c>
      <c r="Q246" s="173" t="s">
        <v>1975</v>
      </c>
      <c r="R246" s="174">
        <v>125684.46</v>
      </c>
      <c r="S246" s="175">
        <v>42944</v>
      </c>
      <c r="T246" s="176">
        <v>42948</v>
      </c>
      <c r="U246" s="177">
        <v>42978</v>
      </c>
      <c r="V246" s="105">
        <v>42944</v>
      </c>
      <c r="W246" s="178" t="s">
        <v>796</v>
      </c>
      <c r="X246" s="170" t="s">
        <v>449</v>
      </c>
      <c r="Y246" s="461" t="s">
        <v>74</v>
      </c>
      <c r="Z246" s="1371"/>
      <c r="AA246" s="33" t="s">
        <v>778</v>
      </c>
      <c r="AB246" s="8">
        <v>42886</v>
      </c>
      <c r="AC246" s="4">
        <v>128488.26</v>
      </c>
      <c r="AD246" s="4"/>
      <c r="AE246" s="32"/>
      <c r="AF246" s="34" t="s">
        <v>68</v>
      </c>
      <c r="AG246" s="112" t="s">
        <v>68</v>
      </c>
      <c r="AH246" s="112" t="s">
        <v>68</v>
      </c>
      <c r="AI246" s="7" t="s">
        <v>68</v>
      </c>
      <c r="AJ246" s="109" t="s">
        <v>68</v>
      </c>
      <c r="AK246" s="115" t="s">
        <v>797</v>
      </c>
      <c r="AL246" s="128">
        <v>8146</v>
      </c>
      <c r="AM246" s="71">
        <v>42947</v>
      </c>
      <c r="AN246" s="128">
        <v>8148</v>
      </c>
      <c r="AO246" s="71">
        <v>42947</v>
      </c>
      <c r="AP246" s="128">
        <v>12133</v>
      </c>
      <c r="AQ246" s="71">
        <v>42978</v>
      </c>
      <c r="AR246" s="279">
        <f>31421.12+12568.45+12568.45</f>
        <v>56558.020000000004</v>
      </c>
      <c r="AS246" s="35">
        <v>0</v>
      </c>
      <c r="AT246" s="895">
        <v>125684.46</v>
      </c>
      <c r="AU246" s="884"/>
      <c r="AV246" s="70">
        <v>42948</v>
      </c>
      <c r="AW246" s="11">
        <v>42978</v>
      </c>
      <c r="AX246" s="223" t="s">
        <v>68</v>
      </c>
      <c r="AY246" s="224" t="s">
        <v>68</v>
      </c>
      <c r="AZ246" s="70">
        <v>42979</v>
      </c>
      <c r="BA246" s="5">
        <v>42948</v>
      </c>
      <c r="BB246" s="5">
        <v>42978</v>
      </c>
      <c r="BC246" s="11">
        <v>42978</v>
      </c>
      <c r="BD246" s="70">
        <v>42979</v>
      </c>
      <c r="BE246" s="1614"/>
      <c r="BF246" s="71">
        <v>42948</v>
      </c>
      <c r="BG246" s="71">
        <v>42978</v>
      </c>
      <c r="BH246" s="71">
        <v>42978</v>
      </c>
      <c r="BI246" s="129">
        <f t="shared" si="7"/>
        <v>125684.46</v>
      </c>
      <c r="BJ246" s="62">
        <v>42979</v>
      </c>
      <c r="BK246" s="105"/>
      <c r="BL246" s="105"/>
      <c r="BM246" s="5"/>
      <c r="BN246" s="5"/>
      <c r="BO246" s="52"/>
      <c r="BP246" s="52"/>
      <c r="BQ246" s="52"/>
      <c r="BR246" s="52"/>
      <c r="BS246" s="52"/>
      <c r="BT246" s="52"/>
      <c r="BU246" s="52"/>
      <c r="BV246" s="53"/>
      <c r="BW246" s="13"/>
      <c r="BX246" s="13"/>
      <c r="BY246" s="13"/>
      <c r="BZ246" s="13"/>
      <c r="CA246" s="13"/>
      <c r="CB246" s="1221" t="s">
        <v>1563</v>
      </c>
      <c r="CC246" s="321" t="s">
        <v>459</v>
      </c>
      <c r="CD246" s="526"/>
      <c r="CE246" s="2"/>
      <c r="CF246" s="2"/>
      <c r="CG246" s="2"/>
      <c r="CH246" s="2"/>
      <c r="CI246" s="2"/>
      <c r="CJ246" s="2"/>
      <c r="CK246" s="15"/>
    </row>
    <row r="247" spans="2:89" customFormat="1" ht="75" hidden="1" customHeight="1">
      <c r="B247" s="22"/>
      <c r="C247" s="22"/>
      <c r="D247" s="22"/>
      <c r="E247" s="22" t="s">
        <v>68</v>
      </c>
      <c r="F247" s="22"/>
      <c r="G247" s="915">
        <v>43256</v>
      </c>
      <c r="H247" s="1746"/>
      <c r="I247" s="330">
        <v>43048</v>
      </c>
      <c r="J247" s="16">
        <v>2017</v>
      </c>
      <c r="K247" s="1417"/>
      <c r="L247" s="1417"/>
      <c r="M247" s="170" t="s">
        <v>77</v>
      </c>
      <c r="N247" s="33" t="s">
        <v>798</v>
      </c>
      <c r="O247" s="172" t="s">
        <v>79</v>
      </c>
      <c r="P247" s="173" t="s">
        <v>799</v>
      </c>
      <c r="Q247" s="173" t="s">
        <v>1975</v>
      </c>
      <c r="R247" s="174">
        <v>79897.39</v>
      </c>
      <c r="S247" s="175">
        <v>42944</v>
      </c>
      <c r="T247" s="176">
        <v>42948</v>
      </c>
      <c r="U247" s="177">
        <v>42978</v>
      </c>
      <c r="V247" s="105">
        <v>42944</v>
      </c>
      <c r="W247" s="178" t="s">
        <v>796</v>
      </c>
      <c r="X247" s="170" t="s">
        <v>449</v>
      </c>
      <c r="Y247" s="461" t="s">
        <v>74</v>
      </c>
      <c r="Z247" s="1371"/>
      <c r="AA247" s="33" t="s">
        <v>778</v>
      </c>
      <c r="AB247" s="8">
        <v>42886</v>
      </c>
      <c r="AC247" s="4">
        <v>80034.22</v>
      </c>
      <c r="AD247" s="4"/>
      <c r="AE247" s="32"/>
      <c r="AF247" s="34" t="s">
        <v>68</v>
      </c>
      <c r="AG247" s="112" t="s">
        <v>68</v>
      </c>
      <c r="AH247" s="112" t="s">
        <v>68</v>
      </c>
      <c r="AI247" s="7" t="s">
        <v>68</v>
      </c>
      <c r="AJ247" s="109" t="s">
        <v>68</v>
      </c>
      <c r="AK247" s="255" t="s">
        <v>797</v>
      </c>
      <c r="AL247" s="1">
        <v>8147</v>
      </c>
      <c r="AM247" s="5">
        <v>42947</v>
      </c>
      <c r="AN247" s="131" t="s">
        <v>74</v>
      </c>
      <c r="AO247" s="5"/>
      <c r="AP247" s="131" t="s">
        <v>74</v>
      </c>
      <c r="AQ247" s="5"/>
      <c r="AR247" s="279">
        <f>19974.35</f>
        <v>19974.349999999999</v>
      </c>
      <c r="AS247" s="35">
        <v>0</v>
      </c>
      <c r="AT247" s="895">
        <v>79839.72</v>
      </c>
      <c r="AU247" s="884"/>
      <c r="AV247" s="66" t="s">
        <v>74</v>
      </c>
      <c r="AW247" s="11"/>
      <c r="AX247" s="223" t="s">
        <v>68</v>
      </c>
      <c r="AY247" s="224" t="s">
        <v>68</v>
      </c>
      <c r="AZ247" s="117" t="s">
        <v>74</v>
      </c>
      <c r="BA247" s="1"/>
      <c r="BB247" s="1"/>
      <c r="BC247" s="17"/>
      <c r="BD247" s="117" t="s">
        <v>74</v>
      </c>
      <c r="BE247" s="1622"/>
      <c r="BF247" s="5"/>
      <c r="BG247" s="5"/>
      <c r="BH247" s="5"/>
      <c r="BI247" s="36">
        <f t="shared" si="7"/>
        <v>79839.72</v>
      </c>
      <c r="BJ247" s="202"/>
      <c r="BK247" s="1362"/>
      <c r="BL247" s="676"/>
      <c r="BM247" s="474"/>
      <c r="BN247" s="474"/>
      <c r="BO247" s="880"/>
      <c r="BP247" s="880"/>
      <c r="BQ247" s="880"/>
      <c r="BR247" s="880"/>
      <c r="BS247" s="880"/>
      <c r="BT247" s="880"/>
      <c r="BU247" s="880"/>
      <c r="BV247" s="692"/>
      <c r="BW247" s="13"/>
      <c r="BX247" s="13"/>
      <c r="BY247" s="13"/>
      <c r="BZ247" s="13"/>
      <c r="CA247" s="13"/>
      <c r="CB247" s="1221" t="s">
        <v>1563</v>
      </c>
      <c r="CC247" s="321" t="s">
        <v>459</v>
      </c>
      <c r="CD247" s="526"/>
      <c r="CE247" s="2"/>
      <c r="CF247" s="2"/>
      <c r="CG247" s="2"/>
      <c r="CH247" s="2"/>
      <c r="CI247" s="2"/>
      <c r="CJ247" s="2"/>
      <c r="CK247" s="15"/>
    </row>
    <row r="248" spans="2:89" customFormat="1" ht="75" hidden="1" customHeight="1">
      <c r="B248" s="22"/>
      <c r="C248" s="22"/>
      <c r="D248" s="22"/>
      <c r="E248" s="22" t="s">
        <v>68</v>
      </c>
      <c r="F248" s="22"/>
      <c r="G248" s="915">
        <v>43252</v>
      </c>
      <c r="H248" s="1746"/>
      <c r="I248" s="330">
        <v>43048</v>
      </c>
      <c r="J248" s="16">
        <v>2017</v>
      </c>
      <c r="K248" s="1417"/>
      <c r="L248" s="1417"/>
      <c r="M248" s="170" t="s">
        <v>77</v>
      </c>
      <c r="N248" s="33" t="s">
        <v>800</v>
      </c>
      <c r="O248" s="172" t="s">
        <v>79</v>
      </c>
      <c r="P248" s="173" t="s">
        <v>801</v>
      </c>
      <c r="Q248" s="173" t="s">
        <v>1975</v>
      </c>
      <c r="R248" s="174">
        <v>119278.43</v>
      </c>
      <c r="S248" s="175">
        <v>42957</v>
      </c>
      <c r="T248" s="176">
        <v>42961</v>
      </c>
      <c r="U248" s="177">
        <v>42994</v>
      </c>
      <c r="V248" s="68">
        <v>42957</v>
      </c>
      <c r="W248" s="178" t="s">
        <v>796</v>
      </c>
      <c r="X248" s="170" t="s">
        <v>449</v>
      </c>
      <c r="Y248" s="461" t="s">
        <v>74</v>
      </c>
      <c r="Z248" s="1371"/>
      <c r="AA248" s="33" t="s">
        <v>778</v>
      </c>
      <c r="AB248" s="8">
        <v>42886</v>
      </c>
      <c r="AC248" s="4">
        <v>121299.35</v>
      </c>
      <c r="AD248" s="4"/>
      <c r="AE248" s="32"/>
      <c r="AF248" s="34" t="s">
        <v>68</v>
      </c>
      <c r="AG248" s="112" t="s">
        <v>68</v>
      </c>
      <c r="AH248" s="112" t="s">
        <v>68</v>
      </c>
      <c r="AI248" s="7" t="s">
        <v>68</v>
      </c>
      <c r="AJ248" s="109" t="s">
        <v>68</v>
      </c>
      <c r="AK248" s="33" t="s">
        <v>797</v>
      </c>
      <c r="AL248" s="1">
        <v>8143</v>
      </c>
      <c r="AM248" s="5">
        <v>42958</v>
      </c>
      <c r="AN248" s="128">
        <v>8156</v>
      </c>
      <c r="AO248" s="71">
        <v>42958</v>
      </c>
      <c r="AP248" s="128">
        <v>12135</v>
      </c>
      <c r="AQ248" s="5">
        <v>42994</v>
      </c>
      <c r="AR248" s="279">
        <f>29819.61+11927.84+11927.84</f>
        <v>53675.289999999994</v>
      </c>
      <c r="AS248" s="35">
        <v>0</v>
      </c>
      <c r="AT248" s="895">
        <v>108518.67</v>
      </c>
      <c r="AU248" s="884"/>
      <c r="AV248" s="70">
        <v>42961</v>
      </c>
      <c r="AW248" s="11">
        <v>42994</v>
      </c>
      <c r="AX248" s="223" t="s">
        <v>68</v>
      </c>
      <c r="AY248" s="224" t="s">
        <v>68</v>
      </c>
      <c r="AZ248" s="70">
        <v>42996</v>
      </c>
      <c r="BA248" s="71">
        <v>42961</v>
      </c>
      <c r="BB248" s="71">
        <v>42994</v>
      </c>
      <c r="BC248" s="127">
        <v>42994</v>
      </c>
      <c r="BD248" s="70">
        <v>42996</v>
      </c>
      <c r="BE248" s="1614"/>
      <c r="BF248" s="71">
        <v>42992</v>
      </c>
      <c r="BG248" s="71">
        <v>42994</v>
      </c>
      <c r="BH248" s="71">
        <v>42994</v>
      </c>
      <c r="BI248" s="129">
        <f t="shared" si="7"/>
        <v>108518.67</v>
      </c>
      <c r="BJ248" s="631">
        <v>42996</v>
      </c>
      <c r="BK248" s="68"/>
      <c r="BL248" s="68"/>
      <c r="BM248" s="71"/>
      <c r="BN248" s="71"/>
      <c r="BO248" s="342"/>
      <c r="BP248" s="342"/>
      <c r="BQ248" s="342"/>
      <c r="BR248" s="342"/>
      <c r="BS248" s="342"/>
      <c r="BT248" s="342"/>
      <c r="BU248" s="342"/>
      <c r="BV248" s="347"/>
      <c r="BW248" s="13"/>
      <c r="BX248" s="13"/>
      <c r="BY248" s="13"/>
      <c r="BZ248" s="13"/>
      <c r="CA248" s="13"/>
      <c r="CB248" s="1221" t="s">
        <v>1563</v>
      </c>
      <c r="CC248" s="321" t="s">
        <v>459</v>
      </c>
      <c r="CD248" s="526"/>
      <c r="CE248" s="2"/>
      <c r="CF248" s="2"/>
      <c r="CG248" s="2"/>
      <c r="CH248" s="2"/>
      <c r="CI248" s="2"/>
      <c r="CJ248" s="2"/>
      <c r="CK248" s="15"/>
    </row>
    <row r="249" spans="2:89" customFormat="1" ht="75" hidden="1" customHeight="1">
      <c r="B249" s="22"/>
      <c r="C249" s="22"/>
      <c r="D249" s="22"/>
      <c r="E249" s="22" t="s">
        <v>68</v>
      </c>
      <c r="F249" s="22"/>
      <c r="G249" s="915">
        <v>43252</v>
      </c>
      <c r="H249" s="1746"/>
      <c r="I249" s="330">
        <v>43048</v>
      </c>
      <c r="J249" s="16">
        <v>2017</v>
      </c>
      <c r="K249" s="1417"/>
      <c r="L249" s="1417"/>
      <c r="M249" s="170" t="s">
        <v>77</v>
      </c>
      <c r="N249" s="33" t="s">
        <v>802</v>
      </c>
      <c r="O249" s="172" t="s">
        <v>79</v>
      </c>
      <c r="P249" s="173" t="s">
        <v>803</v>
      </c>
      <c r="Q249" s="173" t="s">
        <v>1975</v>
      </c>
      <c r="R249" s="174">
        <v>77217.95</v>
      </c>
      <c r="S249" s="175">
        <v>42957</v>
      </c>
      <c r="T249" s="176">
        <v>42961</v>
      </c>
      <c r="U249" s="177">
        <v>42994</v>
      </c>
      <c r="V249" s="105">
        <v>42902</v>
      </c>
      <c r="W249" s="178" t="s">
        <v>796</v>
      </c>
      <c r="X249" s="170" t="s">
        <v>449</v>
      </c>
      <c r="Y249" s="461" t="s">
        <v>74</v>
      </c>
      <c r="Z249" s="1371"/>
      <c r="AA249" s="33" t="s">
        <v>778</v>
      </c>
      <c r="AB249" s="8">
        <v>42886</v>
      </c>
      <c r="AC249" s="4">
        <v>77642.48</v>
      </c>
      <c r="AD249" s="4"/>
      <c r="AE249" s="32"/>
      <c r="AF249" s="34" t="s">
        <v>68</v>
      </c>
      <c r="AG249" s="112" t="s">
        <v>68</v>
      </c>
      <c r="AH249" s="112" t="s">
        <v>68</v>
      </c>
      <c r="AI249" s="7" t="s">
        <v>68</v>
      </c>
      <c r="AJ249" s="109" t="s">
        <v>68</v>
      </c>
      <c r="AK249" s="33" t="s">
        <v>797</v>
      </c>
      <c r="AL249" s="1">
        <v>8157</v>
      </c>
      <c r="AM249" s="5">
        <v>42958</v>
      </c>
      <c r="AN249" s="128">
        <v>8159</v>
      </c>
      <c r="AO249" s="71">
        <v>42958</v>
      </c>
      <c r="AP249" s="128">
        <v>12138</v>
      </c>
      <c r="AQ249" s="5">
        <v>42994</v>
      </c>
      <c r="AR249" s="279">
        <f>19304.49+7721.8+7721.8</f>
        <v>34748.090000000004</v>
      </c>
      <c r="AS249" s="35">
        <v>0</v>
      </c>
      <c r="AT249" s="895">
        <v>77160.37</v>
      </c>
      <c r="AU249" s="884"/>
      <c r="AV249" s="70">
        <v>42961</v>
      </c>
      <c r="AW249" s="11">
        <v>42994</v>
      </c>
      <c r="AX249" s="223" t="s">
        <v>68</v>
      </c>
      <c r="AY249" s="224" t="s">
        <v>68</v>
      </c>
      <c r="AZ249" s="70">
        <v>42996</v>
      </c>
      <c r="BA249" s="5">
        <v>42961</v>
      </c>
      <c r="BB249" s="5">
        <v>42994</v>
      </c>
      <c r="BC249" s="11">
        <v>42994</v>
      </c>
      <c r="BD249" s="70">
        <v>42996</v>
      </c>
      <c r="BE249" s="1614"/>
      <c r="BF249" s="5">
        <v>42961</v>
      </c>
      <c r="BG249" s="5">
        <v>42994</v>
      </c>
      <c r="BH249" s="5">
        <v>42994</v>
      </c>
      <c r="BI249" s="36">
        <f t="shared" si="7"/>
        <v>77160.37</v>
      </c>
      <c r="BJ249" s="62">
        <v>42996</v>
      </c>
      <c r="BK249" s="105"/>
      <c r="BL249" s="105"/>
      <c r="BM249" s="5"/>
      <c r="BN249" s="5"/>
      <c r="BO249" s="52"/>
      <c r="BP249" s="52"/>
      <c r="BQ249" s="52"/>
      <c r="BR249" s="52"/>
      <c r="BS249" s="52"/>
      <c r="BT249" s="52"/>
      <c r="BU249" s="52"/>
      <c r="BV249" s="53"/>
      <c r="BW249" s="13"/>
      <c r="BX249" s="13"/>
      <c r="BY249" s="13"/>
      <c r="BZ249" s="13"/>
      <c r="CA249" s="13"/>
      <c r="CB249" s="1221" t="s">
        <v>1563</v>
      </c>
      <c r="CC249" s="321" t="s">
        <v>459</v>
      </c>
      <c r="CD249" s="526"/>
      <c r="CE249" s="2"/>
      <c r="CF249" s="2"/>
      <c r="CG249" s="2"/>
      <c r="CH249" s="2"/>
      <c r="CI249" s="2"/>
      <c r="CJ249" s="2"/>
      <c r="CK249" s="15"/>
    </row>
    <row r="250" spans="2:89" customFormat="1" ht="75" hidden="1" customHeight="1">
      <c r="B250" s="22"/>
      <c r="C250" s="22"/>
      <c r="D250" s="22"/>
      <c r="E250" s="22" t="s">
        <v>68</v>
      </c>
      <c r="F250" s="22"/>
      <c r="G250" s="915">
        <v>43255</v>
      </c>
      <c r="H250" s="1746"/>
      <c r="I250" s="330">
        <v>43048</v>
      </c>
      <c r="J250" s="16">
        <v>2017</v>
      </c>
      <c r="K250" s="1417"/>
      <c r="L250" s="1417"/>
      <c r="M250" s="170" t="s">
        <v>77</v>
      </c>
      <c r="N250" s="33" t="s">
        <v>804</v>
      </c>
      <c r="O250" s="172" t="s">
        <v>79</v>
      </c>
      <c r="P250" s="173" t="s">
        <v>805</v>
      </c>
      <c r="Q250" s="173" t="s">
        <v>1975</v>
      </c>
      <c r="R250" s="174">
        <v>101100.81</v>
      </c>
      <c r="S250" s="175">
        <v>42977</v>
      </c>
      <c r="T250" s="176">
        <v>42982</v>
      </c>
      <c r="U250" s="177">
        <v>43008</v>
      </c>
      <c r="V250" s="105">
        <v>42977</v>
      </c>
      <c r="W250" s="178" t="s">
        <v>796</v>
      </c>
      <c r="X250" s="170" t="s">
        <v>449</v>
      </c>
      <c r="Y250" s="461" t="s">
        <v>74</v>
      </c>
      <c r="Z250" s="1371"/>
      <c r="AA250" s="33" t="s">
        <v>778</v>
      </c>
      <c r="AB250" s="8">
        <v>42886</v>
      </c>
      <c r="AC250" s="4">
        <v>101136.2</v>
      </c>
      <c r="AD250" s="4"/>
      <c r="AE250" s="32"/>
      <c r="AF250" s="34" t="s">
        <v>68</v>
      </c>
      <c r="AG250" s="112" t="s">
        <v>68</v>
      </c>
      <c r="AH250" s="112" t="s">
        <v>68</v>
      </c>
      <c r="AI250" s="7" t="s">
        <v>68</v>
      </c>
      <c r="AJ250" s="109" t="s">
        <v>68</v>
      </c>
      <c r="AK250" s="115" t="s">
        <v>797</v>
      </c>
      <c r="AL250" s="128">
        <v>8141</v>
      </c>
      <c r="AM250" s="71">
        <v>42978</v>
      </c>
      <c r="AN250" s="128">
        <v>8142</v>
      </c>
      <c r="AO250" s="71">
        <v>42978</v>
      </c>
      <c r="AP250" s="128">
        <v>12139</v>
      </c>
      <c r="AQ250" s="5">
        <v>43008</v>
      </c>
      <c r="AR250" s="279">
        <f>25275.2+10110.08+10110.08</f>
        <v>45495.360000000001</v>
      </c>
      <c r="AS250" s="35">
        <v>0</v>
      </c>
      <c r="AT250" s="895">
        <v>101100.8</v>
      </c>
      <c r="AU250" s="884"/>
      <c r="AV250" s="70">
        <v>42982</v>
      </c>
      <c r="AW250" s="11">
        <v>43001</v>
      </c>
      <c r="AX250" s="223" t="s">
        <v>68</v>
      </c>
      <c r="AY250" s="224" t="s">
        <v>68</v>
      </c>
      <c r="AZ250" s="70">
        <v>43010</v>
      </c>
      <c r="BA250" s="71">
        <v>42982</v>
      </c>
      <c r="BB250" s="71">
        <v>43008</v>
      </c>
      <c r="BC250" s="127">
        <v>43008</v>
      </c>
      <c r="BD250" s="70">
        <v>43010</v>
      </c>
      <c r="BE250" s="1614"/>
      <c r="BF250" s="5">
        <v>42982</v>
      </c>
      <c r="BG250" s="5">
        <v>43008</v>
      </c>
      <c r="BH250" s="5">
        <v>43008</v>
      </c>
      <c r="BI250" s="36">
        <f t="shared" si="7"/>
        <v>101100.8</v>
      </c>
      <c r="BJ250" s="631">
        <v>43010</v>
      </c>
      <c r="BK250" s="68"/>
      <c r="BL250" s="68"/>
      <c r="BM250" s="71"/>
      <c r="BN250" s="71"/>
      <c r="BO250" s="342"/>
      <c r="BP250" s="342"/>
      <c r="BQ250" s="342"/>
      <c r="BR250" s="342"/>
      <c r="BS250" s="342"/>
      <c r="BT250" s="342"/>
      <c r="BU250" s="342"/>
      <c r="BV250" s="347"/>
      <c r="BW250" s="13"/>
      <c r="BX250" s="13"/>
      <c r="BY250" s="13"/>
      <c r="BZ250" s="13"/>
      <c r="CA250" s="13"/>
      <c r="CB250" s="1221" t="s">
        <v>1563</v>
      </c>
      <c r="CC250" s="321" t="s">
        <v>459</v>
      </c>
      <c r="CD250" s="526"/>
      <c r="CE250" s="2"/>
      <c r="CF250" s="2"/>
      <c r="CG250" s="2"/>
      <c r="CH250" s="2"/>
      <c r="CI250" s="2"/>
      <c r="CJ250" s="2"/>
      <c r="CK250" s="15"/>
    </row>
    <row r="251" spans="2:89" customFormat="1" ht="75" hidden="1" customHeight="1">
      <c r="B251" s="22"/>
      <c r="C251" s="22"/>
      <c r="D251" s="22"/>
      <c r="E251" s="22" t="s">
        <v>68</v>
      </c>
      <c r="F251" s="22"/>
      <c r="G251" s="915">
        <v>43067</v>
      </c>
      <c r="H251" s="1746"/>
      <c r="I251" s="330">
        <v>43048</v>
      </c>
      <c r="J251" s="16">
        <v>2017</v>
      </c>
      <c r="K251" s="1417"/>
      <c r="L251" s="1417"/>
      <c r="M251" s="170" t="s">
        <v>77</v>
      </c>
      <c r="N251" s="33" t="s">
        <v>806</v>
      </c>
      <c r="O251" s="172" t="s">
        <v>79</v>
      </c>
      <c r="P251" s="173" t="s">
        <v>807</v>
      </c>
      <c r="Q251" s="173" t="s">
        <v>1975</v>
      </c>
      <c r="R251" s="174">
        <v>62348.13</v>
      </c>
      <c r="S251" s="175">
        <v>42977</v>
      </c>
      <c r="T251" s="176">
        <v>42982</v>
      </c>
      <c r="U251" s="177">
        <v>43008</v>
      </c>
      <c r="V251" s="105">
        <v>42977</v>
      </c>
      <c r="W251" s="178" t="s">
        <v>796</v>
      </c>
      <c r="X251" s="170" t="s">
        <v>449</v>
      </c>
      <c r="Y251" s="461" t="s">
        <v>74</v>
      </c>
      <c r="Z251" s="1371"/>
      <c r="AA251" s="33" t="s">
        <v>778</v>
      </c>
      <c r="AB251" s="8">
        <v>42886</v>
      </c>
      <c r="AC251" s="4">
        <v>63712.39</v>
      </c>
      <c r="AD251" s="4"/>
      <c r="AE251" s="32"/>
      <c r="AF251" s="34" t="s">
        <v>68</v>
      </c>
      <c r="AG251" s="112" t="s">
        <v>68</v>
      </c>
      <c r="AH251" s="112" t="s">
        <v>68</v>
      </c>
      <c r="AI251" s="7" t="s">
        <v>68</v>
      </c>
      <c r="AJ251" s="109" t="s">
        <v>68</v>
      </c>
      <c r="AK251" s="115" t="s">
        <v>797</v>
      </c>
      <c r="AL251" s="128">
        <v>8145</v>
      </c>
      <c r="AM251" s="71">
        <v>42978</v>
      </c>
      <c r="AN251" s="128">
        <v>8155</v>
      </c>
      <c r="AO251" s="71">
        <v>42978</v>
      </c>
      <c r="AP251" s="128">
        <v>12140</v>
      </c>
      <c r="AQ251" s="5">
        <v>43008</v>
      </c>
      <c r="AR251" s="279">
        <f>15587.03+6234.81+6234.81</f>
        <v>28056.65</v>
      </c>
      <c r="AS251" s="35">
        <v>0</v>
      </c>
      <c r="AT251" s="895">
        <v>62291.82</v>
      </c>
      <c r="AU251" s="884"/>
      <c r="AV251" s="70">
        <v>42982</v>
      </c>
      <c r="AW251" s="11">
        <v>43008</v>
      </c>
      <c r="AX251" s="223" t="s">
        <v>68</v>
      </c>
      <c r="AY251" s="224" t="s">
        <v>68</v>
      </c>
      <c r="AZ251" s="70">
        <v>43010</v>
      </c>
      <c r="BA251" s="71">
        <v>42982</v>
      </c>
      <c r="BB251" s="71">
        <v>43008</v>
      </c>
      <c r="BC251" s="127">
        <v>43008</v>
      </c>
      <c r="BD251" s="70">
        <v>43010</v>
      </c>
      <c r="BE251" s="1614"/>
      <c r="BF251" s="71">
        <v>42982</v>
      </c>
      <c r="BG251" s="71">
        <v>43008</v>
      </c>
      <c r="BH251" s="71">
        <v>43008</v>
      </c>
      <c r="BI251" s="129">
        <v>62348.13</v>
      </c>
      <c r="BJ251" s="631">
        <v>43010</v>
      </c>
      <c r="BK251" s="68"/>
      <c r="BL251" s="68"/>
      <c r="BM251" s="71"/>
      <c r="BN251" s="71"/>
      <c r="BO251" s="342"/>
      <c r="BP251" s="342"/>
      <c r="BQ251" s="342"/>
      <c r="BR251" s="342"/>
      <c r="BS251" s="342"/>
      <c r="BT251" s="342"/>
      <c r="BU251" s="342"/>
      <c r="BV251" s="347"/>
      <c r="BW251" s="13"/>
      <c r="BX251" s="13"/>
      <c r="BY251" s="13"/>
      <c r="BZ251" s="13"/>
      <c r="CA251" s="13"/>
      <c r="CB251" s="1221" t="s">
        <v>1563</v>
      </c>
      <c r="CC251" s="321" t="s">
        <v>459</v>
      </c>
      <c r="CD251" s="526"/>
      <c r="CE251" s="2"/>
      <c r="CF251" s="2"/>
      <c r="CG251" s="2"/>
      <c r="CH251" s="2"/>
      <c r="CI251" s="2"/>
      <c r="CJ251" s="2"/>
      <c r="CK251" s="15"/>
    </row>
    <row r="252" spans="2:89" customFormat="1" ht="135" hidden="1" customHeight="1">
      <c r="B252" s="22"/>
      <c r="C252" s="22"/>
      <c r="D252" s="22"/>
      <c r="E252" s="22" t="s">
        <v>68</v>
      </c>
      <c r="F252" s="22"/>
      <c r="G252" s="915">
        <v>43201</v>
      </c>
      <c r="H252" s="1746"/>
      <c r="I252" s="330">
        <v>43048</v>
      </c>
      <c r="J252" s="16">
        <v>2017</v>
      </c>
      <c r="K252" s="1417"/>
      <c r="L252" s="1417"/>
      <c r="M252" s="170" t="s">
        <v>808</v>
      </c>
      <c r="N252" s="33" t="s">
        <v>809</v>
      </c>
      <c r="O252" s="172" t="s">
        <v>79</v>
      </c>
      <c r="P252" s="173" t="s">
        <v>810</v>
      </c>
      <c r="Q252" s="173" t="s">
        <v>1975</v>
      </c>
      <c r="R252" s="174">
        <v>527048.46</v>
      </c>
      <c r="S252" s="590">
        <v>42895</v>
      </c>
      <c r="T252" s="176">
        <v>42901</v>
      </c>
      <c r="U252" s="177">
        <v>42922</v>
      </c>
      <c r="V252" s="105">
        <v>42923</v>
      </c>
      <c r="W252" s="178" t="s">
        <v>777</v>
      </c>
      <c r="X252" s="170" t="s">
        <v>449</v>
      </c>
      <c r="Y252" s="611">
        <v>42934</v>
      </c>
      <c r="Z252" s="1372"/>
      <c r="AA252" s="33" t="s">
        <v>811</v>
      </c>
      <c r="AB252" s="8">
        <v>42804</v>
      </c>
      <c r="AC252" s="4">
        <v>6000000</v>
      </c>
      <c r="AD252" s="4"/>
      <c r="AE252" s="32"/>
      <c r="AF252" s="34" t="s">
        <v>68</v>
      </c>
      <c r="AG252" s="112" t="s">
        <v>68</v>
      </c>
      <c r="AH252" s="112" t="s">
        <v>68</v>
      </c>
      <c r="AI252" s="7" t="s">
        <v>68</v>
      </c>
      <c r="AJ252" s="109" t="s">
        <v>68</v>
      </c>
      <c r="AK252" s="337" t="s">
        <v>779</v>
      </c>
      <c r="AL252" s="1"/>
      <c r="AM252" s="5"/>
      <c r="AN252" s="131" t="s">
        <v>74</v>
      </c>
      <c r="AO252" s="474"/>
      <c r="AP252" s="1">
        <v>31700009824</v>
      </c>
      <c r="AQ252" s="5">
        <v>42895</v>
      </c>
      <c r="AR252" s="279">
        <f>52704.84</f>
        <v>52704.84</v>
      </c>
      <c r="AS252" s="35">
        <v>0</v>
      </c>
      <c r="AT252" s="895">
        <v>471639.52</v>
      </c>
      <c r="AU252" s="884"/>
      <c r="AV252" s="66" t="s">
        <v>74</v>
      </c>
      <c r="AW252" s="11"/>
      <c r="AX252" s="223" t="s">
        <v>68</v>
      </c>
      <c r="AY252" s="224" t="s">
        <v>68</v>
      </c>
      <c r="AZ252" s="117" t="s">
        <v>74</v>
      </c>
      <c r="BA252" s="1"/>
      <c r="BB252" s="1"/>
      <c r="BC252" s="17"/>
      <c r="BD252" s="117" t="s">
        <v>74</v>
      </c>
      <c r="BE252" s="1622"/>
      <c r="BF252" s="5"/>
      <c r="BG252" s="5"/>
      <c r="BH252" s="5"/>
      <c r="BI252" s="36">
        <f>AS252+AT252</f>
        <v>471639.52</v>
      </c>
      <c r="BJ252" s="202"/>
      <c r="BK252" s="1362"/>
      <c r="BL252" s="676"/>
      <c r="BM252" s="474"/>
      <c r="BN252" s="474"/>
      <c r="BO252" s="880"/>
      <c r="BP252" s="880"/>
      <c r="BQ252" s="880"/>
      <c r="BR252" s="880"/>
      <c r="BS252" s="880"/>
      <c r="BT252" s="880"/>
      <c r="BU252" s="880"/>
      <c r="BV252" s="692"/>
      <c r="BW252" s="13"/>
      <c r="BX252" s="13"/>
      <c r="BY252" s="13"/>
      <c r="BZ252" s="13"/>
      <c r="CA252" s="13"/>
      <c r="CB252" s="1221" t="s">
        <v>1563</v>
      </c>
      <c r="CC252" s="321" t="s">
        <v>459</v>
      </c>
      <c r="CD252" s="526"/>
      <c r="CE252" s="2"/>
      <c r="CF252" s="2"/>
      <c r="CG252" s="2"/>
      <c r="CH252" s="2"/>
      <c r="CI252" s="2"/>
      <c r="CJ252" s="2"/>
      <c r="CK252" s="15"/>
    </row>
    <row r="253" spans="2:89" customFormat="1" ht="250.5" hidden="1" customHeight="1">
      <c r="B253" s="22"/>
      <c r="C253" s="22"/>
      <c r="D253" s="22"/>
      <c r="E253" s="22" t="s">
        <v>68</v>
      </c>
      <c r="F253" s="22"/>
      <c r="G253" s="915">
        <v>43196</v>
      </c>
      <c r="H253" s="1746"/>
      <c r="I253" s="330">
        <v>43048</v>
      </c>
      <c r="J253" s="16">
        <v>2017</v>
      </c>
      <c r="K253" s="1417"/>
      <c r="L253" s="1417"/>
      <c r="M253" s="170" t="s">
        <v>808</v>
      </c>
      <c r="N253" s="33" t="s">
        <v>812</v>
      </c>
      <c r="O253" s="172" t="s">
        <v>79</v>
      </c>
      <c r="P253" s="173" t="s">
        <v>813</v>
      </c>
      <c r="Q253" s="173" t="s">
        <v>1975</v>
      </c>
      <c r="R253" s="174">
        <v>887214.12</v>
      </c>
      <c r="S253" s="590">
        <v>42951</v>
      </c>
      <c r="T253" s="176">
        <v>42955</v>
      </c>
      <c r="U253" s="177">
        <v>42986</v>
      </c>
      <c r="V253" s="105">
        <v>42950</v>
      </c>
      <c r="W253" s="178" t="s">
        <v>739</v>
      </c>
      <c r="X253" s="170" t="s">
        <v>449</v>
      </c>
      <c r="Y253" s="611">
        <v>42934</v>
      </c>
      <c r="Z253" s="1372"/>
      <c r="AA253" s="33" t="s">
        <v>814</v>
      </c>
      <c r="AB253" s="8">
        <v>42804</v>
      </c>
      <c r="AC253" s="4">
        <v>6000000</v>
      </c>
      <c r="AD253" s="4"/>
      <c r="AE253" s="32"/>
      <c r="AF253" s="34" t="s">
        <v>68</v>
      </c>
      <c r="AG253" s="112" t="s">
        <v>68</v>
      </c>
      <c r="AH253" s="112" t="s">
        <v>68</v>
      </c>
      <c r="AI253" s="7" t="s">
        <v>68</v>
      </c>
      <c r="AJ253" s="109" t="s">
        <v>68</v>
      </c>
      <c r="AK253" s="241" t="s">
        <v>787</v>
      </c>
      <c r="AL253" s="1" t="s">
        <v>68</v>
      </c>
      <c r="AM253" s="5"/>
      <c r="AN253" s="343">
        <v>2119497</v>
      </c>
      <c r="AO253" s="5">
        <v>42951</v>
      </c>
      <c r="AP253" s="1">
        <v>2136656</v>
      </c>
      <c r="AQ253" s="5">
        <v>43024</v>
      </c>
      <c r="AR253" s="279">
        <f>88721.41+88721.41</f>
        <v>177442.82</v>
      </c>
      <c r="AS253" s="35">
        <v>0</v>
      </c>
      <c r="AT253" s="895">
        <v>897371.43</v>
      </c>
      <c r="AU253" s="884"/>
      <c r="AV253" s="66" t="s">
        <v>74</v>
      </c>
      <c r="AW253" s="11"/>
      <c r="AX253" s="223" t="s">
        <v>68</v>
      </c>
      <c r="AY253" s="224" t="s">
        <v>68</v>
      </c>
      <c r="AZ253" s="30">
        <v>42986</v>
      </c>
      <c r="BA253" s="5">
        <v>42954</v>
      </c>
      <c r="BB253" s="5">
        <v>42986</v>
      </c>
      <c r="BC253" s="11">
        <v>42986</v>
      </c>
      <c r="BD253" s="30">
        <v>42986</v>
      </c>
      <c r="BE253" s="309"/>
      <c r="BF253" s="5">
        <v>42954</v>
      </c>
      <c r="BG253" s="5">
        <v>42986</v>
      </c>
      <c r="BH253" s="5">
        <v>42986</v>
      </c>
      <c r="BI253" s="253">
        <f>AS253+AT253-0.09</f>
        <v>897371.34000000008</v>
      </c>
      <c r="BJ253" s="62">
        <v>42986</v>
      </c>
      <c r="BK253" s="105"/>
      <c r="BL253" s="105"/>
      <c r="BM253" s="5"/>
      <c r="BN253" s="5"/>
      <c r="BO253" s="52"/>
      <c r="BP253" s="52"/>
      <c r="BQ253" s="52"/>
      <c r="BR253" s="52"/>
      <c r="BS253" s="52"/>
      <c r="BT253" s="52"/>
      <c r="BU253" s="52"/>
      <c r="BV253" s="53"/>
      <c r="BW253" s="13" t="s">
        <v>815</v>
      </c>
      <c r="BX253" s="13"/>
      <c r="BY253" s="13"/>
      <c r="BZ253" s="13"/>
      <c r="CA253" s="13"/>
      <c r="CB253" s="1221" t="s">
        <v>1563</v>
      </c>
      <c r="CC253" s="321" t="s">
        <v>459</v>
      </c>
      <c r="CD253" s="526"/>
      <c r="CE253" s="2"/>
      <c r="CF253" s="2"/>
      <c r="CG253" s="2"/>
      <c r="CH253" s="2"/>
      <c r="CI253" s="2"/>
      <c r="CJ253" s="2"/>
      <c r="CK253" s="15"/>
    </row>
    <row r="254" spans="2:89" customFormat="1" ht="252" hidden="1" customHeight="1">
      <c r="B254" s="22"/>
      <c r="C254" s="22"/>
      <c r="D254" s="22"/>
      <c r="E254" s="22" t="s">
        <v>68</v>
      </c>
      <c r="F254" s="22"/>
      <c r="G254" s="915">
        <v>43201</v>
      </c>
      <c r="H254" s="1746"/>
      <c r="I254" s="330"/>
      <c r="J254" s="16">
        <v>2017</v>
      </c>
      <c r="K254" s="1417"/>
      <c r="L254" s="1417"/>
      <c r="M254" s="170" t="s">
        <v>808</v>
      </c>
      <c r="N254" s="33" t="s">
        <v>816</v>
      </c>
      <c r="O254" s="172" t="s">
        <v>79</v>
      </c>
      <c r="P254" s="173" t="s">
        <v>817</v>
      </c>
      <c r="Q254" s="173" t="s">
        <v>1975</v>
      </c>
      <c r="R254" s="174">
        <v>197219.12</v>
      </c>
      <c r="S254" s="590">
        <v>43021</v>
      </c>
      <c r="T254" s="176">
        <v>43038</v>
      </c>
      <c r="U254" s="177">
        <v>43100</v>
      </c>
      <c r="V254" s="105">
        <v>43017</v>
      </c>
      <c r="W254" s="178" t="s">
        <v>796</v>
      </c>
      <c r="X254" s="170" t="s">
        <v>449</v>
      </c>
      <c r="Y254" s="611">
        <v>42934</v>
      </c>
      <c r="Z254" s="1372"/>
      <c r="AA254" s="33" t="s">
        <v>814</v>
      </c>
      <c r="AB254" s="8">
        <v>42804</v>
      </c>
      <c r="AC254" s="4">
        <v>6000000</v>
      </c>
      <c r="AD254" s="4"/>
      <c r="AE254" s="32"/>
      <c r="AF254" s="34" t="s">
        <v>68</v>
      </c>
      <c r="AG254" s="112" t="s">
        <v>68</v>
      </c>
      <c r="AH254" s="112" t="s">
        <v>68</v>
      </c>
      <c r="AI254" s="7" t="s">
        <v>68</v>
      </c>
      <c r="AJ254" s="109" t="s">
        <v>68</v>
      </c>
      <c r="AK254" s="337" t="s">
        <v>74</v>
      </c>
      <c r="AL254" s="1"/>
      <c r="AM254" s="5"/>
      <c r="AN254" s="1"/>
      <c r="AO254" s="5"/>
      <c r="AP254" s="1"/>
      <c r="AQ254" s="1"/>
      <c r="AR254" s="279"/>
      <c r="AS254" s="35">
        <v>0</v>
      </c>
      <c r="AT254" s="895">
        <v>113086.79</v>
      </c>
      <c r="AU254" s="884"/>
      <c r="AV254" s="66" t="s">
        <v>74</v>
      </c>
      <c r="AW254" s="11"/>
      <c r="AX254" s="223" t="s">
        <v>68</v>
      </c>
      <c r="AY254" s="224" t="s">
        <v>68</v>
      </c>
      <c r="AZ254" s="66" t="s">
        <v>74</v>
      </c>
      <c r="BA254" s="1"/>
      <c r="BB254" s="1"/>
      <c r="BC254" s="17"/>
      <c r="BD254" s="66" t="s">
        <v>74</v>
      </c>
      <c r="BE254" s="1423"/>
      <c r="BF254" s="5"/>
      <c r="BG254" s="5"/>
      <c r="BH254" s="5"/>
      <c r="BI254" s="36">
        <f t="shared" si="7"/>
        <v>113086.79</v>
      </c>
      <c r="BJ254" s="13"/>
      <c r="BK254" s="22"/>
      <c r="BL254" s="105"/>
      <c r="BM254" s="5"/>
      <c r="BN254" s="5"/>
      <c r="BO254" s="52"/>
      <c r="BP254" s="52"/>
      <c r="BQ254" s="52"/>
      <c r="BR254" s="52"/>
      <c r="BS254" s="52"/>
      <c r="BT254" s="52"/>
      <c r="BU254" s="52"/>
      <c r="BV254" s="53"/>
      <c r="BW254" s="13"/>
      <c r="BX254" s="13"/>
      <c r="BY254" s="13"/>
      <c r="BZ254" s="13"/>
      <c r="CA254" s="13"/>
      <c r="CB254" s="1221" t="s">
        <v>1563</v>
      </c>
      <c r="CC254" s="321" t="s">
        <v>459</v>
      </c>
      <c r="CD254" s="526"/>
      <c r="CE254" s="2"/>
      <c r="CF254" s="2"/>
      <c r="CG254" s="2"/>
      <c r="CH254" s="2"/>
      <c r="CI254" s="2"/>
      <c r="CJ254" s="2"/>
      <c r="CK254" s="15"/>
    </row>
    <row r="255" spans="2:89" customFormat="1" ht="233.25" hidden="1" customHeight="1">
      <c r="B255" s="22"/>
      <c r="C255" s="22"/>
      <c r="D255" s="22"/>
      <c r="E255" s="22" t="s">
        <v>68</v>
      </c>
      <c r="F255" s="22"/>
      <c r="G255" s="915">
        <v>43200</v>
      </c>
      <c r="H255" s="1746"/>
      <c r="I255" s="330">
        <v>43203</v>
      </c>
      <c r="J255" s="16">
        <v>2017</v>
      </c>
      <c r="K255" s="1417"/>
      <c r="L255" s="1417"/>
      <c r="M255" s="170" t="s">
        <v>808</v>
      </c>
      <c r="N255" s="33" t="s">
        <v>818</v>
      </c>
      <c r="O255" s="172" t="s">
        <v>79</v>
      </c>
      <c r="P255" s="173" t="s">
        <v>819</v>
      </c>
      <c r="Q255" s="173" t="s">
        <v>1975</v>
      </c>
      <c r="R255" s="594">
        <v>1185389.8899999999</v>
      </c>
      <c r="S255" s="590">
        <v>43021</v>
      </c>
      <c r="T255" s="176">
        <v>43031</v>
      </c>
      <c r="U255" s="177">
        <v>43100</v>
      </c>
      <c r="V255" s="105">
        <v>43017</v>
      </c>
      <c r="W255" s="178" t="s">
        <v>617</v>
      </c>
      <c r="X255" s="170" t="s">
        <v>449</v>
      </c>
      <c r="Y255" s="611">
        <v>42934</v>
      </c>
      <c r="Z255" s="1372"/>
      <c r="AA255" s="33" t="s">
        <v>811</v>
      </c>
      <c r="AB255" s="8">
        <v>42804</v>
      </c>
      <c r="AC255" s="4">
        <v>6000000</v>
      </c>
      <c r="AD255" s="4"/>
      <c r="AE255" s="32"/>
      <c r="AF255" s="34" t="s">
        <v>68</v>
      </c>
      <c r="AG255" s="112" t="s">
        <v>68</v>
      </c>
      <c r="AH255" s="112" t="s">
        <v>68</v>
      </c>
      <c r="AI255" s="7" t="s">
        <v>68</v>
      </c>
      <c r="AJ255" s="109" t="s">
        <v>68</v>
      </c>
      <c r="AK255" s="339" t="s">
        <v>589</v>
      </c>
      <c r="AL255" s="1">
        <v>1850369</v>
      </c>
      <c r="AM255" s="5">
        <v>43021</v>
      </c>
      <c r="AN255" s="1">
        <v>1850370</v>
      </c>
      <c r="AO255" s="5">
        <v>43021</v>
      </c>
      <c r="AP255" s="1">
        <v>1885021</v>
      </c>
      <c r="AQ255" s="5">
        <v>43097</v>
      </c>
      <c r="AR255" s="279">
        <f>296347.47+118538.99+118538.99</f>
        <v>533425.44999999995</v>
      </c>
      <c r="AS255" s="35">
        <v>0</v>
      </c>
      <c r="AT255" s="895">
        <v>1185389.8799999999</v>
      </c>
      <c r="AU255" s="884"/>
      <c r="AV255" s="66" t="s">
        <v>74</v>
      </c>
      <c r="AW255" s="11"/>
      <c r="AX255" s="223" t="s">
        <v>68</v>
      </c>
      <c r="AY255" s="224" t="s">
        <v>68</v>
      </c>
      <c r="AZ255" s="30">
        <v>43089</v>
      </c>
      <c r="BA255" s="5">
        <v>43029</v>
      </c>
      <c r="BB255" s="5">
        <v>43100</v>
      </c>
      <c r="BC255" s="11">
        <v>43089</v>
      </c>
      <c r="BD255" s="30">
        <v>43090</v>
      </c>
      <c r="BE255" s="309"/>
      <c r="BF255" s="5">
        <v>43031</v>
      </c>
      <c r="BG255" s="5">
        <v>43100</v>
      </c>
      <c r="BH255" s="5">
        <v>43089</v>
      </c>
      <c r="BI255" s="36">
        <f>AS255+AT255+0.01</f>
        <v>1185389.8899999999</v>
      </c>
      <c r="BJ255" s="62">
        <v>43090</v>
      </c>
      <c r="BK255" s="105"/>
      <c r="BL255" s="105"/>
      <c r="BM255" s="5"/>
      <c r="BN255" s="5"/>
      <c r="BO255" s="52"/>
      <c r="BP255" s="52"/>
      <c r="BQ255" s="52"/>
      <c r="BR255" s="52"/>
      <c r="BS255" s="52"/>
      <c r="BT255" s="52"/>
      <c r="BU255" s="52"/>
      <c r="BV255" s="53"/>
      <c r="BW255" s="13"/>
      <c r="BX255" s="13"/>
      <c r="BY255" s="13"/>
      <c r="BZ255" s="13"/>
      <c r="CA255" s="13"/>
      <c r="CB255" s="1221" t="s">
        <v>1563</v>
      </c>
      <c r="CC255" s="321" t="s">
        <v>459</v>
      </c>
      <c r="CD255" s="526"/>
      <c r="CE255" s="2"/>
      <c r="CF255" s="2"/>
      <c r="CG255" s="2"/>
      <c r="CH255" s="2"/>
      <c r="CI255" s="2"/>
      <c r="CJ255" s="2"/>
      <c r="CK255" s="15"/>
    </row>
    <row r="256" spans="2:89" customFormat="1" ht="171.75" hidden="1" customHeight="1">
      <c r="B256" s="22"/>
      <c r="C256" s="22"/>
      <c r="D256" s="22"/>
      <c r="E256" s="22" t="s">
        <v>68</v>
      </c>
      <c r="F256" s="22"/>
      <c r="G256" s="915">
        <v>43271</v>
      </c>
      <c r="H256" s="1746"/>
      <c r="I256" s="330">
        <v>43048</v>
      </c>
      <c r="J256" s="16">
        <v>2017</v>
      </c>
      <c r="K256" s="1417"/>
      <c r="L256" s="1417"/>
      <c r="M256" s="170" t="s">
        <v>808</v>
      </c>
      <c r="N256" s="33" t="s">
        <v>820</v>
      </c>
      <c r="O256" s="172" t="s">
        <v>79</v>
      </c>
      <c r="P256" s="173" t="s">
        <v>821</v>
      </c>
      <c r="Q256" s="173" t="s">
        <v>1975</v>
      </c>
      <c r="R256" s="174">
        <v>227599.71</v>
      </c>
      <c r="S256" s="175">
        <v>42926</v>
      </c>
      <c r="T256" s="176">
        <v>42928</v>
      </c>
      <c r="U256" s="177">
        <v>43035</v>
      </c>
      <c r="V256" s="105">
        <v>42926</v>
      </c>
      <c r="W256" s="178" t="s">
        <v>476</v>
      </c>
      <c r="X256" s="170" t="s">
        <v>449</v>
      </c>
      <c r="Y256" s="611">
        <v>42934</v>
      </c>
      <c r="Z256" s="1372"/>
      <c r="AA256" s="33" t="s">
        <v>811</v>
      </c>
      <c r="AB256" s="8">
        <v>42804</v>
      </c>
      <c r="AC256" s="4">
        <v>6000000</v>
      </c>
      <c r="AD256" s="4"/>
      <c r="AE256" s="32"/>
      <c r="AF256" s="34" t="s">
        <v>68</v>
      </c>
      <c r="AG256" s="112" t="s">
        <v>68</v>
      </c>
      <c r="AH256" s="112" t="s">
        <v>68</v>
      </c>
      <c r="AI256" s="7" t="s">
        <v>68</v>
      </c>
      <c r="AJ256" s="109" t="s">
        <v>68</v>
      </c>
      <c r="AK256" s="33" t="s">
        <v>107</v>
      </c>
      <c r="AL256" s="1" t="s">
        <v>68</v>
      </c>
      <c r="AM256" s="5"/>
      <c r="AN256" s="1" t="s">
        <v>822</v>
      </c>
      <c r="AO256" s="5">
        <v>42927</v>
      </c>
      <c r="AP256" s="1" t="s">
        <v>823</v>
      </c>
      <c r="AQ256" s="5">
        <v>43084</v>
      </c>
      <c r="AR256" s="279">
        <f>22759.97+22759.97</f>
        <v>45519.94</v>
      </c>
      <c r="AS256" s="35">
        <v>0</v>
      </c>
      <c r="AT256" s="895">
        <v>227557.25</v>
      </c>
      <c r="AU256" s="884"/>
      <c r="AV256" s="66" t="s">
        <v>74</v>
      </c>
      <c r="AW256" s="11"/>
      <c r="AX256" s="223" t="s">
        <v>68</v>
      </c>
      <c r="AY256" s="224" t="s">
        <v>68</v>
      </c>
      <c r="AZ256" s="30">
        <v>43083</v>
      </c>
      <c r="BA256" s="5">
        <v>42928</v>
      </c>
      <c r="BB256" s="5">
        <v>43035</v>
      </c>
      <c r="BC256" s="11">
        <v>43083</v>
      </c>
      <c r="BD256" s="30">
        <v>43083</v>
      </c>
      <c r="BE256" s="309"/>
      <c r="BF256" s="5">
        <v>42928</v>
      </c>
      <c r="BG256" s="5">
        <v>43035</v>
      </c>
      <c r="BH256" s="5">
        <v>43083</v>
      </c>
      <c r="BI256" s="36">
        <v>227557.25</v>
      </c>
      <c r="BJ256" s="13"/>
      <c r="BK256" s="22"/>
      <c r="BL256" s="105"/>
      <c r="BM256" s="5"/>
      <c r="BN256" s="5"/>
      <c r="BO256" s="52"/>
      <c r="BP256" s="52"/>
      <c r="BQ256" s="52"/>
      <c r="BR256" s="52"/>
      <c r="BS256" s="52"/>
      <c r="BT256" s="52"/>
      <c r="BU256" s="52"/>
      <c r="BV256" s="53"/>
      <c r="BW256" s="13"/>
      <c r="BX256" s="13"/>
      <c r="BY256" s="13"/>
      <c r="BZ256" s="13"/>
      <c r="CA256" s="13"/>
      <c r="CB256" s="1221" t="s">
        <v>1563</v>
      </c>
      <c r="CC256" s="321" t="s">
        <v>459</v>
      </c>
      <c r="CD256" s="526"/>
      <c r="CE256" s="2"/>
      <c r="CF256" s="2"/>
      <c r="CG256" s="2"/>
      <c r="CH256" s="2"/>
      <c r="CI256" s="2"/>
      <c r="CJ256" s="2"/>
      <c r="CK256" s="15"/>
    </row>
    <row r="257" spans="1:89" ht="175.5" hidden="1" customHeight="1">
      <c r="A257"/>
      <c r="B257" s="22"/>
      <c r="C257" s="22"/>
      <c r="D257" s="22"/>
      <c r="E257" s="22" t="s">
        <v>68</v>
      </c>
      <c r="F257" s="22"/>
      <c r="G257" s="915">
        <v>43271</v>
      </c>
      <c r="H257" s="1746"/>
      <c r="I257" s="330">
        <v>43048</v>
      </c>
      <c r="J257" s="16">
        <v>2017</v>
      </c>
      <c r="K257" s="1417"/>
      <c r="L257" s="1417"/>
      <c r="M257" s="170" t="s">
        <v>808</v>
      </c>
      <c r="N257" s="33" t="s">
        <v>824</v>
      </c>
      <c r="O257" s="172" t="s">
        <v>79</v>
      </c>
      <c r="P257" s="173" t="s">
        <v>825</v>
      </c>
      <c r="Q257" s="173" t="s">
        <v>1975</v>
      </c>
      <c r="R257" s="594">
        <v>1522376.56</v>
      </c>
      <c r="S257" s="590">
        <v>42927</v>
      </c>
      <c r="T257" s="176">
        <v>42928</v>
      </c>
      <c r="U257" s="177">
        <v>43035</v>
      </c>
      <c r="V257" s="105">
        <v>42926</v>
      </c>
      <c r="W257" s="178" t="s">
        <v>826</v>
      </c>
      <c r="X257" s="170" t="s">
        <v>449</v>
      </c>
      <c r="Y257" s="611">
        <v>42934</v>
      </c>
      <c r="Z257" s="1372"/>
      <c r="AA257" s="33" t="s">
        <v>811</v>
      </c>
      <c r="AB257" s="8">
        <v>42804</v>
      </c>
      <c r="AC257" s="4">
        <v>6000000</v>
      </c>
      <c r="AD257" s="4"/>
      <c r="AE257" s="32"/>
      <c r="AF257" s="34" t="s">
        <v>68</v>
      </c>
      <c r="AG257" s="112" t="s">
        <v>68</v>
      </c>
      <c r="AH257" s="112" t="s">
        <v>68</v>
      </c>
      <c r="AI257" s="7" t="s">
        <v>68</v>
      </c>
      <c r="AJ257" s="109" t="s">
        <v>68</v>
      </c>
      <c r="AK257" s="255" t="s">
        <v>827</v>
      </c>
      <c r="AL257" s="1" t="s">
        <v>828</v>
      </c>
      <c r="AM257" s="5">
        <v>42927</v>
      </c>
      <c r="AN257" s="131" t="s">
        <v>74</v>
      </c>
      <c r="AO257" s="5"/>
      <c r="AP257" s="1" t="s">
        <v>829</v>
      </c>
      <c r="AQ257" s="5">
        <v>43084</v>
      </c>
      <c r="AR257" s="279">
        <f>152237.65</f>
        <v>152237.65</v>
      </c>
      <c r="AS257" s="35">
        <v>0</v>
      </c>
      <c r="AT257" s="895" t="s">
        <v>830</v>
      </c>
      <c r="AU257" s="884"/>
      <c r="AV257" s="66" t="s">
        <v>74</v>
      </c>
      <c r="AW257" s="11"/>
      <c r="AX257" s="223" t="s">
        <v>68</v>
      </c>
      <c r="AY257" s="224" t="s">
        <v>68</v>
      </c>
      <c r="AZ257" s="30">
        <v>43083</v>
      </c>
      <c r="BA257" s="5">
        <v>42928</v>
      </c>
      <c r="BB257" s="5">
        <v>43035</v>
      </c>
      <c r="BC257" s="11">
        <v>43083</v>
      </c>
      <c r="BD257" s="30">
        <v>43083</v>
      </c>
      <c r="BE257" s="309"/>
      <c r="BF257" s="5">
        <v>42928</v>
      </c>
      <c r="BG257" s="5">
        <v>43035</v>
      </c>
      <c r="BH257" s="5">
        <v>43083</v>
      </c>
      <c r="BI257" s="36">
        <v>1522375.65</v>
      </c>
      <c r="BJ257" s="13"/>
      <c r="BK257" s="22"/>
      <c r="BL257" s="105"/>
      <c r="BM257" s="5"/>
      <c r="BN257" s="5"/>
      <c r="BO257" s="52"/>
      <c r="BP257" s="52"/>
      <c r="BQ257" s="52"/>
      <c r="BR257" s="52"/>
      <c r="BS257" s="52"/>
      <c r="BT257" s="52"/>
      <c r="BU257" s="52"/>
      <c r="BV257" s="53"/>
      <c r="BW257" s="13"/>
      <c r="BX257" s="13"/>
      <c r="BY257" s="13"/>
      <c r="BZ257" s="13"/>
      <c r="CA257" s="13"/>
      <c r="CB257" s="1221" t="s">
        <v>1563</v>
      </c>
      <c r="CC257" s="321" t="s">
        <v>459</v>
      </c>
      <c r="CD257" s="526"/>
      <c r="CE257" s="2"/>
      <c r="CF257" s="2"/>
      <c r="CG257" s="2"/>
      <c r="CH257" s="2"/>
      <c r="CI257" s="2"/>
      <c r="CJ257" s="2"/>
      <c r="CK257" s="15"/>
    </row>
    <row r="258" spans="1:89" ht="72.75" hidden="1" customHeight="1">
      <c r="A258"/>
      <c r="B258" s="22"/>
      <c r="C258" s="22"/>
      <c r="D258" s="22"/>
      <c r="E258" s="22" t="s">
        <v>68</v>
      </c>
      <c r="F258" s="22"/>
      <c r="G258" s="915">
        <v>43322</v>
      </c>
      <c r="H258" s="1746"/>
      <c r="I258" s="330"/>
      <c r="J258" s="16">
        <v>2017</v>
      </c>
      <c r="K258" s="1417"/>
      <c r="L258" s="1417"/>
      <c r="M258" s="170" t="s">
        <v>77</v>
      </c>
      <c r="N258" s="33" t="s">
        <v>831</v>
      </c>
      <c r="O258" s="172" t="s">
        <v>79</v>
      </c>
      <c r="P258" s="173" t="s">
        <v>832</v>
      </c>
      <c r="Q258" s="173" t="s">
        <v>1975</v>
      </c>
      <c r="R258" s="594">
        <v>275105.09999999998</v>
      </c>
      <c r="S258" s="590">
        <v>43028</v>
      </c>
      <c r="T258" s="176">
        <v>43031</v>
      </c>
      <c r="U258" s="177">
        <v>43039</v>
      </c>
      <c r="V258" s="68">
        <v>43024</v>
      </c>
      <c r="W258" s="178" t="s">
        <v>739</v>
      </c>
      <c r="X258" s="170" t="s">
        <v>449</v>
      </c>
      <c r="Y258" s="461" t="s">
        <v>74</v>
      </c>
      <c r="Z258" s="1371"/>
      <c r="AA258" s="344" t="s">
        <v>778</v>
      </c>
      <c r="AB258" s="8">
        <v>43251</v>
      </c>
      <c r="AC258" s="4">
        <f>147612.83+129565.48</f>
        <v>277178.31</v>
      </c>
      <c r="AD258" s="4"/>
      <c r="AE258" s="32"/>
      <c r="AF258" s="34" t="s">
        <v>68</v>
      </c>
      <c r="AG258" s="112" t="s">
        <v>68</v>
      </c>
      <c r="AH258" s="112" t="s">
        <v>68</v>
      </c>
      <c r="AI258" s="7" t="s">
        <v>68</v>
      </c>
      <c r="AJ258" s="215" t="s">
        <v>68</v>
      </c>
      <c r="AK258" s="344" t="s">
        <v>232</v>
      </c>
      <c r="AL258" s="1" t="s">
        <v>68</v>
      </c>
      <c r="AM258" s="5"/>
      <c r="AN258" s="343">
        <v>2142386</v>
      </c>
      <c r="AO258" s="5">
        <v>43028</v>
      </c>
      <c r="AP258" s="1">
        <v>2150977</v>
      </c>
      <c r="AQ258" s="5">
        <v>43068</v>
      </c>
      <c r="AR258" s="279">
        <f>27510.51+27510.51</f>
        <v>55021.02</v>
      </c>
      <c r="AS258" s="35">
        <v>0</v>
      </c>
      <c r="AT258" s="900">
        <v>293530.17</v>
      </c>
      <c r="AU258" s="889"/>
      <c r="AV258" s="337" t="s">
        <v>74</v>
      </c>
      <c r="AW258" s="11"/>
      <c r="AX258" s="223" t="s">
        <v>68</v>
      </c>
      <c r="AY258" s="224" t="s">
        <v>68</v>
      </c>
      <c r="AZ258" s="30">
        <v>43039</v>
      </c>
      <c r="BA258" s="5">
        <v>43031</v>
      </c>
      <c r="BB258" s="5">
        <v>43039</v>
      </c>
      <c r="BC258" s="11">
        <v>43039</v>
      </c>
      <c r="BD258" s="339">
        <v>43039</v>
      </c>
      <c r="BE258" s="1616"/>
      <c r="BF258" s="5">
        <v>43031</v>
      </c>
      <c r="BG258" s="5">
        <v>43039</v>
      </c>
      <c r="BH258" s="5">
        <v>43039</v>
      </c>
      <c r="BI258" s="36">
        <f t="shared" si="7"/>
        <v>293530.17</v>
      </c>
      <c r="BJ258" s="13"/>
      <c r="BK258" s="22"/>
      <c r="BL258" s="105"/>
      <c r="BM258" s="5"/>
      <c r="BN258" s="5"/>
      <c r="BO258" s="52"/>
      <c r="BP258" s="52"/>
      <c r="BQ258" s="52"/>
      <c r="BR258" s="52"/>
      <c r="BS258" s="52"/>
      <c r="BT258" s="52"/>
      <c r="BU258" s="52"/>
      <c r="BV258" s="53"/>
      <c r="BW258" s="13"/>
      <c r="BX258" s="13"/>
      <c r="BY258" s="13"/>
      <c r="BZ258" s="13"/>
      <c r="CA258" s="13"/>
      <c r="CB258" s="1221" t="s">
        <v>1563</v>
      </c>
      <c r="CC258" s="321" t="s">
        <v>459</v>
      </c>
      <c r="CD258" s="526"/>
      <c r="CE258" s="2"/>
      <c r="CF258" s="2"/>
      <c r="CG258" s="2"/>
      <c r="CH258" s="2"/>
      <c r="CI258" s="2"/>
      <c r="CJ258" s="2"/>
      <c r="CK258" s="15"/>
    </row>
    <row r="259" spans="1:89" ht="64.5" hidden="1" customHeight="1">
      <c r="A259"/>
      <c r="B259" s="22"/>
      <c r="C259" s="22"/>
      <c r="D259" s="22"/>
      <c r="E259" s="22" t="s">
        <v>68</v>
      </c>
      <c r="F259" s="22"/>
      <c r="G259" s="915">
        <v>43322</v>
      </c>
      <c r="H259" s="1746"/>
      <c r="I259" s="330"/>
      <c r="J259" s="16">
        <v>2017</v>
      </c>
      <c r="K259" s="1417"/>
      <c r="L259" s="1417"/>
      <c r="M259" s="170" t="s">
        <v>77</v>
      </c>
      <c r="N259" s="33" t="s">
        <v>833</v>
      </c>
      <c r="O259" s="628" t="s">
        <v>79</v>
      </c>
      <c r="P259" s="595" t="s">
        <v>834</v>
      </c>
      <c r="Q259" s="595" t="s">
        <v>1975</v>
      </c>
      <c r="R259" s="629">
        <v>185828.12</v>
      </c>
      <c r="S259" s="589">
        <v>43028</v>
      </c>
      <c r="T259" s="609">
        <v>43035</v>
      </c>
      <c r="U259" s="610">
        <v>43041</v>
      </c>
      <c r="V259" s="68">
        <v>43024</v>
      </c>
      <c r="W259" s="178" t="s">
        <v>739</v>
      </c>
      <c r="X259" s="170" t="s">
        <v>449</v>
      </c>
      <c r="Y259" s="611">
        <v>42928</v>
      </c>
      <c r="Z259" s="1372"/>
      <c r="AA259" s="344" t="s">
        <v>778</v>
      </c>
      <c r="AB259" s="8">
        <v>43251</v>
      </c>
      <c r="AC259" s="4">
        <v>96702.63</v>
      </c>
      <c r="AD259" s="4"/>
      <c r="AE259" s="32"/>
      <c r="AF259" s="34" t="s">
        <v>68</v>
      </c>
      <c r="AG259" s="112" t="s">
        <v>68</v>
      </c>
      <c r="AH259" s="112" t="s">
        <v>68</v>
      </c>
      <c r="AI259" s="7" t="s">
        <v>68</v>
      </c>
      <c r="AJ259" s="215" t="s">
        <v>68</v>
      </c>
      <c r="AK259" s="115" t="s">
        <v>232</v>
      </c>
      <c r="AL259" s="1" t="s">
        <v>68</v>
      </c>
      <c r="AM259" s="5"/>
      <c r="AN259" s="1">
        <v>2142377</v>
      </c>
      <c r="AO259" s="5">
        <v>43028</v>
      </c>
      <c r="AP259" s="1">
        <v>2158687</v>
      </c>
      <c r="AQ259" s="5">
        <v>43080</v>
      </c>
      <c r="AR259" s="279">
        <f>18582.81+18582.81</f>
        <v>37165.620000000003</v>
      </c>
      <c r="AS259" s="35">
        <v>0</v>
      </c>
      <c r="AT259" s="895">
        <v>171505.29</v>
      </c>
      <c r="AU259" s="884"/>
      <c r="AV259" s="337" t="s">
        <v>74</v>
      </c>
      <c r="AW259" s="11"/>
      <c r="AX259" s="223" t="s">
        <v>68</v>
      </c>
      <c r="AY259" s="224" t="s">
        <v>68</v>
      </c>
      <c r="AZ259" s="70">
        <v>43041</v>
      </c>
      <c r="BA259" s="5">
        <v>43035</v>
      </c>
      <c r="BB259" s="5">
        <v>43041</v>
      </c>
      <c r="BC259" s="11">
        <v>43041</v>
      </c>
      <c r="BD259" s="339">
        <v>43041</v>
      </c>
      <c r="BE259" s="1616"/>
      <c r="BF259" s="5">
        <v>43066</v>
      </c>
      <c r="BG259" s="5">
        <v>43041</v>
      </c>
      <c r="BH259" s="5">
        <v>43041</v>
      </c>
      <c r="BI259" s="36">
        <f t="shared" si="7"/>
        <v>171505.29</v>
      </c>
      <c r="BJ259" s="13"/>
      <c r="BK259" s="22"/>
      <c r="BL259" s="105"/>
      <c r="BM259" s="5"/>
      <c r="BN259" s="5"/>
      <c r="BO259" s="52"/>
      <c r="BP259" s="52"/>
      <c r="BQ259" s="52"/>
      <c r="BR259" s="52"/>
      <c r="BS259" s="52"/>
      <c r="BT259" s="52"/>
      <c r="BU259" s="52"/>
      <c r="BV259" s="53"/>
      <c r="BW259" s="13"/>
      <c r="BX259" s="13"/>
      <c r="BY259" s="13"/>
      <c r="BZ259" s="13"/>
      <c r="CA259" s="13"/>
      <c r="CB259" s="1221" t="s">
        <v>1563</v>
      </c>
      <c r="CC259" s="321" t="s">
        <v>459</v>
      </c>
      <c r="CD259" s="526"/>
      <c r="CE259" s="2"/>
      <c r="CF259" s="2"/>
      <c r="CG259" s="2"/>
      <c r="CH259" s="2"/>
      <c r="CI259" s="2"/>
      <c r="CJ259" s="2"/>
      <c r="CK259" s="15"/>
    </row>
    <row r="260" spans="1:89" ht="75.75" hidden="1" customHeight="1">
      <c r="A260"/>
      <c r="B260" s="22"/>
      <c r="C260" s="22"/>
      <c r="D260" s="22"/>
      <c r="E260" s="22" t="s">
        <v>68</v>
      </c>
      <c r="F260" s="22"/>
      <c r="G260" s="915">
        <v>43245</v>
      </c>
      <c r="H260" s="1746"/>
      <c r="I260" s="330">
        <v>43048</v>
      </c>
      <c r="J260" s="16">
        <v>2017</v>
      </c>
      <c r="K260" s="1417"/>
      <c r="L260" s="1417"/>
      <c r="M260" s="170" t="s">
        <v>77</v>
      </c>
      <c r="N260" s="33" t="s">
        <v>835</v>
      </c>
      <c r="O260" s="172" t="s">
        <v>79</v>
      </c>
      <c r="P260" s="451" t="s">
        <v>836</v>
      </c>
      <c r="Q260" s="451" t="s">
        <v>2577</v>
      </c>
      <c r="R260" s="174">
        <v>181893.05</v>
      </c>
      <c r="S260" s="175">
        <v>42954</v>
      </c>
      <c r="T260" s="176">
        <v>42956</v>
      </c>
      <c r="U260" s="177">
        <v>42970</v>
      </c>
      <c r="V260" s="105">
        <v>42954</v>
      </c>
      <c r="W260" s="178" t="s">
        <v>739</v>
      </c>
      <c r="X260" s="170" t="s">
        <v>563</v>
      </c>
      <c r="Y260" s="461" t="s">
        <v>74</v>
      </c>
      <c r="Z260" s="1371"/>
      <c r="AA260" s="33" t="s">
        <v>837</v>
      </c>
      <c r="AB260" s="8">
        <v>42947</v>
      </c>
      <c r="AC260" s="4">
        <v>181893.05</v>
      </c>
      <c r="AD260" s="4"/>
      <c r="AE260" s="32"/>
      <c r="AF260" s="34" t="s">
        <v>68</v>
      </c>
      <c r="AG260" s="112" t="s">
        <v>68</v>
      </c>
      <c r="AH260" s="112" t="s">
        <v>68</v>
      </c>
      <c r="AI260" s="7" t="s">
        <v>68</v>
      </c>
      <c r="AJ260" s="109" t="s">
        <v>68</v>
      </c>
      <c r="AK260" s="241" t="s">
        <v>787</v>
      </c>
      <c r="AL260" s="1" t="s">
        <v>68</v>
      </c>
      <c r="AM260" s="5"/>
      <c r="AN260" s="343">
        <v>2119502</v>
      </c>
      <c r="AO260" s="5">
        <v>42955</v>
      </c>
      <c r="AP260" s="1">
        <v>2124584</v>
      </c>
      <c r="AQ260" s="5">
        <v>42982</v>
      </c>
      <c r="AR260" s="279">
        <f>18189.3+18189.3</f>
        <v>36378.6</v>
      </c>
      <c r="AS260" s="35">
        <v>0</v>
      </c>
      <c r="AT260" s="895">
        <v>217256.38</v>
      </c>
      <c r="AU260" s="884"/>
      <c r="AV260" s="70">
        <v>42956</v>
      </c>
      <c r="AW260" s="11">
        <v>42970</v>
      </c>
      <c r="AX260" s="223" t="s">
        <v>68</v>
      </c>
      <c r="AY260" s="224" t="s">
        <v>68</v>
      </c>
      <c r="AZ260" s="30">
        <v>42970</v>
      </c>
      <c r="BA260" s="5">
        <v>42956</v>
      </c>
      <c r="BB260" s="5">
        <v>42970</v>
      </c>
      <c r="BC260" s="11">
        <v>42970</v>
      </c>
      <c r="BD260" s="30">
        <v>42971</v>
      </c>
      <c r="BE260" s="309"/>
      <c r="BF260" s="5">
        <v>42956</v>
      </c>
      <c r="BG260" s="5">
        <v>42970</v>
      </c>
      <c r="BH260" s="5">
        <v>42970</v>
      </c>
      <c r="BI260" s="36">
        <f t="shared" si="7"/>
        <v>217256.38</v>
      </c>
      <c r="BJ260" s="62">
        <v>42972</v>
      </c>
      <c r="BK260" s="105"/>
      <c r="BL260" s="105"/>
      <c r="BM260" s="5"/>
      <c r="BN260" s="5"/>
      <c r="BO260" s="52"/>
      <c r="BP260" s="52"/>
      <c r="BQ260" s="52"/>
      <c r="BR260" s="52"/>
      <c r="BS260" s="52"/>
      <c r="BT260" s="52"/>
      <c r="BU260" s="52"/>
      <c r="BV260" s="53"/>
      <c r="BW260" s="13"/>
      <c r="BX260" s="13"/>
      <c r="BY260" s="13"/>
      <c r="BZ260" s="13"/>
      <c r="CA260" s="13"/>
      <c r="CB260" s="1221" t="s">
        <v>1563</v>
      </c>
      <c r="CC260" s="321" t="s">
        <v>459</v>
      </c>
      <c r="CD260" s="526"/>
      <c r="CE260" s="526"/>
      <c r="CF260" s="526"/>
      <c r="CG260" s="526"/>
      <c r="CH260" s="526"/>
      <c r="CI260" s="526"/>
      <c r="CJ260" s="526"/>
      <c r="CK260" s="15"/>
    </row>
    <row r="261" spans="1:89" ht="92.25" hidden="1" customHeight="1">
      <c r="A261" t="s">
        <v>524</v>
      </c>
      <c r="B261" s="22"/>
      <c r="C261" s="22"/>
      <c r="D261" s="22"/>
      <c r="E261" s="22" t="s">
        <v>68</v>
      </c>
      <c r="F261" s="22"/>
      <c r="G261" s="915">
        <v>43245</v>
      </c>
      <c r="H261" s="1746"/>
      <c r="I261" s="330">
        <v>43048</v>
      </c>
      <c r="J261" s="16">
        <v>2017</v>
      </c>
      <c r="K261" s="1417"/>
      <c r="L261" s="1417"/>
      <c r="M261" s="170" t="s">
        <v>77</v>
      </c>
      <c r="N261" s="33" t="s">
        <v>838</v>
      </c>
      <c r="O261" s="172" t="s">
        <v>79</v>
      </c>
      <c r="P261" s="451" t="s">
        <v>839</v>
      </c>
      <c r="Q261" s="451" t="s">
        <v>2577</v>
      </c>
      <c r="R261" s="174">
        <v>237009.82</v>
      </c>
      <c r="S261" s="175">
        <v>42968</v>
      </c>
      <c r="T261" s="176">
        <v>42970</v>
      </c>
      <c r="U261" s="177">
        <v>42985</v>
      </c>
      <c r="V261" s="105">
        <v>42968</v>
      </c>
      <c r="W261" s="178" t="s">
        <v>739</v>
      </c>
      <c r="X261" s="170" t="s">
        <v>563</v>
      </c>
      <c r="Y261" s="461" t="s">
        <v>74</v>
      </c>
      <c r="Z261" s="1371"/>
      <c r="AA261" s="33" t="s">
        <v>840</v>
      </c>
      <c r="AB261" s="8">
        <v>42947</v>
      </c>
      <c r="AC261" s="4">
        <v>237009.82</v>
      </c>
      <c r="AD261" s="4"/>
      <c r="AE261" s="32"/>
      <c r="AF261" s="34" t="s">
        <v>68</v>
      </c>
      <c r="AG261" s="112" t="s">
        <v>68</v>
      </c>
      <c r="AH261" s="112" t="s">
        <v>68</v>
      </c>
      <c r="AI261" s="7" t="s">
        <v>68</v>
      </c>
      <c r="AJ261" s="109" t="s">
        <v>68</v>
      </c>
      <c r="AK261" s="255" t="s">
        <v>787</v>
      </c>
      <c r="AL261" s="1" t="s">
        <v>68</v>
      </c>
      <c r="AM261" s="5"/>
      <c r="AN261" s="1">
        <v>2122703</v>
      </c>
      <c r="AO261" s="5">
        <v>42969</v>
      </c>
      <c r="AP261" s="218" t="s">
        <v>74</v>
      </c>
      <c r="AQ261" s="5"/>
      <c r="AR261" s="279">
        <f>23700.98</f>
        <v>23700.98</v>
      </c>
      <c r="AS261" s="35">
        <v>0</v>
      </c>
      <c r="AT261" s="895">
        <v>234292.09</v>
      </c>
      <c r="AU261" s="884"/>
      <c r="AV261" s="70">
        <v>42970</v>
      </c>
      <c r="AW261" s="11">
        <v>42985</v>
      </c>
      <c r="AX261" s="223" t="s">
        <v>68</v>
      </c>
      <c r="AY261" s="224" t="s">
        <v>68</v>
      </c>
      <c r="AZ261" s="66" t="s">
        <v>74</v>
      </c>
      <c r="BA261" s="5"/>
      <c r="BB261" s="5"/>
      <c r="BC261" s="11"/>
      <c r="BD261" s="568">
        <v>42977</v>
      </c>
      <c r="BE261" s="1618"/>
      <c r="BF261" s="5"/>
      <c r="BG261" s="5"/>
      <c r="BH261" s="5"/>
      <c r="BI261" s="36">
        <f t="shared" si="7"/>
        <v>234292.09</v>
      </c>
      <c r="BJ261" s="537" t="s">
        <v>74</v>
      </c>
      <c r="BK261" s="691"/>
      <c r="BL261" s="691"/>
      <c r="BM261" s="693"/>
      <c r="BN261" s="693"/>
      <c r="BO261" s="879"/>
      <c r="BP261" s="879"/>
      <c r="BQ261" s="879"/>
      <c r="BR261" s="879"/>
      <c r="BS261" s="879"/>
      <c r="BT261" s="879"/>
      <c r="BU261" s="879"/>
      <c r="BV261" s="69"/>
      <c r="BW261" s="13"/>
      <c r="BX261" s="13"/>
      <c r="BY261" s="13"/>
      <c r="BZ261" s="13"/>
      <c r="CA261" s="13"/>
      <c r="CB261" s="1221" t="s">
        <v>1563</v>
      </c>
      <c r="CC261" s="321" t="s">
        <v>459</v>
      </c>
      <c r="CD261" s="526"/>
      <c r="CE261" s="526"/>
      <c r="CF261" s="526"/>
      <c r="CG261" s="526"/>
      <c r="CH261" s="526"/>
      <c r="CI261" s="526"/>
      <c r="CJ261" s="526"/>
      <c r="CK261" s="15"/>
    </row>
    <row r="262" spans="1:89" ht="78" hidden="1" customHeight="1">
      <c r="A262"/>
      <c r="B262" s="22"/>
      <c r="C262" s="22"/>
      <c r="D262" s="22"/>
      <c r="E262" s="22" t="s">
        <v>68</v>
      </c>
      <c r="F262" s="22"/>
      <c r="G262" s="915">
        <v>43245</v>
      </c>
      <c r="H262" s="1746"/>
      <c r="I262" s="330">
        <v>43048</v>
      </c>
      <c r="J262" s="16">
        <v>2017</v>
      </c>
      <c r="K262" s="1417"/>
      <c r="L262" s="1417"/>
      <c r="M262" s="170" t="s">
        <v>77</v>
      </c>
      <c r="N262" s="33" t="s">
        <v>841</v>
      </c>
      <c r="O262" s="172" t="s">
        <v>79</v>
      </c>
      <c r="P262" s="173" t="s">
        <v>842</v>
      </c>
      <c r="Q262" s="173" t="s">
        <v>2577</v>
      </c>
      <c r="R262" s="174">
        <v>93422.64</v>
      </c>
      <c r="S262" s="175">
        <v>42948</v>
      </c>
      <c r="T262" s="176">
        <v>42950</v>
      </c>
      <c r="U262" s="177">
        <v>42957</v>
      </c>
      <c r="V262" s="105">
        <v>42948</v>
      </c>
      <c r="W262" s="178" t="s">
        <v>739</v>
      </c>
      <c r="X262" s="170" t="s">
        <v>563</v>
      </c>
      <c r="Y262" s="461" t="s">
        <v>74</v>
      </c>
      <c r="Z262" s="1371"/>
      <c r="AA262" s="33" t="s">
        <v>843</v>
      </c>
      <c r="AB262" s="8">
        <v>42947</v>
      </c>
      <c r="AC262" s="4">
        <v>93422.64</v>
      </c>
      <c r="AD262" s="4"/>
      <c r="AE262" s="32"/>
      <c r="AF262" s="34" t="s">
        <v>68</v>
      </c>
      <c r="AG262" s="112" t="s">
        <v>68</v>
      </c>
      <c r="AH262" s="112" t="s">
        <v>68</v>
      </c>
      <c r="AI262" s="7" t="s">
        <v>68</v>
      </c>
      <c r="AJ262" s="109" t="s">
        <v>68</v>
      </c>
      <c r="AK262" s="33" t="s">
        <v>787</v>
      </c>
      <c r="AL262" s="1" t="s">
        <v>68</v>
      </c>
      <c r="AM262" s="5"/>
      <c r="AN262" s="1">
        <v>2119507</v>
      </c>
      <c r="AO262" s="5">
        <v>42949</v>
      </c>
      <c r="AP262" s="1">
        <v>21442268</v>
      </c>
      <c r="AQ262" s="5">
        <v>43048</v>
      </c>
      <c r="AR262" s="279">
        <f>9342.26+9342.26</f>
        <v>18684.52</v>
      </c>
      <c r="AS262" s="35">
        <v>0</v>
      </c>
      <c r="AT262" s="895">
        <v>97471.05</v>
      </c>
      <c r="AU262" s="884"/>
      <c r="AV262" s="70">
        <v>42950</v>
      </c>
      <c r="AW262" s="11">
        <v>42957</v>
      </c>
      <c r="AX262" s="223" t="s">
        <v>68</v>
      </c>
      <c r="AY262" s="224" t="s">
        <v>68</v>
      </c>
      <c r="AZ262" s="30">
        <v>42958</v>
      </c>
      <c r="BA262" s="5">
        <v>42950</v>
      </c>
      <c r="BB262" s="5">
        <v>42957</v>
      </c>
      <c r="BC262" s="11">
        <v>42957</v>
      </c>
      <c r="BD262" s="30">
        <v>42958</v>
      </c>
      <c r="BE262" s="309"/>
      <c r="BF262" s="5">
        <v>42950</v>
      </c>
      <c r="BG262" s="5">
        <v>42957</v>
      </c>
      <c r="BH262" s="5">
        <v>42957</v>
      </c>
      <c r="BI262" s="36">
        <v>97354.77</v>
      </c>
      <c r="BJ262" s="62">
        <v>42959</v>
      </c>
      <c r="BK262" s="105"/>
      <c r="BL262" s="105"/>
      <c r="BM262" s="5"/>
      <c r="BN262" s="5"/>
      <c r="BO262" s="52"/>
      <c r="BP262" s="52"/>
      <c r="BQ262" s="52"/>
      <c r="BR262" s="52"/>
      <c r="BS262" s="52"/>
      <c r="BT262" s="52"/>
      <c r="BU262" s="52"/>
      <c r="BV262" s="53"/>
      <c r="BW262" s="13"/>
      <c r="BX262" s="13"/>
      <c r="BY262" s="13"/>
      <c r="BZ262" s="13"/>
      <c r="CA262" s="13"/>
      <c r="CB262" s="1221" t="s">
        <v>1563</v>
      </c>
      <c r="CC262" s="321" t="s">
        <v>459</v>
      </c>
      <c r="CD262" s="526"/>
      <c r="CE262" s="526"/>
      <c r="CF262" s="526"/>
      <c r="CG262" s="526"/>
      <c r="CH262" s="526"/>
      <c r="CI262" s="526"/>
      <c r="CJ262" s="526"/>
      <c r="CK262" s="15"/>
    </row>
    <row r="263" spans="1:89" ht="93.75" hidden="1" customHeight="1">
      <c r="A263"/>
      <c r="B263" s="22"/>
      <c r="C263" s="22"/>
      <c r="D263" s="22"/>
      <c r="E263" s="22" t="s">
        <v>68</v>
      </c>
      <c r="F263" s="22"/>
      <c r="G263" s="915">
        <v>43245</v>
      </c>
      <c r="H263" s="1746"/>
      <c r="I263" s="330">
        <v>43048</v>
      </c>
      <c r="J263" s="16">
        <v>2017</v>
      </c>
      <c r="K263" s="1417"/>
      <c r="L263" s="1417"/>
      <c r="M263" s="170" t="s">
        <v>77</v>
      </c>
      <c r="N263" s="33" t="s">
        <v>844</v>
      </c>
      <c r="O263" s="172" t="s">
        <v>79</v>
      </c>
      <c r="P263" s="173" t="s">
        <v>845</v>
      </c>
      <c r="Q263" s="173" t="s">
        <v>2577</v>
      </c>
      <c r="R263" s="174">
        <v>329150.28999999998</v>
      </c>
      <c r="S263" s="175">
        <v>42983</v>
      </c>
      <c r="T263" s="176">
        <v>42985</v>
      </c>
      <c r="U263" s="177">
        <v>42995</v>
      </c>
      <c r="V263" s="105">
        <v>42983</v>
      </c>
      <c r="W263" s="178" t="s">
        <v>739</v>
      </c>
      <c r="X263" s="170" t="s">
        <v>563</v>
      </c>
      <c r="Y263" s="461" t="s">
        <v>74</v>
      </c>
      <c r="Z263" s="1371"/>
      <c r="AA263" s="33" t="s">
        <v>846</v>
      </c>
      <c r="AB263" s="8">
        <v>42947</v>
      </c>
      <c r="AC263" s="4">
        <v>329150.28999999998</v>
      </c>
      <c r="AD263" s="4"/>
      <c r="AE263" s="32"/>
      <c r="AF263" s="34" t="s">
        <v>68</v>
      </c>
      <c r="AG263" s="112" t="s">
        <v>68</v>
      </c>
      <c r="AH263" s="112" t="s">
        <v>68</v>
      </c>
      <c r="AI263" s="7" t="s">
        <v>68</v>
      </c>
      <c r="AJ263" s="109" t="s">
        <v>68</v>
      </c>
      <c r="AK263" s="33" t="s">
        <v>787</v>
      </c>
      <c r="AL263" s="1" t="s">
        <v>68</v>
      </c>
      <c r="AM263" s="5"/>
      <c r="AN263" s="1">
        <v>2122695</v>
      </c>
      <c r="AO263" s="5">
        <v>42984</v>
      </c>
      <c r="AP263" s="1">
        <v>2144128</v>
      </c>
      <c r="AQ263" s="5">
        <v>43048</v>
      </c>
      <c r="AR263" s="279">
        <f>32915.02+32915.02</f>
        <v>65830.039999999994</v>
      </c>
      <c r="AS263" s="35">
        <v>0</v>
      </c>
      <c r="AT263" s="895">
        <v>372953.49</v>
      </c>
      <c r="AU263" s="884"/>
      <c r="AV263" s="70">
        <v>42985</v>
      </c>
      <c r="AW263" s="11">
        <v>42995</v>
      </c>
      <c r="AX263" s="223" t="s">
        <v>68</v>
      </c>
      <c r="AY263" s="224" t="s">
        <v>68</v>
      </c>
      <c r="AZ263" s="30">
        <v>42996</v>
      </c>
      <c r="BA263" s="5">
        <v>42985</v>
      </c>
      <c r="BB263" s="5">
        <v>42995</v>
      </c>
      <c r="BC263" s="11">
        <v>42995</v>
      </c>
      <c r="BD263" s="30">
        <v>42996</v>
      </c>
      <c r="BE263" s="309"/>
      <c r="BF263" s="5">
        <v>42985</v>
      </c>
      <c r="BG263" s="5">
        <v>42997</v>
      </c>
      <c r="BH263" s="5">
        <v>42997</v>
      </c>
      <c r="BI263" s="36">
        <f>AS263+AT263</f>
        <v>372953.49</v>
      </c>
      <c r="BJ263" s="62">
        <v>42997</v>
      </c>
      <c r="BK263" s="105"/>
      <c r="BL263" s="105"/>
      <c r="BM263" s="5"/>
      <c r="BN263" s="5"/>
      <c r="BO263" s="52"/>
      <c r="BP263" s="52"/>
      <c r="BQ263" s="52"/>
      <c r="BR263" s="52"/>
      <c r="BS263" s="52"/>
      <c r="BT263" s="52"/>
      <c r="BU263" s="52"/>
      <c r="BV263" s="53"/>
      <c r="BW263" s="13"/>
      <c r="BX263" s="13"/>
      <c r="BY263" s="13"/>
      <c r="BZ263" s="13"/>
      <c r="CA263" s="13"/>
      <c r="CB263" s="1221" t="s">
        <v>1563</v>
      </c>
      <c r="CC263" s="321" t="s">
        <v>459</v>
      </c>
      <c r="CD263" s="526"/>
      <c r="CE263" s="526"/>
      <c r="CF263" s="526"/>
      <c r="CG263" s="526"/>
      <c r="CH263" s="526"/>
      <c r="CI263" s="526"/>
      <c r="CJ263" s="526"/>
      <c r="CK263" s="15"/>
    </row>
    <row r="264" spans="1:89" s="1050" customFormat="1" ht="69.75" hidden="1" customHeight="1">
      <c r="B264" s="1051"/>
      <c r="C264" s="1051"/>
      <c r="D264" s="1051"/>
      <c r="E264" s="1051"/>
      <c r="F264" s="1051"/>
      <c r="G264" s="553"/>
      <c r="H264" s="620"/>
      <c r="I264" s="620"/>
      <c r="J264" s="532">
        <v>2017</v>
      </c>
      <c r="K264" s="1420"/>
      <c r="L264" s="1420"/>
      <c r="M264" s="1054"/>
      <c r="N264" s="829" t="s">
        <v>847</v>
      </c>
      <c r="O264" s="1480" t="s">
        <v>251</v>
      </c>
      <c r="P264" s="1481" t="s">
        <v>627</v>
      </c>
      <c r="Q264" s="1481"/>
      <c r="R264" s="1057"/>
      <c r="S264" s="1058"/>
      <c r="T264" s="1059"/>
      <c r="U264" s="1060"/>
      <c r="V264" s="1051"/>
      <c r="W264" s="1055"/>
      <c r="X264" s="1054"/>
      <c r="Y264" s="1062"/>
      <c r="Z264" s="1377"/>
      <c r="AA264" s="308"/>
      <c r="AB264" s="1063"/>
      <c r="AC264" s="1064"/>
      <c r="AD264" s="1064"/>
      <c r="AE264" s="1065"/>
      <c r="AF264" s="1066"/>
      <c r="AG264" s="1067"/>
      <c r="AH264" s="1067"/>
      <c r="AI264" s="1068"/>
      <c r="AJ264" s="1069"/>
      <c r="AK264" s="308"/>
      <c r="AL264" s="1070"/>
      <c r="AM264" s="1071"/>
      <c r="AN264" s="1070"/>
      <c r="AO264" s="1071"/>
      <c r="AP264" s="1070"/>
      <c r="AQ264" s="1070"/>
      <c r="AR264" s="1072"/>
      <c r="AS264" s="1073">
        <v>0</v>
      </c>
      <c r="AT264" s="1074"/>
      <c r="AU264" s="1075"/>
      <c r="AV264" s="1076"/>
      <c r="AW264" s="1077"/>
      <c r="AX264" s="1078" t="s">
        <v>68</v>
      </c>
      <c r="AY264" s="1478" t="s">
        <v>68</v>
      </c>
      <c r="AZ264" s="829"/>
      <c r="BA264" s="1070"/>
      <c r="BB264" s="1070"/>
      <c r="BC264" s="1080"/>
      <c r="BD264" s="829"/>
      <c r="BE264" s="1473"/>
      <c r="BF264" s="1070"/>
      <c r="BG264" s="1070"/>
      <c r="BH264" s="1070"/>
      <c r="BI264" s="1081">
        <f>AS264+AT264</f>
        <v>0</v>
      </c>
      <c r="BJ264" s="1082"/>
      <c r="BK264" s="1051"/>
      <c r="BL264" s="1061"/>
      <c r="BM264" s="1071"/>
      <c r="BN264" s="1071"/>
      <c r="BO264" s="1079"/>
      <c r="BP264" s="1079"/>
      <c r="BQ264" s="1079"/>
      <c r="BR264" s="1079"/>
      <c r="BS264" s="1079"/>
      <c r="BT264" s="1079"/>
      <c r="BU264" s="1079"/>
      <c r="BV264" s="1475"/>
      <c r="BW264" s="1082"/>
      <c r="BX264" s="1082"/>
      <c r="BY264" s="1082"/>
      <c r="BZ264" s="1082"/>
      <c r="CA264" s="1082"/>
      <c r="CB264" s="1477" t="s">
        <v>1563</v>
      </c>
      <c r="CC264" s="126" t="s">
        <v>478</v>
      </c>
      <c r="CD264" s="789"/>
      <c r="CE264" s="789"/>
      <c r="CF264" s="789"/>
      <c r="CG264" s="789"/>
      <c r="CH264" s="789"/>
      <c r="CI264" s="789"/>
      <c r="CJ264" s="789"/>
      <c r="CK264" s="1086"/>
    </row>
    <row r="265" spans="1:89" ht="96" hidden="1" customHeight="1">
      <c r="A265"/>
      <c r="B265" s="22"/>
      <c r="C265" s="22"/>
      <c r="D265" s="22"/>
      <c r="E265" s="22" t="s">
        <v>68</v>
      </c>
      <c r="F265" s="22"/>
      <c r="G265" s="915">
        <v>43251</v>
      </c>
      <c r="H265" s="1746"/>
      <c r="I265" s="330">
        <v>43048</v>
      </c>
      <c r="J265" s="16">
        <v>2017</v>
      </c>
      <c r="K265" s="1417"/>
      <c r="L265" s="1417"/>
      <c r="M265" s="170" t="s">
        <v>77</v>
      </c>
      <c r="N265" s="33" t="s">
        <v>848</v>
      </c>
      <c r="O265" s="172" t="s">
        <v>79</v>
      </c>
      <c r="P265" s="173" t="s">
        <v>849</v>
      </c>
      <c r="Q265" s="173" t="s">
        <v>3623</v>
      </c>
      <c r="R265" s="174">
        <v>965876.67</v>
      </c>
      <c r="S265" s="542">
        <v>42965</v>
      </c>
      <c r="T265" s="176">
        <v>42968</v>
      </c>
      <c r="U265" s="177">
        <v>43000</v>
      </c>
      <c r="V265" s="543">
        <v>42933</v>
      </c>
      <c r="W265" s="178" t="s">
        <v>777</v>
      </c>
      <c r="X265" s="170" t="s">
        <v>563</v>
      </c>
      <c r="Y265" s="611">
        <v>42953</v>
      </c>
      <c r="Z265" s="1372"/>
      <c r="AA265" s="344" t="s">
        <v>850</v>
      </c>
      <c r="AB265" s="8">
        <v>42947</v>
      </c>
      <c r="AC265" s="4">
        <v>965876.67</v>
      </c>
      <c r="AD265" s="4"/>
      <c r="AE265" s="32"/>
      <c r="AF265" s="34" t="s">
        <v>68</v>
      </c>
      <c r="AG265" s="112" t="s">
        <v>68</v>
      </c>
      <c r="AH265" s="112" t="s">
        <v>68</v>
      </c>
      <c r="AI265" s="7" t="s">
        <v>68</v>
      </c>
      <c r="AJ265" s="109" t="s">
        <v>68</v>
      </c>
      <c r="AK265" s="33" t="s">
        <v>107</v>
      </c>
      <c r="AL265" s="1" t="s">
        <v>68</v>
      </c>
      <c r="AM265" s="5"/>
      <c r="AN265" s="1" t="s">
        <v>851</v>
      </c>
      <c r="AO265" s="5">
        <v>43006</v>
      </c>
      <c r="AP265" s="128" t="s">
        <v>83</v>
      </c>
      <c r="AQ265" s="1"/>
      <c r="AR265" s="279">
        <f>96587.66</f>
        <v>96587.66</v>
      </c>
      <c r="AS265" s="35">
        <v>0</v>
      </c>
      <c r="AT265" s="895">
        <v>965876.66</v>
      </c>
      <c r="AU265" s="884"/>
      <c r="AV265" s="66" t="s">
        <v>74</v>
      </c>
      <c r="AW265" s="11"/>
      <c r="AX265" s="223" t="s">
        <v>68</v>
      </c>
      <c r="AY265" s="224" t="s">
        <v>68</v>
      </c>
      <c r="AZ265" s="30">
        <v>43003</v>
      </c>
      <c r="BA265" s="5">
        <v>42968</v>
      </c>
      <c r="BB265" s="5">
        <v>43000</v>
      </c>
      <c r="BC265" s="11">
        <v>42999</v>
      </c>
      <c r="BD265" s="30">
        <v>43000</v>
      </c>
      <c r="BE265" s="309"/>
      <c r="BF265" s="5">
        <v>42968</v>
      </c>
      <c r="BG265" s="5">
        <v>43000</v>
      </c>
      <c r="BH265" s="5">
        <v>42999</v>
      </c>
      <c r="BI265" s="36">
        <f>AS265+AT265</f>
        <v>965876.66</v>
      </c>
      <c r="BJ265" s="62">
        <v>43003</v>
      </c>
      <c r="BK265" s="105"/>
      <c r="BL265" s="105"/>
      <c r="BM265" s="5"/>
      <c r="BN265" s="5"/>
      <c r="BO265" s="52"/>
      <c r="BP265" s="52"/>
      <c r="BQ265" s="52"/>
      <c r="BR265" s="52"/>
      <c r="BS265" s="52"/>
      <c r="BT265" s="52"/>
      <c r="BU265" s="52"/>
      <c r="BV265" s="53"/>
      <c r="BW265" s="13"/>
      <c r="BX265" s="13"/>
      <c r="BY265" s="13"/>
      <c r="BZ265" s="13"/>
      <c r="CA265" s="13"/>
      <c r="CB265" s="1221" t="s">
        <v>1563</v>
      </c>
      <c r="CC265" s="321" t="s">
        <v>459</v>
      </c>
      <c r="CD265" s="526"/>
      <c r="CE265" s="526"/>
      <c r="CF265" s="526"/>
      <c r="CG265" s="526"/>
      <c r="CH265" s="526"/>
      <c r="CI265" s="526"/>
      <c r="CJ265" s="526"/>
      <c r="CK265" s="15"/>
    </row>
    <row r="266" spans="1:89" ht="75" hidden="1" customHeight="1">
      <c r="A266"/>
      <c r="B266" s="22"/>
      <c r="C266" s="22"/>
      <c r="D266" s="22"/>
      <c r="E266" s="22" t="s">
        <v>68</v>
      </c>
      <c r="F266" s="22"/>
      <c r="G266" s="915">
        <v>43224</v>
      </c>
      <c r="H266" s="1746"/>
      <c r="I266" s="330">
        <v>43048</v>
      </c>
      <c r="J266" s="16">
        <v>2017</v>
      </c>
      <c r="K266" s="1417"/>
      <c r="L266" s="1417"/>
      <c r="M266" s="170" t="s">
        <v>77</v>
      </c>
      <c r="N266" s="33" t="s">
        <v>852</v>
      </c>
      <c r="O266" s="172" t="s">
        <v>79</v>
      </c>
      <c r="P266" s="173" t="s">
        <v>853</v>
      </c>
      <c r="Q266" s="173" t="s">
        <v>2538</v>
      </c>
      <c r="R266" s="174">
        <v>185695.33</v>
      </c>
      <c r="S266" s="175">
        <v>42948</v>
      </c>
      <c r="T266" s="176">
        <v>42950</v>
      </c>
      <c r="U266" s="177">
        <v>42978</v>
      </c>
      <c r="V266" s="105">
        <v>42948</v>
      </c>
      <c r="W266" s="115" t="s">
        <v>637</v>
      </c>
      <c r="X266" s="18" t="s">
        <v>3047</v>
      </c>
      <c r="Y266" s="608">
        <v>42859</v>
      </c>
      <c r="Z266" s="1373"/>
      <c r="AA266" s="33" t="s">
        <v>854</v>
      </c>
      <c r="AB266" s="8">
        <v>42947</v>
      </c>
      <c r="AC266" s="4">
        <v>185695.33</v>
      </c>
      <c r="AD266" s="4"/>
      <c r="AE266" s="32"/>
      <c r="AF266" s="34" t="s">
        <v>68</v>
      </c>
      <c r="AG266" s="112" t="s">
        <v>68</v>
      </c>
      <c r="AH266" s="112" t="s">
        <v>68</v>
      </c>
      <c r="AI266" s="7" t="s">
        <v>68</v>
      </c>
      <c r="AJ266" s="109" t="s">
        <v>68</v>
      </c>
      <c r="AK266" s="33" t="s">
        <v>855</v>
      </c>
      <c r="AL266" s="1" t="s">
        <v>68</v>
      </c>
      <c r="AM266" s="5"/>
      <c r="AN266" s="1">
        <v>17882</v>
      </c>
      <c r="AO266" s="5">
        <v>42954</v>
      </c>
      <c r="AP266" s="1">
        <v>17881</v>
      </c>
      <c r="AQ266" s="5">
        <v>42954</v>
      </c>
      <c r="AR266" s="279">
        <f>18569.53*2</f>
        <v>37139.06</v>
      </c>
      <c r="AS266" s="35">
        <v>0</v>
      </c>
      <c r="AT266" s="895">
        <v>185067.76</v>
      </c>
      <c r="AU266" s="884"/>
      <c r="AV266" s="337" t="s">
        <v>74</v>
      </c>
      <c r="AW266" s="11"/>
      <c r="AX266" s="223" t="s">
        <v>68</v>
      </c>
      <c r="AY266" s="224" t="s">
        <v>68</v>
      </c>
      <c r="AZ266" s="30">
        <v>42980</v>
      </c>
      <c r="BA266" s="5">
        <v>42950</v>
      </c>
      <c r="BB266" s="5">
        <v>42978</v>
      </c>
      <c r="BC266" s="17" t="s">
        <v>68</v>
      </c>
      <c r="BD266" s="30">
        <v>42982</v>
      </c>
      <c r="BE266" s="309"/>
      <c r="BF266" s="5">
        <v>42950</v>
      </c>
      <c r="BG266" s="5">
        <v>42978</v>
      </c>
      <c r="BH266" s="5">
        <v>42976</v>
      </c>
      <c r="BI266" s="36">
        <v>185067.96</v>
      </c>
      <c r="BJ266" s="62">
        <v>42984</v>
      </c>
      <c r="BK266" s="105"/>
      <c r="BL266" s="105"/>
      <c r="BM266" s="5"/>
      <c r="BN266" s="5"/>
      <c r="BO266" s="52"/>
      <c r="BP266" s="52"/>
      <c r="BQ266" s="52"/>
      <c r="BR266" s="52"/>
      <c r="BS266" s="52"/>
      <c r="BT266" s="52"/>
      <c r="BU266" s="52"/>
      <c r="BV266" s="53"/>
      <c r="BW266" s="13"/>
      <c r="BX266" s="13"/>
      <c r="BY266" s="13"/>
      <c r="BZ266" s="13"/>
      <c r="CA266" s="13"/>
      <c r="CB266" s="1221" t="s">
        <v>1563</v>
      </c>
      <c r="CC266" s="321" t="s">
        <v>459</v>
      </c>
      <c r="CD266" s="526"/>
      <c r="CE266" s="526"/>
      <c r="CF266" s="526"/>
      <c r="CG266" s="526"/>
      <c r="CH266" s="526"/>
      <c r="CI266" s="526"/>
      <c r="CJ266" s="526"/>
      <c r="CK266" s="15"/>
    </row>
    <row r="267" spans="1:89" ht="106.5" hidden="1" customHeight="1">
      <c r="A267"/>
      <c r="B267" s="22"/>
      <c r="C267" s="22"/>
      <c r="D267" s="22"/>
      <c r="E267" s="22" t="s">
        <v>68</v>
      </c>
      <c r="F267" s="22"/>
      <c r="G267" s="915">
        <v>43305</v>
      </c>
      <c r="H267" s="1746"/>
      <c r="I267" s="330">
        <v>43327</v>
      </c>
      <c r="J267" s="16">
        <v>-2016</v>
      </c>
      <c r="K267" s="1417"/>
      <c r="L267" s="1417"/>
      <c r="M267" s="170" t="s">
        <v>77</v>
      </c>
      <c r="N267" s="19" t="s">
        <v>856</v>
      </c>
      <c r="O267" s="172" t="s">
        <v>79</v>
      </c>
      <c r="P267" s="173" t="s">
        <v>857</v>
      </c>
      <c r="Q267" s="173" t="s">
        <v>2538</v>
      </c>
      <c r="R267" s="174">
        <v>360000</v>
      </c>
      <c r="S267" s="589">
        <v>42951</v>
      </c>
      <c r="T267" s="176">
        <v>42954</v>
      </c>
      <c r="U267" s="177">
        <v>42973</v>
      </c>
      <c r="V267" s="68">
        <v>42948</v>
      </c>
      <c r="W267" s="178" t="s">
        <v>588</v>
      </c>
      <c r="X267" s="170" t="s">
        <v>114</v>
      </c>
      <c r="Y267" s="68">
        <v>42859</v>
      </c>
      <c r="Z267" s="68"/>
      <c r="AA267" s="115" t="s">
        <v>858</v>
      </c>
      <c r="AB267" s="8">
        <v>42947</v>
      </c>
      <c r="AC267" s="4">
        <v>360000</v>
      </c>
      <c r="AD267" s="4"/>
      <c r="AE267" s="32"/>
      <c r="AF267" s="34" t="s">
        <v>68</v>
      </c>
      <c r="AG267" s="112" t="s">
        <v>68</v>
      </c>
      <c r="AH267" s="112" t="s">
        <v>68</v>
      </c>
      <c r="AI267" s="7" t="s">
        <v>68</v>
      </c>
      <c r="AJ267" s="215" t="s">
        <v>68</v>
      </c>
      <c r="AK267" s="339" t="s">
        <v>589</v>
      </c>
      <c r="AL267" s="1" t="s">
        <v>68</v>
      </c>
      <c r="AM267" s="5"/>
      <c r="AN267" s="1">
        <v>1860136</v>
      </c>
      <c r="AO267" s="5">
        <v>42954</v>
      </c>
      <c r="AP267" s="1">
        <v>1865608</v>
      </c>
      <c r="AQ267" s="5">
        <v>42985</v>
      </c>
      <c r="AR267" s="279">
        <f>36000*2</f>
        <v>72000</v>
      </c>
      <c r="AS267" s="35">
        <v>0</v>
      </c>
      <c r="AT267" s="895">
        <v>359963.34</v>
      </c>
      <c r="AU267" s="884"/>
      <c r="AV267" s="339">
        <v>42940</v>
      </c>
      <c r="AW267" s="11">
        <v>42982</v>
      </c>
      <c r="AX267" s="223" t="s">
        <v>68</v>
      </c>
      <c r="AY267" s="224" t="s">
        <v>68</v>
      </c>
      <c r="AZ267" s="339">
        <v>42982</v>
      </c>
      <c r="BA267" s="5">
        <v>42940</v>
      </c>
      <c r="BB267" s="5">
        <v>42981</v>
      </c>
      <c r="BC267" s="11">
        <v>42981</v>
      </c>
      <c r="BD267" s="339">
        <v>42985</v>
      </c>
      <c r="BE267" s="1616"/>
      <c r="BF267" s="5">
        <v>42940</v>
      </c>
      <c r="BG267" s="5">
        <v>42981</v>
      </c>
      <c r="BH267" s="5">
        <v>42981</v>
      </c>
      <c r="BI267" s="36">
        <f>AS267+AT267</f>
        <v>359963.34</v>
      </c>
      <c r="BJ267" s="62">
        <v>42985</v>
      </c>
      <c r="BK267" s="224"/>
      <c r="BL267" s="694" t="s">
        <v>68</v>
      </c>
      <c r="BM267" s="695" t="s">
        <v>68</v>
      </c>
      <c r="BN267" s="695" t="s">
        <v>68</v>
      </c>
      <c r="BO267" s="694"/>
      <c r="BP267" s="694"/>
      <c r="BQ267" s="694"/>
      <c r="BR267" s="694"/>
      <c r="BS267" s="694"/>
      <c r="BT267" s="694"/>
      <c r="BU267" s="694"/>
      <c r="BV267" s="694" t="s">
        <v>68</v>
      </c>
      <c r="BW267" s="13"/>
      <c r="BX267" s="13"/>
      <c r="BY267" s="13"/>
      <c r="BZ267" s="13"/>
      <c r="CA267" s="13"/>
      <c r="CB267" s="1221" t="s">
        <v>1563</v>
      </c>
      <c r="CC267" s="586" t="s">
        <v>454</v>
      </c>
      <c r="CD267" s="526"/>
      <c r="CE267" s="526"/>
      <c r="CF267" s="526"/>
      <c r="CG267" s="526"/>
      <c r="CH267" s="526"/>
      <c r="CI267" s="526"/>
      <c r="CJ267" s="526"/>
      <c r="CK267" s="15"/>
    </row>
    <row r="268" spans="1:89" ht="89.25" hidden="1" customHeight="1">
      <c r="A268"/>
      <c r="B268" s="22"/>
      <c r="C268" s="22"/>
      <c r="D268" s="22"/>
      <c r="E268" s="22" t="s">
        <v>68</v>
      </c>
      <c r="F268" s="22"/>
      <c r="G268" s="1167">
        <v>43362</v>
      </c>
      <c r="H268" s="1795"/>
      <c r="I268" s="330"/>
      <c r="J268" s="16">
        <v>2017</v>
      </c>
      <c r="K268" s="1417"/>
      <c r="L268" s="1417"/>
      <c r="M268" s="170" t="s">
        <v>166</v>
      </c>
      <c r="N268" s="33" t="s">
        <v>859</v>
      </c>
      <c r="O268" s="172" t="s">
        <v>79</v>
      </c>
      <c r="P268" s="173" t="s">
        <v>860</v>
      </c>
      <c r="Q268" s="173" t="s">
        <v>4409</v>
      </c>
      <c r="R268" s="174">
        <v>729291.31</v>
      </c>
      <c r="S268" s="590">
        <v>42916</v>
      </c>
      <c r="T268" s="176">
        <v>42917</v>
      </c>
      <c r="U268" s="177">
        <v>43158</v>
      </c>
      <c r="V268" s="68">
        <v>42912</v>
      </c>
      <c r="W268" s="178" t="s">
        <v>577</v>
      </c>
      <c r="X268" s="636" t="s">
        <v>70</v>
      </c>
      <c r="Y268" s="461" t="s">
        <v>74</v>
      </c>
      <c r="Z268" s="1371"/>
      <c r="AA268" s="115" t="s">
        <v>861</v>
      </c>
      <c r="AB268" s="8">
        <v>42643</v>
      </c>
      <c r="AC268" s="4">
        <v>646610</v>
      </c>
      <c r="AD268" s="4"/>
      <c r="AE268" s="32"/>
      <c r="AF268" s="34" t="s">
        <v>68</v>
      </c>
      <c r="AG268" s="112" t="s">
        <v>68</v>
      </c>
      <c r="AH268" s="112" t="s">
        <v>68</v>
      </c>
      <c r="AI268" s="7" t="s">
        <v>68</v>
      </c>
      <c r="AJ268" s="215" t="s">
        <v>68</v>
      </c>
      <c r="AK268" s="337" t="s">
        <v>74</v>
      </c>
      <c r="AL268" s="1"/>
      <c r="AM268" s="5"/>
      <c r="AN268" s="1"/>
      <c r="AO268" s="5"/>
      <c r="AP268" s="1"/>
      <c r="AQ268" s="1"/>
      <c r="AR268" s="279"/>
      <c r="AS268" s="35">
        <v>0</v>
      </c>
      <c r="AT268" s="902"/>
      <c r="AU268" s="891"/>
      <c r="AV268" s="66" t="s">
        <v>74</v>
      </c>
      <c r="AW268" s="11"/>
      <c r="AX268" s="223" t="s">
        <v>68</v>
      </c>
      <c r="AY268" s="224" t="s">
        <v>68</v>
      </c>
      <c r="AZ268" s="652" t="s">
        <v>68</v>
      </c>
      <c r="BA268" s="1"/>
      <c r="BB268" s="1"/>
      <c r="BC268" s="17"/>
      <c r="BD268" s="115" t="s">
        <v>862</v>
      </c>
      <c r="BE268" s="1623"/>
      <c r="BF268" s="5"/>
      <c r="BG268" s="5"/>
      <c r="BH268" s="5"/>
      <c r="BI268" s="36">
        <f>AS268+AT268</f>
        <v>0</v>
      </c>
      <c r="BJ268" s="13"/>
      <c r="BK268" s="22"/>
      <c r="BL268" s="105"/>
      <c r="BM268" s="5"/>
      <c r="BN268" s="5"/>
      <c r="BO268" s="52"/>
      <c r="BP268" s="52"/>
      <c r="BQ268" s="52"/>
      <c r="BR268" s="52"/>
      <c r="BS268" s="52"/>
      <c r="BT268" s="52"/>
      <c r="BU268" s="52"/>
      <c r="BV268" s="53"/>
      <c r="BW268" s="13"/>
      <c r="BX268" s="13"/>
      <c r="BY268" s="13"/>
      <c r="BZ268" s="13"/>
      <c r="CA268" s="13"/>
      <c r="CB268" s="1221" t="s">
        <v>1563</v>
      </c>
      <c r="CC268" s="321" t="s">
        <v>459</v>
      </c>
      <c r="CD268" s="526"/>
      <c r="CE268" s="2"/>
      <c r="CF268" s="2"/>
      <c r="CG268" s="2"/>
      <c r="CH268" s="2"/>
      <c r="CI268" s="2"/>
      <c r="CJ268" s="2"/>
      <c r="CK268" s="15"/>
    </row>
    <row r="269" spans="1:89" s="1050" customFormat="1" ht="27.75" hidden="1" customHeight="1">
      <c r="B269" s="1051"/>
      <c r="C269" s="1051"/>
      <c r="D269" s="1051"/>
      <c r="E269" s="1051"/>
      <c r="F269" s="1051"/>
      <c r="G269" s="553"/>
      <c r="H269" s="620"/>
      <c r="I269" s="620"/>
      <c r="J269" s="532">
        <v>2017</v>
      </c>
      <c r="K269" s="1420"/>
      <c r="L269" s="1420"/>
      <c r="M269" s="1054"/>
      <c r="N269" s="829" t="s">
        <v>863</v>
      </c>
      <c r="O269" s="186" t="s">
        <v>251</v>
      </c>
      <c r="P269" s="1056"/>
      <c r="Q269" s="1056"/>
      <c r="R269" s="1057"/>
      <c r="S269" s="1058"/>
      <c r="T269" s="1059"/>
      <c r="U269" s="1060"/>
      <c r="V269" s="1476"/>
      <c r="W269" s="1055" t="s">
        <v>68</v>
      </c>
      <c r="X269" s="1054" t="s">
        <v>68</v>
      </c>
      <c r="Y269" s="1062"/>
      <c r="Z269" s="1377"/>
      <c r="AA269" s="1482"/>
      <c r="AB269" s="1063"/>
      <c r="AC269" s="1064"/>
      <c r="AD269" s="1064"/>
      <c r="AE269" s="1065"/>
      <c r="AF269" s="1066"/>
      <c r="AG269" s="1067"/>
      <c r="AH269" s="1067"/>
      <c r="AI269" s="1068"/>
      <c r="AJ269" s="1069"/>
      <c r="AK269" s="1482"/>
      <c r="AL269" s="1070"/>
      <c r="AM269" s="1071"/>
      <c r="AN269" s="1070"/>
      <c r="AO269" s="1071"/>
      <c r="AP269" s="1070"/>
      <c r="AQ269" s="1070"/>
      <c r="AR269" s="1072"/>
      <c r="AS269" s="1073">
        <v>0</v>
      </c>
      <c r="AT269" s="1074"/>
      <c r="AU269" s="1075"/>
      <c r="AV269" s="1482" t="s">
        <v>68</v>
      </c>
      <c r="AW269" s="1077"/>
      <c r="AX269" s="1078" t="s">
        <v>68</v>
      </c>
      <c r="AY269" s="1478" t="s">
        <v>68</v>
      </c>
      <c r="AZ269" s="1483"/>
      <c r="BA269" s="1070"/>
      <c r="BB269" s="1070"/>
      <c r="BC269" s="1080"/>
      <c r="BD269" s="1482"/>
      <c r="BE269" s="1624"/>
      <c r="BF269" s="1070"/>
      <c r="BG269" s="1070"/>
      <c r="BH269" s="1070"/>
      <c r="BI269" s="1081">
        <f>AS269+AT269</f>
        <v>0</v>
      </c>
      <c r="BJ269" s="1082"/>
      <c r="BK269" s="1051"/>
      <c r="BL269" s="1061"/>
      <c r="BM269" s="1071"/>
      <c r="BN269" s="1071"/>
      <c r="BO269" s="1079"/>
      <c r="BP269" s="1079"/>
      <c r="BQ269" s="1079"/>
      <c r="BR269" s="1079"/>
      <c r="BS269" s="1079"/>
      <c r="BT269" s="1079"/>
      <c r="BU269" s="1079"/>
      <c r="BV269" s="1475"/>
      <c r="BW269" s="1082"/>
      <c r="BX269" s="1082"/>
      <c r="BY269" s="1082"/>
      <c r="BZ269" s="1082"/>
      <c r="CA269" s="1082"/>
      <c r="CB269" s="1477" t="s">
        <v>1563</v>
      </c>
      <c r="CC269" s="126" t="s">
        <v>478</v>
      </c>
      <c r="CD269" s="789"/>
      <c r="CE269" s="186"/>
      <c r="CF269" s="186"/>
      <c r="CG269" s="186"/>
      <c r="CH269" s="186"/>
      <c r="CI269" s="186"/>
      <c r="CJ269" s="186"/>
      <c r="CK269" s="1086"/>
    </row>
    <row r="270" spans="1:89" ht="120" hidden="1" customHeight="1">
      <c r="A270"/>
      <c r="B270" s="22"/>
      <c r="C270" s="22"/>
      <c r="D270" s="22"/>
      <c r="E270" s="22" t="s">
        <v>68</v>
      </c>
      <c r="F270" s="22"/>
      <c r="G270" s="915">
        <v>43126</v>
      </c>
      <c r="H270" s="1746"/>
      <c r="I270" s="330">
        <v>43048</v>
      </c>
      <c r="J270" s="16">
        <v>2017</v>
      </c>
      <c r="K270" s="1417"/>
      <c r="L270" s="1417"/>
      <c r="M270" s="170" t="s">
        <v>64</v>
      </c>
      <c r="N270" s="33" t="s">
        <v>864</v>
      </c>
      <c r="O270" s="172" t="s">
        <v>66</v>
      </c>
      <c r="P270" s="173" t="s">
        <v>865</v>
      </c>
      <c r="Q270" s="173"/>
      <c r="R270" s="174">
        <v>3445881.8</v>
      </c>
      <c r="S270" s="175">
        <v>42976</v>
      </c>
      <c r="T270" s="176">
        <v>42979</v>
      </c>
      <c r="U270" s="177">
        <v>43054</v>
      </c>
      <c r="V270" s="22" t="s">
        <v>68</v>
      </c>
      <c r="W270" s="115" t="s">
        <v>637</v>
      </c>
      <c r="X270" s="170" t="s">
        <v>477</v>
      </c>
      <c r="Y270" s="461" t="s">
        <v>74</v>
      </c>
      <c r="Z270" s="1371"/>
      <c r="AA270" s="33" t="s">
        <v>866</v>
      </c>
      <c r="AB270" s="8">
        <v>42854</v>
      </c>
      <c r="AC270" s="4">
        <v>3448275.87</v>
      </c>
      <c r="AD270" s="4"/>
      <c r="AE270" s="32"/>
      <c r="AF270" s="582">
        <v>42970</v>
      </c>
      <c r="AG270" s="583">
        <v>42971</v>
      </c>
      <c r="AH270" s="583">
        <v>42972</v>
      </c>
      <c r="AI270" s="584">
        <v>42975</v>
      </c>
      <c r="AJ270" s="581">
        <v>42976</v>
      </c>
      <c r="AK270" s="33" t="s">
        <v>855</v>
      </c>
      <c r="AL270" s="1">
        <v>17992</v>
      </c>
      <c r="AM270" s="5">
        <v>42982</v>
      </c>
      <c r="AN270" s="1">
        <v>17993</v>
      </c>
      <c r="AO270" s="5">
        <v>42982</v>
      </c>
      <c r="AP270" s="1">
        <v>17832454</v>
      </c>
      <c r="AQ270" s="5">
        <v>43054</v>
      </c>
      <c r="AR270" s="279">
        <f>861254.98+344501.99+344501.99</f>
        <v>1550258.96</v>
      </c>
      <c r="AS270" s="35">
        <v>0</v>
      </c>
      <c r="AT270" s="900">
        <v>3450804.48</v>
      </c>
      <c r="AU270" s="889"/>
      <c r="AV270" s="339">
        <v>42983</v>
      </c>
      <c r="AW270" s="127">
        <v>43024</v>
      </c>
      <c r="AX270" s="223" t="s">
        <v>68</v>
      </c>
      <c r="AY270" s="224" t="s">
        <v>68</v>
      </c>
      <c r="AZ270" s="30">
        <v>43068</v>
      </c>
      <c r="BA270" s="5">
        <v>42979</v>
      </c>
      <c r="BB270" s="5">
        <v>43041</v>
      </c>
      <c r="BC270" s="17" t="s">
        <v>68</v>
      </c>
      <c r="BD270" s="324">
        <v>43069</v>
      </c>
      <c r="BE270" s="1615"/>
      <c r="BF270" s="5">
        <v>42979</v>
      </c>
      <c r="BG270" s="5">
        <v>43054</v>
      </c>
      <c r="BH270" s="5">
        <v>43066</v>
      </c>
      <c r="BI270" s="36">
        <v>3450804.46</v>
      </c>
      <c r="BJ270" s="62">
        <v>43073</v>
      </c>
      <c r="BK270" s="105"/>
      <c r="BL270" s="105"/>
      <c r="BM270" s="5"/>
      <c r="BN270" s="5"/>
      <c r="BO270" s="52"/>
      <c r="BP270" s="52"/>
      <c r="BQ270" s="52"/>
      <c r="BR270" s="52"/>
      <c r="BS270" s="52"/>
      <c r="BT270" s="52"/>
      <c r="BU270" s="52"/>
      <c r="BV270" s="53"/>
      <c r="BW270" s="13"/>
      <c r="BX270" s="13"/>
      <c r="BY270" s="13"/>
      <c r="BZ270" s="13"/>
      <c r="CA270" s="13"/>
      <c r="CB270" s="1221" t="s">
        <v>1563</v>
      </c>
      <c r="CC270" s="321" t="s">
        <v>459</v>
      </c>
      <c r="CD270" s="526"/>
      <c r="CE270" s="526"/>
      <c r="CF270" s="526"/>
      <c r="CG270" s="526"/>
      <c r="CH270" s="526"/>
      <c r="CI270" s="526"/>
      <c r="CJ270" s="526"/>
      <c r="CK270" s="15"/>
    </row>
    <row r="271" spans="1:89" ht="105" hidden="1" customHeight="1">
      <c r="A271"/>
      <c r="B271" s="22"/>
      <c r="C271" s="22"/>
      <c r="D271" s="22"/>
      <c r="E271" s="22" t="s">
        <v>68</v>
      </c>
      <c r="F271" s="22"/>
      <c r="G271" s="915">
        <v>43159</v>
      </c>
      <c r="H271" s="1746"/>
      <c r="I271" s="330">
        <v>43048</v>
      </c>
      <c r="J271" s="16">
        <v>2017</v>
      </c>
      <c r="K271" s="1417"/>
      <c r="L271" s="1417"/>
      <c r="M271" s="170" t="s">
        <v>867</v>
      </c>
      <c r="N271" s="33" t="s">
        <v>868</v>
      </c>
      <c r="O271" s="172" t="s">
        <v>66</v>
      </c>
      <c r="P271" s="173" t="s">
        <v>869</v>
      </c>
      <c r="Q271" s="173"/>
      <c r="R271" s="174">
        <v>2995704.85</v>
      </c>
      <c r="S271" s="175">
        <v>42949</v>
      </c>
      <c r="T271" s="176">
        <v>42982</v>
      </c>
      <c r="U271" s="177">
        <v>43049</v>
      </c>
      <c r="V271" s="22" t="s">
        <v>68</v>
      </c>
      <c r="W271" s="178" t="s">
        <v>870</v>
      </c>
      <c r="X271" s="170" t="s">
        <v>477</v>
      </c>
      <c r="Y271" s="461" t="s">
        <v>74</v>
      </c>
      <c r="Z271" s="1371"/>
      <c r="AA271" s="33" t="s">
        <v>871</v>
      </c>
      <c r="AB271" s="8">
        <v>42804</v>
      </c>
      <c r="AC271" s="4">
        <v>3000000</v>
      </c>
      <c r="AD271" s="4"/>
      <c r="AE271" s="32"/>
      <c r="AF271" s="582">
        <v>42936</v>
      </c>
      <c r="AG271" s="583">
        <v>42961</v>
      </c>
      <c r="AH271" s="583">
        <v>42963</v>
      </c>
      <c r="AI271" s="584">
        <v>42970</v>
      </c>
      <c r="AJ271" s="581">
        <v>42975</v>
      </c>
      <c r="AK271" s="115" t="s">
        <v>779</v>
      </c>
      <c r="AL271" s="1" t="s">
        <v>68</v>
      </c>
      <c r="AM271" s="5"/>
      <c r="AN271" s="1">
        <v>31800002307</v>
      </c>
      <c r="AO271" s="5">
        <v>42979</v>
      </c>
      <c r="AP271" s="1">
        <v>31800004587</v>
      </c>
      <c r="AQ271" s="1"/>
      <c r="AR271" s="279">
        <f>299570.48+292370.48</f>
        <v>591940.96</v>
      </c>
      <c r="AS271" s="35">
        <v>0</v>
      </c>
      <c r="AT271" s="895">
        <v>2923704.83</v>
      </c>
      <c r="AU271" s="884"/>
      <c r="AV271" s="339">
        <v>43003</v>
      </c>
      <c r="AW271" s="11">
        <v>43018</v>
      </c>
      <c r="AX271" s="223" t="s">
        <v>68</v>
      </c>
      <c r="AY271" s="224" t="s">
        <v>68</v>
      </c>
      <c r="AZ271" s="339">
        <v>43082</v>
      </c>
      <c r="BA271" s="5">
        <v>42982</v>
      </c>
      <c r="BB271" s="5">
        <v>43049</v>
      </c>
      <c r="BC271" s="17" t="s">
        <v>68</v>
      </c>
      <c r="BD271" s="339">
        <v>43083</v>
      </c>
      <c r="BE271" s="1616"/>
      <c r="BF271" s="71">
        <v>42982</v>
      </c>
      <c r="BG271" s="71">
        <v>43049</v>
      </c>
      <c r="BH271" s="71">
        <v>43082</v>
      </c>
      <c r="BI271" s="129">
        <v>2923704.82</v>
      </c>
      <c r="BJ271" s="13"/>
      <c r="BK271" s="22"/>
      <c r="BL271" s="105"/>
      <c r="BM271" s="5"/>
      <c r="BN271" s="5"/>
      <c r="BO271" s="52"/>
      <c r="BP271" s="52"/>
      <c r="BQ271" s="52"/>
      <c r="BR271" s="52"/>
      <c r="BS271" s="52"/>
      <c r="BT271" s="52"/>
      <c r="BU271" s="52"/>
      <c r="BV271" s="53"/>
      <c r="BW271" s="13"/>
      <c r="BX271" s="13"/>
      <c r="BY271" s="13"/>
      <c r="BZ271" s="13"/>
      <c r="CA271" s="13"/>
      <c r="CB271" s="1221" t="s">
        <v>1563</v>
      </c>
      <c r="CC271" s="321" t="s">
        <v>459</v>
      </c>
      <c r="CD271" s="526"/>
      <c r="CE271" s="526"/>
      <c r="CF271" s="526"/>
      <c r="CG271" s="526"/>
      <c r="CH271" s="526"/>
      <c r="CI271" s="526"/>
      <c r="CJ271" s="526"/>
      <c r="CK271" s="15"/>
    </row>
    <row r="272" spans="1:89" ht="132.75" hidden="1" customHeight="1">
      <c r="A272"/>
      <c r="B272" s="22"/>
      <c r="C272" s="22"/>
      <c r="D272" s="22"/>
      <c r="E272" s="22" t="s">
        <v>68</v>
      </c>
      <c r="F272" s="22"/>
      <c r="G272" s="915">
        <v>43222</v>
      </c>
      <c r="H272" s="1746"/>
      <c r="I272" s="330">
        <v>43229</v>
      </c>
      <c r="J272" s="16">
        <v>-2016</v>
      </c>
      <c r="K272" s="1417"/>
      <c r="L272" s="1417"/>
      <c r="M272" s="170" t="s">
        <v>465</v>
      </c>
      <c r="N272" s="19" t="s">
        <v>872</v>
      </c>
      <c r="O272" s="172" t="s">
        <v>79</v>
      </c>
      <c r="P272" s="173" t="s">
        <v>873</v>
      </c>
      <c r="Q272" s="173" t="s">
        <v>4409</v>
      </c>
      <c r="R272" s="174">
        <v>440000</v>
      </c>
      <c r="S272" s="175">
        <v>42943</v>
      </c>
      <c r="T272" s="176">
        <v>43017</v>
      </c>
      <c r="U272" s="177">
        <v>43087</v>
      </c>
      <c r="V272" s="105">
        <v>42964</v>
      </c>
      <c r="W272" s="178" t="s">
        <v>874</v>
      </c>
      <c r="X272" s="170" t="s">
        <v>472</v>
      </c>
      <c r="Y272" s="611">
        <v>43017</v>
      </c>
      <c r="Z272" s="1372"/>
      <c r="AA272" s="33" t="s">
        <v>875</v>
      </c>
      <c r="AB272" s="8">
        <v>42704</v>
      </c>
      <c r="AC272" s="4">
        <v>440000</v>
      </c>
      <c r="AD272" s="4"/>
      <c r="AE272" s="32"/>
      <c r="AF272" s="34" t="s">
        <v>68</v>
      </c>
      <c r="AG272" s="112" t="s">
        <v>68</v>
      </c>
      <c r="AH272" s="112" t="s">
        <v>68</v>
      </c>
      <c r="AI272" s="7" t="s">
        <v>68</v>
      </c>
      <c r="AJ272" s="109" t="s">
        <v>68</v>
      </c>
      <c r="AK272" s="33" t="s">
        <v>876</v>
      </c>
      <c r="AL272" s="1" t="s">
        <v>877</v>
      </c>
      <c r="AM272" s="5">
        <v>43005</v>
      </c>
      <c r="AN272" s="1" t="s">
        <v>878</v>
      </c>
      <c r="AO272" s="5">
        <v>42943</v>
      </c>
      <c r="AP272" s="1" t="s">
        <v>879</v>
      </c>
      <c r="AQ272" s="5">
        <v>43080</v>
      </c>
      <c r="AR272" s="279">
        <f>308000+44000+44000</f>
        <v>396000</v>
      </c>
      <c r="AS272" s="35">
        <v>0</v>
      </c>
      <c r="AT272" s="895">
        <v>440285.77</v>
      </c>
      <c r="AU272" s="884"/>
      <c r="AV272" s="30">
        <v>43017</v>
      </c>
      <c r="AW272" s="11">
        <v>43078</v>
      </c>
      <c r="AX272" s="223" t="s">
        <v>68</v>
      </c>
      <c r="AY272" s="224" t="s">
        <v>68</v>
      </c>
      <c r="AZ272" s="30">
        <v>43077</v>
      </c>
      <c r="BA272" s="5">
        <v>43017</v>
      </c>
      <c r="BB272" s="5">
        <v>43087</v>
      </c>
      <c r="BC272" s="11">
        <v>43077</v>
      </c>
      <c r="BD272" s="30">
        <v>43081</v>
      </c>
      <c r="BE272" s="309"/>
      <c r="BF272" s="5">
        <v>43017</v>
      </c>
      <c r="BG272" s="5">
        <v>43087</v>
      </c>
      <c r="BH272" s="5">
        <v>43077</v>
      </c>
      <c r="BI272" s="36">
        <v>440285.79</v>
      </c>
      <c r="BJ272" s="62">
        <v>43081</v>
      </c>
      <c r="BK272" s="224"/>
      <c r="BL272" s="694" t="s">
        <v>68</v>
      </c>
      <c r="BM272" s="695" t="s">
        <v>68</v>
      </c>
      <c r="BN272" s="695" t="s">
        <v>68</v>
      </c>
      <c r="BO272" s="694"/>
      <c r="BP272" s="694"/>
      <c r="BQ272" s="694"/>
      <c r="BR272" s="694"/>
      <c r="BS272" s="694"/>
      <c r="BT272" s="694"/>
      <c r="BU272" s="694"/>
      <c r="BV272" s="694" t="s">
        <v>68</v>
      </c>
      <c r="BW272" s="13"/>
      <c r="BX272" s="13"/>
      <c r="BY272" s="13"/>
      <c r="BZ272" s="13"/>
      <c r="CA272" s="13"/>
      <c r="CB272" s="1221" t="s">
        <v>1563</v>
      </c>
      <c r="CC272" s="586" t="s">
        <v>454</v>
      </c>
      <c r="CD272" s="526"/>
      <c r="CE272" s="526"/>
      <c r="CF272" s="526"/>
      <c r="CG272" s="526"/>
      <c r="CH272" s="526"/>
      <c r="CI272" s="526"/>
      <c r="CJ272" s="526"/>
      <c r="CK272" s="15"/>
    </row>
    <row r="273" spans="2:89" customFormat="1" ht="75.75" hidden="1" customHeight="1">
      <c r="B273" s="22"/>
      <c r="C273" s="22"/>
      <c r="D273" s="22"/>
      <c r="E273" s="22" t="s">
        <v>68</v>
      </c>
      <c r="F273" s="22"/>
      <c r="G273" s="915">
        <v>43152</v>
      </c>
      <c r="H273" s="1746"/>
      <c r="I273" s="330"/>
      <c r="J273" s="16">
        <v>2017</v>
      </c>
      <c r="K273" s="1417"/>
      <c r="L273" s="1417"/>
      <c r="M273" s="170" t="s">
        <v>166</v>
      </c>
      <c r="N273" s="33" t="s">
        <v>880</v>
      </c>
      <c r="O273" s="172" t="s">
        <v>79</v>
      </c>
      <c r="P273" s="595" t="s">
        <v>881</v>
      </c>
      <c r="Q273" s="595" t="s">
        <v>3623</v>
      </c>
      <c r="R273" s="594">
        <v>1254850.92</v>
      </c>
      <c r="S273" s="590">
        <v>42977</v>
      </c>
      <c r="T273" s="176">
        <v>42977</v>
      </c>
      <c r="U273" s="177">
        <v>43008</v>
      </c>
      <c r="V273" s="105">
        <v>42977</v>
      </c>
      <c r="W273" s="178" t="s">
        <v>733</v>
      </c>
      <c r="X273" s="18" t="s">
        <v>563</v>
      </c>
      <c r="Y273" s="200" t="s">
        <v>68</v>
      </c>
      <c r="Z273" s="368"/>
      <c r="AA273" s="33" t="s">
        <v>882</v>
      </c>
      <c r="AB273" s="8">
        <v>42977</v>
      </c>
      <c r="AC273" s="4">
        <v>4594338.3</v>
      </c>
      <c r="AD273" s="4"/>
      <c r="AE273" s="32"/>
      <c r="AF273" s="34" t="s">
        <v>68</v>
      </c>
      <c r="AG273" s="112" t="s">
        <v>68</v>
      </c>
      <c r="AH273" s="112" t="s">
        <v>68</v>
      </c>
      <c r="AI273" s="7" t="s">
        <v>68</v>
      </c>
      <c r="AJ273" s="109" t="s">
        <v>68</v>
      </c>
      <c r="AK273" s="339" t="s">
        <v>589</v>
      </c>
      <c r="AL273" s="1" t="s">
        <v>68</v>
      </c>
      <c r="AM273" s="5"/>
      <c r="AN273" s="1">
        <v>1851191</v>
      </c>
      <c r="AO273" s="5">
        <v>42977</v>
      </c>
      <c r="AP273" s="1">
        <v>1851193</v>
      </c>
      <c r="AQ273" s="5">
        <v>43008</v>
      </c>
      <c r="AR273" s="279">
        <f>125485.09*2</f>
        <v>250970.18</v>
      </c>
      <c r="AS273" s="35">
        <v>0</v>
      </c>
      <c r="AT273" s="895">
        <v>1254850.9099999999</v>
      </c>
      <c r="AU273" s="884"/>
      <c r="AV273" s="66" t="s">
        <v>74</v>
      </c>
      <c r="AW273" s="11"/>
      <c r="AX273" s="223" t="s">
        <v>68</v>
      </c>
      <c r="AY273" s="224" t="s">
        <v>68</v>
      </c>
      <c r="AZ273" s="30">
        <v>43009</v>
      </c>
      <c r="BA273" s="5">
        <v>42977</v>
      </c>
      <c r="BB273" s="5">
        <v>43008</v>
      </c>
      <c r="BC273" s="11">
        <v>43008</v>
      </c>
      <c r="BD273" s="30">
        <v>43009</v>
      </c>
      <c r="BE273" s="309"/>
      <c r="BF273" s="5">
        <v>42977</v>
      </c>
      <c r="BG273" s="5">
        <v>43008</v>
      </c>
      <c r="BH273" s="5">
        <v>43008</v>
      </c>
      <c r="BI273" s="36">
        <v>1254850.92</v>
      </c>
      <c r="BJ273" s="62">
        <v>43010</v>
      </c>
      <c r="BK273" s="105"/>
      <c r="BL273" s="105"/>
      <c r="BM273" s="5"/>
      <c r="BN273" s="5"/>
      <c r="BO273" s="52"/>
      <c r="BP273" s="52"/>
      <c r="BQ273" s="52"/>
      <c r="BR273" s="52"/>
      <c r="BS273" s="52"/>
      <c r="BT273" s="52"/>
      <c r="BU273" s="52"/>
      <c r="BV273" s="53"/>
      <c r="BW273" s="13"/>
      <c r="BX273" s="13"/>
      <c r="BY273" s="13"/>
      <c r="BZ273" s="13"/>
      <c r="CA273" s="13"/>
      <c r="CB273" s="1221" t="s">
        <v>1563</v>
      </c>
      <c r="CC273" s="321" t="s">
        <v>459</v>
      </c>
      <c r="CD273" s="526"/>
      <c r="CE273" s="526"/>
      <c r="CF273" s="526"/>
      <c r="CG273" s="526"/>
      <c r="CH273" s="526"/>
      <c r="CI273" s="526"/>
      <c r="CJ273" s="526"/>
      <c r="CK273" s="15"/>
    </row>
    <row r="274" spans="2:89" customFormat="1" ht="78" hidden="1" customHeight="1">
      <c r="B274" s="22"/>
      <c r="C274" s="22"/>
      <c r="D274" s="22"/>
      <c r="E274" s="22" t="s">
        <v>68</v>
      </c>
      <c r="F274" s="22"/>
      <c r="G274" s="915">
        <v>43152</v>
      </c>
      <c r="H274" s="1746"/>
      <c r="I274" s="330"/>
      <c r="J274" s="16">
        <v>2017</v>
      </c>
      <c r="K274" s="1417"/>
      <c r="L274" s="1417"/>
      <c r="M274" s="170" t="s">
        <v>166</v>
      </c>
      <c r="N274" s="33" t="s">
        <v>883</v>
      </c>
      <c r="O274" s="172" t="s">
        <v>79</v>
      </c>
      <c r="P274" s="173" t="s">
        <v>884</v>
      </c>
      <c r="Q274" s="173" t="s">
        <v>1975</v>
      </c>
      <c r="R274" s="174">
        <v>1053156.1299999999</v>
      </c>
      <c r="S274" s="175">
        <v>42977</v>
      </c>
      <c r="T274" s="176">
        <v>42977</v>
      </c>
      <c r="U274" s="177">
        <v>43053</v>
      </c>
      <c r="V274" s="105">
        <v>42977</v>
      </c>
      <c r="W274" s="178" t="s">
        <v>733</v>
      </c>
      <c r="X274" s="173" t="s">
        <v>563</v>
      </c>
      <c r="Y274" s="200" t="s">
        <v>68</v>
      </c>
      <c r="Z274" s="368"/>
      <c r="AA274" s="33" t="s">
        <v>487</v>
      </c>
      <c r="AB274" s="8">
        <v>42977</v>
      </c>
      <c r="AC274" s="4">
        <v>4594338.3</v>
      </c>
      <c r="AD274" s="4"/>
      <c r="AE274" s="32"/>
      <c r="AF274" s="34" t="s">
        <v>68</v>
      </c>
      <c r="AG274" s="112" t="s">
        <v>68</v>
      </c>
      <c r="AH274" s="112" t="s">
        <v>68</v>
      </c>
      <c r="AI274" s="7" t="s">
        <v>68</v>
      </c>
      <c r="AJ274" s="109" t="s">
        <v>68</v>
      </c>
      <c r="AK274" s="339" t="s">
        <v>589</v>
      </c>
      <c r="AL274" s="1" t="s">
        <v>68</v>
      </c>
      <c r="AM274" s="5"/>
      <c r="AN274" s="1">
        <v>1859616</v>
      </c>
      <c r="AO274" s="5">
        <v>42977</v>
      </c>
      <c r="AP274" s="1">
        <v>1874882</v>
      </c>
      <c r="AQ274" s="5">
        <v>43053</v>
      </c>
      <c r="AR274" s="279">
        <f>105315.61*2</f>
        <v>210631.22</v>
      </c>
      <c r="AS274" s="35">
        <v>0</v>
      </c>
      <c r="AT274" s="895">
        <v>1053156.97</v>
      </c>
      <c r="AU274" s="884"/>
      <c r="AV274" s="66" t="s">
        <v>74</v>
      </c>
      <c r="AW274" s="11"/>
      <c r="AX274" s="223" t="s">
        <v>68</v>
      </c>
      <c r="AY274" s="224" t="s">
        <v>68</v>
      </c>
      <c r="AZ274" s="30">
        <v>43054</v>
      </c>
      <c r="BA274" s="5">
        <v>42977</v>
      </c>
      <c r="BB274" s="5">
        <v>43053</v>
      </c>
      <c r="BC274" s="11">
        <v>43053</v>
      </c>
      <c r="BD274" s="30">
        <v>43054</v>
      </c>
      <c r="BE274" s="309"/>
      <c r="BF274" s="5">
        <v>42977</v>
      </c>
      <c r="BG274" s="5">
        <v>43053</v>
      </c>
      <c r="BH274" s="5">
        <v>43053</v>
      </c>
      <c r="BI274" s="253">
        <v>1053156.05</v>
      </c>
      <c r="BJ274" s="62">
        <v>43055</v>
      </c>
      <c r="BK274" s="105"/>
      <c r="BL274" s="105"/>
      <c r="BM274" s="5"/>
      <c r="BN274" s="5"/>
      <c r="BO274" s="52"/>
      <c r="BP274" s="52"/>
      <c r="BQ274" s="52"/>
      <c r="BR274" s="52"/>
      <c r="BS274" s="52"/>
      <c r="BT274" s="52"/>
      <c r="BU274" s="52"/>
      <c r="BV274" s="53"/>
      <c r="BW274" s="13"/>
      <c r="BX274" s="13"/>
      <c r="BY274" s="13"/>
      <c r="BZ274" s="13"/>
      <c r="CA274" s="13"/>
      <c r="CB274" s="1221" t="s">
        <v>1563</v>
      </c>
      <c r="CC274" s="321" t="s">
        <v>459</v>
      </c>
      <c r="CD274" s="526"/>
      <c r="CE274" s="526"/>
      <c r="CF274" s="526"/>
      <c r="CG274" s="526"/>
      <c r="CH274" s="526"/>
      <c r="CI274" s="526"/>
      <c r="CJ274" s="526"/>
      <c r="CK274" s="15"/>
    </row>
    <row r="275" spans="2:89" customFormat="1" ht="81" hidden="1" customHeight="1">
      <c r="B275" s="22"/>
      <c r="C275" s="22"/>
      <c r="D275" s="22"/>
      <c r="E275" s="22" t="s">
        <v>68</v>
      </c>
      <c r="F275" s="22"/>
      <c r="G275" s="915">
        <v>43332</v>
      </c>
      <c r="H275" s="1746"/>
      <c r="I275" s="330">
        <v>43322</v>
      </c>
      <c r="J275" s="16">
        <v>2017</v>
      </c>
      <c r="K275" s="1417"/>
      <c r="L275" s="1417"/>
      <c r="M275" s="170" t="s">
        <v>166</v>
      </c>
      <c r="N275" s="33" t="s">
        <v>885</v>
      </c>
      <c r="O275" s="172" t="s">
        <v>79</v>
      </c>
      <c r="P275" s="173" t="s">
        <v>886</v>
      </c>
      <c r="Q275" s="173" t="s">
        <v>4823</v>
      </c>
      <c r="R275" s="594">
        <v>614358.76</v>
      </c>
      <c r="S275" s="590">
        <v>43007</v>
      </c>
      <c r="T275" s="176">
        <v>43010</v>
      </c>
      <c r="U275" s="177">
        <v>43017</v>
      </c>
      <c r="V275" s="68">
        <v>42977</v>
      </c>
      <c r="W275" s="33" t="s">
        <v>733</v>
      </c>
      <c r="X275" s="530" t="s">
        <v>563</v>
      </c>
      <c r="Y275" s="200" t="s">
        <v>68</v>
      </c>
      <c r="Z275" s="368"/>
      <c r="AA275" s="33" t="s">
        <v>487</v>
      </c>
      <c r="AB275" s="8">
        <v>42977</v>
      </c>
      <c r="AC275" s="4">
        <v>4594338.3</v>
      </c>
      <c r="AD275" s="4"/>
      <c r="AE275" s="32"/>
      <c r="AF275" s="34" t="s">
        <v>68</v>
      </c>
      <c r="AG275" s="112" t="s">
        <v>68</v>
      </c>
      <c r="AH275" s="112" t="s">
        <v>68</v>
      </c>
      <c r="AI275" s="7" t="s">
        <v>68</v>
      </c>
      <c r="AJ275" s="109" t="s">
        <v>68</v>
      </c>
      <c r="AK275" s="339" t="s">
        <v>589</v>
      </c>
      <c r="AL275" s="1" t="s">
        <v>68</v>
      </c>
      <c r="AM275" s="5"/>
      <c r="AN275" s="1">
        <v>1851195</v>
      </c>
      <c r="AO275" s="5">
        <v>43007</v>
      </c>
      <c r="AP275" s="1">
        <v>1851203</v>
      </c>
      <c r="AQ275" s="5">
        <v>43017</v>
      </c>
      <c r="AR275" s="279">
        <f>61435.88+61435.88</f>
        <v>122871.76</v>
      </c>
      <c r="AS275" s="35">
        <v>0</v>
      </c>
      <c r="AT275" s="895">
        <v>614358.76</v>
      </c>
      <c r="AU275" s="884"/>
      <c r="AV275" s="70">
        <v>43010</v>
      </c>
      <c r="AW275" s="11">
        <v>43017</v>
      </c>
      <c r="AX275" s="223" t="s">
        <v>68</v>
      </c>
      <c r="AY275" s="224" t="s">
        <v>68</v>
      </c>
      <c r="AZ275" s="30">
        <v>43018</v>
      </c>
      <c r="BA275" s="5">
        <v>43010</v>
      </c>
      <c r="BB275" s="5">
        <v>43017</v>
      </c>
      <c r="BC275" s="11">
        <v>43017</v>
      </c>
      <c r="BD275" s="30">
        <v>43018</v>
      </c>
      <c r="BE275" s="309"/>
      <c r="BF275" s="5">
        <v>43010</v>
      </c>
      <c r="BG275" s="5">
        <v>43017</v>
      </c>
      <c r="BH275" s="5">
        <v>43017</v>
      </c>
      <c r="BI275" s="36">
        <v>614358.76</v>
      </c>
      <c r="BJ275" s="62">
        <v>43019</v>
      </c>
      <c r="BK275" s="105"/>
      <c r="BL275" s="105"/>
      <c r="BM275" s="5"/>
      <c r="BN275" s="5"/>
      <c r="BO275" s="52"/>
      <c r="BP275" s="52"/>
      <c r="BQ275" s="52"/>
      <c r="BR275" s="52"/>
      <c r="BS275" s="52"/>
      <c r="BT275" s="52"/>
      <c r="BU275" s="52"/>
      <c r="BV275" s="53"/>
      <c r="BW275" s="13"/>
      <c r="BX275" s="13"/>
      <c r="BY275" s="13"/>
      <c r="BZ275" s="13"/>
      <c r="CA275" s="13"/>
      <c r="CB275" s="1221" t="s">
        <v>1563</v>
      </c>
      <c r="CC275" s="586" t="s">
        <v>454</v>
      </c>
      <c r="CD275" s="526"/>
      <c r="CE275" s="526"/>
      <c r="CF275" s="526"/>
      <c r="CG275" s="526"/>
      <c r="CH275" s="526"/>
      <c r="CI275" s="526"/>
      <c r="CJ275" s="526"/>
      <c r="CK275" s="15"/>
    </row>
    <row r="276" spans="2:89" customFormat="1" ht="119.25" hidden="1" customHeight="1">
      <c r="B276" s="22"/>
      <c r="C276" s="22"/>
      <c r="D276" s="22"/>
      <c r="E276" s="22" t="s">
        <v>68</v>
      </c>
      <c r="F276" s="22"/>
      <c r="G276" s="915">
        <v>43271</v>
      </c>
      <c r="H276" s="1746"/>
      <c r="I276" s="330">
        <v>43048</v>
      </c>
      <c r="J276" s="16">
        <v>2017</v>
      </c>
      <c r="K276" s="1417"/>
      <c r="L276" s="1417"/>
      <c r="M276" s="170" t="s">
        <v>808</v>
      </c>
      <c r="N276" s="33" t="s">
        <v>887</v>
      </c>
      <c r="O276" s="172" t="s">
        <v>79</v>
      </c>
      <c r="P276" s="173" t="s">
        <v>888</v>
      </c>
      <c r="Q276" s="173" t="s">
        <v>1975</v>
      </c>
      <c r="R276" s="174">
        <v>607706.15</v>
      </c>
      <c r="S276" s="589">
        <v>42992</v>
      </c>
      <c r="T276" s="176">
        <v>43059</v>
      </c>
      <c r="U276" s="177">
        <v>43084</v>
      </c>
      <c r="V276" s="105">
        <v>42989</v>
      </c>
      <c r="W276" s="178" t="s">
        <v>739</v>
      </c>
      <c r="X276" s="170" t="s">
        <v>449</v>
      </c>
      <c r="Y276" s="611">
        <v>42934</v>
      </c>
      <c r="Z276" s="1372"/>
      <c r="AA276" s="33" t="s">
        <v>811</v>
      </c>
      <c r="AB276" s="8">
        <v>42804</v>
      </c>
      <c r="AC276" s="4">
        <v>6000000</v>
      </c>
      <c r="AD276" s="4"/>
      <c r="AE276" s="32"/>
      <c r="AF276" s="34" t="s">
        <v>68</v>
      </c>
      <c r="AG276" s="112" t="s">
        <v>68</v>
      </c>
      <c r="AH276" s="112" t="s">
        <v>68</v>
      </c>
      <c r="AI276" s="7" t="s">
        <v>68</v>
      </c>
      <c r="AJ276" s="109" t="s">
        <v>68</v>
      </c>
      <c r="AK276" s="33" t="s">
        <v>787</v>
      </c>
      <c r="AL276" s="1" t="s">
        <v>68</v>
      </c>
      <c r="AM276" s="5"/>
      <c r="AN276" s="1">
        <v>2149306</v>
      </c>
      <c r="AO276" s="5">
        <v>42992</v>
      </c>
      <c r="AP276" s="1">
        <v>2159903</v>
      </c>
      <c r="AQ276" s="5">
        <v>43082</v>
      </c>
      <c r="AR276" s="279">
        <f>60770.61+60770.61</f>
        <v>121541.22</v>
      </c>
      <c r="AS276" s="35">
        <v>0</v>
      </c>
      <c r="AT276" s="895">
        <v>607430.92000000004</v>
      </c>
      <c r="AU276" s="884"/>
      <c r="AV276" s="66" t="s">
        <v>74</v>
      </c>
      <c r="AW276" s="11"/>
      <c r="AX276" s="223"/>
      <c r="AY276" s="52"/>
      <c r="AZ276" s="30">
        <v>43084</v>
      </c>
      <c r="BA276" s="5">
        <v>43059</v>
      </c>
      <c r="BB276" s="5">
        <v>43084</v>
      </c>
      <c r="BC276" s="11">
        <v>43084</v>
      </c>
      <c r="BD276" s="30">
        <v>43084</v>
      </c>
      <c r="BE276" s="309"/>
      <c r="BF276" s="5">
        <v>43059</v>
      </c>
      <c r="BG276" s="5">
        <v>43084</v>
      </c>
      <c r="BH276" s="474">
        <v>43084</v>
      </c>
      <c r="BI276" s="36">
        <f>AS276+AT276-0.01</f>
        <v>607430.91</v>
      </c>
      <c r="BJ276" s="62">
        <v>43084</v>
      </c>
      <c r="BK276" s="105"/>
      <c r="BL276" s="105"/>
      <c r="BM276" s="5"/>
      <c r="BN276" s="5"/>
      <c r="BO276" s="52"/>
      <c r="BP276" s="52"/>
      <c r="BQ276" s="52"/>
      <c r="BR276" s="52"/>
      <c r="BS276" s="52"/>
      <c r="BT276" s="52"/>
      <c r="BU276" s="52"/>
      <c r="BV276" s="53"/>
      <c r="BW276" s="13"/>
      <c r="BX276" s="13"/>
      <c r="BY276" s="13"/>
      <c r="BZ276" s="13"/>
      <c r="CA276" s="13"/>
      <c r="CB276" s="1221" t="s">
        <v>1563</v>
      </c>
      <c r="CC276" s="321" t="s">
        <v>459</v>
      </c>
      <c r="CD276" s="526"/>
      <c r="CE276" s="2"/>
      <c r="CF276" s="2"/>
      <c r="CG276" s="2"/>
      <c r="CH276" s="2"/>
      <c r="CI276" s="2"/>
      <c r="CJ276" s="2"/>
      <c r="CK276" s="15"/>
    </row>
    <row r="277" spans="2:89" s="1050" customFormat="1" ht="26.25" hidden="1" customHeight="1">
      <c r="B277" s="1051"/>
      <c r="C277" s="1051"/>
      <c r="D277" s="1051"/>
      <c r="E277" s="1051"/>
      <c r="F277" s="1051"/>
      <c r="G277" s="553"/>
      <c r="H277" s="620"/>
      <c r="I277" s="620"/>
      <c r="J277" s="532">
        <v>2017</v>
      </c>
      <c r="K277" s="1420"/>
      <c r="L277" s="1420"/>
      <c r="M277" s="1054"/>
      <c r="N277" s="829" t="s">
        <v>889</v>
      </c>
      <c r="O277" s="1480" t="s">
        <v>251</v>
      </c>
      <c r="P277" s="1481" t="s">
        <v>627</v>
      </c>
      <c r="Q277" s="1481"/>
      <c r="R277" s="1057"/>
      <c r="S277" s="1058"/>
      <c r="T277" s="1059"/>
      <c r="U277" s="1060"/>
      <c r="V277" s="1051"/>
      <c r="W277" s="1055"/>
      <c r="X277" s="1054"/>
      <c r="Y277" s="1087"/>
      <c r="Z277" s="1378"/>
      <c r="AA277" s="308"/>
      <c r="AB277" s="1063"/>
      <c r="AC277" s="1064"/>
      <c r="AD277" s="1064"/>
      <c r="AE277" s="1065"/>
      <c r="AF277" s="1066"/>
      <c r="AG277" s="1067"/>
      <c r="AH277" s="1067"/>
      <c r="AI277" s="1068"/>
      <c r="AJ277" s="1069"/>
      <c r="AK277" s="308"/>
      <c r="AL277" s="1070"/>
      <c r="AM277" s="1071"/>
      <c r="AN277" s="1070"/>
      <c r="AO277" s="1071"/>
      <c r="AP277" s="1070"/>
      <c r="AQ277" s="1070"/>
      <c r="AR277" s="1072"/>
      <c r="AS277" s="1073">
        <v>0</v>
      </c>
      <c r="AT277" s="1074"/>
      <c r="AU277" s="1075"/>
      <c r="AV277" s="1076"/>
      <c r="AW277" s="1077"/>
      <c r="AX277" s="1078"/>
      <c r="AY277" s="1079"/>
      <c r="AZ277" s="829"/>
      <c r="BA277" s="1070"/>
      <c r="BB277" s="1070"/>
      <c r="BC277" s="1080"/>
      <c r="BD277" s="829"/>
      <c r="BE277" s="1473"/>
      <c r="BF277" s="1070"/>
      <c r="BG277" s="1070"/>
      <c r="BH277" s="1070"/>
      <c r="BI277" s="1081">
        <f>AS277+AT277</f>
        <v>0</v>
      </c>
      <c r="BJ277" s="1082"/>
      <c r="BK277" s="1051"/>
      <c r="BL277" s="1061"/>
      <c r="BM277" s="1071"/>
      <c r="BN277" s="1071"/>
      <c r="BO277" s="1079"/>
      <c r="BP277" s="1079"/>
      <c r="BQ277" s="1079"/>
      <c r="BR277" s="1079"/>
      <c r="BS277" s="1079"/>
      <c r="BT277" s="1079"/>
      <c r="BU277" s="1079"/>
      <c r="BV277" s="1475"/>
      <c r="BW277" s="1082"/>
      <c r="BX277" s="1082"/>
      <c r="BY277" s="1082"/>
      <c r="BZ277" s="1082"/>
      <c r="CA277" s="1082"/>
      <c r="CB277" s="1477" t="s">
        <v>1563</v>
      </c>
      <c r="CC277" s="126" t="s">
        <v>478</v>
      </c>
      <c r="CD277" s="789"/>
      <c r="CE277" s="789"/>
      <c r="CF277" s="789"/>
      <c r="CG277" s="789"/>
      <c r="CH277" s="789"/>
      <c r="CI277" s="789"/>
      <c r="CJ277" s="789"/>
      <c r="CK277" s="1086"/>
    </row>
    <row r="278" spans="2:89" customFormat="1" ht="83.25" hidden="1" customHeight="1">
      <c r="B278" s="22"/>
      <c r="C278" s="22"/>
      <c r="D278" s="22"/>
      <c r="E278" s="22" t="s">
        <v>68</v>
      </c>
      <c r="F278" s="22"/>
      <c r="G278" s="915">
        <v>43304</v>
      </c>
      <c r="H278" s="1746"/>
      <c r="I278" s="330">
        <v>43327</v>
      </c>
      <c r="J278" s="16">
        <v>-2016</v>
      </c>
      <c r="K278" s="1417"/>
      <c r="L278" s="1417"/>
      <c r="M278" s="170" t="s">
        <v>77</v>
      </c>
      <c r="N278" s="19" t="s">
        <v>890</v>
      </c>
      <c r="O278" s="172" t="s">
        <v>79</v>
      </c>
      <c r="P278" s="173" t="s">
        <v>891</v>
      </c>
      <c r="Q278" s="173" t="s">
        <v>2538</v>
      </c>
      <c r="R278" s="174">
        <v>335569.36</v>
      </c>
      <c r="S278" s="589">
        <v>43000</v>
      </c>
      <c r="T278" s="176">
        <v>43003</v>
      </c>
      <c r="U278" s="177">
        <v>43023</v>
      </c>
      <c r="V278" s="68">
        <v>42999</v>
      </c>
      <c r="W278" s="178" t="s">
        <v>892</v>
      </c>
      <c r="X278" s="170" t="s">
        <v>114</v>
      </c>
      <c r="Y278" s="645" t="s">
        <v>74</v>
      </c>
      <c r="Z278" s="645"/>
      <c r="AA278" s="115" t="s">
        <v>893</v>
      </c>
      <c r="AB278" s="8">
        <v>42674</v>
      </c>
      <c r="AC278" s="4">
        <v>335569.36</v>
      </c>
      <c r="AD278" s="4"/>
      <c r="AE278" s="32"/>
      <c r="AF278" s="34" t="s">
        <v>68</v>
      </c>
      <c r="AG278" s="112" t="s">
        <v>68</v>
      </c>
      <c r="AH278" s="112" t="s">
        <v>68</v>
      </c>
      <c r="AI278" s="7" t="s">
        <v>68</v>
      </c>
      <c r="AJ278" s="215" t="s">
        <v>68</v>
      </c>
      <c r="AK278" s="115" t="s">
        <v>894</v>
      </c>
      <c r="AL278" s="1" t="s">
        <v>895</v>
      </c>
      <c r="AM278" s="5">
        <v>43000</v>
      </c>
      <c r="AN278" s="1" t="s">
        <v>896</v>
      </c>
      <c r="AO278" s="5">
        <v>43000</v>
      </c>
      <c r="AP278" s="1" t="s">
        <v>83</v>
      </c>
      <c r="AQ278" s="1"/>
      <c r="AR278" s="279">
        <f>8392.34+33556.93</f>
        <v>41949.270000000004</v>
      </c>
      <c r="AS278" s="35">
        <v>0</v>
      </c>
      <c r="AT278" s="895">
        <v>335569.36</v>
      </c>
      <c r="AU278" s="884"/>
      <c r="AV278" s="337" t="s">
        <v>74</v>
      </c>
      <c r="AW278" s="11"/>
      <c r="AX278" s="223" t="s">
        <v>68</v>
      </c>
      <c r="AY278" s="224" t="s">
        <v>68</v>
      </c>
      <c r="AZ278" s="345">
        <v>43071</v>
      </c>
      <c r="BA278" s="5">
        <v>43052</v>
      </c>
      <c r="BB278" s="5">
        <v>43072</v>
      </c>
      <c r="BC278" s="11">
        <v>43071</v>
      </c>
      <c r="BD278" s="345">
        <v>43076</v>
      </c>
      <c r="BE278" s="1617"/>
      <c r="BF278" s="5">
        <v>43052</v>
      </c>
      <c r="BG278" s="5">
        <v>43072</v>
      </c>
      <c r="BH278" s="5">
        <v>43071</v>
      </c>
      <c r="BI278" s="36">
        <f>AS278+AT278</f>
        <v>335569.36</v>
      </c>
      <c r="BJ278" s="13"/>
      <c r="BK278" s="352"/>
      <c r="BL278" s="694" t="s">
        <v>68</v>
      </c>
      <c r="BM278" s="695" t="s">
        <v>68</v>
      </c>
      <c r="BN278" s="695" t="s">
        <v>68</v>
      </c>
      <c r="BO278" s="694"/>
      <c r="BP278" s="694"/>
      <c r="BQ278" s="694"/>
      <c r="BR278" s="694"/>
      <c r="BS278" s="694"/>
      <c r="BT278" s="694"/>
      <c r="BU278" s="694"/>
      <c r="BV278" s="694" t="s">
        <v>68</v>
      </c>
      <c r="BW278" s="13"/>
      <c r="BX278" s="13"/>
      <c r="BY278" s="13"/>
      <c r="BZ278" s="13"/>
      <c r="CA278" s="13"/>
      <c r="CB278" s="1221" t="s">
        <v>1563</v>
      </c>
      <c r="CC278" s="321" t="s">
        <v>459</v>
      </c>
      <c r="CD278" s="526"/>
      <c r="CE278" s="526"/>
      <c r="CF278" s="526"/>
      <c r="CG278" s="526"/>
      <c r="CH278" s="526"/>
      <c r="CI278" s="526"/>
      <c r="CJ278" s="526"/>
      <c r="CK278" s="15"/>
    </row>
    <row r="279" spans="2:89" customFormat="1" ht="109.5" hidden="1" customHeight="1">
      <c r="B279" s="22"/>
      <c r="C279" s="22"/>
      <c r="D279" s="22"/>
      <c r="E279" s="22" t="s">
        <v>68</v>
      </c>
      <c r="F279" s="22"/>
      <c r="G279" s="915">
        <v>43132</v>
      </c>
      <c r="H279" s="1746"/>
      <c r="I279" s="330"/>
      <c r="J279" s="16">
        <v>2017</v>
      </c>
      <c r="K279" s="1417"/>
      <c r="L279" s="1417"/>
      <c r="M279" s="170" t="s">
        <v>166</v>
      </c>
      <c r="N279" s="33" t="s">
        <v>897</v>
      </c>
      <c r="O279" s="172" t="s">
        <v>79</v>
      </c>
      <c r="P279" s="173" t="s">
        <v>898</v>
      </c>
      <c r="Q279" s="173" t="s">
        <v>2577</v>
      </c>
      <c r="R279" s="174">
        <v>240397.92</v>
      </c>
      <c r="S279" s="175">
        <v>42979</v>
      </c>
      <c r="T279" s="176">
        <v>42980</v>
      </c>
      <c r="U279" s="177">
        <v>43007</v>
      </c>
      <c r="V279" s="105">
        <v>42978</v>
      </c>
      <c r="W279" s="178" t="s">
        <v>899</v>
      </c>
      <c r="X279" s="639" t="s">
        <v>563</v>
      </c>
      <c r="Y279" s="461" t="s">
        <v>74</v>
      </c>
      <c r="Z279" s="1371"/>
      <c r="AA279" s="33" t="s">
        <v>900</v>
      </c>
      <c r="AB279" s="8">
        <v>42977</v>
      </c>
      <c r="AC279" s="4">
        <v>44815.73</v>
      </c>
      <c r="AD279" s="4"/>
      <c r="AE279" s="32">
        <v>240398.92</v>
      </c>
      <c r="AF279" s="34" t="s">
        <v>68</v>
      </c>
      <c r="AG279" s="112" t="s">
        <v>68</v>
      </c>
      <c r="AH279" s="112" t="s">
        <v>68</v>
      </c>
      <c r="AI279" s="7" t="s">
        <v>68</v>
      </c>
      <c r="AJ279" s="109" t="s">
        <v>68</v>
      </c>
      <c r="AK279" s="33" t="s">
        <v>787</v>
      </c>
      <c r="AL279" s="1" t="s">
        <v>68</v>
      </c>
      <c r="AM279" s="5"/>
      <c r="AN279" s="1">
        <v>2138763</v>
      </c>
      <c r="AO279" s="5">
        <v>42979</v>
      </c>
      <c r="AP279" s="1">
        <v>2138766</v>
      </c>
      <c r="AQ279" s="5">
        <v>43007</v>
      </c>
      <c r="AR279" s="279">
        <f>27886.15+27886.15</f>
        <v>55772.3</v>
      </c>
      <c r="AS279" s="35">
        <v>0</v>
      </c>
      <c r="AT279" s="895"/>
      <c r="AU279" s="884"/>
      <c r="AV279" s="66" t="s">
        <v>74</v>
      </c>
      <c r="AW279" s="509"/>
      <c r="AX279" s="223" t="s">
        <v>68</v>
      </c>
      <c r="AY279" s="52" t="s">
        <v>68</v>
      </c>
      <c r="AZ279" s="30">
        <v>43010</v>
      </c>
      <c r="BA279" s="5">
        <v>42980</v>
      </c>
      <c r="BB279" s="5">
        <v>43007</v>
      </c>
      <c r="BC279" s="11">
        <v>43007</v>
      </c>
      <c r="BD279" s="30">
        <v>43010</v>
      </c>
      <c r="BE279" s="309"/>
      <c r="BF279" s="5">
        <v>42980</v>
      </c>
      <c r="BG279" s="5">
        <v>43007</v>
      </c>
      <c r="BH279" s="5">
        <v>43007</v>
      </c>
      <c r="BI279" s="36">
        <v>305846.5</v>
      </c>
      <c r="BJ279" s="62">
        <v>43011</v>
      </c>
      <c r="BK279" s="105"/>
      <c r="BL279" s="105"/>
      <c r="BM279" s="5"/>
      <c r="BN279" s="5"/>
      <c r="BO279" s="52"/>
      <c r="BP279" s="52"/>
      <c r="BQ279" s="52"/>
      <c r="BR279" s="52"/>
      <c r="BS279" s="52"/>
      <c r="BT279" s="52"/>
      <c r="BU279" s="52"/>
      <c r="BV279" s="53"/>
      <c r="BW279" s="13"/>
      <c r="BX279" s="13"/>
      <c r="BY279" s="13"/>
      <c r="BZ279" s="13"/>
      <c r="CA279" s="13"/>
      <c r="CB279" s="1221" t="s">
        <v>1563</v>
      </c>
      <c r="CC279" s="321" t="s">
        <v>459</v>
      </c>
      <c r="CD279" s="526"/>
      <c r="CE279" s="526"/>
      <c r="CF279" s="526"/>
      <c r="CG279" s="526"/>
      <c r="CH279" s="526"/>
      <c r="CI279" s="526"/>
      <c r="CJ279" s="526"/>
      <c r="CK279" s="15"/>
    </row>
    <row r="280" spans="2:89" customFormat="1" ht="126" hidden="1" customHeight="1">
      <c r="B280" s="22"/>
      <c r="C280" s="22"/>
      <c r="D280" s="22"/>
      <c r="E280" s="22" t="s">
        <v>68</v>
      </c>
      <c r="F280" s="22"/>
      <c r="G280" s="915">
        <v>43213</v>
      </c>
      <c r="H280" s="1746"/>
      <c r="I280" s="330"/>
      <c r="J280" s="16">
        <v>2017</v>
      </c>
      <c r="K280" s="1417"/>
      <c r="L280" s="1417"/>
      <c r="M280" s="170" t="s">
        <v>166</v>
      </c>
      <c r="N280" s="33" t="s">
        <v>901</v>
      </c>
      <c r="O280" s="172" t="s">
        <v>79</v>
      </c>
      <c r="P280" s="173" t="s">
        <v>902</v>
      </c>
      <c r="Q280" s="173" t="s">
        <v>1975</v>
      </c>
      <c r="R280" s="174">
        <v>743056.9</v>
      </c>
      <c r="S280" s="589">
        <v>43052</v>
      </c>
      <c r="T280" s="609">
        <v>43061</v>
      </c>
      <c r="U280" s="610">
        <v>43084</v>
      </c>
      <c r="V280" s="68">
        <v>43049</v>
      </c>
      <c r="W280" s="178" t="s">
        <v>903</v>
      </c>
      <c r="X280" s="170" t="s">
        <v>709</v>
      </c>
      <c r="Y280" s="592" t="s">
        <v>68</v>
      </c>
      <c r="Z280" s="1374"/>
      <c r="AA280" s="115" t="s">
        <v>904</v>
      </c>
      <c r="AB280" s="8">
        <v>42977</v>
      </c>
      <c r="AC280" s="4">
        <v>675506.28</v>
      </c>
      <c r="AD280" s="4"/>
      <c r="AE280" s="32"/>
      <c r="AF280" s="34" t="s">
        <v>68</v>
      </c>
      <c r="AG280" s="112" t="s">
        <v>68</v>
      </c>
      <c r="AH280" s="112" t="s">
        <v>68</v>
      </c>
      <c r="AI280" s="7" t="s">
        <v>68</v>
      </c>
      <c r="AJ280" s="215" t="s">
        <v>68</v>
      </c>
      <c r="AK280" s="339" t="s">
        <v>589</v>
      </c>
      <c r="AL280" s="1">
        <v>1871663</v>
      </c>
      <c r="AM280" s="5">
        <v>43056</v>
      </c>
      <c r="AN280" s="1">
        <v>1871692</v>
      </c>
      <c r="AO280" s="5">
        <v>43056</v>
      </c>
      <c r="AP280" s="1">
        <v>1881383</v>
      </c>
      <c r="AQ280" s="5">
        <v>43137</v>
      </c>
      <c r="AR280" s="279">
        <f>371528.45+74305.69+74305.69</f>
        <v>520139.83</v>
      </c>
      <c r="AS280" s="35">
        <v>0</v>
      </c>
      <c r="AT280" s="895">
        <v>743056.9</v>
      </c>
      <c r="AU280" s="884"/>
      <c r="AV280" s="337" t="s">
        <v>74</v>
      </c>
      <c r="AW280" s="11"/>
      <c r="AX280" s="223" t="s">
        <v>68</v>
      </c>
      <c r="AY280" s="224" t="s">
        <v>68</v>
      </c>
      <c r="AZ280" s="70">
        <v>43126</v>
      </c>
      <c r="BA280" s="5">
        <v>43085</v>
      </c>
      <c r="BB280" s="234">
        <v>43126</v>
      </c>
      <c r="BC280" s="11">
        <v>43126</v>
      </c>
      <c r="BD280" s="339">
        <v>43126</v>
      </c>
      <c r="BE280" s="1616"/>
      <c r="BF280" s="5">
        <v>43085</v>
      </c>
      <c r="BG280" s="234">
        <v>43126</v>
      </c>
      <c r="BH280" s="5">
        <v>43126</v>
      </c>
      <c r="BI280" s="36">
        <v>743056.9</v>
      </c>
      <c r="BJ280" s="62">
        <v>43126</v>
      </c>
      <c r="BK280" s="105"/>
      <c r="BL280" s="105"/>
      <c r="BM280" s="5"/>
      <c r="BN280" s="5"/>
      <c r="BO280" s="52"/>
      <c r="BP280" s="52"/>
      <c r="BQ280" s="52"/>
      <c r="BR280" s="52"/>
      <c r="BS280" s="52"/>
      <c r="BT280" s="52"/>
      <c r="BU280" s="52"/>
      <c r="BV280" s="53"/>
      <c r="BW280" s="13"/>
      <c r="BX280" s="13"/>
      <c r="BY280" s="13"/>
      <c r="BZ280" s="13"/>
      <c r="CA280" s="13"/>
      <c r="CB280" s="1221" t="s">
        <v>1563</v>
      </c>
      <c r="CC280" s="321" t="s">
        <v>459</v>
      </c>
      <c r="CD280" s="526"/>
      <c r="CE280" s="526"/>
      <c r="CF280" s="526"/>
      <c r="CG280" s="526"/>
      <c r="CH280" s="526"/>
      <c r="CI280" s="526"/>
      <c r="CJ280" s="526"/>
      <c r="CK280" s="15"/>
    </row>
    <row r="281" spans="2:89" customFormat="1" ht="124.5" hidden="1" customHeight="1">
      <c r="B281" s="22"/>
      <c r="C281" s="22"/>
      <c r="D281" s="22"/>
      <c r="E281" s="22" t="s">
        <v>68</v>
      </c>
      <c r="F281" s="22"/>
      <c r="G281" s="915">
        <v>43355</v>
      </c>
      <c r="H281" s="1746"/>
      <c r="I281" s="330">
        <v>43439</v>
      </c>
      <c r="J281" s="16">
        <v>2017</v>
      </c>
      <c r="K281" s="1417"/>
      <c r="L281" s="1417"/>
      <c r="M281" s="170" t="s">
        <v>77</v>
      </c>
      <c r="N281" s="33" t="s">
        <v>905</v>
      </c>
      <c r="O281" s="172" t="s">
        <v>79</v>
      </c>
      <c r="P281" s="173" t="s">
        <v>906</v>
      </c>
      <c r="Q281" s="173" t="s">
        <v>4409</v>
      </c>
      <c r="R281" s="174">
        <v>493878.63</v>
      </c>
      <c r="S281" s="589">
        <v>43047</v>
      </c>
      <c r="T281" s="176">
        <v>43048</v>
      </c>
      <c r="U281" s="177">
        <v>43086</v>
      </c>
      <c r="V281" s="68">
        <v>43046</v>
      </c>
      <c r="W281" s="116" t="s">
        <v>199</v>
      </c>
      <c r="X281" s="170" t="s">
        <v>213</v>
      </c>
      <c r="Y281" s="684" t="s">
        <v>907</v>
      </c>
      <c r="Z281" s="1375"/>
      <c r="AA281" s="115" t="s">
        <v>908</v>
      </c>
      <c r="AB281" s="8">
        <v>43045</v>
      </c>
      <c r="AC281" s="4">
        <v>1009625.88</v>
      </c>
      <c r="AD281" s="4"/>
      <c r="AE281" s="32"/>
      <c r="AF281" s="34" t="s">
        <v>68</v>
      </c>
      <c r="AG281" s="112" t="s">
        <v>68</v>
      </c>
      <c r="AH281" s="112" t="s">
        <v>68</v>
      </c>
      <c r="AI281" s="7" t="s">
        <v>68</v>
      </c>
      <c r="AJ281" s="215" t="s">
        <v>68</v>
      </c>
      <c r="AK281" s="344" t="s">
        <v>107</v>
      </c>
      <c r="AL281" s="343" t="s">
        <v>68</v>
      </c>
      <c r="AM281" s="325"/>
      <c r="AN281" s="343" t="s">
        <v>909</v>
      </c>
      <c r="AO281" s="5">
        <v>43083</v>
      </c>
      <c r="AP281" s="1" t="s">
        <v>910</v>
      </c>
      <c r="AQ281" s="5">
        <v>43091</v>
      </c>
      <c r="AR281" s="279">
        <f>5163.54+49387.86</f>
        <v>54551.4</v>
      </c>
      <c r="AS281" s="35">
        <v>0</v>
      </c>
      <c r="AT281" s="902"/>
      <c r="AU281" s="884">
        <v>493878.63</v>
      </c>
      <c r="AV281" s="337" t="s">
        <v>74</v>
      </c>
      <c r="AW281" s="11"/>
      <c r="AX281" s="223" t="s">
        <v>68</v>
      </c>
      <c r="AY281" s="224" t="s">
        <v>68</v>
      </c>
      <c r="AZ281" s="117" t="s">
        <v>74</v>
      </c>
      <c r="BA281" s="1"/>
      <c r="BB281" s="1"/>
      <c r="BC281" s="17"/>
      <c r="BD281" s="337" t="s">
        <v>74</v>
      </c>
      <c r="BE281" s="1619"/>
      <c r="BF281" s="5"/>
      <c r="BG281" s="5"/>
      <c r="BH281" s="5"/>
      <c r="BI281" s="36">
        <f>AS281+AT281</f>
        <v>0</v>
      </c>
      <c r="BJ281" s="13"/>
      <c r="BK281" s="22"/>
      <c r="BL281" s="676"/>
      <c r="BM281" s="474"/>
      <c r="BN281" s="474"/>
      <c r="BO281" s="474"/>
      <c r="BP281" s="474"/>
      <c r="BQ281" s="474"/>
      <c r="BR281" s="474"/>
      <c r="BS281" s="474"/>
      <c r="BT281" s="880"/>
      <c r="BU281" s="880"/>
      <c r="BV281" s="692"/>
      <c r="BW281" s="13"/>
      <c r="BX281" s="13"/>
      <c r="BY281" s="13"/>
      <c r="BZ281" s="13"/>
      <c r="CA281" s="13"/>
      <c r="CB281" s="1221" t="s">
        <v>1563</v>
      </c>
      <c r="CC281" s="321" t="s">
        <v>459</v>
      </c>
      <c r="CD281" s="526"/>
      <c r="CE281" s="526"/>
      <c r="CF281" s="526"/>
      <c r="CG281" s="526"/>
      <c r="CH281" s="526"/>
      <c r="CI281" s="526"/>
      <c r="CJ281" s="526"/>
      <c r="CK281" s="15"/>
    </row>
    <row r="282" spans="2:89" customFormat="1" ht="126" hidden="1" customHeight="1">
      <c r="B282" s="22"/>
      <c r="C282" s="22"/>
      <c r="D282" s="22"/>
      <c r="E282" s="22" t="s">
        <v>68</v>
      </c>
      <c r="F282" s="22"/>
      <c r="G282" s="915">
        <v>43355</v>
      </c>
      <c r="H282" s="1746"/>
      <c r="I282" s="330">
        <v>43439</v>
      </c>
      <c r="J282" s="16">
        <v>2017</v>
      </c>
      <c r="K282" s="1417"/>
      <c r="L282" s="1417"/>
      <c r="M282" s="170" t="s">
        <v>77</v>
      </c>
      <c r="N282" s="33" t="s">
        <v>911</v>
      </c>
      <c r="O282" s="172" t="s">
        <v>79</v>
      </c>
      <c r="P282" s="173" t="s">
        <v>912</v>
      </c>
      <c r="Q282" s="173" t="s">
        <v>4409</v>
      </c>
      <c r="R282" s="174">
        <v>515747.25</v>
      </c>
      <c r="S282" s="589">
        <v>43047</v>
      </c>
      <c r="T282" s="176">
        <v>43048</v>
      </c>
      <c r="U282" s="177">
        <v>43081</v>
      </c>
      <c r="V282" s="68">
        <v>43046</v>
      </c>
      <c r="W282" s="116" t="s">
        <v>199</v>
      </c>
      <c r="X282" s="170" t="s">
        <v>213</v>
      </c>
      <c r="Y282" s="461" t="s">
        <v>74</v>
      </c>
      <c r="Z282" s="1371"/>
      <c r="AA282" s="115" t="s">
        <v>908</v>
      </c>
      <c r="AB282" s="8">
        <v>43045</v>
      </c>
      <c r="AC282" s="4">
        <v>1009625.88</v>
      </c>
      <c r="AD282" s="4"/>
      <c r="AE282" s="32"/>
      <c r="AF282" s="34" t="s">
        <v>68</v>
      </c>
      <c r="AG282" s="112" t="s">
        <v>68</v>
      </c>
      <c r="AH282" s="112" t="s">
        <v>68</v>
      </c>
      <c r="AI282" s="7" t="s">
        <v>68</v>
      </c>
      <c r="AJ282" s="215" t="s">
        <v>68</v>
      </c>
      <c r="AK282" s="344" t="s">
        <v>107</v>
      </c>
      <c r="AL282" s="1" t="s">
        <v>68</v>
      </c>
      <c r="AM282" s="5"/>
      <c r="AN282" s="343" t="s">
        <v>913</v>
      </c>
      <c r="AO282" s="5">
        <v>43080</v>
      </c>
      <c r="AP282" s="1" t="s">
        <v>914</v>
      </c>
      <c r="AQ282" s="5">
        <v>43084</v>
      </c>
      <c r="AR282" s="279">
        <f>512818.87+1574.72</f>
        <v>514393.58999999997</v>
      </c>
      <c r="AS282" s="35">
        <v>0</v>
      </c>
      <c r="AT282" s="902"/>
      <c r="AU282" s="884">
        <v>515747.25</v>
      </c>
      <c r="AV282" s="337" t="s">
        <v>74</v>
      </c>
      <c r="AW282" s="11"/>
      <c r="AX282" s="223" t="s">
        <v>68</v>
      </c>
      <c r="AY282" s="224" t="s">
        <v>68</v>
      </c>
      <c r="AZ282" s="117" t="s">
        <v>74</v>
      </c>
      <c r="BA282" s="1"/>
      <c r="BB282" s="1"/>
      <c r="BC282" s="17"/>
      <c r="BD282" s="337" t="s">
        <v>74</v>
      </c>
      <c r="BE282" s="1619"/>
      <c r="BF282" s="5"/>
      <c r="BG282" s="5"/>
      <c r="BH282" s="5"/>
      <c r="BI282" s="36">
        <f>AS282+AT282</f>
        <v>0</v>
      </c>
      <c r="BJ282" s="13"/>
      <c r="BK282" s="22"/>
      <c r="BL282" s="676"/>
      <c r="BM282" s="474"/>
      <c r="BN282" s="474"/>
      <c r="BO282" s="474"/>
      <c r="BP282" s="474"/>
      <c r="BQ282" s="474"/>
      <c r="BR282" s="474"/>
      <c r="BS282" s="474"/>
      <c r="BT282" s="880"/>
      <c r="BU282" s="880"/>
      <c r="BV282" s="692"/>
      <c r="BW282" s="13"/>
      <c r="BX282" s="13"/>
      <c r="BY282" s="13"/>
      <c r="BZ282" s="13"/>
      <c r="CA282" s="13"/>
      <c r="CB282" s="1221" t="s">
        <v>1563</v>
      </c>
      <c r="CC282" s="321" t="s">
        <v>459</v>
      </c>
      <c r="CD282" s="526"/>
      <c r="CE282" s="526"/>
      <c r="CF282" s="526"/>
      <c r="CG282" s="526"/>
      <c r="CH282" s="526"/>
      <c r="CI282" s="526"/>
      <c r="CJ282" s="526"/>
      <c r="CK282" s="15"/>
    </row>
    <row r="283" spans="2:89" customFormat="1" ht="75" hidden="1" customHeight="1">
      <c r="B283" s="22"/>
      <c r="C283" s="22"/>
      <c r="D283" s="22"/>
      <c r="E283" s="22" t="s">
        <v>68</v>
      </c>
      <c r="F283" s="22"/>
      <c r="G283" s="915">
        <v>43269</v>
      </c>
      <c r="H283" s="1746"/>
      <c r="I283" s="330">
        <v>43271</v>
      </c>
      <c r="J283" s="16">
        <v>2017</v>
      </c>
      <c r="K283" s="1417"/>
      <c r="L283" s="1417"/>
      <c r="M283" s="170" t="s">
        <v>77</v>
      </c>
      <c r="N283" s="33" t="s">
        <v>915</v>
      </c>
      <c r="O283" s="172" t="s">
        <v>79</v>
      </c>
      <c r="P283" s="173" t="s">
        <v>916</v>
      </c>
      <c r="Q283" s="173" t="s">
        <v>2512</v>
      </c>
      <c r="R283" s="174">
        <v>392640.25</v>
      </c>
      <c r="S283" s="175">
        <v>43046</v>
      </c>
      <c r="T283" s="176">
        <v>43047</v>
      </c>
      <c r="U283" s="177">
        <v>43078</v>
      </c>
      <c r="V283" s="105">
        <v>43045</v>
      </c>
      <c r="W283" s="178" t="s">
        <v>917</v>
      </c>
      <c r="X283" s="170" t="s">
        <v>563</v>
      </c>
      <c r="Y283" s="611">
        <v>43042</v>
      </c>
      <c r="Z283" s="1372"/>
      <c r="AA283" s="33" t="s">
        <v>918</v>
      </c>
      <c r="AB283" s="8">
        <v>43045</v>
      </c>
      <c r="AC283" s="4">
        <v>392792.05</v>
      </c>
      <c r="AD283" s="4"/>
      <c r="AE283" s="32"/>
      <c r="AF283" s="34" t="s">
        <v>68</v>
      </c>
      <c r="AG283" s="112" t="s">
        <v>68</v>
      </c>
      <c r="AH283" s="112" t="s">
        <v>68</v>
      </c>
      <c r="AI283" s="7" t="s">
        <v>68</v>
      </c>
      <c r="AJ283" s="109" t="s">
        <v>68</v>
      </c>
      <c r="AK283" s="339" t="s">
        <v>589</v>
      </c>
      <c r="AL283" s="1">
        <v>1851937</v>
      </c>
      <c r="AM283" s="5">
        <v>43046</v>
      </c>
      <c r="AN283" s="1">
        <v>1851939</v>
      </c>
      <c r="AO283" s="5">
        <v>43046</v>
      </c>
      <c r="AP283" s="128">
        <v>1885357</v>
      </c>
      <c r="AQ283" s="5">
        <v>43150</v>
      </c>
      <c r="AR283" s="279">
        <f>98160.06+39264.03+42819.7</f>
        <v>180243.78999999998</v>
      </c>
      <c r="AS283" s="35">
        <v>0</v>
      </c>
      <c r="AT283" s="895">
        <v>430050.61</v>
      </c>
      <c r="AU283" s="884"/>
      <c r="AV283" s="70">
        <v>42986</v>
      </c>
      <c r="AW283" s="11">
        <v>43077</v>
      </c>
      <c r="AX283" s="223" t="s">
        <v>68</v>
      </c>
      <c r="AY283" s="52" t="s">
        <v>68</v>
      </c>
      <c r="AZ283" s="70">
        <v>43115</v>
      </c>
      <c r="BA283" s="5">
        <v>43047</v>
      </c>
      <c r="BB283" s="5">
        <v>43078</v>
      </c>
      <c r="BC283" s="11">
        <v>43078</v>
      </c>
      <c r="BD283" s="70">
        <v>43150</v>
      </c>
      <c r="BE283" s="1614"/>
      <c r="BF283" s="71">
        <v>43048</v>
      </c>
      <c r="BG283" s="71">
        <v>43078</v>
      </c>
      <c r="BH283" s="71">
        <v>43078</v>
      </c>
      <c r="BI283" s="129">
        <f>AS283+AT283</f>
        <v>430050.61</v>
      </c>
      <c r="BJ283" s="62">
        <v>43157</v>
      </c>
      <c r="BK283" s="105"/>
      <c r="BL283" s="105"/>
      <c r="BM283" s="5"/>
      <c r="BN283" s="5"/>
      <c r="BO283" s="52"/>
      <c r="BP283" s="52"/>
      <c r="BQ283" s="52"/>
      <c r="BR283" s="52"/>
      <c r="BS283" s="52"/>
      <c r="BT283" s="52"/>
      <c r="BU283" s="52"/>
      <c r="BV283" s="53"/>
      <c r="BW283" s="13"/>
      <c r="BX283" s="13"/>
      <c r="BY283" s="13"/>
      <c r="BZ283" s="13"/>
      <c r="CA283" s="13"/>
      <c r="CB283" s="1221" t="s">
        <v>1563</v>
      </c>
      <c r="CC283" s="586" t="s">
        <v>454</v>
      </c>
      <c r="CD283" s="526"/>
      <c r="CE283" s="526"/>
      <c r="CF283" s="526"/>
      <c r="CG283" s="526"/>
      <c r="CH283" s="526"/>
      <c r="CI283" s="526"/>
      <c r="CJ283" s="526"/>
      <c r="CK283" s="15"/>
    </row>
    <row r="284" spans="2:89" customFormat="1" ht="213" hidden="1" customHeight="1">
      <c r="B284" s="22"/>
      <c r="C284" s="22"/>
      <c r="D284" s="22"/>
      <c r="E284" s="22" t="s">
        <v>68</v>
      </c>
      <c r="F284" s="22"/>
      <c r="G284" s="915">
        <v>43200</v>
      </c>
      <c r="H284" s="1746"/>
      <c r="I284" s="330">
        <v>43203</v>
      </c>
      <c r="J284" s="16">
        <v>2017</v>
      </c>
      <c r="K284" s="1417"/>
      <c r="L284" s="1417"/>
      <c r="M284" s="170" t="s">
        <v>808</v>
      </c>
      <c r="N284" s="33" t="s">
        <v>919</v>
      </c>
      <c r="O284" s="172" t="s">
        <v>79</v>
      </c>
      <c r="P284" s="173" t="s">
        <v>920</v>
      </c>
      <c r="Q284" s="173" t="s">
        <v>1975</v>
      </c>
      <c r="R284" s="594">
        <v>794788.72</v>
      </c>
      <c r="S284" s="590">
        <v>43038</v>
      </c>
      <c r="T284" s="176">
        <v>43061</v>
      </c>
      <c r="U284" s="177">
        <v>43084</v>
      </c>
      <c r="V284" s="105">
        <v>43031</v>
      </c>
      <c r="W284" s="178" t="s">
        <v>739</v>
      </c>
      <c r="X284" s="170" t="s">
        <v>449</v>
      </c>
      <c r="Y284" s="679">
        <v>42934</v>
      </c>
      <c r="Z284" s="1376"/>
      <c r="AA284" s="33" t="s">
        <v>811</v>
      </c>
      <c r="AB284" s="8">
        <v>42804</v>
      </c>
      <c r="AC284" s="4">
        <v>6000000</v>
      </c>
      <c r="AD284" s="4"/>
      <c r="AE284" s="32"/>
      <c r="AF284" s="34" t="s">
        <v>68</v>
      </c>
      <c r="AG284" s="112" t="s">
        <v>68</v>
      </c>
      <c r="AH284" s="112" t="s">
        <v>68</v>
      </c>
      <c r="AI284" s="7" t="s">
        <v>68</v>
      </c>
      <c r="AJ284" s="109" t="s">
        <v>68</v>
      </c>
      <c r="AK284" s="33" t="s">
        <v>787</v>
      </c>
      <c r="AL284" s="1" t="s">
        <v>68</v>
      </c>
      <c r="AM284" s="5"/>
      <c r="AN284" s="1">
        <v>2149360</v>
      </c>
      <c r="AO284" s="5">
        <v>43038</v>
      </c>
      <c r="AP284" s="1">
        <v>2159874</v>
      </c>
      <c r="AQ284" s="5">
        <v>43082</v>
      </c>
      <c r="AR284" s="279">
        <f>79478.87*2</f>
        <v>158957.74</v>
      </c>
      <c r="AS284" s="35">
        <v>0</v>
      </c>
      <c r="AT284" s="895">
        <v>794762.56</v>
      </c>
      <c r="AU284" s="884"/>
      <c r="AV284" s="66" t="s">
        <v>74</v>
      </c>
      <c r="AW284" s="11"/>
      <c r="AX284" s="223" t="s">
        <v>68</v>
      </c>
      <c r="AY284" s="52" t="s">
        <v>68</v>
      </c>
      <c r="AZ284" s="30">
        <v>43084</v>
      </c>
      <c r="BA284" s="5">
        <v>43059</v>
      </c>
      <c r="BB284" s="5">
        <v>43084</v>
      </c>
      <c r="BC284" s="11">
        <v>43084</v>
      </c>
      <c r="BD284" s="30">
        <v>43084</v>
      </c>
      <c r="BE284" s="309"/>
      <c r="BF284" s="5">
        <v>43059</v>
      </c>
      <c r="BG284" s="5">
        <v>43084</v>
      </c>
      <c r="BH284" s="5">
        <v>42995</v>
      </c>
      <c r="BI284" s="36">
        <f>AS284+AT284</f>
        <v>794762.56</v>
      </c>
      <c r="BJ284" s="62">
        <v>43084</v>
      </c>
      <c r="BK284" s="105"/>
      <c r="BL284" s="105"/>
      <c r="BM284" s="5"/>
      <c r="BN284" s="5"/>
      <c r="BO284" s="52"/>
      <c r="BP284" s="52"/>
      <c r="BQ284" s="52"/>
      <c r="BR284" s="52"/>
      <c r="BS284" s="52"/>
      <c r="BT284" s="52"/>
      <c r="BU284" s="52"/>
      <c r="BV284" s="53"/>
      <c r="BW284" s="13"/>
      <c r="BX284" s="13"/>
      <c r="BY284" s="13"/>
      <c r="BZ284" s="13"/>
      <c r="CA284" s="13"/>
      <c r="CB284" s="1221" t="s">
        <v>1563</v>
      </c>
      <c r="CC284" s="321" t="s">
        <v>459</v>
      </c>
      <c r="CD284" s="526"/>
      <c r="CE284" s="2"/>
      <c r="CF284" s="2"/>
      <c r="CG284" s="2"/>
      <c r="CH284" s="2"/>
      <c r="CI284" s="2"/>
      <c r="CJ284" s="2"/>
      <c r="CK284" s="15"/>
    </row>
    <row r="285" spans="2:89" customFormat="1" ht="79.5" hidden="1" customHeight="1">
      <c r="B285" s="22"/>
      <c r="C285" s="22"/>
      <c r="D285" s="22"/>
      <c r="E285" s="22" t="s">
        <v>68</v>
      </c>
      <c r="F285" s="22"/>
      <c r="G285" s="915">
        <v>43213</v>
      </c>
      <c r="H285" s="1746"/>
      <c r="I285" s="330">
        <v>43229</v>
      </c>
      <c r="J285" s="16">
        <v>2017</v>
      </c>
      <c r="K285" s="1417"/>
      <c r="L285" s="1417"/>
      <c r="M285" s="170" t="s">
        <v>166</v>
      </c>
      <c r="N285" s="33" t="s">
        <v>921</v>
      </c>
      <c r="O285" s="172" t="s">
        <v>79</v>
      </c>
      <c r="P285" s="173" t="s">
        <v>922</v>
      </c>
      <c r="Q285" s="173" t="s">
        <v>1975</v>
      </c>
      <c r="R285" s="174">
        <v>773560.6</v>
      </c>
      <c r="S285" s="175">
        <v>43059</v>
      </c>
      <c r="T285" s="176">
        <v>43059</v>
      </c>
      <c r="U285" s="177">
        <v>43075</v>
      </c>
      <c r="V285" s="105">
        <v>43003</v>
      </c>
      <c r="W285" s="178" t="s">
        <v>733</v>
      </c>
      <c r="X285" s="170" t="s">
        <v>563</v>
      </c>
      <c r="Y285" s="461" t="s">
        <v>74</v>
      </c>
      <c r="Z285" s="1371"/>
      <c r="AA285" s="33" t="s">
        <v>882</v>
      </c>
      <c r="AB285" s="8">
        <v>42977</v>
      </c>
      <c r="AC285" s="4">
        <v>4594338.3</v>
      </c>
      <c r="AD285" s="4"/>
      <c r="AE285" s="32"/>
      <c r="AF285" s="34" t="s">
        <v>68</v>
      </c>
      <c r="AG285" s="112" t="s">
        <v>68</v>
      </c>
      <c r="AH285" s="112" t="s">
        <v>68</v>
      </c>
      <c r="AI285" s="7" t="s">
        <v>68</v>
      </c>
      <c r="AJ285" s="109" t="s">
        <v>68</v>
      </c>
      <c r="AK285" s="339" t="s">
        <v>589</v>
      </c>
      <c r="AL285" s="1" t="s">
        <v>68</v>
      </c>
      <c r="AM285" s="5"/>
      <c r="AN285" s="1">
        <v>1878776</v>
      </c>
      <c r="AO285" s="5">
        <v>43066</v>
      </c>
      <c r="AP285" s="1">
        <v>1878770</v>
      </c>
      <c r="AQ285" s="5">
        <v>43075</v>
      </c>
      <c r="AR285" s="279">
        <f>77356.06+77356.06</f>
        <v>154712.12</v>
      </c>
      <c r="AS285" s="35">
        <v>0</v>
      </c>
      <c r="AT285" s="895">
        <v>773560.6</v>
      </c>
      <c r="AU285" s="884"/>
      <c r="AV285" s="30">
        <v>43066</v>
      </c>
      <c r="AW285" s="11">
        <v>43075</v>
      </c>
      <c r="AX285" s="223" t="s">
        <v>68</v>
      </c>
      <c r="AY285" s="52" t="s">
        <v>68</v>
      </c>
      <c r="AZ285" s="30">
        <v>43076</v>
      </c>
      <c r="BA285" s="5">
        <v>43066</v>
      </c>
      <c r="BB285" s="5">
        <v>43075</v>
      </c>
      <c r="BC285" s="11">
        <v>43075</v>
      </c>
      <c r="BD285" s="30">
        <v>43076</v>
      </c>
      <c r="BE285" s="309"/>
      <c r="BF285" s="5">
        <v>43066</v>
      </c>
      <c r="BG285" s="5">
        <v>43075</v>
      </c>
      <c r="BH285" s="5">
        <v>43075</v>
      </c>
      <c r="BI285" s="36">
        <f>AS285+AT285</f>
        <v>773560.6</v>
      </c>
      <c r="BJ285" s="62">
        <v>43077</v>
      </c>
      <c r="BK285" s="105"/>
      <c r="BL285" s="105"/>
      <c r="BM285" s="5"/>
      <c r="BN285" s="5"/>
      <c r="BO285" s="52"/>
      <c r="BP285" s="52"/>
      <c r="BQ285" s="52"/>
      <c r="BR285" s="52"/>
      <c r="BS285" s="52"/>
      <c r="BT285" s="52"/>
      <c r="BU285" s="52"/>
      <c r="BV285" s="53"/>
      <c r="BW285" s="586"/>
      <c r="BX285" s="586"/>
      <c r="BY285" s="586"/>
      <c r="BZ285" s="586"/>
      <c r="CA285" s="586"/>
      <c r="CB285" s="1221" t="s">
        <v>1563</v>
      </c>
      <c r="CC285" s="586" t="s">
        <v>454</v>
      </c>
      <c r="CD285" s="526"/>
      <c r="CE285" s="526"/>
      <c r="CF285" s="526"/>
      <c r="CG285" s="526"/>
      <c r="CH285" s="526"/>
      <c r="CI285" s="526"/>
      <c r="CJ285" s="526"/>
      <c r="CK285" s="15"/>
    </row>
    <row r="286" spans="2:89" customFormat="1" ht="122.25" hidden="1" customHeight="1">
      <c r="B286" s="22"/>
      <c r="C286" s="22"/>
      <c r="D286" s="22"/>
      <c r="E286" s="22" t="s">
        <v>68</v>
      </c>
      <c r="F286" s="22"/>
      <c r="G286" s="915">
        <v>43305</v>
      </c>
      <c r="H286" s="1746"/>
      <c r="I286" s="330">
        <v>43322</v>
      </c>
      <c r="J286" s="16">
        <v>2017</v>
      </c>
      <c r="K286" s="1417"/>
      <c r="L286" s="1417"/>
      <c r="M286" s="170" t="s">
        <v>77</v>
      </c>
      <c r="N286" s="33" t="s">
        <v>923</v>
      </c>
      <c r="O286" s="172" t="s">
        <v>79</v>
      </c>
      <c r="P286" s="173" t="s">
        <v>924</v>
      </c>
      <c r="Q286" s="173" t="s">
        <v>1975</v>
      </c>
      <c r="R286" s="174">
        <v>928575.62</v>
      </c>
      <c r="S286" s="589">
        <v>43078</v>
      </c>
      <c r="T286" s="176">
        <v>43078</v>
      </c>
      <c r="U286" s="177">
        <v>43099</v>
      </c>
      <c r="V286" s="105">
        <v>43078</v>
      </c>
      <c r="W286" s="178" t="s">
        <v>925</v>
      </c>
      <c r="X286" s="170" t="s">
        <v>709</v>
      </c>
      <c r="Y286" s="611">
        <v>43069</v>
      </c>
      <c r="Z286" s="1372"/>
      <c r="AA286" s="33" t="s">
        <v>926</v>
      </c>
      <c r="AB286" s="8">
        <v>43077</v>
      </c>
      <c r="AC286" s="4">
        <v>920855.43</v>
      </c>
      <c r="AD286" s="4"/>
      <c r="AE286" s="32"/>
      <c r="AF286" s="34" t="s">
        <v>68</v>
      </c>
      <c r="AG286" s="112" t="s">
        <v>68</v>
      </c>
      <c r="AH286" s="112" t="s">
        <v>68</v>
      </c>
      <c r="AI286" s="7" t="s">
        <v>68</v>
      </c>
      <c r="AJ286" s="109" t="s">
        <v>68</v>
      </c>
      <c r="AK286" s="115" t="s">
        <v>186</v>
      </c>
      <c r="AL286" s="128" t="s">
        <v>927</v>
      </c>
      <c r="AM286" s="71">
        <v>43078</v>
      </c>
      <c r="AN286" s="128" t="s">
        <v>928</v>
      </c>
      <c r="AO286" s="71">
        <v>92857.56</v>
      </c>
      <c r="AP286" s="128" t="s">
        <v>929</v>
      </c>
      <c r="AQ286" s="5">
        <v>43103</v>
      </c>
      <c r="AR286" s="279">
        <f>232143.9+92857.56+92857.56</f>
        <v>417859.01999999996</v>
      </c>
      <c r="AS286" s="35">
        <v>0</v>
      </c>
      <c r="AT286" s="895">
        <v>928575.62</v>
      </c>
      <c r="AU286" s="884"/>
      <c r="AV286" s="70">
        <v>43080</v>
      </c>
      <c r="AW286" s="127">
        <v>43102</v>
      </c>
      <c r="AX286" s="223"/>
      <c r="AY286" s="52"/>
      <c r="AZ286" s="70">
        <v>43102</v>
      </c>
      <c r="BA286" s="71">
        <v>43078</v>
      </c>
      <c r="BB286" s="71">
        <v>43099</v>
      </c>
      <c r="BC286" s="127">
        <v>43099</v>
      </c>
      <c r="BD286" s="70">
        <v>43105</v>
      </c>
      <c r="BE286" s="1614"/>
      <c r="BF286" s="71">
        <v>43078</v>
      </c>
      <c r="BG286" s="71">
        <v>43099</v>
      </c>
      <c r="BH286" s="71">
        <v>43099</v>
      </c>
      <c r="BI286" s="129">
        <v>928575.67</v>
      </c>
      <c r="BJ286" s="631">
        <v>43109</v>
      </c>
      <c r="BK286" s="68"/>
      <c r="BL286" s="68"/>
      <c r="BM286" s="71"/>
      <c r="BN286" s="71"/>
      <c r="BO286" s="342"/>
      <c r="BP286" s="342"/>
      <c r="BQ286" s="342"/>
      <c r="BR286" s="342"/>
      <c r="BS286" s="342"/>
      <c r="BT286" s="342"/>
      <c r="BU286" s="342"/>
      <c r="BV286" s="347"/>
      <c r="BW286" s="13"/>
      <c r="BX286" s="13"/>
      <c r="BY286" s="13"/>
      <c r="BZ286" s="13"/>
      <c r="CA286" s="13"/>
      <c r="CB286" s="1221" t="s">
        <v>1563</v>
      </c>
      <c r="CC286" s="586" t="s">
        <v>454</v>
      </c>
      <c r="CD286" s="526"/>
      <c r="CE286" s="526"/>
      <c r="CF286" s="526"/>
      <c r="CG286" s="526"/>
      <c r="CH286" s="526"/>
      <c r="CI286" s="526"/>
      <c r="CJ286" s="526"/>
      <c r="CK286" s="15"/>
    </row>
    <row r="287" spans="2:89" customFormat="1" ht="118.5" hidden="1" customHeight="1">
      <c r="B287" s="22"/>
      <c r="C287" s="22"/>
      <c r="D287" s="22"/>
      <c r="E287" s="22" t="s">
        <v>68</v>
      </c>
      <c r="F287" s="22"/>
      <c r="G287" s="915">
        <v>43305</v>
      </c>
      <c r="H287" s="1746"/>
      <c r="I287" s="330">
        <v>43325</v>
      </c>
      <c r="J287" s="16">
        <v>2017</v>
      </c>
      <c r="K287" s="1417"/>
      <c r="L287" s="1417"/>
      <c r="M287" s="170" t="s">
        <v>77</v>
      </c>
      <c r="N287" s="33" t="s">
        <v>930</v>
      </c>
      <c r="O287" s="172" t="s">
        <v>79</v>
      </c>
      <c r="P287" s="173" t="s">
        <v>931</v>
      </c>
      <c r="Q287" s="173" t="s">
        <v>1975</v>
      </c>
      <c r="R287" s="174">
        <v>831598.75</v>
      </c>
      <c r="S287" s="589">
        <v>43078</v>
      </c>
      <c r="T287" s="176">
        <v>43078</v>
      </c>
      <c r="U287" s="177">
        <v>43099</v>
      </c>
      <c r="V287" s="105">
        <v>43078</v>
      </c>
      <c r="W287" s="178" t="s">
        <v>925</v>
      </c>
      <c r="X287" s="170" t="s">
        <v>709</v>
      </c>
      <c r="Y287" s="611">
        <v>43069</v>
      </c>
      <c r="Z287" s="1372"/>
      <c r="AA287" s="33" t="s">
        <v>932</v>
      </c>
      <c r="AB287" s="8">
        <v>43077</v>
      </c>
      <c r="AC287" s="4">
        <v>819334.77</v>
      </c>
      <c r="AD287" s="4"/>
      <c r="AE287" s="32"/>
      <c r="AF287" s="34" t="s">
        <v>68</v>
      </c>
      <c r="AG287" s="112" t="s">
        <v>68</v>
      </c>
      <c r="AH287" s="112" t="s">
        <v>68</v>
      </c>
      <c r="AI287" s="7" t="s">
        <v>68</v>
      </c>
      <c r="AJ287" s="109" t="s">
        <v>68</v>
      </c>
      <c r="AK287" s="115" t="s">
        <v>186</v>
      </c>
      <c r="AL287" s="128" t="s">
        <v>933</v>
      </c>
      <c r="AM287" s="71">
        <v>43078</v>
      </c>
      <c r="AN287" s="128" t="s">
        <v>934</v>
      </c>
      <c r="AO287" s="71">
        <v>43078</v>
      </c>
      <c r="AP287" s="128" t="s">
        <v>935</v>
      </c>
      <c r="AQ287" s="5">
        <v>43103</v>
      </c>
      <c r="AR287" s="279">
        <f>207899.68+83159.87+83159.87</f>
        <v>374219.42</v>
      </c>
      <c r="AS287" s="35">
        <v>0</v>
      </c>
      <c r="AT287" s="895">
        <v>831598.76</v>
      </c>
      <c r="AU287" s="884"/>
      <c r="AV287" s="70">
        <v>43080</v>
      </c>
      <c r="AW287" s="127">
        <v>43099</v>
      </c>
      <c r="AX287" s="223" t="s">
        <v>68</v>
      </c>
      <c r="AY287" s="52" t="s">
        <v>68</v>
      </c>
      <c r="AZ287" s="70">
        <v>43102</v>
      </c>
      <c r="BA287" s="71">
        <v>43078</v>
      </c>
      <c r="BB287" s="71">
        <v>43099</v>
      </c>
      <c r="BC287" s="127">
        <v>43099</v>
      </c>
      <c r="BD287" s="70">
        <v>43105</v>
      </c>
      <c r="BE287" s="1614"/>
      <c r="BF287" s="71">
        <v>43078</v>
      </c>
      <c r="BG287" s="71">
        <v>43099</v>
      </c>
      <c r="BH287" s="71">
        <v>43099</v>
      </c>
      <c r="BI287" s="129">
        <v>831598.78</v>
      </c>
      <c r="BJ287" s="631">
        <v>43109</v>
      </c>
      <c r="BK287" s="68"/>
      <c r="BL287" s="68"/>
      <c r="BM287" s="71"/>
      <c r="BN287" s="71"/>
      <c r="BO287" s="342"/>
      <c r="BP287" s="342"/>
      <c r="BQ287" s="342"/>
      <c r="BR287" s="342"/>
      <c r="BS287" s="342"/>
      <c r="BT287" s="342"/>
      <c r="BU287" s="342"/>
      <c r="BV287" s="347"/>
      <c r="BW287" s="13"/>
      <c r="BX287" s="13"/>
      <c r="BY287" s="13"/>
      <c r="BZ287" s="13"/>
      <c r="CA287" s="13"/>
      <c r="CB287" s="1221" t="s">
        <v>1563</v>
      </c>
      <c r="CC287" s="586" t="s">
        <v>454</v>
      </c>
      <c r="CD287" s="526"/>
      <c r="CE287" s="526"/>
      <c r="CF287" s="526"/>
      <c r="CG287" s="526"/>
      <c r="CH287" s="526"/>
      <c r="CI287" s="526"/>
      <c r="CJ287" s="526"/>
      <c r="CK287" s="15"/>
    </row>
    <row r="288" spans="2:89" customFormat="1" ht="105.75" hidden="1" customHeight="1">
      <c r="B288" s="22"/>
      <c r="C288" s="22"/>
      <c r="D288" s="22"/>
      <c r="E288" s="22" t="s">
        <v>68</v>
      </c>
      <c r="F288" s="22"/>
      <c r="G288" s="915">
        <v>43269</v>
      </c>
      <c r="H288" s="1746"/>
      <c r="I288" s="330">
        <v>43272</v>
      </c>
      <c r="J288" s="16">
        <v>2017</v>
      </c>
      <c r="K288" s="1417"/>
      <c r="L288" s="1417"/>
      <c r="M288" s="170" t="s">
        <v>77</v>
      </c>
      <c r="N288" s="33" t="s">
        <v>936</v>
      </c>
      <c r="O288" s="172" t="s">
        <v>79</v>
      </c>
      <c r="P288" s="173" t="s">
        <v>937</v>
      </c>
      <c r="Q288" s="173" t="s">
        <v>2512</v>
      </c>
      <c r="R288" s="594">
        <v>394058.8</v>
      </c>
      <c r="S288" s="589">
        <v>43078</v>
      </c>
      <c r="T288" s="176">
        <v>43078</v>
      </c>
      <c r="U288" s="177">
        <v>43099</v>
      </c>
      <c r="V288" s="608">
        <v>43078</v>
      </c>
      <c r="W288" s="178" t="s">
        <v>917</v>
      </c>
      <c r="X288" s="170" t="s">
        <v>563</v>
      </c>
      <c r="Y288" s="611">
        <v>43042</v>
      </c>
      <c r="Z288" s="1372"/>
      <c r="AA288" s="33" t="s">
        <v>938</v>
      </c>
      <c r="AB288" s="8">
        <v>43077</v>
      </c>
      <c r="AC288" s="4">
        <v>394058.8</v>
      </c>
      <c r="AD288" s="4"/>
      <c r="AE288" s="32"/>
      <c r="AF288" s="34" t="s">
        <v>68</v>
      </c>
      <c r="AG288" s="112" t="s">
        <v>68</v>
      </c>
      <c r="AH288" s="112" t="s">
        <v>68</v>
      </c>
      <c r="AI288" s="7" t="s">
        <v>68</v>
      </c>
      <c r="AJ288" s="109" t="s">
        <v>68</v>
      </c>
      <c r="AK288" s="339" t="s">
        <v>589</v>
      </c>
      <c r="AL288" s="1">
        <v>1864101</v>
      </c>
      <c r="AM288" s="5">
        <v>43078</v>
      </c>
      <c r="AN288" s="1">
        <v>1864098</v>
      </c>
      <c r="AO288" s="5">
        <v>43078</v>
      </c>
      <c r="AP288" s="128">
        <v>1885359</v>
      </c>
      <c r="AQ288" s="5">
        <v>42789</v>
      </c>
      <c r="AR288" s="279">
        <f>98514.7+39405.88+39067.63</f>
        <v>176988.21</v>
      </c>
      <c r="AS288" s="35">
        <v>0</v>
      </c>
      <c r="AT288" s="895">
        <v>392367.57</v>
      </c>
      <c r="AU288" s="884"/>
      <c r="AV288" s="70">
        <v>43078</v>
      </c>
      <c r="AW288" s="11">
        <v>43098</v>
      </c>
      <c r="AX288" s="223" t="s">
        <v>68</v>
      </c>
      <c r="AY288" s="52" t="s">
        <v>68</v>
      </c>
      <c r="AZ288" s="70">
        <v>43129</v>
      </c>
      <c r="BA288" s="5">
        <v>43078</v>
      </c>
      <c r="BB288" s="5">
        <v>43099</v>
      </c>
      <c r="BC288" s="11">
        <v>43092</v>
      </c>
      <c r="BD288" s="70">
        <v>43154</v>
      </c>
      <c r="BE288" s="1614"/>
      <c r="BF288" s="71">
        <v>43078</v>
      </c>
      <c r="BG288" s="71">
        <v>43099</v>
      </c>
      <c r="BH288" s="71">
        <v>43099</v>
      </c>
      <c r="BI288" s="129">
        <f>AS288+AT288</f>
        <v>392367.57</v>
      </c>
      <c r="BJ288" s="62">
        <v>43158</v>
      </c>
      <c r="BK288" s="105"/>
      <c r="BL288" s="105"/>
      <c r="BM288" s="5"/>
      <c r="BN288" s="5"/>
      <c r="BO288" s="52"/>
      <c r="BP288" s="52"/>
      <c r="BQ288" s="52"/>
      <c r="BR288" s="52"/>
      <c r="BS288" s="52"/>
      <c r="BT288" s="52"/>
      <c r="BU288" s="52"/>
      <c r="BV288" s="53"/>
      <c r="BW288" s="13"/>
      <c r="BX288" s="13"/>
      <c r="BY288" s="13"/>
      <c r="BZ288" s="13"/>
      <c r="CA288" s="13"/>
      <c r="CB288" s="1221" t="s">
        <v>1563</v>
      </c>
      <c r="CC288" s="586" t="s">
        <v>454</v>
      </c>
      <c r="CD288" s="526"/>
      <c r="CE288" s="526"/>
      <c r="CF288" s="526"/>
      <c r="CG288" s="526"/>
      <c r="CH288" s="526"/>
      <c r="CI288" s="526"/>
      <c r="CJ288" s="526"/>
      <c r="CK288" s="15"/>
    </row>
    <row r="289" spans="2:89" customFormat="1" ht="105" hidden="1" customHeight="1">
      <c r="B289" s="22"/>
      <c r="C289" s="22"/>
      <c r="D289" s="22"/>
      <c r="E289" s="22" t="s">
        <v>68</v>
      </c>
      <c r="F289" s="22"/>
      <c r="G289" s="915">
        <v>43251</v>
      </c>
      <c r="H289" s="1746"/>
      <c r="I289" s="330">
        <v>43220</v>
      </c>
      <c r="J289" s="16">
        <v>2017</v>
      </c>
      <c r="K289" s="1417"/>
      <c r="L289" s="1417"/>
      <c r="M289" s="170" t="s">
        <v>77</v>
      </c>
      <c r="N289" s="33" t="s">
        <v>939</v>
      </c>
      <c r="O289" s="172" t="s">
        <v>79</v>
      </c>
      <c r="P289" s="173" t="s">
        <v>940</v>
      </c>
      <c r="Q289" s="173" t="s">
        <v>4409</v>
      </c>
      <c r="R289" s="174">
        <v>46522.28</v>
      </c>
      <c r="S289" s="589">
        <v>43077</v>
      </c>
      <c r="T289" s="176">
        <v>43078</v>
      </c>
      <c r="U289" s="177">
        <v>43099</v>
      </c>
      <c r="V289" s="68">
        <v>43073</v>
      </c>
      <c r="W289" s="116" t="s">
        <v>199</v>
      </c>
      <c r="X289" s="18" t="s">
        <v>3047</v>
      </c>
      <c r="Y289" s="608">
        <v>43073</v>
      </c>
      <c r="Z289" s="1373"/>
      <c r="AA289" s="115" t="s">
        <v>941</v>
      </c>
      <c r="AB289" s="8">
        <v>43045</v>
      </c>
      <c r="AC289" s="4">
        <v>154067.49</v>
      </c>
      <c r="AD289" s="4"/>
      <c r="AE289" s="32"/>
      <c r="AF289" s="34" t="s">
        <v>68</v>
      </c>
      <c r="AG289" s="112" t="s">
        <v>68</v>
      </c>
      <c r="AH289" s="112" t="s">
        <v>68</v>
      </c>
      <c r="AI289" s="7" t="s">
        <v>68</v>
      </c>
      <c r="AJ289" s="215" t="s">
        <v>68</v>
      </c>
      <c r="AK289" s="115" t="s">
        <v>107</v>
      </c>
      <c r="AL289" s="1" t="s">
        <v>68</v>
      </c>
      <c r="AM289" s="5"/>
      <c r="AN289" s="1" t="s">
        <v>942</v>
      </c>
      <c r="AO289" s="5">
        <v>43077</v>
      </c>
      <c r="AP289" s="1" t="s">
        <v>943</v>
      </c>
      <c r="AQ289" s="5">
        <v>43100</v>
      </c>
      <c r="AR289" s="279">
        <f>4652.26*2</f>
        <v>9304.52</v>
      </c>
      <c r="AS289" s="35">
        <v>0</v>
      </c>
      <c r="AT289" s="895">
        <v>46522.58</v>
      </c>
      <c r="AU289" s="884"/>
      <c r="AV289" s="337" t="s">
        <v>74</v>
      </c>
      <c r="AW289" s="11"/>
      <c r="AX289" s="223" t="s">
        <v>68</v>
      </c>
      <c r="AY289" s="224" t="s">
        <v>68</v>
      </c>
      <c r="AZ289" s="70">
        <v>43008</v>
      </c>
      <c r="BA289" s="5">
        <v>43078</v>
      </c>
      <c r="BB289" s="5">
        <v>43099</v>
      </c>
      <c r="BC289" s="17"/>
      <c r="BD289" s="339">
        <v>43100</v>
      </c>
      <c r="BE289" s="1616"/>
      <c r="BF289" s="71">
        <v>43078</v>
      </c>
      <c r="BG289" s="71">
        <v>43099</v>
      </c>
      <c r="BH289" s="71">
        <v>43098</v>
      </c>
      <c r="BI289" s="129">
        <f>AS289+AT289</f>
        <v>46522.58</v>
      </c>
      <c r="BJ289" s="62">
        <v>43100</v>
      </c>
      <c r="BK289" s="105"/>
      <c r="BL289" s="105"/>
      <c r="BM289" s="5"/>
      <c r="BN289" s="5"/>
      <c r="BO289" s="52"/>
      <c r="BP289" s="52"/>
      <c r="BQ289" s="52"/>
      <c r="BR289" s="52"/>
      <c r="BS289" s="52"/>
      <c r="BT289" s="52"/>
      <c r="BU289" s="52"/>
      <c r="BV289" s="53"/>
      <c r="BW289" s="13"/>
      <c r="BX289" s="13"/>
      <c r="BY289" s="13"/>
      <c r="BZ289" s="13"/>
      <c r="CA289" s="13"/>
      <c r="CB289" s="1221" t="s">
        <v>1563</v>
      </c>
      <c r="CC289" s="321" t="s">
        <v>459</v>
      </c>
      <c r="CD289" s="526"/>
      <c r="CE289" s="526"/>
      <c r="CF289" s="526"/>
      <c r="CG289" s="526"/>
      <c r="CH289" s="526"/>
      <c r="CI289" s="526"/>
      <c r="CJ289" s="526"/>
      <c r="CK289" s="15"/>
    </row>
    <row r="290" spans="2:89" customFormat="1" ht="99.75" hidden="1" customHeight="1">
      <c r="B290" s="22"/>
      <c r="C290" s="22"/>
      <c r="D290" s="22"/>
      <c r="E290" s="22" t="s">
        <v>68</v>
      </c>
      <c r="F290" s="22"/>
      <c r="G290" s="915">
        <v>43251</v>
      </c>
      <c r="H290" s="1746"/>
      <c r="I290" s="330">
        <v>43220</v>
      </c>
      <c r="J290" s="16">
        <v>2017</v>
      </c>
      <c r="K290" s="1417"/>
      <c r="L290" s="1417"/>
      <c r="M290" s="170" t="s">
        <v>77</v>
      </c>
      <c r="N290" s="33" t="s">
        <v>944</v>
      </c>
      <c r="O290" s="172" t="s">
        <v>79</v>
      </c>
      <c r="P290" s="173" t="s">
        <v>945</v>
      </c>
      <c r="Q290" s="173" t="s">
        <v>4409</v>
      </c>
      <c r="R290" s="174">
        <v>107544.91</v>
      </c>
      <c r="S290" s="589">
        <v>43077</v>
      </c>
      <c r="T290" s="176">
        <v>43078</v>
      </c>
      <c r="U290" s="177">
        <v>43099</v>
      </c>
      <c r="V290" s="68">
        <v>43073</v>
      </c>
      <c r="W290" s="116" t="s">
        <v>199</v>
      </c>
      <c r="X290" s="18" t="s">
        <v>3047</v>
      </c>
      <c r="Y290" s="608">
        <v>43073</v>
      </c>
      <c r="Z290" s="1373"/>
      <c r="AA290" s="115" t="s">
        <v>941</v>
      </c>
      <c r="AB290" s="8">
        <v>43045</v>
      </c>
      <c r="AC290" s="4">
        <v>154067.49</v>
      </c>
      <c r="AD290" s="4"/>
      <c r="AE290" s="32"/>
      <c r="AF290" s="34" t="s">
        <v>68</v>
      </c>
      <c r="AG290" s="112" t="s">
        <v>68</v>
      </c>
      <c r="AH290" s="112" t="s">
        <v>68</v>
      </c>
      <c r="AI290" s="7" t="s">
        <v>68</v>
      </c>
      <c r="AJ290" s="215" t="s">
        <v>68</v>
      </c>
      <c r="AK290" s="115" t="s">
        <v>107</v>
      </c>
      <c r="AL290" s="1" t="s">
        <v>68</v>
      </c>
      <c r="AM290" s="5"/>
      <c r="AN290" s="1" t="s">
        <v>946</v>
      </c>
      <c r="AO290" s="5">
        <v>43077</v>
      </c>
      <c r="AP290" s="1" t="s">
        <v>947</v>
      </c>
      <c r="AQ290" s="5">
        <v>43100</v>
      </c>
      <c r="AR290" s="279">
        <f>10754.49+10754.49</f>
        <v>21508.98</v>
      </c>
      <c r="AS290" s="35">
        <v>0</v>
      </c>
      <c r="AT290" s="895">
        <v>107544.91</v>
      </c>
      <c r="AU290" s="884"/>
      <c r="AV290" s="337" t="s">
        <v>74</v>
      </c>
      <c r="AW290" s="11"/>
      <c r="AX290" s="223" t="s">
        <v>68</v>
      </c>
      <c r="AY290" s="224" t="s">
        <v>68</v>
      </c>
      <c r="AZ290" s="70">
        <v>43008</v>
      </c>
      <c r="BA290" s="5">
        <v>43078</v>
      </c>
      <c r="BB290" s="5">
        <v>43099</v>
      </c>
      <c r="BC290" s="17"/>
      <c r="BD290" s="339">
        <v>43100</v>
      </c>
      <c r="BE290" s="1616"/>
      <c r="BF290" s="71">
        <v>43078</v>
      </c>
      <c r="BG290" s="71">
        <v>43099</v>
      </c>
      <c r="BH290" s="71">
        <v>43098</v>
      </c>
      <c r="BI290" s="129">
        <f>AS290+AT290</f>
        <v>107544.91</v>
      </c>
      <c r="BJ290" s="62">
        <v>43100</v>
      </c>
      <c r="BK290" s="105"/>
      <c r="BL290" s="105"/>
      <c r="BM290" s="5"/>
      <c r="BN290" s="5"/>
      <c r="BO290" s="52"/>
      <c r="BP290" s="52"/>
      <c r="BQ290" s="52"/>
      <c r="BR290" s="52"/>
      <c r="BS290" s="52"/>
      <c r="BT290" s="52"/>
      <c r="BU290" s="52"/>
      <c r="BV290" s="53"/>
      <c r="BW290" s="13"/>
      <c r="BX290" s="13"/>
      <c r="BY290" s="13"/>
      <c r="BZ290" s="13"/>
      <c r="CA290" s="13"/>
      <c r="CB290" s="1221" t="s">
        <v>1563</v>
      </c>
      <c r="CC290" s="321" t="s">
        <v>459</v>
      </c>
      <c r="CD290" s="526"/>
      <c r="CE290" s="526"/>
      <c r="CF290" s="526"/>
      <c r="CG290" s="526"/>
      <c r="CH290" s="526"/>
      <c r="CI290" s="526"/>
      <c r="CJ290" s="526"/>
      <c r="CK290" s="15"/>
    </row>
    <row r="291" spans="2:89" customFormat="1" ht="102.75" hidden="1" customHeight="1">
      <c r="B291" s="22"/>
      <c r="C291" s="22"/>
      <c r="D291" s="22"/>
      <c r="E291" s="22"/>
      <c r="F291" s="22"/>
      <c r="G291" s="915"/>
      <c r="H291" s="1746"/>
      <c r="I291" s="330"/>
      <c r="J291" s="16">
        <v>2018</v>
      </c>
      <c r="K291" s="1417">
        <v>180.1</v>
      </c>
      <c r="L291" s="1417"/>
      <c r="M291" s="170" t="s">
        <v>64</v>
      </c>
      <c r="N291" s="178" t="s">
        <v>3227</v>
      </c>
      <c r="O291" s="172" t="s">
        <v>467</v>
      </c>
      <c r="P291" s="173" t="s">
        <v>3229</v>
      </c>
      <c r="Q291" s="173" t="s">
        <v>1975</v>
      </c>
      <c r="R291" s="174">
        <v>1634531.02</v>
      </c>
      <c r="S291" s="589">
        <v>43223</v>
      </c>
      <c r="T291" s="176" t="s">
        <v>68</v>
      </c>
      <c r="U291" s="177" t="s">
        <v>68</v>
      </c>
      <c r="V291" s="68" t="s">
        <v>68</v>
      </c>
      <c r="W291" s="1189" t="s">
        <v>1177</v>
      </c>
      <c r="X291" s="170" t="s">
        <v>68</v>
      </c>
      <c r="Y291" s="608" t="s">
        <v>68</v>
      </c>
      <c r="Z291" s="1373"/>
      <c r="AA291" s="617"/>
      <c r="AB291" s="8"/>
      <c r="AC291" s="4"/>
      <c r="AD291" s="4"/>
      <c r="AE291" s="32"/>
      <c r="AF291" s="34" t="s">
        <v>68</v>
      </c>
      <c r="AG291" s="112" t="s">
        <v>68</v>
      </c>
      <c r="AH291" s="112" t="s">
        <v>68</v>
      </c>
      <c r="AI291" s="7" t="s">
        <v>68</v>
      </c>
      <c r="AJ291" s="109" t="s">
        <v>68</v>
      </c>
      <c r="AK291" s="115" t="s">
        <v>68</v>
      </c>
      <c r="AL291" s="1" t="s">
        <v>68</v>
      </c>
      <c r="AM291" s="5"/>
      <c r="AN291" s="1" t="s">
        <v>68</v>
      </c>
      <c r="AO291" s="5"/>
      <c r="AP291" s="1" t="s">
        <v>68</v>
      </c>
      <c r="AQ291" s="5"/>
      <c r="AR291" s="279">
        <v>0</v>
      </c>
      <c r="AS291" s="35">
        <v>0</v>
      </c>
      <c r="AT291" s="895">
        <v>0</v>
      </c>
      <c r="AU291" s="884">
        <v>0</v>
      </c>
      <c r="AV291" s="337" t="s">
        <v>68</v>
      </c>
      <c r="AW291" s="11" t="s">
        <v>68</v>
      </c>
      <c r="AX291" s="223" t="s">
        <v>68</v>
      </c>
      <c r="AY291" s="224" t="s">
        <v>68</v>
      </c>
      <c r="AZ291" s="70" t="s">
        <v>68</v>
      </c>
      <c r="BA291" s="5" t="s">
        <v>68</v>
      </c>
      <c r="BB291" s="5" t="s">
        <v>68</v>
      </c>
      <c r="BC291" s="17" t="s">
        <v>68</v>
      </c>
      <c r="BD291" s="339" t="s">
        <v>68</v>
      </c>
      <c r="BE291" s="1616"/>
      <c r="BF291" s="71" t="s">
        <v>68</v>
      </c>
      <c r="BG291" s="71" t="s">
        <v>68</v>
      </c>
      <c r="BH291" s="71" t="s">
        <v>68</v>
      </c>
      <c r="BI291" s="129">
        <v>0</v>
      </c>
      <c r="BJ291" s="62" t="s">
        <v>68</v>
      </c>
      <c r="BK291" s="105"/>
      <c r="BL291" s="105"/>
      <c r="BM291" s="5"/>
      <c r="BN291" s="5"/>
      <c r="BO291" s="52"/>
      <c r="BP291" s="52"/>
      <c r="BQ291" s="52"/>
      <c r="BR291" s="52"/>
      <c r="BS291" s="52"/>
      <c r="BT291" s="52"/>
      <c r="BU291" s="52"/>
      <c r="BV291" s="53"/>
      <c r="BW291" s="13"/>
      <c r="BX291" s="13"/>
      <c r="BY291" s="13"/>
      <c r="BZ291" s="13"/>
      <c r="CA291" s="13"/>
      <c r="CB291" s="1221" t="s">
        <v>1563</v>
      </c>
      <c r="CC291" s="586" t="s">
        <v>454</v>
      </c>
      <c r="CD291" s="526"/>
      <c r="CE291" s="526"/>
      <c r="CF291" s="526"/>
      <c r="CG291" s="526"/>
      <c r="CH291" s="526"/>
      <c r="CI291" s="526"/>
      <c r="CJ291" s="526"/>
      <c r="CK291" s="15"/>
    </row>
    <row r="292" spans="2:89" customFormat="1" ht="99" hidden="1" customHeight="1">
      <c r="B292" s="22"/>
      <c r="C292" s="22"/>
      <c r="D292" s="22"/>
      <c r="E292" s="22"/>
      <c r="F292" s="22"/>
      <c r="G292" s="915"/>
      <c r="H292" s="1746"/>
      <c r="I292" s="330"/>
      <c r="J292" s="16">
        <v>2018</v>
      </c>
      <c r="K292" s="1417">
        <v>180.2</v>
      </c>
      <c r="L292" s="1417"/>
      <c r="M292" s="170" t="s">
        <v>64</v>
      </c>
      <c r="N292" s="178" t="s">
        <v>3228</v>
      </c>
      <c r="O292" s="172" t="s">
        <v>467</v>
      </c>
      <c r="P292" s="173" t="s">
        <v>3231</v>
      </c>
      <c r="Q292" s="173" t="s">
        <v>2538</v>
      </c>
      <c r="R292" s="174">
        <v>724057.5</v>
      </c>
      <c r="S292" s="589">
        <v>43223</v>
      </c>
      <c r="T292" s="176" t="s">
        <v>68</v>
      </c>
      <c r="U292" s="177" t="s">
        <v>68</v>
      </c>
      <c r="V292" s="68"/>
      <c r="W292" s="1189" t="s">
        <v>1177</v>
      </c>
      <c r="X292" s="170" t="s">
        <v>68</v>
      </c>
      <c r="Y292" s="608" t="s">
        <v>68</v>
      </c>
      <c r="Z292" s="1373"/>
      <c r="AA292" s="617"/>
      <c r="AB292" s="8"/>
      <c r="AC292" s="4"/>
      <c r="AD292" s="4"/>
      <c r="AE292" s="32"/>
      <c r="AF292" s="34" t="s">
        <v>68</v>
      </c>
      <c r="AG292" s="112" t="s">
        <v>68</v>
      </c>
      <c r="AH292" s="112" t="s">
        <v>68</v>
      </c>
      <c r="AI292" s="7" t="s">
        <v>68</v>
      </c>
      <c r="AJ292" s="109" t="s">
        <v>68</v>
      </c>
      <c r="AK292" s="115" t="s">
        <v>68</v>
      </c>
      <c r="AL292" s="1" t="s">
        <v>68</v>
      </c>
      <c r="AM292" s="5"/>
      <c r="AN292" s="1" t="s">
        <v>68</v>
      </c>
      <c r="AO292" s="5"/>
      <c r="AP292" s="1" t="s">
        <v>68</v>
      </c>
      <c r="AQ292" s="5"/>
      <c r="AR292" s="279">
        <v>0</v>
      </c>
      <c r="AS292" s="35">
        <v>0</v>
      </c>
      <c r="AT292" s="895">
        <v>0</v>
      </c>
      <c r="AU292" s="884">
        <v>0</v>
      </c>
      <c r="AV292" s="337" t="s">
        <v>68</v>
      </c>
      <c r="AW292" s="11" t="s">
        <v>68</v>
      </c>
      <c r="AX292" s="223" t="s">
        <v>68</v>
      </c>
      <c r="AY292" s="224" t="s">
        <v>68</v>
      </c>
      <c r="AZ292" s="70" t="s">
        <v>68</v>
      </c>
      <c r="BA292" s="5" t="s">
        <v>68</v>
      </c>
      <c r="BB292" s="5" t="s">
        <v>68</v>
      </c>
      <c r="BC292" s="17" t="s">
        <v>68</v>
      </c>
      <c r="BD292" s="339" t="s">
        <v>68</v>
      </c>
      <c r="BE292" s="1616"/>
      <c r="BF292" s="71" t="s">
        <v>68</v>
      </c>
      <c r="BG292" s="71" t="s">
        <v>68</v>
      </c>
      <c r="BH292" s="71" t="s">
        <v>68</v>
      </c>
      <c r="BI292" s="129">
        <v>0</v>
      </c>
      <c r="BJ292" s="62" t="s">
        <v>68</v>
      </c>
      <c r="BK292" s="105"/>
      <c r="BL292" s="105"/>
      <c r="BM292" s="5"/>
      <c r="BN292" s="5"/>
      <c r="BO292" s="52"/>
      <c r="BP292" s="52"/>
      <c r="BQ292" s="52"/>
      <c r="BR292" s="52"/>
      <c r="BS292" s="52"/>
      <c r="BT292" s="52"/>
      <c r="BU292" s="52"/>
      <c r="BV292" s="53"/>
      <c r="BW292" s="13"/>
      <c r="BX292" s="13"/>
      <c r="BY292" s="13"/>
      <c r="BZ292" s="13"/>
      <c r="CA292" s="13"/>
      <c r="CB292" s="1221" t="s">
        <v>1563</v>
      </c>
      <c r="CC292" s="586" t="s">
        <v>454</v>
      </c>
      <c r="CD292" s="526"/>
      <c r="CE292" s="526"/>
      <c r="CF292" s="526"/>
      <c r="CG292" s="526"/>
      <c r="CH292" s="526"/>
      <c r="CI292" s="526"/>
      <c r="CJ292" s="526"/>
      <c r="CK292" s="15"/>
    </row>
    <row r="293" spans="2:89" customFormat="1" ht="306.75" hidden="1" customHeight="1">
      <c r="B293" s="22"/>
      <c r="C293" s="22"/>
      <c r="D293" s="22"/>
      <c r="E293" s="22"/>
      <c r="F293" s="22"/>
      <c r="G293" s="915"/>
      <c r="H293" s="1746"/>
      <c r="I293" s="330"/>
      <c r="J293" s="16">
        <v>2018</v>
      </c>
      <c r="K293" s="1417">
        <v>180.3</v>
      </c>
      <c r="L293" s="1417"/>
      <c r="M293" s="170" t="s">
        <v>3221</v>
      </c>
      <c r="N293" s="178" t="s">
        <v>68</v>
      </c>
      <c r="O293" s="172" t="s">
        <v>467</v>
      </c>
      <c r="P293" s="173" t="s">
        <v>3235</v>
      </c>
      <c r="Q293" s="173" t="s">
        <v>2575</v>
      </c>
      <c r="R293" s="174">
        <v>2900000</v>
      </c>
      <c r="S293" s="589">
        <v>43199</v>
      </c>
      <c r="T293" s="176" t="s">
        <v>68</v>
      </c>
      <c r="U293" s="177" t="s">
        <v>68</v>
      </c>
      <c r="V293" s="68"/>
      <c r="W293" s="1189" t="s">
        <v>1177</v>
      </c>
      <c r="X293" s="170" t="s">
        <v>68</v>
      </c>
      <c r="Y293" s="608" t="s">
        <v>68</v>
      </c>
      <c r="Z293" s="1373"/>
      <c r="AA293" s="617"/>
      <c r="AB293" s="8"/>
      <c r="AC293" s="4"/>
      <c r="AD293" s="4"/>
      <c r="AE293" s="32"/>
      <c r="AF293" s="34" t="s">
        <v>68</v>
      </c>
      <c r="AG293" s="112" t="s">
        <v>68</v>
      </c>
      <c r="AH293" s="112" t="s">
        <v>68</v>
      </c>
      <c r="AI293" s="7" t="s">
        <v>68</v>
      </c>
      <c r="AJ293" s="109" t="s">
        <v>68</v>
      </c>
      <c r="AK293" s="115" t="s">
        <v>68</v>
      </c>
      <c r="AL293" s="1" t="s">
        <v>68</v>
      </c>
      <c r="AM293" s="5"/>
      <c r="AN293" s="1" t="s">
        <v>68</v>
      </c>
      <c r="AO293" s="5"/>
      <c r="AP293" s="1" t="s">
        <v>68</v>
      </c>
      <c r="AQ293" s="5"/>
      <c r="AR293" s="279">
        <v>0</v>
      </c>
      <c r="AS293" s="35">
        <v>0</v>
      </c>
      <c r="AT293" s="895">
        <v>0</v>
      </c>
      <c r="AU293" s="884">
        <v>0</v>
      </c>
      <c r="AV293" s="337" t="s">
        <v>68</v>
      </c>
      <c r="AW293" s="11" t="s">
        <v>68</v>
      </c>
      <c r="AX293" s="223" t="s">
        <v>68</v>
      </c>
      <c r="AY293" s="224" t="s">
        <v>68</v>
      </c>
      <c r="AZ293" s="70" t="s">
        <v>68</v>
      </c>
      <c r="BA293" s="5" t="s">
        <v>68</v>
      </c>
      <c r="BB293" s="5" t="s">
        <v>68</v>
      </c>
      <c r="BC293" s="17" t="s">
        <v>68</v>
      </c>
      <c r="BD293" s="339" t="s">
        <v>68</v>
      </c>
      <c r="BE293" s="1616"/>
      <c r="BF293" s="71" t="s">
        <v>68</v>
      </c>
      <c r="BG293" s="71" t="s">
        <v>68</v>
      </c>
      <c r="BH293" s="71" t="s">
        <v>68</v>
      </c>
      <c r="BI293" s="129">
        <v>0</v>
      </c>
      <c r="BJ293" s="62" t="s">
        <v>68</v>
      </c>
      <c r="BK293" s="105"/>
      <c r="BL293" s="105"/>
      <c r="BM293" s="5"/>
      <c r="BN293" s="5"/>
      <c r="BO293" s="52"/>
      <c r="BP293" s="52"/>
      <c r="BQ293" s="52"/>
      <c r="BR293" s="52"/>
      <c r="BS293" s="52"/>
      <c r="BT293" s="52"/>
      <c r="BU293" s="52"/>
      <c r="BV293" s="53"/>
      <c r="BW293" s="13"/>
      <c r="BX293" s="13"/>
      <c r="BY293" s="13"/>
      <c r="BZ293" s="13"/>
      <c r="CA293" s="13"/>
      <c r="CB293" s="1221" t="s">
        <v>1563</v>
      </c>
      <c r="CC293" s="586" t="s">
        <v>454</v>
      </c>
      <c r="CD293" s="526"/>
      <c r="CE293" s="526"/>
      <c r="CF293" s="526"/>
      <c r="CG293" s="526"/>
      <c r="CH293" s="526"/>
      <c r="CI293" s="526"/>
      <c r="CJ293" s="526"/>
      <c r="CK293" s="15"/>
    </row>
    <row r="294" spans="2:89" customFormat="1" ht="138" hidden="1" customHeight="1">
      <c r="B294" s="22"/>
      <c r="C294" s="22"/>
      <c r="D294" s="22"/>
      <c r="E294" s="122" t="s">
        <v>68</v>
      </c>
      <c r="F294" s="122"/>
      <c r="G294" s="915">
        <v>43352</v>
      </c>
      <c r="H294" s="1746"/>
      <c r="I294" s="330">
        <v>43389</v>
      </c>
      <c r="J294" s="16">
        <v>2018</v>
      </c>
      <c r="K294" s="1417">
        <v>181.01</v>
      </c>
      <c r="L294" s="1417"/>
      <c r="M294" s="170" t="s">
        <v>166</v>
      </c>
      <c r="N294" s="178" t="s">
        <v>948</v>
      </c>
      <c r="O294" s="2" t="s">
        <v>4032</v>
      </c>
      <c r="P294" s="173" t="s">
        <v>949</v>
      </c>
      <c r="Q294" s="173" t="s">
        <v>1975</v>
      </c>
      <c r="R294" s="174">
        <v>89200</v>
      </c>
      <c r="S294" s="589">
        <v>43133</v>
      </c>
      <c r="T294" s="176">
        <v>43143</v>
      </c>
      <c r="U294" s="177">
        <v>43210</v>
      </c>
      <c r="V294" s="22" t="s">
        <v>68</v>
      </c>
      <c r="W294" s="178" t="s">
        <v>1177</v>
      </c>
      <c r="X294" s="170" t="s">
        <v>709</v>
      </c>
      <c r="Y294" s="200" t="s">
        <v>68</v>
      </c>
      <c r="Z294" s="368"/>
      <c r="AA294" s="33" t="s">
        <v>950</v>
      </c>
      <c r="AB294" s="8">
        <v>43130</v>
      </c>
      <c r="AC294" s="4">
        <v>89200</v>
      </c>
      <c r="AD294" s="4"/>
      <c r="AE294" s="32"/>
      <c r="AF294" s="34" t="s">
        <v>68</v>
      </c>
      <c r="AG294" s="112" t="s">
        <v>68</v>
      </c>
      <c r="AH294" s="112" t="s">
        <v>68</v>
      </c>
      <c r="AI294" s="7" t="s">
        <v>68</v>
      </c>
      <c r="AJ294" s="109" t="s">
        <v>68</v>
      </c>
      <c r="AK294" s="33" t="s">
        <v>68</v>
      </c>
      <c r="AL294" s="1" t="s">
        <v>68</v>
      </c>
      <c r="AM294" s="5"/>
      <c r="AN294" s="1" t="s">
        <v>68</v>
      </c>
      <c r="AO294" s="5"/>
      <c r="AP294" s="1" t="s">
        <v>68</v>
      </c>
      <c r="AQ294" s="1"/>
      <c r="AR294" s="279">
        <v>0</v>
      </c>
      <c r="AS294" s="674"/>
      <c r="AT294" s="902"/>
      <c r="AU294" s="891"/>
      <c r="AV294" s="350" t="s">
        <v>68</v>
      </c>
      <c r="AW294" s="11"/>
      <c r="AX294" s="223"/>
      <c r="AY294" s="52"/>
      <c r="AZ294" s="117" t="s">
        <v>692</v>
      </c>
      <c r="BA294" s="5">
        <v>43143</v>
      </c>
      <c r="BB294" s="5">
        <v>43210</v>
      </c>
      <c r="BC294" s="509"/>
      <c r="BD294" s="117" t="s">
        <v>692</v>
      </c>
      <c r="BE294" s="1622"/>
      <c r="BF294" s="5">
        <v>43143</v>
      </c>
      <c r="BG294" s="5">
        <v>43210</v>
      </c>
      <c r="BH294" s="474"/>
      <c r="BI294" s="36">
        <f t="shared" ref="BI294:BI302" si="8">AS294+AT294</f>
        <v>0</v>
      </c>
      <c r="BJ294" s="13" t="s">
        <v>68</v>
      </c>
      <c r="BK294" s="22"/>
      <c r="BL294" s="105"/>
      <c r="BM294" s="5"/>
      <c r="BN294" s="5"/>
      <c r="BO294" s="52"/>
      <c r="BP294" s="52"/>
      <c r="BQ294" s="52"/>
      <c r="BR294" s="52"/>
      <c r="BS294" s="52"/>
      <c r="BT294" s="52"/>
      <c r="BU294" s="52"/>
      <c r="BV294" s="53"/>
      <c r="BW294" s="13"/>
      <c r="BX294" s="13"/>
      <c r="BY294" s="13"/>
      <c r="BZ294" s="13"/>
      <c r="CA294" s="13"/>
      <c r="CB294" s="1221" t="s">
        <v>1563</v>
      </c>
      <c r="CC294" s="321" t="s">
        <v>459</v>
      </c>
      <c r="CD294" s="526"/>
      <c r="CE294" s="526"/>
      <c r="CF294" s="526"/>
      <c r="CG294" s="526"/>
      <c r="CH294" s="526"/>
      <c r="CI294" s="526"/>
      <c r="CJ294" s="526"/>
      <c r="CK294" s="15"/>
    </row>
    <row r="295" spans="2:89" customFormat="1" ht="84" hidden="1" customHeight="1">
      <c r="B295" s="22"/>
      <c r="C295" s="22"/>
      <c r="D295" s="22"/>
      <c r="E295" s="122" t="s">
        <v>68</v>
      </c>
      <c r="F295" s="122"/>
      <c r="G295" s="915">
        <v>43306</v>
      </c>
      <c r="H295" s="1746"/>
      <c r="I295" s="330">
        <v>43319</v>
      </c>
      <c r="J295" s="16">
        <v>2018</v>
      </c>
      <c r="K295" s="1417">
        <v>181.02</v>
      </c>
      <c r="L295" s="1417"/>
      <c r="M295" s="170" t="s">
        <v>166</v>
      </c>
      <c r="N295" s="178" t="s">
        <v>951</v>
      </c>
      <c r="O295" s="2" t="s">
        <v>4032</v>
      </c>
      <c r="P295" s="173" t="s">
        <v>952</v>
      </c>
      <c r="Q295" s="173" t="s">
        <v>4506</v>
      </c>
      <c r="R295" s="174">
        <v>187043.52</v>
      </c>
      <c r="S295" s="175">
        <v>43133</v>
      </c>
      <c r="T295" s="176">
        <v>43137</v>
      </c>
      <c r="U295" s="177">
        <v>43210</v>
      </c>
      <c r="V295" s="22" t="s">
        <v>68</v>
      </c>
      <c r="W295" s="178" t="s">
        <v>1177</v>
      </c>
      <c r="X295" s="170" t="s">
        <v>709</v>
      </c>
      <c r="Y295" s="461" t="s">
        <v>74</v>
      </c>
      <c r="Z295" s="1371"/>
      <c r="AA295" s="33" t="s">
        <v>953</v>
      </c>
      <c r="AB295" s="8">
        <v>43130</v>
      </c>
      <c r="AC295" s="4">
        <v>187043.52</v>
      </c>
      <c r="AD295" s="4"/>
      <c r="AE295" s="32"/>
      <c r="AF295" s="34" t="s">
        <v>68</v>
      </c>
      <c r="AG295" s="112" t="s">
        <v>68</v>
      </c>
      <c r="AH295" s="112" t="s">
        <v>68</v>
      </c>
      <c r="AI295" s="7" t="s">
        <v>68</v>
      </c>
      <c r="AJ295" s="109" t="s">
        <v>68</v>
      </c>
      <c r="AK295" s="350" t="s">
        <v>68</v>
      </c>
      <c r="AL295" s="1" t="s">
        <v>68</v>
      </c>
      <c r="AM295" s="5"/>
      <c r="AN295" s="1" t="s">
        <v>68</v>
      </c>
      <c r="AO295" s="5"/>
      <c r="AP295" s="630" t="s">
        <v>68</v>
      </c>
      <c r="AQ295" s="1"/>
      <c r="AR295" s="279">
        <v>0</v>
      </c>
      <c r="AS295" s="674"/>
      <c r="AT295" s="902"/>
      <c r="AU295" s="891"/>
      <c r="AV295" s="350" t="s">
        <v>68</v>
      </c>
      <c r="AW295" s="11"/>
      <c r="AX295" s="223"/>
      <c r="AY295" s="52"/>
      <c r="AZ295" s="117" t="s">
        <v>692</v>
      </c>
      <c r="BA295" s="5">
        <v>43137</v>
      </c>
      <c r="BB295" s="5">
        <v>43210</v>
      </c>
      <c r="BC295" s="509"/>
      <c r="BD295" s="117" t="s">
        <v>692</v>
      </c>
      <c r="BE295" s="1622"/>
      <c r="BF295" s="5">
        <v>43137</v>
      </c>
      <c r="BG295" s="5">
        <v>43210</v>
      </c>
      <c r="BH295" s="474"/>
      <c r="BI295" s="64">
        <f t="shared" si="8"/>
        <v>0</v>
      </c>
      <c r="BJ295" s="13" t="s">
        <v>68</v>
      </c>
      <c r="BK295" s="22"/>
      <c r="BL295" s="105"/>
      <c r="BM295" s="5"/>
      <c r="BN295" s="5"/>
      <c r="BO295" s="52"/>
      <c r="BP295" s="52"/>
      <c r="BQ295" s="52"/>
      <c r="BR295" s="52"/>
      <c r="BS295" s="52"/>
      <c r="BT295" s="52"/>
      <c r="BU295" s="52"/>
      <c r="BV295" s="53"/>
      <c r="BW295" s="13"/>
      <c r="BX295" s="13"/>
      <c r="BY295" s="13"/>
      <c r="BZ295" s="13"/>
      <c r="CA295" s="13"/>
      <c r="CB295" s="1221" t="s">
        <v>1563</v>
      </c>
      <c r="CC295" s="321" t="s">
        <v>459</v>
      </c>
      <c r="CD295" s="526"/>
      <c r="CE295" s="526"/>
      <c r="CF295" s="526"/>
      <c r="CG295" s="526"/>
      <c r="CH295" s="526"/>
      <c r="CI295" s="526"/>
      <c r="CJ295" s="526"/>
      <c r="CK295" s="15"/>
    </row>
    <row r="296" spans="2:89" customFormat="1" ht="117" hidden="1" customHeight="1">
      <c r="B296" s="22"/>
      <c r="C296" s="22"/>
      <c r="D296" s="22"/>
      <c r="E296" s="22" t="s">
        <v>68</v>
      </c>
      <c r="F296" s="22"/>
      <c r="G296" s="915"/>
      <c r="H296" s="1746"/>
      <c r="I296" s="330">
        <v>43389</v>
      </c>
      <c r="J296" s="16">
        <v>2018</v>
      </c>
      <c r="K296" s="1417">
        <v>181.03</v>
      </c>
      <c r="L296" s="1417"/>
      <c r="M296" s="170" t="s">
        <v>166</v>
      </c>
      <c r="N296" s="178" t="s">
        <v>954</v>
      </c>
      <c r="O296" s="2" t="s">
        <v>4032</v>
      </c>
      <c r="P296" s="173" t="s">
        <v>955</v>
      </c>
      <c r="Q296" s="173" t="s">
        <v>2512</v>
      </c>
      <c r="R296" s="174">
        <v>22000</v>
      </c>
      <c r="S296" s="650">
        <v>43130</v>
      </c>
      <c r="T296" s="176">
        <v>43131</v>
      </c>
      <c r="U296" s="177">
        <v>43159</v>
      </c>
      <c r="V296" s="22" t="s">
        <v>68</v>
      </c>
      <c r="W296" s="178" t="s">
        <v>1177</v>
      </c>
      <c r="X296" s="170" t="s">
        <v>709</v>
      </c>
      <c r="Y296" s="461" t="s">
        <v>74</v>
      </c>
      <c r="Z296" s="1371"/>
      <c r="AA296" s="617" t="s">
        <v>956</v>
      </c>
      <c r="AB296" s="8">
        <v>43130</v>
      </c>
      <c r="AC296" s="4">
        <v>22000</v>
      </c>
      <c r="AD296" s="4"/>
      <c r="AE296" s="32"/>
      <c r="AF296" s="34" t="s">
        <v>68</v>
      </c>
      <c r="AG296" s="112" t="s">
        <v>68</v>
      </c>
      <c r="AH296" s="112" t="s">
        <v>68</v>
      </c>
      <c r="AI296" s="7" t="s">
        <v>68</v>
      </c>
      <c r="AJ296" s="109" t="s">
        <v>68</v>
      </c>
      <c r="AK296" s="350" t="s">
        <v>68</v>
      </c>
      <c r="AL296" s="1" t="s">
        <v>68</v>
      </c>
      <c r="AM296" s="5"/>
      <c r="AN296" s="1" t="s">
        <v>68</v>
      </c>
      <c r="AO296" s="5"/>
      <c r="AP296" s="630" t="s">
        <v>68</v>
      </c>
      <c r="AQ296" s="1"/>
      <c r="AR296" s="279">
        <v>0</v>
      </c>
      <c r="AS296" s="674"/>
      <c r="AT296" s="902"/>
      <c r="AU296" s="891"/>
      <c r="AV296" s="350" t="s">
        <v>68</v>
      </c>
      <c r="AW296" s="11"/>
      <c r="AX296" s="223"/>
      <c r="AY296" s="52"/>
      <c r="AZ296" s="117" t="s">
        <v>692</v>
      </c>
      <c r="BA296" s="5">
        <v>43131</v>
      </c>
      <c r="BB296" s="5">
        <v>43159</v>
      </c>
      <c r="BC296" s="509"/>
      <c r="BD296" s="117" t="s">
        <v>692</v>
      </c>
      <c r="BE296" s="1622"/>
      <c r="BF296" s="5">
        <v>43131</v>
      </c>
      <c r="BG296" s="5">
        <v>43159</v>
      </c>
      <c r="BH296" s="474"/>
      <c r="BI296" s="64">
        <f t="shared" si="8"/>
        <v>0</v>
      </c>
      <c r="BJ296" s="13" t="s">
        <v>68</v>
      </c>
      <c r="BK296" s="22"/>
      <c r="BL296" s="105"/>
      <c r="BM296" s="5"/>
      <c r="BN296" s="5"/>
      <c r="BO296" s="52"/>
      <c r="BP296" s="52"/>
      <c r="BQ296" s="52"/>
      <c r="BR296" s="52"/>
      <c r="BS296" s="52"/>
      <c r="BT296" s="52"/>
      <c r="BU296" s="52"/>
      <c r="BV296" s="53"/>
      <c r="BW296" s="13"/>
      <c r="BX296" s="13"/>
      <c r="BY296" s="13"/>
      <c r="BZ296" s="13"/>
      <c r="CA296" s="13"/>
      <c r="CB296" s="1221" t="s">
        <v>1563</v>
      </c>
      <c r="CC296" s="321" t="s">
        <v>459</v>
      </c>
      <c r="CD296" s="526"/>
      <c r="CE296" s="526"/>
      <c r="CF296" s="526"/>
      <c r="CG296" s="526"/>
      <c r="CH296" s="526"/>
      <c r="CI296" s="526"/>
      <c r="CJ296" s="526"/>
      <c r="CK296" s="15"/>
    </row>
    <row r="297" spans="2:89" customFormat="1" ht="75" hidden="1" customHeight="1">
      <c r="B297" s="22"/>
      <c r="C297" s="22"/>
      <c r="D297" s="22"/>
      <c r="E297" s="22" t="s">
        <v>68</v>
      </c>
      <c r="F297" s="22"/>
      <c r="G297" s="915">
        <v>43339</v>
      </c>
      <c r="H297" s="915"/>
      <c r="I297" s="329">
        <v>43350</v>
      </c>
      <c r="J297" s="16">
        <v>2018</v>
      </c>
      <c r="K297" s="1417">
        <v>181.04</v>
      </c>
      <c r="L297" s="1417"/>
      <c r="M297" s="170" t="s">
        <v>166</v>
      </c>
      <c r="N297" s="178" t="s">
        <v>957</v>
      </c>
      <c r="O297" s="2" t="s">
        <v>4032</v>
      </c>
      <c r="P297" s="173" t="s">
        <v>958</v>
      </c>
      <c r="Q297" s="173" t="s">
        <v>1975</v>
      </c>
      <c r="R297" s="174">
        <v>187044.63</v>
      </c>
      <c r="S297" s="654">
        <v>43140</v>
      </c>
      <c r="T297" s="176">
        <v>43143</v>
      </c>
      <c r="U297" s="177">
        <v>43245</v>
      </c>
      <c r="V297" s="22" t="s">
        <v>68</v>
      </c>
      <c r="W297" s="178" t="s">
        <v>1177</v>
      </c>
      <c r="X297" s="18" t="s">
        <v>213</v>
      </c>
      <c r="Y297" s="461" t="s">
        <v>74</v>
      </c>
      <c r="Z297" s="1371"/>
      <c r="AA297" s="344" t="s">
        <v>959</v>
      </c>
      <c r="AB297" s="8">
        <v>43130</v>
      </c>
      <c r="AC297" s="4">
        <v>187044.63</v>
      </c>
      <c r="AD297" s="4"/>
      <c r="AE297" s="32"/>
      <c r="AF297" s="34" t="s">
        <v>68</v>
      </c>
      <c r="AG297" s="112" t="s">
        <v>68</v>
      </c>
      <c r="AH297" s="112" t="s">
        <v>68</v>
      </c>
      <c r="AI297" s="7" t="s">
        <v>68</v>
      </c>
      <c r="AJ297" s="109" t="s">
        <v>68</v>
      </c>
      <c r="AK297" s="350" t="s">
        <v>68</v>
      </c>
      <c r="AL297" s="1" t="s">
        <v>68</v>
      </c>
      <c r="AM297" s="5"/>
      <c r="AN297" s="1" t="s">
        <v>68</v>
      </c>
      <c r="AO297" s="5"/>
      <c r="AP297" s="630" t="s">
        <v>68</v>
      </c>
      <c r="AQ297" s="1"/>
      <c r="AR297" s="279">
        <v>0</v>
      </c>
      <c r="AS297" s="35">
        <v>40450</v>
      </c>
      <c r="AT297" s="902"/>
      <c r="AU297" s="891"/>
      <c r="AV297" s="350" t="s">
        <v>68</v>
      </c>
      <c r="AW297" s="11"/>
      <c r="AX297" s="223" t="s">
        <v>68</v>
      </c>
      <c r="AY297" s="52"/>
      <c r="AZ297" s="117" t="s">
        <v>692</v>
      </c>
      <c r="BA297" s="5">
        <v>43143</v>
      </c>
      <c r="BB297" s="5">
        <v>43245</v>
      </c>
      <c r="BC297" s="509"/>
      <c r="BD297" s="117" t="s">
        <v>692</v>
      </c>
      <c r="BE297" s="1622"/>
      <c r="BF297" s="5">
        <v>43143</v>
      </c>
      <c r="BG297" s="5">
        <v>43245</v>
      </c>
      <c r="BH297" s="474"/>
      <c r="BI297" s="64">
        <f t="shared" si="8"/>
        <v>40450</v>
      </c>
      <c r="BJ297" s="13" t="s">
        <v>68</v>
      </c>
      <c r="BK297" s="22"/>
      <c r="BL297" s="105"/>
      <c r="BM297" s="5"/>
      <c r="BN297" s="5"/>
      <c r="BO297" s="52"/>
      <c r="BP297" s="52"/>
      <c r="BQ297" s="52"/>
      <c r="BR297" s="52"/>
      <c r="BS297" s="52"/>
      <c r="BT297" s="52"/>
      <c r="BU297" s="52"/>
      <c r="BV297" s="53"/>
      <c r="BW297" s="13"/>
      <c r="BX297" s="13"/>
      <c r="BY297" s="13"/>
      <c r="BZ297" s="13"/>
      <c r="CA297" s="13"/>
      <c r="CB297" s="1221" t="s">
        <v>1563</v>
      </c>
      <c r="CC297" s="321" t="s">
        <v>459</v>
      </c>
      <c r="CD297" s="526"/>
      <c r="CE297" s="526"/>
      <c r="CF297" s="526"/>
      <c r="CG297" s="526"/>
      <c r="CH297" s="526"/>
      <c r="CI297" s="526"/>
      <c r="CJ297" s="526"/>
      <c r="CK297" s="15"/>
    </row>
    <row r="298" spans="2:89" s="1050" customFormat="1" ht="15" hidden="1" customHeight="1">
      <c r="B298" s="1051"/>
      <c r="C298" s="1051"/>
      <c r="D298" s="1051"/>
      <c r="E298" s="1051"/>
      <c r="F298" s="1051"/>
      <c r="G298" s="553"/>
      <c r="H298" s="620"/>
      <c r="I298" s="620"/>
      <c r="J298" s="532">
        <v>2018</v>
      </c>
      <c r="K298" s="1420">
        <v>181.05</v>
      </c>
      <c r="L298" s="1420"/>
      <c r="M298" s="1054"/>
      <c r="N298" s="1484" t="s">
        <v>960</v>
      </c>
      <c r="O298" s="790" t="s">
        <v>251</v>
      </c>
      <c r="P298" s="1056"/>
      <c r="Q298" s="1056"/>
      <c r="R298" s="1057"/>
      <c r="S298" s="1058"/>
      <c r="T298" s="1059"/>
      <c r="U298" s="1060"/>
      <c r="V298" s="1051" t="s">
        <v>68</v>
      </c>
      <c r="W298" s="1055" t="s">
        <v>68</v>
      </c>
      <c r="X298" s="1464"/>
      <c r="Y298" s="1087"/>
      <c r="Z298" s="1378"/>
      <c r="AA298" s="308"/>
      <c r="AB298" s="1063"/>
      <c r="AC298" s="1064"/>
      <c r="AD298" s="1064"/>
      <c r="AE298" s="1065"/>
      <c r="AF298" s="1066" t="s">
        <v>68</v>
      </c>
      <c r="AG298" s="1067" t="s">
        <v>68</v>
      </c>
      <c r="AH298" s="1067" t="s">
        <v>68</v>
      </c>
      <c r="AI298" s="1068" t="s">
        <v>68</v>
      </c>
      <c r="AJ298" s="1069" t="s">
        <v>68</v>
      </c>
      <c r="AK298" s="1479" t="s">
        <v>68</v>
      </c>
      <c r="AL298" s="1070" t="s">
        <v>68</v>
      </c>
      <c r="AM298" s="1071"/>
      <c r="AN298" s="1070" t="s">
        <v>68</v>
      </c>
      <c r="AO298" s="1071"/>
      <c r="AP298" s="1471" t="s">
        <v>68</v>
      </c>
      <c r="AQ298" s="1070"/>
      <c r="AR298" s="1072">
        <v>0</v>
      </c>
      <c r="AS298" s="1073"/>
      <c r="AT298" s="1074"/>
      <c r="AU298" s="1075"/>
      <c r="AV298" s="1479"/>
      <c r="AW298" s="1077"/>
      <c r="AX298" s="1078"/>
      <c r="AY298" s="1079"/>
      <c r="AZ298" s="1483"/>
      <c r="BA298" s="1070"/>
      <c r="BB298" s="1070"/>
      <c r="BC298" s="1080"/>
      <c r="BD298" s="1483"/>
      <c r="BE298" s="1625"/>
      <c r="BF298" s="1070"/>
      <c r="BG298" s="1070"/>
      <c r="BH298" s="1070"/>
      <c r="BI298" s="1081">
        <f t="shared" si="8"/>
        <v>0</v>
      </c>
      <c r="BJ298" s="1082" t="s">
        <v>68</v>
      </c>
      <c r="BK298" s="1051"/>
      <c r="BL298" s="1061"/>
      <c r="BM298" s="1071"/>
      <c r="BN298" s="1071"/>
      <c r="BO298" s="1079"/>
      <c r="BP298" s="1079"/>
      <c r="BQ298" s="1079"/>
      <c r="BR298" s="1079"/>
      <c r="BS298" s="1079"/>
      <c r="BT298" s="1079"/>
      <c r="BU298" s="1079"/>
      <c r="BV298" s="1475"/>
      <c r="BW298" s="1082"/>
      <c r="BX298" s="1082"/>
      <c r="BY298" s="1082"/>
      <c r="BZ298" s="1082"/>
      <c r="CA298" s="1082"/>
      <c r="CB298" s="1477" t="s">
        <v>1563</v>
      </c>
      <c r="CC298" s="126" t="s">
        <v>478</v>
      </c>
      <c r="CD298" s="789"/>
      <c r="CE298" s="789"/>
      <c r="CF298" s="789"/>
      <c r="CG298" s="789"/>
      <c r="CH298" s="789"/>
      <c r="CI298" s="789"/>
      <c r="CJ298" s="789"/>
      <c r="CK298" s="1086"/>
    </row>
    <row r="299" spans="2:89" customFormat="1" ht="66.75" hidden="1" customHeight="1">
      <c r="B299" s="22"/>
      <c r="C299" s="22"/>
      <c r="D299" s="22"/>
      <c r="E299" s="22" t="s">
        <v>68</v>
      </c>
      <c r="F299" s="22"/>
      <c r="G299" s="915"/>
      <c r="H299" s="1746"/>
      <c r="I299" s="330"/>
      <c r="J299" s="16">
        <v>2018</v>
      </c>
      <c r="K299" s="1417">
        <v>181.06</v>
      </c>
      <c r="L299" s="1417"/>
      <c r="M299" s="170" t="s">
        <v>166</v>
      </c>
      <c r="N299" s="178" t="s">
        <v>961</v>
      </c>
      <c r="O299" s="2" t="s">
        <v>4032</v>
      </c>
      <c r="P299" s="173" t="s">
        <v>962</v>
      </c>
      <c r="Q299" s="173" t="s">
        <v>4410</v>
      </c>
      <c r="R299" s="594">
        <v>2900000</v>
      </c>
      <c r="S299" s="590">
        <v>43199</v>
      </c>
      <c r="T299" s="176" t="s">
        <v>68</v>
      </c>
      <c r="U299" s="177" t="s">
        <v>68</v>
      </c>
      <c r="V299" s="22" t="s">
        <v>68</v>
      </c>
      <c r="W299" s="178" t="s">
        <v>1177</v>
      </c>
      <c r="X299" s="170" t="s">
        <v>68</v>
      </c>
      <c r="Y299" s="200" t="s">
        <v>68</v>
      </c>
      <c r="Z299" s="368"/>
      <c r="AA299" s="33" t="s">
        <v>963</v>
      </c>
      <c r="AB299" s="8">
        <v>43207</v>
      </c>
      <c r="AC299" s="79">
        <v>120000</v>
      </c>
      <c r="AD299" s="79"/>
      <c r="AE299" s="651"/>
      <c r="AF299" s="582" t="s">
        <v>68</v>
      </c>
      <c r="AG299" s="583" t="s">
        <v>68</v>
      </c>
      <c r="AH299" s="583" t="s">
        <v>68</v>
      </c>
      <c r="AI299" s="584" t="s">
        <v>68</v>
      </c>
      <c r="AJ299" s="581" t="s">
        <v>68</v>
      </c>
      <c r="AK299" s="350" t="s">
        <v>68</v>
      </c>
      <c r="AL299" s="1" t="s">
        <v>68</v>
      </c>
      <c r="AM299" s="5"/>
      <c r="AN299" s="1" t="s">
        <v>68</v>
      </c>
      <c r="AO299" s="5"/>
      <c r="AP299" s="630" t="s">
        <v>68</v>
      </c>
      <c r="AQ299" s="1"/>
      <c r="AR299" s="279">
        <v>0</v>
      </c>
      <c r="AS299" s="35"/>
      <c r="AT299" s="895"/>
      <c r="AU299" s="884"/>
      <c r="AV299" s="350"/>
      <c r="AW299" s="11"/>
      <c r="AX299" s="223"/>
      <c r="AY299" s="52"/>
      <c r="AZ299" s="652"/>
      <c r="BA299" s="1"/>
      <c r="BB299" s="1"/>
      <c r="BC299" s="17"/>
      <c r="BD299" s="652"/>
      <c r="BE299" s="1626"/>
      <c r="BF299" s="1"/>
      <c r="BG299" s="1"/>
      <c r="BH299" s="1"/>
      <c r="BI299" s="36">
        <f t="shared" si="8"/>
        <v>0</v>
      </c>
      <c r="BJ299" s="13" t="s">
        <v>68</v>
      </c>
      <c r="BK299" s="22"/>
      <c r="BL299" s="105"/>
      <c r="BM299" s="5"/>
      <c r="BN299" s="5"/>
      <c r="BO299" s="52"/>
      <c r="BP299" s="52"/>
      <c r="BQ299" s="52"/>
      <c r="BR299" s="52"/>
      <c r="BS299" s="52"/>
      <c r="BT299" s="52"/>
      <c r="BU299" s="52"/>
      <c r="BV299" s="53"/>
      <c r="BW299" s="13"/>
      <c r="BX299" s="13"/>
      <c r="BY299" s="13"/>
      <c r="BZ299" s="13"/>
      <c r="CA299" s="13"/>
      <c r="CB299" s="1221" t="s">
        <v>1563</v>
      </c>
      <c r="CC299" s="321" t="s">
        <v>459</v>
      </c>
      <c r="CD299" s="526"/>
      <c r="CE299" s="526"/>
      <c r="CF299" s="526"/>
      <c r="CG299" s="526"/>
      <c r="CH299" s="526"/>
      <c r="CI299" s="526"/>
      <c r="CJ299" s="526"/>
      <c r="CK299" s="15"/>
    </row>
    <row r="300" spans="2:89" s="1050" customFormat="1" ht="15" hidden="1" customHeight="1">
      <c r="B300" s="1051"/>
      <c r="C300" s="1051"/>
      <c r="D300" s="1051"/>
      <c r="E300" s="1051"/>
      <c r="F300" s="1051"/>
      <c r="G300" s="553">
        <v>43304</v>
      </c>
      <c r="H300" s="620"/>
      <c r="I300" s="620"/>
      <c r="J300" s="532">
        <v>2018</v>
      </c>
      <c r="K300" s="1420">
        <v>181.07</v>
      </c>
      <c r="L300" s="1420"/>
      <c r="M300" s="1054" t="s">
        <v>77</v>
      </c>
      <c r="N300" s="1484" t="s">
        <v>964</v>
      </c>
      <c r="O300" s="1480" t="s">
        <v>251</v>
      </c>
      <c r="P300" s="1056" t="s">
        <v>965</v>
      </c>
      <c r="Q300" s="1056"/>
      <c r="R300" s="1057"/>
      <c r="S300" s="1058"/>
      <c r="T300" s="1059"/>
      <c r="U300" s="1060"/>
      <c r="V300" s="1051" t="s">
        <v>68</v>
      </c>
      <c r="W300" s="1055" t="s">
        <v>68</v>
      </c>
      <c r="X300" s="1464" t="s">
        <v>449</v>
      </c>
      <c r="Y300" s="1087"/>
      <c r="Z300" s="1378"/>
      <c r="AA300" s="308" t="s">
        <v>966</v>
      </c>
      <c r="AB300" s="1063">
        <v>43185</v>
      </c>
      <c r="AC300" s="1064">
        <v>500000</v>
      </c>
      <c r="AD300" s="1064"/>
      <c r="AE300" s="1065"/>
      <c r="AF300" s="1066"/>
      <c r="AG300" s="1067"/>
      <c r="AH300" s="1067"/>
      <c r="AI300" s="1068"/>
      <c r="AJ300" s="1069"/>
      <c r="AK300" s="308"/>
      <c r="AL300" s="1070"/>
      <c r="AM300" s="1071"/>
      <c r="AN300" s="1070"/>
      <c r="AO300" s="1071"/>
      <c r="AP300" s="1070"/>
      <c r="AQ300" s="1070"/>
      <c r="AR300" s="1072"/>
      <c r="AS300" s="1073">
        <v>0</v>
      </c>
      <c r="AT300" s="1074"/>
      <c r="AU300" s="1075"/>
      <c r="AV300" s="1076"/>
      <c r="AW300" s="1077"/>
      <c r="AX300" s="1078"/>
      <c r="AY300" s="1079"/>
      <c r="AZ300" s="829"/>
      <c r="BA300" s="1070"/>
      <c r="BB300" s="1070"/>
      <c r="BC300" s="1080"/>
      <c r="BD300" s="829"/>
      <c r="BE300" s="1473"/>
      <c r="BF300" s="1070"/>
      <c r="BG300" s="1070"/>
      <c r="BH300" s="1070"/>
      <c r="BI300" s="1081">
        <f t="shared" si="8"/>
        <v>0</v>
      </c>
      <c r="BJ300" s="1082"/>
      <c r="BK300" s="1051"/>
      <c r="BL300" s="1061"/>
      <c r="BM300" s="1071"/>
      <c r="BN300" s="1071"/>
      <c r="BO300" s="1079"/>
      <c r="BP300" s="1079"/>
      <c r="BQ300" s="1079"/>
      <c r="BR300" s="1079"/>
      <c r="BS300" s="1079"/>
      <c r="BT300" s="1079"/>
      <c r="BU300" s="1079"/>
      <c r="BV300" s="1475"/>
      <c r="BW300" s="1082"/>
      <c r="BX300" s="1082"/>
      <c r="BY300" s="1082"/>
      <c r="BZ300" s="1082"/>
      <c r="CA300" s="1082"/>
      <c r="CB300" s="1477" t="s">
        <v>1563</v>
      </c>
      <c r="CC300" s="126" t="s">
        <v>478</v>
      </c>
      <c r="CD300" s="789"/>
      <c r="CE300" s="789"/>
      <c r="CF300" s="789"/>
      <c r="CG300" s="789"/>
      <c r="CH300" s="789"/>
      <c r="CI300" s="789"/>
      <c r="CJ300" s="789"/>
      <c r="CK300" s="1086"/>
    </row>
    <row r="301" spans="2:89" s="1050" customFormat="1" ht="15" hidden="1" customHeight="1">
      <c r="B301" s="1051"/>
      <c r="C301" s="1051"/>
      <c r="D301" s="1051"/>
      <c r="E301" s="1051"/>
      <c r="F301" s="1051"/>
      <c r="G301" s="553"/>
      <c r="H301" s="620"/>
      <c r="I301" s="620"/>
      <c r="J301" s="532">
        <v>2018</v>
      </c>
      <c r="K301" s="1420">
        <v>181.08</v>
      </c>
      <c r="L301" s="1420"/>
      <c r="M301" s="1054"/>
      <c r="N301" s="1484" t="s">
        <v>967</v>
      </c>
      <c r="O301" s="790" t="s">
        <v>251</v>
      </c>
      <c r="P301" s="1056"/>
      <c r="Q301" s="1056"/>
      <c r="R301" s="1057"/>
      <c r="S301" s="1058"/>
      <c r="T301" s="1059"/>
      <c r="U301" s="1060"/>
      <c r="V301" s="1051" t="s">
        <v>68</v>
      </c>
      <c r="W301" s="1055" t="s">
        <v>68</v>
      </c>
      <c r="X301" s="1054"/>
      <c r="Y301" s="1087"/>
      <c r="Z301" s="1378"/>
      <c r="AA301" s="308"/>
      <c r="AB301" s="1063"/>
      <c r="AC301" s="1064"/>
      <c r="AD301" s="1064"/>
      <c r="AE301" s="1065"/>
      <c r="AF301" s="1066" t="s">
        <v>68</v>
      </c>
      <c r="AG301" s="1067" t="s">
        <v>68</v>
      </c>
      <c r="AH301" s="1067" t="s">
        <v>68</v>
      </c>
      <c r="AI301" s="1068" t="s">
        <v>68</v>
      </c>
      <c r="AJ301" s="1069" t="s">
        <v>68</v>
      </c>
      <c r="AK301" s="1479" t="s">
        <v>68</v>
      </c>
      <c r="AL301" s="1070" t="s">
        <v>68</v>
      </c>
      <c r="AM301" s="1071"/>
      <c r="AN301" s="1070" t="s">
        <v>68</v>
      </c>
      <c r="AO301" s="1071"/>
      <c r="AP301" s="1471" t="s">
        <v>68</v>
      </c>
      <c r="AQ301" s="1070"/>
      <c r="AR301" s="1072">
        <v>0</v>
      </c>
      <c r="AS301" s="1073"/>
      <c r="AT301" s="1074"/>
      <c r="AU301" s="1075"/>
      <c r="AV301" s="1479"/>
      <c r="AW301" s="1077"/>
      <c r="AX301" s="1078"/>
      <c r="AY301" s="1079"/>
      <c r="AZ301" s="1483"/>
      <c r="BA301" s="1070"/>
      <c r="BB301" s="1070"/>
      <c r="BC301" s="1080"/>
      <c r="BD301" s="1483"/>
      <c r="BE301" s="1625"/>
      <c r="BF301" s="1070"/>
      <c r="BG301" s="1070"/>
      <c r="BH301" s="1070"/>
      <c r="BI301" s="1081">
        <f t="shared" si="8"/>
        <v>0</v>
      </c>
      <c r="BJ301" s="1082" t="s">
        <v>68</v>
      </c>
      <c r="BK301" s="1051"/>
      <c r="BL301" s="1061"/>
      <c r="BM301" s="1071"/>
      <c r="BN301" s="1071"/>
      <c r="BO301" s="1079"/>
      <c r="BP301" s="1079"/>
      <c r="BQ301" s="1079"/>
      <c r="BR301" s="1079"/>
      <c r="BS301" s="1079"/>
      <c r="BT301" s="1079"/>
      <c r="BU301" s="1079"/>
      <c r="BV301" s="1475"/>
      <c r="BW301" s="1082"/>
      <c r="BX301" s="1082"/>
      <c r="BY301" s="1082"/>
      <c r="BZ301" s="1082"/>
      <c r="CA301" s="1082"/>
      <c r="CB301" s="1477" t="s">
        <v>1563</v>
      </c>
      <c r="CC301" s="126" t="s">
        <v>478</v>
      </c>
      <c r="CD301" s="789"/>
      <c r="CE301" s="789"/>
      <c r="CF301" s="789"/>
      <c r="CG301" s="789"/>
      <c r="CH301" s="789"/>
      <c r="CI301" s="789"/>
      <c r="CJ301" s="789"/>
      <c r="CK301" s="1086"/>
    </row>
    <row r="302" spans="2:89" s="1050" customFormat="1" ht="15" hidden="1" customHeight="1">
      <c r="B302" s="1051"/>
      <c r="C302" s="1051"/>
      <c r="D302" s="1051"/>
      <c r="E302" s="1051"/>
      <c r="F302" s="1051"/>
      <c r="G302" s="553"/>
      <c r="H302" s="620"/>
      <c r="I302" s="620"/>
      <c r="J302" s="532">
        <v>2018</v>
      </c>
      <c r="K302" s="1420">
        <v>181.09</v>
      </c>
      <c r="L302" s="1420"/>
      <c r="M302" s="1054"/>
      <c r="N302" s="1484" t="s">
        <v>968</v>
      </c>
      <c r="O302" s="790" t="s">
        <v>251</v>
      </c>
      <c r="P302" s="1056"/>
      <c r="Q302" s="1056"/>
      <c r="R302" s="1057"/>
      <c r="S302" s="1058"/>
      <c r="T302" s="1059"/>
      <c r="U302" s="1060"/>
      <c r="V302" s="1051" t="s">
        <v>68</v>
      </c>
      <c r="W302" s="1055" t="s">
        <v>68</v>
      </c>
      <c r="X302" s="1054"/>
      <c r="Y302" s="1087"/>
      <c r="Z302" s="1378"/>
      <c r="AA302" s="308"/>
      <c r="AB302" s="1063"/>
      <c r="AC302" s="1064"/>
      <c r="AD302" s="1064"/>
      <c r="AE302" s="1065"/>
      <c r="AF302" s="1066" t="s">
        <v>68</v>
      </c>
      <c r="AG302" s="1067" t="s">
        <v>68</v>
      </c>
      <c r="AH302" s="1067" t="s">
        <v>68</v>
      </c>
      <c r="AI302" s="1068" t="s">
        <v>68</v>
      </c>
      <c r="AJ302" s="1069" t="s">
        <v>68</v>
      </c>
      <c r="AK302" s="1479" t="s">
        <v>68</v>
      </c>
      <c r="AL302" s="1070" t="s">
        <v>68</v>
      </c>
      <c r="AM302" s="1071"/>
      <c r="AN302" s="1070" t="s">
        <v>68</v>
      </c>
      <c r="AO302" s="1071"/>
      <c r="AP302" s="1471" t="s">
        <v>68</v>
      </c>
      <c r="AQ302" s="1070"/>
      <c r="AR302" s="1072">
        <v>0</v>
      </c>
      <c r="AS302" s="1073"/>
      <c r="AT302" s="1074"/>
      <c r="AU302" s="1075"/>
      <c r="AV302" s="1479"/>
      <c r="AW302" s="1077"/>
      <c r="AX302" s="1078"/>
      <c r="AY302" s="1079"/>
      <c r="AZ302" s="1483"/>
      <c r="BA302" s="1070"/>
      <c r="BB302" s="1070"/>
      <c r="BC302" s="1080"/>
      <c r="BD302" s="1483"/>
      <c r="BE302" s="1625"/>
      <c r="BF302" s="1070"/>
      <c r="BG302" s="1070"/>
      <c r="BH302" s="1070"/>
      <c r="BI302" s="1081">
        <f t="shared" si="8"/>
        <v>0</v>
      </c>
      <c r="BJ302" s="1082" t="s">
        <v>68</v>
      </c>
      <c r="BK302" s="1051"/>
      <c r="BL302" s="1061"/>
      <c r="BM302" s="1071"/>
      <c r="BN302" s="1071"/>
      <c r="BO302" s="1079"/>
      <c r="BP302" s="1079"/>
      <c r="BQ302" s="1079"/>
      <c r="BR302" s="1079"/>
      <c r="BS302" s="1079"/>
      <c r="BT302" s="1079"/>
      <c r="BU302" s="1079"/>
      <c r="BV302" s="1475"/>
      <c r="BW302" s="1082"/>
      <c r="BX302" s="1082"/>
      <c r="BY302" s="1082"/>
      <c r="BZ302" s="1082"/>
      <c r="CA302" s="1082"/>
      <c r="CB302" s="1477" t="s">
        <v>1563</v>
      </c>
      <c r="CC302" s="126" t="s">
        <v>478</v>
      </c>
      <c r="CD302" s="789"/>
      <c r="CE302" s="789"/>
      <c r="CF302" s="789"/>
      <c r="CG302" s="789"/>
      <c r="CH302" s="789"/>
      <c r="CI302" s="789"/>
      <c r="CJ302" s="789"/>
      <c r="CK302" s="1086"/>
    </row>
    <row r="303" spans="2:89" customFormat="1" ht="86.25" hidden="1" customHeight="1">
      <c r="B303" s="22"/>
      <c r="C303" s="22" t="s">
        <v>969</v>
      </c>
      <c r="D303" s="22"/>
      <c r="E303" s="22" t="s">
        <v>68</v>
      </c>
      <c r="F303" s="22"/>
      <c r="G303" s="915">
        <v>43375</v>
      </c>
      <c r="H303" s="1746"/>
      <c r="I303" s="330">
        <v>43389</v>
      </c>
      <c r="J303" s="16">
        <v>2018</v>
      </c>
      <c r="K303" s="1417">
        <v>181.1</v>
      </c>
      <c r="L303" s="1417"/>
      <c r="M303" s="170" t="s">
        <v>77</v>
      </c>
      <c r="N303" s="178" t="s">
        <v>970</v>
      </c>
      <c r="O303" s="2" t="s">
        <v>4032</v>
      </c>
      <c r="P303" s="173" t="s">
        <v>971</v>
      </c>
      <c r="Q303" s="173" t="s">
        <v>1975</v>
      </c>
      <c r="R303" s="174">
        <v>606708.96</v>
      </c>
      <c r="S303" s="589">
        <v>43228</v>
      </c>
      <c r="T303" s="176">
        <v>43229</v>
      </c>
      <c r="U303" s="177">
        <v>43262</v>
      </c>
      <c r="V303" s="22" t="s">
        <v>68</v>
      </c>
      <c r="W303" s="178" t="s">
        <v>1177</v>
      </c>
      <c r="X303" s="170" t="s">
        <v>449</v>
      </c>
      <c r="Y303" s="608">
        <v>43222</v>
      </c>
      <c r="Z303" s="1373"/>
      <c r="AA303" s="115" t="s">
        <v>972</v>
      </c>
      <c r="AB303" s="8">
        <v>43220</v>
      </c>
      <c r="AC303" s="4">
        <v>606708.96</v>
      </c>
      <c r="AD303" s="4"/>
      <c r="AE303" s="32"/>
      <c r="AF303" s="34" t="s">
        <v>68</v>
      </c>
      <c r="AG303" s="112" t="s">
        <v>68</v>
      </c>
      <c r="AH303" s="112" t="s">
        <v>68</v>
      </c>
      <c r="AI303" s="7" t="s">
        <v>68</v>
      </c>
      <c r="AJ303" s="109" t="s">
        <v>68</v>
      </c>
      <c r="AK303" s="350" t="s">
        <v>68</v>
      </c>
      <c r="AL303" s="1" t="s">
        <v>68</v>
      </c>
      <c r="AM303" s="5"/>
      <c r="AN303" s="1" t="s">
        <v>68</v>
      </c>
      <c r="AO303" s="5"/>
      <c r="AP303" s="630" t="s">
        <v>68</v>
      </c>
      <c r="AQ303" s="1"/>
      <c r="AR303" s="279">
        <v>0</v>
      </c>
      <c r="AS303" s="674">
        <v>130403.52</v>
      </c>
      <c r="AT303" s="902">
        <v>465082</v>
      </c>
      <c r="AU303" s="916">
        <v>607453.52</v>
      </c>
      <c r="AV303" s="66" t="s">
        <v>74</v>
      </c>
      <c r="AW303" s="11"/>
      <c r="AX303" s="223" t="s">
        <v>68</v>
      </c>
      <c r="AY303" s="52" t="s">
        <v>973</v>
      </c>
      <c r="AZ303" s="70">
        <v>43252</v>
      </c>
      <c r="BA303" s="5">
        <v>43229</v>
      </c>
      <c r="BB303" s="5">
        <v>43262</v>
      </c>
      <c r="BC303" s="11">
        <v>43251</v>
      </c>
      <c r="BD303" s="70">
        <v>43252</v>
      </c>
      <c r="BE303" s="1614"/>
      <c r="BF303" s="5">
        <v>43229</v>
      </c>
      <c r="BG303" s="5">
        <v>43262</v>
      </c>
      <c r="BH303" s="5">
        <v>43251</v>
      </c>
      <c r="BI303" s="36">
        <v>607453.52</v>
      </c>
      <c r="BJ303" s="13" t="s">
        <v>68</v>
      </c>
      <c r="BK303" s="22"/>
      <c r="BL303" s="105"/>
      <c r="BM303" s="5"/>
      <c r="BN303" s="5"/>
      <c r="BO303" s="52"/>
      <c r="BP303" s="52"/>
      <c r="BQ303" s="52"/>
      <c r="BR303" s="52"/>
      <c r="BS303" s="52"/>
      <c r="BT303" s="52"/>
      <c r="BU303" s="52"/>
      <c r="BV303" s="53"/>
      <c r="BW303" s="13"/>
      <c r="BX303" s="13"/>
      <c r="BY303" s="13"/>
      <c r="BZ303" s="13"/>
      <c r="CA303" s="13"/>
      <c r="CB303" s="1221" t="s">
        <v>1563</v>
      </c>
      <c r="CC303" s="321" t="s">
        <v>459</v>
      </c>
      <c r="CD303" s="526"/>
      <c r="CE303" s="526"/>
      <c r="CF303" s="526"/>
      <c r="CG303" s="526"/>
      <c r="CH303" s="526"/>
      <c r="CI303" s="526"/>
      <c r="CJ303" s="526"/>
      <c r="CK303" s="15"/>
    </row>
    <row r="304" spans="2:89" customFormat="1" ht="117" hidden="1" customHeight="1">
      <c r="B304" s="22"/>
      <c r="C304" s="22" t="s">
        <v>969</v>
      </c>
      <c r="D304" s="22"/>
      <c r="E304" s="22" t="s">
        <v>68</v>
      </c>
      <c r="F304" s="22"/>
      <c r="G304" s="915">
        <v>43376</v>
      </c>
      <c r="H304" s="1746"/>
      <c r="I304" s="330">
        <v>43389</v>
      </c>
      <c r="J304" s="16">
        <v>2018</v>
      </c>
      <c r="K304" s="1417">
        <v>181.11</v>
      </c>
      <c r="L304" s="1417"/>
      <c r="M304" s="170" t="s">
        <v>808</v>
      </c>
      <c r="N304" s="178" t="s">
        <v>974</v>
      </c>
      <c r="O304" s="2" t="s">
        <v>4032</v>
      </c>
      <c r="P304" s="173" t="s">
        <v>975</v>
      </c>
      <c r="Q304" s="173" t="s">
        <v>4410</v>
      </c>
      <c r="R304" s="594">
        <v>989000</v>
      </c>
      <c r="S304" s="589">
        <v>43241</v>
      </c>
      <c r="T304" s="176">
        <v>43257</v>
      </c>
      <c r="U304" s="177">
        <v>43322</v>
      </c>
      <c r="V304" s="22" t="s">
        <v>68</v>
      </c>
      <c r="W304" s="178" t="s">
        <v>1177</v>
      </c>
      <c r="X304" s="170" t="s">
        <v>449</v>
      </c>
      <c r="Y304" s="608">
        <v>43252</v>
      </c>
      <c r="Z304" s="1373"/>
      <c r="AA304" s="115" t="s">
        <v>976</v>
      </c>
      <c r="AB304" s="8">
        <v>43256</v>
      </c>
      <c r="AC304" s="79">
        <v>1000000</v>
      </c>
      <c r="AD304" s="79"/>
      <c r="AE304" s="651"/>
      <c r="AF304" s="582" t="s">
        <v>68</v>
      </c>
      <c r="AG304" s="583" t="s">
        <v>68</v>
      </c>
      <c r="AH304" s="583" t="s">
        <v>68</v>
      </c>
      <c r="AI304" s="584" t="s">
        <v>68</v>
      </c>
      <c r="AJ304" s="581" t="s">
        <v>68</v>
      </c>
      <c r="AK304" s="350" t="s">
        <v>68</v>
      </c>
      <c r="AL304" s="1" t="s">
        <v>68</v>
      </c>
      <c r="AM304" s="5"/>
      <c r="AN304" s="1" t="s">
        <v>68</v>
      </c>
      <c r="AO304" s="5"/>
      <c r="AP304" s="630" t="s">
        <v>68</v>
      </c>
      <c r="AQ304" s="1"/>
      <c r="AR304" s="279">
        <v>0</v>
      </c>
      <c r="AS304" s="35">
        <v>256954.58</v>
      </c>
      <c r="AT304" s="895">
        <v>678741.45</v>
      </c>
      <c r="AU304" s="916">
        <v>988757.98</v>
      </c>
      <c r="AV304" s="66" t="s">
        <v>74</v>
      </c>
      <c r="AW304" s="11"/>
      <c r="AX304" s="223" t="s">
        <v>68</v>
      </c>
      <c r="AY304" s="52" t="s">
        <v>518</v>
      </c>
      <c r="AZ304" s="70">
        <v>43314</v>
      </c>
      <c r="BA304" s="5">
        <v>43257</v>
      </c>
      <c r="BB304" s="5">
        <v>43322</v>
      </c>
      <c r="BC304" s="11">
        <v>43312</v>
      </c>
      <c r="BD304" s="70">
        <v>43314</v>
      </c>
      <c r="BE304" s="1614"/>
      <c r="BF304" s="5">
        <v>43257</v>
      </c>
      <c r="BG304" s="5">
        <v>43322</v>
      </c>
      <c r="BH304" s="5">
        <v>43312</v>
      </c>
      <c r="BI304" s="36">
        <f t="shared" ref="BI304:BI336" si="9">AS304+AT304</f>
        <v>935696.02999999991</v>
      </c>
      <c r="BJ304" s="13" t="s">
        <v>68</v>
      </c>
      <c r="BK304" s="22"/>
      <c r="BL304" s="105"/>
      <c r="BM304" s="5"/>
      <c r="BN304" s="5"/>
      <c r="BO304" s="52"/>
      <c r="BP304" s="52"/>
      <c r="BQ304" s="52"/>
      <c r="BR304" s="52"/>
      <c r="BS304" s="52"/>
      <c r="BT304" s="52"/>
      <c r="BU304" s="52"/>
      <c r="BV304" s="53"/>
      <c r="BW304" s="13"/>
      <c r="BX304" s="13"/>
      <c r="BY304" s="13"/>
      <c r="BZ304" s="13"/>
      <c r="CA304" s="13"/>
      <c r="CB304" s="1221" t="s">
        <v>1563</v>
      </c>
      <c r="CC304" s="321" t="s">
        <v>459</v>
      </c>
      <c r="CD304" s="526"/>
      <c r="CE304" s="526"/>
      <c r="CF304" s="526"/>
      <c r="CG304" s="526"/>
      <c r="CH304" s="526"/>
      <c r="CI304" s="526"/>
      <c r="CJ304" s="526"/>
      <c r="CK304" s="15"/>
    </row>
    <row r="305" spans="1:89" ht="70.5" hidden="1" customHeight="1">
      <c r="A305"/>
      <c r="B305" s="22"/>
      <c r="C305" s="22" t="s">
        <v>969</v>
      </c>
      <c r="D305" s="22"/>
      <c r="E305" s="22" t="s">
        <v>68</v>
      </c>
      <c r="F305" s="22"/>
      <c r="G305" s="915">
        <v>43374</v>
      </c>
      <c r="H305" s="1746"/>
      <c r="I305" s="330">
        <v>43389</v>
      </c>
      <c r="J305" s="16">
        <v>2018</v>
      </c>
      <c r="K305" s="1417">
        <v>181.12</v>
      </c>
      <c r="L305" s="1417"/>
      <c r="M305" s="170" t="s">
        <v>166</v>
      </c>
      <c r="N305" s="178" t="s">
        <v>977</v>
      </c>
      <c r="O305" s="2" t="s">
        <v>4032</v>
      </c>
      <c r="P305" s="173" t="s">
        <v>978</v>
      </c>
      <c r="Q305" s="173" t="s">
        <v>4410</v>
      </c>
      <c r="R305" s="594">
        <v>354409.68</v>
      </c>
      <c r="S305" s="590">
        <v>43257</v>
      </c>
      <c r="T305" s="176">
        <v>43257</v>
      </c>
      <c r="U305" s="177">
        <v>43318</v>
      </c>
      <c r="V305" s="22" t="s">
        <v>68</v>
      </c>
      <c r="W305" s="178" t="s">
        <v>1177</v>
      </c>
      <c r="X305" s="170" t="s">
        <v>449</v>
      </c>
      <c r="Y305" s="200">
        <v>43252</v>
      </c>
      <c r="Z305" s="368"/>
      <c r="AA305" s="33" t="s">
        <v>979</v>
      </c>
      <c r="AB305" s="8">
        <v>43256</v>
      </c>
      <c r="AC305" s="79">
        <v>354409.68</v>
      </c>
      <c r="AD305" s="79"/>
      <c r="AE305" s="651"/>
      <c r="AF305" s="582" t="s">
        <v>68</v>
      </c>
      <c r="AG305" s="583" t="s">
        <v>68</v>
      </c>
      <c r="AH305" s="583" t="s">
        <v>68</v>
      </c>
      <c r="AI305" s="584" t="s">
        <v>68</v>
      </c>
      <c r="AJ305" s="581" t="s">
        <v>68</v>
      </c>
      <c r="AK305" s="350" t="s">
        <v>68</v>
      </c>
      <c r="AL305" s="1" t="s">
        <v>68</v>
      </c>
      <c r="AM305" s="5"/>
      <c r="AN305" s="1" t="s">
        <v>68</v>
      </c>
      <c r="AO305" s="5"/>
      <c r="AP305" s="630" t="s">
        <v>68</v>
      </c>
      <c r="AQ305" s="1"/>
      <c r="AR305" s="279">
        <v>0</v>
      </c>
      <c r="AS305" s="35">
        <v>80012.33</v>
      </c>
      <c r="AT305" s="895">
        <v>274167.42</v>
      </c>
      <c r="AU305" s="884">
        <v>354179.75</v>
      </c>
      <c r="AV305" s="66" t="s">
        <v>74</v>
      </c>
      <c r="AW305" s="11"/>
      <c r="AX305" s="223" t="s">
        <v>68</v>
      </c>
      <c r="AY305" s="52" t="s">
        <v>495</v>
      </c>
      <c r="AZ305" s="70">
        <v>43273</v>
      </c>
      <c r="BA305" s="5">
        <v>43257</v>
      </c>
      <c r="BB305" s="5">
        <v>43318</v>
      </c>
      <c r="BC305" s="11">
        <v>43272</v>
      </c>
      <c r="BD305" s="70">
        <v>43273</v>
      </c>
      <c r="BE305" s="1614"/>
      <c r="BF305" s="5">
        <v>43257</v>
      </c>
      <c r="BG305" s="5">
        <v>43318</v>
      </c>
      <c r="BH305" s="5">
        <v>43272</v>
      </c>
      <c r="BI305" s="36">
        <f t="shared" si="9"/>
        <v>354179.75</v>
      </c>
      <c r="BJ305" s="13" t="s">
        <v>68</v>
      </c>
      <c r="BK305" s="22"/>
      <c r="BL305" s="105"/>
      <c r="BM305" s="5"/>
      <c r="BN305" s="5"/>
      <c r="BO305" s="52"/>
      <c r="BP305" s="52"/>
      <c r="BQ305" s="52"/>
      <c r="BR305" s="52"/>
      <c r="BS305" s="52"/>
      <c r="BT305" s="52"/>
      <c r="BU305" s="52"/>
      <c r="BV305" s="53"/>
      <c r="BW305" s="13"/>
      <c r="BX305" s="13"/>
      <c r="BY305" s="13"/>
      <c r="BZ305" s="13"/>
      <c r="CA305" s="13"/>
      <c r="CB305" s="1221" t="s">
        <v>1563</v>
      </c>
      <c r="CC305" s="321" t="s">
        <v>459</v>
      </c>
      <c r="CD305" s="526"/>
      <c r="CE305" s="526"/>
      <c r="CF305" s="526"/>
      <c r="CG305" s="526"/>
      <c r="CH305" s="526"/>
      <c r="CI305" s="526"/>
      <c r="CJ305" s="526"/>
      <c r="CK305" s="15"/>
    </row>
    <row r="306" spans="1:89" ht="72" hidden="1" customHeight="1">
      <c r="A306"/>
      <c r="B306" s="22"/>
      <c r="C306" s="22" t="s">
        <v>969</v>
      </c>
      <c r="D306" s="22"/>
      <c r="E306" s="22" t="s">
        <v>68</v>
      </c>
      <c r="F306" s="22"/>
      <c r="G306" s="915">
        <v>43374</v>
      </c>
      <c r="H306" s="1746"/>
      <c r="I306" s="330"/>
      <c r="J306" s="16">
        <v>2018</v>
      </c>
      <c r="K306" s="1417">
        <v>181.13</v>
      </c>
      <c r="L306" s="1417"/>
      <c r="M306" s="170" t="s">
        <v>166</v>
      </c>
      <c r="N306" s="178" t="s">
        <v>980</v>
      </c>
      <c r="O306" s="2" t="s">
        <v>4032</v>
      </c>
      <c r="P306" s="173" t="s">
        <v>981</v>
      </c>
      <c r="Q306" s="173" t="s">
        <v>4410</v>
      </c>
      <c r="R306" s="594">
        <v>95341.6</v>
      </c>
      <c r="S306" s="589">
        <v>43257</v>
      </c>
      <c r="T306" s="176">
        <v>43257</v>
      </c>
      <c r="U306" s="177">
        <v>43318</v>
      </c>
      <c r="V306" s="22" t="s">
        <v>68</v>
      </c>
      <c r="W306" s="178" t="s">
        <v>1177</v>
      </c>
      <c r="X306" s="170" t="s">
        <v>449</v>
      </c>
      <c r="Y306" s="608">
        <v>43252</v>
      </c>
      <c r="Z306" s="1373"/>
      <c r="AA306" s="115" t="s">
        <v>979</v>
      </c>
      <c r="AB306" s="8">
        <v>43256</v>
      </c>
      <c r="AC306" s="79">
        <v>95341.6</v>
      </c>
      <c r="AD306" s="79"/>
      <c r="AE306" s="651"/>
      <c r="AF306" s="582" t="s">
        <v>68</v>
      </c>
      <c r="AG306" s="583" t="s">
        <v>68</v>
      </c>
      <c r="AH306" s="583" t="s">
        <v>68</v>
      </c>
      <c r="AI306" s="584" t="s">
        <v>68</v>
      </c>
      <c r="AJ306" s="581" t="s">
        <v>68</v>
      </c>
      <c r="AK306" s="350" t="s">
        <v>68</v>
      </c>
      <c r="AL306" s="1" t="s">
        <v>68</v>
      </c>
      <c r="AM306" s="5"/>
      <c r="AN306" s="1" t="s">
        <v>68</v>
      </c>
      <c r="AO306" s="5"/>
      <c r="AP306" s="630" t="s">
        <v>68</v>
      </c>
      <c r="AQ306" s="1"/>
      <c r="AR306" s="279">
        <v>0</v>
      </c>
      <c r="AS306" s="35">
        <v>30899.54</v>
      </c>
      <c r="AT306" s="895">
        <v>63828.08</v>
      </c>
      <c r="AU306" s="884">
        <v>94727.62</v>
      </c>
      <c r="AV306" s="66" t="s">
        <v>74</v>
      </c>
      <c r="AW306" s="11"/>
      <c r="AX306" s="223" t="s">
        <v>68</v>
      </c>
      <c r="AY306" s="52" t="s">
        <v>506</v>
      </c>
      <c r="AZ306" s="70">
        <v>43273</v>
      </c>
      <c r="BA306" s="60">
        <v>43257</v>
      </c>
      <c r="BB306" s="60">
        <v>43318</v>
      </c>
      <c r="BC306" s="61">
        <v>43272</v>
      </c>
      <c r="BD306" s="70">
        <v>43273</v>
      </c>
      <c r="BE306" s="1614"/>
      <c r="BF306" s="5">
        <v>43257</v>
      </c>
      <c r="BG306" s="5">
        <v>43318</v>
      </c>
      <c r="BH306" s="5">
        <v>43272</v>
      </c>
      <c r="BI306" s="245">
        <f t="shared" si="9"/>
        <v>94727.62</v>
      </c>
      <c r="BJ306" s="13" t="s">
        <v>68</v>
      </c>
      <c r="BK306" s="22"/>
      <c r="BL306" s="105"/>
      <c r="BM306" s="5"/>
      <c r="BN306" s="5"/>
      <c r="BO306" s="52"/>
      <c r="BP306" s="52"/>
      <c r="BQ306" s="52"/>
      <c r="BR306" s="52"/>
      <c r="BS306" s="52"/>
      <c r="BT306" s="52"/>
      <c r="BU306" s="52"/>
      <c r="BV306" s="53"/>
      <c r="BW306" s="13"/>
      <c r="BX306" s="13"/>
      <c r="BY306" s="13"/>
      <c r="BZ306" s="13"/>
      <c r="CA306" s="13"/>
      <c r="CB306" s="1221" t="s">
        <v>1563</v>
      </c>
      <c r="CC306" s="321" t="s">
        <v>459</v>
      </c>
      <c r="CD306" s="526"/>
      <c r="CE306" s="526"/>
      <c r="CF306" s="526"/>
      <c r="CG306" s="526"/>
      <c r="CH306" s="526"/>
      <c r="CI306" s="526"/>
      <c r="CJ306" s="526"/>
      <c r="CK306" s="15"/>
    </row>
    <row r="307" spans="1:89" ht="96.75" hidden="1" customHeight="1">
      <c r="A307"/>
      <c r="B307" s="22"/>
      <c r="C307" s="22"/>
      <c r="D307" s="22"/>
      <c r="E307" s="22" t="s">
        <v>68</v>
      </c>
      <c r="F307" s="22"/>
      <c r="G307" s="915">
        <v>43356</v>
      </c>
      <c r="H307" s="915"/>
      <c r="I307" s="329">
        <v>43350</v>
      </c>
      <c r="J307" s="16">
        <v>2018</v>
      </c>
      <c r="K307" s="1417">
        <v>181.14</v>
      </c>
      <c r="L307" s="1417"/>
      <c r="M307" s="170" t="s">
        <v>77</v>
      </c>
      <c r="N307" s="178" t="s">
        <v>982</v>
      </c>
      <c r="O307" s="2" t="s">
        <v>4032</v>
      </c>
      <c r="P307" s="173" t="s">
        <v>983</v>
      </c>
      <c r="Q307" s="173" t="s">
        <v>3623</v>
      </c>
      <c r="R307" s="174">
        <v>114935.87</v>
      </c>
      <c r="S307" s="589">
        <v>43257</v>
      </c>
      <c r="T307" s="176">
        <v>43273</v>
      </c>
      <c r="U307" s="177">
        <v>43294</v>
      </c>
      <c r="V307" s="22" t="s">
        <v>68</v>
      </c>
      <c r="W307" s="178" t="s">
        <v>1177</v>
      </c>
      <c r="X307" s="170" t="s">
        <v>984</v>
      </c>
      <c r="Y307" s="461" t="s">
        <v>74</v>
      </c>
      <c r="Z307" s="1371"/>
      <c r="AA307" s="115" t="s">
        <v>985</v>
      </c>
      <c r="AB307" s="8">
        <v>43273</v>
      </c>
      <c r="AC307" s="4">
        <v>114935.87</v>
      </c>
      <c r="AD307" s="4"/>
      <c r="AE307" s="32"/>
      <c r="AF307" s="34" t="s">
        <v>68</v>
      </c>
      <c r="AG307" s="112" t="s">
        <v>68</v>
      </c>
      <c r="AH307" s="112" t="s">
        <v>68</v>
      </c>
      <c r="AI307" s="7" t="s">
        <v>68</v>
      </c>
      <c r="AJ307" s="109" t="s">
        <v>68</v>
      </c>
      <c r="AK307" s="350" t="s">
        <v>68</v>
      </c>
      <c r="AL307" s="1" t="s">
        <v>68</v>
      </c>
      <c r="AM307" s="5"/>
      <c r="AN307" s="1" t="s">
        <v>68</v>
      </c>
      <c r="AO307" s="5"/>
      <c r="AP307" s="630" t="s">
        <v>68</v>
      </c>
      <c r="AQ307" s="1"/>
      <c r="AR307" s="279">
        <v>0</v>
      </c>
      <c r="AS307" s="35">
        <v>36822.42</v>
      </c>
      <c r="AT307" s="895">
        <v>77771.02</v>
      </c>
      <c r="AU307" s="884">
        <v>114593.45</v>
      </c>
      <c r="AV307" s="70">
        <v>43276</v>
      </c>
      <c r="AW307" s="11">
        <v>43281</v>
      </c>
      <c r="AX307" s="223" t="s">
        <v>68</v>
      </c>
      <c r="AY307" s="52" t="s">
        <v>492</v>
      </c>
      <c r="AZ307" s="70">
        <v>43281</v>
      </c>
      <c r="BA307" s="5">
        <v>43273</v>
      </c>
      <c r="BB307" s="5">
        <v>43294</v>
      </c>
      <c r="BC307" s="11">
        <v>43281</v>
      </c>
      <c r="BD307" s="70">
        <v>43281</v>
      </c>
      <c r="BE307" s="1614"/>
      <c r="BF307" s="5">
        <v>43273</v>
      </c>
      <c r="BG307" s="5">
        <v>43294</v>
      </c>
      <c r="BH307" s="5">
        <v>43281</v>
      </c>
      <c r="BI307" s="36">
        <f t="shared" si="9"/>
        <v>114593.44</v>
      </c>
      <c r="BJ307" s="13" t="s">
        <v>68</v>
      </c>
      <c r="BK307" s="22"/>
      <c r="BL307" s="105"/>
      <c r="BM307" s="5"/>
      <c r="BN307" s="5"/>
      <c r="BO307" s="52"/>
      <c r="BP307" s="52"/>
      <c r="BQ307" s="52"/>
      <c r="BR307" s="52"/>
      <c r="BS307" s="52"/>
      <c r="BT307" s="52"/>
      <c r="BU307" s="52"/>
      <c r="BV307" s="53"/>
      <c r="BW307" s="13"/>
      <c r="BX307" s="13"/>
      <c r="BY307" s="13"/>
      <c r="BZ307" s="13"/>
      <c r="CA307" s="13"/>
      <c r="CB307" s="1221" t="s">
        <v>1563</v>
      </c>
      <c r="CC307" s="321" t="s">
        <v>459</v>
      </c>
      <c r="CD307" s="526"/>
      <c r="CE307" s="526"/>
      <c r="CF307" s="526"/>
      <c r="CG307" s="526"/>
      <c r="CH307" s="526"/>
      <c r="CI307" s="526"/>
      <c r="CJ307" s="526"/>
      <c r="CK307" s="15"/>
    </row>
    <row r="308" spans="1:89" s="1050" customFormat="1" ht="75.75" hidden="1" customHeight="1">
      <c r="B308" s="1051"/>
      <c r="C308" s="1051"/>
      <c r="D308" s="1051"/>
      <c r="E308" s="1051"/>
      <c r="F308" s="1051"/>
      <c r="G308" s="553"/>
      <c r="H308" s="620"/>
      <c r="I308" s="620"/>
      <c r="J308" s="532">
        <v>2018</v>
      </c>
      <c r="K308" s="1420">
        <v>181.15</v>
      </c>
      <c r="L308" s="1420"/>
      <c r="M308" s="1054" t="s">
        <v>77</v>
      </c>
      <c r="N308" s="1484" t="s">
        <v>986</v>
      </c>
      <c r="O308" s="790" t="s">
        <v>251</v>
      </c>
      <c r="P308" s="1056" t="s">
        <v>987</v>
      </c>
      <c r="Q308" s="1056"/>
      <c r="R308" s="1057">
        <v>88593.05</v>
      </c>
      <c r="S308" s="1058">
        <v>43276</v>
      </c>
      <c r="T308" s="1059">
        <v>43276</v>
      </c>
      <c r="U308" s="1060">
        <v>43288</v>
      </c>
      <c r="V308" s="1051" t="s">
        <v>68</v>
      </c>
      <c r="W308" s="1055" t="s">
        <v>68</v>
      </c>
      <c r="X308" s="1054" t="s">
        <v>68</v>
      </c>
      <c r="Y308" s="1087"/>
      <c r="Z308" s="1378"/>
      <c r="AA308" s="308"/>
      <c r="AB308" s="1063"/>
      <c r="AC308" s="1064"/>
      <c r="AD308" s="1064"/>
      <c r="AE308" s="1065"/>
      <c r="AF308" s="1066" t="s">
        <v>68</v>
      </c>
      <c r="AG308" s="1067" t="s">
        <v>68</v>
      </c>
      <c r="AH308" s="1067" t="s">
        <v>68</v>
      </c>
      <c r="AI308" s="1068" t="s">
        <v>68</v>
      </c>
      <c r="AJ308" s="1069" t="s">
        <v>68</v>
      </c>
      <c r="AK308" s="1479" t="s">
        <v>68</v>
      </c>
      <c r="AL308" s="1070" t="s">
        <v>68</v>
      </c>
      <c r="AM308" s="1071"/>
      <c r="AN308" s="1070" t="s">
        <v>68</v>
      </c>
      <c r="AO308" s="1071"/>
      <c r="AP308" s="1471" t="s">
        <v>68</v>
      </c>
      <c r="AQ308" s="1070"/>
      <c r="AR308" s="1072">
        <v>0</v>
      </c>
      <c r="AS308" s="1073"/>
      <c r="AT308" s="1074"/>
      <c r="AU308" s="1075"/>
      <c r="AV308" s="1479" t="s">
        <v>68</v>
      </c>
      <c r="AW308" s="1077"/>
      <c r="AX308" s="1078"/>
      <c r="AY308" s="1079"/>
      <c r="AZ308" s="1483"/>
      <c r="BA308" s="1070"/>
      <c r="BB308" s="1070"/>
      <c r="BC308" s="1080"/>
      <c r="BD308" s="1483"/>
      <c r="BE308" s="1625"/>
      <c r="BF308" s="1070"/>
      <c r="BG308" s="1070"/>
      <c r="BH308" s="1070"/>
      <c r="BI308" s="1081">
        <f t="shared" si="9"/>
        <v>0</v>
      </c>
      <c r="BJ308" s="1082" t="s">
        <v>68</v>
      </c>
      <c r="BK308" s="1051"/>
      <c r="BL308" s="1061"/>
      <c r="BM308" s="1071"/>
      <c r="BN308" s="1071"/>
      <c r="BO308" s="1079"/>
      <c r="BP308" s="1079"/>
      <c r="BQ308" s="1079"/>
      <c r="BR308" s="1079"/>
      <c r="BS308" s="1079"/>
      <c r="BT308" s="1079"/>
      <c r="BU308" s="1079"/>
      <c r="BV308" s="1475"/>
      <c r="BW308" s="1082"/>
      <c r="BX308" s="1082"/>
      <c r="BY308" s="1082"/>
      <c r="BZ308" s="1082"/>
      <c r="CA308" s="1082"/>
      <c r="CB308" s="1477" t="s">
        <v>1563</v>
      </c>
      <c r="CC308" s="126" t="s">
        <v>478</v>
      </c>
      <c r="CD308" s="789"/>
      <c r="CE308" s="789"/>
      <c r="CF308" s="789"/>
      <c r="CG308" s="789"/>
      <c r="CH308" s="789"/>
      <c r="CI308" s="789"/>
      <c r="CJ308" s="789"/>
      <c r="CK308" s="1086"/>
    </row>
    <row r="309" spans="1:89" ht="105" hidden="1" customHeight="1">
      <c r="A309"/>
      <c r="B309" s="22"/>
      <c r="C309" s="22" t="s">
        <v>969</v>
      </c>
      <c r="D309" s="22"/>
      <c r="E309" s="22" t="s">
        <v>68</v>
      </c>
      <c r="F309" s="22"/>
      <c r="G309" s="915">
        <v>43376</v>
      </c>
      <c r="H309" s="1746"/>
      <c r="I309" s="330">
        <v>43389</v>
      </c>
      <c r="J309" s="16">
        <v>2018</v>
      </c>
      <c r="K309" s="1417">
        <v>181.16</v>
      </c>
      <c r="L309" s="1417"/>
      <c r="M309" s="170" t="s">
        <v>808</v>
      </c>
      <c r="N309" s="178" t="s">
        <v>988</v>
      </c>
      <c r="O309" s="2" t="s">
        <v>4032</v>
      </c>
      <c r="P309" s="173" t="s">
        <v>989</v>
      </c>
      <c r="Q309" s="173" t="s">
        <v>2515</v>
      </c>
      <c r="R309" s="594">
        <v>989000</v>
      </c>
      <c r="S309" s="590">
        <v>43251</v>
      </c>
      <c r="T309" s="176">
        <v>43252</v>
      </c>
      <c r="U309" s="177">
        <v>43311</v>
      </c>
      <c r="V309" s="22" t="s">
        <v>68</v>
      </c>
      <c r="W309" s="178" t="s">
        <v>1177</v>
      </c>
      <c r="X309" s="170" t="s">
        <v>449</v>
      </c>
      <c r="Y309" s="608">
        <v>43249</v>
      </c>
      <c r="Z309" s="1373"/>
      <c r="AA309" s="33" t="s">
        <v>990</v>
      </c>
      <c r="AB309" s="8">
        <v>43166</v>
      </c>
      <c r="AC309" s="4">
        <v>1000000</v>
      </c>
      <c r="AD309" s="79"/>
      <c r="AE309" s="651"/>
      <c r="AF309" s="582" t="s">
        <v>68</v>
      </c>
      <c r="AG309" s="583" t="s">
        <v>68</v>
      </c>
      <c r="AH309" s="583" t="s">
        <v>68</v>
      </c>
      <c r="AI309" s="584" t="s">
        <v>68</v>
      </c>
      <c r="AJ309" s="581" t="s">
        <v>68</v>
      </c>
      <c r="AK309" s="350" t="s">
        <v>68</v>
      </c>
      <c r="AL309" s="1" t="s">
        <v>68</v>
      </c>
      <c r="AM309" s="5"/>
      <c r="AN309" s="1" t="s">
        <v>68</v>
      </c>
      <c r="AO309" s="5"/>
      <c r="AP309" s="630" t="s">
        <v>68</v>
      </c>
      <c r="AQ309" s="1"/>
      <c r="AR309" s="279">
        <v>0</v>
      </c>
      <c r="AS309" s="35">
        <v>290940.76</v>
      </c>
      <c r="AT309" s="895">
        <v>698061.13</v>
      </c>
      <c r="AU309" s="916">
        <v>989001.3</v>
      </c>
      <c r="AV309" s="66" t="s">
        <v>74</v>
      </c>
      <c r="AW309" s="11"/>
      <c r="AX309" s="223"/>
      <c r="AY309" s="52" t="s">
        <v>518</v>
      </c>
      <c r="AZ309" s="70">
        <v>43293</v>
      </c>
      <c r="BA309" s="5">
        <v>43252</v>
      </c>
      <c r="BB309" s="5">
        <v>43301</v>
      </c>
      <c r="BC309" s="11">
        <v>43292</v>
      </c>
      <c r="BD309" s="70">
        <v>43293</v>
      </c>
      <c r="BE309" s="1614"/>
      <c r="BF309" s="5">
        <v>43252</v>
      </c>
      <c r="BG309" s="5">
        <v>43301</v>
      </c>
      <c r="BH309" s="5">
        <v>43292</v>
      </c>
      <c r="BI309" s="36">
        <f t="shared" si="9"/>
        <v>989001.89</v>
      </c>
      <c r="BJ309" s="13" t="s">
        <v>68</v>
      </c>
      <c r="BK309" s="22"/>
      <c r="BL309" s="105"/>
      <c r="BM309" s="5"/>
      <c r="BN309" s="5"/>
      <c r="BO309" s="52"/>
      <c r="BP309" s="52"/>
      <c r="BQ309" s="52"/>
      <c r="BR309" s="52"/>
      <c r="BS309" s="52"/>
      <c r="BT309" s="52"/>
      <c r="BU309" s="52"/>
      <c r="BV309" s="53"/>
      <c r="BW309" s="13" t="s">
        <v>991</v>
      </c>
      <c r="BX309" s="13"/>
      <c r="BY309" s="13"/>
      <c r="BZ309" s="13"/>
      <c r="CA309" s="13"/>
      <c r="CB309" s="1221" t="s">
        <v>1563</v>
      </c>
      <c r="CC309" s="321" t="s">
        <v>459</v>
      </c>
      <c r="CD309" s="526"/>
      <c r="CE309" s="526"/>
      <c r="CF309" s="526"/>
      <c r="CG309" s="526"/>
      <c r="CH309" s="526"/>
      <c r="CI309" s="526"/>
      <c r="CJ309" s="526"/>
      <c r="CK309" s="15"/>
    </row>
    <row r="310" spans="1:89" ht="115.5" hidden="1" customHeight="1">
      <c r="A310"/>
      <c r="B310" s="22"/>
      <c r="C310" s="22" t="s">
        <v>969</v>
      </c>
      <c r="D310" s="22"/>
      <c r="E310" s="22" t="s">
        <v>68</v>
      </c>
      <c r="F310" s="22"/>
      <c r="G310" s="915">
        <v>43376</v>
      </c>
      <c r="H310" s="1746"/>
      <c r="I310" s="330">
        <v>43389</v>
      </c>
      <c r="J310" s="16">
        <v>2018</v>
      </c>
      <c r="K310" s="1417">
        <v>181.17</v>
      </c>
      <c r="L310" s="1417"/>
      <c r="M310" s="170" t="s">
        <v>808</v>
      </c>
      <c r="N310" s="178" t="s">
        <v>992</v>
      </c>
      <c r="O310" s="2" t="s">
        <v>4032</v>
      </c>
      <c r="P310" s="173" t="s">
        <v>993</v>
      </c>
      <c r="Q310" s="173" t="s">
        <v>3623</v>
      </c>
      <c r="R310" s="594">
        <v>900000</v>
      </c>
      <c r="S310" s="589">
        <v>43262</v>
      </c>
      <c r="T310" s="176">
        <v>43266</v>
      </c>
      <c r="U310" s="177">
        <v>43329</v>
      </c>
      <c r="V310" s="22" t="s">
        <v>68</v>
      </c>
      <c r="W310" s="178" t="s">
        <v>1177</v>
      </c>
      <c r="X310" s="170" t="s">
        <v>709</v>
      </c>
      <c r="Y310" s="461" t="s">
        <v>74</v>
      </c>
      <c r="Z310" s="1371"/>
      <c r="AA310" s="115" t="s">
        <v>994</v>
      </c>
      <c r="AB310" s="8">
        <v>43166</v>
      </c>
      <c r="AC310" s="79">
        <v>900000</v>
      </c>
      <c r="AD310" s="79"/>
      <c r="AE310" s="651"/>
      <c r="AF310" s="582" t="s">
        <v>68</v>
      </c>
      <c r="AG310" s="583" t="s">
        <v>68</v>
      </c>
      <c r="AH310" s="583" t="s">
        <v>68</v>
      </c>
      <c r="AI310" s="584" t="s">
        <v>68</v>
      </c>
      <c r="AJ310" s="581" t="s">
        <v>68</v>
      </c>
      <c r="AK310" s="350" t="s">
        <v>68</v>
      </c>
      <c r="AL310" s="1" t="s">
        <v>68</v>
      </c>
      <c r="AM310" s="5"/>
      <c r="AN310" s="1" t="s">
        <v>68</v>
      </c>
      <c r="AO310" s="5"/>
      <c r="AP310" s="630" t="s">
        <v>68</v>
      </c>
      <c r="AQ310" s="1"/>
      <c r="AR310" s="279">
        <v>0</v>
      </c>
      <c r="AS310" s="35">
        <v>138582.01</v>
      </c>
      <c r="AT310" s="895">
        <v>751523.4</v>
      </c>
      <c r="AU310" s="916">
        <v>890105.41</v>
      </c>
      <c r="AV310" s="66" t="s">
        <v>74</v>
      </c>
      <c r="AW310" s="11"/>
      <c r="AX310" s="223"/>
      <c r="AY310" s="52" t="s">
        <v>518</v>
      </c>
      <c r="AZ310" s="70">
        <v>43336</v>
      </c>
      <c r="BA310" s="71">
        <v>43266</v>
      </c>
      <c r="BB310" s="71">
        <v>43330</v>
      </c>
      <c r="BC310" s="127">
        <v>43334</v>
      </c>
      <c r="BD310" s="70">
        <v>43336</v>
      </c>
      <c r="BE310" s="1614"/>
      <c r="BF310" s="5">
        <v>43266</v>
      </c>
      <c r="BG310" s="5">
        <v>43329</v>
      </c>
      <c r="BH310" s="5">
        <v>43334</v>
      </c>
      <c r="BI310" s="36">
        <f t="shared" si="9"/>
        <v>890105.41</v>
      </c>
      <c r="BJ310" s="13" t="s">
        <v>68</v>
      </c>
      <c r="BK310" s="22"/>
      <c r="BL310" s="105"/>
      <c r="BM310" s="5"/>
      <c r="BN310" s="5"/>
      <c r="BO310" s="52"/>
      <c r="BP310" s="52"/>
      <c r="BQ310" s="52"/>
      <c r="BR310" s="52"/>
      <c r="BS310" s="52"/>
      <c r="BT310" s="52"/>
      <c r="BU310" s="52"/>
      <c r="BV310" s="53"/>
      <c r="BW310" s="13" t="s">
        <v>991</v>
      </c>
      <c r="BX310" s="13"/>
      <c r="BY310" s="13"/>
      <c r="BZ310" s="13"/>
      <c r="CA310" s="13"/>
      <c r="CB310" s="1221" t="s">
        <v>1563</v>
      </c>
      <c r="CC310" s="321" t="s">
        <v>459</v>
      </c>
      <c r="CD310" s="526"/>
      <c r="CE310" s="526"/>
      <c r="CF310" s="526"/>
      <c r="CG310" s="526"/>
      <c r="CH310" s="526"/>
      <c r="CI310" s="526"/>
      <c r="CJ310" s="526"/>
      <c r="CK310" s="15"/>
    </row>
    <row r="311" spans="1:89" s="1050" customFormat="1" ht="66" hidden="1" customHeight="1">
      <c r="B311" s="1051"/>
      <c r="C311" s="1051"/>
      <c r="D311" s="1051"/>
      <c r="E311" s="1051" t="s">
        <v>68</v>
      </c>
      <c r="F311" s="1051"/>
      <c r="G311" s="553">
        <v>43363</v>
      </c>
      <c r="H311" s="620"/>
      <c r="I311" s="620">
        <v>43389</v>
      </c>
      <c r="J311" s="532">
        <v>2018</v>
      </c>
      <c r="K311" s="1420">
        <v>181.18</v>
      </c>
      <c r="L311" s="1420"/>
      <c r="M311" s="1054" t="s">
        <v>77</v>
      </c>
      <c r="N311" s="1484" t="s">
        <v>995</v>
      </c>
      <c r="O311" s="790" t="s">
        <v>251</v>
      </c>
      <c r="P311" s="1056" t="s">
        <v>996</v>
      </c>
      <c r="Q311" s="1056"/>
      <c r="R311" s="1057">
        <v>46185.599999999999</v>
      </c>
      <c r="S311" s="1058">
        <v>43326</v>
      </c>
      <c r="T311" s="1059">
        <v>43326</v>
      </c>
      <c r="U311" s="1060">
        <v>43357</v>
      </c>
      <c r="V311" s="1051" t="s">
        <v>68</v>
      </c>
      <c r="W311" s="1055" t="s">
        <v>1177</v>
      </c>
      <c r="X311" s="1054" t="s">
        <v>68</v>
      </c>
      <c r="Y311" s="1062" t="s">
        <v>74</v>
      </c>
      <c r="Z311" s="1377"/>
      <c r="AA311" s="308" t="s">
        <v>997</v>
      </c>
      <c r="AB311" s="1063">
        <v>43325</v>
      </c>
      <c r="AC311" s="1064">
        <v>45185.599999999999</v>
      </c>
      <c r="AD311" s="1064"/>
      <c r="AE311" s="1065"/>
      <c r="AF311" s="1066" t="s">
        <v>68</v>
      </c>
      <c r="AG311" s="1067" t="s">
        <v>68</v>
      </c>
      <c r="AH311" s="1067" t="s">
        <v>68</v>
      </c>
      <c r="AI311" s="1068" t="s">
        <v>68</v>
      </c>
      <c r="AJ311" s="1069" t="s">
        <v>68</v>
      </c>
      <c r="AK311" s="1479" t="s">
        <v>68</v>
      </c>
      <c r="AL311" s="1070" t="s">
        <v>68</v>
      </c>
      <c r="AM311" s="1071"/>
      <c r="AN311" s="1070" t="s">
        <v>68</v>
      </c>
      <c r="AO311" s="1071"/>
      <c r="AP311" s="1471" t="s">
        <v>68</v>
      </c>
      <c r="AQ311" s="1070"/>
      <c r="AR311" s="1072">
        <v>0</v>
      </c>
      <c r="AS311" s="1073"/>
      <c r="AT311" s="1074"/>
      <c r="AU311" s="1075"/>
      <c r="AV311" s="1479" t="s">
        <v>74</v>
      </c>
      <c r="AW311" s="1077"/>
      <c r="AX311" s="1078"/>
      <c r="AY311" s="1079"/>
      <c r="AZ311" s="1483" t="s">
        <v>74</v>
      </c>
      <c r="BA311" s="1070"/>
      <c r="BB311" s="1070"/>
      <c r="BC311" s="1080"/>
      <c r="BD311" s="1483" t="s">
        <v>74</v>
      </c>
      <c r="BE311" s="1625"/>
      <c r="BF311" s="1071"/>
      <c r="BG311" s="1071"/>
      <c r="BH311" s="1071"/>
      <c r="BI311" s="1081">
        <f t="shared" si="9"/>
        <v>0</v>
      </c>
      <c r="BJ311" s="1082" t="s">
        <v>68</v>
      </c>
      <c r="BK311" s="1051"/>
      <c r="BL311" s="1061"/>
      <c r="BM311" s="1071"/>
      <c r="BN311" s="1071"/>
      <c r="BO311" s="1079"/>
      <c r="BP311" s="1079"/>
      <c r="BQ311" s="1079"/>
      <c r="BR311" s="1079"/>
      <c r="BS311" s="1079"/>
      <c r="BT311" s="1079"/>
      <c r="BU311" s="1079"/>
      <c r="BV311" s="1475"/>
      <c r="BW311" s="1082"/>
      <c r="BX311" s="1082"/>
      <c r="BY311" s="1082"/>
      <c r="BZ311" s="1082"/>
      <c r="CA311" s="1082"/>
      <c r="CB311" s="1477" t="s">
        <v>1563</v>
      </c>
      <c r="CC311" s="126" t="s">
        <v>459</v>
      </c>
      <c r="CD311" s="789"/>
      <c r="CE311" s="789"/>
      <c r="CF311" s="789"/>
      <c r="CG311" s="789"/>
      <c r="CH311" s="789"/>
      <c r="CI311" s="789"/>
      <c r="CJ311" s="789"/>
      <c r="CK311" s="1086"/>
    </row>
    <row r="312" spans="1:89" s="1050" customFormat="1" ht="15" hidden="1" customHeight="1">
      <c r="B312" s="1051"/>
      <c r="C312" s="1051"/>
      <c r="D312" s="1051"/>
      <c r="E312" s="1051"/>
      <c r="F312" s="1051"/>
      <c r="G312" s="553"/>
      <c r="H312" s="620"/>
      <c r="I312" s="620"/>
      <c r="J312" s="532">
        <v>2018</v>
      </c>
      <c r="K312" s="1420">
        <v>181.19</v>
      </c>
      <c r="L312" s="1420"/>
      <c r="M312" s="1054"/>
      <c r="N312" s="1484" t="s">
        <v>998</v>
      </c>
      <c r="O312" s="790" t="s">
        <v>251</v>
      </c>
      <c r="P312" s="1056"/>
      <c r="Q312" s="1056"/>
      <c r="R312" s="1057"/>
      <c r="S312" s="1058"/>
      <c r="T312" s="1059"/>
      <c r="U312" s="1060"/>
      <c r="V312" s="1051" t="s">
        <v>68</v>
      </c>
      <c r="W312" s="1055" t="s">
        <v>1177</v>
      </c>
      <c r="X312" s="1054" t="s">
        <v>68</v>
      </c>
      <c r="Y312" s="1087"/>
      <c r="Z312" s="1378"/>
      <c r="AA312" s="308"/>
      <c r="AB312" s="1063"/>
      <c r="AC312" s="1064"/>
      <c r="AD312" s="1064"/>
      <c r="AE312" s="1065"/>
      <c r="AF312" s="1066" t="s">
        <v>68</v>
      </c>
      <c r="AG312" s="1067" t="s">
        <v>68</v>
      </c>
      <c r="AH312" s="1067" t="s">
        <v>68</v>
      </c>
      <c r="AI312" s="1068" t="s">
        <v>68</v>
      </c>
      <c r="AJ312" s="1069" t="s">
        <v>68</v>
      </c>
      <c r="AK312" s="1479" t="s">
        <v>68</v>
      </c>
      <c r="AL312" s="1070" t="s">
        <v>68</v>
      </c>
      <c r="AM312" s="1071"/>
      <c r="AN312" s="1070" t="s">
        <v>68</v>
      </c>
      <c r="AO312" s="1071"/>
      <c r="AP312" s="1471" t="s">
        <v>68</v>
      </c>
      <c r="AQ312" s="1070"/>
      <c r="AR312" s="1072">
        <v>0</v>
      </c>
      <c r="AS312" s="1073"/>
      <c r="AT312" s="1074"/>
      <c r="AU312" s="1075"/>
      <c r="AV312" s="1479"/>
      <c r="AW312" s="1077"/>
      <c r="AX312" s="1078"/>
      <c r="AY312" s="1079"/>
      <c r="AZ312" s="1483"/>
      <c r="BA312" s="1070"/>
      <c r="BB312" s="1070"/>
      <c r="BC312" s="1080"/>
      <c r="BD312" s="1483"/>
      <c r="BE312" s="1625"/>
      <c r="BF312" s="1070"/>
      <c r="BG312" s="1070"/>
      <c r="BH312" s="1070"/>
      <c r="BI312" s="1081">
        <f t="shared" si="9"/>
        <v>0</v>
      </c>
      <c r="BJ312" s="1082" t="s">
        <v>68</v>
      </c>
      <c r="BK312" s="1051"/>
      <c r="BL312" s="1061"/>
      <c r="BM312" s="1071"/>
      <c r="BN312" s="1071"/>
      <c r="BO312" s="1079"/>
      <c r="BP312" s="1079"/>
      <c r="BQ312" s="1079"/>
      <c r="BR312" s="1079"/>
      <c r="BS312" s="1079"/>
      <c r="BT312" s="1079"/>
      <c r="BU312" s="1079"/>
      <c r="BV312" s="1475"/>
      <c r="BW312" s="1082"/>
      <c r="BX312" s="1082"/>
      <c r="BY312" s="1082"/>
      <c r="BZ312" s="1082"/>
      <c r="CA312" s="1082"/>
      <c r="CB312" s="1477" t="s">
        <v>1563</v>
      </c>
      <c r="CC312" s="126" t="s">
        <v>459</v>
      </c>
      <c r="CD312" s="789"/>
      <c r="CE312" s="789"/>
      <c r="CF312" s="789"/>
      <c r="CG312" s="789"/>
      <c r="CH312" s="789"/>
      <c r="CI312" s="789"/>
      <c r="CJ312" s="789"/>
      <c r="CK312" s="1086"/>
    </row>
    <row r="313" spans="1:89" ht="57" hidden="1" customHeight="1">
      <c r="A313"/>
      <c r="B313" s="22"/>
      <c r="C313" s="22"/>
      <c r="D313" s="22"/>
      <c r="E313" s="22" t="s">
        <v>68</v>
      </c>
      <c r="F313" s="22"/>
      <c r="G313" s="915"/>
      <c r="H313" s="1746"/>
      <c r="I313" s="330"/>
      <c r="J313" s="16">
        <v>2018</v>
      </c>
      <c r="K313" s="1417">
        <v>181.2</v>
      </c>
      <c r="L313" s="1417"/>
      <c r="M313" s="170" t="s">
        <v>166</v>
      </c>
      <c r="N313" s="178" t="s">
        <v>999</v>
      </c>
      <c r="O313" s="2" t="s">
        <v>4032</v>
      </c>
      <c r="P313" s="173" t="s">
        <v>1000</v>
      </c>
      <c r="Q313" s="173" t="s">
        <v>1975</v>
      </c>
      <c r="R313" s="594">
        <v>33408</v>
      </c>
      <c r="S313" s="590">
        <v>43349</v>
      </c>
      <c r="T313" s="176">
        <v>43350</v>
      </c>
      <c r="U313" s="177">
        <v>43365</v>
      </c>
      <c r="V313" s="22" t="s">
        <v>68</v>
      </c>
      <c r="W313" s="178" t="s">
        <v>1177</v>
      </c>
      <c r="X313" s="170" t="s">
        <v>68</v>
      </c>
      <c r="Y313" s="461" t="s">
        <v>74</v>
      </c>
      <c r="Z313" s="1371"/>
      <c r="AA313" s="33" t="s">
        <v>68</v>
      </c>
      <c r="AB313" s="8"/>
      <c r="AC313" s="79"/>
      <c r="AD313" s="79"/>
      <c r="AE313" s="651"/>
      <c r="AF313" s="582" t="s">
        <v>68</v>
      </c>
      <c r="AG313" s="583" t="s">
        <v>68</v>
      </c>
      <c r="AH313" s="583" t="s">
        <v>68</v>
      </c>
      <c r="AI313" s="584" t="s">
        <v>68</v>
      </c>
      <c r="AJ313" s="581" t="s">
        <v>68</v>
      </c>
      <c r="AK313" s="350" t="s">
        <v>68</v>
      </c>
      <c r="AL313" s="1" t="s">
        <v>68</v>
      </c>
      <c r="AM313" s="5"/>
      <c r="AN313" s="1" t="s">
        <v>68</v>
      </c>
      <c r="AO313" s="5"/>
      <c r="AP313" s="630" t="s">
        <v>68</v>
      </c>
      <c r="AQ313" s="1"/>
      <c r="AR313" s="279">
        <v>0</v>
      </c>
      <c r="AS313" s="35"/>
      <c r="AT313" s="895"/>
      <c r="AU313" s="884"/>
      <c r="AV313" s="350"/>
      <c r="AW313" s="11"/>
      <c r="AX313" s="223"/>
      <c r="AY313" s="52"/>
      <c r="AZ313" s="652"/>
      <c r="BA313" s="1"/>
      <c r="BB313" s="1"/>
      <c r="BC313" s="17"/>
      <c r="BD313" s="652"/>
      <c r="BE313" s="1626"/>
      <c r="BF313" s="1"/>
      <c r="BG313" s="1"/>
      <c r="BH313" s="1"/>
      <c r="BI313" s="36">
        <f t="shared" si="9"/>
        <v>0</v>
      </c>
      <c r="BJ313" s="13" t="s">
        <v>68</v>
      </c>
      <c r="BK313" s="22"/>
      <c r="BL313" s="105"/>
      <c r="BM313" s="5"/>
      <c r="BN313" s="5"/>
      <c r="BO313" s="52"/>
      <c r="BP313" s="52"/>
      <c r="BQ313" s="52"/>
      <c r="BR313" s="52"/>
      <c r="BS313" s="52"/>
      <c r="BT313" s="52"/>
      <c r="BU313" s="52"/>
      <c r="BV313" s="53"/>
      <c r="BW313" s="13"/>
      <c r="BX313" s="13"/>
      <c r="BY313" s="13"/>
      <c r="BZ313" s="13"/>
      <c r="CA313" s="13"/>
      <c r="CB313" s="1221" t="s">
        <v>1563</v>
      </c>
      <c r="CC313" s="321" t="s">
        <v>459</v>
      </c>
      <c r="CD313" s="526"/>
      <c r="CE313" s="526"/>
      <c r="CF313" s="526"/>
      <c r="CG313" s="526"/>
      <c r="CH313" s="526"/>
      <c r="CI313" s="526"/>
      <c r="CJ313" s="526"/>
      <c r="CK313" s="15"/>
    </row>
    <row r="314" spans="1:89" ht="94.5" hidden="1" customHeight="1">
      <c r="A314" t="s">
        <v>1001</v>
      </c>
      <c r="B314" s="22" t="s">
        <v>68</v>
      </c>
      <c r="C314" s="22" t="s">
        <v>969</v>
      </c>
      <c r="D314" s="22"/>
      <c r="E314" s="22" t="s">
        <v>68</v>
      </c>
      <c r="F314" s="22"/>
      <c r="G314" s="915">
        <v>43412</v>
      </c>
      <c r="H314" s="1746"/>
      <c r="I314" s="330">
        <v>43319</v>
      </c>
      <c r="J314" s="16">
        <v>2018</v>
      </c>
      <c r="K314" s="1417">
        <v>186.01</v>
      </c>
      <c r="L314" s="1417"/>
      <c r="M314" s="170" t="s">
        <v>77</v>
      </c>
      <c r="N314" s="178" t="s">
        <v>1002</v>
      </c>
      <c r="O314" s="172" t="s">
        <v>79</v>
      </c>
      <c r="P314" s="173" t="s">
        <v>1003</v>
      </c>
      <c r="Q314" s="173" t="s">
        <v>1975</v>
      </c>
      <c r="R314" s="174">
        <v>844622.8</v>
      </c>
      <c r="S314" s="590">
        <v>43137</v>
      </c>
      <c r="T314" s="176">
        <v>43137</v>
      </c>
      <c r="U314" s="177">
        <v>43168</v>
      </c>
      <c r="V314" s="608">
        <v>43137</v>
      </c>
      <c r="W314" s="178" t="s">
        <v>925</v>
      </c>
      <c r="X314" s="170" t="s">
        <v>709</v>
      </c>
      <c r="Y314" s="608">
        <v>43133</v>
      </c>
      <c r="Z314" s="1373"/>
      <c r="AA314" s="115" t="s">
        <v>1004</v>
      </c>
      <c r="AB314" s="8">
        <v>43133</v>
      </c>
      <c r="AC314" s="4">
        <v>844622.8</v>
      </c>
      <c r="AD314" s="4"/>
      <c r="AE314" s="32"/>
      <c r="AF314" s="34" t="s">
        <v>68</v>
      </c>
      <c r="AG314" s="112" t="s">
        <v>68</v>
      </c>
      <c r="AH314" s="112" t="s">
        <v>68</v>
      </c>
      <c r="AI314" s="7" t="s">
        <v>68</v>
      </c>
      <c r="AJ314" s="109" t="s">
        <v>68</v>
      </c>
      <c r="AK314" s="115" t="s">
        <v>107</v>
      </c>
      <c r="AL314" s="1" t="s">
        <v>68</v>
      </c>
      <c r="AM314" s="5"/>
      <c r="AN314" s="1" t="s">
        <v>1005</v>
      </c>
      <c r="AO314" s="5">
        <v>43167</v>
      </c>
      <c r="AP314" s="1" t="s">
        <v>1006</v>
      </c>
      <c r="AQ314" s="5">
        <v>43167</v>
      </c>
      <c r="AR314" s="279">
        <f>84462.28+84462.28</f>
        <v>168924.56</v>
      </c>
      <c r="AS314" s="35">
        <v>0</v>
      </c>
      <c r="AT314" s="895">
        <v>844622.8</v>
      </c>
      <c r="AU314" s="884">
        <v>844622.58</v>
      </c>
      <c r="AV314" s="337" t="s">
        <v>74</v>
      </c>
      <c r="AW314" s="11"/>
      <c r="AX314" s="223" t="s">
        <v>68</v>
      </c>
      <c r="AY314" s="52" t="s">
        <v>68</v>
      </c>
      <c r="AZ314" s="339">
        <v>43166</v>
      </c>
      <c r="BA314" s="5">
        <v>43137</v>
      </c>
      <c r="BB314" s="5">
        <v>43168</v>
      </c>
      <c r="BC314" s="11">
        <v>43165</v>
      </c>
      <c r="BD314" s="339">
        <v>43165</v>
      </c>
      <c r="BE314" s="1616"/>
      <c r="BF314" s="5">
        <v>43137</v>
      </c>
      <c r="BG314" s="5">
        <v>43168</v>
      </c>
      <c r="BH314" s="5">
        <v>43165</v>
      </c>
      <c r="BI314" s="36">
        <f t="shared" si="9"/>
        <v>844622.8</v>
      </c>
      <c r="BJ314" s="62">
        <v>43167</v>
      </c>
      <c r="BK314" s="105"/>
      <c r="BL314" s="105"/>
      <c r="BM314" s="5"/>
      <c r="BN314" s="5"/>
      <c r="BO314" s="52"/>
      <c r="BP314" s="52"/>
      <c r="BQ314" s="52"/>
      <c r="BR314" s="52"/>
      <c r="BS314" s="52"/>
      <c r="BT314" s="52"/>
      <c r="BU314" s="52"/>
      <c r="BV314" s="53"/>
      <c r="BW314" s="13"/>
      <c r="BX314" s="13"/>
      <c r="BY314" s="13"/>
      <c r="BZ314" s="13"/>
      <c r="CA314" s="13"/>
      <c r="CB314" s="1221" t="s">
        <v>1563</v>
      </c>
      <c r="CC314" s="321" t="s">
        <v>459</v>
      </c>
      <c r="CD314" s="526"/>
      <c r="CE314" s="526"/>
      <c r="CF314" s="526"/>
      <c r="CG314" s="526"/>
      <c r="CH314" s="526"/>
      <c r="CI314" s="526"/>
      <c r="CJ314" s="526"/>
      <c r="CK314" s="15"/>
    </row>
    <row r="315" spans="1:89" ht="115.5" hidden="1" customHeight="1">
      <c r="A315"/>
      <c r="B315" s="22" t="s">
        <v>68</v>
      </c>
      <c r="C315" s="22" t="s">
        <v>969</v>
      </c>
      <c r="D315" s="22"/>
      <c r="E315" s="22" t="s">
        <v>68</v>
      </c>
      <c r="F315" s="22"/>
      <c r="G315" s="915">
        <v>43441</v>
      </c>
      <c r="H315" s="1746"/>
      <c r="I315" s="330">
        <v>43319</v>
      </c>
      <c r="J315" s="16">
        <v>2018</v>
      </c>
      <c r="K315" s="1417">
        <v>186.02</v>
      </c>
      <c r="L315" s="1417"/>
      <c r="M315" s="170" t="s">
        <v>77</v>
      </c>
      <c r="N315" s="178" t="s">
        <v>1007</v>
      </c>
      <c r="O315" s="172" t="s">
        <v>615</v>
      </c>
      <c r="P315" s="173" t="s">
        <v>1008</v>
      </c>
      <c r="Q315" s="173"/>
      <c r="R315" s="174">
        <v>1341538.44</v>
      </c>
      <c r="S315" s="590">
        <v>43208</v>
      </c>
      <c r="T315" s="176">
        <v>43209</v>
      </c>
      <c r="U315" s="177">
        <v>43239</v>
      </c>
      <c r="V315" s="592" t="s">
        <v>68</v>
      </c>
      <c r="W315" s="178" t="s">
        <v>1009</v>
      </c>
      <c r="X315" s="170" t="s">
        <v>709</v>
      </c>
      <c r="Y315" s="608">
        <v>43188</v>
      </c>
      <c r="Z315" s="1373"/>
      <c r="AA315" s="115" t="s">
        <v>1010</v>
      </c>
      <c r="AB315" s="8">
        <v>43207</v>
      </c>
      <c r="AC315" s="4">
        <v>1341539.8600000001</v>
      </c>
      <c r="AD315" s="4"/>
      <c r="AE315" s="32"/>
      <c r="AF315" s="582">
        <v>43192</v>
      </c>
      <c r="AG315" s="583">
        <v>43200</v>
      </c>
      <c r="AH315" s="583">
        <v>43200</v>
      </c>
      <c r="AI315" s="584">
        <v>43207</v>
      </c>
      <c r="AJ315" s="581">
        <v>43207</v>
      </c>
      <c r="AK315" s="115" t="s">
        <v>1011</v>
      </c>
      <c r="AL315" s="1" t="s">
        <v>1012</v>
      </c>
      <c r="AM315" s="5">
        <v>43208</v>
      </c>
      <c r="AN315" s="1" t="s">
        <v>1013</v>
      </c>
      <c r="AO315" s="5">
        <v>43208</v>
      </c>
      <c r="AP315" s="1" t="s">
        <v>83</v>
      </c>
      <c r="AQ315" s="5"/>
      <c r="AR315" s="279">
        <f>335384.61+134153.84</f>
        <v>469538.44999999995</v>
      </c>
      <c r="AS315" s="35">
        <v>0</v>
      </c>
      <c r="AT315" s="895">
        <v>1341537.18</v>
      </c>
      <c r="AU315" s="884">
        <v>1341537.48</v>
      </c>
      <c r="AV315" s="337" t="s">
        <v>74</v>
      </c>
      <c r="AW315" s="11"/>
      <c r="AX315" s="223" t="s">
        <v>68</v>
      </c>
      <c r="AY315" s="52" t="s">
        <v>68</v>
      </c>
      <c r="AZ315" s="339">
        <v>43241</v>
      </c>
      <c r="BA315" s="5">
        <v>43209</v>
      </c>
      <c r="BB315" s="5">
        <v>43239</v>
      </c>
      <c r="BC315" s="11">
        <v>43238</v>
      </c>
      <c r="BD315" s="339">
        <v>43241</v>
      </c>
      <c r="BE315" s="1616"/>
      <c r="BF315" s="5">
        <v>43209</v>
      </c>
      <c r="BG315" s="5">
        <v>43239</v>
      </c>
      <c r="BH315" s="5">
        <v>43238</v>
      </c>
      <c r="BI315" s="36">
        <f t="shared" si="9"/>
        <v>1341537.18</v>
      </c>
      <c r="BJ315" s="62">
        <v>43241</v>
      </c>
      <c r="BK315" s="105"/>
      <c r="BL315" s="105"/>
      <c r="BM315" s="5"/>
      <c r="BN315" s="5"/>
      <c r="BO315" s="52"/>
      <c r="BP315" s="52"/>
      <c r="BQ315" s="52"/>
      <c r="BR315" s="52"/>
      <c r="BS315" s="52"/>
      <c r="BT315" s="52"/>
      <c r="BU315" s="52"/>
      <c r="BV315" s="53"/>
      <c r="BW315" s="13"/>
      <c r="BX315" s="13"/>
      <c r="BY315" s="13"/>
      <c r="BZ315" s="13"/>
      <c r="CA315" s="13"/>
      <c r="CB315" s="1221" t="s">
        <v>1563</v>
      </c>
      <c r="CC315" s="321" t="s">
        <v>459</v>
      </c>
      <c r="CD315" s="526"/>
      <c r="CE315" s="526"/>
      <c r="CF315" s="526"/>
      <c r="CG315" s="526"/>
      <c r="CH315" s="526"/>
      <c r="CI315" s="526"/>
      <c r="CJ315" s="526"/>
      <c r="CK315" s="15"/>
    </row>
    <row r="316" spans="1:89" ht="115.5" hidden="1" customHeight="1">
      <c r="A316"/>
      <c r="B316" s="22" t="s">
        <v>68</v>
      </c>
      <c r="C316" s="22" t="s">
        <v>969</v>
      </c>
      <c r="D316" s="22"/>
      <c r="E316" s="22" t="s">
        <v>68</v>
      </c>
      <c r="F316" s="22"/>
      <c r="G316" s="915">
        <v>43441</v>
      </c>
      <c r="H316" s="1746"/>
      <c r="I316" s="330">
        <v>43319</v>
      </c>
      <c r="J316" s="16">
        <v>2018</v>
      </c>
      <c r="K316" s="1417">
        <v>186.03</v>
      </c>
      <c r="L316" s="1417"/>
      <c r="M316" s="170" t="s">
        <v>77</v>
      </c>
      <c r="N316" s="178" t="s">
        <v>1014</v>
      </c>
      <c r="O316" s="172" t="s">
        <v>615</v>
      </c>
      <c r="P316" s="173" t="s">
        <v>1015</v>
      </c>
      <c r="Q316" s="173"/>
      <c r="R316" s="174">
        <v>1303478.02</v>
      </c>
      <c r="S316" s="589">
        <v>43208</v>
      </c>
      <c r="T316" s="176">
        <v>43208</v>
      </c>
      <c r="U316" s="177">
        <v>43239</v>
      </c>
      <c r="V316" s="592" t="s">
        <v>68</v>
      </c>
      <c r="W316" s="178" t="s">
        <v>1009</v>
      </c>
      <c r="X316" s="170" t="s">
        <v>709</v>
      </c>
      <c r="Y316" s="608">
        <v>43188</v>
      </c>
      <c r="Z316" s="1373"/>
      <c r="AA316" s="115" t="s">
        <v>1016</v>
      </c>
      <c r="AB316" s="8">
        <v>43207</v>
      </c>
      <c r="AC316" s="4">
        <v>1303601.1200000001</v>
      </c>
      <c r="AD316" s="4"/>
      <c r="AE316" s="32"/>
      <c r="AF316" s="708">
        <v>43192</v>
      </c>
      <c r="AG316" s="583">
        <v>43200</v>
      </c>
      <c r="AH316" s="583">
        <v>43200</v>
      </c>
      <c r="AI316" s="584">
        <v>43207</v>
      </c>
      <c r="AJ316" s="581">
        <v>43207</v>
      </c>
      <c r="AK316" s="617" t="s">
        <v>1017</v>
      </c>
      <c r="AL316" s="219"/>
      <c r="AM316" s="5"/>
      <c r="AN316" s="1" t="s">
        <v>1018</v>
      </c>
      <c r="AO316" s="5">
        <v>43208</v>
      </c>
      <c r="AP316" s="1" t="s">
        <v>83</v>
      </c>
      <c r="AQ316" s="1"/>
      <c r="AR316" s="279">
        <f>130347.8</f>
        <v>130347.8</v>
      </c>
      <c r="AS316" s="35">
        <v>0</v>
      </c>
      <c r="AT316" s="895">
        <v>1303477.3400000001</v>
      </c>
      <c r="AU316" s="916">
        <v>1338864</v>
      </c>
      <c r="AV316" s="337" t="s">
        <v>74</v>
      </c>
      <c r="AW316" s="11"/>
      <c r="AX316" s="223" t="s">
        <v>68</v>
      </c>
      <c r="AY316" s="52" t="s">
        <v>68</v>
      </c>
      <c r="AZ316" s="339">
        <v>43241</v>
      </c>
      <c r="BA316" s="71">
        <v>43209</v>
      </c>
      <c r="BB316" s="71">
        <v>43239</v>
      </c>
      <c r="BC316" s="127">
        <v>43238</v>
      </c>
      <c r="BD316" s="339">
        <v>43241</v>
      </c>
      <c r="BE316" s="1616"/>
      <c r="BF316" s="5">
        <v>43209</v>
      </c>
      <c r="BG316" s="5">
        <v>43239</v>
      </c>
      <c r="BH316" s="5">
        <v>43238</v>
      </c>
      <c r="BI316" s="36">
        <f t="shared" si="9"/>
        <v>1303477.3400000001</v>
      </c>
      <c r="BJ316" s="62">
        <v>43241</v>
      </c>
      <c r="BK316" s="105"/>
      <c r="BL316" s="676"/>
      <c r="BM316" s="474"/>
      <c r="BN316" s="474"/>
      <c r="BO316" s="880"/>
      <c r="BP316" s="880"/>
      <c r="BQ316" s="880"/>
      <c r="BR316" s="880"/>
      <c r="BS316" s="880"/>
      <c r="BT316" s="880"/>
      <c r="BU316" s="880"/>
      <c r="BV316" s="692"/>
      <c r="BW316" s="13"/>
      <c r="BX316" s="13"/>
      <c r="BY316" s="13"/>
      <c r="BZ316" s="13"/>
      <c r="CA316" s="13"/>
      <c r="CB316" s="1221" t="s">
        <v>1563</v>
      </c>
      <c r="CC316" s="321" t="s">
        <v>459</v>
      </c>
      <c r="CD316" s="526"/>
      <c r="CE316" s="526"/>
      <c r="CF316" s="526"/>
      <c r="CG316" s="526"/>
      <c r="CH316" s="526"/>
      <c r="CI316" s="526"/>
      <c r="CJ316" s="526"/>
      <c r="CK316" s="15"/>
    </row>
    <row r="317" spans="1:89" ht="82.5" hidden="1" customHeight="1">
      <c r="A317"/>
      <c r="B317" s="22"/>
      <c r="C317" s="22" t="s">
        <v>969</v>
      </c>
      <c r="D317" s="22"/>
      <c r="E317" s="22" t="s">
        <v>68</v>
      </c>
      <c r="F317" s="22"/>
      <c r="G317" s="915">
        <v>43530</v>
      </c>
      <c r="H317" s="1746"/>
      <c r="I317" s="330">
        <v>43389</v>
      </c>
      <c r="J317" s="16">
        <v>2018</v>
      </c>
      <c r="K317" s="1417">
        <v>186.04</v>
      </c>
      <c r="L317" s="1417"/>
      <c r="M317" s="170" t="s">
        <v>166</v>
      </c>
      <c r="N317" s="178" t="s">
        <v>1019</v>
      </c>
      <c r="O317" s="172" t="s">
        <v>79</v>
      </c>
      <c r="P317" s="173" t="s">
        <v>1020</v>
      </c>
      <c r="Q317" s="173" t="s">
        <v>1975</v>
      </c>
      <c r="R317" s="174">
        <v>500000</v>
      </c>
      <c r="S317" s="589">
        <v>43224</v>
      </c>
      <c r="T317" s="176">
        <v>43228</v>
      </c>
      <c r="U317" s="177">
        <v>43321</v>
      </c>
      <c r="V317" s="346">
        <v>43209</v>
      </c>
      <c r="W317" s="178" t="s">
        <v>256</v>
      </c>
      <c r="X317" s="170" t="s">
        <v>984</v>
      </c>
      <c r="Y317" s="608">
        <v>43304</v>
      </c>
      <c r="Z317" s="1373"/>
      <c r="AA317" s="344" t="s">
        <v>1021</v>
      </c>
      <c r="AB317" s="8">
        <v>43207</v>
      </c>
      <c r="AC317" s="4">
        <v>1464210.09</v>
      </c>
      <c r="AD317" s="4"/>
      <c r="AE317" s="32"/>
      <c r="AF317" s="582" t="s">
        <v>68</v>
      </c>
      <c r="AG317" s="583" t="s">
        <v>68</v>
      </c>
      <c r="AH317" s="583" t="s">
        <v>68</v>
      </c>
      <c r="AI317" s="584" t="s">
        <v>68</v>
      </c>
      <c r="AJ317" s="581" t="s">
        <v>68</v>
      </c>
      <c r="AK317" s="617" t="s">
        <v>107</v>
      </c>
      <c r="AL317" s="1" t="s">
        <v>1022</v>
      </c>
      <c r="AM317" s="5">
        <v>43224</v>
      </c>
      <c r="AN317" s="219"/>
      <c r="AO317" s="5"/>
      <c r="AP317" s="219"/>
      <c r="AQ317" s="1"/>
      <c r="AR317" s="279">
        <f>125000</f>
        <v>125000</v>
      </c>
      <c r="AS317" s="35">
        <v>0</v>
      </c>
      <c r="AT317" s="902"/>
      <c r="AU317" s="916">
        <v>1244416.03</v>
      </c>
      <c r="AV317" s="337" t="s">
        <v>74</v>
      </c>
      <c r="AW317" s="11"/>
      <c r="AX317" s="223" t="s">
        <v>68</v>
      </c>
      <c r="AY317" s="52" t="s">
        <v>68</v>
      </c>
      <c r="AZ317" s="337" t="s">
        <v>74</v>
      </c>
      <c r="BA317" s="1"/>
      <c r="BB317" s="1"/>
      <c r="BC317" s="17"/>
      <c r="BD317" s="337" t="s">
        <v>74</v>
      </c>
      <c r="BE317" s="1619"/>
      <c r="BF317" s="5"/>
      <c r="BG317" s="5"/>
      <c r="BH317" s="5"/>
      <c r="BI317" s="36">
        <f t="shared" si="9"/>
        <v>0</v>
      </c>
      <c r="BJ317" s="13"/>
      <c r="BK317" s="22"/>
      <c r="BL317" s="105"/>
      <c r="BM317" s="5"/>
      <c r="BN317" s="5"/>
      <c r="BO317" s="52"/>
      <c r="BP317" s="52"/>
      <c r="BQ317" s="52"/>
      <c r="BR317" s="52"/>
      <c r="BS317" s="52"/>
      <c r="BT317" s="52"/>
      <c r="BU317" s="52"/>
      <c r="BV317" s="53"/>
      <c r="BW317" s="13"/>
      <c r="BX317" s="13"/>
      <c r="BY317" s="13"/>
      <c r="BZ317" s="13"/>
      <c r="CA317" s="13"/>
      <c r="CB317" s="1221" t="s">
        <v>1563</v>
      </c>
      <c r="CC317" s="321" t="s">
        <v>459</v>
      </c>
      <c r="CD317" s="526"/>
      <c r="CE317" s="526"/>
      <c r="CF317" s="526"/>
      <c r="CG317" s="526"/>
      <c r="CH317" s="526"/>
      <c r="CI317" s="526"/>
      <c r="CJ317" s="526"/>
      <c r="CK317" s="15"/>
    </row>
    <row r="318" spans="1:89" ht="105" hidden="1" customHeight="1">
      <c r="A318"/>
      <c r="B318" s="22" t="s">
        <v>68</v>
      </c>
      <c r="C318" s="22" t="s">
        <v>969</v>
      </c>
      <c r="D318" s="22"/>
      <c r="E318" s="22" t="s">
        <v>68</v>
      </c>
      <c r="F318" s="22"/>
      <c r="G318" s="915">
        <v>43432</v>
      </c>
      <c r="H318" s="1746"/>
      <c r="I318" s="330">
        <v>43389</v>
      </c>
      <c r="J318" s="16">
        <v>2018</v>
      </c>
      <c r="K318" s="1417">
        <v>186.05</v>
      </c>
      <c r="L318" s="1417"/>
      <c r="M318" s="170" t="s">
        <v>77</v>
      </c>
      <c r="N318" s="178" t="s">
        <v>1023</v>
      </c>
      <c r="O318" s="172" t="s">
        <v>79</v>
      </c>
      <c r="P318" s="173" t="s">
        <v>1024</v>
      </c>
      <c r="Q318" s="173" t="s">
        <v>4409</v>
      </c>
      <c r="R318" s="174">
        <v>688990.42</v>
      </c>
      <c r="S318" s="590">
        <v>43221</v>
      </c>
      <c r="T318" s="176">
        <v>43224</v>
      </c>
      <c r="U318" s="177">
        <v>43285</v>
      </c>
      <c r="V318" s="105">
        <v>43221</v>
      </c>
      <c r="W318" s="178" t="s">
        <v>637</v>
      </c>
      <c r="X318" s="18" t="s">
        <v>3047</v>
      </c>
      <c r="Y318" s="608">
        <v>43222</v>
      </c>
      <c r="Z318" s="1373"/>
      <c r="AA318" s="33" t="s">
        <v>1025</v>
      </c>
      <c r="AB318" s="8">
        <v>43220</v>
      </c>
      <c r="AC318" s="4">
        <v>490571.87</v>
      </c>
      <c r="AD318" s="4"/>
      <c r="AE318" s="32">
        <v>198418.55</v>
      </c>
      <c r="AF318" s="34" t="s">
        <v>68</v>
      </c>
      <c r="AG318" s="112" t="s">
        <v>68</v>
      </c>
      <c r="AH318" s="112" t="s">
        <v>68</v>
      </c>
      <c r="AI318" s="7" t="s">
        <v>68</v>
      </c>
      <c r="AJ318" s="109" t="s">
        <v>68</v>
      </c>
      <c r="AK318" s="115" t="s">
        <v>855</v>
      </c>
      <c r="AL318" s="1" t="s">
        <v>68</v>
      </c>
      <c r="AM318" s="5"/>
      <c r="AN318" s="218" t="s">
        <v>74</v>
      </c>
      <c r="AO318" s="5"/>
      <c r="AP318" s="1">
        <v>18799776742</v>
      </c>
      <c r="AQ318" s="5">
        <v>43279</v>
      </c>
      <c r="AR318" s="279">
        <f>68899.04</f>
        <v>68899.039999999994</v>
      </c>
      <c r="AS318" s="35">
        <v>0</v>
      </c>
      <c r="AT318" s="895">
        <v>566169.56000000006</v>
      </c>
      <c r="AU318" s="916">
        <v>738425.55</v>
      </c>
      <c r="AV318" s="339">
        <v>43227</v>
      </c>
      <c r="AW318" s="11">
        <v>43279</v>
      </c>
      <c r="AX318" s="223" t="s">
        <v>68</v>
      </c>
      <c r="AY318" s="52" t="s">
        <v>68</v>
      </c>
      <c r="AZ318" s="339">
        <v>43279</v>
      </c>
      <c r="BA318" s="71">
        <v>43224</v>
      </c>
      <c r="BB318" s="71">
        <v>43285</v>
      </c>
      <c r="BC318" s="17"/>
      <c r="BD318" s="345">
        <v>43280</v>
      </c>
      <c r="BE318" s="1617"/>
      <c r="BF318" s="5">
        <v>43224</v>
      </c>
      <c r="BG318" s="5">
        <v>43285</v>
      </c>
      <c r="BH318" s="5">
        <v>43279</v>
      </c>
      <c r="BI318" s="36">
        <f t="shared" si="9"/>
        <v>566169.56000000006</v>
      </c>
      <c r="BJ318" s="62">
        <v>43279</v>
      </c>
      <c r="BK318" s="105"/>
      <c r="BL318" s="105">
        <v>43220</v>
      </c>
      <c r="BM318" s="5">
        <v>43227</v>
      </c>
      <c r="BN318" s="5">
        <v>43227</v>
      </c>
      <c r="BO318" s="52"/>
      <c r="BP318" s="52"/>
      <c r="BQ318" s="52"/>
      <c r="BR318" s="52"/>
      <c r="BS318" s="52">
        <v>43279</v>
      </c>
      <c r="BT318" s="52"/>
      <c r="BU318" s="52"/>
      <c r="BV318" s="53" t="s">
        <v>68</v>
      </c>
      <c r="BW318" s="13"/>
      <c r="BX318" s="13"/>
      <c r="BY318" s="13"/>
      <c r="BZ318" s="13"/>
      <c r="CA318" s="13"/>
      <c r="CB318" s="1221" t="s">
        <v>1563</v>
      </c>
      <c r="CC318" s="321" t="s">
        <v>459</v>
      </c>
      <c r="CD318" s="526"/>
      <c r="CE318" s="526"/>
      <c r="CF318" s="526"/>
      <c r="CG318" s="526"/>
      <c r="CH318" s="526"/>
      <c r="CI318" s="526"/>
      <c r="CJ318" s="526"/>
      <c r="CK318" s="15"/>
    </row>
    <row r="319" spans="1:89" ht="93.75" hidden="1" customHeight="1">
      <c r="A319"/>
      <c r="B319" s="22"/>
      <c r="C319" s="22"/>
      <c r="D319" s="22"/>
      <c r="E319" s="22" t="s">
        <v>68</v>
      </c>
      <c r="F319" s="22"/>
      <c r="G319" s="915">
        <v>43356</v>
      </c>
      <c r="H319" s="1746"/>
      <c r="I319" s="330">
        <v>43325</v>
      </c>
      <c r="J319" s="16">
        <v>2018</v>
      </c>
      <c r="K319" s="1417">
        <v>186.06</v>
      </c>
      <c r="L319" s="1417"/>
      <c r="M319" s="170" t="s">
        <v>77</v>
      </c>
      <c r="N319" s="971" t="s">
        <v>1026</v>
      </c>
      <c r="O319" s="172" t="s">
        <v>79</v>
      </c>
      <c r="P319" s="173" t="s">
        <v>1027</v>
      </c>
      <c r="Q319" s="173" t="s">
        <v>4409</v>
      </c>
      <c r="R319" s="174">
        <v>343705.8</v>
      </c>
      <c r="S319" s="654">
        <v>43255</v>
      </c>
      <c r="T319" s="176">
        <v>43257</v>
      </c>
      <c r="U319" s="177">
        <v>43322</v>
      </c>
      <c r="V319" s="346">
        <v>43252</v>
      </c>
      <c r="W319" s="178" t="s">
        <v>1028</v>
      </c>
      <c r="X319" s="170" t="s">
        <v>984</v>
      </c>
      <c r="Y319" s="611">
        <v>43252</v>
      </c>
      <c r="Z319" s="1372"/>
      <c r="AA319" s="344" t="s">
        <v>1029</v>
      </c>
      <c r="AB319" s="8">
        <v>43207</v>
      </c>
      <c r="AC319" s="4">
        <v>508088.36</v>
      </c>
      <c r="AD319" s="4"/>
      <c r="AE319" s="32"/>
      <c r="AF319" s="34" t="s">
        <v>68</v>
      </c>
      <c r="AG319" s="112" t="s">
        <v>68</v>
      </c>
      <c r="AH319" s="112" t="s">
        <v>68</v>
      </c>
      <c r="AI319" s="7" t="s">
        <v>68</v>
      </c>
      <c r="AJ319" s="109" t="s">
        <v>68</v>
      </c>
      <c r="AK319" s="115" t="s">
        <v>1030</v>
      </c>
      <c r="AL319" s="1" t="s">
        <v>68</v>
      </c>
      <c r="AM319" s="5"/>
      <c r="AN319" s="1" t="s">
        <v>1031</v>
      </c>
      <c r="AO319" s="5">
        <v>43255</v>
      </c>
      <c r="AP319" s="2" t="s">
        <v>1032</v>
      </c>
      <c r="AQ319" s="5">
        <v>43322</v>
      </c>
      <c r="AR319" s="279">
        <f>34370.58+34370.58</f>
        <v>68741.16</v>
      </c>
      <c r="AS319" s="35">
        <v>0</v>
      </c>
      <c r="AT319" s="895">
        <v>343705.79</v>
      </c>
      <c r="AU319" s="884">
        <v>343705.79</v>
      </c>
      <c r="AV319" s="339">
        <v>43262</v>
      </c>
      <c r="AW319" s="11">
        <v>43315</v>
      </c>
      <c r="AX319" s="223" t="s">
        <v>68</v>
      </c>
      <c r="AY319" s="52" t="s">
        <v>68</v>
      </c>
      <c r="AZ319" s="339">
        <v>43315</v>
      </c>
      <c r="BA319" s="5">
        <v>43257</v>
      </c>
      <c r="BB319" s="5">
        <v>43322</v>
      </c>
      <c r="BC319" s="11">
        <v>43315</v>
      </c>
      <c r="BD319" s="339">
        <v>43315</v>
      </c>
      <c r="BE319" s="1616"/>
      <c r="BF319" s="71">
        <v>43257</v>
      </c>
      <c r="BG319" s="71">
        <v>43322</v>
      </c>
      <c r="BH319" s="71">
        <v>43315</v>
      </c>
      <c r="BI319" s="129">
        <f t="shared" si="9"/>
        <v>343705.79</v>
      </c>
      <c r="BJ319" s="62">
        <v>43318</v>
      </c>
      <c r="BK319" s="105"/>
      <c r="BL319" s="105"/>
      <c r="BM319" s="5"/>
      <c r="BN319" s="5"/>
      <c r="BO319" s="52"/>
      <c r="BP319" s="52"/>
      <c r="BQ319" s="52"/>
      <c r="BR319" s="52"/>
      <c r="BS319" s="52"/>
      <c r="BT319" s="52"/>
      <c r="BU319" s="52"/>
      <c r="BV319" s="53"/>
      <c r="BW319" s="13"/>
      <c r="BX319" s="13"/>
      <c r="BY319" s="13"/>
      <c r="BZ319" s="13"/>
      <c r="CA319" s="13"/>
      <c r="CB319" s="1221" t="s">
        <v>1563</v>
      </c>
      <c r="CC319" s="586" t="s">
        <v>454</v>
      </c>
      <c r="CD319" s="526"/>
      <c r="CE319" s="526"/>
      <c r="CF319" s="526"/>
      <c r="CG319" s="526"/>
      <c r="CH319" s="526"/>
      <c r="CI319" s="526"/>
      <c r="CJ319" s="526"/>
      <c r="CK319" s="15"/>
    </row>
    <row r="320" spans="1:89" s="1050" customFormat="1" ht="15" hidden="1" customHeight="1">
      <c r="B320" s="1051"/>
      <c r="C320" s="1051"/>
      <c r="D320" s="1051"/>
      <c r="E320" s="1051"/>
      <c r="F320" s="1051"/>
      <c r="G320" s="553"/>
      <c r="H320" s="620"/>
      <c r="I320" s="620"/>
      <c r="J320" s="532">
        <v>2018</v>
      </c>
      <c r="K320" s="1420">
        <v>186.07</v>
      </c>
      <c r="L320" s="1420"/>
      <c r="M320" s="1054"/>
      <c r="N320" s="1484" t="s">
        <v>1033</v>
      </c>
      <c r="O320" s="790" t="s">
        <v>251</v>
      </c>
      <c r="P320" s="1056"/>
      <c r="Q320" s="1056"/>
      <c r="R320" s="1057"/>
      <c r="S320" s="1058"/>
      <c r="T320" s="1059"/>
      <c r="U320" s="1060"/>
      <c r="V320" s="1051"/>
      <c r="W320" s="1055" t="s">
        <v>68</v>
      </c>
      <c r="X320" s="1054" t="s">
        <v>68</v>
      </c>
      <c r="Y320" s="1087"/>
      <c r="Z320" s="1378"/>
      <c r="AA320" s="308"/>
      <c r="AB320" s="1063"/>
      <c r="AC320" s="1064"/>
      <c r="AD320" s="1064"/>
      <c r="AE320" s="1065"/>
      <c r="AF320" s="1066"/>
      <c r="AG320" s="1067"/>
      <c r="AH320" s="1067"/>
      <c r="AI320" s="1068"/>
      <c r="AJ320" s="1069"/>
      <c r="AK320" s="308"/>
      <c r="AL320" s="1070"/>
      <c r="AM320" s="1071"/>
      <c r="AN320" s="1070"/>
      <c r="AO320" s="1071"/>
      <c r="AP320" s="1070"/>
      <c r="AQ320" s="1070"/>
      <c r="AR320" s="1072"/>
      <c r="AS320" s="1073">
        <v>0</v>
      </c>
      <c r="AT320" s="1074"/>
      <c r="AU320" s="1075"/>
      <c r="AV320" s="1076"/>
      <c r="AW320" s="1077"/>
      <c r="AX320" s="1078"/>
      <c r="AY320" s="1079"/>
      <c r="AZ320" s="829"/>
      <c r="BA320" s="1070"/>
      <c r="BB320" s="1070"/>
      <c r="BC320" s="1080"/>
      <c r="BD320" s="829"/>
      <c r="BE320" s="1473"/>
      <c r="BF320" s="1070"/>
      <c r="BG320" s="1070"/>
      <c r="BH320" s="1070"/>
      <c r="BI320" s="1081">
        <f t="shared" si="9"/>
        <v>0</v>
      </c>
      <c r="BJ320" s="1082"/>
      <c r="BK320" s="1051"/>
      <c r="BL320" s="1061"/>
      <c r="BM320" s="1071"/>
      <c r="BN320" s="1071"/>
      <c r="BO320" s="1079"/>
      <c r="BP320" s="1079"/>
      <c r="BQ320" s="1079"/>
      <c r="BR320" s="1079"/>
      <c r="BS320" s="1079"/>
      <c r="BT320" s="1079"/>
      <c r="BU320" s="1079"/>
      <c r="BV320" s="1475"/>
      <c r="BW320" s="1082"/>
      <c r="BX320" s="1082"/>
      <c r="BY320" s="1082"/>
      <c r="BZ320" s="1082"/>
      <c r="CA320" s="1082"/>
      <c r="CB320" s="1477" t="s">
        <v>1563</v>
      </c>
      <c r="CC320" s="126" t="s">
        <v>478</v>
      </c>
      <c r="CD320" s="789"/>
      <c r="CE320" s="789"/>
      <c r="CF320" s="789"/>
      <c r="CG320" s="789"/>
      <c r="CH320" s="789"/>
      <c r="CI320" s="789"/>
      <c r="CJ320" s="789"/>
      <c r="CK320" s="1086"/>
    </row>
    <row r="321" spans="2:89" customFormat="1" ht="94.5" hidden="1" customHeight="1">
      <c r="B321" s="22" t="s">
        <v>68</v>
      </c>
      <c r="C321" s="22"/>
      <c r="D321" s="22"/>
      <c r="E321" s="22" t="s">
        <v>68</v>
      </c>
      <c r="F321" s="22"/>
      <c r="G321" s="915">
        <v>43441</v>
      </c>
      <c r="H321" s="1746"/>
      <c r="I321" s="330">
        <v>43389</v>
      </c>
      <c r="J321" s="16">
        <v>2018</v>
      </c>
      <c r="K321" s="1417">
        <v>186.08</v>
      </c>
      <c r="L321" s="1417"/>
      <c r="M321" s="170" t="s">
        <v>77</v>
      </c>
      <c r="N321" s="178" t="s">
        <v>1034</v>
      </c>
      <c r="O321" s="172" t="s">
        <v>79</v>
      </c>
      <c r="P321" s="173" t="s">
        <v>1035</v>
      </c>
      <c r="Q321" s="173" t="s">
        <v>4409</v>
      </c>
      <c r="R321" s="174">
        <v>142361.85</v>
      </c>
      <c r="S321" s="589">
        <v>43222</v>
      </c>
      <c r="T321" s="176">
        <v>43224</v>
      </c>
      <c r="U321" s="177">
        <v>43255</v>
      </c>
      <c r="V321" s="608">
        <v>43221</v>
      </c>
      <c r="W321" s="178" t="s">
        <v>637</v>
      </c>
      <c r="X321" s="18" t="s">
        <v>3047</v>
      </c>
      <c r="Y321" s="608">
        <v>43252</v>
      </c>
      <c r="Z321" s="1373"/>
      <c r="AA321" s="115" t="s">
        <v>1036</v>
      </c>
      <c r="AB321" s="8">
        <v>43220</v>
      </c>
      <c r="AC321" s="4">
        <v>142361.85</v>
      </c>
      <c r="AD321" s="4"/>
      <c r="AE321" s="32"/>
      <c r="AF321" s="34" t="s">
        <v>68</v>
      </c>
      <c r="AG321" s="112" t="s">
        <v>68</v>
      </c>
      <c r="AH321" s="112" t="s">
        <v>68</v>
      </c>
      <c r="AI321" s="7" t="s">
        <v>68</v>
      </c>
      <c r="AJ321" s="109" t="s">
        <v>68</v>
      </c>
      <c r="AK321" s="115" t="s">
        <v>855</v>
      </c>
      <c r="AL321" s="1" t="s">
        <v>68</v>
      </c>
      <c r="AM321" s="5"/>
      <c r="AN321" s="1">
        <v>18987657</v>
      </c>
      <c r="AO321" s="5">
        <v>43231</v>
      </c>
      <c r="AP321" s="1">
        <v>1899776543</v>
      </c>
      <c r="AQ321" s="5">
        <v>43231</v>
      </c>
      <c r="AR321" s="279">
        <f>196941.6+196941.6</f>
        <v>393883.2</v>
      </c>
      <c r="AS321" s="35">
        <v>0</v>
      </c>
      <c r="AT321" s="895">
        <v>142049.75</v>
      </c>
      <c r="AU321" s="884">
        <v>142049.75</v>
      </c>
      <c r="AV321" s="337" t="s">
        <v>74</v>
      </c>
      <c r="AW321" s="11"/>
      <c r="AX321" s="223" t="s">
        <v>68</v>
      </c>
      <c r="AY321" s="52" t="s">
        <v>68</v>
      </c>
      <c r="AZ321" s="345">
        <v>43231</v>
      </c>
      <c r="BA321" s="325">
        <v>43224</v>
      </c>
      <c r="BB321" s="325">
        <v>43224</v>
      </c>
      <c r="BC321" s="17"/>
      <c r="BD321" s="345">
        <v>43170</v>
      </c>
      <c r="BE321" s="1617"/>
      <c r="BF321" s="5">
        <v>43224</v>
      </c>
      <c r="BG321" s="5">
        <v>43255</v>
      </c>
      <c r="BH321" s="5">
        <v>43230</v>
      </c>
      <c r="BI321" s="36">
        <f t="shared" si="9"/>
        <v>142049.75</v>
      </c>
      <c r="BJ321" s="202"/>
      <c r="BK321" s="1362"/>
      <c r="BL321" s="105">
        <v>43220</v>
      </c>
      <c r="BM321" s="5">
        <v>43223</v>
      </c>
      <c r="BN321" s="5">
        <v>43224</v>
      </c>
      <c r="BO321" s="52"/>
      <c r="BP321" s="52"/>
      <c r="BQ321" s="52"/>
      <c r="BR321" s="52"/>
      <c r="BS321" s="52">
        <v>43231</v>
      </c>
      <c r="BT321" s="52"/>
      <c r="BU321" s="52"/>
      <c r="BV321" s="53" t="s">
        <v>68</v>
      </c>
      <c r="BW321" s="13"/>
      <c r="BX321" s="13"/>
      <c r="BY321" s="13"/>
      <c r="BZ321" s="13"/>
      <c r="CA321" s="13"/>
      <c r="CB321" s="1221" t="s">
        <v>1563</v>
      </c>
      <c r="CC321" s="321" t="s">
        <v>459</v>
      </c>
      <c r="CD321" s="526"/>
      <c r="CE321" s="526"/>
      <c r="CF321" s="526"/>
      <c r="CG321" s="526"/>
      <c r="CH321" s="526"/>
      <c r="CI321" s="526"/>
      <c r="CJ321" s="526"/>
      <c r="CK321" s="15"/>
    </row>
    <row r="322" spans="2:89" customFormat="1" ht="117.75" hidden="1" customHeight="1">
      <c r="B322" s="22"/>
      <c r="C322" s="22" t="s">
        <v>969</v>
      </c>
      <c r="D322" s="22"/>
      <c r="E322" s="22" t="s">
        <v>68</v>
      </c>
      <c r="F322" s="22"/>
      <c r="G322" s="915">
        <v>43382</v>
      </c>
      <c r="H322" s="1746"/>
      <c r="I322" s="330">
        <v>43325</v>
      </c>
      <c r="J322" s="16">
        <v>2018</v>
      </c>
      <c r="K322" s="1417">
        <v>186.09</v>
      </c>
      <c r="L322" s="1417"/>
      <c r="M322" s="170" t="s">
        <v>64</v>
      </c>
      <c r="N322" s="178" t="s">
        <v>1037</v>
      </c>
      <c r="O322" s="172" t="s">
        <v>79</v>
      </c>
      <c r="P322" s="173" t="s">
        <v>1038</v>
      </c>
      <c r="Q322" s="173" t="s">
        <v>1975</v>
      </c>
      <c r="R322" s="174">
        <v>526676.22</v>
      </c>
      <c r="S322" s="589">
        <v>43253</v>
      </c>
      <c r="T322" s="609">
        <v>43261</v>
      </c>
      <c r="U322" s="610">
        <v>43322</v>
      </c>
      <c r="V322" s="68">
        <v>43252</v>
      </c>
      <c r="W322" s="178" t="s">
        <v>1039</v>
      </c>
      <c r="X322" s="170" t="s">
        <v>709</v>
      </c>
      <c r="Y322" s="592" t="s">
        <v>68</v>
      </c>
      <c r="Z322" s="1374"/>
      <c r="AA322" s="115" t="s">
        <v>1040</v>
      </c>
      <c r="AB322" s="8">
        <v>43166</v>
      </c>
      <c r="AC322" s="4">
        <v>2724218.37</v>
      </c>
      <c r="AD322" s="4"/>
      <c r="AE322" s="32"/>
      <c r="AF322" s="34" t="s">
        <v>68</v>
      </c>
      <c r="AG322" s="112" t="s">
        <v>68</v>
      </c>
      <c r="AH322" s="112" t="s">
        <v>68</v>
      </c>
      <c r="AI322" s="7" t="s">
        <v>68</v>
      </c>
      <c r="AJ322" s="109" t="s">
        <v>68</v>
      </c>
      <c r="AK322" s="115" t="s">
        <v>107</v>
      </c>
      <c r="AL322" s="1" t="s">
        <v>68</v>
      </c>
      <c r="AM322" s="5"/>
      <c r="AN322" s="1" t="s">
        <v>1041</v>
      </c>
      <c r="AO322" s="5">
        <v>43253</v>
      </c>
      <c r="AP322" s="1" t="s">
        <v>1042</v>
      </c>
      <c r="AQ322" s="5">
        <v>43322</v>
      </c>
      <c r="AR322" s="279">
        <f>52667.62*2</f>
        <v>105335.24</v>
      </c>
      <c r="AS322" s="35">
        <v>0</v>
      </c>
      <c r="AT322" s="895">
        <v>526676.22</v>
      </c>
      <c r="AU322" s="884">
        <v>526676.22</v>
      </c>
      <c r="AV322" s="345">
        <v>43249</v>
      </c>
      <c r="AW322" s="11">
        <v>43287</v>
      </c>
      <c r="AX322" s="223" t="s">
        <v>68</v>
      </c>
      <c r="AY322" s="52" t="s">
        <v>68</v>
      </c>
      <c r="AZ322" s="339">
        <v>43321</v>
      </c>
      <c r="BA322" s="71">
        <v>43261</v>
      </c>
      <c r="BB322" s="71">
        <v>43322</v>
      </c>
      <c r="BC322" s="127">
        <v>43320</v>
      </c>
      <c r="BD322" s="618">
        <v>43321</v>
      </c>
      <c r="BE322" s="1627"/>
      <c r="BF322" s="5">
        <v>43261</v>
      </c>
      <c r="BG322" s="5">
        <v>43322</v>
      </c>
      <c r="BH322" s="5">
        <v>43320</v>
      </c>
      <c r="BI322" s="36">
        <f t="shared" si="9"/>
        <v>526676.22</v>
      </c>
      <c r="BJ322" s="631">
        <v>43321</v>
      </c>
      <c r="BK322" s="68"/>
      <c r="BL322" s="909"/>
      <c r="BM322" s="325">
        <v>43248</v>
      </c>
      <c r="BN322" s="325">
        <v>43657</v>
      </c>
      <c r="BO322" s="1264"/>
      <c r="BP322" s="1264"/>
      <c r="BQ322" s="1264"/>
      <c r="BR322" s="1264"/>
      <c r="BS322" s="342">
        <v>43320</v>
      </c>
      <c r="BT322" s="342"/>
      <c r="BU322" s="342"/>
      <c r="BV322" s="347"/>
      <c r="BW322" s="13"/>
      <c r="BX322" s="13"/>
      <c r="BY322" s="13"/>
      <c r="BZ322" s="13"/>
      <c r="CA322" s="13"/>
      <c r="CB322" s="1221" t="s">
        <v>1563</v>
      </c>
      <c r="CC322" s="321" t="s">
        <v>459</v>
      </c>
      <c r="CD322" s="526"/>
      <c r="CE322" s="526"/>
      <c r="CF322" s="526"/>
      <c r="CG322" s="526"/>
      <c r="CH322" s="526"/>
      <c r="CI322" s="526"/>
      <c r="CJ322" s="526"/>
      <c r="CK322" s="15"/>
    </row>
    <row r="323" spans="2:89" customFormat="1" ht="70.5" hidden="1" customHeight="1">
      <c r="B323" s="22" t="s">
        <v>68</v>
      </c>
      <c r="C323" s="22"/>
      <c r="D323" s="22"/>
      <c r="E323" s="22" t="s">
        <v>68</v>
      </c>
      <c r="F323" s="22"/>
      <c r="G323" s="915">
        <v>43441</v>
      </c>
      <c r="H323" s="1746"/>
      <c r="I323" s="330">
        <v>43319</v>
      </c>
      <c r="J323" s="16">
        <v>2018</v>
      </c>
      <c r="K323" s="1417">
        <v>186.1</v>
      </c>
      <c r="L323" s="1417"/>
      <c r="M323" s="170" t="s">
        <v>77</v>
      </c>
      <c r="N323" s="178" t="s">
        <v>1043</v>
      </c>
      <c r="O323" s="172" t="s">
        <v>79</v>
      </c>
      <c r="P323" s="173" t="s">
        <v>1044</v>
      </c>
      <c r="Q323" s="173" t="s">
        <v>3623</v>
      </c>
      <c r="R323" s="174">
        <v>177478.77</v>
      </c>
      <c r="S323" s="590">
        <v>43242</v>
      </c>
      <c r="T323" s="176">
        <v>43243</v>
      </c>
      <c r="U323" s="177">
        <v>43283</v>
      </c>
      <c r="V323" s="608">
        <v>43241</v>
      </c>
      <c r="W323" s="178" t="s">
        <v>592</v>
      </c>
      <c r="X323" s="170" t="s">
        <v>984</v>
      </c>
      <c r="Y323" s="608">
        <v>43235</v>
      </c>
      <c r="Z323" s="1373"/>
      <c r="AA323" s="115" t="s">
        <v>1045</v>
      </c>
      <c r="AB323" s="8">
        <v>43220</v>
      </c>
      <c r="AC323" s="4">
        <v>177478.77</v>
      </c>
      <c r="AD323" s="4"/>
      <c r="AE323" s="32"/>
      <c r="AF323" s="34" t="s">
        <v>68</v>
      </c>
      <c r="AG323" s="112" t="s">
        <v>68</v>
      </c>
      <c r="AH323" s="112" t="s">
        <v>68</v>
      </c>
      <c r="AI323" s="7" t="s">
        <v>68</v>
      </c>
      <c r="AJ323" s="109" t="s">
        <v>68</v>
      </c>
      <c r="AK323" s="617" t="s">
        <v>855</v>
      </c>
      <c r="AL323" s="1"/>
      <c r="AM323" s="5"/>
      <c r="AN323" s="1">
        <v>18987783</v>
      </c>
      <c r="AO323" s="5">
        <v>43243</v>
      </c>
      <c r="AP323" s="219" t="s">
        <v>656</v>
      </c>
      <c r="AQ323" s="5"/>
      <c r="AR323" s="279"/>
      <c r="AS323" s="35">
        <v>0</v>
      </c>
      <c r="AT323" s="895">
        <v>177182.11</v>
      </c>
      <c r="AU323" s="884">
        <v>176418.39</v>
      </c>
      <c r="AV323" s="644" t="s">
        <v>74</v>
      </c>
      <c r="AW323" s="11"/>
      <c r="AX323" s="223" t="s">
        <v>68</v>
      </c>
      <c r="AY323" s="52" t="s">
        <v>68</v>
      </c>
      <c r="AZ323" s="339">
        <v>43270</v>
      </c>
      <c r="BA323" s="5">
        <v>43243</v>
      </c>
      <c r="BB323" s="5">
        <v>43283</v>
      </c>
      <c r="BC323" s="509"/>
      <c r="BD323" s="339">
        <v>43273</v>
      </c>
      <c r="BE323" s="1616"/>
      <c r="BF323" s="5">
        <v>43243</v>
      </c>
      <c r="BG323" s="5">
        <v>43283</v>
      </c>
      <c r="BH323" s="5">
        <v>43269</v>
      </c>
      <c r="BI323" s="36">
        <f t="shared" si="9"/>
        <v>177182.11</v>
      </c>
      <c r="BJ323" s="62">
        <v>43270</v>
      </c>
      <c r="BK323" s="105"/>
      <c r="BL323" s="105"/>
      <c r="BM323" s="5"/>
      <c r="BN323" s="5"/>
      <c r="BO323" s="52"/>
      <c r="BP323" s="52"/>
      <c r="BQ323" s="52"/>
      <c r="BR323" s="52"/>
      <c r="BS323" s="52"/>
      <c r="BT323" s="52"/>
      <c r="BU323" s="52"/>
      <c r="BV323" s="53"/>
      <c r="BW323" s="13"/>
      <c r="BX323" s="13"/>
      <c r="BY323" s="13"/>
      <c r="BZ323" s="13"/>
      <c r="CA323" s="13"/>
      <c r="CB323" s="1221" t="s">
        <v>1563</v>
      </c>
      <c r="CC323" s="321" t="s">
        <v>459</v>
      </c>
      <c r="CD323" s="526"/>
      <c r="CE323" s="526"/>
      <c r="CF323" s="526"/>
      <c r="CG323" s="526"/>
      <c r="CH323" s="526"/>
      <c r="CI323" s="526"/>
      <c r="CJ323" s="526"/>
      <c r="CK323" s="15"/>
    </row>
    <row r="324" spans="2:89" customFormat="1" ht="71.25" hidden="1" customHeight="1">
      <c r="B324" s="22" t="s">
        <v>68</v>
      </c>
      <c r="C324" s="22"/>
      <c r="D324" s="22"/>
      <c r="E324" s="22" t="s">
        <v>68</v>
      </c>
      <c r="F324" s="22"/>
      <c r="G324" s="915">
        <v>43441</v>
      </c>
      <c r="H324" s="1746"/>
      <c r="I324" s="330">
        <v>43319</v>
      </c>
      <c r="J324" s="16">
        <v>2018</v>
      </c>
      <c r="K324" s="1417">
        <v>186.11</v>
      </c>
      <c r="L324" s="1417"/>
      <c r="M324" s="170" t="s">
        <v>77</v>
      </c>
      <c r="N324" s="178" t="s">
        <v>1046</v>
      </c>
      <c r="O324" s="172" t="s">
        <v>79</v>
      </c>
      <c r="P324" s="173" t="s">
        <v>1047</v>
      </c>
      <c r="Q324" s="173" t="s">
        <v>3623</v>
      </c>
      <c r="R324" s="174">
        <v>247048.85</v>
      </c>
      <c r="S324" s="590">
        <v>43242</v>
      </c>
      <c r="T324" s="176">
        <v>43243</v>
      </c>
      <c r="U324" s="177">
        <v>43283</v>
      </c>
      <c r="V324" s="608">
        <v>43241</v>
      </c>
      <c r="W324" s="647" t="s">
        <v>592</v>
      </c>
      <c r="X324" s="636" t="s">
        <v>984</v>
      </c>
      <c r="Y324" s="608">
        <v>43235</v>
      </c>
      <c r="Z324" s="1373"/>
      <c r="AA324" s="115" t="s">
        <v>1048</v>
      </c>
      <c r="AB324" s="74">
        <v>43220</v>
      </c>
      <c r="AC324" s="75">
        <v>247048.35</v>
      </c>
      <c r="AD324" s="75"/>
      <c r="AE324" s="648"/>
      <c r="AF324" s="34" t="s">
        <v>68</v>
      </c>
      <c r="AG324" s="112" t="s">
        <v>68</v>
      </c>
      <c r="AH324" s="112" t="s">
        <v>68</v>
      </c>
      <c r="AI324" s="7" t="s">
        <v>68</v>
      </c>
      <c r="AJ324" s="109" t="s">
        <v>68</v>
      </c>
      <c r="AK324" s="617" t="s">
        <v>855</v>
      </c>
      <c r="AL324" s="128" t="s">
        <v>68</v>
      </c>
      <c r="AM324" s="5"/>
      <c r="AN324" s="1">
        <v>18987782</v>
      </c>
      <c r="AO324" s="5">
        <v>43243</v>
      </c>
      <c r="AP324" s="219" t="s">
        <v>656</v>
      </c>
      <c r="AQ324" s="5"/>
      <c r="AR324" s="279">
        <f>24704.88</f>
        <v>24704.880000000001</v>
      </c>
      <c r="AS324" s="35">
        <v>0</v>
      </c>
      <c r="AT324" s="895">
        <v>246900.86</v>
      </c>
      <c r="AU324" s="884">
        <v>245836.63</v>
      </c>
      <c r="AV324" s="339">
        <v>43244</v>
      </c>
      <c r="AW324" s="11">
        <v>43262</v>
      </c>
      <c r="AX324" s="223" t="s">
        <v>68</v>
      </c>
      <c r="AY324" s="52" t="s">
        <v>68</v>
      </c>
      <c r="AZ324" s="339">
        <v>43263</v>
      </c>
      <c r="BA324" s="5">
        <v>43243</v>
      </c>
      <c r="BB324" s="5">
        <v>43283</v>
      </c>
      <c r="BC324" s="11">
        <v>43262</v>
      </c>
      <c r="BD324" s="339">
        <v>43266</v>
      </c>
      <c r="BE324" s="1616"/>
      <c r="BF324" s="5">
        <v>43243</v>
      </c>
      <c r="BG324" s="5">
        <v>43283</v>
      </c>
      <c r="BH324" s="5">
        <v>43262</v>
      </c>
      <c r="BI324" s="36">
        <f t="shared" si="9"/>
        <v>246900.86</v>
      </c>
      <c r="BJ324" s="62">
        <v>43263</v>
      </c>
      <c r="BK324" s="105"/>
      <c r="BL324" s="105"/>
      <c r="BM324" s="5"/>
      <c r="BN324" s="5"/>
      <c r="BO324" s="52"/>
      <c r="BP324" s="52"/>
      <c r="BQ324" s="52"/>
      <c r="BR324" s="52"/>
      <c r="BS324" s="52"/>
      <c r="BT324" s="52"/>
      <c r="BU324" s="52"/>
      <c r="BV324" s="53"/>
      <c r="BW324" s="13"/>
      <c r="BX324" s="13"/>
      <c r="BY324" s="13"/>
      <c r="BZ324" s="13"/>
      <c r="CA324" s="13"/>
      <c r="CB324" s="1221" t="s">
        <v>1563</v>
      </c>
      <c r="CC324" s="321" t="s">
        <v>459</v>
      </c>
      <c r="CD324" s="526"/>
      <c r="CE324" s="526"/>
      <c r="CF324" s="526"/>
      <c r="CG324" s="526"/>
      <c r="CH324" s="526"/>
      <c r="CI324" s="526"/>
      <c r="CJ324" s="526"/>
      <c r="CK324" s="15"/>
    </row>
    <row r="325" spans="2:89" customFormat="1" ht="117.75" hidden="1" customHeight="1">
      <c r="B325" s="22"/>
      <c r="C325" s="22" t="s">
        <v>969</v>
      </c>
      <c r="D325" s="22"/>
      <c r="E325" s="22" t="s">
        <v>68</v>
      </c>
      <c r="F325" s="22"/>
      <c r="G325" s="915">
        <v>43382</v>
      </c>
      <c r="H325" s="1746"/>
      <c r="I325" s="330">
        <v>43389</v>
      </c>
      <c r="J325" s="16">
        <v>2018</v>
      </c>
      <c r="K325" s="1417">
        <v>186.12</v>
      </c>
      <c r="L325" s="1417"/>
      <c r="M325" s="170" t="s">
        <v>64</v>
      </c>
      <c r="N325" s="178" t="s">
        <v>1049</v>
      </c>
      <c r="O325" s="172" t="s">
        <v>79</v>
      </c>
      <c r="P325" s="173" t="s">
        <v>1050</v>
      </c>
      <c r="Q325" s="173" t="s">
        <v>2538</v>
      </c>
      <c r="R325" s="174">
        <v>724057.5</v>
      </c>
      <c r="S325" s="589">
        <v>43304</v>
      </c>
      <c r="T325" s="609">
        <v>43306</v>
      </c>
      <c r="U325" s="610">
        <v>43342</v>
      </c>
      <c r="V325" s="68">
        <v>43271</v>
      </c>
      <c r="W325" s="178" t="s">
        <v>1051</v>
      </c>
      <c r="X325" s="170" t="s">
        <v>114</v>
      </c>
      <c r="Y325" s="592" t="s">
        <v>68</v>
      </c>
      <c r="Z325" s="1374"/>
      <c r="AA325" s="115" t="s">
        <v>1052</v>
      </c>
      <c r="AB325" s="8">
        <v>43166</v>
      </c>
      <c r="AC325" s="4">
        <v>724057.5</v>
      </c>
      <c r="AD325" s="4"/>
      <c r="AE325" s="32"/>
      <c r="AF325" s="34" t="s">
        <v>68</v>
      </c>
      <c r="AG325" s="112" t="s">
        <v>68</v>
      </c>
      <c r="AH325" s="112" t="s">
        <v>68</v>
      </c>
      <c r="AI325" s="7" t="s">
        <v>68</v>
      </c>
      <c r="AJ325" s="109" t="s">
        <v>68</v>
      </c>
      <c r="AK325" s="33" t="s">
        <v>589</v>
      </c>
      <c r="AL325" s="1" t="s">
        <v>68</v>
      </c>
      <c r="AM325" s="5"/>
      <c r="AN325" s="1">
        <v>1936119</v>
      </c>
      <c r="AO325" s="5">
        <v>43304</v>
      </c>
      <c r="AP325" s="1">
        <v>1945746</v>
      </c>
      <c r="AQ325" s="5">
        <v>43343</v>
      </c>
      <c r="AR325" s="279">
        <f>72406.75+72403.69</f>
        <v>144810.44</v>
      </c>
      <c r="AS325" s="35">
        <v>0</v>
      </c>
      <c r="AT325" s="895">
        <v>724036.92</v>
      </c>
      <c r="AU325" s="917">
        <v>725534.3</v>
      </c>
      <c r="AV325" s="324">
        <v>43307</v>
      </c>
      <c r="AW325" s="11">
        <v>43342</v>
      </c>
      <c r="AX325" s="223" t="s">
        <v>68</v>
      </c>
      <c r="AY325" s="52" t="s">
        <v>68</v>
      </c>
      <c r="AZ325" s="70">
        <v>43343</v>
      </c>
      <c r="BA325" s="5">
        <v>43306</v>
      </c>
      <c r="BB325" s="5">
        <v>43342</v>
      </c>
      <c r="BC325" s="11">
        <v>43342</v>
      </c>
      <c r="BD325" s="568">
        <v>43343</v>
      </c>
      <c r="BE325" s="1618"/>
      <c r="BF325" s="71">
        <v>43306</v>
      </c>
      <c r="BG325" s="71">
        <v>43342</v>
      </c>
      <c r="BH325" s="71">
        <v>43342</v>
      </c>
      <c r="BI325" s="129">
        <f t="shared" si="9"/>
        <v>724036.92</v>
      </c>
      <c r="BJ325" s="62">
        <v>43321</v>
      </c>
      <c r="BK325" s="105"/>
      <c r="BL325" s="676"/>
      <c r="BM325" s="474"/>
      <c r="BN325" s="474"/>
      <c r="BO325" s="880"/>
      <c r="BP325" s="880"/>
      <c r="BQ325" s="880"/>
      <c r="BR325" s="880"/>
      <c r="BS325" s="52">
        <v>43342</v>
      </c>
      <c r="BT325" s="52"/>
      <c r="BU325" s="52"/>
      <c r="BV325" s="53"/>
      <c r="BW325" s="13"/>
      <c r="BX325" s="13"/>
      <c r="BY325" s="13"/>
      <c r="BZ325" s="13"/>
      <c r="CA325" s="13"/>
      <c r="CB325" s="1221" t="s">
        <v>1563</v>
      </c>
      <c r="CC325" s="321" t="s">
        <v>459</v>
      </c>
      <c r="CD325" s="526"/>
      <c r="CE325" s="526"/>
      <c r="CF325" s="526"/>
      <c r="CG325" s="526"/>
      <c r="CH325" s="526"/>
      <c r="CI325" s="526"/>
      <c r="CJ325" s="526"/>
      <c r="CK325" s="15"/>
    </row>
    <row r="326" spans="2:89" customFormat="1" ht="102.75" hidden="1" customHeight="1">
      <c r="B326" s="22"/>
      <c r="C326" s="22" t="s">
        <v>969</v>
      </c>
      <c r="D326" s="22"/>
      <c r="E326" s="22" t="s">
        <v>68</v>
      </c>
      <c r="F326" s="22"/>
      <c r="G326" s="915">
        <v>43530</v>
      </c>
      <c r="H326" s="1746"/>
      <c r="I326" s="330">
        <v>43389</v>
      </c>
      <c r="J326" s="16">
        <v>2018</v>
      </c>
      <c r="K326" s="1417">
        <v>186.13</v>
      </c>
      <c r="L326" s="1417"/>
      <c r="M326" s="170" t="s">
        <v>64</v>
      </c>
      <c r="N326" s="178" t="s">
        <v>1053</v>
      </c>
      <c r="O326" s="172" t="s">
        <v>615</v>
      </c>
      <c r="P326" s="173" t="s">
        <v>1054</v>
      </c>
      <c r="Q326" s="173"/>
      <c r="R326" s="174">
        <v>2197542.15</v>
      </c>
      <c r="S326" s="590">
        <v>43240</v>
      </c>
      <c r="T326" s="176">
        <v>43248</v>
      </c>
      <c r="U326" s="177">
        <v>43288</v>
      </c>
      <c r="V326" s="592" t="s">
        <v>68</v>
      </c>
      <c r="W326" s="178" t="s">
        <v>739</v>
      </c>
      <c r="X326" s="170" t="s">
        <v>709</v>
      </c>
      <c r="Y326" s="592" t="s">
        <v>68</v>
      </c>
      <c r="Z326" s="1374"/>
      <c r="AA326" s="115" t="s">
        <v>1040</v>
      </c>
      <c r="AB326" s="8">
        <v>43166</v>
      </c>
      <c r="AC326" s="4">
        <v>2724218.37</v>
      </c>
      <c r="AD326" s="4"/>
      <c r="AE326" s="32"/>
      <c r="AF326" s="653">
        <v>43192</v>
      </c>
      <c r="AG326" s="616">
        <v>43200</v>
      </c>
      <c r="AH326" s="616">
        <v>43200</v>
      </c>
      <c r="AI326" s="616">
        <v>43203</v>
      </c>
      <c r="AJ326" s="616">
        <v>43207</v>
      </c>
      <c r="AK326" s="115" t="s">
        <v>787</v>
      </c>
      <c r="AL326" s="1">
        <v>2206597</v>
      </c>
      <c r="AM326" s="5">
        <v>43241</v>
      </c>
      <c r="AN326" s="1">
        <v>2206623</v>
      </c>
      <c r="AO326" s="5">
        <v>43241</v>
      </c>
      <c r="AP326" s="1">
        <v>2244864</v>
      </c>
      <c r="AQ326" s="5">
        <v>43355</v>
      </c>
      <c r="AR326" s="279">
        <f>549385.53+219754.21+219754.21</f>
        <v>988893.95</v>
      </c>
      <c r="AS326" s="35">
        <v>0</v>
      </c>
      <c r="AT326" s="895">
        <v>2197543.2200000002</v>
      </c>
      <c r="AU326" s="884">
        <v>2197543.69</v>
      </c>
      <c r="AV326" s="339">
        <v>43249</v>
      </c>
      <c r="AW326" s="11">
        <v>43287</v>
      </c>
      <c r="AX326" s="223" t="s">
        <v>68</v>
      </c>
      <c r="AY326" s="52" t="s">
        <v>68</v>
      </c>
      <c r="AZ326" s="339">
        <v>43290</v>
      </c>
      <c r="BA326" s="5">
        <v>43248</v>
      </c>
      <c r="BB326" s="5">
        <v>43288</v>
      </c>
      <c r="BC326" s="11">
        <v>43288</v>
      </c>
      <c r="BD326" s="339">
        <v>43290</v>
      </c>
      <c r="BE326" s="1616"/>
      <c r="BF326" s="71">
        <v>43245</v>
      </c>
      <c r="BG326" s="71">
        <v>43288</v>
      </c>
      <c r="BH326" s="71">
        <v>43288</v>
      </c>
      <c r="BI326" s="129">
        <f t="shared" si="9"/>
        <v>2197543.2200000002</v>
      </c>
      <c r="BJ326" s="62">
        <v>43290</v>
      </c>
      <c r="BK326" s="105"/>
      <c r="BL326" s="676"/>
      <c r="BM326" s="5">
        <v>43248</v>
      </c>
      <c r="BN326" s="5">
        <v>43657</v>
      </c>
      <c r="BO326" s="52"/>
      <c r="BP326" s="52"/>
      <c r="BQ326" s="52"/>
      <c r="BR326" s="52"/>
      <c r="BS326" s="52">
        <v>43287</v>
      </c>
      <c r="BT326" s="52"/>
      <c r="BU326" s="52"/>
      <c r="BV326" s="53" t="s">
        <v>68</v>
      </c>
      <c r="BW326" s="13"/>
      <c r="BX326" s="13"/>
      <c r="BY326" s="13"/>
      <c r="BZ326" s="13"/>
      <c r="CA326" s="13"/>
      <c r="CB326" s="1221" t="s">
        <v>1563</v>
      </c>
      <c r="CC326" s="321" t="s">
        <v>459</v>
      </c>
      <c r="CD326" s="526"/>
      <c r="CE326" s="526"/>
      <c r="CF326" s="526"/>
      <c r="CG326" s="526"/>
      <c r="CH326" s="526"/>
      <c r="CI326" s="526"/>
      <c r="CJ326" s="526"/>
      <c r="CK326" s="15"/>
    </row>
    <row r="327" spans="2:89" s="1050" customFormat="1" ht="123.75" hidden="1" customHeight="1">
      <c r="B327" s="1051"/>
      <c r="C327" s="1051"/>
      <c r="D327" s="1051"/>
      <c r="E327" s="1051" t="e">
        <f>E326+1</f>
        <v>#VALUE!</v>
      </c>
      <c r="F327" s="1051"/>
      <c r="G327" s="553"/>
      <c r="H327" s="620"/>
      <c r="I327" s="620"/>
      <c r="J327" s="532">
        <v>2018</v>
      </c>
      <c r="K327" s="1420">
        <v>186.14</v>
      </c>
      <c r="L327" s="1420"/>
      <c r="M327" s="1054" t="s">
        <v>808</v>
      </c>
      <c r="N327" s="1484" t="s">
        <v>1055</v>
      </c>
      <c r="O327" s="790" t="s">
        <v>251</v>
      </c>
      <c r="P327" s="1056" t="s">
        <v>1056</v>
      </c>
      <c r="Q327" s="1056"/>
      <c r="R327" s="1057">
        <v>989000</v>
      </c>
      <c r="S327" s="1058">
        <v>43251</v>
      </c>
      <c r="T327" s="1059">
        <v>43252</v>
      </c>
      <c r="U327" s="1060">
        <v>43301</v>
      </c>
      <c r="V327" s="1061" t="s">
        <v>68</v>
      </c>
      <c r="W327" s="1055" t="s">
        <v>739</v>
      </c>
      <c r="X327" s="1054" t="s">
        <v>449</v>
      </c>
      <c r="Y327" s="1062" t="s">
        <v>74</v>
      </c>
      <c r="Z327" s="1377"/>
      <c r="AA327" s="308" t="s">
        <v>990</v>
      </c>
      <c r="AB327" s="1063">
        <v>43166</v>
      </c>
      <c r="AC327" s="1064">
        <v>1000000</v>
      </c>
      <c r="AD327" s="1064"/>
      <c r="AE327" s="1065"/>
      <c r="AF327" s="1485" t="s">
        <v>74</v>
      </c>
      <c r="AG327" s="1067"/>
      <c r="AH327" s="1067"/>
      <c r="AI327" s="1068"/>
      <c r="AJ327" s="1069"/>
      <c r="AK327" s="308" t="s">
        <v>787</v>
      </c>
      <c r="AL327" s="1070">
        <v>2213904</v>
      </c>
      <c r="AM327" s="1071">
        <v>43251</v>
      </c>
      <c r="AN327" s="1070">
        <v>2213910</v>
      </c>
      <c r="AO327" s="1071">
        <v>43251</v>
      </c>
      <c r="AP327" s="1070"/>
      <c r="AQ327" s="1070"/>
      <c r="AR327" s="1072">
        <f>247250+98900</f>
        <v>346150</v>
      </c>
      <c r="AS327" s="1073">
        <v>0</v>
      </c>
      <c r="AT327" s="1074"/>
      <c r="AU327" s="1075"/>
      <c r="AV327" s="1482" t="s">
        <v>74</v>
      </c>
      <c r="AW327" s="1077"/>
      <c r="AX327" s="1078" t="s">
        <v>68</v>
      </c>
      <c r="AY327" s="1079" t="s">
        <v>68</v>
      </c>
      <c r="AZ327" s="1482" t="s">
        <v>74</v>
      </c>
      <c r="BA327" s="1070"/>
      <c r="BB327" s="1070"/>
      <c r="BC327" s="1080"/>
      <c r="BD327" s="1482" t="s">
        <v>74</v>
      </c>
      <c r="BE327" s="1624"/>
      <c r="BF327" s="1071"/>
      <c r="BG327" s="1071"/>
      <c r="BH327" s="1071"/>
      <c r="BI327" s="1081">
        <f t="shared" si="9"/>
        <v>0</v>
      </c>
      <c r="BJ327" s="1465"/>
      <c r="BK327" s="1061"/>
      <c r="BL327" s="1061"/>
      <c r="BM327" s="1071"/>
      <c r="BN327" s="1071"/>
      <c r="BO327" s="1079"/>
      <c r="BP327" s="1079"/>
      <c r="BQ327" s="1079"/>
      <c r="BR327" s="1079"/>
      <c r="BS327" s="1079"/>
      <c r="BT327" s="1079"/>
      <c r="BU327" s="1079"/>
      <c r="BV327" s="1475"/>
      <c r="BW327" s="1082"/>
      <c r="BX327" s="1082"/>
      <c r="BY327" s="1082"/>
      <c r="BZ327" s="1082"/>
      <c r="CA327" s="1082"/>
      <c r="CB327" s="1477" t="s">
        <v>1563</v>
      </c>
      <c r="CC327" s="126" t="s">
        <v>478</v>
      </c>
      <c r="CD327" s="789"/>
      <c r="CE327" s="789"/>
      <c r="CF327" s="789"/>
      <c r="CG327" s="789"/>
      <c r="CH327" s="789"/>
      <c r="CI327" s="789"/>
      <c r="CJ327" s="789"/>
      <c r="CK327" s="1086"/>
    </row>
    <row r="328" spans="2:89" customFormat="1" ht="99" hidden="1" customHeight="1">
      <c r="B328" s="22"/>
      <c r="C328" s="22"/>
      <c r="D328" s="22"/>
      <c r="E328" s="22" t="s">
        <v>68</v>
      </c>
      <c r="F328" s="22"/>
      <c r="G328" s="915">
        <v>43356</v>
      </c>
      <c r="H328" s="1746"/>
      <c r="I328" s="330">
        <v>43325</v>
      </c>
      <c r="J328" s="16">
        <v>2018</v>
      </c>
      <c r="K328" s="1417">
        <v>186.15</v>
      </c>
      <c r="L328" s="1417"/>
      <c r="M328" s="170" t="s">
        <v>77</v>
      </c>
      <c r="N328" s="971" t="s">
        <v>1057</v>
      </c>
      <c r="O328" s="172" t="s">
        <v>79</v>
      </c>
      <c r="P328" s="173" t="s">
        <v>1058</v>
      </c>
      <c r="Q328" s="173" t="s">
        <v>4409</v>
      </c>
      <c r="R328" s="174">
        <v>398019.86</v>
      </c>
      <c r="S328" s="589">
        <v>43255</v>
      </c>
      <c r="T328" s="609">
        <v>43257</v>
      </c>
      <c r="U328" s="610">
        <v>43322</v>
      </c>
      <c r="V328" s="68">
        <v>43252</v>
      </c>
      <c r="W328" s="647" t="s">
        <v>1028</v>
      </c>
      <c r="X328" s="636" t="s">
        <v>984</v>
      </c>
      <c r="Y328" s="608">
        <v>43252</v>
      </c>
      <c r="Z328" s="1373"/>
      <c r="AA328" s="115" t="s">
        <v>1059</v>
      </c>
      <c r="AB328" s="8">
        <v>43207</v>
      </c>
      <c r="AC328" s="4">
        <v>563441.05000000005</v>
      </c>
      <c r="AD328" s="4"/>
      <c r="AE328" s="32"/>
      <c r="AF328" s="34" t="s">
        <v>68</v>
      </c>
      <c r="AG328" s="112" t="s">
        <v>68</v>
      </c>
      <c r="AH328" s="112" t="s">
        <v>68</v>
      </c>
      <c r="AI328" s="7" t="s">
        <v>68</v>
      </c>
      <c r="AJ328" s="109" t="s">
        <v>68</v>
      </c>
      <c r="AK328" s="115" t="s">
        <v>1030</v>
      </c>
      <c r="AL328" s="1" t="s">
        <v>68</v>
      </c>
      <c r="AM328" s="5"/>
      <c r="AN328" s="1">
        <v>998146</v>
      </c>
      <c r="AO328" s="5">
        <v>43255</v>
      </c>
      <c r="AP328" s="2" t="s">
        <v>1060</v>
      </c>
      <c r="AQ328" s="5">
        <v>43322</v>
      </c>
      <c r="AR328" s="279">
        <f>39801.98+38739.49</f>
        <v>78541.47</v>
      </c>
      <c r="AS328" s="35">
        <v>0</v>
      </c>
      <c r="AT328" s="895">
        <v>387394.93</v>
      </c>
      <c r="AU328" s="884">
        <v>387394.93</v>
      </c>
      <c r="AV328" s="339">
        <v>43262</v>
      </c>
      <c r="AW328" s="11">
        <v>43322</v>
      </c>
      <c r="AX328" s="223" t="s">
        <v>68</v>
      </c>
      <c r="AY328" s="52" t="s">
        <v>68</v>
      </c>
      <c r="AZ328" s="339">
        <v>43322</v>
      </c>
      <c r="BA328" s="71">
        <v>43257</v>
      </c>
      <c r="BB328" s="5">
        <v>43322</v>
      </c>
      <c r="BC328" s="11">
        <v>43322</v>
      </c>
      <c r="BD328" s="339">
        <v>43322</v>
      </c>
      <c r="BE328" s="1616"/>
      <c r="BF328" s="5">
        <v>43257</v>
      </c>
      <c r="BG328" s="5">
        <v>43322</v>
      </c>
      <c r="BH328" s="5">
        <v>43322</v>
      </c>
      <c r="BI328" s="36">
        <f t="shared" si="9"/>
        <v>387394.93</v>
      </c>
      <c r="BJ328" s="62">
        <v>43326</v>
      </c>
      <c r="BK328" s="105"/>
      <c r="BL328" s="105"/>
      <c r="BM328" s="5"/>
      <c r="BN328" s="5"/>
      <c r="BO328" s="52"/>
      <c r="BP328" s="52"/>
      <c r="BQ328" s="52"/>
      <c r="BR328" s="52"/>
      <c r="BS328" s="52"/>
      <c r="BT328" s="52"/>
      <c r="BU328" s="52"/>
      <c r="BV328" s="53"/>
      <c r="BW328" s="13"/>
      <c r="BX328" s="13"/>
      <c r="BY328" s="13"/>
      <c r="BZ328" s="13"/>
      <c r="CA328" s="13"/>
      <c r="CB328" s="1221" t="s">
        <v>1563</v>
      </c>
      <c r="CC328" s="586" t="s">
        <v>454</v>
      </c>
      <c r="CD328" s="526"/>
      <c r="CE328" s="526"/>
      <c r="CF328" s="526"/>
      <c r="CG328" s="526"/>
      <c r="CH328" s="526"/>
      <c r="CI328" s="526"/>
      <c r="CJ328" s="526"/>
      <c r="CK328" s="15"/>
    </row>
    <row r="329" spans="2:89" customFormat="1" ht="84.75" hidden="1" customHeight="1">
      <c r="B329" s="22"/>
      <c r="C329" s="22" t="s">
        <v>969</v>
      </c>
      <c r="D329" s="22"/>
      <c r="E329" s="22" t="s">
        <v>68</v>
      </c>
      <c r="F329" s="22"/>
      <c r="G329" s="915">
        <v>43362</v>
      </c>
      <c r="H329" s="1746"/>
      <c r="I329" s="330">
        <v>43389</v>
      </c>
      <c r="J329" s="16">
        <v>2018</v>
      </c>
      <c r="K329" s="1417">
        <v>186.16</v>
      </c>
      <c r="L329" s="1417"/>
      <c r="M329" s="170" t="s">
        <v>166</v>
      </c>
      <c r="N329" s="178" t="s">
        <v>1061</v>
      </c>
      <c r="O329" s="172" t="s">
        <v>79</v>
      </c>
      <c r="P329" s="173" t="s">
        <v>1062</v>
      </c>
      <c r="Q329" s="173" t="s">
        <v>1975</v>
      </c>
      <c r="R329" s="174">
        <v>816694.91</v>
      </c>
      <c r="S329" s="589">
        <v>43102</v>
      </c>
      <c r="T329" s="609">
        <v>43104</v>
      </c>
      <c r="U329" s="610">
        <v>43120</v>
      </c>
      <c r="V329" s="68">
        <v>43102</v>
      </c>
      <c r="W329" s="178" t="s">
        <v>925</v>
      </c>
      <c r="X329" s="170" t="s">
        <v>709</v>
      </c>
      <c r="Y329" s="461" t="s">
        <v>68</v>
      </c>
      <c r="Z329" s="1371"/>
      <c r="AA329" s="115" t="s">
        <v>1063</v>
      </c>
      <c r="AB329" s="8">
        <v>43256</v>
      </c>
      <c r="AC329" s="4">
        <v>816694.91</v>
      </c>
      <c r="AD329" s="4"/>
      <c r="AE329" s="32"/>
      <c r="AF329" s="34" t="s">
        <v>68</v>
      </c>
      <c r="AG329" s="112" t="s">
        <v>68</v>
      </c>
      <c r="AH329" s="112" t="s">
        <v>68</v>
      </c>
      <c r="AI329" s="7" t="s">
        <v>68</v>
      </c>
      <c r="AJ329" s="109" t="s">
        <v>68</v>
      </c>
      <c r="AK329" s="115" t="s">
        <v>107</v>
      </c>
      <c r="AL329" s="1" t="s">
        <v>68</v>
      </c>
      <c r="AM329" s="5"/>
      <c r="AN329" s="1" t="s">
        <v>1064</v>
      </c>
      <c r="AO329" s="5">
        <v>43103</v>
      </c>
      <c r="AP329" s="1" t="s">
        <v>1065</v>
      </c>
      <c r="AQ329" s="5">
        <v>43122</v>
      </c>
      <c r="AR329" s="279">
        <f>81669.49+81028.91</f>
        <v>162698.40000000002</v>
      </c>
      <c r="AS329" s="35">
        <v>0</v>
      </c>
      <c r="AT329" s="895">
        <v>810289.17</v>
      </c>
      <c r="AU329" s="884">
        <v>810289.17</v>
      </c>
      <c r="AV329" s="337" t="s">
        <v>74</v>
      </c>
      <c r="AW329" s="11"/>
      <c r="AX329" s="223" t="s">
        <v>68</v>
      </c>
      <c r="AY329" s="52" t="s">
        <v>68</v>
      </c>
      <c r="AZ329" s="339">
        <v>43122</v>
      </c>
      <c r="BA329" s="71">
        <v>43104</v>
      </c>
      <c r="BB329" s="71">
        <v>43120</v>
      </c>
      <c r="BC329" s="127">
        <v>43120</v>
      </c>
      <c r="BD329" s="339">
        <v>43122</v>
      </c>
      <c r="BE329" s="1616"/>
      <c r="BF329" s="5">
        <v>43104</v>
      </c>
      <c r="BG329" s="5">
        <v>43120</v>
      </c>
      <c r="BH329" s="5">
        <v>43120</v>
      </c>
      <c r="BI329" s="36">
        <f t="shared" si="9"/>
        <v>810289.17</v>
      </c>
      <c r="BJ329" s="631">
        <v>43122</v>
      </c>
      <c r="BK329" s="68"/>
      <c r="BL329" s="68"/>
      <c r="BM329" s="71"/>
      <c r="BN329" s="71"/>
      <c r="BO329" s="342"/>
      <c r="BP329" s="342"/>
      <c r="BQ329" s="342"/>
      <c r="BR329" s="342"/>
      <c r="BS329" s="342"/>
      <c r="BT329" s="342"/>
      <c r="BU329" s="342"/>
      <c r="BV329" s="347"/>
      <c r="BW329" s="13"/>
      <c r="BX329" s="13"/>
      <c r="BY329" s="13"/>
      <c r="BZ329" s="13"/>
      <c r="CA329" s="13"/>
      <c r="CB329" s="1221" t="s">
        <v>1563</v>
      </c>
      <c r="CC329" s="321" t="s">
        <v>459</v>
      </c>
      <c r="CD329" s="526"/>
      <c r="CE329" s="526"/>
      <c r="CF329" s="526"/>
      <c r="CG329" s="526"/>
      <c r="CH329" s="526"/>
      <c r="CI329" s="526"/>
      <c r="CJ329" s="526"/>
      <c r="CK329" s="15"/>
    </row>
    <row r="330" spans="2:89" customFormat="1" ht="81.75" hidden="1" customHeight="1">
      <c r="B330" s="22"/>
      <c r="C330" s="22" t="s">
        <v>969</v>
      </c>
      <c r="D330" s="22"/>
      <c r="E330" s="22" t="s">
        <v>68</v>
      </c>
      <c r="F330" s="22"/>
      <c r="G330" s="915">
        <v>43362</v>
      </c>
      <c r="H330" s="1746"/>
      <c r="I330" s="330">
        <v>43389</v>
      </c>
      <c r="J330" s="16">
        <v>2018</v>
      </c>
      <c r="K330" s="1417">
        <v>186.17</v>
      </c>
      <c r="L330" s="1417"/>
      <c r="M330" s="170" t="s">
        <v>166</v>
      </c>
      <c r="N330" s="178" t="s">
        <v>1066</v>
      </c>
      <c r="O330" s="172" t="s">
        <v>79</v>
      </c>
      <c r="P330" s="173" t="s">
        <v>1067</v>
      </c>
      <c r="Q330" s="173" t="s">
        <v>1975</v>
      </c>
      <c r="R330" s="174">
        <v>1079507.02</v>
      </c>
      <c r="S330" s="589">
        <v>43116</v>
      </c>
      <c r="T330" s="609">
        <v>43117</v>
      </c>
      <c r="U330" s="610">
        <v>43155</v>
      </c>
      <c r="V330" s="68">
        <v>43115</v>
      </c>
      <c r="W330" s="116" t="s">
        <v>199</v>
      </c>
      <c r="X330" s="170" t="s">
        <v>709</v>
      </c>
      <c r="Y330" s="461" t="s">
        <v>68</v>
      </c>
      <c r="Z330" s="1371"/>
      <c r="AA330" s="115" t="s">
        <v>1068</v>
      </c>
      <c r="AB330" s="8">
        <v>43256</v>
      </c>
      <c r="AC330" s="4">
        <v>1079507.02</v>
      </c>
      <c r="AD330" s="4"/>
      <c r="AE330" s="32"/>
      <c r="AF330" s="34" t="s">
        <v>68</v>
      </c>
      <c r="AG330" s="112" t="s">
        <v>68</v>
      </c>
      <c r="AH330" s="112" t="s">
        <v>68</v>
      </c>
      <c r="AI330" s="7" t="s">
        <v>68</v>
      </c>
      <c r="AJ330" s="109" t="s">
        <v>68</v>
      </c>
      <c r="AK330" s="115" t="s">
        <v>107</v>
      </c>
      <c r="AL330" s="1" t="s">
        <v>68</v>
      </c>
      <c r="AM330" s="5"/>
      <c r="AN330" s="1" t="s">
        <v>1069</v>
      </c>
      <c r="AO330" s="5">
        <v>43116</v>
      </c>
      <c r="AP330" s="1" t="s">
        <v>1070</v>
      </c>
      <c r="AQ330" s="5">
        <v>43146</v>
      </c>
      <c r="AR330" s="279">
        <f>107950.7+107950.31</f>
        <v>215901.01</v>
      </c>
      <c r="AS330" s="35">
        <v>0</v>
      </c>
      <c r="AT330" s="895">
        <v>1079503.1100000001</v>
      </c>
      <c r="AU330" s="884">
        <v>1079503.1100000001</v>
      </c>
      <c r="AV330" s="337" t="s">
        <v>74</v>
      </c>
      <c r="AW330" s="11"/>
      <c r="AX330" s="223" t="s">
        <v>68</v>
      </c>
      <c r="AY330" s="52" t="s">
        <v>68</v>
      </c>
      <c r="AZ330" s="339">
        <v>43157</v>
      </c>
      <c r="BA330" s="5">
        <v>43117</v>
      </c>
      <c r="BB330" s="5">
        <v>43155</v>
      </c>
      <c r="BC330" s="11">
        <v>43154</v>
      </c>
      <c r="BD330" s="339">
        <v>43157</v>
      </c>
      <c r="BE330" s="1616"/>
      <c r="BF330" s="71">
        <v>43117</v>
      </c>
      <c r="BG330" s="71">
        <v>43155</v>
      </c>
      <c r="BH330" s="71">
        <v>43154</v>
      </c>
      <c r="BI330" s="129">
        <f t="shared" si="9"/>
        <v>1079503.1100000001</v>
      </c>
      <c r="BJ330" s="631">
        <v>43157</v>
      </c>
      <c r="BK330" s="68"/>
      <c r="BL330" s="676"/>
      <c r="BM330" s="474"/>
      <c r="BN330" s="474"/>
      <c r="BO330" s="880"/>
      <c r="BP330" s="880"/>
      <c r="BQ330" s="880"/>
      <c r="BR330" s="880"/>
      <c r="BS330" s="880"/>
      <c r="BT330" s="880"/>
      <c r="BU330" s="880"/>
      <c r="BV330" s="692"/>
      <c r="BW330" s="13"/>
      <c r="BX330" s="13"/>
      <c r="BY330" s="13"/>
      <c r="BZ330" s="13"/>
      <c r="CA330" s="13"/>
      <c r="CB330" s="1221" t="s">
        <v>1563</v>
      </c>
      <c r="CC330" s="321" t="s">
        <v>459</v>
      </c>
      <c r="CD330" s="526"/>
      <c r="CE330" s="526"/>
      <c r="CF330" s="526"/>
      <c r="CG330" s="526"/>
      <c r="CH330" s="526"/>
      <c r="CI330" s="526"/>
      <c r="CJ330" s="526"/>
      <c r="CK330" s="15"/>
    </row>
    <row r="331" spans="2:89" customFormat="1" ht="81" hidden="1" customHeight="1">
      <c r="B331" s="22"/>
      <c r="C331" s="22" t="s">
        <v>969</v>
      </c>
      <c r="D331" s="22"/>
      <c r="E331" s="22" t="s">
        <v>68</v>
      </c>
      <c r="F331" s="22"/>
      <c r="G331" s="915">
        <v>43362</v>
      </c>
      <c r="H331" s="1746"/>
      <c r="I331" s="330">
        <v>43389</v>
      </c>
      <c r="J331" s="16">
        <v>2018</v>
      </c>
      <c r="K331" s="1417">
        <v>186.18</v>
      </c>
      <c r="L331" s="1417"/>
      <c r="M331" s="170" t="s">
        <v>166</v>
      </c>
      <c r="N331" s="178" t="s">
        <v>1071</v>
      </c>
      <c r="O331" s="172" t="s">
        <v>79</v>
      </c>
      <c r="P331" s="173" t="s">
        <v>1072</v>
      </c>
      <c r="Q331" s="173" t="s">
        <v>1975</v>
      </c>
      <c r="R331" s="174">
        <v>550277.97</v>
      </c>
      <c r="S331" s="589">
        <v>43123</v>
      </c>
      <c r="T331" s="609">
        <v>43157</v>
      </c>
      <c r="U331" s="610">
        <v>43169</v>
      </c>
      <c r="V331" s="68">
        <v>43153</v>
      </c>
      <c r="W331" s="178" t="s">
        <v>925</v>
      </c>
      <c r="X331" s="170" t="s">
        <v>709</v>
      </c>
      <c r="Y331" s="461" t="s">
        <v>68</v>
      </c>
      <c r="Z331" s="1371"/>
      <c r="AA331" s="115" t="s">
        <v>1073</v>
      </c>
      <c r="AB331" s="8">
        <v>43256</v>
      </c>
      <c r="AC331" s="4">
        <v>550277.97</v>
      </c>
      <c r="AD331" s="4"/>
      <c r="AE331" s="32"/>
      <c r="AF331" s="34" t="s">
        <v>68</v>
      </c>
      <c r="AG331" s="112" t="s">
        <v>68</v>
      </c>
      <c r="AH331" s="112" t="s">
        <v>68</v>
      </c>
      <c r="AI331" s="7" t="s">
        <v>68</v>
      </c>
      <c r="AJ331" s="109" t="s">
        <v>68</v>
      </c>
      <c r="AK331" s="115" t="s">
        <v>107</v>
      </c>
      <c r="AL331" s="1" t="s">
        <v>68</v>
      </c>
      <c r="AM331" s="5"/>
      <c r="AN331" s="1" t="s">
        <v>1074</v>
      </c>
      <c r="AO331" s="5">
        <v>43154</v>
      </c>
      <c r="AP331" s="1" t="s">
        <v>1075</v>
      </c>
      <c r="AQ331" s="5">
        <v>43169</v>
      </c>
      <c r="AR331" s="279">
        <f>55027.79+40991.79</f>
        <v>96019.58</v>
      </c>
      <c r="AS331" s="35">
        <v>0</v>
      </c>
      <c r="AT331" s="895">
        <v>409917.97</v>
      </c>
      <c r="AU331" s="884">
        <v>409917.97</v>
      </c>
      <c r="AV331" s="337" t="s">
        <v>74</v>
      </c>
      <c r="AW331" s="11"/>
      <c r="AX331" s="223" t="s">
        <v>68</v>
      </c>
      <c r="AY331" s="52" t="s">
        <v>68</v>
      </c>
      <c r="AZ331" s="618">
        <v>43159</v>
      </c>
      <c r="BA331" s="5">
        <v>43157</v>
      </c>
      <c r="BB331" s="5">
        <v>43169</v>
      </c>
      <c r="BC331" s="11">
        <v>43168</v>
      </c>
      <c r="BD331" s="339">
        <v>43171</v>
      </c>
      <c r="BE331" s="1616"/>
      <c r="BF331" s="5">
        <v>43157</v>
      </c>
      <c r="BG331" s="5">
        <v>43169</v>
      </c>
      <c r="BH331" s="5">
        <v>43168</v>
      </c>
      <c r="BI331" s="36">
        <f t="shared" si="9"/>
        <v>409917.97</v>
      </c>
      <c r="BJ331" s="62">
        <v>43171</v>
      </c>
      <c r="BK331" s="105"/>
      <c r="BL331" s="105"/>
      <c r="BM331" s="5"/>
      <c r="BN331" s="5"/>
      <c r="BO331" s="52"/>
      <c r="BP331" s="52"/>
      <c r="BQ331" s="52"/>
      <c r="BR331" s="52"/>
      <c r="BS331" s="52"/>
      <c r="BT331" s="52"/>
      <c r="BU331" s="52"/>
      <c r="BV331" s="53"/>
      <c r="BW331" s="13"/>
      <c r="BX331" s="13"/>
      <c r="BY331" s="13"/>
      <c r="BZ331" s="13"/>
      <c r="CA331" s="13"/>
      <c r="CB331" s="1221" t="s">
        <v>1563</v>
      </c>
      <c r="CC331" s="321" t="s">
        <v>459</v>
      </c>
      <c r="CD331" s="526"/>
      <c r="CE331" s="526"/>
      <c r="CF331" s="526"/>
      <c r="CG331" s="526"/>
      <c r="CH331" s="526"/>
      <c r="CI331" s="526"/>
      <c r="CJ331" s="526"/>
      <c r="CK331" s="15"/>
    </row>
    <row r="332" spans="2:89" customFormat="1" ht="128.25" hidden="1" customHeight="1">
      <c r="B332" s="22"/>
      <c r="C332" s="22" t="s">
        <v>969</v>
      </c>
      <c r="D332" s="22"/>
      <c r="E332" s="22" t="s">
        <v>68</v>
      </c>
      <c r="F332" s="22"/>
      <c r="G332" s="915">
        <v>43362</v>
      </c>
      <c r="H332" s="1746"/>
      <c r="I332" s="330">
        <v>43389</v>
      </c>
      <c r="J332" s="16">
        <v>2018</v>
      </c>
      <c r="K332" s="1417">
        <v>186.19</v>
      </c>
      <c r="L332" s="1417"/>
      <c r="M332" s="170" t="s">
        <v>77</v>
      </c>
      <c r="N332" s="971" t="s">
        <v>1076</v>
      </c>
      <c r="O332" s="172" t="s">
        <v>79</v>
      </c>
      <c r="P332" s="173" t="s">
        <v>1077</v>
      </c>
      <c r="Q332" s="173" t="s">
        <v>1975</v>
      </c>
      <c r="R332" s="174">
        <v>35653.230000000003</v>
      </c>
      <c r="S332" s="589">
        <v>43105</v>
      </c>
      <c r="T332" s="609">
        <v>43108</v>
      </c>
      <c r="U332" s="610">
        <v>43120</v>
      </c>
      <c r="V332" s="68">
        <v>43104</v>
      </c>
      <c r="W332" s="178" t="s">
        <v>925</v>
      </c>
      <c r="X332" s="170" t="s">
        <v>709</v>
      </c>
      <c r="Y332" s="461" t="s">
        <v>74</v>
      </c>
      <c r="Z332" s="1371"/>
      <c r="AA332" s="115" t="s">
        <v>1078</v>
      </c>
      <c r="AB332" s="8">
        <v>43256</v>
      </c>
      <c r="AC332" s="4">
        <v>35653.230000000003</v>
      </c>
      <c r="AD332" s="4"/>
      <c r="AE332" s="32"/>
      <c r="AF332" s="34" t="s">
        <v>68</v>
      </c>
      <c r="AG332" s="112" t="s">
        <v>68</v>
      </c>
      <c r="AH332" s="112" t="s">
        <v>68</v>
      </c>
      <c r="AI332" s="7" t="s">
        <v>68</v>
      </c>
      <c r="AJ332" s="109" t="s">
        <v>68</v>
      </c>
      <c r="AK332" s="115" t="s">
        <v>107</v>
      </c>
      <c r="AL332" s="1" t="s">
        <v>68</v>
      </c>
      <c r="AM332" s="5"/>
      <c r="AN332" s="1" t="s">
        <v>1079</v>
      </c>
      <c r="AO332" s="5">
        <v>43105</v>
      </c>
      <c r="AP332" s="1" t="s">
        <v>1080</v>
      </c>
      <c r="AQ332" s="5">
        <v>43115</v>
      </c>
      <c r="AR332" s="279">
        <f>3565.32+3565.32</f>
        <v>7130.64</v>
      </c>
      <c r="AS332" s="35">
        <v>0</v>
      </c>
      <c r="AT332" s="895">
        <v>35653.230000000003</v>
      </c>
      <c r="AU332" s="884">
        <v>35653.230000000003</v>
      </c>
      <c r="AV332" s="337" t="s">
        <v>74</v>
      </c>
      <c r="AW332" s="11"/>
      <c r="AX332" s="223" t="s">
        <v>68</v>
      </c>
      <c r="AY332" s="52" t="s">
        <v>68</v>
      </c>
      <c r="AZ332" s="339">
        <v>43119</v>
      </c>
      <c r="BA332" s="5">
        <v>43108</v>
      </c>
      <c r="BB332" s="5">
        <v>43120</v>
      </c>
      <c r="BC332" s="11"/>
      <c r="BD332" s="339">
        <v>43119</v>
      </c>
      <c r="BE332" s="1616"/>
      <c r="BF332" s="5">
        <v>43108</v>
      </c>
      <c r="BG332" s="474">
        <v>43118</v>
      </c>
      <c r="BH332" s="5">
        <v>43118</v>
      </c>
      <c r="BI332" s="36">
        <f t="shared" si="9"/>
        <v>35653.230000000003</v>
      </c>
      <c r="BJ332" s="62">
        <v>43160</v>
      </c>
      <c r="BK332" s="105"/>
      <c r="BL332" s="105"/>
      <c r="BM332" s="5"/>
      <c r="BN332" s="5"/>
      <c r="BO332" s="52"/>
      <c r="BP332" s="52"/>
      <c r="BQ332" s="52"/>
      <c r="BR332" s="52"/>
      <c r="BS332" s="52"/>
      <c r="BT332" s="52"/>
      <c r="BU332" s="52"/>
      <c r="BV332" s="53"/>
      <c r="BW332" s="13"/>
      <c r="BX332" s="13"/>
      <c r="BY332" s="13"/>
      <c r="BZ332" s="13"/>
      <c r="CA332" s="13"/>
      <c r="CB332" s="1221" t="s">
        <v>1563</v>
      </c>
      <c r="CC332" s="321" t="s">
        <v>459</v>
      </c>
      <c r="CD332" s="526"/>
      <c r="CE332" s="526"/>
      <c r="CF332" s="526"/>
      <c r="CG332" s="526"/>
      <c r="CH332" s="526"/>
      <c r="CI332" s="526"/>
      <c r="CJ332" s="526"/>
      <c r="CK332" s="15"/>
    </row>
    <row r="333" spans="2:89" customFormat="1" ht="95.25" hidden="1" customHeight="1">
      <c r="B333" s="22"/>
      <c r="C333" s="22"/>
      <c r="D333" s="22"/>
      <c r="E333" s="22" t="s">
        <v>68</v>
      </c>
      <c r="F333" s="22"/>
      <c r="G333" s="915">
        <v>43398</v>
      </c>
      <c r="H333" s="1746"/>
      <c r="I333" s="330">
        <v>43409</v>
      </c>
      <c r="J333" s="16">
        <v>2018</v>
      </c>
      <c r="K333" s="1417">
        <v>186.2</v>
      </c>
      <c r="L333" s="1417"/>
      <c r="M333" s="170" t="s">
        <v>77</v>
      </c>
      <c r="N333" s="971" t="s">
        <v>1081</v>
      </c>
      <c r="O333" s="172" t="s">
        <v>79</v>
      </c>
      <c r="P333" s="173" t="s">
        <v>1082</v>
      </c>
      <c r="Q333" s="173" t="s">
        <v>4409</v>
      </c>
      <c r="R333" s="174">
        <v>142196.43</v>
      </c>
      <c r="S333" s="589">
        <v>43258</v>
      </c>
      <c r="T333" s="609">
        <v>43258</v>
      </c>
      <c r="U333" s="610">
        <v>43287</v>
      </c>
      <c r="V333" s="68">
        <v>43257</v>
      </c>
      <c r="W333" s="116" t="s">
        <v>199</v>
      </c>
      <c r="X333" s="170" t="s">
        <v>213</v>
      </c>
      <c r="Y333" s="608">
        <v>43255</v>
      </c>
      <c r="Z333" s="1373"/>
      <c r="AA333" s="115" t="s">
        <v>1083</v>
      </c>
      <c r="AB333" s="8">
        <v>43256</v>
      </c>
      <c r="AC333" s="4">
        <v>142196.43</v>
      </c>
      <c r="AD333" s="4"/>
      <c r="AE333" s="32"/>
      <c r="AF333" s="34" t="s">
        <v>68</v>
      </c>
      <c r="AG333" s="112" t="s">
        <v>68</v>
      </c>
      <c r="AH333" s="112" t="s">
        <v>68</v>
      </c>
      <c r="AI333" s="7" t="s">
        <v>68</v>
      </c>
      <c r="AJ333" s="109" t="s">
        <v>68</v>
      </c>
      <c r="AK333" s="115" t="s">
        <v>1017</v>
      </c>
      <c r="AL333" s="1" t="s">
        <v>68</v>
      </c>
      <c r="AM333" s="5"/>
      <c r="AN333" s="1" t="s">
        <v>1084</v>
      </c>
      <c r="AO333" s="5">
        <v>43258</v>
      </c>
      <c r="AP333" s="1" t="s">
        <v>1085</v>
      </c>
      <c r="AQ333" s="60">
        <v>43287</v>
      </c>
      <c r="AR333" s="279">
        <f>14219.64+14219.64</f>
        <v>28439.279999999999</v>
      </c>
      <c r="AS333" s="35">
        <v>0</v>
      </c>
      <c r="AT333" s="901">
        <v>142196.43</v>
      </c>
      <c r="AU333" s="890"/>
      <c r="AV333" s="339">
        <v>43258</v>
      </c>
      <c r="AW333" s="11">
        <v>43287</v>
      </c>
      <c r="AX333" s="223" t="s">
        <v>68</v>
      </c>
      <c r="AY333" s="52" t="s">
        <v>68</v>
      </c>
      <c r="AZ333" s="339">
        <v>43287</v>
      </c>
      <c r="BA333" s="71">
        <v>43258</v>
      </c>
      <c r="BB333" s="71">
        <v>43287</v>
      </c>
      <c r="BC333" s="860">
        <v>43287</v>
      </c>
      <c r="BD333" s="339">
        <v>43287</v>
      </c>
      <c r="BE333" s="1616"/>
      <c r="BF333" s="71">
        <v>43258</v>
      </c>
      <c r="BG333" s="71">
        <v>43287</v>
      </c>
      <c r="BH333" s="71">
        <v>43286</v>
      </c>
      <c r="BI333" s="129">
        <f t="shared" si="9"/>
        <v>142196.43</v>
      </c>
      <c r="BJ333" s="631">
        <v>43287</v>
      </c>
      <c r="BK333" s="68"/>
      <c r="BL333" s="676"/>
      <c r="BM333" s="474"/>
      <c r="BN333" s="5">
        <v>43287</v>
      </c>
      <c r="BO333" s="5"/>
      <c r="BP333" s="5"/>
      <c r="BQ333" s="5"/>
      <c r="BR333" s="5"/>
      <c r="BS333" s="474"/>
      <c r="BT333" s="880"/>
      <c r="BU333" s="880"/>
      <c r="BV333" s="692"/>
      <c r="BW333" s="13"/>
      <c r="BX333" s="13"/>
      <c r="BY333" s="13"/>
      <c r="BZ333" s="13"/>
      <c r="CA333" s="13"/>
      <c r="CB333" s="1221" t="s">
        <v>1563</v>
      </c>
      <c r="CC333" s="586" t="s">
        <v>454</v>
      </c>
      <c r="CD333" s="526"/>
      <c r="CE333" s="526"/>
      <c r="CF333" s="526"/>
      <c r="CG333" s="526"/>
      <c r="CH333" s="526"/>
      <c r="CI333" s="526"/>
      <c r="CJ333" s="526"/>
      <c r="CK333" s="15"/>
    </row>
    <row r="334" spans="2:89" customFormat="1" ht="66.75" hidden="1" customHeight="1">
      <c r="B334" s="22"/>
      <c r="C334" s="22"/>
      <c r="D334" s="22"/>
      <c r="E334" s="22" t="s">
        <v>68</v>
      </c>
      <c r="F334" s="22"/>
      <c r="G334" s="915">
        <v>43432</v>
      </c>
      <c r="H334" s="1746"/>
      <c r="I334" s="330">
        <v>43389</v>
      </c>
      <c r="J334" s="16">
        <v>2018</v>
      </c>
      <c r="K334" s="1417">
        <v>186.21</v>
      </c>
      <c r="L334" s="1417"/>
      <c r="M334" s="170" t="s">
        <v>77</v>
      </c>
      <c r="N334" s="971" t="s">
        <v>1086</v>
      </c>
      <c r="O334" s="172" t="s">
        <v>79</v>
      </c>
      <c r="P334" s="173" t="s">
        <v>1087</v>
      </c>
      <c r="Q334" s="173" t="s">
        <v>4409</v>
      </c>
      <c r="R334" s="174">
        <v>32872.07</v>
      </c>
      <c r="S334" s="589">
        <v>43258</v>
      </c>
      <c r="T334" s="609">
        <v>43262</v>
      </c>
      <c r="U334" s="610">
        <v>43267</v>
      </c>
      <c r="V334" s="68">
        <v>43257</v>
      </c>
      <c r="W334" s="116" t="s">
        <v>199</v>
      </c>
      <c r="X334" s="18" t="s">
        <v>3047</v>
      </c>
      <c r="Y334" s="608">
        <v>43257</v>
      </c>
      <c r="Z334" s="1373"/>
      <c r="AA334" s="115" t="s">
        <v>1088</v>
      </c>
      <c r="AB334" s="8">
        <v>43259</v>
      </c>
      <c r="AC334" s="4">
        <v>32872.07</v>
      </c>
      <c r="AD334" s="4"/>
      <c r="AE334" s="32"/>
      <c r="AF334" s="34" t="s">
        <v>68</v>
      </c>
      <c r="AG334" s="112" t="s">
        <v>68</v>
      </c>
      <c r="AH334" s="112" t="s">
        <v>68</v>
      </c>
      <c r="AI334" s="7" t="s">
        <v>68</v>
      </c>
      <c r="AJ334" s="109" t="s">
        <v>68</v>
      </c>
      <c r="AK334" s="115" t="s">
        <v>186</v>
      </c>
      <c r="AL334" s="1" t="s">
        <v>68</v>
      </c>
      <c r="AM334" s="5"/>
      <c r="AN334" s="1" t="s">
        <v>1089</v>
      </c>
      <c r="AO334" s="5">
        <v>43288</v>
      </c>
      <c r="AP334" s="1" t="s">
        <v>1090</v>
      </c>
      <c r="AQ334" s="5">
        <v>43269</v>
      </c>
      <c r="AR334" s="279">
        <f>3287.2+3287.21</f>
        <v>6574.41</v>
      </c>
      <c r="AS334" s="35">
        <v>0</v>
      </c>
      <c r="AT334" s="895">
        <v>32872.07</v>
      </c>
      <c r="AU334" s="884">
        <v>32872.07</v>
      </c>
      <c r="AV334" s="70">
        <v>43261</v>
      </c>
      <c r="AW334" s="11">
        <v>43267</v>
      </c>
      <c r="AX334" s="223" t="s">
        <v>68</v>
      </c>
      <c r="AY334" s="52" t="s">
        <v>68</v>
      </c>
      <c r="AZ334" s="70">
        <v>43269</v>
      </c>
      <c r="BA334" s="5">
        <v>43262</v>
      </c>
      <c r="BB334" s="5">
        <v>43266</v>
      </c>
      <c r="BC334" s="11"/>
      <c r="BD334" s="70">
        <v>43270</v>
      </c>
      <c r="BE334" s="1614"/>
      <c r="BF334" s="71">
        <v>43262</v>
      </c>
      <c r="BG334" s="71">
        <v>43266</v>
      </c>
      <c r="BH334" s="71">
        <v>43266</v>
      </c>
      <c r="BI334" s="129">
        <f t="shared" si="9"/>
        <v>32872.07</v>
      </c>
      <c r="BJ334" s="62">
        <v>43270</v>
      </c>
      <c r="BK334" s="105"/>
      <c r="BL334" s="105">
        <v>43258</v>
      </c>
      <c r="BM334" s="474"/>
      <c r="BN334" s="474"/>
      <c r="BO334" s="474"/>
      <c r="BP334" s="474"/>
      <c r="BQ334" s="474"/>
      <c r="BR334" s="474"/>
      <c r="BS334" s="5">
        <v>43267</v>
      </c>
      <c r="BT334" s="52"/>
      <c r="BU334" s="52"/>
      <c r="BV334" s="692"/>
      <c r="BW334" s="13"/>
      <c r="BX334" s="13"/>
      <c r="BY334" s="13"/>
      <c r="BZ334" s="13"/>
      <c r="CA334" s="13"/>
      <c r="CB334" s="1221" t="s">
        <v>1563</v>
      </c>
      <c r="CC334" s="321" t="s">
        <v>459</v>
      </c>
      <c r="CD334" s="526"/>
      <c r="CE334" s="526"/>
      <c r="CF334" s="526"/>
      <c r="CG334" s="526"/>
      <c r="CH334" s="526"/>
      <c r="CI334" s="526"/>
      <c r="CJ334" s="526"/>
      <c r="CK334" s="15"/>
    </row>
    <row r="335" spans="2:89" customFormat="1" ht="98.25" hidden="1" customHeight="1">
      <c r="B335" s="22"/>
      <c r="C335" s="22"/>
      <c r="D335" s="22"/>
      <c r="E335" s="22" t="s">
        <v>68</v>
      </c>
      <c r="F335" s="22"/>
      <c r="G335" s="915">
        <v>43363</v>
      </c>
      <c r="H335" s="1746"/>
      <c r="I335" s="330">
        <v>43389</v>
      </c>
      <c r="J335" s="16">
        <v>2018</v>
      </c>
      <c r="K335" s="1417">
        <v>186.22</v>
      </c>
      <c r="L335" s="1417"/>
      <c r="M335" s="170" t="s">
        <v>166</v>
      </c>
      <c r="N335" s="178" t="s">
        <v>1091</v>
      </c>
      <c r="O335" s="172" t="s">
        <v>79</v>
      </c>
      <c r="P335" s="173" t="s">
        <v>1092</v>
      </c>
      <c r="Q335" s="173" t="s">
        <v>1975</v>
      </c>
      <c r="R335" s="174">
        <v>243028.37</v>
      </c>
      <c r="S335" s="590">
        <v>43274</v>
      </c>
      <c r="T335" s="609">
        <v>43274</v>
      </c>
      <c r="U335" s="177">
        <v>43304</v>
      </c>
      <c r="V335" s="68">
        <v>43274</v>
      </c>
      <c r="W335" s="178" t="s">
        <v>637</v>
      </c>
      <c r="X335" s="170" t="s">
        <v>709</v>
      </c>
      <c r="Y335" s="461" t="s">
        <v>74</v>
      </c>
      <c r="Z335" s="1371"/>
      <c r="AA335" s="115" t="s">
        <v>1093</v>
      </c>
      <c r="AB335" s="8">
        <v>43273</v>
      </c>
      <c r="AC335" s="4">
        <v>243028.37</v>
      </c>
      <c r="AD335" s="4"/>
      <c r="AE335" s="32"/>
      <c r="AF335" s="34" t="s">
        <v>68</v>
      </c>
      <c r="AG335" s="112" t="s">
        <v>68</v>
      </c>
      <c r="AH335" s="112" t="s">
        <v>68</v>
      </c>
      <c r="AI335" s="7" t="s">
        <v>68</v>
      </c>
      <c r="AJ335" s="109" t="s">
        <v>68</v>
      </c>
      <c r="AK335" s="115" t="s">
        <v>855</v>
      </c>
      <c r="AL335" s="1" t="s">
        <v>68</v>
      </c>
      <c r="AM335" s="5"/>
      <c r="AN335" s="1">
        <v>1832459</v>
      </c>
      <c r="AO335" s="5">
        <v>43277</v>
      </c>
      <c r="AP335" s="219">
        <v>18432569</v>
      </c>
      <c r="AQ335" s="5">
        <v>43304</v>
      </c>
      <c r="AR335" s="279">
        <f>24302.83+24302.83</f>
        <v>48605.66</v>
      </c>
      <c r="AS335" s="35">
        <v>0</v>
      </c>
      <c r="AT335" s="895">
        <v>242768.95</v>
      </c>
      <c r="AU335" s="884"/>
      <c r="AV335" s="337" t="s">
        <v>74</v>
      </c>
      <c r="AW335" s="11"/>
      <c r="AX335" s="223" t="s">
        <v>68</v>
      </c>
      <c r="AY335" s="52" t="s">
        <v>68</v>
      </c>
      <c r="AZ335" s="339">
        <v>43292</v>
      </c>
      <c r="BA335" s="5">
        <v>43276</v>
      </c>
      <c r="BB335" s="5">
        <v>43304</v>
      </c>
      <c r="BC335" s="11"/>
      <c r="BD335" s="339">
        <v>43293</v>
      </c>
      <c r="BE335" s="1616"/>
      <c r="BF335" s="5">
        <v>43276</v>
      </c>
      <c r="BG335" s="474">
        <v>43292</v>
      </c>
      <c r="BH335" s="5">
        <v>43292</v>
      </c>
      <c r="BI335" s="548">
        <f t="shared" si="9"/>
        <v>242768.95</v>
      </c>
      <c r="BJ335" s="62">
        <v>43293</v>
      </c>
      <c r="BK335" s="105"/>
      <c r="BL335" s="105"/>
      <c r="BM335" s="5"/>
      <c r="BN335" s="5"/>
      <c r="BO335" s="52"/>
      <c r="BP335" s="52"/>
      <c r="BQ335" s="52"/>
      <c r="BR335" s="52"/>
      <c r="BS335" s="52"/>
      <c r="BT335" s="52"/>
      <c r="BU335" s="52"/>
      <c r="BV335" s="53"/>
      <c r="BW335" s="13"/>
      <c r="BX335" s="13"/>
      <c r="BY335" s="13"/>
      <c r="BZ335" s="13"/>
      <c r="CA335" s="13"/>
      <c r="CB335" s="1221" t="s">
        <v>1563</v>
      </c>
      <c r="CC335" s="321" t="s">
        <v>459</v>
      </c>
      <c r="CD335" s="526"/>
      <c r="CE335" s="526"/>
      <c r="CF335" s="526"/>
      <c r="CG335" s="526"/>
      <c r="CH335" s="526"/>
      <c r="CI335" s="526"/>
      <c r="CJ335" s="526"/>
      <c r="CK335" s="15"/>
    </row>
    <row r="336" spans="2:89" customFormat="1" ht="127.5" hidden="1" customHeight="1">
      <c r="B336" s="22"/>
      <c r="C336" s="22" t="s">
        <v>969</v>
      </c>
      <c r="D336" s="22"/>
      <c r="E336" s="22" t="s">
        <v>68</v>
      </c>
      <c r="F336" s="22"/>
      <c r="G336" s="915">
        <v>43383</v>
      </c>
      <c r="H336" s="1746"/>
      <c r="I336" s="330">
        <v>43389</v>
      </c>
      <c r="J336" s="16">
        <v>2018</v>
      </c>
      <c r="K336" s="1417">
        <v>186.23</v>
      </c>
      <c r="L336" s="1417"/>
      <c r="M336" s="170" t="s">
        <v>166</v>
      </c>
      <c r="N336" s="178" t="s">
        <v>1094</v>
      </c>
      <c r="O336" s="172" t="s">
        <v>79</v>
      </c>
      <c r="P336" s="173" t="s">
        <v>1095</v>
      </c>
      <c r="Q336" s="173" t="s">
        <v>4823</v>
      </c>
      <c r="R336" s="174">
        <v>1099823.45</v>
      </c>
      <c r="S336" s="589">
        <v>43300</v>
      </c>
      <c r="T336" s="609">
        <v>43300</v>
      </c>
      <c r="U336" s="610">
        <v>43364</v>
      </c>
      <c r="V336" s="68">
        <v>43299</v>
      </c>
      <c r="W336" s="178" t="s">
        <v>1009</v>
      </c>
      <c r="X336" s="170" t="s">
        <v>709</v>
      </c>
      <c r="Y336" s="461" t="s">
        <v>74</v>
      </c>
      <c r="Z336" s="1371"/>
      <c r="AA336" s="115" t="s">
        <v>1096</v>
      </c>
      <c r="AB336" s="8">
        <v>43298</v>
      </c>
      <c r="AC336" s="4">
        <v>1099823.45</v>
      </c>
      <c r="AD336" s="4"/>
      <c r="AE336" s="32"/>
      <c r="AF336" s="34" t="s">
        <v>68</v>
      </c>
      <c r="AG336" s="112" t="s">
        <v>68</v>
      </c>
      <c r="AH336" s="112" t="s">
        <v>68</v>
      </c>
      <c r="AI336" s="7" t="s">
        <v>68</v>
      </c>
      <c r="AJ336" s="109" t="s">
        <v>68</v>
      </c>
      <c r="AK336" s="115" t="s">
        <v>107</v>
      </c>
      <c r="AL336" s="1" t="s">
        <v>1097</v>
      </c>
      <c r="AM336" s="5">
        <v>43297</v>
      </c>
      <c r="AN336" s="1" t="s">
        <v>1098</v>
      </c>
      <c r="AO336" s="5">
        <v>43297</v>
      </c>
      <c r="AP336" s="1" t="s">
        <v>83</v>
      </c>
      <c r="AQ336" s="1"/>
      <c r="AR336" s="279">
        <f>274955.86+109982.34</f>
        <v>384938.19999999995</v>
      </c>
      <c r="AS336" s="35">
        <v>0</v>
      </c>
      <c r="AT336" s="895">
        <v>1099821.05</v>
      </c>
      <c r="AU336" s="884">
        <v>1099821.29</v>
      </c>
      <c r="AV336" s="337" t="s">
        <v>74</v>
      </c>
      <c r="AW336" s="11"/>
      <c r="AX336" s="223" t="s">
        <v>68</v>
      </c>
      <c r="AY336" s="52" t="s">
        <v>68</v>
      </c>
      <c r="AZ336" s="339">
        <v>43364</v>
      </c>
      <c r="BA336" s="5">
        <v>43300</v>
      </c>
      <c r="BB336" s="5">
        <v>43364</v>
      </c>
      <c r="BC336" s="11">
        <v>43363</v>
      </c>
      <c r="BD336" s="339">
        <v>43367</v>
      </c>
      <c r="BE336" s="1616"/>
      <c r="BF336" s="71">
        <v>43300</v>
      </c>
      <c r="BG336" s="71">
        <v>43364</v>
      </c>
      <c r="BH336" s="71">
        <v>43363</v>
      </c>
      <c r="BI336" s="129">
        <f t="shared" si="9"/>
        <v>1099821.05</v>
      </c>
      <c r="BJ336" s="62">
        <v>43367</v>
      </c>
      <c r="BK336" s="105"/>
      <c r="BL336" s="105"/>
      <c r="BM336" s="5"/>
      <c r="BN336" s="5"/>
      <c r="BO336" s="52"/>
      <c r="BP336" s="52"/>
      <c r="BQ336" s="52"/>
      <c r="BR336" s="52"/>
      <c r="BS336" s="52"/>
      <c r="BT336" s="52"/>
      <c r="BU336" s="52"/>
      <c r="BV336" s="53"/>
      <c r="BW336" s="13"/>
      <c r="BX336" s="13"/>
      <c r="BY336" s="13"/>
      <c r="BZ336" s="13"/>
      <c r="CA336" s="13"/>
      <c r="CB336" s="1221" t="s">
        <v>1563</v>
      </c>
      <c r="CC336" s="321" t="s">
        <v>459</v>
      </c>
      <c r="CD336" s="526"/>
      <c r="CE336" s="526"/>
      <c r="CF336" s="526"/>
      <c r="CG336" s="526"/>
      <c r="CH336" s="526"/>
      <c r="CI336" s="526"/>
      <c r="CJ336" s="526"/>
      <c r="CK336" s="15"/>
    </row>
    <row r="337" spans="1:89" ht="86.25" hidden="1" customHeight="1">
      <c r="A337"/>
      <c r="B337" s="22"/>
      <c r="C337" s="22" t="s">
        <v>969</v>
      </c>
      <c r="D337" s="22"/>
      <c r="E337" s="22" t="s">
        <v>68</v>
      </c>
      <c r="F337" s="22"/>
      <c r="G337" s="915">
        <v>43553</v>
      </c>
      <c r="H337" s="1746"/>
      <c r="I337" s="330">
        <v>43389</v>
      </c>
      <c r="J337" s="169">
        <v>2018</v>
      </c>
      <c r="K337" s="1417">
        <v>186.24</v>
      </c>
      <c r="L337" s="1417"/>
      <c r="M337" s="170" t="s">
        <v>867</v>
      </c>
      <c r="N337" s="178" t="s">
        <v>1099</v>
      </c>
      <c r="O337" s="172" t="s">
        <v>615</v>
      </c>
      <c r="P337" s="173" t="s">
        <v>1100</v>
      </c>
      <c r="Q337" s="173"/>
      <c r="R337" s="174">
        <v>2940000</v>
      </c>
      <c r="S337" s="590">
        <v>43307</v>
      </c>
      <c r="T337" s="176">
        <v>43311</v>
      </c>
      <c r="U337" s="177">
        <v>43373</v>
      </c>
      <c r="V337" s="677" t="s">
        <v>68</v>
      </c>
      <c r="W337" s="178" t="s">
        <v>1101</v>
      </c>
      <c r="X337" s="170" t="s">
        <v>114</v>
      </c>
      <c r="Y337" s="461" t="s">
        <v>74</v>
      </c>
      <c r="Z337" s="1371"/>
      <c r="AA337" s="115" t="s">
        <v>1102</v>
      </c>
      <c r="AB337" s="8">
        <v>43166</v>
      </c>
      <c r="AC337" s="4">
        <v>3000000</v>
      </c>
      <c r="AD337" s="4"/>
      <c r="AE337" s="32"/>
      <c r="AF337" s="339">
        <v>43291</v>
      </c>
      <c r="AG337" s="180">
        <v>43293</v>
      </c>
      <c r="AH337" s="180">
        <v>43293</v>
      </c>
      <c r="AI337" s="179">
        <v>43298</v>
      </c>
      <c r="AJ337" s="685">
        <v>43299</v>
      </c>
      <c r="AK337" s="115" t="s">
        <v>1017</v>
      </c>
      <c r="AL337" s="1" t="s">
        <v>1103</v>
      </c>
      <c r="AM337" s="5">
        <v>43307</v>
      </c>
      <c r="AN337" s="1" t="s">
        <v>1104</v>
      </c>
      <c r="AO337" s="5">
        <v>43311</v>
      </c>
      <c r="AP337" s="1" t="s">
        <v>83</v>
      </c>
      <c r="AQ337" s="1"/>
      <c r="AR337" s="279">
        <f>735000+294000</f>
        <v>1029000</v>
      </c>
      <c r="AS337" s="35">
        <v>0</v>
      </c>
      <c r="AT337" s="902"/>
      <c r="AU337" s="891">
        <v>2940000.03</v>
      </c>
      <c r="AV337" s="337" t="s">
        <v>74</v>
      </c>
      <c r="AW337" s="11"/>
      <c r="AX337" s="223" t="s">
        <v>68</v>
      </c>
      <c r="AY337" s="52" t="s">
        <v>68</v>
      </c>
      <c r="AZ337" s="337" t="s">
        <v>74</v>
      </c>
      <c r="BA337" s="1"/>
      <c r="BB337" s="1"/>
      <c r="BC337" s="17"/>
      <c r="BD337" s="337" t="s">
        <v>352</v>
      </c>
      <c r="BE337" s="1619"/>
      <c r="BF337" s="5">
        <v>43172</v>
      </c>
      <c r="BG337" s="5">
        <v>43373</v>
      </c>
      <c r="BH337" s="5">
        <v>43373</v>
      </c>
      <c r="BI337" s="36">
        <v>2939999.99</v>
      </c>
      <c r="BJ337" s="202"/>
      <c r="BK337" s="1362"/>
      <c r="BL337" s="676"/>
      <c r="BM337" s="474"/>
      <c r="BN337" s="474"/>
      <c r="BO337" s="880"/>
      <c r="BP337" s="880"/>
      <c r="BQ337" s="880"/>
      <c r="BR337" s="880"/>
      <c r="BS337" s="880"/>
      <c r="BT337" s="880"/>
      <c r="BU337" s="880"/>
      <c r="BV337" s="692"/>
      <c r="BW337" s="13"/>
      <c r="BX337" s="13"/>
      <c r="BY337" s="13"/>
      <c r="BZ337" s="13"/>
      <c r="CA337" s="13"/>
      <c r="CB337" s="1221" t="s">
        <v>1563</v>
      </c>
      <c r="CC337" s="321" t="s">
        <v>459</v>
      </c>
      <c r="CD337" s="526"/>
      <c r="CE337" s="526"/>
      <c r="CF337" s="526"/>
      <c r="CG337" s="526"/>
      <c r="CH337" s="526"/>
      <c r="CI337" s="526"/>
      <c r="CJ337" s="526"/>
      <c r="CK337" s="15"/>
    </row>
    <row r="338" spans="1:89" ht="75.75" hidden="1" customHeight="1">
      <c r="A338" t="s">
        <v>524</v>
      </c>
      <c r="B338" s="22"/>
      <c r="C338" s="22" t="s">
        <v>969</v>
      </c>
      <c r="D338" s="22"/>
      <c r="E338" s="22" t="s">
        <v>68</v>
      </c>
      <c r="F338" s="22"/>
      <c r="G338" s="915">
        <v>43383</v>
      </c>
      <c r="H338" s="1746"/>
      <c r="I338" s="330">
        <v>43389</v>
      </c>
      <c r="J338" s="169">
        <v>2018</v>
      </c>
      <c r="K338" s="1417">
        <v>186.25</v>
      </c>
      <c r="L338" s="1417"/>
      <c r="M338" s="170" t="s">
        <v>77</v>
      </c>
      <c r="N338" s="971" t="s">
        <v>1105</v>
      </c>
      <c r="O338" s="172" t="s">
        <v>79</v>
      </c>
      <c r="P338" s="451" t="s">
        <v>1106</v>
      </c>
      <c r="Q338" s="451" t="s">
        <v>4409</v>
      </c>
      <c r="R338" s="174">
        <v>452456.16</v>
      </c>
      <c r="S338" s="589">
        <v>43326</v>
      </c>
      <c r="T338" s="609">
        <v>43326</v>
      </c>
      <c r="U338" s="610">
        <v>43357</v>
      </c>
      <c r="V338" s="68">
        <v>43326</v>
      </c>
      <c r="W338" s="178" t="s">
        <v>1051</v>
      </c>
      <c r="X338" s="170" t="s">
        <v>1107</v>
      </c>
      <c r="Y338" s="608">
        <v>43319</v>
      </c>
      <c r="Z338" s="1373"/>
      <c r="AA338" s="115" t="s">
        <v>1108</v>
      </c>
      <c r="AB338" s="8">
        <v>43325</v>
      </c>
      <c r="AC338" s="4">
        <v>452456.16</v>
      </c>
      <c r="AD338" s="4"/>
      <c r="AE338" s="32"/>
      <c r="AF338" s="34" t="s">
        <v>68</v>
      </c>
      <c r="AG338" s="112" t="s">
        <v>68</v>
      </c>
      <c r="AH338" s="112" t="s">
        <v>68</v>
      </c>
      <c r="AI338" s="7" t="s">
        <v>68</v>
      </c>
      <c r="AJ338" s="109" t="s">
        <v>68</v>
      </c>
      <c r="AK338" s="115" t="s">
        <v>589</v>
      </c>
      <c r="AL338" s="1" t="s">
        <v>68</v>
      </c>
      <c r="AM338" s="5"/>
      <c r="AN338" s="1">
        <v>1936120</v>
      </c>
      <c r="AO338" s="5">
        <v>43326</v>
      </c>
      <c r="AP338" s="1">
        <v>1945747</v>
      </c>
      <c r="AQ338" s="5">
        <v>43360</v>
      </c>
      <c r="AR338" s="279">
        <f>45245.62+45245.62</f>
        <v>90491.24</v>
      </c>
      <c r="AS338" s="35">
        <v>0</v>
      </c>
      <c r="AT338" s="895">
        <v>452456.16</v>
      </c>
      <c r="AU338" s="884">
        <v>452456.15</v>
      </c>
      <c r="AV338" s="66" t="s">
        <v>74</v>
      </c>
      <c r="AW338" s="11"/>
      <c r="AX338" s="223"/>
      <c r="AY338" s="52"/>
      <c r="AZ338" s="70">
        <v>43360</v>
      </c>
      <c r="BA338" s="5">
        <v>43326</v>
      </c>
      <c r="BB338" s="5">
        <v>43357</v>
      </c>
      <c r="BC338" s="5">
        <v>43357</v>
      </c>
      <c r="BD338" s="70">
        <v>43360</v>
      </c>
      <c r="BE338" s="1614"/>
      <c r="BF338" s="71">
        <v>43326</v>
      </c>
      <c r="BG338" s="71">
        <v>43357</v>
      </c>
      <c r="BH338" s="71">
        <v>43357</v>
      </c>
      <c r="BI338" s="463">
        <f>AS338+AT338</f>
        <v>452456.16</v>
      </c>
      <c r="BJ338" s="62">
        <v>43321</v>
      </c>
      <c r="BK338" s="105"/>
      <c r="BL338" s="105"/>
      <c r="BM338" s="5"/>
      <c r="BN338" s="5"/>
      <c r="BO338" s="52"/>
      <c r="BP338" s="52"/>
      <c r="BQ338" s="52"/>
      <c r="BR338" s="52"/>
      <c r="BS338" s="52"/>
      <c r="BT338" s="52"/>
      <c r="BU338" s="52"/>
      <c r="BV338" s="53"/>
      <c r="BW338" s="13"/>
      <c r="BX338" s="13"/>
      <c r="BY338" s="13"/>
      <c r="BZ338" s="13"/>
      <c r="CA338" s="13"/>
      <c r="CB338" s="1221" t="s">
        <v>1563</v>
      </c>
      <c r="CC338" s="321" t="s">
        <v>459</v>
      </c>
      <c r="CD338" s="526"/>
      <c r="CE338" s="526"/>
      <c r="CF338" s="526"/>
      <c r="CG338" s="526"/>
      <c r="CH338" s="526"/>
      <c r="CI338" s="526"/>
      <c r="CJ338" s="526"/>
      <c r="CK338" s="15"/>
    </row>
    <row r="339" spans="1:89" ht="62.25" hidden="1" customHeight="1">
      <c r="A339"/>
      <c r="B339" s="22"/>
      <c r="C339" s="22" t="s">
        <v>969</v>
      </c>
      <c r="D339" s="22"/>
      <c r="E339" s="22" t="s">
        <v>68</v>
      </c>
      <c r="F339" s="22"/>
      <c r="G339" s="915">
        <v>43363</v>
      </c>
      <c r="H339" s="1746"/>
      <c r="I339" s="330">
        <v>43409</v>
      </c>
      <c r="J339" s="169">
        <v>2018</v>
      </c>
      <c r="K339" s="1417">
        <v>186.26</v>
      </c>
      <c r="L339" s="1417"/>
      <c r="M339" s="170" t="s">
        <v>77</v>
      </c>
      <c r="N339" s="971" t="s">
        <v>1109</v>
      </c>
      <c r="O339" s="172" t="s">
        <v>79</v>
      </c>
      <c r="P339" s="173" t="s">
        <v>1110</v>
      </c>
      <c r="Q339" s="173" t="s">
        <v>4409</v>
      </c>
      <c r="R339" s="174">
        <v>412725.64</v>
      </c>
      <c r="S339" s="589">
        <v>43326</v>
      </c>
      <c r="T339" s="609">
        <v>43326</v>
      </c>
      <c r="U339" s="610">
        <v>43357</v>
      </c>
      <c r="V339" s="68">
        <v>43326</v>
      </c>
      <c r="W339" s="178" t="s">
        <v>1111</v>
      </c>
      <c r="X339" s="170" t="s">
        <v>1107</v>
      </c>
      <c r="Y339" s="608">
        <v>43319</v>
      </c>
      <c r="Z339" s="1373"/>
      <c r="AA339" s="115" t="s">
        <v>1108</v>
      </c>
      <c r="AB339" s="8">
        <v>43325</v>
      </c>
      <c r="AC339" s="4">
        <v>412725.64</v>
      </c>
      <c r="AD339" s="4"/>
      <c r="AE339" s="32"/>
      <c r="AF339" s="34" t="s">
        <v>68</v>
      </c>
      <c r="AG339" s="112" t="s">
        <v>68</v>
      </c>
      <c r="AH339" s="112" t="s">
        <v>68</v>
      </c>
      <c r="AI339" s="7" t="s">
        <v>68</v>
      </c>
      <c r="AJ339" s="109" t="s">
        <v>68</v>
      </c>
      <c r="AK339" s="115" t="s">
        <v>1112</v>
      </c>
      <c r="AL339" s="1" t="s">
        <v>68</v>
      </c>
      <c r="AM339" s="5"/>
      <c r="AN339" s="1" t="s">
        <v>1113</v>
      </c>
      <c r="AO339" s="5">
        <v>43326</v>
      </c>
      <c r="AP339" s="1" t="s">
        <v>83</v>
      </c>
      <c r="AQ339" s="1"/>
      <c r="AR339" s="279">
        <v>41242.559999999998</v>
      </c>
      <c r="AS339" s="35">
        <v>0</v>
      </c>
      <c r="AT339" s="895">
        <v>412725.63</v>
      </c>
      <c r="AU339" s="884">
        <v>412725.63</v>
      </c>
      <c r="AV339" s="66" t="s">
        <v>74</v>
      </c>
      <c r="AW339" s="11"/>
      <c r="AX339" s="223"/>
      <c r="AY339" s="52"/>
      <c r="AZ339" s="70">
        <v>43346</v>
      </c>
      <c r="BA339" s="5">
        <v>43326</v>
      </c>
      <c r="BB339" s="5">
        <v>43357</v>
      </c>
      <c r="BC339" s="11">
        <v>43342</v>
      </c>
      <c r="BD339" s="70">
        <v>43346</v>
      </c>
      <c r="BE339" s="1614"/>
      <c r="BF339" s="5">
        <v>43326</v>
      </c>
      <c r="BG339" s="5">
        <v>43357</v>
      </c>
      <c r="BH339" s="5">
        <v>43342</v>
      </c>
      <c r="BI339" s="548">
        <f>AS339+AT339</f>
        <v>412725.63</v>
      </c>
      <c r="BJ339" s="62">
        <v>43346</v>
      </c>
      <c r="BK339" s="105"/>
      <c r="BL339" s="105"/>
      <c r="BM339" s="5"/>
      <c r="BN339" s="5"/>
      <c r="BO339" s="52"/>
      <c r="BP339" s="52"/>
      <c r="BQ339" s="52"/>
      <c r="BR339" s="52"/>
      <c r="BS339" s="52"/>
      <c r="BT339" s="52"/>
      <c r="BU339" s="52"/>
      <c r="BV339" s="53"/>
      <c r="BW339" s="13"/>
      <c r="BX339" s="13"/>
      <c r="BY339" s="13"/>
      <c r="BZ339" s="13"/>
      <c r="CA339" s="13"/>
      <c r="CB339" s="1221" t="s">
        <v>1563</v>
      </c>
      <c r="CC339" s="321" t="s">
        <v>459</v>
      </c>
      <c r="CD339" s="526"/>
      <c r="CE339" s="526"/>
      <c r="CF339" s="526"/>
      <c r="CG339" s="526"/>
      <c r="CH339" s="526"/>
      <c r="CI339" s="526"/>
      <c r="CJ339" s="526"/>
      <c r="CK339" s="15"/>
    </row>
    <row r="340" spans="1:89" ht="95.25" hidden="1" customHeight="1">
      <c r="A340"/>
      <c r="B340" s="22"/>
      <c r="C340" s="22" t="s">
        <v>969</v>
      </c>
      <c r="D340" s="22"/>
      <c r="E340" s="22" t="s">
        <v>68</v>
      </c>
      <c r="F340" s="22"/>
      <c r="G340" s="915">
        <v>43399</v>
      </c>
      <c r="H340" s="1746"/>
      <c r="I340" s="330">
        <v>43409</v>
      </c>
      <c r="J340" s="169">
        <v>2018</v>
      </c>
      <c r="K340" s="1417">
        <v>186.27</v>
      </c>
      <c r="L340" s="1417"/>
      <c r="M340" s="170" t="s">
        <v>77</v>
      </c>
      <c r="N340" s="971" t="s">
        <v>1114</v>
      </c>
      <c r="O340" s="172" t="s">
        <v>79</v>
      </c>
      <c r="P340" s="173" t="s">
        <v>1115</v>
      </c>
      <c r="Q340" s="173" t="s">
        <v>2538</v>
      </c>
      <c r="R340" s="174">
        <v>732027.5</v>
      </c>
      <c r="S340" s="589">
        <v>43326</v>
      </c>
      <c r="T340" s="609">
        <v>43326</v>
      </c>
      <c r="U340" s="610">
        <v>43348</v>
      </c>
      <c r="V340" s="68">
        <v>43326</v>
      </c>
      <c r="W340" s="647" t="s">
        <v>185</v>
      </c>
      <c r="X340" s="636" t="s">
        <v>984</v>
      </c>
      <c r="Y340" s="608">
        <v>43340</v>
      </c>
      <c r="Z340" s="1373"/>
      <c r="AA340" s="115" t="s">
        <v>1116</v>
      </c>
      <c r="AB340" s="8">
        <v>43325</v>
      </c>
      <c r="AC340" s="4">
        <v>732027.5</v>
      </c>
      <c r="AD340" s="4"/>
      <c r="AE340" s="32"/>
      <c r="AF340" s="34" t="s">
        <v>68</v>
      </c>
      <c r="AG340" s="112" t="s">
        <v>68</v>
      </c>
      <c r="AH340" s="112" t="s">
        <v>68</v>
      </c>
      <c r="AI340" s="7" t="s">
        <v>68</v>
      </c>
      <c r="AJ340" s="109" t="s">
        <v>68</v>
      </c>
      <c r="AK340" s="33" t="s">
        <v>1112</v>
      </c>
      <c r="AL340" s="1" t="s">
        <v>1117</v>
      </c>
      <c r="AM340" s="5">
        <v>43326</v>
      </c>
      <c r="AN340" s="1" t="s">
        <v>1118</v>
      </c>
      <c r="AO340" s="5">
        <v>43326</v>
      </c>
      <c r="AP340" s="1" t="s">
        <v>1119</v>
      </c>
      <c r="AQ340" s="5">
        <v>43349</v>
      </c>
      <c r="AR340" s="279">
        <f>183006.87+73202.75+71711.11</f>
        <v>327920.73</v>
      </c>
      <c r="AS340" s="35">
        <v>0</v>
      </c>
      <c r="AT340" s="895">
        <v>717111.1</v>
      </c>
      <c r="AU340" s="916">
        <v>717085.81</v>
      </c>
      <c r="AV340" s="70">
        <v>43326</v>
      </c>
      <c r="AW340" s="11">
        <v>43348</v>
      </c>
      <c r="AX340" s="223" t="s">
        <v>68</v>
      </c>
      <c r="AY340" s="52" t="s">
        <v>68</v>
      </c>
      <c r="AZ340" s="70">
        <v>43348</v>
      </c>
      <c r="BA340" s="71">
        <v>43326</v>
      </c>
      <c r="BB340" s="71">
        <v>43348</v>
      </c>
      <c r="BC340" s="127">
        <v>43348</v>
      </c>
      <c r="BD340" s="70">
        <v>43348</v>
      </c>
      <c r="BE340" s="1614"/>
      <c r="BF340" s="5">
        <v>43326</v>
      </c>
      <c r="BG340" s="5">
        <v>43348</v>
      </c>
      <c r="BH340" s="5">
        <v>43348</v>
      </c>
      <c r="BI340" s="36">
        <f>AS340+AT340</f>
        <v>717111.1</v>
      </c>
      <c r="BJ340" s="62">
        <v>43349</v>
      </c>
      <c r="BK340" s="105"/>
      <c r="BL340" s="105">
        <v>43346</v>
      </c>
      <c r="BM340" s="5">
        <v>43328</v>
      </c>
      <c r="BN340" s="5">
        <v>43328</v>
      </c>
      <c r="BO340" s="52"/>
      <c r="BP340" s="52"/>
      <c r="BQ340" s="52"/>
      <c r="BR340" s="52"/>
      <c r="BS340" s="52"/>
      <c r="BT340" s="52"/>
      <c r="BU340" s="52"/>
      <c r="BV340" s="53"/>
      <c r="BW340" s="13"/>
      <c r="BX340" s="13"/>
      <c r="BY340" s="13"/>
      <c r="BZ340" s="13"/>
      <c r="CA340" s="13"/>
      <c r="CB340" s="1221" t="s">
        <v>1563</v>
      </c>
      <c r="CC340" s="586" t="s">
        <v>454</v>
      </c>
      <c r="CD340" s="526"/>
      <c r="CE340" s="526"/>
      <c r="CF340" s="526"/>
      <c r="CG340" s="526"/>
      <c r="CH340" s="526"/>
      <c r="CI340" s="526"/>
      <c r="CJ340" s="526"/>
      <c r="CK340" s="15"/>
    </row>
    <row r="341" spans="1:89" ht="68.25" hidden="1" customHeight="1">
      <c r="A341"/>
      <c r="B341" s="22"/>
      <c r="C341" s="22" t="s">
        <v>969</v>
      </c>
      <c r="D341" s="22"/>
      <c r="E341" s="22" t="s">
        <v>68</v>
      </c>
      <c r="F341" s="22"/>
      <c r="G341" s="915">
        <v>43432</v>
      </c>
      <c r="H341" s="1746"/>
      <c r="I341" s="330"/>
      <c r="J341" s="169">
        <v>2018</v>
      </c>
      <c r="K341" s="1417">
        <v>186.28</v>
      </c>
      <c r="L341" s="1417"/>
      <c r="M341" s="170" t="s">
        <v>77</v>
      </c>
      <c r="N341" s="971" t="s">
        <v>1120</v>
      </c>
      <c r="O341" s="172" t="s">
        <v>79</v>
      </c>
      <c r="P341" s="173" t="s">
        <v>1121</v>
      </c>
      <c r="Q341" s="173" t="s">
        <v>4409</v>
      </c>
      <c r="R341" s="174">
        <v>87399.62</v>
      </c>
      <c r="S341" s="589">
        <v>43326</v>
      </c>
      <c r="T341" s="609">
        <v>43333</v>
      </c>
      <c r="U341" s="610">
        <v>43358</v>
      </c>
      <c r="V341" s="68">
        <v>43326</v>
      </c>
      <c r="W341" s="178" t="s">
        <v>637</v>
      </c>
      <c r="X341" s="18" t="s">
        <v>3047</v>
      </c>
      <c r="Y341" s="608">
        <v>43319</v>
      </c>
      <c r="Z341" s="1373"/>
      <c r="AA341" s="115" t="s">
        <v>1122</v>
      </c>
      <c r="AB341" s="8">
        <v>43325</v>
      </c>
      <c r="AC341" s="4">
        <v>87399.62</v>
      </c>
      <c r="AD341" s="4"/>
      <c r="AE341" s="32"/>
      <c r="AF341" s="34" t="s">
        <v>68</v>
      </c>
      <c r="AG341" s="112" t="s">
        <v>68</v>
      </c>
      <c r="AH341" s="112" t="s">
        <v>68</v>
      </c>
      <c r="AI341" s="7" t="s">
        <v>68</v>
      </c>
      <c r="AJ341" s="109" t="s">
        <v>68</v>
      </c>
      <c r="AK341" s="115" t="s">
        <v>855</v>
      </c>
      <c r="AL341" s="1" t="s">
        <v>68</v>
      </c>
      <c r="AM341" s="5"/>
      <c r="AN341" s="1">
        <v>18342318</v>
      </c>
      <c r="AO341" s="5">
        <v>43326</v>
      </c>
      <c r="AP341" s="1">
        <v>18342320</v>
      </c>
      <c r="AQ341" s="5">
        <v>43326</v>
      </c>
      <c r="AR341" s="279">
        <f>8739.96*2</f>
        <v>17479.919999999998</v>
      </c>
      <c r="AS341" s="35">
        <v>0</v>
      </c>
      <c r="AT341" s="895">
        <v>86911</v>
      </c>
      <c r="AU341" s="884">
        <v>86911.46</v>
      </c>
      <c r="AV341" s="66" t="s">
        <v>74</v>
      </c>
      <c r="AW341" s="11"/>
      <c r="AX341" s="223" t="s">
        <v>68</v>
      </c>
      <c r="AY341" s="52" t="s">
        <v>68</v>
      </c>
      <c r="AZ341" s="70">
        <v>43356</v>
      </c>
      <c r="BA341" s="5">
        <v>43346</v>
      </c>
      <c r="BB341" s="5">
        <v>43358</v>
      </c>
      <c r="BC341" s="11"/>
      <c r="BD341" s="70">
        <v>43357</v>
      </c>
      <c r="BE341" s="1614"/>
      <c r="BF341" s="71">
        <v>43346</v>
      </c>
      <c r="BG341" s="71">
        <v>43358</v>
      </c>
      <c r="BH341" s="71">
        <v>43355</v>
      </c>
      <c r="BI341" s="129">
        <f>AS341+AT341+0.46</f>
        <v>86911.46</v>
      </c>
      <c r="BJ341" s="62">
        <v>43326</v>
      </c>
      <c r="BK341" s="105"/>
      <c r="BL341" s="105">
        <v>43326</v>
      </c>
      <c r="BM341" s="5">
        <v>43343</v>
      </c>
      <c r="BN341" s="5">
        <v>43343</v>
      </c>
      <c r="BO341" s="5"/>
      <c r="BP341" s="5"/>
      <c r="BQ341" s="5"/>
      <c r="BR341" s="5"/>
      <c r="BS341" s="474"/>
      <c r="BT341" s="880"/>
      <c r="BU341" s="880"/>
      <c r="BV341" s="53" t="s">
        <v>68</v>
      </c>
      <c r="BW341" s="13"/>
      <c r="BX341" s="13"/>
      <c r="BY341" s="13"/>
      <c r="BZ341" s="13"/>
      <c r="CA341" s="13"/>
      <c r="CB341" s="1221" t="s">
        <v>1563</v>
      </c>
      <c r="CC341" s="321" t="s">
        <v>459</v>
      </c>
      <c r="CD341" s="526"/>
      <c r="CE341" s="526"/>
      <c r="CF341" s="526"/>
      <c r="CG341" s="526"/>
      <c r="CH341" s="526"/>
      <c r="CI341" s="526"/>
      <c r="CJ341" s="526"/>
      <c r="CK341" s="15"/>
    </row>
    <row r="342" spans="1:89" ht="123" hidden="1" customHeight="1">
      <c r="A342"/>
      <c r="B342" s="22"/>
      <c r="C342" s="22" t="s">
        <v>969</v>
      </c>
      <c r="D342" s="22"/>
      <c r="E342" s="22" t="s">
        <v>68</v>
      </c>
      <c r="F342" s="22"/>
      <c r="G342" s="915">
        <v>43399</v>
      </c>
      <c r="H342" s="1746"/>
      <c r="I342" s="330"/>
      <c r="J342" s="169">
        <v>2018</v>
      </c>
      <c r="K342" s="1417">
        <v>186.29</v>
      </c>
      <c r="L342" s="1417"/>
      <c r="M342" s="170" t="s">
        <v>77</v>
      </c>
      <c r="N342" s="971" t="s">
        <v>1123</v>
      </c>
      <c r="O342" s="172" t="s">
        <v>79</v>
      </c>
      <c r="P342" s="173" t="s">
        <v>1124</v>
      </c>
      <c r="Q342" s="173" t="s">
        <v>2538</v>
      </c>
      <c r="R342" s="174">
        <v>458709.95</v>
      </c>
      <c r="S342" s="589">
        <v>43346</v>
      </c>
      <c r="T342" s="609">
        <v>43349</v>
      </c>
      <c r="U342" s="610">
        <v>43367</v>
      </c>
      <c r="V342" s="68">
        <v>43332</v>
      </c>
      <c r="W342" s="178" t="s">
        <v>185</v>
      </c>
      <c r="X342" s="170" t="s">
        <v>984</v>
      </c>
      <c r="Y342" s="608">
        <v>43340</v>
      </c>
      <c r="Z342" s="1373"/>
      <c r="AA342" s="115" t="s">
        <v>1116</v>
      </c>
      <c r="AB342" s="8">
        <v>43325</v>
      </c>
      <c r="AC342" s="4">
        <v>458709.95</v>
      </c>
      <c r="AD342" s="4"/>
      <c r="AE342" s="32"/>
      <c r="AF342" s="34" t="s">
        <v>68</v>
      </c>
      <c r="AG342" s="112" t="s">
        <v>68</v>
      </c>
      <c r="AH342" s="112" t="s">
        <v>68</v>
      </c>
      <c r="AI342" s="7" t="s">
        <v>68</v>
      </c>
      <c r="AJ342" s="109" t="s">
        <v>68</v>
      </c>
      <c r="AK342" s="33" t="s">
        <v>1112</v>
      </c>
      <c r="AL342" s="1" t="s">
        <v>1125</v>
      </c>
      <c r="AM342" s="5">
        <v>43346</v>
      </c>
      <c r="AN342" s="1" t="s">
        <v>1126</v>
      </c>
      <c r="AO342" s="5">
        <v>43346</v>
      </c>
      <c r="AP342" s="1" t="s">
        <v>1127</v>
      </c>
      <c r="AQ342" s="5">
        <v>43368</v>
      </c>
      <c r="AR342" s="279">
        <f>114677.48+45870.99+46913.1</f>
        <v>207461.57</v>
      </c>
      <c r="AS342" s="35">
        <v>0</v>
      </c>
      <c r="AT342" s="895">
        <v>468130.99</v>
      </c>
      <c r="AU342" s="916">
        <v>468215.84</v>
      </c>
      <c r="AV342" s="70">
        <v>43349</v>
      </c>
      <c r="AW342" s="11">
        <v>43367</v>
      </c>
      <c r="AX342" s="223" t="s">
        <v>68</v>
      </c>
      <c r="AY342" s="52" t="s">
        <v>68</v>
      </c>
      <c r="AZ342" s="70">
        <v>43348</v>
      </c>
      <c r="BA342" s="71">
        <v>43349</v>
      </c>
      <c r="BB342" s="71">
        <v>43367</v>
      </c>
      <c r="BC342" s="127">
        <v>43367</v>
      </c>
      <c r="BD342" s="70">
        <v>43367</v>
      </c>
      <c r="BE342" s="1614"/>
      <c r="BF342" s="5">
        <v>43349</v>
      </c>
      <c r="BG342" s="5">
        <v>43367</v>
      </c>
      <c r="BH342" s="5">
        <v>43367</v>
      </c>
      <c r="BI342" s="36">
        <f t="shared" ref="BI342:BI355" si="10">AS342+AT342</f>
        <v>468130.99</v>
      </c>
      <c r="BJ342" s="62">
        <v>43368</v>
      </c>
      <c r="BK342" s="105"/>
      <c r="BL342" s="105"/>
      <c r="BM342" s="5"/>
      <c r="BN342" s="5"/>
      <c r="BO342" s="52"/>
      <c r="BP342" s="52"/>
      <c r="BQ342" s="52"/>
      <c r="BR342" s="52"/>
      <c r="BS342" s="52"/>
      <c r="BT342" s="52"/>
      <c r="BU342" s="52"/>
      <c r="BV342" s="53"/>
      <c r="BW342" s="13"/>
      <c r="BX342" s="13"/>
      <c r="BY342" s="13"/>
      <c r="BZ342" s="13"/>
      <c r="CA342" s="13"/>
      <c r="CB342" s="1221" t="s">
        <v>1563</v>
      </c>
      <c r="CC342" s="586" t="s">
        <v>454</v>
      </c>
      <c r="CD342" s="526"/>
      <c r="CE342" s="526"/>
      <c r="CF342" s="526"/>
      <c r="CG342" s="526"/>
      <c r="CH342" s="526"/>
      <c r="CI342" s="526"/>
      <c r="CJ342" s="526"/>
      <c r="CK342" s="15"/>
    </row>
    <row r="343" spans="1:89" ht="121.5" hidden="1" customHeight="1">
      <c r="A343"/>
      <c r="B343" s="22"/>
      <c r="C343" s="22" t="s">
        <v>969</v>
      </c>
      <c r="D343" s="22"/>
      <c r="E343" s="22" t="s">
        <v>68</v>
      </c>
      <c r="F343" s="22"/>
      <c r="G343" s="915">
        <v>43399</v>
      </c>
      <c r="H343" s="1746"/>
      <c r="I343" s="330">
        <v>43409</v>
      </c>
      <c r="J343" s="169">
        <v>2018</v>
      </c>
      <c r="K343" s="1417">
        <v>186.3</v>
      </c>
      <c r="L343" s="1417"/>
      <c r="M343" s="170" t="s">
        <v>77</v>
      </c>
      <c r="N343" s="971" t="s">
        <v>1128</v>
      </c>
      <c r="O343" s="172" t="s">
        <v>79</v>
      </c>
      <c r="P343" s="173" t="s">
        <v>1129</v>
      </c>
      <c r="Q343" s="173" t="s">
        <v>2538</v>
      </c>
      <c r="R343" s="174">
        <v>615855.56999999995</v>
      </c>
      <c r="S343" s="589">
        <v>43326</v>
      </c>
      <c r="T343" s="609">
        <v>43326</v>
      </c>
      <c r="U343" s="610">
        <v>43348</v>
      </c>
      <c r="V343" s="68">
        <v>43326</v>
      </c>
      <c r="W343" s="116" t="s">
        <v>199</v>
      </c>
      <c r="X343" s="636" t="s">
        <v>984</v>
      </c>
      <c r="Y343" s="608">
        <v>43340</v>
      </c>
      <c r="Z343" s="1373"/>
      <c r="AA343" s="115" t="s">
        <v>1116</v>
      </c>
      <c r="AB343" s="8">
        <v>43325</v>
      </c>
      <c r="AC343" s="4">
        <v>615855.56999999995</v>
      </c>
      <c r="AD343" s="4"/>
      <c r="AE343" s="32"/>
      <c r="AF343" s="34" t="s">
        <v>68</v>
      </c>
      <c r="AG343" s="112" t="s">
        <v>68</v>
      </c>
      <c r="AH343" s="112" t="s">
        <v>68</v>
      </c>
      <c r="AI343" s="7" t="s">
        <v>68</v>
      </c>
      <c r="AJ343" s="109" t="s">
        <v>68</v>
      </c>
      <c r="AK343" s="33" t="s">
        <v>1112</v>
      </c>
      <c r="AL343" s="1" t="s">
        <v>1130</v>
      </c>
      <c r="AM343" s="5">
        <v>43326</v>
      </c>
      <c r="AN343" s="1" t="s">
        <v>1131</v>
      </c>
      <c r="AO343" s="5">
        <v>43326</v>
      </c>
      <c r="AP343" s="1" t="s">
        <v>1132</v>
      </c>
      <c r="AQ343" s="5">
        <v>43349</v>
      </c>
      <c r="AR343" s="279">
        <f>153963.89+61585.55+62135.09</f>
        <v>277684.53000000003</v>
      </c>
      <c r="AS343" s="35">
        <v>0</v>
      </c>
      <c r="AT343" s="895">
        <v>641350.92000000004</v>
      </c>
      <c r="AU343" s="916">
        <v>621352.49</v>
      </c>
      <c r="AV343" s="70">
        <v>43326</v>
      </c>
      <c r="AW343" s="11">
        <v>43348</v>
      </c>
      <c r="AX343" s="223" t="s">
        <v>68</v>
      </c>
      <c r="AY343" s="52" t="s">
        <v>68</v>
      </c>
      <c r="AZ343" s="70">
        <v>43348</v>
      </c>
      <c r="BA343" s="71">
        <v>43326</v>
      </c>
      <c r="BB343" s="71">
        <v>43348</v>
      </c>
      <c r="BC343" s="127">
        <v>43348</v>
      </c>
      <c r="BD343" s="70">
        <v>43348</v>
      </c>
      <c r="BE343" s="1614"/>
      <c r="BF343" s="5">
        <v>43326</v>
      </c>
      <c r="BG343" s="5">
        <v>43348</v>
      </c>
      <c r="BH343" s="5">
        <v>43348</v>
      </c>
      <c r="BI343" s="36">
        <f t="shared" si="10"/>
        <v>641350.92000000004</v>
      </c>
      <c r="BJ343" s="62">
        <v>43349</v>
      </c>
      <c r="BK343" s="105"/>
      <c r="BL343" s="105">
        <v>43346</v>
      </c>
      <c r="BM343" s="5">
        <v>43326</v>
      </c>
      <c r="BN343" s="5">
        <v>43328</v>
      </c>
      <c r="BO343" s="52"/>
      <c r="BP343" s="52"/>
      <c r="BQ343" s="52"/>
      <c r="BR343" s="52"/>
      <c r="BS343" s="52"/>
      <c r="BT343" s="52"/>
      <c r="BU343" s="52"/>
      <c r="BV343" s="53"/>
      <c r="BW343" s="13"/>
      <c r="BX343" s="13"/>
      <c r="BY343" s="13"/>
      <c r="BZ343" s="13"/>
      <c r="CA343" s="13"/>
      <c r="CB343" s="1221" t="s">
        <v>1563</v>
      </c>
      <c r="CC343" s="586" t="s">
        <v>454</v>
      </c>
      <c r="CD343" s="526"/>
      <c r="CE343" s="526"/>
      <c r="CF343" s="526"/>
      <c r="CG343" s="526"/>
      <c r="CH343" s="526"/>
      <c r="CI343" s="526"/>
      <c r="CJ343" s="526"/>
      <c r="CK343" s="15"/>
    </row>
    <row r="344" spans="1:89" ht="99" hidden="1" customHeight="1">
      <c r="A344"/>
      <c r="B344" s="22"/>
      <c r="C344" s="22"/>
      <c r="D344" s="22"/>
      <c r="E344" s="22" t="s">
        <v>68</v>
      </c>
      <c r="F344" s="22"/>
      <c r="G344" s="915">
        <v>43441</v>
      </c>
      <c r="H344" s="1746"/>
      <c r="I344" s="330">
        <v>43470</v>
      </c>
      <c r="J344" s="169">
        <v>2018</v>
      </c>
      <c r="K344" s="1417">
        <v>186.31</v>
      </c>
      <c r="L344" s="1417"/>
      <c r="M344" s="170" t="s">
        <v>77</v>
      </c>
      <c r="N344" s="971" t="s">
        <v>1133</v>
      </c>
      <c r="O344" s="172" t="s">
        <v>79</v>
      </c>
      <c r="P344" s="173" t="s">
        <v>1134</v>
      </c>
      <c r="Q344" s="173" t="s">
        <v>2512</v>
      </c>
      <c r="R344" s="174">
        <v>413195.74</v>
      </c>
      <c r="S344" s="589">
        <v>43320</v>
      </c>
      <c r="T344" s="176">
        <v>43322</v>
      </c>
      <c r="U344" s="177">
        <v>43341</v>
      </c>
      <c r="V344" s="105">
        <v>43318</v>
      </c>
      <c r="W344" s="178" t="s">
        <v>925</v>
      </c>
      <c r="X344" s="170" t="s">
        <v>709</v>
      </c>
      <c r="Y344" s="608">
        <v>43333</v>
      </c>
      <c r="Z344" s="1373"/>
      <c r="AA344" s="115" t="s">
        <v>1135</v>
      </c>
      <c r="AB344" s="8">
        <v>43273</v>
      </c>
      <c r="AC344" s="4">
        <v>413195.74</v>
      </c>
      <c r="AD344" s="4"/>
      <c r="AE344" s="32"/>
      <c r="AF344" s="34" t="s">
        <v>68</v>
      </c>
      <c r="AG344" s="112" t="s">
        <v>68</v>
      </c>
      <c r="AH344" s="112" t="s">
        <v>68</v>
      </c>
      <c r="AI344" s="7" t="s">
        <v>68</v>
      </c>
      <c r="AJ344" s="109" t="s">
        <v>68</v>
      </c>
      <c r="AK344" s="33" t="s">
        <v>1017</v>
      </c>
      <c r="AL344" s="1" t="s">
        <v>68</v>
      </c>
      <c r="AM344" s="5"/>
      <c r="AN344" s="1" t="s">
        <v>1136</v>
      </c>
      <c r="AO344" s="5">
        <v>43320</v>
      </c>
      <c r="AP344" s="1" t="s">
        <v>1137</v>
      </c>
      <c r="AQ344" s="5">
        <v>43342</v>
      </c>
      <c r="AR344" s="279">
        <f>41319.57+41233.19</f>
        <v>82552.760000000009</v>
      </c>
      <c r="AS344" s="35">
        <v>0</v>
      </c>
      <c r="AT344" s="895">
        <v>412331.96</v>
      </c>
      <c r="AU344" s="884">
        <v>412331.96</v>
      </c>
      <c r="AV344" s="66" t="s">
        <v>74</v>
      </c>
      <c r="AW344" s="11"/>
      <c r="AX344" s="223" t="s">
        <v>68</v>
      </c>
      <c r="AY344" s="52" t="s">
        <v>68</v>
      </c>
      <c r="AZ344" s="70">
        <v>43341</v>
      </c>
      <c r="BA344" s="71">
        <v>43322</v>
      </c>
      <c r="BB344" s="71">
        <v>43341</v>
      </c>
      <c r="BC344" s="127">
        <v>43341</v>
      </c>
      <c r="BD344" s="70">
        <v>43341</v>
      </c>
      <c r="BE344" s="1614"/>
      <c r="BF344" s="5">
        <v>43322</v>
      </c>
      <c r="BG344" s="5">
        <v>43341</v>
      </c>
      <c r="BH344" s="5">
        <v>43341</v>
      </c>
      <c r="BI344" s="36">
        <f t="shared" si="10"/>
        <v>412331.96</v>
      </c>
      <c r="BJ344" s="62">
        <v>43342</v>
      </c>
      <c r="BK344" s="105"/>
      <c r="BL344" s="676"/>
      <c r="BM344" s="474"/>
      <c r="BN344" s="474"/>
      <c r="BO344" s="474"/>
      <c r="BP344" s="474"/>
      <c r="BQ344" s="474"/>
      <c r="BR344" s="474"/>
      <c r="BS344" s="474"/>
      <c r="BT344" s="880"/>
      <c r="BU344" s="880"/>
      <c r="BV344" s="692"/>
      <c r="BW344" s="13"/>
      <c r="BX344" s="13"/>
      <c r="BY344" s="13"/>
      <c r="BZ344" s="13"/>
      <c r="CA344" s="13"/>
      <c r="CB344" s="1221" t="s">
        <v>1563</v>
      </c>
      <c r="CC344" s="321" t="s">
        <v>459</v>
      </c>
      <c r="CD344" s="526"/>
      <c r="CE344" s="526"/>
      <c r="CF344" s="526"/>
      <c r="CG344" s="526"/>
      <c r="CH344" s="526"/>
      <c r="CI344" s="526"/>
      <c r="CJ344" s="526"/>
      <c r="CK344" s="15"/>
    </row>
    <row r="345" spans="1:89" ht="64.5" hidden="1" customHeight="1">
      <c r="A345"/>
      <c r="B345" s="22"/>
      <c r="C345" s="22"/>
      <c r="D345" s="22"/>
      <c r="E345" s="22" t="s">
        <v>68</v>
      </c>
      <c r="F345" s="22"/>
      <c r="G345" s="915">
        <v>43441</v>
      </c>
      <c r="H345" s="1746"/>
      <c r="I345" s="330"/>
      <c r="J345" s="169">
        <v>2018</v>
      </c>
      <c r="K345" s="1417">
        <v>186.32</v>
      </c>
      <c r="L345" s="1417"/>
      <c r="M345" s="170" t="s">
        <v>77</v>
      </c>
      <c r="N345" s="971" t="s">
        <v>1138</v>
      </c>
      <c r="O345" s="172" t="s">
        <v>79</v>
      </c>
      <c r="P345" s="686" t="s">
        <v>1139</v>
      </c>
      <c r="Q345" s="686" t="s">
        <v>4409</v>
      </c>
      <c r="R345" s="687">
        <v>229200</v>
      </c>
      <c r="S345" s="654">
        <v>43329</v>
      </c>
      <c r="T345" s="176">
        <v>43332</v>
      </c>
      <c r="U345" s="177">
        <v>43353</v>
      </c>
      <c r="V345" s="346">
        <v>43326</v>
      </c>
      <c r="W345" s="178" t="s">
        <v>739</v>
      </c>
      <c r="X345" s="170" t="s">
        <v>709</v>
      </c>
      <c r="Y345" s="608">
        <v>43328</v>
      </c>
      <c r="Z345" s="1373"/>
      <c r="AA345" s="344" t="s">
        <v>1140</v>
      </c>
      <c r="AB345" s="8">
        <v>43298</v>
      </c>
      <c r="AC345" s="4">
        <v>229200</v>
      </c>
      <c r="AD345" s="4"/>
      <c r="AE345" s="32"/>
      <c r="AF345" s="34" t="s">
        <v>68</v>
      </c>
      <c r="AG345" s="112" t="s">
        <v>68</v>
      </c>
      <c r="AH345" s="112" t="s">
        <v>68</v>
      </c>
      <c r="AI345" s="7" t="s">
        <v>68</v>
      </c>
      <c r="AJ345" s="109" t="s">
        <v>68</v>
      </c>
      <c r="AK345" s="33" t="s">
        <v>787</v>
      </c>
      <c r="AL345" s="1">
        <v>2245765</v>
      </c>
      <c r="AM345" s="5">
        <v>43329</v>
      </c>
      <c r="AN345" s="219"/>
      <c r="AO345" s="5"/>
      <c r="AP345" s="219"/>
      <c r="AQ345" s="1"/>
      <c r="AR345" s="279">
        <f>57300</f>
        <v>57300</v>
      </c>
      <c r="AS345" s="35">
        <v>0</v>
      </c>
      <c r="AT345" s="895"/>
      <c r="AU345" s="884">
        <v>199349.33</v>
      </c>
      <c r="AV345" s="66" t="s">
        <v>74</v>
      </c>
      <c r="AW345" s="11"/>
      <c r="AX345" s="223"/>
      <c r="AY345" s="52"/>
      <c r="AZ345" s="117" t="s">
        <v>74</v>
      </c>
      <c r="BA345" s="1"/>
      <c r="BB345" s="1"/>
      <c r="BC345" s="17"/>
      <c r="BD345" s="117" t="s">
        <v>74</v>
      </c>
      <c r="BE345" s="1622"/>
      <c r="BF345" s="5"/>
      <c r="BG345" s="5"/>
      <c r="BH345" s="5"/>
      <c r="BI345" s="36">
        <f t="shared" si="10"/>
        <v>0</v>
      </c>
      <c r="BJ345" s="13"/>
      <c r="BK345" s="22"/>
      <c r="BL345" s="105"/>
      <c r="BM345" s="5"/>
      <c r="BN345" s="5"/>
      <c r="BO345" s="52"/>
      <c r="BP345" s="52"/>
      <c r="BQ345" s="52"/>
      <c r="BR345" s="52"/>
      <c r="BS345" s="52"/>
      <c r="BT345" s="52"/>
      <c r="BU345" s="52"/>
      <c r="BV345" s="53"/>
      <c r="BW345" s="13"/>
      <c r="BX345" s="13"/>
      <c r="BY345" s="13"/>
      <c r="BZ345" s="13"/>
      <c r="CA345" s="13"/>
      <c r="CB345" s="1221" t="s">
        <v>1563</v>
      </c>
      <c r="CC345" s="321" t="s">
        <v>459</v>
      </c>
      <c r="CD345" s="526"/>
      <c r="CE345" s="526"/>
      <c r="CF345" s="526"/>
      <c r="CG345" s="526"/>
      <c r="CH345" s="526"/>
      <c r="CI345" s="526"/>
      <c r="CJ345" s="526"/>
      <c r="CK345" s="15"/>
    </row>
    <row r="346" spans="1:89" ht="82.5" hidden="1" customHeight="1">
      <c r="A346"/>
      <c r="B346" s="22"/>
      <c r="C346" s="22" t="s">
        <v>969</v>
      </c>
      <c r="D346" s="22"/>
      <c r="E346" s="911">
        <v>43709</v>
      </c>
      <c r="F346" s="911"/>
      <c r="G346" s="915">
        <v>43560</v>
      </c>
      <c r="H346" s="1746"/>
      <c r="I346" s="330">
        <v>43560</v>
      </c>
      <c r="J346" s="169">
        <v>2018</v>
      </c>
      <c r="K346" s="1417">
        <v>187.01</v>
      </c>
      <c r="L346" s="1417"/>
      <c r="M346" s="170" t="s">
        <v>77</v>
      </c>
      <c r="N346" s="178" t="s">
        <v>948</v>
      </c>
      <c r="O346" s="2" t="s">
        <v>4032</v>
      </c>
      <c r="P346" s="173" t="s">
        <v>1141</v>
      </c>
      <c r="Q346" s="173" t="s">
        <v>4409</v>
      </c>
      <c r="R346" s="174">
        <v>257552.49</v>
      </c>
      <c r="S346" s="590">
        <v>43431</v>
      </c>
      <c r="T346" s="176">
        <v>43431</v>
      </c>
      <c r="U346" s="177">
        <v>43456</v>
      </c>
      <c r="V346" s="105" t="s">
        <v>68</v>
      </c>
      <c r="W346" s="178" t="s">
        <v>1177</v>
      </c>
      <c r="X346" s="170" t="s">
        <v>213</v>
      </c>
      <c r="Y346" s="200">
        <v>43433</v>
      </c>
      <c r="Z346" s="368"/>
      <c r="AA346" s="33" t="s">
        <v>1142</v>
      </c>
      <c r="AB346" s="8">
        <v>43430</v>
      </c>
      <c r="AC346" s="4">
        <v>257552.49</v>
      </c>
      <c r="AD346" s="4"/>
      <c r="AE346" s="32"/>
      <c r="AF346" s="34" t="s">
        <v>68</v>
      </c>
      <c r="AG346" s="112" t="s">
        <v>68</v>
      </c>
      <c r="AH346" s="112" t="s">
        <v>68</v>
      </c>
      <c r="AI346" s="7" t="s">
        <v>68</v>
      </c>
      <c r="AJ346" s="109" t="s">
        <v>68</v>
      </c>
      <c r="AK346" s="33" t="s">
        <v>68</v>
      </c>
      <c r="AL346" s="1" t="s">
        <v>68</v>
      </c>
      <c r="AM346" s="5" t="s">
        <v>68</v>
      </c>
      <c r="AN346" s="1" t="s">
        <v>68</v>
      </c>
      <c r="AO346" s="5" t="s">
        <v>68</v>
      </c>
      <c r="AP346" s="1" t="s">
        <v>68</v>
      </c>
      <c r="AQ346" s="1" t="s">
        <v>68</v>
      </c>
      <c r="AR346" s="279">
        <v>0</v>
      </c>
      <c r="AS346" s="35">
        <v>77500</v>
      </c>
      <c r="AT346" s="895">
        <v>179448.51</v>
      </c>
      <c r="AU346" s="884">
        <v>256948.51</v>
      </c>
      <c r="AV346" s="30">
        <v>43431</v>
      </c>
      <c r="AW346" s="11">
        <v>43451</v>
      </c>
      <c r="AX346" s="223"/>
      <c r="AY346" s="52"/>
      <c r="AZ346" s="230"/>
      <c r="BA346" s="5"/>
      <c r="BB346" s="5"/>
      <c r="BC346" s="11"/>
      <c r="BD346" s="30">
        <v>43456</v>
      </c>
      <c r="BE346" s="309"/>
      <c r="BF346" s="5">
        <v>43431</v>
      </c>
      <c r="BG346" s="5">
        <v>43456</v>
      </c>
      <c r="BH346" s="1"/>
      <c r="BI346" s="36">
        <f t="shared" si="10"/>
        <v>256948.51</v>
      </c>
      <c r="BJ346" s="13" t="s">
        <v>68</v>
      </c>
      <c r="BK346" s="352"/>
      <c r="BL346" s="336">
        <v>43432</v>
      </c>
      <c r="BM346" s="71" t="s">
        <v>68</v>
      </c>
      <c r="BN346" s="71" t="s">
        <v>68</v>
      </c>
      <c r="BO346" s="336"/>
      <c r="BP346" s="336"/>
      <c r="BQ346" s="336"/>
      <c r="BR346" s="336"/>
      <c r="BS346" s="336" t="s">
        <v>68</v>
      </c>
      <c r="BT346" s="336"/>
      <c r="BU346" s="336" t="s">
        <v>68</v>
      </c>
      <c r="BV346" s="336" t="s">
        <v>68</v>
      </c>
      <c r="BW346" s="13"/>
      <c r="BX346" s="13"/>
      <c r="BY346" s="13"/>
      <c r="BZ346" s="13"/>
      <c r="CA346" s="13"/>
      <c r="CB346" s="1222" t="s">
        <v>2094</v>
      </c>
      <c r="CC346" s="586" t="s">
        <v>1143</v>
      </c>
      <c r="CD346" s="526"/>
      <c r="CE346" s="526"/>
      <c r="CF346" s="526"/>
      <c r="CG346" s="526"/>
      <c r="CH346" s="526"/>
      <c r="CI346" s="526"/>
      <c r="CJ346" s="526"/>
      <c r="CK346" s="15"/>
    </row>
    <row r="347" spans="1:89" ht="84" hidden="1" customHeight="1">
      <c r="A347"/>
      <c r="B347" s="22"/>
      <c r="C347" s="22" t="s">
        <v>969</v>
      </c>
      <c r="D347" s="22"/>
      <c r="E347" s="911">
        <v>43709</v>
      </c>
      <c r="F347" s="911"/>
      <c r="G347" s="915">
        <v>43560</v>
      </c>
      <c r="H347" s="1746"/>
      <c r="I347" s="330">
        <v>43560</v>
      </c>
      <c r="J347" s="169">
        <v>2018</v>
      </c>
      <c r="K347" s="1417">
        <v>187.02</v>
      </c>
      <c r="L347" s="1417"/>
      <c r="M347" s="170" t="s">
        <v>77</v>
      </c>
      <c r="N347" s="178" t="s">
        <v>951</v>
      </c>
      <c r="O347" s="2" t="s">
        <v>4032</v>
      </c>
      <c r="P347" s="173" t="s">
        <v>1144</v>
      </c>
      <c r="Q347" s="173" t="s">
        <v>4409</v>
      </c>
      <c r="R347" s="174">
        <v>352132.79</v>
      </c>
      <c r="S347" s="590">
        <v>43434</v>
      </c>
      <c r="T347" s="176">
        <v>43434</v>
      </c>
      <c r="U347" s="177">
        <v>43456</v>
      </c>
      <c r="V347" s="105" t="s">
        <v>68</v>
      </c>
      <c r="W347" s="178" t="s">
        <v>1177</v>
      </c>
      <c r="X347" s="170" t="s">
        <v>213</v>
      </c>
      <c r="Y347" s="200">
        <v>43433</v>
      </c>
      <c r="Z347" s="368"/>
      <c r="AA347" s="33" t="s">
        <v>1142</v>
      </c>
      <c r="AB347" s="8">
        <v>43430</v>
      </c>
      <c r="AC347" s="4">
        <v>352132.79</v>
      </c>
      <c r="AD347" s="4"/>
      <c r="AE347" s="32"/>
      <c r="AF347" s="34" t="s">
        <v>68</v>
      </c>
      <c r="AG347" s="112" t="s">
        <v>68</v>
      </c>
      <c r="AH347" s="112" t="s">
        <v>68</v>
      </c>
      <c r="AI347" s="7" t="s">
        <v>68</v>
      </c>
      <c r="AJ347" s="109" t="s">
        <v>68</v>
      </c>
      <c r="AK347" s="33" t="s">
        <v>68</v>
      </c>
      <c r="AL347" s="1" t="s">
        <v>68</v>
      </c>
      <c r="AM347" s="5" t="s">
        <v>68</v>
      </c>
      <c r="AN347" s="1" t="s">
        <v>68</v>
      </c>
      <c r="AO347" s="5" t="s">
        <v>68</v>
      </c>
      <c r="AP347" s="1" t="s">
        <v>68</v>
      </c>
      <c r="AQ347" s="1" t="s">
        <v>68</v>
      </c>
      <c r="AR347" s="279">
        <v>0</v>
      </c>
      <c r="AS347" s="35">
        <v>130200</v>
      </c>
      <c r="AT347" s="895">
        <v>212061.25</v>
      </c>
      <c r="AU347" s="916">
        <v>350943.05</v>
      </c>
      <c r="AV347" s="30">
        <v>43434</v>
      </c>
      <c r="AW347" s="11">
        <v>43456</v>
      </c>
      <c r="AX347" s="223"/>
      <c r="AY347" s="52"/>
      <c r="AZ347" s="230"/>
      <c r="BA347" s="5"/>
      <c r="BB347" s="5"/>
      <c r="BC347" s="11"/>
      <c r="BD347" s="30">
        <v>43456</v>
      </c>
      <c r="BE347" s="309"/>
      <c r="BF347" s="5">
        <v>43434</v>
      </c>
      <c r="BG347" s="5">
        <v>43456</v>
      </c>
      <c r="BH347" s="1"/>
      <c r="BI347" s="36">
        <f t="shared" si="10"/>
        <v>342261.25</v>
      </c>
      <c r="BJ347" s="13" t="s">
        <v>68</v>
      </c>
      <c r="BK347" s="352"/>
      <c r="BL347" s="336">
        <v>43432</v>
      </c>
      <c r="BM347" s="71" t="s">
        <v>68</v>
      </c>
      <c r="BN347" s="71" t="s">
        <v>68</v>
      </c>
      <c r="BO347" s="336"/>
      <c r="BP347" s="336"/>
      <c r="BQ347" s="336"/>
      <c r="BR347" s="336"/>
      <c r="BS347" s="336" t="s">
        <v>68</v>
      </c>
      <c r="BT347" s="336"/>
      <c r="BU347" s="336" t="s">
        <v>68</v>
      </c>
      <c r="BV347" s="336" t="s">
        <v>68</v>
      </c>
      <c r="BW347" s="13"/>
      <c r="BX347" s="13"/>
      <c r="BY347" s="13"/>
      <c r="BZ347" s="13"/>
      <c r="CA347" s="13"/>
      <c r="CB347" s="1222" t="s">
        <v>2094</v>
      </c>
      <c r="CC347" s="586" t="s">
        <v>1143</v>
      </c>
      <c r="CD347" s="526"/>
      <c r="CE347" s="526"/>
      <c r="CF347" s="526"/>
      <c r="CG347" s="526"/>
      <c r="CH347" s="526"/>
      <c r="CI347" s="526"/>
      <c r="CJ347" s="526"/>
      <c r="CK347" s="15"/>
    </row>
    <row r="348" spans="1:89" ht="75" hidden="1" customHeight="1">
      <c r="A348"/>
      <c r="B348" s="22"/>
      <c r="C348" s="22"/>
      <c r="D348" s="22"/>
      <c r="E348" s="911">
        <v>43709</v>
      </c>
      <c r="F348" s="911"/>
      <c r="G348" s="915">
        <v>43560</v>
      </c>
      <c r="H348" s="1746"/>
      <c r="I348" s="330">
        <v>43560</v>
      </c>
      <c r="J348" s="169">
        <v>2018</v>
      </c>
      <c r="K348" s="1417">
        <v>187.03</v>
      </c>
      <c r="L348" s="1417"/>
      <c r="M348" s="170" t="s">
        <v>77</v>
      </c>
      <c r="N348" s="178" t="s">
        <v>954</v>
      </c>
      <c r="O348" s="2" t="s">
        <v>4032</v>
      </c>
      <c r="P348" s="173" t="s">
        <v>1145</v>
      </c>
      <c r="Q348" s="173" t="s">
        <v>2538</v>
      </c>
      <c r="R348" s="174">
        <v>301076.28999999998</v>
      </c>
      <c r="S348" s="590">
        <v>43449</v>
      </c>
      <c r="T348" s="176">
        <v>43449</v>
      </c>
      <c r="U348" s="177">
        <v>43465</v>
      </c>
      <c r="V348" s="105" t="s">
        <v>68</v>
      </c>
      <c r="W348" s="178" t="s">
        <v>1177</v>
      </c>
      <c r="X348" s="170" t="s">
        <v>213</v>
      </c>
      <c r="Y348" s="200">
        <v>43440</v>
      </c>
      <c r="Z348" s="368"/>
      <c r="AA348" s="33" t="s">
        <v>1146</v>
      </c>
      <c r="AB348" s="8">
        <v>43448</v>
      </c>
      <c r="AC348" s="4">
        <v>301076.28999999998</v>
      </c>
      <c r="AD348" s="4"/>
      <c r="AE348" s="32"/>
      <c r="AF348" s="34" t="s">
        <v>68</v>
      </c>
      <c r="AG348" s="112" t="s">
        <v>68</v>
      </c>
      <c r="AH348" s="112" t="s">
        <v>68</v>
      </c>
      <c r="AI348" s="7" t="s">
        <v>68</v>
      </c>
      <c r="AJ348" s="109" t="s">
        <v>68</v>
      </c>
      <c r="AK348" s="33" t="s">
        <v>68</v>
      </c>
      <c r="AL348" s="1" t="s">
        <v>68</v>
      </c>
      <c r="AM348" s="5" t="s">
        <v>68</v>
      </c>
      <c r="AN348" s="1" t="s">
        <v>68</v>
      </c>
      <c r="AO348" s="5" t="s">
        <v>68</v>
      </c>
      <c r="AP348" s="1" t="s">
        <v>68</v>
      </c>
      <c r="AQ348" s="1" t="s">
        <v>68</v>
      </c>
      <c r="AR348" s="279">
        <v>0</v>
      </c>
      <c r="AS348" s="35">
        <v>30600</v>
      </c>
      <c r="AT348" s="895">
        <v>275044.31</v>
      </c>
      <c r="AU348" s="891">
        <v>305634.31</v>
      </c>
      <c r="AV348" s="30">
        <v>43449</v>
      </c>
      <c r="AW348" s="11">
        <v>43463</v>
      </c>
      <c r="AX348" s="223"/>
      <c r="AY348" s="52"/>
      <c r="AZ348" s="230"/>
      <c r="BA348" s="5"/>
      <c r="BB348" s="5"/>
      <c r="BC348" s="11"/>
      <c r="BD348" s="230">
        <v>43465</v>
      </c>
      <c r="BE348" s="508"/>
      <c r="BF348" s="5">
        <v>43449</v>
      </c>
      <c r="BG348" s="5">
        <v>43465</v>
      </c>
      <c r="BH348" s="1"/>
      <c r="BI348" s="36">
        <f t="shared" si="10"/>
        <v>305644.31</v>
      </c>
      <c r="BJ348" s="13" t="s">
        <v>68</v>
      </c>
      <c r="BK348" s="352"/>
      <c r="BL348" s="336">
        <v>43447</v>
      </c>
      <c r="BM348" s="912" t="s">
        <v>68</v>
      </c>
      <c r="BN348" s="912" t="s">
        <v>68</v>
      </c>
      <c r="BO348" s="913"/>
      <c r="BP348" s="913"/>
      <c r="BQ348" s="913"/>
      <c r="BR348" s="913"/>
      <c r="BS348" s="913" t="s">
        <v>68</v>
      </c>
      <c r="BT348" s="913"/>
      <c r="BU348" s="336" t="s">
        <v>68</v>
      </c>
      <c r="BV348" s="913" t="s">
        <v>68</v>
      </c>
      <c r="BW348" s="13"/>
      <c r="BX348" s="13"/>
      <c r="BY348" s="13"/>
      <c r="BZ348" s="13"/>
      <c r="CA348" s="13"/>
      <c r="CB348" s="1222" t="s">
        <v>2094</v>
      </c>
      <c r="CC348" s="38"/>
      <c r="CD348" s="526"/>
      <c r="CE348" s="526"/>
      <c r="CF348" s="526"/>
      <c r="CG348" s="526"/>
      <c r="CH348" s="526"/>
      <c r="CI348" s="526"/>
      <c r="CJ348" s="526"/>
      <c r="CK348" s="15"/>
    </row>
    <row r="349" spans="1:89" ht="103.5" hidden="1" customHeight="1">
      <c r="A349"/>
      <c r="B349" s="22"/>
      <c r="C349" s="22"/>
      <c r="D349" s="22"/>
      <c r="E349" s="911">
        <v>43709</v>
      </c>
      <c r="F349" s="911"/>
      <c r="G349" s="915">
        <v>43560</v>
      </c>
      <c r="H349" s="1746"/>
      <c r="I349" s="330">
        <v>43560</v>
      </c>
      <c r="J349" s="169">
        <v>2018</v>
      </c>
      <c r="K349" s="1417">
        <v>187.04</v>
      </c>
      <c r="L349" s="1417"/>
      <c r="M349" s="170" t="s">
        <v>77</v>
      </c>
      <c r="N349" s="971" t="s">
        <v>957</v>
      </c>
      <c r="O349" s="2" t="s">
        <v>4032</v>
      </c>
      <c r="P349" s="173" t="s">
        <v>1147</v>
      </c>
      <c r="Q349" s="173" t="s">
        <v>2538</v>
      </c>
      <c r="R349" s="174">
        <v>212579.41</v>
      </c>
      <c r="S349" s="590">
        <v>43449</v>
      </c>
      <c r="T349" s="176">
        <v>43449</v>
      </c>
      <c r="U349" s="177">
        <v>43465</v>
      </c>
      <c r="V349" s="105" t="s">
        <v>68</v>
      </c>
      <c r="W349" s="178" t="s">
        <v>1177</v>
      </c>
      <c r="X349" s="170" t="s">
        <v>213</v>
      </c>
      <c r="Y349" s="200">
        <v>43440</v>
      </c>
      <c r="Z349" s="368"/>
      <c r="AA349" s="33" t="s">
        <v>1146</v>
      </c>
      <c r="AB349" s="8">
        <v>43448</v>
      </c>
      <c r="AC349" s="4">
        <v>212613.48</v>
      </c>
      <c r="AD349" s="4"/>
      <c r="AE349" s="32"/>
      <c r="AF349" s="34" t="s">
        <v>68</v>
      </c>
      <c r="AG349" s="112" t="s">
        <v>68</v>
      </c>
      <c r="AH349" s="112" t="s">
        <v>68</v>
      </c>
      <c r="AI349" s="7" t="s">
        <v>68</v>
      </c>
      <c r="AJ349" s="109" t="s">
        <v>68</v>
      </c>
      <c r="AK349" s="33" t="s">
        <v>68</v>
      </c>
      <c r="AL349" s="1" t="s">
        <v>68</v>
      </c>
      <c r="AM349" s="5" t="s">
        <v>68</v>
      </c>
      <c r="AN349" s="1" t="s">
        <v>68</v>
      </c>
      <c r="AO349" s="5" t="s">
        <v>68</v>
      </c>
      <c r="AP349" s="1" t="s">
        <v>68</v>
      </c>
      <c r="AQ349" s="1" t="s">
        <v>68</v>
      </c>
      <c r="AR349" s="279">
        <v>0</v>
      </c>
      <c r="AS349" s="35">
        <v>20900</v>
      </c>
      <c r="AT349" s="895">
        <v>196383.1</v>
      </c>
      <c r="AU349" s="884">
        <v>217283.1</v>
      </c>
      <c r="AV349" s="30">
        <v>43449</v>
      </c>
      <c r="AW349" s="11">
        <v>43460</v>
      </c>
      <c r="AX349" s="223" t="s">
        <v>68</v>
      </c>
      <c r="AY349" s="52"/>
      <c r="AZ349" s="230"/>
      <c r="BA349" s="5"/>
      <c r="BB349" s="5"/>
      <c r="BC349" s="11"/>
      <c r="BD349" s="30">
        <v>43465</v>
      </c>
      <c r="BE349" s="309"/>
      <c r="BF349" s="5">
        <v>43449</v>
      </c>
      <c r="BG349" s="5">
        <v>43465</v>
      </c>
      <c r="BH349" s="1"/>
      <c r="BI349" s="36">
        <f t="shared" si="10"/>
        <v>217283.1</v>
      </c>
      <c r="BJ349" s="13" t="s">
        <v>68</v>
      </c>
      <c r="BK349" s="352"/>
      <c r="BL349" s="913" t="s">
        <v>68</v>
      </c>
      <c r="BM349" s="912" t="s">
        <v>68</v>
      </c>
      <c r="BN349" s="912" t="s">
        <v>68</v>
      </c>
      <c r="BO349" s="913"/>
      <c r="BP349" s="913"/>
      <c r="BQ349" s="913"/>
      <c r="BR349" s="913"/>
      <c r="BS349" s="913"/>
      <c r="BT349" s="913"/>
      <c r="BU349" s="336" t="s">
        <v>68</v>
      </c>
      <c r="BV349" s="913" t="s">
        <v>68</v>
      </c>
      <c r="BW349" s="13"/>
      <c r="BX349" s="13"/>
      <c r="BY349" s="13"/>
      <c r="BZ349" s="13"/>
      <c r="CA349" s="13"/>
      <c r="CB349" s="1222" t="s">
        <v>2094</v>
      </c>
      <c r="CC349" s="38"/>
      <c r="CD349" s="526"/>
      <c r="CE349" s="526"/>
      <c r="CF349" s="526"/>
      <c r="CG349" s="526"/>
      <c r="CH349" s="526"/>
      <c r="CI349" s="526"/>
      <c r="CJ349" s="526"/>
      <c r="CK349" s="15"/>
    </row>
    <row r="350" spans="1:89" ht="71.25" hidden="1" customHeight="1">
      <c r="A350"/>
      <c r="B350" s="22"/>
      <c r="C350" s="22"/>
      <c r="D350" s="22"/>
      <c r="E350" s="911"/>
      <c r="F350" s="911"/>
      <c r="G350" s="915">
        <v>43976</v>
      </c>
      <c r="H350" s="1746"/>
      <c r="I350" s="330">
        <v>43837</v>
      </c>
      <c r="J350" s="169">
        <v>2019</v>
      </c>
      <c r="K350" s="1417">
        <v>190.03</v>
      </c>
      <c r="L350" s="1417"/>
      <c r="M350" s="170" t="s">
        <v>1155</v>
      </c>
      <c r="N350" s="178" t="s">
        <v>1156</v>
      </c>
      <c r="O350" s="172" t="s">
        <v>467</v>
      </c>
      <c r="P350" s="173" t="s">
        <v>1157</v>
      </c>
      <c r="Q350" s="173" t="s">
        <v>2663</v>
      </c>
      <c r="R350" s="594">
        <v>885535.63</v>
      </c>
      <c r="S350" s="590">
        <v>43689</v>
      </c>
      <c r="T350" s="176">
        <v>43690</v>
      </c>
      <c r="U350" s="177">
        <v>43812</v>
      </c>
      <c r="V350" s="105"/>
      <c r="W350" s="178" t="s">
        <v>1177</v>
      </c>
      <c r="X350" s="170" t="s">
        <v>709</v>
      </c>
      <c r="Y350" s="200" t="s">
        <v>68</v>
      </c>
      <c r="Z350" s="368"/>
      <c r="AA350" s="33" t="s">
        <v>1158</v>
      </c>
      <c r="AB350" s="8">
        <v>43521</v>
      </c>
      <c r="AC350" s="4">
        <v>800000</v>
      </c>
      <c r="AD350" s="4"/>
      <c r="AE350" s="32"/>
      <c r="AF350" s="34" t="s">
        <v>68</v>
      </c>
      <c r="AG350" s="112" t="s">
        <v>68</v>
      </c>
      <c r="AH350" s="112" t="s">
        <v>68</v>
      </c>
      <c r="AI350" s="7" t="s">
        <v>68</v>
      </c>
      <c r="AJ350" s="109" t="s">
        <v>68</v>
      </c>
      <c r="AK350" s="33" t="s">
        <v>68</v>
      </c>
      <c r="AL350" s="1" t="s">
        <v>68</v>
      </c>
      <c r="AM350" s="5" t="s">
        <v>68</v>
      </c>
      <c r="AN350" s="1" t="s">
        <v>68</v>
      </c>
      <c r="AO350" s="5" t="s">
        <v>68</v>
      </c>
      <c r="AP350" s="1" t="s">
        <v>68</v>
      </c>
      <c r="AQ350" s="1" t="s">
        <v>68</v>
      </c>
      <c r="AR350" s="279">
        <v>0</v>
      </c>
      <c r="AS350" s="35">
        <v>0</v>
      </c>
      <c r="AT350" s="895">
        <v>0</v>
      </c>
      <c r="AU350" s="884">
        <v>0</v>
      </c>
      <c r="AV350" s="30" t="s">
        <v>68</v>
      </c>
      <c r="AW350" s="11" t="s">
        <v>68</v>
      </c>
      <c r="AX350" s="223" t="s">
        <v>68</v>
      </c>
      <c r="AY350" s="52" t="s">
        <v>68</v>
      </c>
      <c r="AZ350" s="30" t="s">
        <v>68</v>
      </c>
      <c r="BA350" s="5" t="s">
        <v>68</v>
      </c>
      <c r="BB350" s="5" t="s">
        <v>68</v>
      </c>
      <c r="BC350" s="390" t="s">
        <v>68</v>
      </c>
      <c r="BD350" s="30" t="s">
        <v>68</v>
      </c>
      <c r="BE350" s="309"/>
      <c r="BF350" s="5" t="s">
        <v>68</v>
      </c>
      <c r="BG350" s="5" t="s">
        <v>68</v>
      </c>
      <c r="BH350" s="1" t="s">
        <v>68</v>
      </c>
      <c r="BI350" s="36">
        <f t="shared" si="10"/>
        <v>0</v>
      </c>
      <c r="BJ350" s="13" t="s">
        <v>68</v>
      </c>
      <c r="BK350" s="352"/>
      <c r="BL350" s="913" t="s">
        <v>68</v>
      </c>
      <c r="BM350" s="912" t="s">
        <v>68</v>
      </c>
      <c r="BN350" s="912" t="s">
        <v>68</v>
      </c>
      <c r="BO350" s="913"/>
      <c r="BP350" s="913"/>
      <c r="BQ350" s="913"/>
      <c r="BR350" s="913"/>
      <c r="BS350" s="913" t="s">
        <v>68</v>
      </c>
      <c r="BT350" s="913"/>
      <c r="BU350" s="336" t="s">
        <v>68</v>
      </c>
      <c r="BV350" s="913" t="s">
        <v>68</v>
      </c>
      <c r="BW350" s="13"/>
      <c r="BX350" s="13"/>
      <c r="BY350" s="13"/>
      <c r="BZ350" s="13"/>
      <c r="CA350" s="13"/>
      <c r="CB350" s="1222" t="s">
        <v>2094</v>
      </c>
      <c r="CC350" s="586" t="s">
        <v>1143</v>
      </c>
      <c r="CD350" s="526"/>
      <c r="CE350" s="526"/>
      <c r="CF350" s="526"/>
      <c r="CG350" s="526"/>
      <c r="CH350" s="526"/>
      <c r="CI350" s="526"/>
      <c r="CJ350" s="526"/>
      <c r="CK350" s="15"/>
    </row>
    <row r="351" spans="1:89" ht="66.75" hidden="1" customHeight="1">
      <c r="A351"/>
      <c r="B351" s="22"/>
      <c r="C351" s="122"/>
      <c r="D351" s="122"/>
      <c r="E351" s="911"/>
      <c r="F351" s="911"/>
      <c r="G351" s="915">
        <v>43773</v>
      </c>
      <c r="H351" s="1746"/>
      <c r="I351" s="330">
        <v>43777</v>
      </c>
      <c r="J351" s="169">
        <v>2019</v>
      </c>
      <c r="K351" s="1417">
        <v>190.16</v>
      </c>
      <c r="L351" s="1417"/>
      <c r="M351" s="170" t="s">
        <v>1148</v>
      </c>
      <c r="N351" s="178" t="s">
        <v>1149</v>
      </c>
      <c r="O351" s="172" t="s">
        <v>467</v>
      </c>
      <c r="P351" s="173" t="s">
        <v>1150</v>
      </c>
      <c r="Q351" s="173"/>
      <c r="R351" s="594">
        <v>2551506.64</v>
      </c>
      <c r="S351" s="590">
        <v>43677</v>
      </c>
      <c r="T351" s="176">
        <v>43677</v>
      </c>
      <c r="U351" s="177">
        <v>43830</v>
      </c>
      <c r="V351" s="105" t="s">
        <v>68</v>
      </c>
      <c r="W351" s="178" t="s">
        <v>1177</v>
      </c>
      <c r="X351" s="170" t="s">
        <v>68</v>
      </c>
      <c r="Y351" s="200" t="s">
        <v>68</v>
      </c>
      <c r="Z351" s="368"/>
      <c r="AA351" s="1099" t="s">
        <v>68</v>
      </c>
      <c r="AB351" s="8"/>
      <c r="AC351" s="4"/>
      <c r="AD351" s="4"/>
      <c r="AE351" s="32"/>
      <c r="AF351" s="34" t="s">
        <v>68</v>
      </c>
      <c r="AG351" s="112" t="s">
        <v>68</v>
      </c>
      <c r="AH351" s="112" t="s">
        <v>68</v>
      </c>
      <c r="AI351" s="7" t="s">
        <v>68</v>
      </c>
      <c r="AJ351" s="109" t="s">
        <v>68</v>
      </c>
      <c r="AK351" s="33" t="s">
        <v>68</v>
      </c>
      <c r="AL351" s="1" t="s">
        <v>68</v>
      </c>
      <c r="AM351" s="5" t="s">
        <v>68</v>
      </c>
      <c r="AN351" s="1" t="s">
        <v>68</v>
      </c>
      <c r="AO351" s="5" t="s">
        <v>68</v>
      </c>
      <c r="AP351" s="1" t="s">
        <v>68</v>
      </c>
      <c r="AQ351" s="1" t="s">
        <v>68</v>
      </c>
      <c r="AR351" s="279">
        <v>0</v>
      </c>
      <c r="AS351" s="35">
        <v>0</v>
      </c>
      <c r="AT351" s="895">
        <v>0</v>
      </c>
      <c r="AU351" s="884">
        <v>0</v>
      </c>
      <c r="AV351" s="30" t="s">
        <v>68</v>
      </c>
      <c r="AW351" s="11" t="s">
        <v>68</v>
      </c>
      <c r="AX351" s="223" t="s">
        <v>68</v>
      </c>
      <c r="AY351" s="52" t="s">
        <v>68</v>
      </c>
      <c r="AZ351" s="30" t="s">
        <v>68</v>
      </c>
      <c r="BA351" s="5" t="s">
        <v>68</v>
      </c>
      <c r="BB351" s="5" t="s">
        <v>68</v>
      </c>
      <c r="BC351" s="390" t="s">
        <v>68</v>
      </c>
      <c r="BD351" s="30" t="s">
        <v>68</v>
      </c>
      <c r="BE351" s="309"/>
      <c r="BF351" s="5" t="s">
        <v>68</v>
      </c>
      <c r="BG351" s="5" t="s">
        <v>68</v>
      </c>
      <c r="BH351" s="1" t="s">
        <v>68</v>
      </c>
      <c r="BI351" s="36">
        <f t="shared" si="10"/>
        <v>0</v>
      </c>
      <c r="BJ351" s="13" t="s">
        <v>68</v>
      </c>
      <c r="BK351" s="352"/>
      <c r="BL351" s="913" t="s">
        <v>68</v>
      </c>
      <c r="BM351" s="912" t="s">
        <v>68</v>
      </c>
      <c r="BN351" s="912" t="s">
        <v>68</v>
      </c>
      <c r="BO351" s="913"/>
      <c r="BP351" s="913"/>
      <c r="BQ351" s="913"/>
      <c r="BR351" s="913"/>
      <c r="BS351" s="913" t="s">
        <v>68</v>
      </c>
      <c r="BT351" s="913"/>
      <c r="BU351" s="336" t="s">
        <v>68</v>
      </c>
      <c r="BV351" s="913" t="s">
        <v>68</v>
      </c>
      <c r="BW351" s="13"/>
      <c r="BX351" s="13"/>
      <c r="BY351" s="13"/>
      <c r="BZ351" s="13"/>
      <c r="CA351" s="13"/>
      <c r="CB351" s="1222" t="s">
        <v>2094</v>
      </c>
      <c r="CC351" s="586" t="s">
        <v>1143</v>
      </c>
      <c r="CD351" s="526"/>
      <c r="CE351" s="526"/>
      <c r="CF351" s="526"/>
      <c r="CG351" s="526"/>
      <c r="CH351" s="526"/>
      <c r="CI351" s="526"/>
      <c r="CJ351" s="526"/>
      <c r="CK351" s="15"/>
    </row>
    <row r="352" spans="1:89" ht="69.75" hidden="1" customHeight="1">
      <c r="A352"/>
      <c r="B352" s="22"/>
      <c r="C352" s="122">
        <v>44298</v>
      </c>
      <c r="D352" s="122"/>
      <c r="E352" s="911"/>
      <c r="F352" s="911"/>
      <c r="G352" s="915">
        <v>43826</v>
      </c>
      <c r="H352" s="1746"/>
      <c r="I352" s="330">
        <v>43837</v>
      </c>
      <c r="J352" s="169">
        <v>2019</v>
      </c>
      <c r="K352" s="1417">
        <v>190.18</v>
      </c>
      <c r="L352" s="1417"/>
      <c r="M352" s="170" t="s">
        <v>1151</v>
      </c>
      <c r="N352" s="178" t="s">
        <v>1152</v>
      </c>
      <c r="O352" s="172" t="s">
        <v>467</v>
      </c>
      <c r="P352" s="173" t="s">
        <v>1153</v>
      </c>
      <c r="Q352" s="173" t="s">
        <v>1975</v>
      </c>
      <c r="R352" s="594">
        <f>3147771.84+1349045.08</f>
        <v>4496816.92</v>
      </c>
      <c r="S352" s="590">
        <v>43687</v>
      </c>
      <c r="T352" s="176" t="s">
        <v>68</v>
      </c>
      <c r="U352" s="177">
        <v>43830</v>
      </c>
      <c r="V352" s="105" t="s">
        <v>68</v>
      </c>
      <c r="W352" s="178" t="s">
        <v>1177</v>
      </c>
      <c r="X352" s="170" t="s">
        <v>213</v>
      </c>
      <c r="Y352" s="200" t="s">
        <v>68</v>
      </c>
      <c r="Z352" s="368"/>
      <c r="AA352" s="33" t="s">
        <v>1154</v>
      </c>
      <c r="AB352" s="8">
        <v>43722</v>
      </c>
      <c r="AC352" s="4">
        <v>4496816.92</v>
      </c>
      <c r="AD352" s="4"/>
      <c r="AE352" s="32"/>
      <c r="AF352" s="34" t="s">
        <v>68</v>
      </c>
      <c r="AG352" s="112" t="s">
        <v>68</v>
      </c>
      <c r="AH352" s="112" t="s">
        <v>68</v>
      </c>
      <c r="AI352" s="7" t="s">
        <v>68</v>
      </c>
      <c r="AJ352" s="109" t="s">
        <v>68</v>
      </c>
      <c r="AK352" s="33" t="s">
        <v>68</v>
      </c>
      <c r="AL352" s="1" t="s">
        <v>68</v>
      </c>
      <c r="AM352" s="5" t="s">
        <v>68</v>
      </c>
      <c r="AN352" s="1" t="s">
        <v>68</v>
      </c>
      <c r="AO352" s="5" t="s">
        <v>68</v>
      </c>
      <c r="AP352" s="1" t="s">
        <v>68</v>
      </c>
      <c r="AQ352" s="1" t="s">
        <v>68</v>
      </c>
      <c r="AR352" s="279">
        <v>0</v>
      </c>
      <c r="AS352" s="35">
        <v>0</v>
      </c>
      <c r="AT352" s="895">
        <v>0</v>
      </c>
      <c r="AU352" s="884">
        <v>0</v>
      </c>
      <c r="AV352" s="30" t="s">
        <v>68</v>
      </c>
      <c r="AW352" s="11" t="s">
        <v>68</v>
      </c>
      <c r="AX352" s="223" t="s">
        <v>68</v>
      </c>
      <c r="AY352" s="52" t="s">
        <v>68</v>
      </c>
      <c r="AZ352" s="30" t="s">
        <v>68</v>
      </c>
      <c r="BA352" s="5" t="s">
        <v>68</v>
      </c>
      <c r="BB352" s="5" t="s">
        <v>68</v>
      </c>
      <c r="BC352" s="390" t="s">
        <v>68</v>
      </c>
      <c r="BD352" s="30" t="s">
        <v>68</v>
      </c>
      <c r="BE352" s="309"/>
      <c r="BF352" s="5" t="s">
        <v>68</v>
      </c>
      <c r="BG352" s="5" t="s">
        <v>68</v>
      </c>
      <c r="BH352" s="1" t="s">
        <v>68</v>
      </c>
      <c r="BI352" s="36">
        <f t="shared" si="10"/>
        <v>0</v>
      </c>
      <c r="BJ352" s="13" t="s">
        <v>68</v>
      </c>
      <c r="BK352" s="352"/>
      <c r="BL352" s="913" t="s">
        <v>68</v>
      </c>
      <c r="BM352" s="912" t="s">
        <v>68</v>
      </c>
      <c r="BN352" s="912" t="s">
        <v>68</v>
      </c>
      <c r="BO352" s="913"/>
      <c r="BP352" s="913"/>
      <c r="BQ352" s="913"/>
      <c r="BR352" s="913"/>
      <c r="BS352" s="913" t="s">
        <v>68</v>
      </c>
      <c r="BT352" s="913"/>
      <c r="BU352" s="336" t="s">
        <v>68</v>
      </c>
      <c r="BV352" s="913" t="s">
        <v>68</v>
      </c>
      <c r="BW352" s="13"/>
      <c r="BX352" s="13"/>
      <c r="BY352" s="13"/>
      <c r="BZ352" s="13"/>
      <c r="CA352" s="13"/>
      <c r="CB352" s="1222" t="s">
        <v>2094</v>
      </c>
      <c r="CC352" s="586" t="s">
        <v>1143</v>
      </c>
      <c r="CD352" s="526"/>
      <c r="CE352" s="526"/>
      <c r="CF352" s="526"/>
      <c r="CG352" s="526"/>
      <c r="CH352" s="526"/>
      <c r="CI352" s="526"/>
      <c r="CJ352" s="526"/>
      <c r="CK352" s="15"/>
    </row>
    <row r="353" spans="2:89" customFormat="1" ht="109.5" hidden="1" customHeight="1">
      <c r="B353" s="22"/>
      <c r="C353" s="22"/>
      <c r="D353" s="22"/>
      <c r="E353" s="911">
        <v>43709</v>
      </c>
      <c r="F353" s="911"/>
      <c r="G353" s="915">
        <v>43679</v>
      </c>
      <c r="H353" s="1746"/>
      <c r="I353" s="330">
        <v>43685</v>
      </c>
      <c r="J353" s="169">
        <v>2019</v>
      </c>
      <c r="K353" s="1417">
        <v>191.01</v>
      </c>
      <c r="L353" s="1417"/>
      <c r="M353" s="170" t="s">
        <v>166</v>
      </c>
      <c r="N353" s="178" t="s">
        <v>1159</v>
      </c>
      <c r="O353" s="2" t="s">
        <v>4032</v>
      </c>
      <c r="P353" s="173" t="s">
        <v>1160</v>
      </c>
      <c r="Q353" s="173" t="s">
        <v>1975</v>
      </c>
      <c r="R353" s="174">
        <v>250000</v>
      </c>
      <c r="S353" s="590">
        <v>43524</v>
      </c>
      <c r="T353" s="176">
        <v>43529</v>
      </c>
      <c r="U353" s="177">
        <v>43555</v>
      </c>
      <c r="V353" s="105" t="s">
        <v>68</v>
      </c>
      <c r="W353" s="178" t="s">
        <v>1177</v>
      </c>
      <c r="X353" s="170" t="s">
        <v>114</v>
      </c>
      <c r="Y353" s="200" t="s">
        <v>68</v>
      </c>
      <c r="Z353" s="368"/>
      <c r="AA353" s="115" t="s">
        <v>1161</v>
      </c>
      <c r="AB353" s="8">
        <v>43457</v>
      </c>
      <c r="AC353" s="4">
        <v>280000</v>
      </c>
      <c r="AD353" s="4"/>
      <c r="AE353" s="32"/>
      <c r="AF353" s="34" t="s">
        <v>68</v>
      </c>
      <c r="AG353" s="112" t="s">
        <v>68</v>
      </c>
      <c r="AH353" s="112" t="s">
        <v>68</v>
      </c>
      <c r="AI353" s="7" t="s">
        <v>68</v>
      </c>
      <c r="AJ353" s="109" t="s">
        <v>68</v>
      </c>
      <c r="AK353" s="33" t="s">
        <v>68</v>
      </c>
      <c r="AL353" s="1" t="s">
        <v>68</v>
      </c>
      <c r="AM353" s="5" t="s">
        <v>68</v>
      </c>
      <c r="AN353" s="1" t="s">
        <v>68</v>
      </c>
      <c r="AO353" s="5" t="s">
        <v>68</v>
      </c>
      <c r="AP353" s="1" t="s">
        <v>68</v>
      </c>
      <c r="AQ353" s="1" t="s">
        <v>68</v>
      </c>
      <c r="AR353" s="279">
        <v>0</v>
      </c>
      <c r="AS353" s="35">
        <v>223488.46</v>
      </c>
      <c r="AT353" s="895">
        <v>26448</v>
      </c>
      <c r="AU353" s="891"/>
      <c r="AV353" s="70">
        <v>43529</v>
      </c>
      <c r="AW353" s="11">
        <v>43553</v>
      </c>
      <c r="AX353" s="223"/>
      <c r="AY353" s="52" t="s">
        <v>506</v>
      </c>
      <c r="AZ353" s="70">
        <v>43566</v>
      </c>
      <c r="BA353" s="5">
        <v>43529</v>
      </c>
      <c r="BB353" s="5">
        <v>43555</v>
      </c>
      <c r="BC353" s="5">
        <v>43565</v>
      </c>
      <c r="BD353" s="70">
        <v>43566</v>
      </c>
      <c r="BE353" s="1614"/>
      <c r="BF353" s="71">
        <v>43529</v>
      </c>
      <c r="BG353" s="71">
        <v>43555</v>
      </c>
      <c r="BH353" s="71">
        <v>43565</v>
      </c>
      <c r="BI353" s="36">
        <f t="shared" si="10"/>
        <v>249936.46</v>
      </c>
      <c r="BJ353" s="13" t="s">
        <v>68</v>
      </c>
      <c r="BK353" s="352"/>
      <c r="BL353" s="336">
        <v>43528</v>
      </c>
      <c r="BM353" s="912" t="s">
        <v>68</v>
      </c>
      <c r="BN353" s="912" t="s">
        <v>68</v>
      </c>
      <c r="BO353" s="912"/>
      <c r="BP353" s="912"/>
      <c r="BQ353" s="912"/>
      <c r="BR353" s="912"/>
      <c r="BS353" s="71">
        <v>43565</v>
      </c>
      <c r="BT353" s="336"/>
      <c r="BU353" s="336" t="s">
        <v>68</v>
      </c>
      <c r="BV353" s="913" t="s">
        <v>68</v>
      </c>
      <c r="BW353" s="13"/>
      <c r="BX353" s="13"/>
      <c r="BY353" s="13"/>
      <c r="BZ353" s="13"/>
      <c r="CA353" s="13"/>
      <c r="CB353" s="1222" t="s">
        <v>2094</v>
      </c>
      <c r="CC353" s="586" t="s">
        <v>1143</v>
      </c>
      <c r="CD353" s="526"/>
      <c r="CE353" s="526"/>
      <c r="CF353" s="526"/>
      <c r="CG353" s="526"/>
      <c r="CH353" s="526"/>
      <c r="CI353" s="526"/>
      <c r="CJ353" s="526"/>
      <c r="CK353" s="15"/>
    </row>
    <row r="354" spans="2:89" s="1050" customFormat="1" ht="103.5" hidden="1" customHeight="1">
      <c r="B354" s="1051"/>
      <c r="C354" s="1051"/>
      <c r="D354" s="1051"/>
      <c r="E354" s="1052" t="s">
        <v>68</v>
      </c>
      <c r="F354" s="1052"/>
      <c r="G354" s="553" t="s">
        <v>68</v>
      </c>
      <c r="H354" s="620"/>
      <c r="I354" s="620" t="s">
        <v>68</v>
      </c>
      <c r="J354" s="1053">
        <v>2019</v>
      </c>
      <c r="K354" s="1420">
        <v>191.02</v>
      </c>
      <c r="L354" s="1420"/>
      <c r="M354" s="1054" t="s">
        <v>166</v>
      </c>
      <c r="N354" s="1055" t="s">
        <v>1162</v>
      </c>
      <c r="O354" s="790" t="s">
        <v>251</v>
      </c>
      <c r="P354" s="1056" t="s">
        <v>1163</v>
      </c>
      <c r="Q354" s="1056"/>
      <c r="R354" s="1057">
        <v>75251.929999999993</v>
      </c>
      <c r="S354" s="1058" t="s">
        <v>68</v>
      </c>
      <c r="T354" s="1059" t="s">
        <v>68</v>
      </c>
      <c r="U354" s="1060" t="s">
        <v>68</v>
      </c>
      <c r="V354" s="1061" t="s">
        <v>68</v>
      </c>
      <c r="W354" s="1055" t="s">
        <v>68</v>
      </c>
      <c r="X354" s="1054" t="s">
        <v>3047</v>
      </c>
      <c r="Y354" s="1062" t="s">
        <v>74</v>
      </c>
      <c r="Z354" s="1377"/>
      <c r="AA354" s="308" t="s">
        <v>1164</v>
      </c>
      <c r="AB354" s="1063">
        <v>43494</v>
      </c>
      <c r="AC354" s="1064">
        <v>72251.929999999993</v>
      </c>
      <c r="AD354" s="1064"/>
      <c r="AE354" s="1065"/>
      <c r="AF354" s="1066" t="s">
        <v>68</v>
      </c>
      <c r="AG354" s="1067" t="s">
        <v>68</v>
      </c>
      <c r="AH354" s="1067" t="s">
        <v>68</v>
      </c>
      <c r="AI354" s="1068" t="s">
        <v>68</v>
      </c>
      <c r="AJ354" s="1069" t="s">
        <v>68</v>
      </c>
      <c r="AK354" s="308" t="s">
        <v>68</v>
      </c>
      <c r="AL354" s="1070" t="s">
        <v>68</v>
      </c>
      <c r="AM354" s="1071"/>
      <c r="AN354" s="1070" t="s">
        <v>68</v>
      </c>
      <c r="AO354" s="1071"/>
      <c r="AP354" s="1070" t="s">
        <v>68</v>
      </c>
      <c r="AQ354" s="1070"/>
      <c r="AR354" s="1072">
        <v>0</v>
      </c>
      <c r="AS354" s="1073">
        <v>0</v>
      </c>
      <c r="AT354" s="1074">
        <v>0</v>
      </c>
      <c r="AU354" s="1075">
        <v>0</v>
      </c>
      <c r="AV354" s="1076" t="s">
        <v>68</v>
      </c>
      <c r="AW354" s="1077" t="s">
        <v>68</v>
      </c>
      <c r="AX354" s="1078" t="s">
        <v>68</v>
      </c>
      <c r="AY354" s="1079" t="s">
        <v>68</v>
      </c>
      <c r="AZ354" s="829" t="s">
        <v>68</v>
      </c>
      <c r="BA354" s="1070" t="s">
        <v>68</v>
      </c>
      <c r="BB354" s="1070" t="s">
        <v>68</v>
      </c>
      <c r="BC354" s="1080" t="s">
        <v>68</v>
      </c>
      <c r="BD354" s="1076" t="s">
        <v>68</v>
      </c>
      <c r="BE354" s="1608"/>
      <c r="BF354" s="1071" t="s">
        <v>68</v>
      </c>
      <c r="BG354" s="1071" t="s">
        <v>68</v>
      </c>
      <c r="BH354" s="1070" t="s">
        <v>68</v>
      </c>
      <c r="BI354" s="1081">
        <f t="shared" si="10"/>
        <v>0</v>
      </c>
      <c r="BJ354" s="1082" t="s">
        <v>68</v>
      </c>
      <c r="BK354" s="1816"/>
      <c r="BL354" s="1083" t="s">
        <v>68</v>
      </c>
      <c r="BM354" s="1084" t="s">
        <v>68</v>
      </c>
      <c r="BN354" s="1084" t="s">
        <v>68</v>
      </c>
      <c r="BO354" s="1084"/>
      <c r="BP354" s="1084"/>
      <c r="BQ354" s="1084"/>
      <c r="BR354" s="1084"/>
      <c r="BS354" s="1084" t="s">
        <v>68</v>
      </c>
      <c r="BT354" s="1083"/>
      <c r="BU354" s="1083" t="s">
        <v>68</v>
      </c>
      <c r="BV354" s="1083" t="s">
        <v>68</v>
      </c>
      <c r="BW354" s="1082" t="s">
        <v>68</v>
      </c>
      <c r="BX354" s="1082"/>
      <c r="BY354" s="1082"/>
      <c r="BZ354" s="1082"/>
      <c r="CA354" s="1082"/>
      <c r="CB354" s="1486" t="s">
        <v>2094</v>
      </c>
      <c r="CC354" s="1085" t="s">
        <v>68</v>
      </c>
      <c r="CD354" s="789"/>
      <c r="CE354" s="789"/>
      <c r="CF354" s="789"/>
      <c r="CG354" s="789"/>
      <c r="CH354" s="789"/>
      <c r="CI354" s="789"/>
      <c r="CJ354" s="789"/>
      <c r="CK354" s="1086"/>
    </row>
    <row r="355" spans="2:89" s="1050" customFormat="1" ht="75" hidden="1" customHeight="1">
      <c r="B355" s="1051"/>
      <c r="C355" s="1051"/>
      <c r="D355" s="1051"/>
      <c r="E355" s="1051" t="s">
        <v>68</v>
      </c>
      <c r="F355" s="1051"/>
      <c r="G355" s="553" t="s">
        <v>68</v>
      </c>
      <c r="H355" s="620"/>
      <c r="I355" s="620" t="s">
        <v>68</v>
      </c>
      <c r="J355" s="1053">
        <v>2019</v>
      </c>
      <c r="K355" s="1420">
        <v>191.03</v>
      </c>
      <c r="L355" s="1420"/>
      <c r="M355" s="1054" t="s">
        <v>166</v>
      </c>
      <c r="N355" s="1055" t="s">
        <v>1165</v>
      </c>
      <c r="O355" s="790" t="s">
        <v>251</v>
      </c>
      <c r="P355" s="1056" t="s">
        <v>1166</v>
      </c>
      <c r="Q355" s="1056"/>
      <c r="R355" s="1057">
        <v>140710.85999999999</v>
      </c>
      <c r="S355" s="1058" t="s">
        <v>68</v>
      </c>
      <c r="T355" s="1059" t="s">
        <v>68</v>
      </c>
      <c r="U355" s="1060" t="s">
        <v>68</v>
      </c>
      <c r="V355" s="1061" t="s">
        <v>68</v>
      </c>
      <c r="W355" s="1055" t="s">
        <v>68</v>
      </c>
      <c r="X355" s="1054" t="s">
        <v>3047</v>
      </c>
      <c r="Y355" s="1087"/>
      <c r="Z355" s="1378"/>
      <c r="AA355" s="308" t="s">
        <v>1164</v>
      </c>
      <c r="AB355" s="1063">
        <v>43494</v>
      </c>
      <c r="AC355" s="1064">
        <v>140710.85999999999</v>
      </c>
      <c r="AD355" s="1064"/>
      <c r="AE355" s="1065"/>
      <c r="AF355" s="1066" t="s">
        <v>68</v>
      </c>
      <c r="AG355" s="1067" t="s">
        <v>68</v>
      </c>
      <c r="AH355" s="1067" t="s">
        <v>68</v>
      </c>
      <c r="AI355" s="1068" t="s">
        <v>68</v>
      </c>
      <c r="AJ355" s="1069" t="s">
        <v>68</v>
      </c>
      <c r="AK355" s="308" t="s">
        <v>68</v>
      </c>
      <c r="AL355" s="1070" t="s">
        <v>68</v>
      </c>
      <c r="AM355" s="1071" t="s">
        <v>68</v>
      </c>
      <c r="AN355" s="1070" t="s">
        <v>68</v>
      </c>
      <c r="AO355" s="1071" t="s">
        <v>68</v>
      </c>
      <c r="AP355" s="1070" t="s">
        <v>68</v>
      </c>
      <c r="AQ355" s="1070" t="s">
        <v>68</v>
      </c>
      <c r="AR355" s="1072">
        <v>0</v>
      </c>
      <c r="AS355" s="1073">
        <v>0</v>
      </c>
      <c r="AT355" s="1074">
        <v>0</v>
      </c>
      <c r="AU355" s="1075">
        <v>0</v>
      </c>
      <c r="AV355" s="1076" t="s">
        <v>68</v>
      </c>
      <c r="AW355" s="1077" t="s">
        <v>68</v>
      </c>
      <c r="AX355" s="1078" t="s">
        <v>68</v>
      </c>
      <c r="AY355" s="1079" t="s">
        <v>68</v>
      </c>
      <c r="AZ355" s="829" t="s">
        <v>68</v>
      </c>
      <c r="BA355" s="1070" t="s">
        <v>68</v>
      </c>
      <c r="BB355" s="1070" t="s">
        <v>68</v>
      </c>
      <c r="BC355" s="1080" t="s">
        <v>68</v>
      </c>
      <c r="BD355" s="1076" t="s">
        <v>68</v>
      </c>
      <c r="BE355" s="1608"/>
      <c r="BF355" s="1071" t="s">
        <v>68</v>
      </c>
      <c r="BG355" s="1071" t="s">
        <v>68</v>
      </c>
      <c r="BH355" s="1070" t="s">
        <v>68</v>
      </c>
      <c r="BI355" s="1081">
        <f t="shared" si="10"/>
        <v>0</v>
      </c>
      <c r="BJ355" s="1082" t="s">
        <v>68</v>
      </c>
      <c r="BK355" s="1816"/>
      <c r="BL355" s="1083" t="s">
        <v>68</v>
      </c>
      <c r="BM355" s="1084" t="s">
        <v>68</v>
      </c>
      <c r="BN355" s="1084" t="s">
        <v>68</v>
      </c>
      <c r="BO355" s="1084"/>
      <c r="BP355" s="1084"/>
      <c r="BQ355" s="1084"/>
      <c r="BR355" s="1084"/>
      <c r="BS355" s="1084" t="s">
        <v>68</v>
      </c>
      <c r="BT355" s="1083"/>
      <c r="BU355" s="1083" t="s">
        <v>68</v>
      </c>
      <c r="BV355" s="1083" t="s">
        <v>68</v>
      </c>
      <c r="BW355" s="1082" t="s">
        <v>68</v>
      </c>
      <c r="BX355" s="1082"/>
      <c r="BY355" s="1082"/>
      <c r="BZ355" s="1082"/>
      <c r="CA355" s="1082"/>
      <c r="CB355" s="1486" t="s">
        <v>2094</v>
      </c>
      <c r="CC355" s="1085" t="s">
        <v>68</v>
      </c>
      <c r="CD355" s="789"/>
      <c r="CE355" s="789"/>
      <c r="CF355" s="789"/>
      <c r="CG355" s="789"/>
      <c r="CH355" s="789"/>
      <c r="CI355" s="789"/>
      <c r="CJ355" s="789"/>
      <c r="CK355" s="1086"/>
    </row>
    <row r="356" spans="2:89" customFormat="1" ht="70.5" hidden="1" customHeight="1">
      <c r="B356" s="22"/>
      <c r="C356" s="22"/>
      <c r="D356" s="22"/>
      <c r="E356" s="911">
        <v>43709</v>
      </c>
      <c r="F356" s="911"/>
      <c r="G356" s="915">
        <v>44008</v>
      </c>
      <c r="H356" s="1746"/>
      <c r="I356" s="330">
        <v>43647</v>
      </c>
      <c r="J356" s="169">
        <v>2019</v>
      </c>
      <c r="K356" s="1421">
        <v>191.04</v>
      </c>
      <c r="L356" s="1421"/>
      <c r="M356" s="170" t="s">
        <v>166</v>
      </c>
      <c r="N356" s="178" t="s">
        <v>1167</v>
      </c>
      <c r="O356" s="2" t="s">
        <v>4032</v>
      </c>
      <c r="P356" s="173" t="s">
        <v>1168</v>
      </c>
      <c r="Q356" s="173" t="s">
        <v>4409</v>
      </c>
      <c r="R356" s="174">
        <v>22876.2</v>
      </c>
      <c r="S356" s="590">
        <v>43588</v>
      </c>
      <c r="T356" s="176">
        <v>43592</v>
      </c>
      <c r="U356" s="177">
        <v>43623</v>
      </c>
      <c r="V356" s="105" t="s">
        <v>68</v>
      </c>
      <c r="W356" s="178" t="s">
        <v>1177</v>
      </c>
      <c r="X356" s="170" t="s">
        <v>3047</v>
      </c>
      <c r="Y356" s="200" t="s">
        <v>68</v>
      </c>
      <c r="Z356" s="368"/>
      <c r="AA356" s="33" t="s">
        <v>1169</v>
      </c>
      <c r="AB356" s="8">
        <v>43549</v>
      </c>
      <c r="AC356" s="4">
        <v>22876.2</v>
      </c>
      <c r="AD356" s="4"/>
      <c r="AE356" s="32"/>
      <c r="AF356" s="34" t="s">
        <v>68</v>
      </c>
      <c r="AG356" s="112" t="s">
        <v>68</v>
      </c>
      <c r="AH356" s="112" t="s">
        <v>68</v>
      </c>
      <c r="AI356" s="7" t="s">
        <v>68</v>
      </c>
      <c r="AJ356" s="109" t="s">
        <v>68</v>
      </c>
      <c r="AK356" s="33" t="s">
        <v>68</v>
      </c>
      <c r="AL356" s="1" t="s">
        <v>68</v>
      </c>
      <c r="AM356" s="5" t="s">
        <v>68</v>
      </c>
      <c r="AN356" s="1" t="s">
        <v>68</v>
      </c>
      <c r="AO356" s="5" t="s">
        <v>68</v>
      </c>
      <c r="AP356" s="1" t="s">
        <v>68</v>
      </c>
      <c r="AQ356" s="1" t="s">
        <v>68</v>
      </c>
      <c r="AR356" s="279">
        <v>0</v>
      </c>
      <c r="AS356" s="1026">
        <v>2520</v>
      </c>
      <c r="AT356" s="900">
        <v>4039.65</v>
      </c>
      <c r="AU356" s="891"/>
      <c r="AV356" s="164" t="s">
        <v>68</v>
      </c>
      <c r="AW356" s="11"/>
      <c r="AX356" s="223"/>
      <c r="AY356" s="52"/>
      <c r="AZ356" s="324">
        <v>43710</v>
      </c>
      <c r="BA356" s="5">
        <v>43592</v>
      </c>
      <c r="BB356" s="5">
        <v>43653</v>
      </c>
      <c r="BC356" s="11">
        <v>43653</v>
      </c>
      <c r="BD356" s="324">
        <v>43767</v>
      </c>
      <c r="BE356" s="1615"/>
      <c r="BF356" s="5">
        <v>43592</v>
      </c>
      <c r="BG356" s="5">
        <v>43653</v>
      </c>
      <c r="BH356" s="5">
        <v>43653</v>
      </c>
      <c r="BI356" s="36">
        <v>8231.25</v>
      </c>
      <c r="BJ356" s="13" t="s">
        <v>68</v>
      </c>
      <c r="BK356" s="352"/>
      <c r="BL356" s="1027">
        <v>43588</v>
      </c>
      <c r="BM356" s="912" t="s">
        <v>68</v>
      </c>
      <c r="BN356" s="912" t="s">
        <v>68</v>
      </c>
      <c r="BO356" s="912"/>
      <c r="BP356" s="912"/>
      <c r="BQ356" s="912"/>
      <c r="BR356" s="912"/>
      <c r="BS356" s="912" t="s">
        <v>68</v>
      </c>
      <c r="BT356" s="913"/>
      <c r="BU356" s="336" t="s">
        <v>68</v>
      </c>
      <c r="BV356" s="913" t="s">
        <v>68</v>
      </c>
      <c r="BW356" s="13"/>
      <c r="BX356" s="13"/>
      <c r="BY356" s="13"/>
      <c r="BZ356" s="13"/>
      <c r="CA356" s="13"/>
      <c r="CB356" s="1222" t="s">
        <v>2094</v>
      </c>
      <c r="CC356" s="586" t="s">
        <v>1143</v>
      </c>
      <c r="CD356" s="526"/>
      <c r="CE356" s="526"/>
      <c r="CF356" s="526"/>
      <c r="CG356" s="526"/>
      <c r="CH356" s="526"/>
      <c r="CI356" s="526"/>
      <c r="CJ356" s="526"/>
      <c r="CK356" s="15"/>
    </row>
    <row r="357" spans="2:89" customFormat="1" ht="77.25" hidden="1" customHeight="1">
      <c r="B357" s="22"/>
      <c r="C357" s="22"/>
      <c r="D357" s="22"/>
      <c r="E357" s="911">
        <v>43709</v>
      </c>
      <c r="F357" s="911"/>
      <c r="G357" s="915">
        <v>43644</v>
      </c>
      <c r="H357" s="1746"/>
      <c r="I357" s="330">
        <v>43647</v>
      </c>
      <c r="J357" s="169">
        <v>2019</v>
      </c>
      <c r="K357" s="1421">
        <v>191.05</v>
      </c>
      <c r="L357" s="1421"/>
      <c r="M357" s="170" t="s">
        <v>166</v>
      </c>
      <c r="N357" s="178" t="s">
        <v>1170</v>
      </c>
      <c r="O357" s="2" t="s">
        <v>4032</v>
      </c>
      <c r="P357" s="173" t="s">
        <v>1171</v>
      </c>
      <c r="Q357" s="173" t="s">
        <v>4409</v>
      </c>
      <c r="R357" s="174">
        <v>18491.009999999998</v>
      </c>
      <c r="S357" s="590">
        <v>43588</v>
      </c>
      <c r="T357" s="176">
        <v>43592</v>
      </c>
      <c r="U357" s="177">
        <v>43623</v>
      </c>
      <c r="V357" s="105" t="s">
        <v>68</v>
      </c>
      <c r="W357" s="178" t="s">
        <v>1177</v>
      </c>
      <c r="X357" s="170" t="s">
        <v>3047</v>
      </c>
      <c r="Y357" s="200" t="s">
        <v>68</v>
      </c>
      <c r="Z357" s="368"/>
      <c r="AA357" s="33" t="s">
        <v>1169</v>
      </c>
      <c r="AB357" s="8">
        <v>43549</v>
      </c>
      <c r="AC357" s="4">
        <v>18491.009999999998</v>
      </c>
      <c r="AD357" s="4"/>
      <c r="AE357" s="32"/>
      <c r="AF357" s="34" t="s">
        <v>68</v>
      </c>
      <c r="AG357" s="112" t="s">
        <v>68</v>
      </c>
      <c r="AH357" s="112" t="s">
        <v>68</v>
      </c>
      <c r="AI357" s="7" t="s">
        <v>68</v>
      </c>
      <c r="AJ357" s="109" t="s">
        <v>68</v>
      </c>
      <c r="AK357" s="33" t="s">
        <v>68</v>
      </c>
      <c r="AL357" s="1" t="s">
        <v>68</v>
      </c>
      <c r="AM357" s="5" t="s">
        <v>68</v>
      </c>
      <c r="AN357" s="1" t="s">
        <v>68</v>
      </c>
      <c r="AO357" s="5" t="s">
        <v>68</v>
      </c>
      <c r="AP357" s="1" t="s">
        <v>68</v>
      </c>
      <c r="AQ357" s="1" t="s">
        <v>68</v>
      </c>
      <c r="AR357" s="279">
        <v>0</v>
      </c>
      <c r="AS357" s="1026">
        <v>0</v>
      </c>
      <c r="AT357" s="900">
        <v>50740.69</v>
      </c>
      <c r="AU357" s="891"/>
      <c r="AV357" s="164" t="s">
        <v>68</v>
      </c>
      <c r="AW357" s="11"/>
      <c r="AX357" s="223"/>
      <c r="AY357" s="52"/>
      <c r="AZ357" s="324">
        <v>43710</v>
      </c>
      <c r="BA357" s="5">
        <v>43588</v>
      </c>
      <c r="BB357" s="5">
        <v>43623</v>
      </c>
      <c r="BC357" s="11">
        <v>43665</v>
      </c>
      <c r="BD357" s="324">
        <v>43710</v>
      </c>
      <c r="BE357" s="1615"/>
      <c r="BF357" s="5">
        <v>43592</v>
      </c>
      <c r="BG357" s="5">
        <v>43653</v>
      </c>
      <c r="BH357" s="5">
        <v>43653</v>
      </c>
      <c r="BI357" s="36">
        <v>16230.69</v>
      </c>
      <c r="BJ357" s="13" t="s">
        <v>68</v>
      </c>
      <c r="BK357" s="352"/>
      <c r="BL357" s="1027">
        <v>43588</v>
      </c>
      <c r="BM357" s="912" t="s">
        <v>68</v>
      </c>
      <c r="BN357" s="912" t="s">
        <v>68</v>
      </c>
      <c r="BO357" s="912"/>
      <c r="BP357" s="912"/>
      <c r="BQ357" s="912"/>
      <c r="BR357" s="912"/>
      <c r="BS357" s="912" t="s">
        <v>68</v>
      </c>
      <c r="BT357" s="913"/>
      <c r="BU357" s="336" t="s">
        <v>68</v>
      </c>
      <c r="BV357" s="913" t="s">
        <v>68</v>
      </c>
      <c r="BW357" s="13"/>
      <c r="BX357" s="13"/>
      <c r="BY357" s="13"/>
      <c r="BZ357" s="13"/>
      <c r="CA357" s="13"/>
      <c r="CB357" s="1222" t="s">
        <v>2094</v>
      </c>
      <c r="CC357" s="586" t="s">
        <v>1143</v>
      </c>
      <c r="CD357" s="526"/>
      <c r="CE357" s="526"/>
      <c r="CF357" s="526"/>
      <c r="CG357" s="526"/>
      <c r="CH357" s="526"/>
      <c r="CI357" s="526"/>
      <c r="CJ357" s="526"/>
      <c r="CK357" s="15"/>
    </row>
    <row r="358" spans="2:89" customFormat="1" ht="75" hidden="1" customHeight="1">
      <c r="B358" s="22"/>
      <c r="C358" s="22"/>
      <c r="D358" s="22"/>
      <c r="E358" s="911">
        <v>43709</v>
      </c>
      <c r="F358" s="911"/>
      <c r="G358" s="915">
        <v>43644</v>
      </c>
      <c r="H358" s="1746"/>
      <c r="I358" s="330">
        <v>43647</v>
      </c>
      <c r="J358" s="169">
        <v>2019</v>
      </c>
      <c r="K358" s="1421">
        <v>191.06</v>
      </c>
      <c r="L358" s="1421"/>
      <c r="M358" s="170" t="s">
        <v>166</v>
      </c>
      <c r="N358" s="178" t="s">
        <v>1172</v>
      </c>
      <c r="O358" s="2" t="s">
        <v>4032</v>
      </c>
      <c r="P358" s="173" t="s">
        <v>1173</v>
      </c>
      <c r="Q358" s="173" t="s">
        <v>4409</v>
      </c>
      <c r="R358" s="174">
        <v>13050.14</v>
      </c>
      <c r="S358" s="590">
        <v>43588</v>
      </c>
      <c r="T358" s="176">
        <v>43592</v>
      </c>
      <c r="U358" s="177">
        <v>43623</v>
      </c>
      <c r="V358" s="105" t="s">
        <v>68</v>
      </c>
      <c r="W358" s="178" t="s">
        <v>1177</v>
      </c>
      <c r="X358" s="170" t="s">
        <v>3047</v>
      </c>
      <c r="Y358" s="200" t="s">
        <v>68</v>
      </c>
      <c r="Z358" s="368"/>
      <c r="AA358" s="33" t="s">
        <v>1174</v>
      </c>
      <c r="AB358" s="8">
        <v>43549</v>
      </c>
      <c r="AC358" s="4">
        <v>13050.14</v>
      </c>
      <c r="AD358" s="4"/>
      <c r="AE358" s="32"/>
      <c r="AF358" s="34" t="s">
        <v>68</v>
      </c>
      <c r="AG358" s="112" t="s">
        <v>68</v>
      </c>
      <c r="AH358" s="112" t="s">
        <v>68</v>
      </c>
      <c r="AI358" s="7" t="s">
        <v>68</v>
      </c>
      <c r="AJ358" s="109" t="s">
        <v>68</v>
      </c>
      <c r="AK358" s="33" t="s">
        <v>68</v>
      </c>
      <c r="AL358" s="1" t="s">
        <v>68</v>
      </c>
      <c r="AM358" s="5" t="s">
        <v>68</v>
      </c>
      <c r="AN358" s="1" t="s">
        <v>68</v>
      </c>
      <c r="AO358" s="5" t="s">
        <v>68</v>
      </c>
      <c r="AP358" s="1" t="s">
        <v>68</v>
      </c>
      <c r="AQ358" s="1" t="s">
        <v>68</v>
      </c>
      <c r="AR358" s="279">
        <v>0</v>
      </c>
      <c r="AS358" s="1026">
        <v>0</v>
      </c>
      <c r="AT358" s="900">
        <v>6202.19</v>
      </c>
      <c r="AU358" s="891"/>
      <c r="AV358" s="164" t="s">
        <v>68</v>
      </c>
      <c r="AW358" s="11"/>
      <c r="AX358" s="223"/>
      <c r="AY358" s="52"/>
      <c r="AZ358" s="324">
        <v>43717</v>
      </c>
      <c r="BA358" s="5">
        <v>43592</v>
      </c>
      <c r="BB358" s="5">
        <v>43623</v>
      </c>
      <c r="BC358" s="11">
        <v>43616</v>
      </c>
      <c r="BD358" s="324">
        <v>43717</v>
      </c>
      <c r="BE358" s="1615"/>
      <c r="BF358" s="5">
        <v>43592</v>
      </c>
      <c r="BG358" s="5">
        <v>43623</v>
      </c>
      <c r="BH358" s="5">
        <v>43616</v>
      </c>
      <c r="BI358" s="36">
        <v>6202.19</v>
      </c>
      <c r="BJ358" s="13" t="s">
        <v>68</v>
      </c>
      <c r="BK358" s="352"/>
      <c r="BL358" s="1027">
        <v>43588</v>
      </c>
      <c r="BM358" s="912" t="s">
        <v>68</v>
      </c>
      <c r="BN358" s="912" t="s">
        <v>68</v>
      </c>
      <c r="BO358" s="912"/>
      <c r="BP358" s="912"/>
      <c r="BQ358" s="912"/>
      <c r="BR358" s="912"/>
      <c r="BS358" s="912" t="s">
        <v>68</v>
      </c>
      <c r="BT358" s="913"/>
      <c r="BU358" s="336" t="s">
        <v>68</v>
      </c>
      <c r="BV358" s="913" t="s">
        <v>68</v>
      </c>
      <c r="BW358" s="13"/>
      <c r="BX358" s="13"/>
      <c r="BY358" s="13"/>
      <c r="BZ358" s="13"/>
      <c r="CA358" s="13"/>
      <c r="CB358" s="1222" t="s">
        <v>2094</v>
      </c>
      <c r="CC358" s="586" t="s">
        <v>1143</v>
      </c>
      <c r="CD358" s="526"/>
      <c r="CE358" s="526"/>
      <c r="CF358" s="526"/>
      <c r="CG358" s="526"/>
      <c r="CH358" s="526"/>
      <c r="CI358" s="526"/>
      <c r="CJ358" s="526"/>
      <c r="CK358" s="15"/>
    </row>
    <row r="359" spans="2:89" customFormat="1" ht="73.5" hidden="1" customHeight="1">
      <c r="B359" s="22"/>
      <c r="C359" s="22"/>
      <c r="D359" s="22"/>
      <c r="E359" s="911">
        <v>44075</v>
      </c>
      <c r="F359" s="911"/>
      <c r="G359" s="915">
        <v>43679</v>
      </c>
      <c r="H359" s="1746"/>
      <c r="I359" s="330">
        <v>43831</v>
      </c>
      <c r="J359" s="169">
        <v>2019</v>
      </c>
      <c r="K359" s="1421">
        <v>191.07</v>
      </c>
      <c r="L359" s="1421"/>
      <c r="M359" s="170" t="s">
        <v>166</v>
      </c>
      <c r="N359" s="178" t="s">
        <v>1175</v>
      </c>
      <c r="O359" s="2" t="s">
        <v>4032</v>
      </c>
      <c r="P359" s="173" t="s">
        <v>1176</v>
      </c>
      <c r="Q359" s="173" t="s">
        <v>2575</v>
      </c>
      <c r="R359" s="174">
        <v>200000</v>
      </c>
      <c r="S359" s="590">
        <v>43647</v>
      </c>
      <c r="T359" s="176">
        <v>43647</v>
      </c>
      <c r="U359" s="177">
        <v>43830</v>
      </c>
      <c r="V359" s="105" t="s">
        <v>68</v>
      </c>
      <c r="W359" s="178" t="s">
        <v>1177</v>
      </c>
      <c r="X359" s="170" t="s">
        <v>1107</v>
      </c>
      <c r="Y359" s="592" t="s">
        <v>68</v>
      </c>
      <c r="Z359" s="1374"/>
      <c r="AA359" s="33" t="s">
        <v>1178</v>
      </c>
      <c r="AB359" s="8">
        <v>43549</v>
      </c>
      <c r="AC359" s="4">
        <v>200000</v>
      </c>
      <c r="AD359" s="4"/>
      <c r="AE359" s="32"/>
      <c r="AF359" s="34" t="s">
        <v>68</v>
      </c>
      <c r="AG359" s="112" t="s">
        <v>68</v>
      </c>
      <c r="AH359" s="112" t="s">
        <v>68</v>
      </c>
      <c r="AI359" s="7" t="s">
        <v>68</v>
      </c>
      <c r="AJ359" s="109" t="s">
        <v>68</v>
      </c>
      <c r="AK359" s="33" t="s">
        <v>68</v>
      </c>
      <c r="AL359" s="1" t="s">
        <v>68</v>
      </c>
      <c r="AM359" s="5" t="s">
        <v>68</v>
      </c>
      <c r="AN359" s="1" t="s">
        <v>68</v>
      </c>
      <c r="AO359" s="5" t="s">
        <v>68</v>
      </c>
      <c r="AP359" s="1" t="s">
        <v>68</v>
      </c>
      <c r="AQ359" s="1" t="s">
        <v>68</v>
      </c>
      <c r="AR359" s="279">
        <v>0</v>
      </c>
      <c r="AS359" s="674"/>
      <c r="AT359" s="900">
        <v>185312.5</v>
      </c>
      <c r="AU359" s="891"/>
      <c r="AV359" s="164" t="s">
        <v>68</v>
      </c>
      <c r="AW359" s="11"/>
      <c r="AX359" s="223"/>
      <c r="AY359" s="52" t="s">
        <v>973</v>
      </c>
      <c r="AZ359" s="30">
        <v>43766</v>
      </c>
      <c r="BA359" s="5">
        <v>43657</v>
      </c>
      <c r="BB359" s="5">
        <v>43830</v>
      </c>
      <c r="BC359" s="11">
        <v>43738</v>
      </c>
      <c r="BD359" s="30">
        <v>43767</v>
      </c>
      <c r="BE359" s="309"/>
      <c r="BF359" s="5">
        <v>43657</v>
      </c>
      <c r="BG359" s="5">
        <v>43830</v>
      </c>
      <c r="BH359" s="11">
        <v>43738</v>
      </c>
      <c r="BI359" s="36">
        <f>AT359</f>
        <v>185312.5</v>
      </c>
      <c r="BJ359" s="13" t="s">
        <v>68</v>
      </c>
      <c r="BK359" s="352"/>
      <c r="BL359" s="336">
        <v>43644</v>
      </c>
      <c r="BM359" s="912" t="s">
        <v>68</v>
      </c>
      <c r="BN359" s="912" t="s">
        <v>68</v>
      </c>
      <c r="BO359" s="912"/>
      <c r="BP359" s="912"/>
      <c r="BQ359" s="912"/>
      <c r="BR359" s="912"/>
      <c r="BS359" s="912" t="s">
        <v>68</v>
      </c>
      <c r="BT359" s="913"/>
      <c r="BU359" s="336" t="s">
        <v>68</v>
      </c>
      <c r="BV359" s="913" t="s">
        <v>68</v>
      </c>
      <c r="BW359" s="13"/>
      <c r="BX359" s="13"/>
      <c r="BY359" s="13"/>
      <c r="BZ359" s="13"/>
      <c r="CA359" s="13"/>
      <c r="CB359" s="1222" t="s">
        <v>2094</v>
      </c>
      <c r="CC359" s="586" t="s">
        <v>1143</v>
      </c>
      <c r="CD359" s="526"/>
      <c r="CE359" s="526"/>
      <c r="CF359" s="526"/>
      <c r="CG359" s="526"/>
      <c r="CH359" s="526"/>
      <c r="CI359" s="526"/>
      <c r="CJ359" s="526"/>
      <c r="CK359" s="15"/>
    </row>
    <row r="360" spans="2:89" customFormat="1" ht="87" hidden="1" customHeight="1">
      <c r="B360" s="22"/>
      <c r="C360" s="1444">
        <v>44494</v>
      </c>
      <c r="D360" s="1444"/>
      <c r="E360" s="911">
        <v>44075</v>
      </c>
      <c r="F360" s="911"/>
      <c r="G360" s="915">
        <v>44008</v>
      </c>
      <c r="H360" s="1746"/>
      <c r="I360" s="330"/>
      <c r="J360" s="169">
        <v>2019</v>
      </c>
      <c r="K360" s="1421">
        <v>191.08</v>
      </c>
      <c r="L360" s="1421"/>
      <c r="M360" s="170" t="s">
        <v>1179</v>
      </c>
      <c r="N360" s="178" t="s">
        <v>1180</v>
      </c>
      <c r="O360" s="2" t="s">
        <v>4032</v>
      </c>
      <c r="P360" s="173" t="s">
        <v>1181</v>
      </c>
      <c r="Q360" s="173" t="s">
        <v>2663</v>
      </c>
      <c r="R360" s="174">
        <v>800000</v>
      </c>
      <c r="S360" s="542">
        <v>43683</v>
      </c>
      <c r="T360" s="176">
        <v>43689</v>
      </c>
      <c r="U360" s="177">
        <v>43830</v>
      </c>
      <c r="V360" s="105" t="s">
        <v>68</v>
      </c>
      <c r="W360" s="178" t="s">
        <v>1177</v>
      </c>
      <c r="X360" s="170" t="s">
        <v>709</v>
      </c>
      <c r="Y360" s="592" t="s">
        <v>68</v>
      </c>
      <c r="Z360" s="1374"/>
      <c r="AA360" s="33" t="s">
        <v>1182</v>
      </c>
      <c r="AB360" s="8">
        <v>43521</v>
      </c>
      <c r="AC360" s="4">
        <v>800000</v>
      </c>
      <c r="AD360" s="4"/>
      <c r="AE360" s="32"/>
      <c r="AF360" s="34" t="s">
        <v>68</v>
      </c>
      <c r="AG360" s="112" t="s">
        <v>68</v>
      </c>
      <c r="AH360" s="112" t="s">
        <v>68</v>
      </c>
      <c r="AI360" s="7" t="s">
        <v>68</v>
      </c>
      <c r="AJ360" s="109" t="s">
        <v>68</v>
      </c>
      <c r="AK360" s="33" t="s">
        <v>68</v>
      </c>
      <c r="AL360" s="1" t="s">
        <v>68</v>
      </c>
      <c r="AM360" s="5" t="s">
        <v>68</v>
      </c>
      <c r="AN360" s="1" t="s">
        <v>68</v>
      </c>
      <c r="AO360" s="5" t="s">
        <v>68</v>
      </c>
      <c r="AP360" s="1" t="s">
        <v>68</v>
      </c>
      <c r="AQ360" s="1" t="s">
        <v>68</v>
      </c>
      <c r="AR360" s="279">
        <v>0</v>
      </c>
      <c r="AS360" s="1026">
        <v>33700</v>
      </c>
      <c r="AT360" s="900">
        <v>581486.80000000005</v>
      </c>
      <c r="AU360" s="891"/>
      <c r="AV360" s="164" t="s">
        <v>68</v>
      </c>
      <c r="AW360" s="11"/>
      <c r="AX360" s="223"/>
      <c r="AY360" s="52"/>
      <c r="AZ360" s="66" t="s">
        <v>74</v>
      </c>
      <c r="BA360" s="1"/>
      <c r="BB360" s="1"/>
      <c r="BC360" s="17"/>
      <c r="BD360" s="66" t="s">
        <v>74</v>
      </c>
      <c r="BE360" s="1423"/>
      <c r="BF360" s="5"/>
      <c r="BG360" s="5"/>
      <c r="BH360" s="1"/>
      <c r="BI360" s="36">
        <f>AS360+AT360</f>
        <v>615186.80000000005</v>
      </c>
      <c r="BJ360" s="13" t="s">
        <v>68</v>
      </c>
      <c r="BK360" s="352"/>
      <c r="BL360" s="336">
        <v>43685</v>
      </c>
      <c r="BM360" s="912" t="s">
        <v>68</v>
      </c>
      <c r="BN360" s="912" t="s">
        <v>68</v>
      </c>
      <c r="BO360" s="912"/>
      <c r="BP360" s="912"/>
      <c r="BQ360" s="912"/>
      <c r="BR360" s="912"/>
      <c r="BS360" s="912" t="s">
        <v>68</v>
      </c>
      <c r="BT360" s="913"/>
      <c r="BU360" s="336" t="s">
        <v>68</v>
      </c>
      <c r="BV360" s="913" t="s">
        <v>68</v>
      </c>
      <c r="BW360" s="13"/>
      <c r="BX360" s="13"/>
      <c r="BY360" s="13"/>
      <c r="BZ360" s="13"/>
      <c r="CA360" s="13"/>
      <c r="CB360" s="1222" t="s">
        <v>2094</v>
      </c>
      <c r="CC360" s="38"/>
      <c r="CD360" s="526"/>
      <c r="CE360" s="526"/>
      <c r="CF360" s="526"/>
      <c r="CG360" s="526"/>
      <c r="CH360" s="526"/>
      <c r="CI360" s="526"/>
      <c r="CJ360" s="526"/>
      <c r="CK360" s="15"/>
    </row>
    <row r="361" spans="2:89" customFormat="1" ht="84.75" hidden="1" customHeight="1">
      <c r="B361" s="22"/>
      <c r="C361" s="22"/>
      <c r="D361" s="22"/>
      <c r="E361" s="911">
        <v>44075</v>
      </c>
      <c r="F361" s="911"/>
      <c r="G361" s="915">
        <v>43976</v>
      </c>
      <c r="H361" s="1746"/>
      <c r="I361" s="330"/>
      <c r="J361" s="169">
        <v>2019</v>
      </c>
      <c r="K361" s="1421">
        <v>191.09</v>
      </c>
      <c r="L361" s="1421"/>
      <c r="M361" s="170" t="s">
        <v>166</v>
      </c>
      <c r="N361" s="178" t="s">
        <v>1183</v>
      </c>
      <c r="O361" s="2" t="s">
        <v>4032</v>
      </c>
      <c r="P361" s="173" t="s">
        <v>1184</v>
      </c>
      <c r="Q361" s="173" t="s">
        <v>2663</v>
      </c>
      <c r="R361" s="174">
        <v>750000</v>
      </c>
      <c r="S361" s="542">
        <v>43686</v>
      </c>
      <c r="T361" s="176">
        <v>43689</v>
      </c>
      <c r="U361" s="177">
        <v>43830</v>
      </c>
      <c r="V361" s="105" t="s">
        <v>68</v>
      </c>
      <c r="W361" s="178" t="s">
        <v>1177</v>
      </c>
      <c r="X361" s="170" t="s">
        <v>709</v>
      </c>
      <c r="Y361" s="200">
        <v>43753</v>
      </c>
      <c r="Z361" s="368"/>
      <c r="AA361" s="33" t="s">
        <v>1185</v>
      </c>
      <c r="AB361" s="8">
        <v>43668</v>
      </c>
      <c r="AC361" s="4">
        <v>750000</v>
      </c>
      <c r="AD361" s="4"/>
      <c r="AE361" s="32"/>
      <c r="AF361" s="34" t="s">
        <v>68</v>
      </c>
      <c r="AG361" s="112" t="s">
        <v>68</v>
      </c>
      <c r="AH361" s="112" t="s">
        <v>68</v>
      </c>
      <c r="AI361" s="7" t="s">
        <v>68</v>
      </c>
      <c r="AJ361" s="109" t="s">
        <v>68</v>
      </c>
      <c r="AK361" s="33" t="s">
        <v>68</v>
      </c>
      <c r="AL361" s="1" t="s">
        <v>68</v>
      </c>
      <c r="AM361" s="5" t="s">
        <v>68</v>
      </c>
      <c r="AN361" s="1" t="s">
        <v>68</v>
      </c>
      <c r="AO361" s="5" t="s">
        <v>68</v>
      </c>
      <c r="AP361" s="1" t="s">
        <v>68</v>
      </c>
      <c r="AQ361" s="1" t="s">
        <v>68</v>
      </c>
      <c r="AR361" s="279">
        <v>0</v>
      </c>
      <c r="AS361" s="1026">
        <v>175813.29</v>
      </c>
      <c r="AT361" s="900">
        <v>454874.08</v>
      </c>
      <c r="AU361" s="891"/>
      <c r="AV361" s="164" t="s">
        <v>68</v>
      </c>
      <c r="AW361" s="11"/>
      <c r="AX361" s="223"/>
      <c r="AY361" s="52"/>
      <c r="AZ361" s="246">
        <v>43819</v>
      </c>
      <c r="BA361" s="5">
        <v>43689</v>
      </c>
      <c r="BB361" s="5">
        <v>43830</v>
      </c>
      <c r="BC361" s="11">
        <v>43820</v>
      </c>
      <c r="BD361" s="246">
        <v>43819</v>
      </c>
      <c r="BE361" s="1542"/>
      <c r="BF361" s="5">
        <v>43689</v>
      </c>
      <c r="BG361" s="5">
        <v>43830</v>
      </c>
      <c r="BH361" s="11">
        <v>43820</v>
      </c>
      <c r="BI361" s="36"/>
      <c r="BJ361" s="13" t="s">
        <v>68</v>
      </c>
      <c r="BK361" s="352"/>
      <c r="BL361" s="336">
        <v>43685</v>
      </c>
      <c r="BM361" s="912" t="s">
        <v>68</v>
      </c>
      <c r="BN361" s="912" t="s">
        <v>68</v>
      </c>
      <c r="BO361" s="912"/>
      <c r="BP361" s="912"/>
      <c r="BQ361" s="912"/>
      <c r="BR361" s="912"/>
      <c r="BS361" s="912" t="s">
        <v>68</v>
      </c>
      <c r="BT361" s="913"/>
      <c r="BU361" s="336" t="s">
        <v>68</v>
      </c>
      <c r="BV361" s="913" t="s">
        <v>68</v>
      </c>
      <c r="BW361" s="13"/>
      <c r="BX361" s="13"/>
      <c r="BY361" s="13"/>
      <c r="BZ361" s="13"/>
      <c r="CA361" s="13"/>
      <c r="CB361" s="1222" t="s">
        <v>2094</v>
      </c>
      <c r="CC361" s="38"/>
      <c r="CD361" s="526"/>
      <c r="CE361" s="526"/>
      <c r="CF361" s="526"/>
      <c r="CG361" s="526"/>
      <c r="CH361" s="526"/>
      <c r="CI361" s="526"/>
      <c r="CJ361" s="526"/>
      <c r="CK361" s="15"/>
    </row>
    <row r="362" spans="2:89" customFormat="1" ht="75" hidden="1" customHeight="1">
      <c r="B362" s="22"/>
      <c r="C362" s="22"/>
      <c r="D362" s="22"/>
      <c r="E362" s="911">
        <v>44075</v>
      </c>
      <c r="F362" s="911"/>
      <c r="G362" s="915">
        <v>43976</v>
      </c>
      <c r="H362" s="1746"/>
      <c r="I362" s="330"/>
      <c r="J362" s="169">
        <v>2019</v>
      </c>
      <c r="K362" s="1421">
        <v>191.1</v>
      </c>
      <c r="L362" s="1421"/>
      <c r="M362" s="170" t="s">
        <v>166</v>
      </c>
      <c r="N362" s="178" t="s">
        <v>1186</v>
      </c>
      <c r="O362" s="2" t="s">
        <v>4032</v>
      </c>
      <c r="P362" s="173" t="s">
        <v>1187</v>
      </c>
      <c r="Q362" s="173" t="s">
        <v>4824</v>
      </c>
      <c r="R362" s="174">
        <v>518279.12</v>
      </c>
      <c r="S362" s="542">
        <v>43707</v>
      </c>
      <c r="T362" s="176">
        <v>43710</v>
      </c>
      <c r="U362" s="177">
        <v>43798</v>
      </c>
      <c r="V362" s="105" t="s">
        <v>68</v>
      </c>
      <c r="W362" s="178" t="s">
        <v>1177</v>
      </c>
      <c r="X362" s="170" t="s">
        <v>449</v>
      </c>
      <c r="Y362" s="1101" t="s">
        <v>68</v>
      </c>
      <c r="Z362" s="1379"/>
      <c r="AA362" s="241" t="s">
        <v>1188</v>
      </c>
      <c r="AB362" s="8">
        <v>43704</v>
      </c>
      <c r="AC362" s="4">
        <v>518279.12</v>
      </c>
      <c r="AD362" s="4"/>
      <c r="AE362" s="32"/>
      <c r="AF362" s="34" t="s">
        <v>68</v>
      </c>
      <c r="AG362" s="112" t="s">
        <v>68</v>
      </c>
      <c r="AH362" s="112" t="s">
        <v>68</v>
      </c>
      <c r="AI362" s="7" t="s">
        <v>68</v>
      </c>
      <c r="AJ362" s="109" t="s">
        <v>68</v>
      </c>
      <c r="AK362" s="33" t="s">
        <v>68</v>
      </c>
      <c r="AL362" s="1" t="s">
        <v>68</v>
      </c>
      <c r="AM362" s="5" t="s">
        <v>68</v>
      </c>
      <c r="AN362" s="1" t="s">
        <v>68</v>
      </c>
      <c r="AO362" s="5" t="s">
        <v>68</v>
      </c>
      <c r="AP362" s="1" t="s">
        <v>68</v>
      </c>
      <c r="AQ362" s="1" t="s">
        <v>68</v>
      </c>
      <c r="AR362" s="279">
        <v>0</v>
      </c>
      <c r="AS362" s="1026">
        <v>177150.56</v>
      </c>
      <c r="AT362" s="900">
        <v>268088.65999999997</v>
      </c>
      <c r="AU362" s="891"/>
      <c r="AV362" s="164" t="s">
        <v>68</v>
      </c>
      <c r="AW362" s="11"/>
      <c r="AX362" s="223"/>
      <c r="AY362" s="52" t="s">
        <v>495</v>
      </c>
      <c r="AZ362" s="66" t="s">
        <v>74</v>
      </c>
      <c r="BA362" s="1"/>
      <c r="BB362" s="1"/>
      <c r="BC362" s="17"/>
      <c r="BD362" s="66" t="s">
        <v>74</v>
      </c>
      <c r="BE362" s="1423"/>
      <c r="BF362" s="5"/>
      <c r="BG362" s="5"/>
      <c r="BH362" s="1"/>
      <c r="BI362" s="36"/>
      <c r="BJ362" s="13" t="s">
        <v>68</v>
      </c>
      <c r="BK362" s="352"/>
      <c r="BL362" s="336">
        <v>43737</v>
      </c>
      <c r="BM362" s="912" t="s">
        <v>68</v>
      </c>
      <c r="BN362" s="912" t="s">
        <v>68</v>
      </c>
      <c r="BO362" s="912"/>
      <c r="BP362" s="912"/>
      <c r="BQ362" s="912"/>
      <c r="BR362" s="912"/>
      <c r="BS362" s="912" t="s">
        <v>68</v>
      </c>
      <c r="BT362" s="913"/>
      <c r="BU362" s="336" t="s">
        <v>68</v>
      </c>
      <c r="BV362" s="913" t="s">
        <v>68</v>
      </c>
      <c r="BW362" s="13"/>
      <c r="BX362" s="13">
        <v>0</v>
      </c>
      <c r="BY362" s="13"/>
      <c r="BZ362" s="13"/>
      <c r="CA362" s="13"/>
      <c r="CB362" s="1222" t="s">
        <v>2094</v>
      </c>
      <c r="CC362" s="38"/>
      <c r="CD362" s="526"/>
      <c r="CE362" s="526"/>
      <c r="CF362" s="526"/>
      <c r="CG362" s="526"/>
      <c r="CH362" s="526"/>
      <c r="CI362" s="526"/>
      <c r="CJ362" s="526"/>
      <c r="CK362" s="15"/>
    </row>
    <row r="363" spans="2:89" customFormat="1" ht="79.5" hidden="1" customHeight="1">
      <c r="B363" s="22"/>
      <c r="C363" s="22"/>
      <c r="D363" s="22"/>
      <c r="E363" s="911">
        <v>44075</v>
      </c>
      <c r="F363" s="911"/>
      <c r="G363" s="915">
        <v>44008</v>
      </c>
      <c r="H363" s="1746"/>
      <c r="I363" s="330">
        <v>43837</v>
      </c>
      <c r="J363" s="169">
        <v>2019</v>
      </c>
      <c r="K363" s="1421">
        <v>191.11</v>
      </c>
      <c r="L363" s="1421"/>
      <c r="M363" s="170" t="s">
        <v>77</v>
      </c>
      <c r="N363" s="178" t="s">
        <v>1189</v>
      </c>
      <c r="O363" s="2" t="s">
        <v>4032</v>
      </c>
      <c r="P363" s="173" t="s">
        <v>1190</v>
      </c>
      <c r="Q363" s="173" t="s">
        <v>1975</v>
      </c>
      <c r="R363" s="174">
        <v>661528.31999999995</v>
      </c>
      <c r="S363" s="590">
        <v>43754</v>
      </c>
      <c r="T363" s="176">
        <v>43759</v>
      </c>
      <c r="U363" s="177">
        <v>43814</v>
      </c>
      <c r="V363" s="105" t="s">
        <v>68</v>
      </c>
      <c r="W363" s="178" t="s">
        <v>1177</v>
      </c>
      <c r="X363" s="170" t="s">
        <v>449</v>
      </c>
      <c r="Y363" s="608">
        <v>43753</v>
      </c>
      <c r="Z363" s="1373"/>
      <c r="AA363" s="33" t="s">
        <v>1191</v>
      </c>
      <c r="AB363" s="8">
        <v>43752</v>
      </c>
      <c r="AC363" s="4">
        <v>661532.21</v>
      </c>
      <c r="AD363" s="4"/>
      <c r="AE363" s="32"/>
      <c r="AF363" s="34" t="s">
        <v>68</v>
      </c>
      <c r="AG363" s="112" t="s">
        <v>68</v>
      </c>
      <c r="AH363" s="112" t="s">
        <v>68</v>
      </c>
      <c r="AI363" s="7" t="s">
        <v>68</v>
      </c>
      <c r="AJ363" s="109" t="s">
        <v>68</v>
      </c>
      <c r="AK363" s="33" t="s">
        <v>68</v>
      </c>
      <c r="AL363" s="1" t="s">
        <v>68</v>
      </c>
      <c r="AM363" s="5" t="s">
        <v>68</v>
      </c>
      <c r="AN363" s="1" t="s">
        <v>68</v>
      </c>
      <c r="AO363" s="5" t="s">
        <v>68</v>
      </c>
      <c r="AP363" s="1" t="s">
        <v>68</v>
      </c>
      <c r="AQ363" s="1" t="s">
        <v>68</v>
      </c>
      <c r="AR363" s="279">
        <v>0</v>
      </c>
      <c r="AS363" s="35">
        <v>112372.76</v>
      </c>
      <c r="AT363" s="895">
        <v>548291</v>
      </c>
      <c r="AU363" s="891"/>
      <c r="AV363" s="66" t="s">
        <v>74</v>
      </c>
      <c r="AW363" s="11"/>
      <c r="AX363" s="223"/>
      <c r="AY363" s="52" t="s">
        <v>973</v>
      </c>
      <c r="AZ363" s="324">
        <v>43814</v>
      </c>
      <c r="BA363" s="325">
        <v>43759</v>
      </c>
      <c r="BB363" s="325">
        <v>43814</v>
      </c>
      <c r="BC363" s="1031">
        <v>43814</v>
      </c>
      <c r="BD363" s="324">
        <v>43814</v>
      </c>
      <c r="BE363" s="1615"/>
      <c r="BF363" s="5">
        <v>43759</v>
      </c>
      <c r="BG363" s="5">
        <v>43814</v>
      </c>
      <c r="BH363" s="5">
        <v>43814</v>
      </c>
      <c r="BI363" s="36">
        <f>AS363+AT363</f>
        <v>660663.76</v>
      </c>
      <c r="BJ363" s="13" t="s">
        <v>68</v>
      </c>
      <c r="BK363" s="352"/>
      <c r="BL363" s="336">
        <v>43755</v>
      </c>
      <c r="BM363" s="912" t="s">
        <v>68</v>
      </c>
      <c r="BN363" s="912" t="s">
        <v>68</v>
      </c>
      <c r="BO363" s="912"/>
      <c r="BP363" s="912"/>
      <c r="BQ363" s="912"/>
      <c r="BR363" s="912"/>
      <c r="BS363" s="912" t="s">
        <v>68</v>
      </c>
      <c r="BT363" s="913"/>
      <c r="BU363" s="336" t="s">
        <v>68</v>
      </c>
      <c r="BV363" s="913" t="s">
        <v>68</v>
      </c>
      <c r="BW363" s="13"/>
      <c r="BX363" s="13">
        <v>0</v>
      </c>
      <c r="BY363" s="13"/>
      <c r="BZ363" s="13"/>
      <c r="CA363" s="13"/>
      <c r="CB363" s="1222" t="s">
        <v>2094</v>
      </c>
      <c r="CC363" s="38"/>
      <c r="CD363" s="526"/>
      <c r="CE363" s="526"/>
      <c r="CF363" s="526"/>
      <c r="CG363" s="526"/>
      <c r="CH363" s="526"/>
      <c r="CI363" s="526"/>
      <c r="CJ363" s="526"/>
      <c r="CK363" s="15"/>
    </row>
    <row r="364" spans="2:89" customFormat="1" ht="85.5" hidden="1" customHeight="1">
      <c r="B364" s="22"/>
      <c r="C364" s="22"/>
      <c r="D364" s="22"/>
      <c r="E364" s="911">
        <v>44075</v>
      </c>
      <c r="F364" s="911"/>
      <c r="G364" s="915">
        <v>44011</v>
      </c>
      <c r="H364" s="1746"/>
      <c r="I364" s="330">
        <v>43837</v>
      </c>
      <c r="J364" s="169">
        <v>2019</v>
      </c>
      <c r="K364" s="1421">
        <v>191.12</v>
      </c>
      <c r="L364" s="1421"/>
      <c r="M364" s="170" t="s">
        <v>77</v>
      </c>
      <c r="N364" s="178" t="s">
        <v>1192</v>
      </c>
      <c r="O364" s="2" t="s">
        <v>4032</v>
      </c>
      <c r="P364" s="173" t="s">
        <v>1193</v>
      </c>
      <c r="Q364" s="173" t="s">
        <v>1975</v>
      </c>
      <c r="R364" s="174">
        <v>886200.09</v>
      </c>
      <c r="S364" s="590">
        <v>43754</v>
      </c>
      <c r="T364" s="176">
        <v>43759</v>
      </c>
      <c r="U364" s="177">
        <v>43814</v>
      </c>
      <c r="V364" s="105" t="s">
        <v>68</v>
      </c>
      <c r="W364" s="178" t="s">
        <v>1177</v>
      </c>
      <c r="X364" s="170" t="s">
        <v>449</v>
      </c>
      <c r="Y364" s="608">
        <v>43753</v>
      </c>
      <c r="Z364" s="1373"/>
      <c r="AA364" s="33" t="s">
        <v>1194</v>
      </c>
      <c r="AB364" s="8">
        <v>43752</v>
      </c>
      <c r="AC364" s="4">
        <v>886200.09</v>
      </c>
      <c r="AD364" s="4"/>
      <c r="AE364" s="32"/>
      <c r="AF364" s="34" t="s">
        <v>68</v>
      </c>
      <c r="AG364" s="112" t="s">
        <v>68</v>
      </c>
      <c r="AH364" s="112" t="s">
        <v>68</v>
      </c>
      <c r="AI364" s="7" t="s">
        <v>68</v>
      </c>
      <c r="AJ364" s="109" t="s">
        <v>68</v>
      </c>
      <c r="AK364" s="33" t="s">
        <v>68</v>
      </c>
      <c r="AL364" s="1" t="s">
        <v>68</v>
      </c>
      <c r="AM364" s="5" t="s">
        <v>68</v>
      </c>
      <c r="AN364" s="1" t="s">
        <v>68</v>
      </c>
      <c r="AO364" s="5" t="s">
        <v>68</v>
      </c>
      <c r="AP364" s="1" t="s">
        <v>68</v>
      </c>
      <c r="AQ364" s="1" t="s">
        <v>68</v>
      </c>
      <c r="AR364" s="279">
        <v>0</v>
      </c>
      <c r="AS364" s="35">
        <v>149162.70000000001</v>
      </c>
      <c r="AT364" s="895">
        <v>736831.71</v>
      </c>
      <c r="AU364" s="891"/>
      <c r="AV364" s="66" t="s">
        <v>74</v>
      </c>
      <c r="AW364" s="11"/>
      <c r="AX364" s="223" t="s">
        <v>68</v>
      </c>
      <c r="AY364" s="52" t="s">
        <v>973</v>
      </c>
      <c r="AZ364" s="324">
        <v>43814</v>
      </c>
      <c r="BA364" s="325">
        <v>43759</v>
      </c>
      <c r="BB364" s="325">
        <v>43814</v>
      </c>
      <c r="BC364" s="1031">
        <v>43814</v>
      </c>
      <c r="BD364" s="324">
        <v>43814</v>
      </c>
      <c r="BE364" s="1615"/>
      <c r="BF364" s="5">
        <v>43759</v>
      </c>
      <c r="BG364" s="5">
        <v>43814</v>
      </c>
      <c r="BH364" s="5">
        <v>43814</v>
      </c>
      <c r="BI364" s="36">
        <f>AS364+AT364</f>
        <v>885994.40999999992</v>
      </c>
      <c r="BJ364" s="13" t="s">
        <v>68</v>
      </c>
      <c r="BK364" s="352"/>
      <c r="BL364" s="336">
        <v>43755</v>
      </c>
      <c r="BM364" s="912" t="s">
        <v>68</v>
      </c>
      <c r="BN364" s="912" t="s">
        <v>68</v>
      </c>
      <c r="BO364" s="912"/>
      <c r="BP364" s="912"/>
      <c r="BQ364" s="912"/>
      <c r="BR364" s="912"/>
      <c r="BS364" s="912" t="s">
        <v>68</v>
      </c>
      <c r="BT364" s="913"/>
      <c r="BU364" s="336" t="s">
        <v>68</v>
      </c>
      <c r="BV364" s="913" t="s">
        <v>68</v>
      </c>
      <c r="BW364" s="13"/>
      <c r="BX364" s="13">
        <v>0</v>
      </c>
      <c r="BY364" s="13"/>
      <c r="BZ364" s="13"/>
      <c r="CA364" s="13"/>
      <c r="CB364" s="1222" t="s">
        <v>2094</v>
      </c>
      <c r="CC364" s="38" t="s">
        <v>1195</v>
      </c>
      <c r="CD364" s="526"/>
      <c r="CE364" s="526"/>
      <c r="CF364" s="526"/>
      <c r="CG364" s="526"/>
      <c r="CH364" s="526"/>
      <c r="CI364" s="526"/>
      <c r="CJ364" s="526"/>
      <c r="CK364" s="15"/>
    </row>
    <row r="365" spans="2:89" customFormat="1" ht="97.5" hidden="1" customHeight="1">
      <c r="B365" s="22"/>
      <c r="C365" s="22"/>
      <c r="D365" s="22"/>
      <c r="E365" s="911">
        <v>44075</v>
      </c>
      <c r="F365" s="911"/>
      <c r="G365" s="915">
        <v>44008</v>
      </c>
      <c r="H365" s="1746"/>
      <c r="I365" s="330">
        <v>43837</v>
      </c>
      <c r="J365" s="169">
        <v>2019</v>
      </c>
      <c r="K365" s="1421">
        <v>191.13</v>
      </c>
      <c r="L365" s="1421"/>
      <c r="M365" s="170" t="s">
        <v>77</v>
      </c>
      <c r="N365" s="178" t="s">
        <v>1196</v>
      </c>
      <c r="O365" s="2" t="s">
        <v>4032</v>
      </c>
      <c r="P365" s="173" t="s">
        <v>1197</v>
      </c>
      <c r="Q365" s="173" t="s">
        <v>4409</v>
      </c>
      <c r="R365" s="174">
        <v>316991.96999999997</v>
      </c>
      <c r="S365" s="542">
        <v>43773</v>
      </c>
      <c r="T365" s="176">
        <v>43775</v>
      </c>
      <c r="U365" s="177">
        <v>43798</v>
      </c>
      <c r="V365" s="105" t="s">
        <v>68</v>
      </c>
      <c r="W365" s="178" t="s">
        <v>1177</v>
      </c>
      <c r="X365" s="170" t="s">
        <v>449</v>
      </c>
      <c r="Y365" s="611">
        <v>43738</v>
      </c>
      <c r="Z365" s="1372"/>
      <c r="AA365" s="241" t="s">
        <v>1198</v>
      </c>
      <c r="AB365" s="8">
        <v>43704</v>
      </c>
      <c r="AC365" s="4">
        <v>316991.96999999997</v>
      </c>
      <c r="AD365" s="4"/>
      <c r="AE365" s="32"/>
      <c r="AF365" s="34" t="s">
        <v>68</v>
      </c>
      <c r="AG365" s="112" t="s">
        <v>68</v>
      </c>
      <c r="AH365" s="112" t="s">
        <v>68</v>
      </c>
      <c r="AI365" s="7" t="s">
        <v>68</v>
      </c>
      <c r="AJ365" s="109" t="s">
        <v>68</v>
      </c>
      <c r="AK365" s="33" t="s">
        <v>68</v>
      </c>
      <c r="AL365" s="1" t="s">
        <v>68</v>
      </c>
      <c r="AM365" s="5" t="s">
        <v>68</v>
      </c>
      <c r="AN365" s="1" t="s">
        <v>68</v>
      </c>
      <c r="AO365" s="5" t="s">
        <v>68</v>
      </c>
      <c r="AP365" s="1" t="s">
        <v>68</v>
      </c>
      <c r="AQ365" s="1" t="s">
        <v>68</v>
      </c>
      <c r="AR365" s="279">
        <v>0</v>
      </c>
      <c r="AS365" s="1026">
        <v>41549.75</v>
      </c>
      <c r="AT365" s="900">
        <v>197160.68</v>
      </c>
      <c r="AU365" s="891"/>
      <c r="AV365" s="66" t="s">
        <v>74</v>
      </c>
      <c r="AW365" s="11"/>
      <c r="AX365" s="223"/>
      <c r="AY365" s="52"/>
      <c r="AZ365" s="70">
        <v>43798</v>
      </c>
      <c r="BA365" s="71">
        <v>43775</v>
      </c>
      <c r="BB365" s="71">
        <v>43798</v>
      </c>
      <c r="BC365" s="127">
        <v>43798</v>
      </c>
      <c r="BD365" s="324">
        <v>43798</v>
      </c>
      <c r="BE365" s="1615"/>
      <c r="BF365" s="5">
        <v>43775</v>
      </c>
      <c r="BG365" s="5">
        <v>43798</v>
      </c>
      <c r="BH365" s="5">
        <v>43798</v>
      </c>
      <c r="BI365" s="245">
        <f>AS365+AT365-90</f>
        <v>238620.43</v>
      </c>
      <c r="BJ365" s="13" t="s">
        <v>68</v>
      </c>
      <c r="BK365" s="352"/>
      <c r="BL365" s="336">
        <v>43770</v>
      </c>
      <c r="BM365" s="912" t="s">
        <v>68</v>
      </c>
      <c r="BN365" s="912" t="s">
        <v>68</v>
      </c>
      <c r="BO365" s="912"/>
      <c r="BP365" s="912"/>
      <c r="BQ365" s="912"/>
      <c r="BR365" s="912"/>
      <c r="BS365" s="912" t="s">
        <v>68</v>
      </c>
      <c r="BT365" s="913"/>
      <c r="BU365" s="336" t="s">
        <v>68</v>
      </c>
      <c r="BV365" s="913" t="s">
        <v>68</v>
      </c>
      <c r="BW365" s="13"/>
      <c r="BX365" s="13"/>
      <c r="BY365" s="13"/>
      <c r="BZ365" s="13"/>
      <c r="CA365" s="13"/>
      <c r="CB365" s="1222" t="s">
        <v>2094</v>
      </c>
      <c r="CC365" s="321" t="s">
        <v>2807</v>
      </c>
      <c r="CD365" s="526"/>
      <c r="CE365" s="526"/>
      <c r="CF365" s="526"/>
      <c r="CG365" s="526"/>
      <c r="CH365" s="526"/>
      <c r="CI365" s="526"/>
      <c r="CJ365" s="526"/>
      <c r="CK365" s="15"/>
    </row>
    <row r="366" spans="2:89" customFormat="1" ht="113.25" hidden="1" customHeight="1">
      <c r="B366" s="22"/>
      <c r="C366" s="22"/>
      <c r="D366" s="22"/>
      <c r="E366" s="911">
        <v>44075</v>
      </c>
      <c r="F366" s="911"/>
      <c r="G366" s="915">
        <v>44011</v>
      </c>
      <c r="H366" s="1746"/>
      <c r="I366" s="330">
        <v>43837</v>
      </c>
      <c r="J366" s="169">
        <v>2019</v>
      </c>
      <c r="K366" s="1421">
        <v>191.14</v>
      </c>
      <c r="L366" s="1421"/>
      <c r="M366" s="170" t="s">
        <v>77</v>
      </c>
      <c r="N366" s="178" t="s">
        <v>1199</v>
      </c>
      <c r="O366" s="2" t="s">
        <v>4032</v>
      </c>
      <c r="P366" s="173" t="s">
        <v>1200</v>
      </c>
      <c r="Q366" s="173" t="s">
        <v>4409</v>
      </c>
      <c r="R366" s="174">
        <v>387742.07</v>
      </c>
      <c r="S366" s="542">
        <v>43773</v>
      </c>
      <c r="T366" s="176">
        <v>43775</v>
      </c>
      <c r="U366" s="177">
        <v>43798</v>
      </c>
      <c r="V366" s="105" t="s">
        <v>68</v>
      </c>
      <c r="W366" s="178" t="s">
        <v>1177</v>
      </c>
      <c r="X366" s="170" t="s">
        <v>449</v>
      </c>
      <c r="Y366" s="611">
        <v>43738</v>
      </c>
      <c r="Z366" s="1372"/>
      <c r="AA366" s="344" t="s">
        <v>1201</v>
      </c>
      <c r="AB366" s="8">
        <v>43704</v>
      </c>
      <c r="AC366" s="4">
        <v>387742.07</v>
      </c>
      <c r="AD366" s="4"/>
      <c r="AE366" s="32"/>
      <c r="AF366" s="34" t="s">
        <v>68</v>
      </c>
      <c r="AG366" s="112" t="s">
        <v>68</v>
      </c>
      <c r="AH366" s="112" t="s">
        <v>68</v>
      </c>
      <c r="AI366" s="7" t="s">
        <v>68</v>
      </c>
      <c r="AJ366" s="109" t="s">
        <v>68</v>
      </c>
      <c r="AK366" s="33" t="s">
        <v>68</v>
      </c>
      <c r="AL366" s="1" t="s">
        <v>68</v>
      </c>
      <c r="AM366" s="5" t="s">
        <v>68</v>
      </c>
      <c r="AN366" s="1" t="s">
        <v>68</v>
      </c>
      <c r="AO366" s="5" t="s">
        <v>68</v>
      </c>
      <c r="AP366" s="1" t="s">
        <v>68</v>
      </c>
      <c r="AQ366" s="1" t="s">
        <v>68</v>
      </c>
      <c r="AR366" s="279">
        <v>0</v>
      </c>
      <c r="AS366" s="1037">
        <v>70159.48</v>
      </c>
      <c r="AT366" s="900">
        <v>169356.7</v>
      </c>
      <c r="AU366" s="891"/>
      <c r="AV366" s="66" t="s">
        <v>74</v>
      </c>
      <c r="AW366" s="11"/>
      <c r="AX366" s="223"/>
      <c r="AY366" s="52"/>
      <c r="AZ366" s="70">
        <v>43798</v>
      </c>
      <c r="BA366" s="71">
        <v>43775</v>
      </c>
      <c r="BB366" s="71">
        <v>43798</v>
      </c>
      <c r="BC366" s="127">
        <v>43798</v>
      </c>
      <c r="BD366" s="324">
        <v>43798</v>
      </c>
      <c r="BE366" s="1615"/>
      <c r="BF366" s="5">
        <v>43775</v>
      </c>
      <c r="BG366" s="5">
        <v>43798</v>
      </c>
      <c r="BH366" s="5">
        <v>43798</v>
      </c>
      <c r="BI366" s="326">
        <f>AS366+AT366</f>
        <v>239516.18</v>
      </c>
      <c r="BJ366" s="13" t="s">
        <v>68</v>
      </c>
      <c r="BK366" s="352"/>
      <c r="BL366" s="336">
        <v>43770</v>
      </c>
      <c r="BM366" s="912" t="s">
        <v>68</v>
      </c>
      <c r="BN366" s="912" t="s">
        <v>68</v>
      </c>
      <c r="BO366" s="912"/>
      <c r="BP366" s="912"/>
      <c r="BQ366" s="912"/>
      <c r="BR366" s="912"/>
      <c r="BS366" s="912" t="s">
        <v>68</v>
      </c>
      <c r="BT366" s="913"/>
      <c r="BU366" s="336" t="s">
        <v>68</v>
      </c>
      <c r="BV366" s="913" t="s">
        <v>68</v>
      </c>
      <c r="BW366" s="13"/>
      <c r="BX366" s="13"/>
      <c r="BY366" s="13"/>
      <c r="BZ366" s="13"/>
      <c r="CA366" s="13"/>
      <c r="CB366" s="1222" t="s">
        <v>2094</v>
      </c>
      <c r="CC366" s="321"/>
      <c r="CD366" s="526"/>
      <c r="CE366" s="526"/>
      <c r="CF366" s="526"/>
      <c r="CG366" s="526"/>
      <c r="CH366" s="526"/>
      <c r="CI366" s="526"/>
      <c r="CJ366" s="526"/>
      <c r="CK366" s="15"/>
    </row>
    <row r="367" spans="2:89" customFormat="1" ht="99" hidden="1" customHeight="1">
      <c r="B367" s="22"/>
      <c r="C367" s="22"/>
      <c r="D367" s="22"/>
      <c r="E367" s="911">
        <v>44075</v>
      </c>
      <c r="F367" s="911"/>
      <c r="G367" s="915">
        <v>44008</v>
      </c>
      <c r="H367" s="1746"/>
      <c r="I367" s="330">
        <v>43837</v>
      </c>
      <c r="J367" s="169">
        <v>2019</v>
      </c>
      <c r="K367" s="1421">
        <v>191.15</v>
      </c>
      <c r="L367" s="1421"/>
      <c r="M367" s="170" t="s">
        <v>77</v>
      </c>
      <c r="N367" s="178" t="s">
        <v>1202</v>
      </c>
      <c r="O367" s="2" t="s">
        <v>4032</v>
      </c>
      <c r="P367" s="173" t="s">
        <v>1203</v>
      </c>
      <c r="Q367" s="173" t="s">
        <v>4409</v>
      </c>
      <c r="R367" s="174">
        <v>758777.4</v>
      </c>
      <c r="S367" s="542">
        <v>43773</v>
      </c>
      <c r="T367" s="176">
        <v>43775</v>
      </c>
      <c r="U367" s="177">
        <v>43798</v>
      </c>
      <c r="V367" s="105">
        <v>43693</v>
      </c>
      <c r="W367" s="178" t="s">
        <v>1177</v>
      </c>
      <c r="X367" s="170" t="s">
        <v>449</v>
      </c>
      <c r="Y367" s="611">
        <v>43738</v>
      </c>
      <c r="Z367" s="1372"/>
      <c r="AA367" s="344" t="s">
        <v>1204</v>
      </c>
      <c r="AB367" s="8">
        <v>43704</v>
      </c>
      <c r="AC367" s="4">
        <v>758777.4</v>
      </c>
      <c r="AD367" s="4"/>
      <c r="AE367" s="32"/>
      <c r="AF367" s="34" t="s">
        <v>68</v>
      </c>
      <c r="AG367" s="112" t="s">
        <v>68</v>
      </c>
      <c r="AH367" s="112" t="s">
        <v>68</v>
      </c>
      <c r="AI367" s="7" t="s">
        <v>68</v>
      </c>
      <c r="AJ367" s="109" t="s">
        <v>68</v>
      </c>
      <c r="AK367" s="33"/>
      <c r="AL367" s="1"/>
      <c r="AM367" s="5"/>
      <c r="AN367" s="2"/>
      <c r="AO367" s="5"/>
      <c r="AP367" s="2"/>
      <c r="AQ367" s="5"/>
      <c r="AR367" s="279"/>
      <c r="AS367" s="1026">
        <v>202691.45</v>
      </c>
      <c r="AT367" s="900">
        <v>515332.37</v>
      </c>
      <c r="AU367" s="891"/>
      <c r="AV367" s="66" t="s">
        <v>74</v>
      </c>
      <c r="AW367" s="11"/>
      <c r="AX367" s="223"/>
      <c r="AY367" s="52"/>
      <c r="AZ367" s="70">
        <v>43798</v>
      </c>
      <c r="BA367" s="5">
        <v>43775</v>
      </c>
      <c r="BB367" s="5">
        <v>43798</v>
      </c>
      <c r="BC367" s="11">
        <v>43798</v>
      </c>
      <c r="BD367" s="324">
        <v>43798</v>
      </c>
      <c r="BE367" s="1615"/>
      <c r="BF367" s="5">
        <v>43775</v>
      </c>
      <c r="BG367" s="5">
        <v>43798</v>
      </c>
      <c r="BH367" s="5">
        <v>43798</v>
      </c>
      <c r="BI367" s="326">
        <f>AS367+AT367</f>
        <v>718023.82000000007</v>
      </c>
      <c r="BJ367" s="13" t="s">
        <v>68</v>
      </c>
      <c r="BK367" s="352"/>
      <c r="BL367" s="336">
        <v>43693</v>
      </c>
      <c r="BM367" s="912" t="s">
        <v>68</v>
      </c>
      <c r="BN367" s="71">
        <v>43703</v>
      </c>
      <c r="BO367" s="71"/>
      <c r="BP367" s="71"/>
      <c r="BQ367" s="71"/>
      <c r="BR367" s="71"/>
      <c r="BS367" s="912" t="s">
        <v>68</v>
      </c>
      <c r="BT367" s="913"/>
      <c r="BU367" s="336" t="s">
        <v>68</v>
      </c>
      <c r="BV367" s="913" t="s">
        <v>68</v>
      </c>
      <c r="BW367" s="13"/>
      <c r="BX367" s="13"/>
      <c r="BY367" s="13"/>
      <c r="BZ367" s="13"/>
      <c r="CA367" s="13"/>
      <c r="CB367" s="1222" t="s">
        <v>2094</v>
      </c>
      <c r="CC367" s="321"/>
      <c r="CD367" s="526"/>
      <c r="CE367" s="526"/>
      <c r="CF367" s="526"/>
      <c r="CG367" s="526"/>
      <c r="CH367" s="526"/>
      <c r="CI367" s="526"/>
      <c r="CJ367" s="526"/>
      <c r="CK367" s="15"/>
    </row>
    <row r="368" spans="2:89" s="1050" customFormat="1" ht="37.5" hidden="1" customHeight="1">
      <c r="B368" s="1051"/>
      <c r="C368" s="1051"/>
      <c r="D368" s="1051"/>
      <c r="E368" s="1052"/>
      <c r="F368" s="1052"/>
      <c r="G368" s="553"/>
      <c r="H368" s="620"/>
      <c r="I368" s="620"/>
      <c r="J368" s="1053">
        <v>2019</v>
      </c>
      <c r="K368" s="1420">
        <v>191.16</v>
      </c>
      <c r="L368" s="1420"/>
      <c r="M368" s="1054"/>
      <c r="N368" s="1055" t="s">
        <v>1205</v>
      </c>
      <c r="O368" s="790" t="s">
        <v>251</v>
      </c>
      <c r="P368" s="1056"/>
      <c r="Q368" s="1056"/>
      <c r="R368" s="1057"/>
      <c r="S368" s="1058"/>
      <c r="T368" s="1059"/>
      <c r="U368" s="1060"/>
      <c r="V368" s="1061" t="s">
        <v>68</v>
      </c>
      <c r="W368" s="1055" t="s">
        <v>68</v>
      </c>
      <c r="X368" s="1054"/>
      <c r="Y368" s="1062"/>
      <c r="Z368" s="1377"/>
      <c r="AA368" s="308"/>
      <c r="AB368" s="1063"/>
      <c r="AC368" s="1064"/>
      <c r="AD368" s="1064"/>
      <c r="AE368" s="1065"/>
      <c r="AF368" s="1066" t="s">
        <v>68</v>
      </c>
      <c r="AG368" s="1067" t="s">
        <v>68</v>
      </c>
      <c r="AH368" s="1067" t="s">
        <v>68</v>
      </c>
      <c r="AI368" s="1068" t="s">
        <v>68</v>
      </c>
      <c r="AJ368" s="1069" t="s">
        <v>68</v>
      </c>
      <c r="AK368" s="308" t="s">
        <v>68</v>
      </c>
      <c r="AL368" s="1070" t="s">
        <v>68</v>
      </c>
      <c r="AM368" s="1071" t="s">
        <v>68</v>
      </c>
      <c r="AN368" s="1070" t="s">
        <v>68</v>
      </c>
      <c r="AO368" s="1071" t="s">
        <v>68</v>
      </c>
      <c r="AP368" s="1070" t="s">
        <v>68</v>
      </c>
      <c r="AQ368" s="1070" t="s">
        <v>68</v>
      </c>
      <c r="AR368" s="1072">
        <v>0</v>
      </c>
      <c r="AS368" s="1073"/>
      <c r="AT368" s="1074"/>
      <c r="AU368" s="1075"/>
      <c r="AV368" s="1076"/>
      <c r="AW368" s="1077"/>
      <c r="AX368" s="1078"/>
      <c r="AY368" s="1079"/>
      <c r="AZ368" s="1076"/>
      <c r="BA368" s="1070"/>
      <c r="BB368" s="1070"/>
      <c r="BC368" s="1080"/>
      <c r="BD368" s="1076"/>
      <c r="BE368" s="1608"/>
      <c r="BF368" s="1071"/>
      <c r="BG368" s="1071"/>
      <c r="BH368" s="1070"/>
      <c r="BI368" s="1081"/>
      <c r="BJ368" s="1082" t="s">
        <v>68</v>
      </c>
      <c r="BK368" s="1816"/>
      <c r="BL368" s="1083"/>
      <c r="BM368" s="1084" t="s">
        <v>68</v>
      </c>
      <c r="BN368" s="1084" t="s">
        <v>68</v>
      </c>
      <c r="BO368" s="1084"/>
      <c r="BP368" s="1084"/>
      <c r="BQ368" s="1084"/>
      <c r="BR368" s="1084"/>
      <c r="BS368" s="1084" t="s">
        <v>68</v>
      </c>
      <c r="BT368" s="1083"/>
      <c r="BU368" s="1478" t="s">
        <v>68</v>
      </c>
      <c r="BV368" s="1083" t="s">
        <v>68</v>
      </c>
      <c r="BW368" s="1082"/>
      <c r="BX368" s="1082"/>
      <c r="BY368" s="1082"/>
      <c r="BZ368" s="1082"/>
      <c r="CA368" s="1082"/>
      <c r="CB368" s="1486" t="s">
        <v>2094</v>
      </c>
      <c r="CC368" s="1085"/>
      <c r="CD368" s="789"/>
      <c r="CE368" s="789"/>
      <c r="CF368" s="789"/>
      <c r="CG368" s="789"/>
      <c r="CH368" s="789"/>
      <c r="CI368" s="789"/>
      <c r="CJ368" s="789"/>
      <c r="CK368" s="1086"/>
    </row>
    <row r="369" spans="2:89" customFormat="1" ht="67.5" hidden="1" customHeight="1">
      <c r="B369" s="22"/>
      <c r="C369" s="122"/>
      <c r="D369" s="122"/>
      <c r="E369" s="911">
        <v>44075</v>
      </c>
      <c r="F369" s="911"/>
      <c r="G369" s="915">
        <v>44298</v>
      </c>
      <c r="H369" s="1746"/>
      <c r="I369" s="330">
        <v>44302</v>
      </c>
      <c r="J369" s="169">
        <v>2019</v>
      </c>
      <c r="K369" s="1421">
        <v>191.17</v>
      </c>
      <c r="L369" s="1421"/>
      <c r="M369" s="170" t="s">
        <v>1148</v>
      </c>
      <c r="N369" s="178" t="s">
        <v>1206</v>
      </c>
      <c r="O369" s="2" t="s">
        <v>4032</v>
      </c>
      <c r="P369" s="173" t="s">
        <v>1207</v>
      </c>
      <c r="Q369" s="173" t="s">
        <v>4409</v>
      </c>
      <c r="R369" s="174">
        <v>1248920.79</v>
      </c>
      <c r="S369" s="542">
        <v>43784</v>
      </c>
      <c r="T369" s="176">
        <v>43784</v>
      </c>
      <c r="U369" s="177">
        <v>43814</v>
      </c>
      <c r="V369" s="105" t="s">
        <v>68</v>
      </c>
      <c r="W369" s="178" t="s">
        <v>1177</v>
      </c>
      <c r="X369" s="170" t="s">
        <v>984</v>
      </c>
      <c r="Y369" s="1025" t="s">
        <v>68</v>
      </c>
      <c r="Z369" s="1380"/>
      <c r="AA369" s="33" t="s">
        <v>1208</v>
      </c>
      <c r="AB369" s="8">
        <v>43793</v>
      </c>
      <c r="AC369" s="4">
        <v>1248920.79</v>
      </c>
      <c r="AD369" s="4"/>
      <c r="AE369" s="32"/>
      <c r="AF369" s="34" t="s">
        <v>68</v>
      </c>
      <c r="AG369" s="112" t="s">
        <v>68</v>
      </c>
      <c r="AH369" s="112" t="s">
        <v>68</v>
      </c>
      <c r="AI369" s="7" t="s">
        <v>68</v>
      </c>
      <c r="AJ369" s="109" t="s">
        <v>68</v>
      </c>
      <c r="AK369" s="33" t="s">
        <v>68</v>
      </c>
      <c r="AL369" s="1" t="s">
        <v>68</v>
      </c>
      <c r="AM369" s="5" t="s">
        <v>68</v>
      </c>
      <c r="AN369" s="1" t="s">
        <v>68</v>
      </c>
      <c r="AO369" s="5" t="s">
        <v>68</v>
      </c>
      <c r="AP369" s="1" t="s">
        <v>68</v>
      </c>
      <c r="AQ369" s="1" t="s">
        <v>68</v>
      </c>
      <c r="AR369" s="279">
        <v>0</v>
      </c>
      <c r="AS369" s="1026">
        <v>233232.44</v>
      </c>
      <c r="AT369" s="900">
        <v>503816.51</v>
      </c>
      <c r="AU369" s="891"/>
      <c r="AV369" s="225">
        <v>43912</v>
      </c>
      <c r="AW369" s="11">
        <v>43923</v>
      </c>
      <c r="AX369" s="223"/>
      <c r="AY369" s="52"/>
      <c r="AZ369" s="66" t="s">
        <v>74</v>
      </c>
      <c r="BA369" s="1"/>
      <c r="BB369" s="1"/>
      <c r="BC369" s="17"/>
      <c r="BD369" s="66" t="s">
        <v>74</v>
      </c>
      <c r="BE369" s="1423"/>
      <c r="BF369" s="5"/>
      <c r="BG369" s="5"/>
      <c r="BH369" s="1"/>
      <c r="BI369" s="64">
        <f>AS369+AT369</f>
        <v>737048.95</v>
      </c>
      <c r="BJ369" s="13" t="s">
        <v>68</v>
      </c>
      <c r="BK369" s="352"/>
      <c r="BL369" s="336">
        <v>43780</v>
      </c>
      <c r="BM369" s="912" t="s">
        <v>68</v>
      </c>
      <c r="BN369" s="912" t="s">
        <v>68</v>
      </c>
      <c r="BO369" s="912"/>
      <c r="BP369" s="912"/>
      <c r="BQ369" s="912"/>
      <c r="BR369" s="912"/>
      <c r="BS369" s="912" t="s">
        <v>68</v>
      </c>
      <c r="BT369" s="913"/>
      <c r="BU369" s="336" t="s">
        <v>68</v>
      </c>
      <c r="BV369" s="336">
        <v>44171</v>
      </c>
      <c r="BW369" s="13"/>
      <c r="BX369" s="1260"/>
      <c r="BY369" s="1260"/>
      <c r="BZ369" s="1252" t="s">
        <v>74</v>
      </c>
      <c r="CA369" s="1260"/>
      <c r="CB369" s="1222" t="s">
        <v>2094</v>
      </c>
      <c r="CC369" s="38"/>
      <c r="CD369" s="526"/>
      <c r="CE369" s="526"/>
      <c r="CF369" s="526"/>
      <c r="CG369" s="526"/>
      <c r="CH369" s="526"/>
      <c r="CI369" s="526"/>
      <c r="CJ369" s="526"/>
      <c r="CK369" s="15"/>
    </row>
    <row r="370" spans="2:89" customFormat="1" ht="82.5" hidden="1" customHeight="1">
      <c r="B370" s="22"/>
      <c r="C370" s="22"/>
      <c r="D370" s="22"/>
      <c r="E370" s="911">
        <v>44075</v>
      </c>
      <c r="F370" s="911"/>
      <c r="G370" s="915">
        <v>44008</v>
      </c>
      <c r="H370" s="1746"/>
      <c r="I370" s="330">
        <v>43837</v>
      </c>
      <c r="J370" s="169">
        <v>2019</v>
      </c>
      <c r="K370" s="1421">
        <v>191.18</v>
      </c>
      <c r="L370" s="1421"/>
      <c r="M370" s="170" t="s">
        <v>77</v>
      </c>
      <c r="N370" s="178" t="s">
        <v>1209</v>
      </c>
      <c r="O370" s="2" t="s">
        <v>4032</v>
      </c>
      <c r="P370" s="173" t="s">
        <v>1210</v>
      </c>
      <c r="Q370" s="173" t="s">
        <v>1975</v>
      </c>
      <c r="R370" s="174">
        <v>125964.92</v>
      </c>
      <c r="S370" s="590">
        <v>43791</v>
      </c>
      <c r="T370" s="176">
        <v>43792</v>
      </c>
      <c r="U370" s="177">
        <v>43814</v>
      </c>
      <c r="V370" s="105" t="s">
        <v>68</v>
      </c>
      <c r="W370" s="178" t="s">
        <v>1177</v>
      </c>
      <c r="X370" s="170" t="s">
        <v>449</v>
      </c>
      <c r="Y370" s="611">
        <v>43684</v>
      </c>
      <c r="Z370" s="1372"/>
      <c r="AA370" s="33" t="s">
        <v>1211</v>
      </c>
      <c r="AB370" s="8">
        <v>43793</v>
      </c>
      <c r="AC370" s="4">
        <v>125964.92</v>
      </c>
      <c r="AD370" s="4"/>
      <c r="AE370" s="32"/>
      <c r="AF370" s="34" t="s">
        <v>68</v>
      </c>
      <c r="AG370" s="112" t="s">
        <v>68</v>
      </c>
      <c r="AH370" s="112" t="s">
        <v>68</v>
      </c>
      <c r="AI370" s="7" t="s">
        <v>68</v>
      </c>
      <c r="AJ370" s="109" t="s">
        <v>68</v>
      </c>
      <c r="AK370" s="33" t="s">
        <v>68</v>
      </c>
      <c r="AL370" s="1" t="s">
        <v>68</v>
      </c>
      <c r="AM370" s="5" t="s">
        <v>68</v>
      </c>
      <c r="AN370" s="1" t="s">
        <v>68</v>
      </c>
      <c r="AO370" s="5" t="s">
        <v>68</v>
      </c>
      <c r="AP370" s="1" t="s">
        <v>68</v>
      </c>
      <c r="AQ370" s="1" t="s">
        <v>68</v>
      </c>
      <c r="AR370" s="279">
        <v>0</v>
      </c>
      <c r="AS370" s="1026">
        <v>49998.1</v>
      </c>
      <c r="AT370" s="900">
        <v>58740.17</v>
      </c>
      <c r="AU370" s="891"/>
      <c r="AV370" s="66" t="s">
        <v>74</v>
      </c>
      <c r="AW370" s="11"/>
      <c r="AX370" s="223"/>
      <c r="AY370" s="52"/>
      <c r="AZ370" s="66" t="s">
        <v>74</v>
      </c>
      <c r="BA370" s="1"/>
      <c r="BB370" s="1"/>
      <c r="BC370" s="17"/>
      <c r="BD370" s="66" t="s">
        <v>74</v>
      </c>
      <c r="BE370" s="1423"/>
      <c r="BF370" s="5"/>
      <c r="BG370" s="5"/>
      <c r="BH370" s="1"/>
      <c r="BI370" s="64"/>
      <c r="BJ370" s="13" t="s">
        <v>68</v>
      </c>
      <c r="BK370" s="352"/>
      <c r="BL370" s="336">
        <v>43790</v>
      </c>
      <c r="BM370" s="912" t="s">
        <v>68</v>
      </c>
      <c r="BN370" s="912" t="s">
        <v>68</v>
      </c>
      <c r="BO370" s="912"/>
      <c r="BP370" s="912"/>
      <c r="BQ370" s="912"/>
      <c r="BR370" s="912"/>
      <c r="BS370" s="912" t="s">
        <v>68</v>
      </c>
      <c r="BT370" s="913"/>
      <c r="BU370" s="336" t="s">
        <v>68</v>
      </c>
      <c r="BV370" s="913" t="s">
        <v>68</v>
      </c>
      <c r="BW370" s="13"/>
      <c r="BX370" s="13" t="s">
        <v>1212</v>
      </c>
      <c r="BY370" s="13"/>
      <c r="BZ370" s="13"/>
      <c r="CA370" s="13"/>
      <c r="CB370" s="1222" t="s">
        <v>2094</v>
      </c>
      <c r="CC370" s="38"/>
      <c r="CD370" s="526"/>
      <c r="CE370" s="526"/>
      <c r="CF370" s="526"/>
      <c r="CG370" s="526"/>
      <c r="CH370" s="526"/>
      <c r="CI370" s="526"/>
      <c r="CJ370" s="526"/>
      <c r="CK370" s="15"/>
    </row>
    <row r="371" spans="2:89" s="1050" customFormat="1" ht="37.5" hidden="1" customHeight="1">
      <c r="B371" s="1051"/>
      <c r="C371" s="1051"/>
      <c r="D371" s="1051"/>
      <c r="E371" s="1052"/>
      <c r="F371" s="1052"/>
      <c r="G371" s="553"/>
      <c r="H371" s="620"/>
      <c r="I371" s="620"/>
      <c r="J371" s="1053">
        <v>2019</v>
      </c>
      <c r="K371" s="1420">
        <v>191.19</v>
      </c>
      <c r="L371" s="1420"/>
      <c r="M371" s="1054"/>
      <c r="N371" s="1055" t="s">
        <v>1213</v>
      </c>
      <c r="O371" s="790" t="s">
        <v>251</v>
      </c>
      <c r="P371" s="1056"/>
      <c r="Q371" s="1056"/>
      <c r="R371" s="1057"/>
      <c r="S371" s="1058"/>
      <c r="T371" s="1059"/>
      <c r="U371" s="1060"/>
      <c r="V371" s="1061" t="s">
        <v>68</v>
      </c>
      <c r="W371" s="1055" t="s">
        <v>68</v>
      </c>
      <c r="X371" s="1054"/>
      <c r="Y371" s="1062"/>
      <c r="Z371" s="1377"/>
      <c r="AA371" s="308"/>
      <c r="AB371" s="1063"/>
      <c r="AC371" s="1064"/>
      <c r="AD371" s="1064"/>
      <c r="AE371" s="1065"/>
      <c r="AF371" s="1066" t="s">
        <v>68</v>
      </c>
      <c r="AG371" s="1067" t="s">
        <v>68</v>
      </c>
      <c r="AH371" s="1067" t="s">
        <v>68</v>
      </c>
      <c r="AI371" s="1068" t="s">
        <v>68</v>
      </c>
      <c r="AJ371" s="1069" t="s">
        <v>68</v>
      </c>
      <c r="AK371" s="308" t="s">
        <v>68</v>
      </c>
      <c r="AL371" s="1070" t="s">
        <v>68</v>
      </c>
      <c r="AM371" s="1071" t="s">
        <v>68</v>
      </c>
      <c r="AN371" s="1070" t="s">
        <v>68</v>
      </c>
      <c r="AO371" s="1071" t="s">
        <v>68</v>
      </c>
      <c r="AP371" s="1070" t="s">
        <v>68</v>
      </c>
      <c r="AQ371" s="1070" t="s">
        <v>68</v>
      </c>
      <c r="AR371" s="1072">
        <v>0</v>
      </c>
      <c r="AS371" s="1073"/>
      <c r="AT371" s="1074"/>
      <c r="AU371" s="1075"/>
      <c r="AV371" s="1076"/>
      <c r="AW371" s="1077"/>
      <c r="AX371" s="1078"/>
      <c r="AY371" s="1079"/>
      <c r="AZ371" s="1479"/>
      <c r="BA371" s="1070"/>
      <c r="BB371" s="1070"/>
      <c r="BC371" s="1080"/>
      <c r="BD371" s="1076"/>
      <c r="BE371" s="1608"/>
      <c r="BF371" s="1071"/>
      <c r="BG371" s="1071"/>
      <c r="BH371" s="1070"/>
      <c r="BI371" s="1081"/>
      <c r="BJ371" s="1082" t="s">
        <v>68</v>
      </c>
      <c r="BK371" s="1816"/>
      <c r="BL371" s="1083"/>
      <c r="BM371" s="1084" t="s">
        <v>68</v>
      </c>
      <c r="BN371" s="1084" t="s">
        <v>68</v>
      </c>
      <c r="BO371" s="1084"/>
      <c r="BP371" s="1084"/>
      <c r="BQ371" s="1084"/>
      <c r="BR371" s="1084"/>
      <c r="BS371" s="1084" t="s">
        <v>68</v>
      </c>
      <c r="BT371" s="1083"/>
      <c r="BU371" s="1478" t="s">
        <v>68</v>
      </c>
      <c r="BV371" s="1083" t="s">
        <v>68</v>
      </c>
      <c r="BW371" s="1082"/>
      <c r="BX371" s="1082"/>
      <c r="BY371" s="1082"/>
      <c r="BZ371" s="1082"/>
      <c r="CA371" s="1082"/>
      <c r="CB371" s="1486" t="s">
        <v>2094</v>
      </c>
      <c r="CC371" s="1085"/>
      <c r="CD371" s="789"/>
      <c r="CE371" s="789"/>
      <c r="CF371" s="789"/>
      <c r="CG371" s="789"/>
      <c r="CH371" s="789"/>
      <c r="CI371" s="789"/>
      <c r="CJ371" s="789"/>
      <c r="CK371" s="1086"/>
    </row>
    <row r="372" spans="2:89" customFormat="1" ht="89.25" hidden="1" customHeight="1">
      <c r="B372" s="22"/>
      <c r="C372" s="22"/>
      <c r="D372" s="22"/>
      <c r="E372" s="911">
        <v>44075</v>
      </c>
      <c r="F372" s="911"/>
      <c r="G372" s="915">
        <v>44008</v>
      </c>
      <c r="H372" s="1746"/>
      <c r="I372" s="330"/>
      <c r="J372" s="169">
        <v>2019</v>
      </c>
      <c r="K372" s="1421">
        <v>191.2</v>
      </c>
      <c r="L372" s="1421"/>
      <c r="M372" s="170" t="s">
        <v>77</v>
      </c>
      <c r="N372" s="178" t="s">
        <v>1214</v>
      </c>
      <c r="O372" s="2" t="s">
        <v>4032</v>
      </c>
      <c r="P372" s="173" t="s">
        <v>1215</v>
      </c>
      <c r="Q372" s="173" t="s">
        <v>1975</v>
      </c>
      <c r="R372" s="174">
        <v>24608.01</v>
      </c>
      <c r="S372" s="542">
        <v>43791</v>
      </c>
      <c r="T372" s="176">
        <v>43792</v>
      </c>
      <c r="U372" s="177">
        <v>43814</v>
      </c>
      <c r="V372" s="105" t="s">
        <v>68</v>
      </c>
      <c r="W372" s="178" t="s">
        <v>1177</v>
      </c>
      <c r="X372" s="170" t="s">
        <v>709</v>
      </c>
      <c r="Y372" s="611">
        <v>43731</v>
      </c>
      <c r="Z372" s="1372"/>
      <c r="AA372" s="241" t="s">
        <v>1216</v>
      </c>
      <c r="AB372" s="8">
        <v>43790</v>
      </c>
      <c r="AC372" s="4">
        <v>24608.01</v>
      </c>
      <c r="AD372" s="4"/>
      <c r="AE372" s="32"/>
      <c r="AF372" s="34" t="s">
        <v>68</v>
      </c>
      <c r="AG372" s="112" t="s">
        <v>68</v>
      </c>
      <c r="AH372" s="112" t="s">
        <v>68</v>
      </c>
      <c r="AI372" s="7" t="s">
        <v>68</v>
      </c>
      <c r="AJ372" s="109" t="s">
        <v>68</v>
      </c>
      <c r="AK372" s="33" t="s">
        <v>68</v>
      </c>
      <c r="AL372" s="1" t="s">
        <v>68</v>
      </c>
      <c r="AM372" s="5" t="s">
        <v>68</v>
      </c>
      <c r="AN372" s="1" t="s">
        <v>68</v>
      </c>
      <c r="AO372" s="5" t="s">
        <v>68</v>
      </c>
      <c r="AP372" s="1" t="s">
        <v>68</v>
      </c>
      <c r="AQ372" s="1" t="s">
        <v>68</v>
      </c>
      <c r="AR372" s="279">
        <v>0</v>
      </c>
      <c r="AS372" s="1026">
        <v>9599.85</v>
      </c>
      <c r="AT372" s="900">
        <v>5808.15</v>
      </c>
      <c r="AU372" s="891"/>
      <c r="AV372" s="66" t="s">
        <v>74</v>
      </c>
      <c r="AW372" s="11"/>
      <c r="AX372" s="223"/>
      <c r="AY372" s="52"/>
      <c r="AZ372" s="66" t="s">
        <v>74</v>
      </c>
      <c r="BA372" s="1"/>
      <c r="BB372" s="1"/>
      <c r="BC372" s="17"/>
      <c r="BD372" s="66" t="s">
        <v>74</v>
      </c>
      <c r="BE372" s="1423"/>
      <c r="BF372" s="5"/>
      <c r="BG372" s="5"/>
      <c r="BH372" s="1"/>
      <c r="BI372" s="64"/>
      <c r="BJ372" s="13" t="s">
        <v>68</v>
      </c>
      <c r="BK372" s="22"/>
      <c r="BL372" s="66" t="s">
        <v>74</v>
      </c>
      <c r="BM372" s="912" t="s">
        <v>68</v>
      </c>
      <c r="BN372" s="912" t="s">
        <v>68</v>
      </c>
      <c r="BO372" s="912"/>
      <c r="BP372" s="912"/>
      <c r="BQ372" s="912"/>
      <c r="BR372" s="912"/>
      <c r="BS372" s="912" t="s">
        <v>68</v>
      </c>
      <c r="BT372" s="913"/>
      <c r="BU372" s="336" t="s">
        <v>68</v>
      </c>
      <c r="BV372" s="913" t="s">
        <v>68</v>
      </c>
      <c r="BW372" s="13"/>
      <c r="BX372" s="13"/>
      <c r="BY372" s="13"/>
      <c r="BZ372" s="13"/>
      <c r="CA372" s="13"/>
      <c r="CB372" s="1222" t="s">
        <v>2094</v>
      </c>
      <c r="CC372" s="38"/>
      <c r="CD372" s="526"/>
      <c r="CE372" s="526"/>
      <c r="CF372" s="526"/>
      <c r="CG372" s="526"/>
      <c r="CH372" s="526"/>
      <c r="CI372" s="526"/>
      <c r="CJ372" s="526"/>
      <c r="CK372" s="15"/>
    </row>
    <row r="373" spans="2:89" s="1050" customFormat="1" ht="122.25" hidden="1" customHeight="1">
      <c r="B373" s="1051"/>
      <c r="C373" s="553"/>
      <c r="D373" s="553"/>
      <c r="E373" s="1052"/>
      <c r="F373" s="1052"/>
      <c r="G373" s="553"/>
      <c r="H373" s="620"/>
      <c r="I373" s="620"/>
      <c r="J373" s="1053">
        <v>2019</v>
      </c>
      <c r="K373" s="1420">
        <v>191.21</v>
      </c>
      <c r="L373" s="1420"/>
      <c r="M373" s="1054" t="s">
        <v>1148</v>
      </c>
      <c r="N373" s="1055" t="s">
        <v>1217</v>
      </c>
      <c r="O373" s="790" t="s">
        <v>251</v>
      </c>
      <c r="P373" s="1056" t="s">
        <v>1218</v>
      </c>
      <c r="Q373" s="1056"/>
      <c r="R373" s="1057">
        <v>1302585.8500000001</v>
      </c>
      <c r="S373" s="1058"/>
      <c r="T373" s="1059"/>
      <c r="U373" s="1060"/>
      <c r="V373" s="1061" t="s">
        <v>68</v>
      </c>
      <c r="W373" s="1055" t="s">
        <v>1177</v>
      </c>
      <c r="X373" s="1054"/>
      <c r="Y373" s="1062"/>
      <c r="Z373" s="1377"/>
      <c r="AA373" s="1482"/>
      <c r="AB373" s="1063"/>
      <c r="AC373" s="1064"/>
      <c r="AD373" s="1064"/>
      <c r="AE373" s="1065"/>
      <c r="AF373" s="1066" t="s">
        <v>68</v>
      </c>
      <c r="AG373" s="1067" t="s">
        <v>68</v>
      </c>
      <c r="AH373" s="1067" t="s">
        <v>68</v>
      </c>
      <c r="AI373" s="1068" t="s">
        <v>68</v>
      </c>
      <c r="AJ373" s="1069" t="s">
        <v>68</v>
      </c>
      <c r="AK373" s="308" t="s">
        <v>68</v>
      </c>
      <c r="AL373" s="1070" t="s">
        <v>68</v>
      </c>
      <c r="AM373" s="1071" t="s">
        <v>68</v>
      </c>
      <c r="AN373" s="1070" t="s">
        <v>68</v>
      </c>
      <c r="AO373" s="1071" t="s">
        <v>68</v>
      </c>
      <c r="AP373" s="1070" t="s">
        <v>68</v>
      </c>
      <c r="AQ373" s="1070" t="s">
        <v>68</v>
      </c>
      <c r="AR373" s="1072">
        <v>0</v>
      </c>
      <c r="AS373" s="1073"/>
      <c r="AT373" s="1074"/>
      <c r="AU373" s="1075"/>
      <c r="AV373" s="1076"/>
      <c r="AW373" s="1077"/>
      <c r="AX373" s="1078"/>
      <c r="AY373" s="1079"/>
      <c r="AZ373" s="1076"/>
      <c r="BA373" s="1071"/>
      <c r="BB373" s="1071"/>
      <c r="BC373" s="1071"/>
      <c r="BD373" s="1076"/>
      <c r="BE373" s="1608"/>
      <c r="BF373" s="1071"/>
      <c r="BG373" s="1071"/>
      <c r="BH373" s="1071"/>
      <c r="BI373" s="1081"/>
      <c r="BJ373" s="1465"/>
      <c r="BK373" s="1478"/>
      <c r="BL373" s="1478"/>
      <c r="BM373" s="1084"/>
      <c r="BN373" s="1084" t="s">
        <v>68</v>
      </c>
      <c r="BO373" s="1084"/>
      <c r="BP373" s="1084"/>
      <c r="BQ373" s="1084"/>
      <c r="BR373" s="1084"/>
      <c r="BS373" s="1084" t="s">
        <v>68</v>
      </c>
      <c r="BT373" s="1083"/>
      <c r="BU373" s="1478" t="s">
        <v>68</v>
      </c>
      <c r="BV373" s="1083" t="s">
        <v>68</v>
      </c>
      <c r="BW373" s="1082"/>
      <c r="BX373" s="1082"/>
      <c r="BY373" s="1082"/>
      <c r="BZ373" s="1082"/>
      <c r="CA373" s="1082"/>
      <c r="CB373" s="1486" t="s">
        <v>2094</v>
      </c>
      <c r="CC373" s="1085"/>
      <c r="CD373" s="789"/>
      <c r="CE373" s="789"/>
      <c r="CF373" s="789"/>
      <c r="CG373" s="789"/>
      <c r="CH373" s="789"/>
      <c r="CI373" s="789"/>
      <c r="CJ373" s="789"/>
      <c r="CK373" s="1086"/>
    </row>
    <row r="374" spans="2:89" customFormat="1" ht="87.75" hidden="1" customHeight="1">
      <c r="B374" s="22"/>
      <c r="C374" s="22"/>
      <c r="D374" s="22"/>
      <c r="E374" s="911"/>
      <c r="F374" s="911"/>
      <c r="G374" s="915">
        <v>44011</v>
      </c>
      <c r="H374" s="1746"/>
      <c r="I374" s="330"/>
      <c r="J374" s="169">
        <v>2019</v>
      </c>
      <c r="K374" s="1421">
        <v>191.22</v>
      </c>
      <c r="L374" s="1421"/>
      <c r="M374" s="170" t="s">
        <v>77</v>
      </c>
      <c r="N374" s="178" t="s">
        <v>1219</v>
      </c>
      <c r="O374" s="2" t="s">
        <v>4032</v>
      </c>
      <c r="P374" s="173" t="s">
        <v>1220</v>
      </c>
      <c r="Q374" s="173" t="s">
        <v>4409</v>
      </c>
      <c r="R374" s="174">
        <v>232200.43</v>
      </c>
      <c r="S374" s="590">
        <v>43819</v>
      </c>
      <c r="T374" s="176">
        <v>43819</v>
      </c>
      <c r="U374" s="177">
        <v>43830</v>
      </c>
      <c r="V374" s="105" t="s">
        <v>68</v>
      </c>
      <c r="W374" s="178" t="s">
        <v>1177</v>
      </c>
      <c r="X374" s="170" t="s">
        <v>449</v>
      </c>
      <c r="Y374" s="611">
        <v>43738</v>
      </c>
      <c r="Z374" s="1372"/>
      <c r="AA374" s="241" t="s">
        <v>1221</v>
      </c>
      <c r="AB374" s="8">
        <v>43818</v>
      </c>
      <c r="AC374" s="4">
        <v>232802.28</v>
      </c>
      <c r="AD374" s="4"/>
      <c r="AE374" s="32"/>
      <c r="AF374" s="34" t="s">
        <v>68</v>
      </c>
      <c r="AG374" s="112" t="s">
        <v>68</v>
      </c>
      <c r="AH374" s="112" t="s">
        <v>68</v>
      </c>
      <c r="AI374" s="7" t="s">
        <v>68</v>
      </c>
      <c r="AJ374" s="109" t="s">
        <v>68</v>
      </c>
      <c r="AK374" s="33" t="s">
        <v>68</v>
      </c>
      <c r="AL374" s="1" t="s">
        <v>68</v>
      </c>
      <c r="AM374" s="5" t="s">
        <v>68</v>
      </c>
      <c r="AN374" s="1" t="s">
        <v>68</v>
      </c>
      <c r="AO374" s="5" t="s">
        <v>68</v>
      </c>
      <c r="AP374" s="1" t="s">
        <v>68</v>
      </c>
      <c r="AQ374" s="1" t="s">
        <v>68</v>
      </c>
      <c r="AR374" s="279">
        <v>0</v>
      </c>
      <c r="AS374" s="1026">
        <v>73535.570000000007</v>
      </c>
      <c r="AT374" s="900">
        <v>159100.31</v>
      </c>
      <c r="AU374" s="891"/>
      <c r="AV374" s="66" t="s">
        <v>74</v>
      </c>
      <c r="AW374" s="11"/>
      <c r="AX374" s="223"/>
      <c r="AY374" s="52"/>
      <c r="AZ374" s="70">
        <v>43830</v>
      </c>
      <c r="BA374" s="5">
        <v>43819</v>
      </c>
      <c r="BB374" s="5">
        <v>43830</v>
      </c>
      <c r="BC374" s="11">
        <v>43830</v>
      </c>
      <c r="BD374" s="324">
        <v>43830</v>
      </c>
      <c r="BE374" s="1615"/>
      <c r="BF374" s="5">
        <v>43819</v>
      </c>
      <c r="BG374" s="5">
        <v>43830</v>
      </c>
      <c r="BH374" s="5">
        <v>43830</v>
      </c>
      <c r="BI374" s="245">
        <f>AS374+AT374+0.3</f>
        <v>232636.18</v>
      </c>
      <c r="BJ374" s="13" t="s">
        <v>68</v>
      </c>
      <c r="BK374" s="352"/>
      <c r="BL374" s="336">
        <v>43750</v>
      </c>
      <c r="BM374" s="912" t="s">
        <v>68</v>
      </c>
      <c r="BN374" s="912" t="s">
        <v>68</v>
      </c>
      <c r="BO374" s="912"/>
      <c r="BP374" s="912"/>
      <c r="BQ374" s="912"/>
      <c r="BR374" s="912"/>
      <c r="BS374" s="912" t="s">
        <v>68</v>
      </c>
      <c r="BT374" s="913"/>
      <c r="BU374" s="336" t="s">
        <v>68</v>
      </c>
      <c r="BV374" s="913" t="s">
        <v>68</v>
      </c>
      <c r="BW374" s="13"/>
      <c r="BX374" s="13"/>
      <c r="BY374" s="13"/>
      <c r="BZ374" s="13"/>
      <c r="CA374" s="13"/>
      <c r="CB374" s="1222" t="s">
        <v>2094</v>
      </c>
      <c r="CC374" s="321" t="s">
        <v>2807</v>
      </c>
      <c r="CD374" s="526"/>
      <c r="CE374" s="526"/>
      <c r="CF374" s="526"/>
      <c r="CG374" s="526"/>
      <c r="CH374" s="526"/>
      <c r="CI374" s="526"/>
      <c r="CJ374" s="526"/>
      <c r="CK374" s="15"/>
    </row>
    <row r="375" spans="2:89" s="1050" customFormat="1" ht="37.5" hidden="1" customHeight="1">
      <c r="B375" s="1051"/>
      <c r="C375" s="1051"/>
      <c r="D375" s="1051"/>
      <c r="E375" s="1052"/>
      <c r="F375" s="1052"/>
      <c r="G375" s="553"/>
      <c r="H375" s="620"/>
      <c r="I375" s="620"/>
      <c r="J375" s="1053">
        <v>2019</v>
      </c>
      <c r="K375" s="1420">
        <v>191.23</v>
      </c>
      <c r="L375" s="1420"/>
      <c r="M375" s="1054"/>
      <c r="N375" s="1055" t="s">
        <v>1222</v>
      </c>
      <c r="O375" s="790" t="s">
        <v>251</v>
      </c>
      <c r="P375" s="1056"/>
      <c r="Q375" s="1056"/>
      <c r="R375" s="1057"/>
      <c r="S375" s="1058"/>
      <c r="T375" s="1059"/>
      <c r="U375" s="1060"/>
      <c r="V375" s="1061" t="s">
        <v>68</v>
      </c>
      <c r="W375" s="1055" t="s">
        <v>1177</v>
      </c>
      <c r="X375" s="1054"/>
      <c r="Y375" s="1062"/>
      <c r="Z375" s="1377"/>
      <c r="AA375" s="308"/>
      <c r="AB375" s="1063"/>
      <c r="AC375" s="1064"/>
      <c r="AD375" s="1064"/>
      <c r="AE375" s="1065"/>
      <c r="AF375" s="1066" t="s">
        <v>68</v>
      </c>
      <c r="AG375" s="1067" t="s">
        <v>68</v>
      </c>
      <c r="AH375" s="1067" t="s">
        <v>68</v>
      </c>
      <c r="AI375" s="1068" t="s">
        <v>68</v>
      </c>
      <c r="AJ375" s="1069" t="s">
        <v>68</v>
      </c>
      <c r="AK375" s="308" t="s">
        <v>68</v>
      </c>
      <c r="AL375" s="1070" t="s">
        <v>68</v>
      </c>
      <c r="AM375" s="1071" t="s">
        <v>68</v>
      </c>
      <c r="AN375" s="1070" t="s">
        <v>68</v>
      </c>
      <c r="AO375" s="1071" t="s">
        <v>68</v>
      </c>
      <c r="AP375" s="1070" t="s">
        <v>68</v>
      </c>
      <c r="AQ375" s="1070" t="s">
        <v>68</v>
      </c>
      <c r="AR375" s="1072">
        <v>0</v>
      </c>
      <c r="AS375" s="1073"/>
      <c r="AT375" s="1074"/>
      <c r="AU375" s="1075"/>
      <c r="AV375" s="1076"/>
      <c r="AW375" s="1077"/>
      <c r="AX375" s="1078"/>
      <c r="AY375" s="1079"/>
      <c r="AZ375" s="829"/>
      <c r="BA375" s="1070"/>
      <c r="BB375" s="1070"/>
      <c r="BC375" s="1080"/>
      <c r="BD375" s="1076"/>
      <c r="BE375" s="1608"/>
      <c r="BF375" s="1071"/>
      <c r="BG375" s="1071"/>
      <c r="BH375" s="1070"/>
      <c r="BI375" s="1081"/>
      <c r="BJ375" s="1082" t="s">
        <v>68</v>
      </c>
      <c r="BK375" s="1816"/>
      <c r="BL375" s="1083"/>
      <c r="BM375" s="1084" t="s">
        <v>68</v>
      </c>
      <c r="BN375" s="1084" t="s">
        <v>68</v>
      </c>
      <c r="BO375" s="1084"/>
      <c r="BP375" s="1084"/>
      <c r="BQ375" s="1084"/>
      <c r="BR375" s="1084"/>
      <c r="BS375" s="1084" t="s">
        <v>68</v>
      </c>
      <c r="BT375" s="1083"/>
      <c r="BU375" s="1478" t="s">
        <v>68</v>
      </c>
      <c r="BV375" s="1083" t="s">
        <v>68</v>
      </c>
      <c r="BW375" s="1082"/>
      <c r="BX375" s="1082"/>
      <c r="BY375" s="1082"/>
      <c r="BZ375" s="1082"/>
      <c r="CA375" s="1082"/>
      <c r="CB375" s="1486" t="s">
        <v>2094</v>
      </c>
      <c r="CC375" s="1085"/>
      <c r="CD375" s="789"/>
      <c r="CE375" s="789"/>
      <c r="CF375" s="789"/>
      <c r="CG375" s="789"/>
      <c r="CH375" s="789"/>
      <c r="CI375" s="789"/>
      <c r="CJ375" s="789"/>
      <c r="CK375" s="1086"/>
    </row>
    <row r="376" spans="2:89" customFormat="1" ht="70.5" hidden="1" customHeight="1">
      <c r="B376" s="22"/>
      <c r="C376" s="22"/>
      <c r="D376" s="22"/>
      <c r="E376" s="911">
        <v>44075</v>
      </c>
      <c r="F376" s="911"/>
      <c r="G376" s="915">
        <v>44008</v>
      </c>
      <c r="H376" s="1746"/>
      <c r="I376" s="330"/>
      <c r="J376" s="169">
        <v>2019</v>
      </c>
      <c r="K376" s="1421">
        <v>191.24</v>
      </c>
      <c r="L376" s="1421"/>
      <c r="M376" s="170" t="s">
        <v>77</v>
      </c>
      <c r="N376" s="178" t="s">
        <v>1227</v>
      </c>
      <c r="O376" s="2" t="s">
        <v>4032</v>
      </c>
      <c r="P376" s="173" t="s">
        <v>1228</v>
      </c>
      <c r="Q376" s="173" t="s">
        <v>2538</v>
      </c>
      <c r="R376" s="174">
        <v>11470</v>
      </c>
      <c r="S376" s="590">
        <v>43801</v>
      </c>
      <c r="T376" s="176">
        <v>43825</v>
      </c>
      <c r="U376" s="177">
        <v>43830</v>
      </c>
      <c r="V376" s="105" t="s">
        <v>68</v>
      </c>
      <c r="W376" s="178" t="s">
        <v>1177</v>
      </c>
      <c r="X376" s="170" t="s">
        <v>3047</v>
      </c>
      <c r="Y376" s="461" t="s">
        <v>68</v>
      </c>
      <c r="Z376" s="1371"/>
      <c r="AA376" s="241" t="s">
        <v>1229</v>
      </c>
      <c r="AB376" s="8">
        <v>43825</v>
      </c>
      <c r="AC376" s="4">
        <v>11470.58</v>
      </c>
      <c r="AD376" s="4"/>
      <c r="AE376" s="32"/>
      <c r="AF376" s="34" t="s">
        <v>68</v>
      </c>
      <c r="AG376" s="112" t="s">
        <v>68</v>
      </c>
      <c r="AH376" s="112" t="s">
        <v>68</v>
      </c>
      <c r="AI376" s="7" t="s">
        <v>68</v>
      </c>
      <c r="AJ376" s="109" t="s">
        <v>68</v>
      </c>
      <c r="AK376" s="33" t="s">
        <v>68</v>
      </c>
      <c r="AL376" s="1" t="s">
        <v>68</v>
      </c>
      <c r="AM376" s="5" t="s">
        <v>68</v>
      </c>
      <c r="AN376" s="1" t="s">
        <v>68</v>
      </c>
      <c r="AO376" s="5" t="s">
        <v>68</v>
      </c>
      <c r="AP376" s="1" t="s">
        <v>68</v>
      </c>
      <c r="AQ376" s="1" t="s">
        <v>68</v>
      </c>
      <c r="AR376" s="279">
        <v>0</v>
      </c>
      <c r="AS376" s="35"/>
      <c r="AT376" s="895">
        <v>11470</v>
      </c>
      <c r="AU376" s="891"/>
      <c r="AV376" s="66" t="s">
        <v>74</v>
      </c>
      <c r="AW376" s="11"/>
      <c r="AX376" s="223"/>
      <c r="AY376" s="52"/>
      <c r="AZ376" s="324">
        <v>43830</v>
      </c>
      <c r="BA376" s="5">
        <v>43825</v>
      </c>
      <c r="BB376" s="5">
        <v>43830</v>
      </c>
      <c r="BC376" s="17"/>
      <c r="BD376" s="324">
        <v>43832</v>
      </c>
      <c r="BE376" s="1615"/>
      <c r="BF376" s="5">
        <v>43825</v>
      </c>
      <c r="BG376" s="5">
        <v>43830</v>
      </c>
      <c r="BH376" s="5">
        <v>43830</v>
      </c>
      <c r="BI376" s="326">
        <v>11470</v>
      </c>
      <c r="BJ376" s="13" t="s">
        <v>68</v>
      </c>
      <c r="BK376" s="352"/>
      <c r="BL376" s="336">
        <v>43820</v>
      </c>
      <c r="BM376" s="912" t="s">
        <v>68</v>
      </c>
      <c r="BN376" s="912" t="s">
        <v>68</v>
      </c>
      <c r="BO376" s="912"/>
      <c r="BP376" s="912"/>
      <c r="BQ376" s="912"/>
      <c r="BR376" s="912"/>
      <c r="BS376" s="912" t="s">
        <v>68</v>
      </c>
      <c r="BT376" s="913"/>
      <c r="BU376" s="336" t="s">
        <v>68</v>
      </c>
      <c r="BV376" s="913" t="s">
        <v>68</v>
      </c>
      <c r="BW376" s="13"/>
      <c r="BX376" s="13"/>
      <c r="BY376" s="13"/>
      <c r="BZ376" s="13"/>
      <c r="CA376" s="13"/>
      <c r="CB376" s="1222" t="s">
        <v>2094</v>
      </c>
      <c r="CC376" s="38"/>
      <c r="CD376" s="526"/>
      <c r="CE376" s="526"/>
      <c r="CF376" s="526"/>
      <c r="CG376" s="526"/>
      <c r="CH376" s="526"/>
      <c r="CI376" s="526"/>
      <c r="CJ376" s="526"/>
      <c r="CK376" s="15"/>
    </row>
    <row r="377" spans="2:89" s="1050" customFormat="1" ht="37.5" hidden="1" customHeight="1">
      <c r="B377" s="1051"/>
      <c r="C377" s="1051"/>
      <c r="D377" s="1051"/>
      <c r="E377" s="1052"/>
      <c r="F377" s="1052"/>
      <c r="G377" s="553"/>
      <c r="H377" s="620"/>
      <c r="I377" s="620"/>
      <c r="J377" s="1053">
        <v>2019</v>
      </c>
      <c r="K377" s="1420">
        <v>191.25</v>
      </c>
      <c r="L377" s="1420"/>
      <c r="M377" s="1054"/>
      <c r="N377" s="1055" t="s">
        <v>1230</v>
      </c>
      <c r="O377" s="790" t="s">
        <v>251</v>
      </c>
      <c r="P377" s="1056"/>
      <c r="Q377" s="1056"/>
      <c r="R377" s="1057"/>
      <c r="S377" s="1058"/>
      <c r="T377" s="1059"/>
      <c r="U377" s="1060"/>
      <c r="V377" s="1061" t="s">
        <v>68</v>
      </c>
      <c r="W377" s="1055" t="s">
        <v>68</v>
      </c>
      <c r="X377" s="1054"/>
      <c r="Y377" s="1062"/>
      <c r="Z377" s="1377"/>
      <c r="AA377" s="308"/>
      <c r="AB377" s="1063"/>
      <c r="AC377" s="1064"/>
      <c r="AD377" s="1064"/>
      <c r="AE377" s="1065"/>
      <c r="AF377" s="1066" t="s">
        <v>68</v>
      </c>
      <c r="AG377" s="1067" t="s">
        <v>68</v>
      </c>
      <c r="AH377" s="1067" t="s">
        <v>68</v>
      </c>
      <c r="AI377" s="1068" t="s">
        <v>68</v>
      </c>
      <c r="AJ377" s="1069" t="s">
        <v>68</v>
      </c>
      <c r="AK377" s="308" t="s">
        <v>68</v>
      </c>
      <c r="AL377" s="1070" t="s">
        <v>68</v>
      </c>
      <c r="AM377" s="1071" t="s">
        <v>68</v>
      </c>
      <c r="AN377" s="1070" t="s">
        <v>68</v>
      </c>
      <c r="AO377" s="1071" t="s">
        <v>68</v>
      </c>
      <c r="AP377" s="1070" t="s">
        <v>68</v>
      </c>
      <c r="AQ377" s="1070" t="s">
        <v>68</v>
      </c>
      <c r="AR377" s="1072">
        <v>0</v>
      </c>
      <c r="AS377" s="1073"/>
      <c r="AT377" s="1074"/>
      <c r="AU377" s="1075"/>
      <c r="AV377" s="1076"/>
      <c r="AW377" s="1077"/>
      <c r="AX377" s="1078"/>
      <c r="AY377" s="1079"/>
      <c r="AZ377" s="829"/>
      <c r="BA377" s="1070"/>
      <c r="BB377" s="1070"/>
      <c r="BC377" s="1080"/>
      <c r="BD377" s="1076"/>
      <c r="BE377" s="1608"/>
      <c r="BF377" s="1071"/>
      <c r="BG377" s="1071"/>
      <c r="BH377" s="1070"/>
      <c r="BI377" s="1081"/>
      <c r="BJ377" s="1082" t="s">
        <v>68</v>
      </c>
      <c r="BK377" s="1816"/>
      <c r="BL377" s="1083"/>
      <c r="BM377" s="1084" t="s">
        <v>68</v>
      </c>
      <c r="BN377" s="1084" t="s">
        <v>68</v>
      </c>
      <c r="BO377" s="1084"/>
      <c r="BP377" s="1084"/>
      <c r="BQ377" s="1084"/>
      <c r="BR377" s="1084"/>
      <c r="BS377" s="1084" t="s">
        <v>68</v>
      </c>
      <c r="BT377" s="1083"/>
      <c r="BU377" s="1478" t="s">
        <v>68</v>
      </c>
      <c r="BV377" s="1083" t="s">
        <v>68</v>
      </c>
      <c r="BW377" s="1082"/>
      <c r="BX377" s="1082"/>
      <c r="BY377" s="1082"/>
      <c r="BZ377" s="1082"/>
      <c r="CA377" s="1082"/>
      <c r="CB377" s="1486" t="s">
        <v>2094</v>
      </c>
      <c r="CC377" s="1085"/>
      <c r="CD377" s="789"/>
      <c r="CE377" s="789"/>
      <c r="CF377" s="789"/>
      <c r="CG377" s="789"/>
      <c r="CH377" s="789"/>
      <c r="CI377" s="789"/>
      <c r="CJ377" s="789"/>
      <c r="CK377" s="1086"/>
    </row>
    <row r="378" spans="2:89" customFormat="1" ht="87.75" hidden="1" customHeight="1">
      <c r="B378" s="22"/>
      <c r="C378" s="1445">
        <v>44298</v>
      </c>
      <c r="D378" s="1445"/>
      <c r="E378" s="911">
        <v>44075</v>
      </c>
      <c r="F378" s="911"/>
      <c r="G378" s="915">
        <v>43826</v>
      </c>
      <c r="H378" s="1746"/>
      <c r="I378" s="330">
        <v>43837</v>
      </c>
      <c r="J378" s="169">
        <v>2019</v>
      </c>
      <c r="K378" s="1421">
        <v>192.1</v>
      </c>
      <c r="L378" s="1421"/>
      <c r="M378" s="170" t="s">
        <v>1151</v>
      </c>
      <c r="N378" s="178" t="s">
        <v>1231</v>
      </c>
      <c r="O378" s="172" t="s">
        <v>1232</v>
      </c>
      <c r="P378" s="173" t="s">
        <v>1233</v>
      </c>
      <c r="Q378" s="173" t="s">
        <v>1975</v>
      </c>
      <c r="R378" s="174">
        <v>1688681.79</v>
      </c>
      <c r="S378" s="590">
        <v>43776</v>
      </c>
      <c r="T378" s="176">
        <v>43783</v>
      </c>
      <c r="U378" s="177">
        <v>43814</v>
      </c>
      <c r="V378" s="105" t="s">
        <v>68</v>
      </c>
      <c r="W378" s="178" t="s">
        <v>1234</v>
      </c>
      <c r="X378" s="170" t="s">
        <v>213</v>
      </c>
      <c r="Y378" s="1101" t="s">
        <v>68</v>
      </c>
      <c r="Z378" s="1379"/>
      <c r="AA378" s="33" t="s">
        <v>1154</v>
      </c>
      <c r="AB378" s="8">
        <v>43722</v>
      </c>
      <c r="AC378" s="4">
        <v>4496816.92</v>
      </c>
      <c r="AD378" s="4"/>
      <c r="AE378" s="32"/>
      <c r="AF378" s="34" t="s">
        <v>68</v>
      </c>
      <c r="AG378" s="112" t="s">
        <v>68</v>
      </c>
      <c r="AH378" s="112" t="s">
        <v>68</v>
      </c>
      <c r="AI378" s="7" t="s">
        <v>68</v>
      </c>
      <c r="AJ378" s="109" t="s">
        <v>68</v>
      </c>
      <c r="AK378" s="33" t="s">
        <v>68</v>
      </c>
      <c r="AL378" s="1" t="s">
        <v>68</v>
      </c>
      <c r="AM378" s="5" t="s">
        <v>68</v>
      </c>
      <c r="AN378" s="1" t="s">
        <v>68</v>
      </c>
      <c r="AO378" s="5" t="s">
        <v>68</v>
      </c>
      <c r="AP378" s="1" t="s">
        <v>68</v>
      </c>
      <c r="AQ378" s="1" t="s">
        <v>68</v>
      </c>
      <c r="AR378" s="279">
        <v>0</v>
      </c>
      <c r="AS378" s="35" t="s">
        <v>68</v>
      </c>
      <c r="AT378" s="895" t="s">
        <v>68</v>
      </c>
      <c r="AU378" s="884" t="s">
        <v>68</v>
      </c>
      <c r="AV378" s="30" t="s">
        <v>68</v>
      </c>
      <c r="AW378" s="11" t="s">
        <v>68</v>
      </c>
      <c r="AX378" s="223" t="s">
        <v>68</v>
      </c>
      <c r="AY378" s="52" t="s">
        <v>68</v>
      </c>
      <c r="AZ378" s="19" t="s">
        <v>68</v>
      </c>
      <c r="BA378" s="1" t="s">
        <v>68</v>
      </c>
      <c r="BB378" s="1" t="s">
        <v>68</v>
      </c>
      <c r="BC378" s="17" t="s">
        <v>68</v>
      </c>
      <c r="BD378" s="30" t="s">
        <v>68</v>
      </c>
      <c r="BE378" s="309"/>
      <c r="BF378" s="5" t="s">
        <v>68</v>
      </c>
      <c r="BG378" s="5" t="s">
        <v>68</v>
      </c>
      <c r="BH378" s="1" t="s">
        <v>68</v>
      </c>
      <c r="BI378" s="36" t="s">
        <v>68</v>
      </c>
      <c r="BJ378" s="13" t="s">
        <v>68</v>
      </c>
      <c r="BK378" s="352"/>
      <c r="BL378" s="913" t="s">
        <v>68</v>
      </c>
      <c r="BM378" s="912" t="s">
        <v>68</v>
      </c>
      <c r="BN378" s="912" t="s">
        <v>68</v>
      </c>
      <c r="BO378" s="912"/>
      <c r="BP378" s="912"/>
      <c r="BQ378" s="912"/>
      <c r="BR378" s="912"/>
      <c r="BS378" s="912" t="s">
        <v>68</v>
      </c>
      <c r="BT378" s="913"/>
      <c r="BU378" s="336" t="s">
        <v>68</v>
      </c>
      <c r="BV378" s="913" t="s">
        <v>68</v>
      </c>
      <c r="BW378" s="13"/>
      <c r="BX378" s="13"/>
      <c r="BY378" s="13"/>
      <c r="BZ378" s="13"/>
      <c r="CA378" s="13"/>
      <c r="CB378" s="1222" t="s">
        <v>2094</v>
      </c>
      <c r="CC378" s="586" t="s">
        <v>1143</v>
      </c>
      <c r="CD378" s="526"/>
      <c r="CE378" s="526"/>
      <c r="CF378" s="526"/>
      <c r="CG378" s="526"/>
      <c r="CH378" s="526"/>
      <c r="CI378" s="526"/>
      <c r="CJ378" s="526"/>
      <c r="CK378" s="15"/>
    </row>
    <row r="379" spans="2:89" customFormat="1" ht="72" hidden="1" customHeight="1">
      <c r="B379" s="22"/>
      <c r="C379" s="1445">
        <v>44298</v>
      </c>
      <c r="D379" s="1445"/>
      <c r="E379" s="911"/>
      <c r="F379" s="911"/>
      <c r="G379" s="915"/>
      <c r="H379" s="1746"/>
      <c r="I379" s="330"/>
      <c r="J379" s="169">
        <v>2019</v>
      </c>
      <c r="K379" s="1421">
        <v>192.2</v>
      </c>
      <c r="L379" s="1421"/>
      <c r="M379" s="170" t="s">
        <v>1148</v>
      </c>
      <c r="N379" s="178" t="s">
        <v>1235</v>
      </c>
      <c r="O379" s="172" t="s">
        <v>1232</v>
      </c>
      <c r="P379" s="173" t="s">
        <v>1236</v>
      </c>
      <c r="Q379" s="173" t="s">
        <v>2577</v>
      </c>
      <c r="R379" s="174">
        <v>256520.08</v>
      </c>
      <c r="S379" s="590">
        <v>43759</v>
      </c>
      <c r="T379" s="176" t="s">
        <v>68</v>
      </c>
      <c r="U379" s="177" t="s">
        <v>68</v>
      </c>
      <c r="V379" s="105" t="s">
        <v>68</v>
      </c>
      <c r="W379" s="178" t="s">
        <v>1237</v>
      </c>
      <c r="X379" s="170" t="s">
        <v>3047</v>
      </c>
      <c r="Y379" s="1101" t="s">
        <v>68</v>
      </c>
      <c r="Z379" s="1379"/>
      <c r="AA379" s="33" t="s">
        <v>2863</v>
      </c>
      <c r="AB379" s="8">
        <v>43637</v>
      </c>
      <c r="AC379" s="4">
        <f>543500*2</f>
        <v>1087000</v>
      </c>
      <c r="AD379" s="236" t="s">
        <v>1208</v>
      </c>
      <c r="AE379" s="32">
        <f>1302585.85</f>
        <v>1302585.8500000001</v>
      </c>
      <c r="AF379" s="34" t="s">
        <v>68</v>
      </c>
      <c r="AG379" s="112" t="s">
        <v>68</v>
      </c>
      <c r="AH379" s="112" t="s">
        <v>68</v>
      </c>
      <c r="AI379" s="7" t="s">
        <v>68</v>
      </c>
      <c r="AJ379" s="109" t="s">
        <v>68</v>
      </c>
      <c r="AK379" s="33" t="s">
        <v>68</v>
      </c>
      <c r="AL379" s="1" t="s">
        <v>68</v>
      </c>
      <c r="AM379" s="5" t="s">
        <v>68</v>
      </c>
      <c r="AN379" s="1" t="s">
        <v>68</v>
      </c>
      <c r="AO379" s="5" t="s">
        <v>68</v>
      </c>
      <c r="AP379" s="1" t="s">
        <v>68</v>
      </c>
      <c r="AQ379" s="1" t="s">
        <v>68</v>
      </c>
      <c r="AR379" s="279">
        <v>0</v>
      </c>
      <c r="AS379" s="35">
        <v>0</v>
      </c>
      <c r="AT379" s="895">
        <v>256520.08</v>
      </c>
      <c r="AU379" s="884" t="s">
        <v>68</v>
      </c>
      <c r="AV379" s="30" t="s">
        <v>68</v>
      </c>
      <c r="AW379" s="11" t="s">
        <v>68</v>
      </c>
      <c r="AX379" s="223" t="s">
        <v>68</v>
      </c>
      <c r="AY379" s="52" t="s">
        <v>68</v>
      </c>
      <c r="AZ379" s="19" t="s">
        <v>68</v>
      </c>
      <c r="BA379" s="1" t="s">
        <v>68</v>
      </c>
      <c r="BB379" s="1" t="s">
        <v>68</v>
      </c>
      <c r="BC379" s="17" t="s">
        <v>68</v>
      </c>
      <c r="BD379" s="30" t="s">
        <v>68</v>
      </c>
      <c r="BE379" s="309"/>
      <c r="BF379" s="5" t="s">
        <v>68</v>
      </c>
      <c r="BG379" s="5" t="s">
        <v>68</v>
      </c>
      <c r="BH379" s="1" t="s">
        <v>68</v>
      </c>
      <c r="BI379" s="1035">
        <f>AS379+AT379</f>
        <v>256520.08</v>
      </c>
      <c r="BJ379" s="13" t="s">
        <v>68</v>
      </c>
      <c r="BK379" s="352"/>
      <c r="BL379" s="913" t="s">
        <v>68</v>
      </c>
      <c r="BM379" s="912" t="s">
        <v>68</v>
      </c>
      <c r="BN379" s="912" t="s">
        <v>68</v>
      </c>
      <c r="BO379" s="912"/>
      <c r="BP379" s="912"/>
      <c r="BQ379" s="912"/>
      <c r="BR379" s="912"/>
      <c r="BS379" s="912" t="s">
        <v>68</v>
      </c>
      <c r="BT379" s="913"/>
      <c r="BU379" s="336" t="s">
        <v>68</v>
      </c>
      <c r="BV379" s="913" t="s">
        <v>68</v>
      </c>
      <c r="BW379" s="13"/>
      <c r="BX379" s="13"/>
      <c r="BY379" s="13"/>
      <c r="BZ379" s="13"/>
      <c r="CA379" s="13"/>
      <c r="CB379" s="1222" t="s">
        <v>2094</v>
      </c>
      <c r="CC379" s="586" t="s">
        <v>1143</v>
      </c>
      <c r="CD379" s="526"/>
      <c r="CE379" s="526"/>
      <c r="CF379" s="526"/>
      <c r="CG379" s="526"/>
      <c r="CH379" s="526"/>
      <c r="CI379" s="526"/>
      <c r="CJ379" s="526"/>
      <c r="CK379" s="15"/>
    </row>
    <row r="380" spans="2:89" customFormat="1" ht="57" hidden="1" customHeight="1">
      <c r="B380" s="22"/>
      <c r="C380" s="122"/>
      <c r="D380" s="122"/>
      <c r="E380" s="911"/>
      <c r="F380" s="911"/>
      <c r="G380" s="915"/>
      <c r="H380" s="1746"/>
      <c r="I380" s="330"/>
      <c r="J380" s="169">
        <v>2019</v>
      </c>
      <c r="K380" s="1421">
        <v>192.3</v>
      </c>
      <c r="L380" s="1421"/>
      <c r="M380" s="170" t="s">
        <v>1148</v>
      </c>
      <c r="N380" s="178" t="s">
        <v>1238</v>
      </c>
      <c r="O380" s="172" t="s">
        <v>1232</v>
      </c>
      <c r="P380" s="173" t="s">
        <v>1239</v>
      </c>
      <c r="Q380" s="173" t="s">
        <v>4409</v>
      </c>
      <c r="R380" s="174">
        <v>256520.08</v>
      </c>
      <c r="S380" s="590">
        <v>43759</v>
      </c>
      <c r="T380" s="176" t="s">
        <v>68</v>
      </c>
      <c r="U380" s="177" t="s">
        <v>68</v>
      </c>
      <c r="V380" s="105" t="s">
        <v>68</v>
      </c>
      <c r="W380" s="178" t="s">
        <v>1237</v>
      </c>
      <c r="X380" s="170" t="s">
        <v>984</v>
      </c>
      <c r="Y380" s="1101" t="s">
        <v>68</v>
      </c>
      <c r="Z380" s="1379"/>
      <c r="AA380" s="33" t="s">
        <v>2863</v>
      </c>
      <c r="AB380" s="8">
        <v>43637</v>
      </c>
      <c r="AC380" s="4">
        <f>543500*2</f>
        <v>1087000</v>
      </c>
      <c r="AD380" s="236" t="s">
        <v>1208</v>
      </c>
      <c r="AE380" s="32">
        <v>1248920.79</v>
      </c>
      <c r="AF380" s="34" t="s">
        <v>68</v>
      </c>
      <c r="AG380" s="112" t="s">
        <v>68</v>
      </c>
      <c r="AH380" s="112" t="s">
        <v>68</v>
      </c>
      <c r="AI380" s="7" t="s">
        <v>68</v>
      </c>
      <c r="AJ380" s="109" t="s">
        <v>68</v>
      </c>
      <c r="AK380" s="33" t="s">
        <v>68</v>
      </c>
      <c r="AL380" s="1" t="s">
        <v>68</v>
      </c>
      <c r="AM380" s="5" t="s">
        <v>68</v>
      </c>
      <c r="AN380" s="1" t="s">
        <v>68</v>
      </c>
      <c r="AO380" s="5" t="s">
        <v>68</v>
      </c>
      <c r="AP380" s="1" t="s">
        <v>68</v>
      </c>
      <c r="AQ380" s="1" t="s">
        <v>68</v>
      </c>
      <c r="AR380" s="279">
        <v>0</v>
      </c>
      <c r="AS380" s="35">
        <v>0</v>
      </c>
      <c r="AT380" s="895">
        <v>256520.08</v>
      </c>
      <c r="AU380" s="884" t="s">
        <v>68</v>
      </c>
      <c r="AV380" s="30" t="s">
        <v>68</v>
      </c>
      <c r="AW380" s="11" t="s">
        <v>68</v>
      </c>
      <c r="AX380" s="223" t="s">
        <v>68</v>
      </c>
      <c r="AY380" s="52" t="s">
        <v>68</v>
      </c>
      <c r="AZ380" s="19" t="s">
        <v>68</v>
      </c>
      <c r="BA380" s="1" t="s">
        <v>68</v>
      </c>
      <c r="BB380" s="1" t="s">
        <v>68</v>
      </c>
      <c r="BC380" s="17" t="s">
        <v>68</v>
      </c>
      <c r="BD380" s="30" t="s">
        <v>68</v>
      </c>
      <c r="BE380" s="309"/>
      <c r="BF380" s="5" t="s">
        <v>68</v>
      </c>
      <c r="BG380" s="5" t="s">
        <v>68</v>
      </c>
      <c r="BH380" s="1" t="s">
        <v>68</v>
      </c>
      <c r="BI380" s="36">
        <f>AS380+AT380</f>
        <v>256520.08</v>
      </c>
      <c r="BJ380" s="13" t="s">
        <v>68</v>
      </c>
      <c r="BK380" s="352"/>
      <c r="BL380" s="913" t="s">
        <v>68</v>
      </c>
      <c r="BM380" s="912" t="s">
        <v>68</v>
      </c>
      <c r="BN380" s="912" t="s">
        <v>68</v>
      </c>
      <c r="BO380" s="912"/>
      <c r="BP380" s="912"/>
      <c r="BQ380" s="912"/>
      <c r="BR380" s="912"/>
      <c r="BS380" s="912" t="s">
        <v>68</v>
      </c>
      <c r="BT380" s="913"/>
      <c r="BU380" s="336" t="s">
        <v>68</v>
      </c>
      <c r="BV380" s="913" t="s">
        <v>68</v>
      </c>
      <c r="BW380" s="13"/>
      <c r="BX380" s="13"/>
      <c r="BY380" s="13"/>
      <c r="BZ380" s="13"/>
      <c r="CA380" s="13"/>
      <c r="CB380" s="1222" t="s">
        <v>2094</v>
      </c>
      <c r="CC380" s="586" t="s">
        <v>1143</v>
      </c>
      <c r="CD380" s="526"/>
      <c r="CE380" s="526"/>
      <c r="CF380" s="526"/>
      <c r="CG380" s="526"/>
      <c r="CH380" s="526"/>
      <c r="CI380" s="526"/>
      <c r="CJ380" s="526"/>
      <c r="CK380" s="15"/>
    </row>
    <row r="381" spans="2:89" customFormat="1" ht="70.5" hidden="1" customHeight="1">
      <c r="B381" s="22"/>
      <c r="C381" s="22"/>
      <c r="D381" s="22"/>
      <c r="E381" s="911"/>
      <c r="F381" s="911"/>
      <c r="G381" s="915"/>
      <c r="H381" s="1746"/>
      <c r="I381" s="330"/>
      <c r="J381" s="169">
        <v>2019</v>
      </c>
      <c r="K381" s="1421">
        <v>193.1</v>
      </c>
      <c r="L381" s="1421"/>
      <c r="M381" s="170" t="s">
        <v>166</v>
      </c>
      <c r="N381" s="178" t="s">
        <v>1240</v>
      </c>
      <c r="O381" s="172" t="s">
        <v>46</v>
      </c>
      <c r="P381" s="173" t="s">
        <v>1241</v>
      </c>
      <c r="Q381" s="173" t="s">
        <v>2663</v>
      </c>
      <c r="R381" s="174">
        <v>4800</v>
      </c>
      <c r="S381" s="590">
        <v>43699</v>
      </c>
      <c r="T381" s="176">
        <v>43699</v>
      </c>
      <c r="U381" s="177">
        <v>43821</v>
      </c>
      <c r="V381" s="105" t="s">
        <v>68</v>
      </c>
      <c r="W381" s="178" t="s">
        <v>2762</v>
      </c>
      <c r="X381" s="170" t="s">
        <v>68</v>
      </c>
      <c r="Y381" s="1101" t="s">
        <v>68</v>
      </c>
      <c r="Z381" s="1379"/>
      <c r="AA381" s="33" t="s">
        <v>2864</v>
      </c>
      <c r="AB381" s="8">
        <v>43793</v>
      </c>
      <c r="AC381" s="4">
        <v>885535.63</v>
      </c>
      <c r="AD381" s="4"/>
      <c r="AE381" s="32"/>
      <c r="AF381" s="34" t="s">
        <v>68</v>
      </c>
      <c r="AG381" s="112" t="s">
        <v>68</v>
      </c>
      <c r="AH381" s="112" t="s">
        <v>68</v>
      </c>
      <c r="AI381" s="7" t="s">
        <v>68</v>
      </c>
      <c r="AJ381" s="109" t="s">
        <v>68</v>
      </c>
      <c r="AK381" s="33" t="s">
        <v>68</v>
      </c>
      <c r="AL381" s="1" t="s">
        <v>68</v>
      </c>
      <c r="AM381" s="5" t="s">
        <v>68</v>
      </c>
      <c r="AN381" s="1" t="s">
        <v>68</v>
      </c>
      <c r="AO381" s="5" t="s">
        <v>68</v>
      </c>
      <c r="AP381" s="1" t="s">
        <v>68</v>
      </c>
      <c r="AQ381" s="1" t="s">
        <v>68</v>
      </c>
      <c r="AR381" s="279">
        <v>0</v>
      </c>
      <c r="AS381" s="35">
        <v>0</v>
      </c>
      <c r="AT381" s="895">
        <v>0</v>
      </c>
      <c r="AU381" s="891">
        <v>0</v>
      </c>
      <c r="AV381" s="30" t="s">
        <v>68</v>
      </c>
      <c r="AW381" s="11" t="s">
        <v>68</v>
      </c>
      <c r="AX381" s="223" t="s">
        <v>68</v>
      </c>
      <c r="AY381" s="52" t="s">
        <v>68</v>
      </c>
      <c r="AZ381" s="19" t="s">
        <v>68</v>
      </c>
      <c r="BA381" s="1" t="s">
        <v>68</v>
      </c>
      <c r="BB381" s="1" t="s">
        <v>68</v>
      </c>
      <c r="BC381" s="17" t="s">
        <v>68</v>
      </c>
      <c r="BD381" s="30" t="s">
        <v>68</v>
      </c>
      <c r="BE381" s="309"/>
      <c r="BF381" s="5" t="s">
        <v>68</v>
      </c>
      <c r="BG381" s="5" t="s">
        <v>68</v>
      </c>
      <c r="BH381" s="1" t="s">
        <v>68</v>
      </c>
      <c r="BI381" s="36">
        <v>0</v>
      </c>
      <c r="BJ381" s="13" t="s">
        <v>68</v>
      </c>
      <c r="BK381" s="352"/>
      <c r="BL381" s="913" t="s">
        <v>68</v>
      </c>
      <c r="BM381" s="912" t="s">
        <v>68</v>
      </c>
      <c r="BN381" s="912" t="s">
        <v>68</v>
      </c>
      <c r="BO381" s="912"/>
      <c r="BP381" s="912"/>
      <c r="BQ381" s="912"/>
      <c r="BR381" s="912"/>
      <c r="BS381" s="912" t="s">
        <v>68</v>
      </c>
      <c r="BT381" s="913"/>
      <c r="BU381" s="913"/>
      <c r="BV381" s="913"/>
      <c r="BW381" s="13"/>
      <c r="BX381" s="13"/>
      <c r="BY381" s="13"/>
      <c r="BZ381" s="13"/>
      <c r="CA381" s="13"/>
      <c r="CB381" s="1222" t="s">
        <v>2094</v>
      </c>
      <c r="CC381" s="586" t="s">
        <v>1143</v>
      </c>
      <c r="CD381" s="526"/>
      <c r="CE381" s="526"/>
      <c r="CF381" s="526"/>
      <c r="CG381" s="526"/>
      <c r="CH381" s="526"/>
      <c r="CI381" s="526"/>
      <c r="CJ381" s="526"/>
      <c r="CK381" s="15"/>
    </row>
    <row r="382" spans="2:89" customFormat="1" ht="101.25" hidden="1" customHeight="1">
      <c r="B382" s="22"/>
      <c r="C382" s="22"/>
      <c r="D382" s="22"/>
      <c r="E382" s="911"/>
      <c r="F382" s="911"/>
      <c r="G382" s="915">
        <v>44021</v>
      </c>
      <c r="H382" s="1746"/>
      <c r="I382" s="330">
        <v>44021</v>
      </c>
      <c r="J382" s="169">
        <v>2019</v>
      </c>
      <c r="K382" s="1421">
        <v>195.1</v>
      </c>
      <c r="L382" s="1421"/>
      <c r="M382" s="170" t="s">
        <v>77</v>
      </c>
      <c r="N382" s="178" t="s">
        <v>2908</v>
      </c>
      <c r="O382" s="172" t="s">
        <v>45</v>
      </c>
      <c r="P382" s="173" t="s">
        <v>2909</v>
      </c>
      <c r="Q382" s="173" t="s">
        <v>2575</v>
      </c>
      <c r="R382" s="174">
        <v>250096</v>
      </c>
      <c r="S382" s="590">
        <v>43637</v>
      </c>
      <c r="T382" s="176">
        <v>43640</v>
      </c>
      <c r="U382" s="177">
        <v>43830</v>
      </c>
      <c r="V382" s="105" t="s">
        <v>68</v>
      </c>
      <c r="W382" s="178" t="s">
        <v>1225</v>
      </c>
      <c r="X382" s="170" t="s">
        <v>68</v>
      </c>
      <c r="Y382" s="1101" t="s">
        <v>68</v>
      </c>
      <c r="Z382" s="1379"/>
      <c r="AA382" s="33" t="s">
        <v>68</v>
      </c>
      <c r="AB382" s="8"/>
      <c r="AC382" s="4"/>
      <c r="AD382" s="4"/>
      <c r="AE382" s="32"/>
      <c r="AF382" s="34" t="s">
        <v>68</v>
      </c>
      <c r="AG382" s="112" t="s">
        <v>68</v>
      </c>
      <c r="AH382" s="112" t="s">
        <v>68</v>
      </c>
      <c r="AI382" s="7" t="s">
        <v>68</v>
      </c>
      <c r="AJ382" s="109" t="s">
        <v>68</v>
      </c>
      <c r="AK382" s="33" t="s">
        <v>68</v>
      </c>
      <c r="AL382" s="1" t="s">
        <v>68</v>
      </c>
      <c r="AM382" s="5"/>
      <c r="AN382" s="1" t="s">
        <v>68</v>
      </c>
      <c r="AO382" s="5"/>
      <c r="AP382" s="1" t="s">
        <v>68</v>
      </c>
      <c r="AQ382" s="1"/>
      <c r="AR382" s="279">
        <v>0</v>
      </c>
      <c r="AS382" s="35">
        <v>0</v>
      </c>
      <c r="AT382" s="895">
        <v>0</v>
      </c>
      <c r="AU382" s="891">
        <v>0</v>
      </c>
      <c r="AV382" s="30" t="s">
        <v>68</v>
      </c>
      <c r="AW382" s="11" t="s">
        <v>68</v>
      </c>
      <c r="AX382" s="223" t="s">
        <v>68</v>
      </c>
      <c r="AY382" s="52" t="s">
        <v>68</v>
      </c>
      <c r="AZ382" s="19" t="s">
        <v>68</v>
      </c>
      <c r="BA382" s="1" t="s">
        <v>68</v>
      </c>
      <c r="BB382" s="1" t="s">
        <v>68</v>
      </c>
      <c r="BC382" s="17" t="s">
        <v>68</v>
      </c>
      <c r="BD382" s="30" t="s">
        <v>68</v>
      </c>
      <c r="BE382" s="309"/>
      <c r="BF382" s="5" t="s">
        <v>68</v>
      </c>
      <c r="BG382" s="5" t="s">
        <v>68</v>
      </c>
      <c r="BH382" s="1" t="s">
        <v>68</v>
      </c>
      <c r="BI382" s="36">
        <v>0</v>
      </c>
      <c r="BJ382" s="13" t="s">
        <v>68</v>
      </c>
      <c r="BK382" s="352"/>
      <c r="BL382" s="913" t="s">
        <v>68</v>
      </c>
      <c r="BM382" s="912" t="s">
        <v>68</v>
      </c>
      <c r="BN382" s="912" t="s">
        <v>68</v>
      </c>
      <c r="BO382" s="912"/>
      <c r="BP382" s="912"/>
      <c r="BQ382" s="912"/>
      <c r="BR382" s="912"/>
      <c r="BS382" s="912" t="s">
        <v>68</v>
      </c>
      <c r="BT382" s="913"/>
      <c r="BU382" s="913" t="s">
        <v>68</v>
      </c>
      <c r="BV382" s="913" t="s">
        <v>68</v>
      </c>
      <c r="BW382" s="13"/>
      <c r="BX382" s="13"/>
      <c r="BY382" s="13"/>
      <c r="BZ382" s="13"/>
      <c r="CA382" s="13"/>
      <c r="CB382" s="1222" t="s">
        <v>2094</v>
      </c>
      <c r="CC382" s="586" t="s">
        <v>1143</v>
      </c>
      <c r="CD382" s="526"/>
      <c r="CE382" s="526"/>
      <c r="CF382" s="526"/>
      <c r="CG382" s="526"/>
      <c r="CH382" s="526"/>
      <c r="CI382" s="526"/>
      <c r="CJ382" s="526"/>
      <c r="CK382" s="15"/>
    </row>
    <row r="383" spans="2:89" customFormat="1" ht="133.5" hidden="1" customHeight="1">
      <c r="B383" s="22"/>
      <c r="C383" s="22"/>
      <c r="D383" s="22"/>
      <c r="E383" s="911">
        <v>43709</v>
      </c>
      <c r="F383" s="911"/>
      <c r="G383" s="915">
        <v>44008</v>
      </c>
      <c r="H383" s="1746"/>
      <c r="I383" s="330">
        <v>43685</v>
      </c>
      <c r="J383" s="169">
        <v>2019</v>
      </c>
      <c r="K383" s="1421">
        <v>196.01</v>
      </c>
      <c r="L383" s="1421"/>
      <c r="M383" s="170" t="s">
        <v>77</v>
      </c>
      <c r="N383" s="178" t="s">
        <v>1242</v>
      </c>
      <c r="O383" s="172" t="s">
        <v>79</v>
      </c>
      <c r="P383" s="173" t="s">
        <v>1243</v>
      </c>
      <c r="Q383" s="173" t="s">
        <v>4409</v>
      </c>
      <c r="R383" s="174">
        <v>731445.69</v>
      </c>
      <c r="S383" s="175">
        <v>43529</v>
      </c>
      <c r="T383" s="176">
        <v>43530</v>
      </c>
      <c r="U383" s="177">
        <v>43616</v>
      </c>
      <c r="V383" s="105">
        <v>43621</v>
      </c>
      <c r="W383" s="178" t="s">
        <v>1225</v>
      </c>
      <c r="X383" s="170" t="s">
        <v>449</v>
      </c>
      <c r="Y383" s="611">
        <v>43515</v>
      </c>
      <c r="Z383" s="1372"/>
      <c r="AA383" s="33" t="s">
        <v>1244</v>
      </c>
      <c r="AB383" s="8">
        <v>43494</v>
      </c>
      <c r="AC383" s="4">
        <f>327037.92+278571.44+125836.33</f>
        <v>731445.69</v>
      </c>
      <c r="AD383" s="4"/>
      <c r="AE383" s="32"/>
      <c r="AF383" s="34" t="s">
        <v>68</v>
      </c>
      <c r="AG383" s="112" t="s">
        <v>68</v>
      </c>
      <c r="AH383" s="112" t="s">
        <v>68</v>
      </c>
      <c r="AI383" s="7" t="s">
        <v>68</v>
      </c>
      <c r="AJ383" s="109" t="s">
        <v>68</v>
      </c>
      <c r="AK383" s="33" t="s">
        <v>855</v>
      </c>
      <c r="AL383" s="1" t="s">
        <v>68</v>
      </c>
      <c r="AM383" s="5"/>
      <c r="AN383" s="1">
        <v>192021</v>
      </c>
      <c r="AO383" s="5">
        <v>43530</v>
      </c>
      <c r="AP383" s="1">
        <v>192052</v>
      </c>
      <c r="AQ383" s="5">
        <v>43559</v>
      </c>
      <c r="AR383" s="279">
        <f>73144.56*2</f>
        <v>146289.12</v>
      </c>
      <c r="AS383" s="35">
        <v>0</v>
      </c>
      <c r="AT383" s="895">
        <v>726896.94</v>
      </c>
      <c r="AU383" s="884">
        <v>726896.94</v>
      </c>
      <c r="AV383" s="30">
        <v>43530</v>
      </c>
      <c r="AW383" s="11">
        <v>43559</v>
      </c>
      <c r="AX383" s="223" t="s">
        <v>68</v>
      </c>
      <c r="AY383" s="52" t="s">
        <v>68</v>
      </c>
      <c r="AZ383" s="30">
        <v>43559</v>
      </c>
      <c r="BA383" s="5">
        <v>43530</v>
      </c>
      <c r="BB383" s="5">
        <v>43616</v>
      </c>
      <c r="BC383" s="11">
        <v>43559</v>
      </c>
      <c r="BD383" s="30">
        <v>43560</v>
      </c>
      <c r="BE383" s="309"/>
      <c r="BF383" s="5">
        <v>43530</v>
      </c>
      <c r="BG383" s="5">
        <v>43616</v>
      </c>
      <c r="BH383" s="5">
        <v>43559</v>
      </c>
      <c r="BI383" s="36">
        <f>AS383+AT383</f>
        <v>726896.94</v>
      </c>
      <c r="BJ383" s="62">
        <v>43560</v>
      </c>
      <c r="BK383" s="224"/>
      <c r="BL383" s="336">
        <v>43524</v>
      </c>
      <c r="BM383" s="71">
        <v>43531</v>
      </c>
      <c r="BN383" s="71">
        <v>43531</v>
      </c>
      <c r="BO383" s="71"/>
      <c r="BP383" s="71"/>
      <c r="BQ383" s="71"/>
      <c r="BR383" s="71"/>
      <c r="BS383" s="71">
        <v>43559</v>
      </c>
      <c r="BT383" s="336"/>
      <c r="BU383" s="336"/>
      <c r="BV383" s="913" t="s">
        <v>68</v>
      </c>
      <c r="BW383" s="13"/>
      <c r="BX383" s="13" t="s">
        <v>1245</v>
      </c>
      <c r="BY383" s="13"/>
      <c r="BZ383" s="13"/>
      <c r="CA383" s="13"/>
      <c r="CB383" s="1222" t="s">
        <v>2094</v>
      </c>
      <c r="CC383" s="586" t="s">
        <v>1143</v>
      </c>
      <c r="CD383" s="526"/>
      <c r="CE383" s="526"/>
      <c r="CF383" s="526"/>
      <c r="CG383" s="526"/>
      <c r="CH383" s="526"/>
      <c r="CI383" s="526"/>
      <c r="CJ383" s="526"/>
      <c r="CK383" s="15"/>
    </row>
    <row r="384" spans="2:89" customFormat="1" ht="73.5" hidden="1" customHeight="1">
      <c r="B384" s="22"/>
      <c r="C384" s="22"/>
      <c r="D384" s="22"/>
      <c r="E384" s="911">
        <v>43709</v>
      </c>
      <c r="F384" s="911"/>
      <c r="G384" s="915">
        <v>44008</v>
      </c>
      <c r="H384" s="1746"/>
      <c r="I384" s="330">
        <v>43647</v>
      </c>
      <c r="J384" s="169">
        <v>2019</v>
      </c>
      <c r="K384" s="1421">
        <v>196.02</v>
      </c>
      <c r="L384" s="1421"/>
      <c r="M384" s="170" t="s">
        <v>166</v>
      </c>
      <c r="N384" s="178" t="s">
        <v>1246</v>
      </c>
      <c r="O384" s="172" t="s">
        <v>79</v>
      </c>
      <c r="P384" s="173" t="s">
        <v>1247</v>
      </c>
      <c r="Q384" s="173" t="s">
        <v>1975</v>
      </c>
      <c r="R384" s="174">
        <v>140710.85999999999</v>
      </c>
      <c r="S384" s="175">
        <v>43592</v>
      </c>
      <c r="T384" s="176">
        <v>43593</v>
      </c>
      <c r="U384" s="177">
        <v>43624</v>
      </c>
      <c r="V384" s="105">
        <v>43591</v>
      </c>
      <c r="W384" s="178" t="s">
        <v>1225</v>
      </c>
      <c r="X384" s="170" t="s">
        <v>3047</v>
      </c>
      <c r="Y384" s="1102" t="s">
        <v>68</v>
      </c>
      <c r="Z384" s="1381"/>
      <c r="AA384" s="33" t="s">
        <v>1164</v>
      </c>
      <c r="AB384" s="8">
        <v>43494</v>
      </c>
      <c r="AC384" s="4">
        <v>140710.85999999999</v>
      </c>
      <c r="AD384" s="4"/>
      <c r="AE384" s="32"/>
      <c r="AF384" s="34" t="s">
        <v>68</v>
      </c>
      <c r="AG384" s="112" t="s">
        <v>68</v>
      </c>
      <c r="AH384" s="112" t="s">
        <v>68</v>
      </c>
      <c r="AI384" s="7" t="s">
        <v>68</v>
      </c>
      <c r="AJ384" s="109" t="s">
        <v>68</v>
      </c>
      <c r="AK384" s="33" t="s">
        <v>855</v>
      </c>
      <c r="AL384" s="1" t="s">
        <v>68</v>
      </c>
      <c r="AM384" s="5"/>
      <c r="AN384" s="1">
        <v>1997670</v>
      </c>
      <c r="AO384" s="5">
        <v>43593</v>
      </c>
      <c r="AP384" s="1">
        <v>1997671</v>
      </c>
      <c r="AQ384" s="5">
        <v>43624</v>
      </c>
      <c r="AR384" s="279">
        <f>114071.08+4071.08</f>
        <v>118142.16</v>
      </c>
      <c r="AS384" s="35">
        <v>0</v>
      </c>
      <c r="AT384" s="895">
        <v>140099.94</v>
      </c>
      <c r="AU384" s="891"/>
      <c r="AV384" s="66" t="s">
        <v>74</v>
      </c>
      <c r="AW384" s="11"/>
      <c r="AX384" s="223" t="s">
        <v>68</v>
      </c>
      <c r="AY384" s="52" t="s">
        <v>68</v>
      </c>
      <c r="AZ384" s="30">
        <v>43608</v>
      </c>
      <c r="BA384" s="5">
        <v>43593</v>
      </c>
      <c r="BB384" s="5">
        <v>43608</v>
      </c>
      <c r="BC384" s="5">
        <v>43608</v>
      </c>
      <c r="BD384" s="225">
        <v>43609</v>
      </c>
      <c r="BE384" s="1606"/>
      <c r="BF384" s="5">
        <v>43593</v>
      </c>
      <c r="BG384" s="5">
        <v>43624</v>
      </c>
      <c r="BH384" s="5">
        <v>43608</v>
      </c>
      <c r="BI384" s="36">
        <f>AS384+AT384</f>
        <v>140099.94</v>
      </c>
      <c r="BJ384" s="62">
        <v>43609</v>
      </c>
      <c r="BK384" s="224"/>
      <c r="BL384" s="336">
        <v>43591</v>
      </c>
      <c r="BM384" s="71" t="s">
        <v>1248</v>
      </c>
      <c r="BN384" s="71">
        <v>43593</v>
      </c>
      <c r="BO384" s="71"/>
      <c r="BP384" s="71"/>
      <c r="BQ384" s="71"/>
      <c r="BR384" s="71"/>
      <c r="BS384" s="71">
        <v>43608</v>
      </c>
      <c r="BT384" s="336"/>
      <c r="BU384" s="336" t="s">
        <v>68</v>
      </c>
      <c r="BV384" s="913" t="s">
        <v>68</v>
      </c>
      <c r="BW384" s="13"/>
      <c r="BX384" s="13"/>
      <c r="BY384" s="13"/>
      <c r="BZ384" s="13"/>
      <c r="CA384" s="13"/>
      <c r="CB384" s="1222" t="s">
        <v>2094</v>
      </c>
      <c r="CC384" s="38"/>
      <c r="CD384" s="526"/>
      <c r="CE384" s="526"/>
      <c r="CF384" s="526"/>
      <c r="CG384" s="526"/>
      <c r="CH384" s="526"/>
      <c r="CI384" s="526"/>
      <c r="CJ384" s="526"/>
      <c r="CK384" s="15"/>
    </row>
    <row r="385" spans="1:89" ht="81" hidden="1" customHeight="1">
      <c r="A385"/>
      <c r="B385" s="22"/>
      <c r="C385" s="22"/>
      <c r="D385" s="22"/>
      <c r="E385" s="911">
        <v>43709</v>
      </c>
      <c r="F385" s="911"/>
      <c r="G385" s="915">
        <v>44008</v>
      </c>
      <c r="H385" s="1746"/>
      <c r="I385" s="330">
        <v>43685</v>
      </c>
      <c r="J385" s="169">
        <v>2019</v>
      </c>
      <c r="K385" s="1421">
        <v>196.03</v>
      </c>
      <c r="L385" s="1421"/>
      <c r="M385" s="170" t="s">
        <v>77</v>
      </c>
      <c r="N385" s="178" t="s">
        <v>1249</v>
      </c>
      <c r="O385" s="172" t="s">
        <v>251</v>
      </c>
      <c r="P385" s="173" t="s">
        <v>1250</v>
      </c>
      <c r="Q385" s="173" t="s">
        <v>4409</v>
      </c>
      <c r="R385" s="174">
        <v>400650.13</v>
      </c>
      <c r="S385" s="590">
        <v>43609</v>
      </c>
      <c r="T385" s="176">
        <v>43612</v>
      </c>
      <c r="U385" s="177">
        <v>43629</v>
      </c>
      <c r="V385" s="105">
        <v>43608</v>
      </c>
      <c r="W385" s="178" t="s">
        <v>1251</v>
      </c>
      <c r="X385" s="170" t="s">
        <v>3047</v>
      </c>
      <c r="Y385" s="611">
        <v>43599</v>
      </c>
      <c r="Z385" s="1372"/>
      <c r="AA385" s="115" t="s">
        <v>1252</v>
      </c>
      <c r="AB385" s="74">
        <v>43600</v>
      </c>
      <c r="AC385" s="75">
        <v>237600.97</v>
      </c>
      <c r="AD385" s="4"/>
      <c r="AE385" s="32"/>
      <c r="AF385" s="34" t="s">
        <v>68</v>
      </c>
      <c r="AG385" s="112" t="s">
        <v>68</v>
      </c>
      <c r="AH385" s="112" t="s">
        <v>68</v>
      </c>
      <c r="AI385" s="7" t="s">
        <v>68</v>
      </c>
      <c r="AJ385" s="109" t="s">
        <v>68</v>
      </c>
      <c r="AK385" s="33" t="s">
        <v>855</v>
      </c>
      <c r="AL385" s="1" t="s">
        <v>68</v>
      </c>
      <c r="AM385" s="5"/>
      <c r="AN385" s="1">
        <v>190435</v>
      </c>
      <c r="AO385" s="5">
        <v>43612</v>
      </c>
      <c r="AP385" s="1">
        <v>190436</v>
      </c>
      <c r="AQ385" s="5">
        <v>43612</v>
      </c>
      <c r="AR385" s="279">
        <f>40065.01*2</f>
        <v>80130.02</v>
      </c>
      <c r="AS385" s="35">
        <v>0</v>
      </c>
      <c r="AT385" s="895">
        <v>398930.6</v>
      </c>
      <c r="AU385" s="884">
        <v>398930.6</v>
      </c>
      <c r="AV385" s="66" t="s">
        <v>74</v>
      </c>
      <c r="AW385" s="11"/>
      <c r="AX385" s="223" t="s">
        <v>68</v>
      </c>
      <c r="AY385" s="52" t="s">
        <v>68</v>
      </c>
      <c r="AZ385" s="30">
        <v>43627</v>
      </c>
      <c r="BA385" s="5">
        <v>43612</v>
      </c>
      <c r="BB385" s="5">
        <v>43629</v>
      </c>
      <c r="BC385" s="5">
        <v>43626</v>
      </c>
      <c r="BD385" s="30">
        <v>43628</v>
      </c>
      <c r="BE385" s="309"/>
      <c r="BF385" s="5">
        <v>43612</v>
      </c>
      <c r="BG385" s="5">
        <v>43629</v>
      </c>
      <c r="BH385" s="5">
        <v>43626</v>
      </c>
      <c r="BI385" s="36">
        <f>AS385+AT385</f>
        <v>398930.6</v>
      </c>
      <c r="BJ385" s="62">
        <v>43629</v>
      </c>
      <c r="BK385" s="224"/>
      <c r="BL385" s="336">
        <v>43608</v>
      </c>
      <c r="BM385" s="71">
        <v>43612</v>
      </c>
      <c r="BN385" s="71">
        <v>43612</v>
      </c>
      <c r="BO385" s="914"/>
      <c r="BP385" s="914"/>
      <c r="BQ385" s="914"/>
      <c r="BR385" s="914"/>
      <c r="BS385" s="1034">
        <v>43623</v>
      </c>
      <c r="BT385" s="1400"/>
      <c r="BU385" s="970"/>
      <c r="BV385" s="913" t="s">
        <v>68</v>
      </c>
      <c r="BW385" s="13"/>
      <c r="BX385" s="13"/>
      <c r="BY385" s="13"/>
      <c r="BZ385" s="13"/>
      <c r="CA385" s="13"/>
      <c r="CB385" s="1222" t="s">
        <v>2094</v>
      </c>
      <c r="CC385" s="38"/>
      <c r="CD385" s="526"/>
      <c r="CE385" s="526"/>
      <c r="CF385" s="526"/>
      <c r="CG385" s="526"/>
      <c r="CH385" s="526"/>
      <c r="CI385" s="526"/>
      <c r="CJ385" s="526"/>
      <c r="CK385" s="15"/>
    </row>
    <row r="386" spans="1:89" ht="63" hidden="1" customHeight="1">
      <c r="A386"/>
      <c r="B386" s="22"/>
      <c r="C386" s="22"/>
      <c r="D386" s="22"/>
      <c r="E386" s="911">
        <v>43709</v>
      </c>
      <c r="F386" s="911"/>
      <c r="G386" s="915">
        <v>44008</v>
      </c>
      <c r="H386" s="1746"/>
      <c r="I386" s="330">
        <v>43647</v>
      </c>
      <c r="J386" s="169">
        <v>2019</v>
      </c>
      <c r="K386" s="1421">
        <v>196.04</v>
      </c>
      <c r="L386" s="1421"/>
      <c r="M386" s="170" t="s">
        <v>77</v>
      </c>
      <c r="N386" s="178" t="s">
        <v>1253</v>
      </c>
      <c r="O386" s="172" t="s">
        <v>79</v>
      </c>
      <c r="P386" s="173" t="s">
        <v>1254</v>
      </c>
      <c r="Q386" s="173" t="s">
        <v>2538</v>
      </c>
      <c r="R386" s="174">
        <v>149018.54</v>
      </c>
      <c r="S386" s="590">
        <v>43609</v>
      </c>
      <c r="T386" s="176">
        <v>43612</v>
      </c>
      <c r="U386" s="177">
        <v>43626</v>
      </c>
      <c r="V386" s="105">
        <v>43608</v>
      </c>
      <c r="W386" s="178" t="s">
        <v>1225</v>
      </c>
      <c r="X386" s="170" t="s">
        <v>3047</v>
      </c>
      <c r="Y386" s="611">
        <v>43612</v>
      </c>
      <c r="Z386" s="1372"/>
      <c r="AA386" s="33" t="s">
        <v>1255</v>
      </c>
      <c r="AB386" s="8">
        <v>43600</v>
      </c>
      <c r="AC386" s="4">
        <v>149679.76</v>
      </c>
      <c r="AD386" s="4"/>
      <c r="AE386" s="32"/>
      <c r="AF386" s="34" t="s">
        <v>68</v>
      </c>
      <c r="AG386" s="112" t="s">
        <v>68</v>
      </c>
      <c r="AH386" s="112" t="s">
        <v>68</v>
      </c>
      <c r="AI386" s="7" t="s">
        <v>68</v>
      </c>
      <c r="AJ386" s="109" t="s">
        <v>68</v>
      </c>
      <c r="AK386" s="33" t="s">
        <v>1256</v>
      </c>
      <c r="AL386" s="1" t="s">
        <v>68</v>
      </c>
      <c r="AM386" s="5"/>
      <c r="AN386" s="1">
        <v>190433</v>
      </c>
      <c r="AO386" s="5">
        <v>43612</v>
      </c>
      <c r="AP386" s="1">
        <v>190434</v>
      </c>
      <c r="AQ386" s="5">
        <v>43612</v>
      </c>
      <c r="AR386" s="279">
        <f>14901.85+14901.85</f>
        <v>29803.7</v>
      </c>
      <c r="AS386" s="35">
        <v>0</v>
      </c>
      <c r="AT386" s="895">
        <v>148378.85</v>
      </c>
      <c r="AU386" s="895">
        <v>148378.85</v>
      </c>
      <c r="AV386" s="324">
        <v>43612</v>
      </c>
      <c r="AW386" s="11">
        <v>43624</v>
      </c>
      <c r="AX386" s="223" t="s">
        <v>68</v>
      </c>
      <c r="AY386" s="52" t="s">
        <v>68</v>
      </c>
      <c r="AZ386" s="30">
        <v>43626</v>
      </c>
      <c r="BA386" s="5">
        <v>43612</v>
      </c>
      <c r="BB386" s="5">
        <v>43626</v>
      </c>
      <c r="BC386" s="5">
        <v>43626</v>
      </c>
      <c r="BD386" s="225">
        <v>43627</v>
      </c>
      <c r="BE386" s="1606"/>
      <c r="BF386" s="5">
        <v>43612</v>
      </c>
      <c r="BG386" s="5">
        <v>43626</v>
      </c>
      <c r="BH386" s="5">
        <v>43626</v>
      </c>
      <c r="BI386" s="36">
        <v>149018.54</v>
      </c>
      <c r="BJ386" s="62">
        <v>43627</v>
      </c>
      <c r="BK386" s="224"/>
      <c r="BL386" s="336">
        <v>43608</v>
      </c>
      <c r="BM386" s="71">
        <v>43612</v>
      </c>
      <c r="BN386" s="71">
        <v>43612</v>
      </c>
      <c r="BO386" s="914"/>
      <c r="BP386" s="914"/>
      <c r="BQ386" s="914"/>
      <c r="BR386" s="914"/>
      <c r="BS386" s="914">
        <v>43626</v>
      </c>
      <c r="BT386" s="336"/>
      <c r="BU386" s="336"/>
      <c r="BV386" s="913" t="s">
        <v>68</v>
      </c>
      <c r="BW386" s="13"/>
      <c r="BX386" s="13"/>
      <c r="BY386" s="13"/>
      <c r="BZ386" s="13"/>
      <c r="CA386" s="13"/>
      <c r="CB386" s="1222" t="s">
        <v>2094</v>
      </c>
      <c r="CC386" s="1103" t="s">
        <v>1143</v>
      </c>
      <c r="CD386" s="526"/>
      <c r="CE386" s="526"/>
      <c r="CF386" s="526"/>
      <c r="CG386" s="526"/>
      <c r="CH386" s="526"/>
      <c r="CI386" s="526"/>
      <c r="CJ386" s="526"/>
      <c r="CK386" s="15"/>
    </row>
    <row r="387" spans="1:89" ht="104.25" hidden="1" customHeight="1">
      <c r="A387"/>
      <c r="B387" s="22"/>
      <c r="C387" s="22"/>
      <c r="D387" s="22"/>
      <c r="E387" s="911">
        <v>43709</v>
      </c>
      <c r="F387" s="911"/>
      <c r="G387" s="915">
        <v>44008</v>
      </c>
      <c r="H387" s="1746"/>
      <c r="I387" s="330">
        <v>43647</v>
      </c>
      <c r="J387" s="169">
        <v>2019</v>
      </c>
      <c r="K387" s="1421">
        <v>196.05</v>
      </c>
      <c r="L387" s="1421"/>
      <c r="M387" s="170" t="s">
        <v>77</v>
      </c>
      <c r="N387" s="178" t="s">
        <v>1257</v>
      </c>
      <c r="O387" s="172" t="s">
        <v>79</v>
      </c>
      <c r="P387" s="173" t="s">
        <v>1258</v>
      </c>
      <c r="Q387" s="173" t="s">
        <v>1975</v>
      </c>
      <c r="R387" s="174">
        <v>603785.16</v>
      </c>
      <c r="S387" s="590">
        <v>43606</v>
      </c>
      <c r="T387" s="176">
        <v>43608</v>
      </c>
      <c r="U387" s="177">
        <v>43677</v>
      </c>
      <c r="V387" s="105">
        <v>43614</v>
      </c>
      <c r="W387" s="178" t="s">
        <v>1259</v>
      </c>
      <c r="X387" s="170" t="s">
        <v>449</v>
      </c>
      <c r="Y387" s="611">
        <v>43593</v>
      </c>
      <c r="Z387" s="1372"/>
      <c r="AA387" s="33" t="s">
        <v>1260</v>
      </c>
      <c r="AB387" s="8">
        <v>43600</v>
      </c>
      <c r="AC387" s="4">
        <v>611206.81999999995</v>
      </c>
      <c r="AD387" s="4"/>
      <c r="AE387" s="32"/>
      <c r="AF387" s="34" t="s">
        <v>68</v>
      </c>
      <c r="AG387" s="112" t="s">
        <v>68</v>
      </c>
      <c r="AH387" s="112" t="s">
        <v>68</v>
      </c>
      <c r="AI387" s="7" t="s">
        <v>68</v>
      </c>
      <c r="AJ387" s="109" t="s">
        <v>68</v>
      </c>
      <c r="AK387" s="33" t="s">
        <v>1261</v>
      </c>
      <c r="AL387" s="1">
        <v>1997003</v>
      </c>
      <c r="AM387" s="5">
        <v>43606</v>
      </c>
      <c r="AN387" s="1">
        <v>1997004</v>
      </c>
      <c r="AO387" s="5">
        <v>43606</v>
      </c>
      <c r="AP387" s="343">
        <v>2014045</v>
      </c>
      <c r="AQ387" s="5">
        <v>43661</v>
      </c>
      <c r="AR387" s="279">
        <f>150946.29+60378.52+60119.38</f>
        <v>271444.19</v>
      </c>
      <c r="AS387" s="35">
        <v>0</v>
      </c>
      <c r="AT387" s="1032">
        <v>554784.07999999996</v>
      </c>
      <c r="AU387" s="1033">
        <v>552463.77</v>
      </c>
      <c r="AV387" s="66" t="s">
        <v>74</v>
      </c>
      <c r="AW387" s="11"/>
      <c r="AX387" s="223" t="s">
        <v>68</v>
      </c>
      <c r="AY387" s="52" t="s">
        <v>68</v>
      </c>
      <c r="AZ387" s="324">
        <v>43659</v>
      </c>
      <c r="BA387" s="5">
        <v>43608</v>
      </c>
      <c r="BB387" s="5">
        <v>43677</v>
      </c>
      <c r="BC387" s="5">
        <v>43659</v>
      </c>
      <c r="BD387" s="324">
        <v>43661</v>
      </c>
      <c r="BE387" s="1615"/>
      <c r="BF387" s="325">
        <v>43608</v>
      </c>
      <c r="BG387" s="325">
        <v>43677</v>
      </c>
      <c r="BH387" s="325">
        <v>43659</v>
      </c>
      <c r="BI387" s="326">
        <v>601193.81000000006</v>
      </c>
      <c r="BJ387" s="1024">
        <v>43661</v>
      </c>
      <c r="BK387" s="1027"/>
      <c r="BL387" s="1027">
        <v>43605</v>
      </c>
      <c r="BM387" s="693" t="s">
        <v>74</v>
      </c>
      <c r="BN387" s="693" t="s">
        <v>74</v>
      </c>
      <c r="BO387" s="693"/>
      <c r="BP387" s="693"/>
      <c r="BQ387" s="693"/>
      <c r="BR387" s="693"/>
      <c r="BS387" s="325">
        <v>43659</v>
      </c>
      <c r="BT387" s="1027"/>
      <c r="BU387" s="913"/>
      <c r="BV387" s="913" t="s">
        <v>68</v>
      </c>
      <c r="BW387" s="13"/>
      <c r="BX387" s="13" t="s">
        <v>1262</v>
      </c>
      <c r="BY387" s="13"/>
      <c r="BZ387" s="13"/>
      <c r="CA387" s="13"/>
      <c r="CB387" s="1222" t="s">
        <v>2094</v>
      </c>
      <c r="CC387" s="38"/>
      <c r="CD387" s="526"/>
      <c r="CE387" s="526"/>
      <c r="CF387" s="526"/>
      <c r="CG387" s="526"/>
      <c r="CH387" s="526"/>
      <c r="CI387" s="526"/>
      <c r="CJ387" s="526"/>
      <c r="CK387" s="15"/>
    </row>
    <row r="388" spans="1:89" ht="99.75" hidden="1" customHeight="1">
      <c r="A388"/>
      <c r="B388" s="22"/>
      <c r="C388" s="22"/>
      <c r="D388" s="22"/>
      <c r="E388" s="911">
        <v>43709</v>
      </c>
      <c r="F388" s="911"/>
      <c r="G388" s="915">
        <v>44008</v>
      </c>
      <c r="H388" s="1746"/>
      <c r="I388" s="330">
        <v>43685</v>
      </c>
      <c r="J388" s="169">
        <v>2019</v>
      </c>
      <c r="K388" s="1421">
        <v>196.06</v>
      </c>
      <c r="L388" s="1421"/>
      <c r="M388" s="170" t="s">
        <v>77</v>
      </c>
      <c r="N388" s="178" t="s">
        <v>1263</v>
      </c>
      <c r="O388" s="172" t="s">
        <v>79</v>
      </c>
      <c r="P388" s="173" t="s">
        <v>1264</v>
      </c>
      <c r="Q388" s="173" t="s">
        <v>1975</v>
      </c>
      <c r="R388" s="174">
        <v>619003.23</v>
      </c>
      <c r="S388" s="590">
        <v>43606</v>
      </c>
      <c r="T388" s="176">
        <v>43608</v>
      </c>
      <c r="U388" s="177">
        <v>43677</v>
      </c>
      <c r="V388" s="105">
        <v>43614</v>
      </c>
      <c r="W388" s="178" t="s">
        <v>1259</v>
      </c>
      <c r="X388" s="170" t="s">
        <v>449</v>
      </c>
      <c r="Y388" s="611">
        <v>43593</v>
      </c>
      <c r="Z388" s="1372"/>
      <c r="AA388" s="33" t="s">
        <v>1265</v>
      </c>
      <c r="AB388" s="8">
        <v>43600</v>
      </c>
      <c r="AC388" s="4">
        <v>631010.96</v>
      </c>
      <c r="AD388" s="4"/>
      <c r="AE388" s="32"/>
      <c r="AF388" s="34" t="s">
        <v>68</v>
      </c>
      <c r="AG388" s="112" t="s">
        <v>68</v>
      </c>
      <c r="AH388" s="112" t="s">
        <v>68</v>
      </c>
      <c r="AI388" s="7" t="s">
        <v>68</v>
      </c>
      <c r="AJ388" s="109" t="s">
        <v>68</v>
      </c>
      <c r="AK388" s="33" t="s">
        <v>1261</v>
      </c>
      <c r="AL388" s="1">
        <v>1997001</v>
      </c>
      <c r="AM388" s="5">
        <v>43606</v>
      </c>
      <c r="AN388" s="1">
        <v>1997002</v>
      </c>
      <c r="AO388" s="5">
        <v>43606</v>
      </c>
      <c r="AP388" s="343">
        <v>2014047</v>
      </c>
      <c r="AQ388" s="5">
        <v>43661</v>
      </c>
      <c r="AR388" s="279">
        <f>154750.8+61900.32+61634.66</f>
        <v>278285.78000000003</v>
      </c>
      <c r="AS388" s="35">
        <v>0</v>
      </c>
      <c r="AT388" s="902">
        <v>569953.75</v>
      </c>
      <c r="AU388" s="891">
        <v>567567.53</v>
      </c>
      <c r="AV388" s="66" t="s">
        <v>74</v>
      </c>
      <c r="AW388" s="11"/>
      <c r="AX388" s="223" t="s">
        <v>68</v>
      </c>
      <c r="AY388" s="52" t="s">
        <v>68</v>
      </c>
      <c r="AZ388" s="324">
        <v>43659</v>
      </c>
      <c r="BA388" s="5">
        <v>43608</v>
      </c>
      <c r="BB388" s="5">
        <v>43677</v>
      </c>
      <c r="BC388" s="5">
        <v>43659</v>
      </c>
      <c r="BD388" s="324">
        <v>43661</v>
      </c>
      <c r="BE388" s="1615"/>
      <c r="BF388" s="5">
        <v>43608</v>
      </c>
      <c r="BG388" s="5">
        <v>43677</v>
      </c>
      <c r="BH388" s="5">
        <v>43659</v>
      </c>
      <c r="BI388" s="129">
        <v>616346.56999999995</v>
      </c>
      <c r="BJ388" s="1024">
        <v>43661</v>
      </c>
      <c r="BK388" s="1027"/>
      <c r="BL388" s="336">
        <v>43605</v>
      </c>
      <c r="BM388" s="693" t="s">
        <v>74</v>
      </c>
      <c r="BN388" s="693" t="s">
        <v>74</v>
      </c>
      <c r="BO388" s="693"/>
      <c r="BP388" s="693"/>
      <c r="BQ388" s="693"/>
      <c r="BR388" s="693"/>
      <c r="BS388" s="325">
        <v>43659</v>
      </c>
      <c r="BT388" s="1027"/>
      <c r="BU388" s="913"/>
      <c r="BV388" s="913" t="s">
        <v>68</v>
      </c>
      <c r="BW388" s="13"/>
      <c r="BX388" s="13" t="s">
        <v>1262</v>
      </c>
      <c r="BY388" s="13"/>
      <c r="BZ388" s="13"/>
      <c r="CA388" s="13"/>
      <c r="CB388" s="1222" t="s">
        <v>2094</v>
      </c>
      <c r="CC388" s="38"/>
      <c r="CD388" s="526"/>
      <c r="CE388" s="526"/>
      <c r="CF388" s="526"/>
      <c r="CG388" s="526"/>
      <c r="CH388" s="526"/>
      <c r="CI388" s="526"/>
      <c r="CJ388" s="526"/>
      <c r="CK388" s="15"/>
    </row>
    <row r="389" spans="1:89" ht="76.5" hidden="1" customHeight="1">
      <c r="A389"/>
      <c r="B389" s="22"/>
      <c r="C389" s="22"/>
      <c r="D389" s="22"/>
      <c r="E389" s="911">
        <v>43709</v>
      </c>
      <c r="F389" s="911"/>
      <c r="G389" s="915">
        <v>44013</v>
      </c>
      <c r="H389" s="1746"/>
      <c r="I389" s="330">
        <v>43647</v>
      </c>
      <c r="J389" s="169">
        <v>2019</v>
      </c>
      <c r="K389" s="1421">
        <v>196.07</v>
      </c>
      <c r="L389" s="1421"/>
      <c r="M389" s="170" t="s">
        <v>77</v>
      </c>
      <c r="N389" s="178" t="s">
        <v>1266</v>
      </c>
      <c r="O389" s="172" t="s">
        <v>251</v>
      </c>
      <c r="P389" s="173" t="s">
        <v>1267</v>
      </c>
      <c r="Q389" s="173" t="s">
        <v>4409</v>
      </c>
      <c r="R389" s="174">
        <v>949742.46</v>
      </c>
      <c r="S389" s="590">
        <v>43606</v>
      </c>
      <c r="T389" s="176">
        <v>43612</v>
      </c>
      <c r="U389" s="177">
        <v>43643</v>
      </c>
      <c r="V389" s="105">
        <v>43605</v>
      </c>
      <c r="W389" s="178" t="s">
        <v>1268</v>
      </c>
      <c r="X389" s="170" t="s">
        <v>3047</v>
      </c>
      <c r="Y389" s="611">
        <v>43598</v>
      </c>
      <c r="Z389" s="1372"/>
      <c r="AA389" s="33" t="s">
        <v>1269</v>
      </c>
      <c r="AB389" s="8">
        <v>43600</v>
      </c>
      <c r="AC389" s="4">
        <v>949742.46</v>
      </c>
      <c r="AD389" s="4"/>
      <c r="AE389" s="32"/>
      <c r="AF389" s="34" t="s">
        <v>68</v>
      </c>
      <c r="AG389" s="112" t="s">
        <v>68</v>
      </c>
      <c r="AH389" s="112" t="s">
        <v>68</v>
      </c>
      <c r="AI389" s="7" t="s">
        <v>68</v>
      </c>
      <c r="AJ389" s="109" t="s">
        <v>68</v>
      </c>
      <c r="AK389" s="33" t="s">
        <v>1270</v>
      </c>
      <c r="AL389" s="1" t="s">
        <v>1271</v>
      </c>
      <c r="AM389" s="5">
        <v>43606</v>
      </c>
      <c r="AN389" s="1" t="s">
        <v>1272</v>
      </c>
      <c r="AO389" s="5">
        <v>43606</v>
      </c>
      <c r="AP389" s="1" t="s">
        <v>1273</v>
      </c>
      <c r="AQ389" s="5">
        <v>43668</v>
      </c>
      <c r="AR389" s="279">
        <f>237435.62+94974.24+94974.24</f>
        <v>427384.1</v>
      </c>
      <c r="AS389" s="35">
        <v>0</v>
      </c>
      <c r="AT389" s="895">
        <v>949738.6</v>
      </c>
      <c r="AU389" s="891"/>
      <c r="AV389" s="246">
        <v>43612</v>
      </c>
      <c r="AW389" s="11">
        <v>43631</v>
      </c>
      <c r="AX389" s="223" t="s">
        <v>68</v>
      </c>
      <c r="AY389" s="52" t="s">
        <v>68</v>
      </c>
      <c r="AZ389" s="225">
        <v>43641</v>
      </c>
      <c r="BA389" s="58">
        <v>43612</v>
      </c>
      <c r="BB389" s="58">
        <v>43643</v>
      </c>
      <c r="BC389" s="59">
        <v>43638</v>
      </c>
      <c r="BD389" s="225">
        <v>43641</v>
      </c>
      <c r="BE389" s="1606"/>
      <c r="BF389" s="5">
        <v>43612</v>
      </c>
      <c r="BG389" s="5">
        <v>43643</v>
      </c>
      <c r="BH389" s="5">
        <v>43638</v>
      </c>
      <c r="BI389" s="36">
        <f>AS389+AT389</f>
        <v>949738.6</v>
      </c>
      <c r="BJ389" s="377">
        <v>43641</v>
      </c>
      <c r="BK389" s="1819"/>
      <c r="BL389" s="336">
        <v>43608</v>
      </c>
      <c r="BM389" s="693" t="s">
        <v>74</v>
      </c>
      <c r="BN389" s="693" t="s">
        <v>74</v>
      </c>
      <c r="BO389" s="1265"/>
      <c r="BP389" s="1265"/>
      <c r="BQ389" s="1265"/>
      <c r="BR389" s="1265"/>
      <c r="BS389" s="914">
        <v>43636</v>
      </c>
      <c r="BT389" s="336"/>
      <c r="BU389" s="336">
        <v>43632</v>
      </c>
      <c r="BV389" s="336" t="s">
        <v>68</v>
      </c>
      <c r="BW389" s="13"/>
      <c r="BX389" s="13"/>
      <c r="BY389" s="13"/>
      <c r="BZ389" s="13"/>
      <c r="CA389" s="13"/>
      <c r="CB389" s="1222" t="s">
        <v>2094</v>
      </c>
      <c r="CC389" s="38"/>
      <c r="CD389" s="526"/>
      <c r="CE389" s="526"/>
      <c r="CF389" s="526"/>
      <c r="CG389" s="526"/>
      <c r="CH389" s="526"/>
      <c r="CI389" s="526"/>
      <c r="CJ389" s="526"/>
      <c r="CK389" s="15"/>
    </row>
    <row r="390" spans="1:89" ht="74.25" hidden="1" customHeight="1">
      <c r="A390"/>
      <c r="B390" s="22"/>
      <c r="C390" s="1445">
        <v>44298</v>
      </c>
      <c r="D390" s="1445"/>
      <c r="E390" s="911">
        <v>43709</v>
      </c>
      <c r="F390" s="911"/>
      <c r="G390" s="915">
        <v>44011</v>
      </c>
      <c r="H390" s="1746"/>
      <c r="I390" s="330">
        <v>43685</v>
      </c>
      <c r="J390" s="169">
        <v>2019</v>
      </c>
      <c r="K390" s="1421">
        <v>196.08</v>
      </c>
      <c r="L390" s="1421"/>
      <c r="M390" s="170" t="s">
        <v>166</v>
      </c>
      <c r="N390" s="178" t="s">
        <v>1274</v>
      </c>
      <c r="O390" s="172" t="s">
        <v>79</v>
      </c>
      <c r="P390" s="173" t="s">
        <v>1275</v>
      </c>
      <c r="Q390" s="173" t="s">
        <v>4410</v>
      </c>
      <c r="R390" s="174">
        <v>643537.42000000004</v>
      </c>
      <c r="S390" s="590">
        <v>43606</v>
      </c>
      <c r="T390" s="176">
        <v>43614</v>
      </c>
      <c r="U390" s="177">
        <v>43675</v>
      </c>
      <c r="V390" s="105">
        <v>43605</v>
      </c>
      <c r="W390" s="178" t="s">
        <v>1268</v>
      </c>
      <c r="X390" s="170" t="s">
        <v>114</v>
      </c>
      <c r="Y390" s="1102" t="s">
        <v>68</v>
      </c>
      <c r="Z390" s="1381"/>
      <c r="AA390" s="33" t="s">
        <v>1276</v>
      </c>
      <c r="AB390" s="8">
        <v>43600</v>
      </c>
      <c r="AC390" s="4">
        <v>643537.42000000004</v>
      </c>
      <c r="AD390" s="4"/>
      <c r="AE390" s="32"/>
      <c r="AF390" s="34" t="s">
        <v>68</v>
      </c>
      <c r="AG390" s="112" t="s">
        <v>68</v>
      </c>
      <c r="AH390" s="112" t="s">
        <v>68</v>
      </c>
      <c r="AI390" s="7" t="s">
        <v>68</v>
      </c>
      <c r="AJ390" s="109" t="s">
        <v>68</v>
      </c>
      <c r="AK390" s="33" t="s">
        <v>1270</v>
      </c>
      <c r="AL390" s="2" t="s">
        <v>1277</v>
      </c>
      <c r="AM390" s="5">
        <v>43606</v>
      </c>
      <c r="AN390" s="2" t="s">
        <v>1278</v>
      </c>
      <c r="AO390" s="5">
        <v>43606</v>
      </c>
      <c r="AP390" s="2" t="s">
        <v>1279</v>
      </c>
      <c r="AQ390" s="5">
        <v>43668</v>
      </c>
      <c r="AR390" s="279">
        <f>160884.36+64353.74+64353.74</f>
        <v>289591.83999999997</v>
      </c>
      <c r="AS390" s="35">
        <v>0</v>
      </c>
      <c r="AT390" s="895">
        <v>707135.33</v>
      </c>
      <c r="AU390" s="891"/>
      <c r="AV390" s="30">
        <v>43614</v>
      </c>
      <c r="AW390" s="11">
        <v>43675</v>
      </c>
      <c r="AX390" s="223" t="s">
        <v>68</v>
      </c>
      <c r="AY390" s="52" t="s">
        <v>68</v>
      </c>
      <c r="AZ390" s="30">
        <v>43675</v>
      </c>
      <c r="BA390" s="5">
        <v>43614</v>
      </c>
      <c r="BB390" s="5">
        <v>43675</v>
      </c>
      <c r="BC390" s="11">
        <v>43673</v>
      </c>
      <c r="BD390" s="30">
        <v>43675</v>
      </c>
      <c r="BE390" s="309"/>
      <c r="BF390" s="5">
        <v>43614</v>
      </c>
      <c r="BG390" s="5">
        <v>43675</v>
      </c>
      <c r="BH390" s="5">
        <v>43673</v>
      </c>
      <c r="BI390" s="64">
        <f>AS390+AT390</f>
        <v>707135.33</v>
      </c>
      <c r="BJ390" s="377">
        <v>43675</v>
      </c>
      <c r="BK390" s="1819"/>
      <c r="BL390" s="1027">
        <v>43581</v>
      </c>
      <c r="BM390" s="693" t="s">
        <v>74</v>
      </c>
      <c r="BN390" s="693" t="s">
        <v>74</v>
      </c>
      <c r="BO390" s="1265"/>
      <c r="BP390" s="1265"/>
      <c r="BQ390" s="1265"/>
      <c r="BR390" s="1265"/>
      <c r="BS390" s="914">
        <v>43671</v>
      </c>
      <c r="BT390" s="336"/>
      <c r="BU390" s="336">
        <v>43633</v>
      </c>
      <c r="BV390" s="336">
        <v>43636</v>
      </c>
      <c r="BW390" s="13"/>
      <c r="BX390" s="13" t="s">
        <v>1280</v>
      </c>
      <c r="BY390" s="13"/>
      <c r="BZ390" s="13"/>
      <c r="CA390" s="13"/>
      <c r="CB390" s="1222" t="s">
        <v>2094</v>
      </c>
      <c r="CC390" s="38"/>
      <c r="CD390" s="526"/>
      <c r="CE390" s="526"/>
      <c r="CF390" s="526"/>
      <c r="CG390" s="526"/>
      <c r="CH390" s="526"/>
      <c r="CI390" s="526"/>
      <c r="CJ390" s="526"/>
      <c r="CK390" s="15"/>
    </row>
    <row r="391" spans="1:89" ht="82.5" hidden="1" customHeight="1">
      <c r="A391"/>
      <c r="B391" s="22"/>
      <c r="C391" s="1445">
        <v>44298</v>
      </c>
      <c r="D391" s="1445"/>
      <c r="E391" s="911">
        <v>43709</v>
      </c>
      <c r="F391" s="911"/>
      <c r="G391" s="915">
        <v>44008</v>
      </c>
      <c r="H391" s="1746"/>
      <c r="I391" s="330">
        <v>43838</v>
      </c>
      <c r="J391" s="169">
        <v>2019</v>
      </c>
      <c r="K391" s="1421">
        <v>196.09</v>
      </c>
      <c r="L391" s="1421"/>
      <c r="M391" s="170" t="s">
        <v>166</v>
      </c>
      <c r="N391" s="178" t="s">
        <v>1281</v>
      </c>
      <c r="O391" s="172" t="s">
        <v>79</v>
      </c>
      <c r="P391" s="173" t="s">
        <v>1282</v>
      </c>
      <c r="Q391" s="173" t="s">
        <v>1975</v>
      </c>
      <c r="R391" s="174">
        <v>413006.4</v>
      </c>
      <c r="S391" s="589">
        <v>43607</v>
      </c>
      <c r="T391" s="609">
        <v>43619</v>
      </c>
      <c r="U391" s="610">
        <v>43645</v>
      </c>
      <c r="V391" s="68">
        <v>43607</v>
      </c>
      <c r="W391" s="178" t="s">
        <v>1268</v>
      </c>
      <c r="X391" s="170" t="s">
        <v>709</v>
      </c>
      <c r="Y391" s="1102" t="s">
        <v>68</v>
      </c>
      <c r="Z391" s="1381"/>
      <c r="AA391" s="33" t="s">
        <v>1283</v>
      </c>
      <c r="AB391" s="8">
        <v>43600</v>
      </c>
      <c r="AC391" s="4">
        <v>1995780</v>
      </c>
      <c r="AD391" s="4"/>
      <c r="AE391" s="32"/>
      <c r="AF391" s="34" t="s">
        <v>68</v>
      </c>
      <c r="AG391" s="112" t="s">
        <v>68</v>
      </c>
      <c r="AH391" s="112" t="s">
        <v>68</v>
      </c>
      <c r="AI391" s="7" t="s">
        <v>68</v>
      </c>
      <c r="AJ391" s="109" t="s">
        <v>68</v>
      </c>
      <c r="AK391" s="33" t="s">
        <v>1270</v>
      </c>
      <c r="AL391" s="1" t="s">
        <v>68</v>
      </c>
      <c r="AM391" s="5"/>
      <c r="AN391" s="2" t="s">
        <v>1284</v>
      </c>
      <c r="AO391" s="5">
        <v>43607</v>
      </c>
      <c r="AP391" s="2" t="s">
        <v>1285</v>
      </c>
      <c r="AQ391" s="5">
        <v>43704</v>
      </c>
      <c r="AR391" s="279">
        <f>41300.64+41300.64</f>
        <v>82601.279999999999</v>
      </c>
      <c r="AS391" s="35">
        <v>0</v>
      </c>
      <c r="AT391" s="895">
        <v>413006.4</v>
      </c>
      <c r="AU391" s="891"/>
      <c r="AV391" s="66" t="s">
        <v>74</v>
      </c>
      <c r="AW391" s="11"/>
      <c r="AX391" s="223" t="s">
        <v>68</v>
      </c>
      <c r="AY391" s="52" t="s">
        <v>68</v>
      </c>
      <c r="AZ391" s="30">
        <v>43645</v>
      </c>
      <c r="BA391" s="5">
        <v>43619</v>
      </c>
      <c r="BB391" s="5">
        <v>43645</v>
      </c>
      <c r="BC391" s="11">
        <v>43644</v>
      </c>
      <c r="BD391" s="30">
        <v>43648</v>
      </c>
      <c r="BE391" s="309"/>
      <c r="BF391" s="5">
        <v>43619</v>
      </c>
      <c r="BG391" s="5">
        <v>43645</v>
      </c>
      <c r="BH391" s="5">
        <v>43644</v>
      </c>
      <c r="BI391" s="36">
        <f>AS391+AT391</f>
        <v>413006.4</v>
      </c>
      <c r="BJ391" s="62">
        <v>43648</v>
      </c>
      <c r="BK391" s="224"/>
      <c r="BL391" s="1027">
        <v>43676</v>
      </c>
      <c r="BM391" s="693" t="s">
        <v>74</v>
      </c>
      <c r="BN391" s="693" t="s">
        <v>74</v>
      </c>
      <c r="BO391" s="1265"/>
      <c r="BP391" s="1265"/>
      <c r="BQ391" s="1265"/>
      <c r="BR391" s="1265"/>
      <c r="BS391" s="914">
        <v>43641</v>
      </c>
      <c r="BT391" s="336"/>
      <c r="BU391" s="336" t="s">
        <v>68</v>
      </c>
      <c r="BV391" s="336" t="s">
        <v>68</v>
      </c>
      <c r="BW391" s="13"/>
      <c r="BX391" s="13" t="s">
        <v>1286</v>
      </c>
      <c r="BY391" s="13"/>
      <c r="BZ391" s="13"/>
      <c r="CA391" s="13"/>
      <c r="CB391" s="1222" t="s">
        <v>2094</v>
      </c>
      <c r="CC391" s="38"/>
      <c r="CD391" s="526"/>
      <c r="CE391" s="526"/>
      <c r="CF391" s="526"/>
      <c r="CG391" s="526"/>
      <c r="CH391" s="526"/>
      <c r="CI391" s="526"/>
      <c r="CJ391" s="526"/>
      <c r="CK391" s="15"/>
    </row>
    <row r="392" spans="1:89" ht="69" hidden="1" customHeight="1">
      <c r="A392"/>
      <c r="B392" s="22"/>
      <c r="C392" s="1445">
        <v>44298</v>
      </c>
      <c r="D392" s="1445"/>
      <c r="E392" s="911">
        <v>43709</v>
      </c>
      <c r="F392" s="911"/>
      <c r="G392" s="915">
        <v>44011</v>
      </c>
      <c r="H392" s="1746"/>
      <c r="I392" s="330">
        <v>43805</v>
      </c>
      <c r="J392" s="169">
        <v>2019</v>
      </c>
      <c r="K392" s="1421">
        <v>196.1</v>
      </c>
      <c r="L392" s="1421"/>
      <c r="M392" s="170" t="s">
        <v>166</v>
      </c>
      <c r="N392" s="178" t="s">
        <v>1287</v>
      </c>
      <c r="O392" s="172" t="s">
        <v>79</v>
      </c>
      <c r="P392" s="173" t="s">
        <v>1288</v>
      </c>
      <c r="Q392" s="173" t="s">
        <v>1975</v>
      </c>
      <c r="R392" s="174">
        <v>1649201.51</v>
      </c>
      <c r="S392" s="589">
        <v>43637</v>
      </c>
      <c r="T392" s="609">
        <v>43640</v>
      </c>
      <c r="U392" s="610">
        <v>43707</v>
      </c>
      <c r="V392" s="68">
        <v>43607</v>
      </c>
      <c r="W392" s="178" t="s">
        <v>1225</v>
      </c>
      <c r="X392" s="170" t="s">
        <v>449</v>
      </c>
      <c r="Y392" s="1102" t="s">
        <v>68</v>
      </c>
      <c r="Z392" s="1381"/>
      <c r="AA392" s="33" t="s">
        <v>1283</v>
      </c>
      <c r="AB392" s="8">
        <v>43600</v>
      </c>
      <c r="AC392" s="4">
        <v>1995780</v>
      </c>
      <c r="AD392" s="4"/>
      <c r="AE392" s="32"/>
      <c r="AF392" s="34" t="s">
        <v>68</v>
      </c>
      <c r="AG392" s="112" t="s">
        <v>68</v>
      </c>
      <c r="AH392" s="112" t="s">
        <v>68</v>
      </c>
      <c r="AI392" s="7" t="s">
        <v>68</v>
      </c>
      <c r="AJ392" s="109" t="s">
        <v>68</v>
      </c>
      <c r="AK392" s="33" t="s">
        <v>1289</v>
      </c>
      <c r="AL392" s="1" t="s">
        <v>68</v>
      </c>
      <c r="AM392" s="5"/>
      <c r="AN392" s="1">
        <v>199701</v>
      </c>
      <c r="AO392" s="5">
        <v>43640</v>
      </c>
      <c r="AP392" s="1">
        <v>199791</v>
      </c>
      <c r="AQ392" s="5">
        <v>43754</v>
      </c>
      <c r="AR392" s="279">
        <f>164920.15</f>
        <v>164920.15</v>
      </c>
      <c r="AS392" s="35">
        <v>0</v>
      </c>
      <c r="AT392" s="895">
        <v>1661297.6</v>
      </c>
      <c r="AU392" s="891"/>
      <c r="AV392" s="66" t="s">
        <v>74</v>
      </c>
      <c r="AW392" s="11"/>
      <c r="AX392" s="223" t="s">
        <v>68</v>
      </c>
      <c r="AY392" s="52" t="s">
        <v>68</v>
      </c>
      <c r="AZ392" s="30">
        <v>43768</v>
      </c>
      <c r="BA392" s="5">
        <v>43640</v>
      </c>
      <c r="BB392" s="5">
        <v>43784</v>
      </c>
      <c r="BC392" s="5">
        <v>43799</v>
      </c>
      <c r="BD392" s="30">
        <v>43769</v>
      </c>
      <c r="BE392" s="309"/>
      <c r="BF392" s="5">
        <v>43640</v>
      </c>
      <c r="BG392" s="5">
        <v>43784</v>
      </c>
      <c r="BH392" s="5">
        <v>43799</v>
      </c>
      <c r="BI392" s="36">
        <f>AS392+AT392</f>
        <v>1661297.6</v>
      </c>
      <c r="BJ392" s="62">
        <v>43770</v>
      </c>
      <c r="BK392" s="224"/>
      <c r="BL392" s="1027">
        <v>43636</v>
      </c>
      <c r="BM392" s="71">
        <v>43640</v>
      </c>
      <c r="BN392" s="71">
        <v>43640</v>
      </c>
      <c r="BO392" s="914"/>
      <c r="BP392" s="914"/>
      <c r="BQ392" s="914"/>
      <c r="BR392" s="914"/>
      <c r="BS392" s="914">
        <v>43766</v>
      </c>
      <c r="BT392" s="336"/>
      <c r="BU392" s="336">
        <v>43754</v>
      </c>
      <c r="BV392" s="336" t="s">
        <v>68</v>
      </c>
      <c r="BW392" s="13"/>
      <c r="BX392" s="13" t="s">
        <v>1280</v>
      </c>
      <c r="BY392" s="13"/>
      <c r="BZ392" s="13"/>
      <c r="CA392" s="13"/>
      <c r="CB392" s="1222" t="s">
        <v>2094</v>
      </c>
      <c r="CC392" s="38"/>
      <c r="CD392" s="526"/>
      <c r="CE392" s="526"/>
      <c r="CF392" s="526"/>
      <c r="CG392" s="526"/>
      <c r="CH392" s="526"/>
      <c r="CI392" s="526"/>
      <c r="CJ392" s="526"/>
      <c r="CK392" s="15"/>
    </row>
    <row r="393" spans="1:89" ht="90" hidden="1" customHeight="1">
      <c r="A393"/>
      <c r="B393" s="22"/>
      <c r="C393" s="1444">
        <v>44494</v>
      </c>
      <c r="D393" s="1444"/>
      <c r="E393" s="911">
        <v>44494</v>
      </c>
      <c r="F393" s="911"/>
      <c r="G393" s="915">
        <v>44011</v>
      </c>
      <c r="H393" s="1746"/>
      <c r="I393" s="330">
        <v>43891</v>
      </c>
      <c r="J393" s="169">
        <v>2019</v>
      </c>
      <c r="K393" s="1421">
        <v>196.11</v>
      </c>
      <c r="L393" s="1421"/>
      <c r="M393" s="170" t="s">
        <v>166</v>
      </c>
      <c r="N393" s="178" t="s">
        <v>1290</v>
      </c>
      <c r="O393" s="172" t="s">
        <v>79</v>
      </c>
      <c r="P393" s="173" t="s">
        <v>1291</v>
      </c>
      <c r="Q393" s="173" t="s">
        <v>4823</v>
      </c>
      <c r="R393" s="174">
        <v>643537.42000000004</v>
      </c>
      <c r="S393" s="589">
        <v>43705</v>
      </c>
      <c r="T393" s="609">
        <v>43710</v>
      </c>
      <c r="U393" s="610">
        <v>43785</v>
      </c>
      <c r="V393" s="68">
        <v>43704</v>
      </c>
      <c r="W393" s="178" t="s">
        <v>1292</v>
      </c>
      <c r="X393" s="170" t="s">
        <v>114</v>
      </c>
      <c r="Y393" s="1102" t="s">
        <v>68</v>
      </c>
      <c r="Z393" s="1381"/>
      <c r="AA393" s="241" t="s">
        <v>1293</v>
      </c>
      <c r="AB393" s="8">
        <v>43600</v>
      </c>
      <c r="AC393" s="4">
        <v>643537.42000000004</v>
      </c>
      <c r="AD393" s="4"/>
      <c r="AE393" s="32"/>
      <c r="AF393" s="34" t="s">
        <v>68</v>
      </c>
      <c r="AG393" s="112" t="s">
        <v>68</v>
      </c>
      <c r="AH393" s="112" t="s">
        <v>68</v>
      </c>
      <c r="AI393" s="7" t="s">
        <v>68</v>
      </c>
      <c r="AJ393" s="109" t="s">
        <v>68</v>
      </c>
      <c r="AK393" s="33" t="s">
        <v>1294</v>
      </c>
      <c r="AL393" s="1">
        <v>3563</v>
      </c>
      <c r="AM393" s="5">
        <v>43705</v>
      </c>
      <c r="AN393" s="1">
        <v>3565</v>
      </c>
      <c r="AO393" s="5">
        <v>43705</v>
      </c>
      <c r="AP393" s="242" t="s">
        <v>2865</v>
      </c>
      <c r="AQ393" s="5">
        <v>43958</v>
      </c>
      <c r="AR393" s="279">
        <f>160884.36+64353.74</f>
        <v>225238.09999999998</v>
      </c>
      <c r="AS393" s="35">
        <v>0</v>
      </c>
      <c r="AT393" s="895">
        <v>643537.42000000004</v>
      </c>
      <c r="AU393" s="891"/>
      <c r="AV393" s="30">
        <v>43710</v>
      </c>
      <c r="AW393" s="11">
        <v>43771</v>
      </c>
      <c r="AX393" s="223" t="s">
        <v>68</v>
      </c>
      <c r="AY393" s="52" t="s">
        <v>68</v>
      </c>
      <c r="AZ393" s="225">
        <v>43771</v>
      </c>
      <c r="BA393" s="5">
        <v>43710</v>
      </c>
      <c r="BB393" s="5">
        <v>47438</v>
      </c>
      <c r="BC393" s="11">
        <v>43769</v>
      </c>
      <c r="BD393" s="30">
        <v>43773</v>
      </c>
      <c r="BE393" s="309"/>
      <c r="BF393" s="5">
        <v>43710</v>
      </c>
      <c r="BG393" s="5">
        <v>43785</v>
      </c>
      <c r="BH393" s="5">
        <v>43769</v>
      </c>
      <c r="BI393" s="36">
        <v>641473.49</v>
      </c>
      <c r="BJ393" s="62">
        <v>43773</v>
      </c>
      <c r="BK393" s="224"/>
      <c r="BL393" s="1027">
        <v>43706</v>
      </c>
      <c r="BM393" s="71" t="s">
        <v>3051</v>
      </c>
      <c r="BN393" s="693" t="s">
        <v>74</v>
      </c>
      <c r="BO393" s="1265"/>
      <c r="BP393" s="1265"/>
      <c r="BQ393" s="1265"/>
      <c r="BR393" s="1265"/>
      <c r="BS393" s="914">
        <v>43767</v>
      </c>
      <c r="BT393" s="336"/>
      <c r="BU393" s="694" t="s">
        <v>68</v>
      </c>
      <c r="BV393" s="694" t="s">
        <v>68</v>
      </c>
      <c r="BW393" s="13"/>
      <c r="BX393" s="13"/>
      <c r="BY393" s="13"/>
      <c r="BZ393" s="13"/>
      <c r="CA393" s="13"/>
      <c r="CB393" s="1222" t="s">
        <v>2094</v>
      </c>
      <c r="CC393" s="38"/>
      <c r="CD393" s="526"/>
      <c r="CE393" s="526"/>
      <c r="CF393" s="526"/>
      <c r="CG393" s="526"/>
      <c r="CH393" s="526"/>
      <c r="CI393" s="526"/>
      <c r="CJ393" s="526"/>
      <c r="CK393" s="15"/>
    </row>
    <row r="394" spans="1:89" s="1050" customFormat="1" ht="34.5" hidden="1" customHeight="1">
      <c r="B394" s="1051"/>
      <c r="C394" s="1051"/>
      <c r="D394" s="1051"/>
      <c r="E394" s="1052"/>
      <c r="F394" s="1052"/>
      <c r="G394" s="553"/>
      <c r="H394" s="620"/>
      <c r="I394" s="620"/>
      <c r="J394" s="1053">
        <v>2019</v>
      </c>
      <c r="K394" s="1420">
        <v>196.12</v>
      </c>
      <c r="L394" s="1420"/>
      <c r="M394" s="1054"/>
      <c r="N394" s="1055" t="s">
        <v>1296</v>
      </c>
      <c r="O394" s="790" t="s">
        <v>251</v>
      </c>
      <c r="P394" s="1056"/>
      <c r="Q394" s="1056"/>
      <c r="R394" s="1057"/>
      <c r="S394" s="1058"/>
      <c r="T394" s="1059"/>
      <c r="U394" s="1060"/>
      <c r="V394" s="1061"/>
      <c r="W394" s="1055"/>
      <c r="X394" s="1054"/>
      <c r="Y394" s="1062"/>
      <c r="Z394" s="1377"/>
      <c r="AA394" s="308"/>
      <c r="AB394" s="1063"/>
      <c r="AC394" s="1064"/>
      <c r="AD394" s="1064"/>
      <c r="AE394" s="1065"/>
      <c r="AF394" s="1066" t="s">
        <v>68</v>
      </c>
      <c r="AG394" s="1067" t="s">
        <v>68</v>
      </c>
      <c r="AH394" s="1067" t="s">
        <v>68</v>
      </c>
      <c r="AI394" s="1068" t="s">
        <v>68</v>
      </c>
      <c r="AJ394" s="1069" t="s">
        <v>68</v>
      </c>
      <c r="AK394" s="308"/>
      <c r="AL394" s="1070"/>
      <c r="AM394" s="1071"/>
      <c r="AN394" s="1070"/>
      <c r="AO394" s="1071"/>
      <c r="AP394" s="1070"/>
      <c r="AQ394" s="1071"/>
      <c r="AR394" s="1072"/>
      <c r="AS394" s="1073">
        <v>0</v>
      </c>
      <c r="AT394" s="1074"/>
      <c r="AU394" s="1075"/>
      <c r="AV394" s="1076"/>
      <c r="AW394" s="1077"/>
      <c r="AX394" s="1078"/>
      <c r="AY394" s="1079"/>
      <c r="AZ394" s="1076"/>
      <c r="BA394" s="1071"/>
      <c r="BB394" s="1071"/>
      <c r="BC394" s="1077"/>
      <c r="BD394" s="1076"/>
      <c r="BE394" s="1608"/>
      <c r="BF394" s="1071"/>
      <c r="BG394" s="1071"/>
      <c r="BH394" s="1071"/>
      <c r="BI394" s="1081">
        <f>AS394+AT394</f>
        <v>0</v>
      </c>
      <c r="BJ394" s="1082"/>
      <c r="BK394" s="1816"/>
      <c r="BL394" s="1470"/>
      <c r="BM394" s="1471"/>
      <c r="BN394" s="1471"/>
      <c r="BO394" s="1487"/>
      <c r="BP394" s="1487"/>
      <c r="BQ394" s="1487"/>
      <c r="BR394" s="1487"/>
      <c r="BS394" s="1487"/>
      <c r="BT394" s="1470"/>
      <c r="BU394" s="1470"/>
      <c r="BV394" s="1470" t="s">
        <v>68</v>
      </c>
      <c r="BW394" s="1082"/>
      <c r="BX394" s="1082"/>
      <c r="BY394" s="1082"/>
      <c r="BZ394" s="1082"/>
      <c r="CA394" s="1082"/>
      <c r="CB394" s="1486" t="s">
        <v>2094</v>
      </c>
      <c r="CC394" s="1085"/>
      <c r="CD394" s="789"/>
      <c r="CE394" s="789"/>
      <c r="CF394" s="789"/>
      <c r="CG394" s="789"/>
      <c r="CH394" s="789"/>
      <c r="CI394" s="789"/>
      <c r="CJ394" s="789"/>
      <c r="CK394" s="1086"/>
    </row>
    <row r="395" spans="1:89" ht="72" hidden="1" customHeight="1">
      <c r="A395"/>
      <c r="B395" s="22"/>
      <c r="C395" s="22"/>
      <c r="D395" s="22"/>
      <c r="E395" s="911">
        <v>43709</v>
      </c>
      <c r="F395" s="911"/>
      <c r="G395" s="915">
        <v>44013</v>
      </c>
      <c r="H395" s="1746"/>
      <c r="I395" s="330">
        <v>43647</v>
      </c>
      <c r="J395" s="169">
        <v>2019</v>
      </c>
      <c r="K395" s="1421">
        <v>196.13</v>
      </c>
      <c r="L395" s="1421"/>
      <c r="M395" s="170" t="s">
        <v>77</v>
      </c>
      <c r="N395" s="178" t="s">
        <v>1297</v>
      </c>
      <c r="O395" s="172" t="s">
        <v>79</v>
      </c>
      <c r="P395" s="173" t="s">
        <v>1298</v>
      </c>
      <c r="Q395" s="173" t="s">
        <v>2538</v>
      </c>
      <c r="R395" s="174">
        <v>75313.95</v>
      </c>
      <c r="S395" s="590">
        <v>43626</v>
      </c>
      <c r="T395" s="176">
        <v>43627</v>
      </c>
      <c r="U395" s="177">
        <v>43637</v>
      </c>
      <c r="V395" s="105">
        <v>43608</v>
      </c>
      <c r="W395" s="178" t="s">
        <v>1225</v>
      </c>
      <c r="X395" s="170" t="s">
        <v>3047</v>
      </c>
      <c r="Y395" s="611">
        <v>43623</v>
      </c>
      <c r="Z395" s="1372"/>
      <c r="AA395" s="33" t="s">
        <v>1299</v>
      </c>
      <c r="AB395" s="8">
        <v>43600</v>
      </c>
      <c r="AC395" s="4">
        <v>75407.14</v>
      </c>
      <c r="AD395" s="4"/>
      <c r="AE395" s="32"/>
      <c r="AF395" s="34" t="s">
        <v>68</v>
      </c>
      <c r="AG395" s="112" t="s">
        <v>68</v>
      </c>
      <c r="AH395" s="112" t="s">
        <v>68</v>
      </c>
      <c r="AI395" s="7" t="s">
        <v>68</v>
      </c>
      <c r="AJ395" s="109" t="s">
        <v>68</v>
      </c>
      <c r="AK395" s="33" t="s">
        <v>1289</v>
      </c>
      <c r="AL395" s="1" t="s">
        <v>68</v>
      </c>
      <c r="AM395" s="5"/>
      <c r="AN395" s="1">
        <v>1908484</v>
      </c>
      <c r="AO395" s="5">
        <v>43627</v>
      </c>
      <c r="AP395" s="1">
        <v>19978790</v>
      </c>
      <c r="AQ395" s="5">
        <v>43637</v>
      </c>
      <c r="AR395" s="279">
        <f>7531.39*2</f>
        <v>15062.78</v>
      </c>
      <c r="AS395" s="35">
        <v>0</v>
      </c>
      <c r="AT395" s="895">
        <v>74990.720000000001</v>
      </c>
      <c r="AU395" s="895">
        <v>74990.720000000001</v>
      </c>
      <c r="AV395" s="66" t="s">
        <v>74</v>
      </c>
      <c r="AW395" s="11"/>
      <c r="AX395" s="223" t="s">
        <v>68</v>
      </c>
      <c r="AY395" s="52" t="s">
        <v>68</v>
      </c>
      <c r="AZ395" s="324">
        <v>43640</v>
      </c>
      <c r="BA395" s="5">
        <v>43627</v>
      </c>
      <c r="BB395" s="5">
        <v>43637</v>
      </c>
      <c r="BC395" s="11">
        <v>43637</v>
      </c>
      <c r="BD395" s="324">
        <v>43641</v>
      </c>
      <c r="BE395" s="1615"/>
      <c r="BF395" s="5">
        <v>43627</v>
      </c>
      <c r="BG395" s="5">
        <v>43637</v>
      </c>
      <c r="BH395" s="5">
        <v>43637</v>
      </c>
      <c r="BI395" s="36">
        <f>AS395+AT395</f>
        <v>74990.720000000001</v>
      </c>
      <c r="BJ395" s="1024">
        <v>43642</v>
      </c>
      <c r="BK395" s="1027"/>
      <c r="BL395" s="1027">
        <v>43613</v>
      </c>
      <c r="BM395" s="71">
        <v>43626</v>
      </c>
      <c r="BN395" s="71">
        <v>43626</v>
      </c>
      <c r="BO395" s="914"/>
      <c r="BP395" s="914"/>
      <c r="BQ395" s="914"/>
      <c r="BR395" s="914"/>
      <c r="BS395" s="914">
        <v>43640</v>
      </c>
      <c r="BT395" s="336"/>
      <c r="BU395" s="336" t="s">
        <v>68</v>
      </c>
      <c r="BV395" s="336" t="s">
        <v>68</v>
      </c>
      <c r="BW395" s="13"/>
      <c r="BX395" s="13"/>
      <c r="BY395" s="13"/>
      <c r="BZ395" s="13"/>
      <c r="CA395" s="13"/>
      <c r="CB395" s="1222" t="s">
        <v>2094</v>
      </c>
      <c r="CC395" s="38"/>
      <c r="CD395" s="526"/>
      <c r="CE395" s="526"/>
      <c r="CF395" s="526"/>
      <c r="CG395" s="526"/>
      <c r="CH395" s="526"/>
      <c r="CI395" s="526"/>
      <c r="CJ395" s="526"/>
      <c r="CK395" s="15"/>
    </row>
    <row r="396" spans="1:89" ht="78.75" hidden="1" customHeight="1">
      <c r="A396"/>
      <c r="B396" s="22"/>
      <c r="C396" s="22"/>
      <c r="D396" s="22"/>
      <c r="E396" s="911">
        <v>43709</v>
      </c>
      <c r="F396" s="911"/>
      <c r="G396" s="915">
        <v>44008</v>
      </c>
      <c r="H396" s="1746"/>
      <c r="I396" s="330">
        <v>43714</v>
      </c>
      <c r="J396" s="169">
        <v>2019</v>
      </c>
      <c r="K396" s="1421">
        <v>196.14</v>
      </c>
      <c r="L396" s="1421"/>
      <c r="M396" s="170" t="s">
        <v>77</v>
      </c>
      <c r="N396" s="178" t="s">
        <v>1300</v>
      </c>
      <c r="O396" s="172" t="s">
        <v>79</v>
      </c>
      <c r="P396" s="173" t="s">
        <v>1301</v>
      </c>
      <c r="Q396" s="173" t="s">
        <v>2538</v>
      </c>
      <c r="R396" s="594">
        <v>179219.86</v>
      </c>
      <c r="S396" s="590">
        <v>43670</v>
      </c>
      <c r="T396" s="176">
        <v>43671</v>
      </c>
      <c r="U396" s="177">
        <v>43687</v>
      </c>
      <c r="V396" s="105">
        <v>43669</v>
      </c>
      <c r="W396" s="178" t="s">
        <v>1302</v>
      </c>
      <c r="X396" s="170" t="s">
        <v>3047</v>
      </c>
      <c r="Y396" s="611">
        <v>43684</v>
      </c>
      <c r="Z396" s="1372"/>
      <c r="AA396" s="33" t="s">
        <v>1303</v>
      </c>
      <c r="AB396" s="8">
        <v>43668</v>
      </c>
      <c r="AC396" s="4">
        <v>179992.76</v>
      </c>
      <c r="AD396" s="4"/>
      <c r="AE396" s="32"/>
      <c r="AF396" s="34" t="s">
        <v>68</v>
      </c>
      <c r="AG396" s="112" t="s">
        <v>68</v>
      </c>
      <c r="AH396" s="112" t="s">
        <v>68</v>
      </c>
      <c r="AI396" s="7" t="s">
        <v>68</v>
      </c>
      <c r="AJ396" s="109" t="s">
        <v>68</v>
      </c>
      <c r="AK396" s="33" t="s">
        <v>1289</v>
      </c>
      <c r="AL396" s="1" t="s">
        <v>68</v>
      </c>
      <c r="AM396" s="5"/>
      <c r="AN396" s="218" t="s">
        <v>74</v>
      </c>
      <c r="AO396" s="5"/>
      <c r="AP396" s="1">
        <v>19070</v>
      </c>
      <c r="AQ396" s="5">
        <v>43696</v>
      </c>
      <c r="AR396" s="642">
        <f>17921.98</f>
        <v>17921.98</v>
      </c>
      <c r="AS396" s="35">
        <v>0</v>
      </c>
      <c r="AT396" s="895">
        <v>185760.77</v>
      </c>
      <c r="AU396" s="891"/>
      <c r="AV396" s="246">
        <v>43671</v>
      </c>
      <c r="AW396" s="11">
        <v>43686</v>
      </c>
      <c r="AX396" s="223" t="s">
        <v>68</v>
      </c>
      <c r="AY396" s="52" t="s">
        <v>68</v>
      </c>
      <c r="AZ396" s="30">
        <v>43689</v>
      </c>
      <c r="BA396" s="5">
        <v>43671</v>
      </c>
      <c r="BB396" s="5">
        <v>43687</v>
      </c>
      <c r="BC396" s="5">
        <v>43687</v>
      </c>
      <c r="BD396" s="30">
        <v>43690</v>
      </c>
      <c r="BE396" s="309"/>
      <c r="BF396" s="5">
        <v>43671</v>
      </c>
      <c r="BG396" s="5">
        <v>43687</v>
      </c>
      <c r="BH396" s="5">
        <v>43687</v>
      </c>
      <c r="BI396" s="36">
        <f>AS396+AT396</f>
        <v>185760.77</v>
      </c>
      <c r="BJ396" s="62">
        <v>43691</v>
      </c>
      <c r="BK396" s="224"/>
      <c r="BL396" s="1027">
        <v>43669</v>
      </c>
      <c r="BM396" s="71">
        <v>43671</v>
      </c>
      <c r="BN396" s="71">
        <v>43671</v>
      </c>
      <c r="BO396" s="914"/>
      <c r="BP396" s="914"/>
      <c r="BQ396" s="914"/>
      <c r="BR396" s="914"/>
      <c r="BS396" s="914">
        <v>43689</v>
      </c>
      <c r="BT396" s="336"/>
      <c r="BU396" s="336">
        <v>43682</v>
      </c>
      <c r="BV396" s="694" t="s">
        <v>68</v>
      </c>
      <c r="BW396" s="13"/>
      <c r="BX396" s="13"/>
      <c r="BY396" s="13"/>
      <c r="BZ396" s="13"/>
      <c r="CA396" s="13"/>
      <c r="CB396" s="1222" t="s">
        <v>2094</v>
      </c>
      <c r="CC396" s="38"/>
      <c r="CD396" s="526"/>
      <c r="CE396" s="526"/>
      <c r="CF396" s="526"/>
      <c r="CG396" s="526"/>
      <c r="CH396" s="526"/>
      <c r="CI396" s="526"/>
      <c r="CJ396" s="526"/>
      <c r="CK396" s="15"/>
    </row>
    <row r="397" spans="1:89" ht="83.25" hidden="1" customHeight="1">
      <c r="A397"/>
      <c r="B397" s="22"/>
      <c r="C397" s="22"/>
      <c r="D397" s="22"/>
      <c r="E397" s="911">
        <v>43466</v>
      </c>
      <c r="F397" s="911"/>
      <c r="G397" s="915">
        <v>44008</v>
      </c>
      <c r="H397" s="1746"/>
      <c r="I397" s="330">
        <v>43777</v>
      </c>
      <c r="J397" s="169">
        <v>2019</v>
      </c>
      <c r="K397" s="1421">
        <v>196.15</v>
      </c>
      <c r="L397" s="1421"/>
      <c r="M397" s="170" t="s">
        <v>77</v>
      </c>
      <c r="N397" s="178" t="s">
        <v>1304</v>
      </c>
      <c r="O397" s="172" t="s">
        <v>79</v>
      </c>
      <c r="P397" s="173" t="s">
        <v>1305</v>
      </c>
      <c r="Q397" s="173" t="s">
        <v>4409</v>
      </c>
      <c r="R397" s="174">
        <v>77778.12</v>
      </c>
      <c r="S397" s="590">
        <v>43694</v>
      </c>
      <c r="T397" s="176">
        <v>43703</v>
      </c>
      <c r="U397" s="177">
        <v>43742</v>
      </c>
      <c r="V397" s="105">
        <v>43693</v>
      </c>
      <c r="W397" s="178" t="s">
        <v>1306</v>
      </c>
      <c r="X397" s="170" t="s">
        <v>3047</v>
      </c>
      <c r="Y397" s="608">
        <v>43684</v>
      </c>
      <c r="Z397" s="1373"/>
      <c r="AA397" s="33" t="s">
        <v>1307</v>
      </c>
      <c r="AB397" s="8">
        <v>43668</v>
      </c>
      <c r="AC397" s="4">
        <v>77778.12</v>
      </c>
      <c r="AD397" s="4"/>
      <c r="AE397" s="32"/>
      <c r="AF397" s="34" t="s">
        <v>68</v>
      </c>
      <c r="AG397" s="112" t="s">
        <v>68</v>
      </c>
      <c r="AH397" s="112" t="s">
        <v>68</v>
      </c>
      <c r="AI397" s="7" t="s">
        <v>68</v>
      </c>
      <c r="AJ397" s="109" t="s">
        <v>68</v>
      </c>
      <c r="AK397" s="33" t="s">
        <v>1308</v>
      </c>
      <c r="AL397" s="1">
        <v>2019466</v>
      </c>
      <c r="AM397" s="5">
        <v>43693</v>
      </c>
      <c r="AN397" s="2" t="s">
        <v>1309</v>
      </c>
      <c r="AO397" s="5">
        <v>43694</v>
      </c>
      <c r="AP397" s="2" t="s">
        <v>1309</v>
      </c>
      <c r="AQ397" s="5">
        <v>43694</v>
      </c>
      <c r="AR397" s="279">
        <f>19444.53+7777.81+7777.81</f>
        <v>35000.15</v>
      </c>
      <c r="AS397" s="35">
        <v>0</v>
      </c>
      <c r="AT397" s="895">
        <v>74815.27</v>
      </c>
      <c r="AU397" s="891"/>
      <c r="AV397" s="66" t="s">
        <v>74</v>
      </c>
      <c r="AW397" s="11"/>
      <c r="AX397" s="223" t="s">
        <v>68</v>
      </c>
      <c r="AY397" s="52" t="s">
        <v>68</v>
      </c>
      <c r="AZ397" s="30">
        <v>43742</v>
      </c>
      <c r="BA397" s="5">
        <v>43703</v>
      </c>
      <c r="BB397" s="5">
        <v>43742</v>
      </c>
      <c r="BC397" s="11">
        <v>43740</v>
      </c>
      <c r="BD397" s="30">
        <v>43745</v>
      </c>
      <c r="BE397" s="309"/>
      <c r="BF397" s="5">
        <v>43703</v>
      </c>
      <c r="BG397" s="5">
        <v>43742</v>
      </c>
      <c r="BH397" s="5">
        <v>43740</v>
      </c>
      <c r="BI397" s="36">
        <v>74815.27</v>
      </c>
      <c r="BJ397" s="62">
        <v>43746</v>
      </c>
      <c r="BK397" s="224"/>
      <c r="BL397" s="336">
        <v>43693</v>
      </c>
      <c r="BM397" s="71">
        <v>43703</v>
      </c>
      <c r="BN397" s="71">
        <v>43703</v>
      </c>
      <c r="BO397" s="914"/>
      <c r="BP397" s="914"/>
      <c r="BQ397" s="914"/>
      <c r="BR397" s="914"/>
      <c r="BS397" s="914">
        <v>43711</v>
      </c>
      <c r="BT397" s="336"/>
      <c r="BU397" s="336">
        <v>43732</v>
      </c>
      <c r="BV397" s="694" t="s">
        <v>68</v>
      </c>
      <c r="BW397" s="13"/>
      <c r="BX397" s="13"/>
      <c r="BY397" s="13"/>
      <c r="BZ397" s="13"/>
      <c r="CA397" s="13"/>
      <c r="CB397" s="1222" t="s">
        <v>2094</v>
      </c>
      <c r="CC397" s="38"/>
      <c r="CD397" s="526"/>
      <c r="CE397" s="526"/>
      <c r="CF397" s="526"/>
      <c r="CG397" s="526"/>
      <c r="CH397" s="526"/>
      <c r="CI397" s="526"/>
      <c r="CJ397" s="526"/>
      <c r="CK397" s="15"/>
    </row>
    <row r="398" spans="1:89" ht="92.25" hidden="1" customHeight="1">
      <c r="A398" s="1029"/>
      <c r="B398" s="22"/>
      <c r="C398" s="22"/>
      <c r="D398" s="22"/>
      <c r="E398" s="911">
        <v>43466</v>
      </c>
      <c r="F398" s="911"/>
      <c r="G398" s="915">
        <v>44011</v>
      </c>
      <c r="H398" s="1746"/>
      <c r="I398" s="330">
        <v>43777</v>
      </c>
      <c r="J398" s="169">
        <v>2019</v>
      </c>
      <c r="K398" s="1421">
        <v>196.16</v>
      </c>
      <c r="L398" s="1421"/>
      <c r="M398" s="170" t="s">
        <v>77</v>
      </c>
      <c r="N398" s="178" t="s">
        <v>1310</v>
      </c>
      <c r="O398" s="172" t="s">
        <v>79</v>
      </c>
      <c r="P398" s="173" t="s">
        <v>1311</v>
      </c>
      <c r="Q398" s="173" t="s">
        <v>4409</v>
      </c>
      <c r="R398" s="174">
        <v>108744.95</v>
      </c>
      <c r="S398" s="590">
        <v>43694</v>
      </c>
      <c r="T398" s="176">
        <v>43703</v>
      </c>
      <c r="U398" s="177">
        <v>43742</v>
      </c>
      <c r="V398" s="105">
        <v>43693</v>
      </c>
      <c r="W398" s="178" t="s">
        <v>1312</v>
      </c>
      <c r="X398" s="170" t="s">
        <v>3047</v>
      </c>
      <c r="Y398" s="608">
        <v>43684</v>
      </c>
      <c r="Z398" s="1373"/>
      <c r="AA398" s="33" t="s">
        <v>1313</v>
      </c>
      <c r="AB398" s="8">
        <v>43668</v>
      </c>
      <c r="AC398" s="4">
        <v>108744.95</v>
      </c>
      <c r="AD398" s="4"/>
      <c r="AE398" s="32"/>
      <c r="AF398" s="34" t="s">
        <v>68</v>
      </c>
      <c r="AG398" s="112" t="s">
        <v>68</v>
      </c>
      <c r="AH398" s="112" t="s">
        <v>68</v>
      </c>
      <c r="AI398" s="7" t="s">
        <v>68</v>
      </c>
      <c r="AJ398" s="109" t="s">
        <v>68</v>
      </c>
      <c r="AK398" s="978" t="s">
        <v>1314</v>
      </c>
      <c r="AL398" s="1">
        <v>2019467</v>
      </c>
      <c r="AM398" s="5">
        <v>43693</v>
      </c>
      <c r="AN398" s="2" t="s">
        <v>1315</v>
      </c>
      <c r="AO398" s="5">
        <v>43694</v>
      </c>
      <c r="AP398" s="2" t="s">
        <v>1316</v>
      </c>
      <c r="AQ398" s="5">
        <v>43742</v>
      </c>
      <c r="AR398" s="279">
        <f>27186.24+10874.49+10874.49</f>
        <v>48935.22</v>
      </c>
      <c r="AS398" s="35">
        <v>0</v>
      </c>
      <c r="AT398" s="895">
        <v>131515.03</v>
      </c>
      <c r="AU398" s="891"/>
      <c r="AV398" s="66" t="s">
        <v>74</v>
      </c>
      <c r="AW398" s="11"/>
      <c r="AX398" s="223" t="s">
        <v>68</v>
      </c>
      <c r="AY398" s="52" t="s">
        <v>68</v>
      </c>
      <c r="AZ398" s="30">
        <v>43742</v>
      </c>
      <c r="BA398" s="5">
        <v>43703</v>
      </c>
      <c r="BB398" s="5">
        <v>43742</v>
      </c>
      <c r="BC398" s="5">
        <v>43740</v>
      </c>
      <c r="BD398" s="30">
        <v>43745</v>
      </c>
      <c r="BE398" s="309"/>
      <c r="BF398" s="5">
        <v>43703</v>
      </c>
      <c r="BG398" s="5">
        <v>43742</v>
      </c>
      <c r="BH398" s="5">
        <v>43740</v>
      </c>
      <c r="BI398" s="36">
        <f t="shared" ref="BI398:BI403" si="11">AS398+AT398</f>
        <v>131515.03</v>
      </c>
      <c r="BJ398" s="62">
        <v>43746</v>
      </c>
      <c r="BK398" s="224"/>
      <c r="BL398" s="1027">
        <v>43693</v>
      </c>
      <c r="BM398" s="71">
        <v>43703</v>
      </c>
      <c r="BN398" s="71">
        <v>43703</v>
      </c>
      <c r="BO398" s="336"/>
      <c r="BP398" s="336"/>
      <c r="BQ398" s="336"/>
      <c r="BR398" s="914"/>
      <c r="BS398" s="1100" t="s">
        <v>74</v>
      </c>
      <c r="BT398" s="1100"/>
      <c r="BU398" s="336">
        <v>43726</v>
      </c>
      <c r="BV398" s="694" t="s">
        <v>68</v>
      </c>
      <c r="BW398" s="13"/>
      <c r="BX398" s="13"/>
      <c r="BY398" s="13"/>
      <c r="BZ398" s="13"/>
      <c r="CA398" s="13"/>
      <c r="CB398" s="1222" t="s">
        <v>2094</v>
      </c>
      <c r="CC398" s="38"/>
      <c r="CD398" s="526"/>
      <c r="CE398" s="526"/>
      <c r="CF398" s="526"/>
      <c r="CG398" s="526"/>
      <c r="CH398" s="526"/>
      <c r="CI398" s="526"/>
      <c r="CJ398" s="526"/>
      <c r="CK398" s="15"/>
    </row>
    <row r="399" spans="1:89" ht="96" hidden="1" customHeight="1">
      <c r="A399"/>
      <c r="B399" s="22"/>
      <c r="C399" s="22"/>
      <c r="D399" s="22"/>
      <c r="E399" s="911">
        <v>44075</v>
      </c>
      <c r="F399" s="911"/>
      <c r="G399" s="915">
        <v>44011</v>
      </c>
      <c r="H399" s="1746"/>
      <c r="I399" s="330">
        <v>43837</v>
      </c>
      <c r="J399" s="169">
        <v>2019</v>
      </c>
      <c r="K399" s="1421">
        <v>196.17</v>
      </c>
      <c r="L399" s="1421"/>
      <c r="M399" s="170" t="s">
        <v>77</v>
      </c>
      <c r="N399" s="178" t="s">
        <v>1317</v>
      </c>
      <c r="O399" s="172" t="s">
        <v>79</v>
      </c>
      <c r="P399" s="173" t="s">
        <v>1318</v>
      </c>
      <c r="Q399" s="173" t="s">
        <v>1975</v>
      </c>
      <c r="R399" s="174">
        <v>983216.32</v>
      </c>
      <c r="S399" s="590">
        <v>43707</v>
      </c>
      <c r="T399" s="176">
        <v>43710</v>
      </c>
      <c r="U399" s="177">
        <v>43785</v>
      </c>
      <c r="V399" s="105">
        <v>43705</v>
      </c>
      <c r="W399" s="178" t="s">
        <v>1319</v>
      </c>
      <c r="X399" s="170" t="s">
        <v>449</v>
      </c>
      <c r="Y399" s="200">
        <v>43684</v>
      </c>
      <c r="Z399" s="368"/>
      <c r="AA399" s="33" t="s">
        <v>1320</v>
      </c>
      <c r="AB399" s="8">
        <v>43704</v>
      </c>
      <c r="AC399" s="4">
        <v>983216.32</v>
      </c>
      <c r="AD399" s="4"/>
      <c r="AE399" s="32"/>
      <c r="AF399" s="34" t="s">
        <v>68</v>
      </c>
      <c r="AG399" s="112" t="s">
        <v>68</v>
      </c>
      <c r="AH399" s="112" t="s">
        <v>68</v>
      </c>
      <c r="AI399" s="7" t="s">
        <v>68</v>
      </c>
      <c r="AJ399" s="109" t="s">
        <v>68</v>
      </c>
      <c r="AK399" s="115" t="s">
        <v>1321</v>
      </c>
      <c r="AL399" s="1">
        <v>2354441</v>
      </c>
      <c r="AM399" s="5">
        <v>43726</v>
      </c>
      <c r="AN399" s="1">
        <v>2353555</v>
      </c>
      <c r="AO399" s="5">
        <v>43721</v>
      </c>
      <c r="AP399" s="343">
        <v>2353905</v>
      </c>
      <c r="AQ399" s="5">
        <v>43725</v>
      </c>
      <c r="AR399" s="279">
        <f>245804.08+98321.63+98321.63</f>
        <v>442447.33999999997</v>
      </c>
      <c r="AS399" s="35">
        <v>0</v>
      </c>
      <c r="AT399" s="895">
        <v>997930.57</v>
      </c>
      <c r="AU399" s="891"/>
      <c r="AV399" s="66" t="s">
        <v>74</v>
      </c>
      <c r="AW399" s="11"/>
      <c r="AX399" s="223" t="s">
        <v>68</v>
      </c>
      <c r="AY399" s="52" t="s">
        <v>68</v>
      </c>
      <c r="AZ399" s="324">
        <v>43801</v>
      </c>
      <c r="BA399" s="5">
        <v>43710</v>
      </c>
      <c r="BB399" s="5">
        <v>43785</v>
      </c>
      <c r="BC399" s="11">
        <v>43799</v>
      </c>
      <c r="BD399" s="324">
        <v>43801</v>
      </c>
      <c r="BE399" s="1615"/>
      <c r="BF399" s="5">
        <v>43710</v>
      </c>
      <c r="BG399" s="5">
        <v>43785</v>
      </c>
      <c r="BH399" s="5">
        <v>43799</v>
      </c>
      <c r="BI399" s="36">
        <f t="shared" si="11"/>
        <v>997930.57</v>
      </c>
      <c r="BJ399" s="1024">
        <v>43801</v>
      </c>
      <c r="BK399" s="1027"/>
      <c r="BL399" s="1027">
        <v>43707</v>
      </c>
      <c r="BM399" s="693" t="s">
        <v>74</v>
      </c>
      <c r="BN399" s="693" t="s">
        <v>74</v>
      </c>
      <c r="BO399" s="693"/>
      <c r="BP399" s="693"/>
      <c r="BQ399" s="693"/>
      <c r="BR399" s="914"/>
      <c r="BS399" s="693" t="s">
        <v>74</v>
      </c>
      <c r="BT399" s="1100"/>
      <c r="BU399" s="694"/>
      <c r="BV399" s="694" t="s">
        <v>68</v>
      </c>
      <c r="BW399" s="13"/>
      <c r="BX399" s="13" t="s">
        <v>1212</v>
      </c>
      <c r="BY399" s="13"/>
      <c r="BZ399" s="13"/>
      <c r="CA399" s="13"/>
      <c r="CB399" s="1222" t="s">
        <v>2094</v>
      </c>
      <c r="CC399" s="38"/>
      <c r="CD399" s="526"/>
      <c r="CE399" s="526"/>
      <c r="CF399" s="526"/>
      <c r="CG399" s="526"/>
      <c r="CH399" s="526"/>
      <c r="CI399" s="526"/>
      <c r="CJ399" s="526"/>
      <c r="CK399" s="15"/>
    </row>
    <row r="400" spans="1:89" ht="99" hidden="1" customHeight="1">
      <c r="A400"/>
      <c r="B400" s="22"/>
      <c r="C400" s="22"/>
      <c r="D400" s="22"/>
      <c r="E400" s="911">
        <v>44075</v>
      </c>
      <c r="F400" s="911"/>
      <c r="G400" s="915">
        <v>44008</v>
      </c>
      <c r="H400" s="1746"/>
      <c r="I400" s="330">
        <v>43837</v>
      </c>
      <c r="J400" s="169">
        <v>2019</v>
      </c>
      <c r="K400" s="1421">
        <v>196.18</v>
      </c>
      <c r="L400" s="1421"/>
      <c r="M400" s="170" t="s">
        <v>77</v>
      </c>
      <c r="N400" s="647" t="s">
        <v>1322</v>
      </c>
      <c r="O400" s="172" t="s">
        <v>79</v>
      </c>
      <c r="P400" s="173" t="s">
        <v>1323</v>
      </c>
      <c r="Q400" s="173" t="s">
        <v>1975</v>
      </c>
      <c r="R400" s="594">
        <v>872749.01</v>
      </c>
      <c r="S400" s="590">
        <v>43707</v>
      </c>
      <c r="T400" s="176">
        <v>43710</v>
      </c>
      <c r="U400" s="177">
        <v>43785</v>
      </c>
      <c r="V400" s="105">
        <v>43705</v>
      </c>
      <c r="W400" s="178" t="s">
        <v>1319</v>
      </c>
      <c r="X400" s="170" t="s">
        <v>449</v>
      </c>
      <c r="Y400" s="611">
        <v>43684</v>
      </c>
      <c r="Z400" s="1372"/>
      <c r="AA400" s="33" t="s">
        <v>1324</v>
      </c>
      <c r="AB400" s="8">
        <v>43704</v>
      </c>
      <c r="AC400" s="4">
        <v>872749.01</v>
      </c>
      <c r="AD400" s="4"/>
      <c r="AE400" s="32"/>
      <c r="AF400" s="34" t="s">
        <v>68</v>
      </c>
      <c r="AG400" s="112" t="s">
        <v>68</v>
      </c>
      <c r="AH400" s="112" t="s">
        <v>68</v>
      </c>
      <c r="AI400" s="7" t="s">
        <v>68</v>
      </c>
      <c r="AJ400" s="109" t="s">
        <v>68</v>
      </c>
      <c r="AK400" s="33" t="s">
        <v>1321</v>
      </c>
      <c r="AL400" s="1">
        <v>2354410</v>
      </c>
      <c r="AM400" s="5">
        <v>43726</v>
      </c>
      <c r="AN400" s="1">
        <v>2353563</v>
      </c>
      <c r="AO400" s="5">
        <v>43721</v>
      </c>
      <c r="AP400" s="343">
        <v>2353933</v>
      </c>
      <c r="AQ400" s="5">
        <v>43725</v>
      </c>
      <c r="AR400" s="279">
        <f>218187.25+87274.9+87274.9</f>
        <v>392737.05000000005</v>
      </c>
      <c r="AS400" s="35">
        <v>0</v>
      </c>
      <c r="AT400" s="895">
        <v>911481</v>
      </c>
      <c r="AU400" s="891"/>
      <c r="AV400" s="66" t="s">
        <v>74</v>
      </c>
      <c r="AW400" s="11"/>
      <c r="AX400" s="223" t="s">
        <v>68</v>
      </c>
      <c r="AY400" s="52" t="s">
        <v>68</v>
      </c>
      <c r="AZ400" s="324">
        <v>43811</v>
      </c>
      <c r="BA400" s="5">
        <v>43710</v>
      </c>
      <c r="BB400" s="5">
        <v>43785</v>
      </c>
      <c r="BC400" s="11">
        <v>43810</v>
      </c>
      <c r="BD400" s="324">
        <v>43811</v>
      </c>
      <c r="BE400" s="1615"/>
      <c r="BF400" s="5">
        <v>43710</v>
      </c>
      <c r="BG400" s="5">
        <v>43785</v>
      </c>
      <c r="BH400" s="5">
        <v>43810</v>
      </c>
      <c r="BI400" s="36">
        <f t="shared" si="11"/>
        <v>911481</v>
      </c>
      <c r="BJ400" s="1024">
        <v>43811</v>
      </c>
      <c r="BK400" s="1027"/>
      <c r="BL400" s="1027">
        <v>43707</v>
      </c>
      <c r="BM400" s="693" t="s">
        <v>74</v>
      </c>
      <c r="BN400" s="693" t="s">
        <v>74</v>
      </c>
      <c r="BO400" s="693"/>
      <c r="BP400" s="693"/>
      <c r="BQ400" s="693"/>
      <c r="BR400" s="914"/>
      <c r="BS400" s="612">
        <v>43784</v>
      </c>
      <c r="BT400" s="1262"/>
      <c r="BU400" s="694"/>
      <c r="BV400" s="694" t="s">
        <v>68</v>
      </c>
      <c r="BW400" s="13"/>
      <c r="BX400" s="13" t="s">
        <v>1212</v>
      </c>
      <c r="BY400" s="13"/>
      <c r="BZ400" s="13"/>
      <c r="CA400" s="13"/>
      <c r="CB400" s="1222" t="s">
        <v>2094</v>
      </c>
      <c r="CC400" s="38"/>
      <c r="CD400" s="526"/>
      <c r="CE400" s="526"/>
      <c r="CF400" s="526"/>
      <c r="CG400" s="526"/>
      <c r="CH400" s="526"/>
      <c r="CI400" s="526"/>
      <c r="CJ400" s="526"/>
      <c r="CK400" s="15"/>
    </row>
    <row r="401" spans="2:89" customFormat="1" ht="96" hidden="1" customHeight="1">
      <c r="B401" s="22"/>
      <c r="C401" s="22"/>
      <c r="D401" s="22"/>
      <c r="E401" s="911">
        <v>44075</v>
      </c>
      <c r="F401" s="911"/>
      <c r="G401" s="915">
        <v>44011</v>
      </c>
      <c r="H401" s="1746"/>
      <c r="I401" s="330">
        <v>43777</v>
      </c>
      <c r="J401" s="169">
        <v>2019</v>
      </c>
      <c r="K401" s="1421">
        <v>196.191</v>
      </c>
      <c r="L401" s="1421"/>
      <c r="M401" s="170" t="s">
        <v>77</v>
      </c>
      <c r="N401" s="178" t="s">
        <v>1325</v>
      </c>
      <c r="O401" s="172" t="s">
        <v>79</v>
      </c>
      <c r="P401" s="173" t="s">
        <v>1326</v>
      </c>
      <c r="Q401" s="173" t="s">
        <v>4409</v>
      </c>
      <c r="R401" s="174">
        <v>99707.9</v>
      </c>
      <c r="S401" s="542">
        <v>43707</v>
      </c>
      <c r="T401" s="979">
        <v>43710</v>
      </c>
      <c r="U401" s="980">
        <v>43731</v>
      </c>
      <c r="V401" s="981">
        <v>43705</v>
      </c>
      <c r="W401" s="178" t="s">
        <v>1302</v>
      </c>
      <c r="X401" s="170" t="s">
        <v>3047</v>
      </c>
      <c r="Y401" s="608">
        <v>43710</v>
      </c>
      <c r="Z401" s="1373"/>
      <c r="AA401" s="241" t="s">
        <v>1327</v>
      </c>
      <c r="AB401" s="8">
        <v>43704</v>
      </c>
      <c r="AC401" s="174">
        <v>99707.04</v>
      </c>
      <c r="AD401" s="4"/>
      <c r="AE401" s="32"/>
      <c r="AF401" s="34" t="s">
        <v>68</v>
      </c>
      <c r="AG401" s="112" t="s">
        <v>68</v>
      </c>
      <c r="AH401" s="112" t="s">
        <v>68</v>
      </c>
      <c r="AI401" s="7" t="s">
        <v>68</v>
      </c>
      <c r="AJ401" s="109" t="s">
        <v>68</v>
      </c>
      <c r="AK401" s="33" t="s">
        <v>1289</v>
      </c>
      <c r="AL401" s="1" t="s">
        <v>68</v>
      </c>
      <c r="AM401" s="5"/>
      <c r="AN401" s="1">
        <v>19244</v>
      </c>
      <c r="AO401" s="5">
        <v>43707</v>
      </c>
      <c r="AP401" s="1">
        <v>19270</v>
      </c>
      <c r="AQ401" s="5">
        <v>43731</v>
      </c>
      <c r="AR401" s="279">
        <f>21789.66*2</f>
        <v>43579.32</v>
      </c>
      <c r="AS401" s="35"/>
      <c r="AT401" s="895">
        <v>99707.9</v>
      </c>
      <c r="AU401" s="891"/>
      <c r="AV401" s="66" t="s">
        <v>74</v>
      </c>
      <c r="AW401" s="11"/>
      <c r="AX401" s="223" t="s">
        <v>68</v>
      </c>
      <c r="AY401" s="52" t="s">
        <v>68</v>
      </c>
      <c r="AZ401" s="30">
        <v>43734</v>
      </c>
      <c r="BA401" s="5">
        <v>43710</v>
      </c>
      <c r="BB401" s="5">
        <v>43731</v>
      </c>
      <c r="BC401" s="11" t="s">
        <v>68</v>
      </c>
      <c r="BD401" s="30">
        <v>43735</v>
      </c>
      <c r="BE401" s="309"/>
      <c r="BF401" s="5">
        <v>43710</v>
      </c>
      <c r="BG401" s="5">
        <v>43731</v>
      </c>
      <c r="BH401" s="5">
        <v>43731</v>
      </c>
      <c r="BI401" s="36">
        <f t="shared" si="11"/>
        <v>99707.9</v>
      </c>
      <c r="BJ401" s="62">
        <v>43735</v>
      </c>
      <c r="BK401" s="224"/>
      <c r="BL401" s="1027">
        <v>44072</v>
      </c>
      <c r="BM401" s="71">
        <v>43710</v>
      </c>
      <c r="BN401" s="71">
        <v>43710</v>
      </c>
      <c r="BO401" s="336"/>
      <c r="BP401" s="336"/>
      <c r="BQ401" s="336"/>
      <c r="BR401" s="914"/>
      <c r="BS401" s="1100" t="s">
        <v>74</v>
      </c>
      <c r="BT401" s="1100"/>
      <c r="BU401" s="336">
        <v>43726</v>
      </c>
      <c r="BV401" s="694" t="s">
        <v>68</v>
      </c>
      <c r="BW401" s="13"/>
      <c r="BX401" s="13"/>
      <c r="BY401" s="13"/>
      <c r="BZ401" s="13"/>
      <c r="CA401" s="13"/>
      <c r="CB401" s="1222" t="s">
        <v>2094</v>
      </c>
      <c r="CC401" s="38"/>
      <c r="CD401" s="526"/>
      <c r="CE401" s="526"/>
      <c r="CF401" s="526"/>
      <c r="CG401" s="526"/>
      <c r="CH401" s="526"/>
      <c r="CI401" s="526"/>
      <c r="CJ401" s="526"/>
      <c r="CK401" s="15"/>
    </row>
    <row r="402" spans="2:89" customFormat="1" ht="85.5" hidden="1" customHeight="1">
      <c r="B402" s="22"/>
      <c r="C402" s="22"/>
      <c r="D402" s="22"/>
      <c r="E402" s="911">
        <v>44075</v>
      </c>
      <c r="F402" s="911"/>
      <c r="G402" s="915">
        <v>44011</v>
      </c>
      <c r="H402" s="1746"/>
      <c r="I402" s="330">
        <v>43777</v>
      </c>
      <c r="J402" s="169">
        <v>2019</v>
      </c>
      <c r="K402" s="1421">
        <v>196.19200000000001</v>
      </c>
      <c r="L402" s="1421"/>
      <c r="M402" s="170" t="s">
        <v>77</v>
      </c>
      <c r="N402" s="178" t="s">
        <v>1325</v>
      </c>
      <c r="O402" s="172" t="s">
        <v>79</v>
      </c>
      <c r="P402" s="173" t="s">
        <v>1328</v>
      </c>
      <c r="Q402" s="173" t="s">
        <v>4409</v>
      </c>
      <c r="R402" s="174">
        <v>118188.71</v>
      </c>
      <c r="S402" s="542">
        <v>43707</v>
      </c>
      <c r="T402" s="979">
        <v>43710</v>
      </c>
      <c r="U402" s="980">
        <v>43731</v>
      </c>
      <c r="V402" s="981">
        <v>43705</v>
      </c>
      <c r="W402" s="178" t="s">
        <v>1302</v>
      </c>
      <c r="X402" s="170" t="s">
        <v>3047</v>
      </c>
      <c r="Y402" s="608">
        <v>43710</v>
      </c>
      <c r="Z402" s="1373"/>
      <c r="AA402" s="241" t="s">
        <v>1329</v>
      </c>
      <c r="AB402" s="8">
        <v>43704</v>
      </c>
      <c r="AC402" s="174">
        <v>118188.7</v>
      </c>
      <c r="AD402" s="4"/>
      <c r="AE402" s="32" t="s">
        <v>68</v>
      </c>
      <c r="AF402" s="34"/>
      <c r="AG402" s="112"/>
      <c r="AH402" s="112"/>
      <c r="AI402" s="7"/>
      <c r="AJ402" s="109"/>
      <c r="AK402" s="33" t="s">
        <v>1289</v>
      </c>
      <c r="AL402" s="1" t="s">
        <v>68</v>
      </c>
      <c r="AM402" s="5"/>
      <c r="AN402" s="1">
        <v>19244</v>
      </c>
      <c r="AO402" s="5">
        <v>43707</v>
      </c>
      <c r="AP402" s="1">
        <v>19270</v>
      </c>
      <c r="AQ402" s="5">
        <v>43731</v>
      </c>
      <c r="AR402" s="279">
        <f>21789.66*2</f>
        <v>43579.32</v>
      </c>
      <c r="AS402" s="35">
        <v>0</v>
      </c>
      <c r="AT402" s="895">
        <v>130875.44</v>
      </c>
      <c r="AU402" s="891"/>
      <c r="AV402" s="66" t="s">
        <v>74</v>
      </c>
      <c r="AW402" s="11"/>
      <c r="AX402" s="223" t="s">
        <v>68</v>
      </c>
      <c r="AY402" s="52" t="s">
        <v>68</v>
      </c>
      <c r="AZ402" s="30">
        <v>43734</v>
      </c>
      <c r="BA402" s="5">
        <v>43710</v>
      </c>
      <c r="BB402" s="5">
        <v>43731</v>
      </c>
      <c r="BC402" s="11" t="s">
        <v>68</v>
      </c>
      <c r="BD402" s="30">
        <v>43735</v>
      </c>
      <c r="BE402" s="309"/>
      <c r="BF402" s="5">
        <v>43710</v>
      </c>
      <c r="BG402" s="5">
        <v>43731</v>
      </c>
      <c r="BH402" s="5">
        <v>43731</v>
      </c>
      <c r="BI402" s="36">
        <f t="shared" si="11"/>
        <v>130875.44</v>
      </c>
      <c r="BJ402" s="62">
        <v>43735</v>
      </c>
      <c r="BK402" s="224"/>
      <c r="BL402" s="1027">
        <v>44072</v>
      </c>
      <c r="BM402" s="71">
        <v>43710</v>
      </c>
      <c r="BN402" s="71">
        <v>43710</v>
      </c>
      <c r="BO402" s="336"/>
      <c r="BP402" s="336"/>
      <c r="BQ402" s="336"/>
      <c r="BR402" s="914"/>
      <c r="BS402" s="1100" t="s">
        <v>74</v>
      </c>
      <c r="BT402" s="1100"/>
      <c r="BU402" s="336">
        <v>43726</v>
      </c>
      <c r="BV402" s="694" t="s">
        <v>68</v>
      </c>
      <c r="BW402" s="13"/>
      <c r="BX402" s="13"/>
      <c r="BY402" s="13"/>
      <c r="BZ402" s="13"/>
      <c r="CA402" s="13"/>
      <c r="CB402" s="1222" t="s">
        <v>2094</v>
      </c>
      <c r="CC402" s="38"/>
      <c r="CD402" s="526"/>
      <c r="CE402" s="526"/>
      <c r="CF402" s="526"/>
      <c r="CG402" s="526"/>
      <c r="CH402" s="526"/>
      <c r="CI402" s="526"/>
      <c r="CJ402" s="526"/>
      <c r="CK402" s="15"/>
    </row>
    <row r="403" spans="2:89" customFormat="1" ht="93.75" hidden="1" customHeight="1">
      <c r="B403" s="22"/>
      <c r="C403" s="22"/>
      <c r="D403" s="22"/>
      <c r="E403" s="911">
        <v>44075</v>
      </c>
      <c r="F403" s="911"/>
      <c r="G403" s="915">
        <v>44008</v>
      </c>
      <c r="H403" s="1746"/>
      <c r="I403" s="330">
        <v>43777</v>
      </c>
      <c r="J403" s="169">
        <v>2019</v>
      </c>
      <c r="K403" s="1421">
        <v>196.2</v>
      </c>
      <c r="L403" s="1421"/>
      <c r="M403" s="170" t="s">
        <v>77</v>
      </c>
      <c r="N403" s="178" t="s">
        <v>1330</v>
      </c>
      <c r="O403" s="172" t="s">
        <v>79</v>
      </c>
      <c r="P403" s="173" t="s">
        <v>1331</v>
      </c>
      <c r="Q403" s="173" t="s">
        <v>4409</v>
      </c>
      <c r="R403" s="594">
        <v>104942</v>
      </c>
      <c r="S403" s="590">
        <v>43740</v>
      </c>
      <c r="T403" s="176">
        <v>43741</v>
      </c>
      <c r="U403" s="177">
        <v>43768</v>
      </c>
      <c r="V403" s="105">
        <v>43739</v>
      </c>
      <c r="W403" s="178" t="s">
        <v>1302</v>
      </c>
      <c r="X403" s="170" t="s">
        <v>3047</v>
      </c>
      <c r="Y403" s="608">
        <v>43738</v>
      </c>
      <c r="Z403" s="1373"/>
      <c r="AA403" s="33" t="s">
        <v>1332</v>
      </c>
      <c r="AB403" s="8">
        <v>43704</v>
      </c>
      <c r="AC403" s="4">
        <v>107172.54</v>
      </c>
      <c r="AD403" s="4"/>
      <c r="AE403" s="32"/>
      <c r="AF403" s="34" t="s">
        <v>68</v>
      </c>
      <c r="AG403" s="112" t="s">
        <v>68</v>
      </c>
      <c r="AH403" s="112" t="s">
        <v>68</v>
      </c>
      <c r="AI403" s="7" t="s">
        <v>68</v>
      </c>
      <c r="AJ403" s="109" t="s">
        <v>68</v>
      </c>
      <c r="AK403" s="33" t="s">
        <v>1289</v>
      </c>
      <c r="AL403" s="1" t="s">
        <v>68</v>
      </c>
      <c r="AM403" s="5"/>
      <c r="AN403" s="1">
        <v>190489</v>
      </c>
      <c r="AO403" s="5">
        <v>43741</v>
      </c>
      <c r="AP403" s="1">
        <v>190522</v>
      </c>
      <c r="AQ403" s="5">
        <v>43754</v>
      </c>
      <c r="AR403" s="279">
        <f>10494.2*2</f>
        <v>20988.400000000001</v>
      </c>
      <c r="AS403" s="35">
        <v>0</v>
      </c>
      <c r="AT403" s="895">
        <v>104942</v>
      </c>
      <c r="AU403" s="891"/>
      <c r="AV403" s="66" t="s">
        <v>74</v>
      </c>
      <c r="AW403" s="11"/>
      <c r="AX403" s="223" t="s">
        <v>68</v>
      </c>
      <c r="AY403" s="52" t="s">
        <v>68</v>
      </c>
      <c r="AZ403" s="30">
        <v>43754</v>
      </c>
      <c r="BA403" s="5">
        <v>43741</v>
      </c>
      <c r="BB403" s="5">
        <v>43768</v>
      </c>
      <c r="BC403" s="5">
        <v>43768</v>
      </c>
      <c r="BD403" s="30">
        <v>43755</v>
      </c>
      <c r="BE403" s="309"/>
      <c r="BF403" s="5">
        <v>43741</v>
      </c>
      <c r="BG403" s="5">
        <v>43768</v>
      </c>
      <c r="BH403" s="5">
        <v>43754</v>
      </c>
      <c r="BI403" s="36">
        <f t="shared" si="11"/>
        <v>104942</v>
      </c>
      <c r="BJ403" s="62">
        <v>43755</v>
      </c>
      <c r="BK403" s="224"/>
      <c r="BL403" s="1027">
        <v>43706</v>
      </c>
      <c r="BM403" s="71">
        <v>43740</v>
      </c>
      <c r="BN403" s="71">
        <v>43740</v>
      </c>
      <c r="BO403" s="71"/>
      <c r="BP403" s="71"/>
      <c r="BQ403" s="71"/>
      <c r="BR403" s="914"/>
      <c r="BS403" s="71">
        <v>43752</v>
      </c>
      <c r="BT403" s="336"/>
      <c r="BU403" s="336" t="s">
        <v>68</v>
      </c>
      <c r="BV403" s="336" t="s">
        <v>68</v>
      </c>
      <c r="BW403" s="13"/>
      <c r="BX403" s="13"/>
      <c r="BY403" s="13"/>
      <c r="BZ403" s="13"/>
      <c r="CA403" s="13"/>
      <c r="CB403" s="1222" t="s">
        <v>2094</v>
      </c>
      <c r="CC403" s="38"/>
      <c r="CD403" s="526"/>
      <c r="CE403" s="526"/>
      <c r="CF403" s="526"/>
      <c r="CG403" s="526"/>
      <c r="CH403" s="526"/>
      <c r="CI403" s="526"/>
      <c r="CJ403" s="526"/>
      <c r="CK403" s="15"/>
    </row>
    <row r="404" spans="2:89" customFormat="1" ht="82.5" hidden="1" customHeight="1">
      <c r="B404" s="22"/>
      <c r="C404" s="22"/>
      <c r="D404" s="22"/>
      <c r="E404" s="911">
        <v>44075</v>
      </c>
      <c r="F404" s="911"/>
      <c r="G404" s="915">
        <v>44008</v>
      </c>
      <c r="H404" s="1746"/>
      <c r="I404" s="330">
        <v>43777</v>
      </c>
      <c r="J404" s="169">
        <v>2019</v>
      </c>
      <c r="K404" s="1421">
        <v>196.21</v>
      </c>
      <c r="L404" s="1421"/>
      <c r="M404" s="170" t="s">
        <v>77</v>
      </c>
      <c r="N404" s="178" t="s">
        <v>1333</v>
      </c>
      <c r="O404" s="172" t="s">
        <v>79</v>
      </c>
      <c r="P404" s="173" t="s">
        <v>1334</v>
      </c>
      <c r="Q404" s="173" t="s">
        <v>4409</v>
      </c>
      <c r="R404" s="594">
        <v>124713.47</v>
      </c>
      <c r="S404" s="590">
        <v>43740</v>
      </c>
      <c r="T404" s="176">
        <v>43741</v>
      </c>
      <c r="U404" s="177">
        <v>43768</v>
      </c>
      <c r="V404" s="105">
        <v>43739</v>
      </c>
      <c r="W404" s="178" t="s">
        <v>1302</v>
      </c>
      <c r="X404" s="170" t="s">
        <v>3047</v>
      </c>
      <c r="Y404" s="608">
        <v>43738</v>
      </c>
      <c r="Z404" s="1373"/>
      <c r="AA404" s="33" t="s">
        <v>1335</v>
      </c>
      <c r="AB404" s="8">
        <v>43704</v>
      </c>
      <c r="AC404" s="4">
        <v>149693.72</v>
      </c>
      <c r="AD404" s="4"/>
      <c r="AE404" s="32"/>
      <c r="AF404" s="34" t="s">
        <v>68</v>
      </c>
      <c r="AG404" s="112" t="s">
        <v>68</v>
      </c>
      <c r="AH404" s="112" t="s">
        <v>68</v>
      </c>
      <c r="AI404" s="7" t="s">
        <v>68</v>
      </c>
      <c r="AJ404" s="109" t="s">
        <v>68</v>
      </c>
      <c r="AK404" s="33" t="s">
        <v>1289</v>
      </c>
      <c r="AL404" s="1" t="s">
        <v>68</v>
      </c>
      <c r="AM404" s="5"/>
      <c r="AN404" s="1">
        <v>190488</v>
      </c>
      <c r="AO404" s="5">
        <v>43741</v>
      </c>
      <c r="AP404" s="1">
        <v>190521</v>
      </c>
      <c r="AQ404" s="5">
        <v>43754</v>
      </c>
      <c r="AR404" s="279">
        <f>12471.34+40065.01</f>
        <v>52536.350000000006</v>
      </c>
      <c r="AS404" s="35">
        <v>0</v>
      </c>
      <c r="AT404" s="895">
        <v>132810.69</v>
      </c>
      <c r="AU404" s="891"/>
      <c r="AV404" s="66" t="s">
        <v>74</v>
      </c>
      <c r="AW404" s="11"/>
      <c r="AX404" s="223" t="s">
        <v>68</v>
      </c>
      <c r="AY404" s="52" t="s">
        <v>68</v>
      </c>
      <c r="AZ404" s="30">
        <v>43754</v>
      </c>
      <c r="BA404" s="5">
        <v>43741</v>
      </c>
      <c r="BB404" s="5">
        <v>43768</v>
      </c>
      <c r="BC404" s="5">
        <v>43754</v>
      </c>
      <c r="BD404" s="30">
        <v>43755</v>
      </c>
      <c r="BE404" s="309"/>
      <c r="BF404" s="5">
        <v>43741</v>
      </c>
      <c r="BG404" s="5">
        <v>43768</v>
      </c>
      <c r="BH404" s="5">
        <v>43754</v>
      </c>
      <c r="BI404" s="36">
        <f>AS404+AT404+0.01</f>
        <v>132810.70000000001</v>
      </c>
      <c r="BJ404" s="62">
        <v>43755</v>
      </c>
      <c r="BK404" s="224"/>
      <c r="BL404" s="1027">
        <v>43706</v>
      </c>
      <c r="BM404" s="71">
        <v>43741</v>
      </c>
      <c r="BN404" s="71">
        <v>43741</v>
      </c>
      <c r="BO404" s="71"/>
      <c r="BP404" s="71"/>
      <c r="BQ404" s="71"/>
      <c r="BR404" s="914"/>
      <c r="BS404" s="71">
        <v>43752</v>
      </c>
      <c r="BT404" s="336"/>
      <c r="BU404" s="336">
        <v>43745</v>
      </c>
      <c r="BV404" s="336" t="s">
        <v>68</v>
      </c>
      <c r="BW404" s="13"/>
      <c r="BX404" s="13"/>
      <c r="BY404" s="13"/>
      <c r="BZ404" s="13"/>
      <c r="CA404" s="13"/>
      <c r="CB404" s="1222" t="s">
        <v>2094</v>
      </c>
      <c r="CC404" s="38"/>
      <c r="CD404" s="526"/>
      <c r="CE404" s="526"/>
      <c r="CF404" s="526"/>
      <c r="CG404" s="526"/>
      <c r="CH404" s="526"/>
      <c r="CI404" s="526"/>
      <c r="CJ404" s="526"/>
      <c r="CK404" s="15"/>
    </row>
    <row r="405" spans="2:89" s="1050" customFormat="1" ht="90.75" hidden="1" customHeight="1">
      <c r="B405" s="1051"/>
      <c r="C405" s="553"/>
      <c r="D405" s="553"/>
      <c r="E405" s="1052"/>
      <c r="F405" s="1052"/>
      <c r="G405" s="553"/>
      <c r="H405" s="620"/>
      <c r="I405" s="620"/>
      <c r="J405" s="1053">
        <v>2019</v>
      </c>
      <c r="K405" s="1420">
        <v>196.22</v>
      </c>
      <c r="L405" s="1420"/>
      <c r="M405" s="1054" t="s">
        <v>1151</v>
      </c>
      <c r="N405" s="1055" t="s">
        <v>1336</v>
      </c>
      <c r="O405" s="790" t="s">
        <v>251</v>
      </c>
      <c r="P405" s="1056" t="s">
        <v>1337</v>
      </c>
      <c r="Q405" s="1056"/>
      <c r="R405" s="1057">
        <v>1688433.48</v>
      </c>
      <c r="S405" s="1058">
        <v>43709</v>
      </c>
      <c r="T405" s="1059">
        <v>43710</v>
      </c>
      <c r="U405" s="1060">
        <v>43785</v>
      </c>
      <c r="V405" s="1061"/>
      <c r="W405" s="1055" t="s">
        <v>1338</v>
      </c>
      <c r="X405" s="1054" t="s">
        <v>213</v>
      </c>
      <c r="Y405" s="1062" t="s">
        <v>68</v>
      </c>
      <c r="Z405" s="1377"/>
      <c r="AA405" s="308" t="s">
        <v>1154</v>
      </c>
      <c r="AB405" s="1063">
        <v>43722</v>
      </c>
      <c r="AC405" s="1064">
        <v>4496816.92</v>
      </c>
      <c r="AD405" s="1064"/>
      <c r="AE405" s="1065"/>
      <c r="AF405" s="1066" t="s">
        <v>68</v>
      </c>
      <c r="AG405" s="1067" t="s">
        <v>68</v>
      </c>
      <c r="AH405" s="1067" t="s">
        <v>68</v>
      </c>
      <c r="AI405" s="1068" t="s">
        <v>68</v>
      </c>
      <c r="AJ405" s="1069" t="s">
        <v>68</v>
      </c>
      <c r="AK405" s="308"/>
      <c r="AL405" s="1070"/>
      <c r="AM405" s="1071"/>
      <c r="AN405" s="1070"/>
      <c r="AO405" s="1071"/>
      <c r="AP405" s="1070"/>
      <c r="AQ405" s="1071"/>
      <c r="AR405" s="1072"/>
      <c r="AS405" s="1073">
        <v>0</v>
      </c>
      <c r="AT405" s="1074"/>
      <c r="AU405" s="1075"/>
      <c r="AV405" s="1076"/>
      <c r="AW405" s="1077"/>
      <c r="AX405" s="1078"/>
      <c r="AY405" s="1079"/>
      <c r="AZ405" s="1076"/>
      <c r="BA405" s="1071"/>
      <c r="BB405" s="1071"/>
      <c r="BC405" s="1077"/>
      <c r="BD405" s="1076"/>
      <c r="BE405" s="1608"/>
      <c r="BF405" s="1071"/>
      <c r="BG405" s="1071"/>
      <c r="BH405" s="1071"/>
      <c r="BI405" s="1081">
        <f t="shared" ref="BI405:BI419" si="12">AS405+AT405</f>
        <v>0</v>
      </c>
      <c r="BJ405" s="1082"/>
      <c r="BK405" s="1816"/>
      <c r="BL405" s="1470" t="s">
        <v>68</v>
      </c>
      <c r="BM405" s="1471" t="s">
        <v>68</v>
      </c>
      <c r="BN405" s="1471" t="s">
        <v>68</v>
      </c>
      <c r="BO405" s="1470"/>
      <c r="BP405" s="1470"/>
      <c r="BQ405" s="1470"/>
      <c r="BR405" s="914"/>
      <c r="BS405" s="1470"/>
      <c r="BT405" s="1470"/>
      <c r="BU405" s="1470"/>
      <c r="BV405" s="1470" t="s">
        <v>68</v>
      </c>
      <c r="BW405" s="1082"/>
      <c r="BX405" s="1082"/>
      <c r="BY405" s="1082"/>
      <c r="BZ405" s="1082"/>
      <c r="CA405" s="1082"/>
      <c r="CB405" s="1486" t="s">
        <v>2094</v>
      </c>
      <c r="CC405" s="1085"/>
      <c r="CD405" s="789"/>
      <c r="CE405" s="789"/>
      <c r="CF405" s="789"/>
      <c r="CG405" s="789"/>
      <c r="CH405" s="789"/>
      <c r="CI405" s="789"/>
      <c r="CJ405" s="789"/>
      <c r="CK405" s="1086"/>
    </row>
    <row r="406" spans="2:89" customFormat="1" ht="69.75" hidden="1" customHeight="1">
      <c r="B406" s="22"/>
      <c r="C406" s="1445">
        <v>44298</v>
      </c>
      <c r="D406" s="1445"/>
      <c r="E406" s="911">
        <v>44075</v>
      </c>
      <c r="F406" s="911"/>
      <c r="G406" s="915">
        <v>44015</v>
      </c>
      <c r="H406" s="1746"/>
      <c r="I406" s="330">
        <v>43837</v>
      </c>
      <c r="J406" s="169">
        <v>2019</v>
      </c>
      <c r="K406" s="1421">
        <v>196.23</v>
      </c>
      <c r="L406" s="1421"/>
      <c r="M406" s="170" t="s">
        <v>1151</v>
      </c>
      <c r="N406" s="178" t="s">
        <v>1339</v>
      </c>
      <c r="O406" s="172" t="s">
        <v>79</v>
      </c>
      <c r="P406" s="595" t="s">
        <v>1340</v>
      </c>
      <c r="Q406" s="595" t="s">
        <v>1975</v>
      </c>
      <c r="R406" s="594">
        <v>1393906.05</v>
      </c>
      <c r="S406" s="590">
        <v>43755</v>
      </c>
      <c r="T406" s="176">
        <v>43759</v>
      </c>
      <c r="U406" s="177">
        <v>43830</v>
      </c>
      <c r="V406" s="105">
        <v>43754</v>
      </c>
      <c r="W406" s="178" t="s">
        <v>1341</v>
      </c>
      <c r="X406" s="170" t="s">
        <v>213</v>
      </c>
      <c r="Y406" s="1025" t="s">
        <v>68</v>
      </c>
      <c r="Z406" s="1380"/>
      <c r="AA406" s="33" t="s">
        <v>1154</v>
      </c>
      <c r="AB406" s="8">
        <v>43722</v>
      </c>
      <c r="AC406" s="4">
        <v>4496816.92</v>
      </c>
      <c r="AD406" s="4"/>
      <c r="AE406" s="32"/>
      <c r="AF406" s="34" t="s">
        <v>68</v>
      </c>
      <c r="AG406" s="112" t="s">
        <v>68</v>
      </c>
      <c r="AH406" s="112" t="s">
        <v>68</v>
      </c>
      <c r="AI406" s="7" t="s">
        <v>68</v>
      </c>
      <c r="AJ406" s="109" t="s">
        <v>68</v>
      </c>
      <c r="AK406" s="33" t="s">
        <v>1342</v>
      </c>
      <c r="AL406" s="2" t="s">
        <v>1343</v>
      </c>
      <c r="AM406" s="5">
        <v>43755</v>
      </c>
      <c r="AN406" s="2" t="s">
        <v>1344</v>
      </c>
      <c r="AO406" s="5">
        <v>43755</v>
      </c>
      <c r="AP406" s="2" t="s">
        <v>1345</v>
      </c>
      <c r="AQ406" s="5">
        <v>43825</v>
      </c>
      <c r="AR406" s="279">
        <f>348476.51+139390.61+139390.44</f>
        <v>627257.56000000006</v>
      </c>
      <c r="AS406" s="35">
        <v>0</v>
      </c>
      <c r="AT406" s="900">
        <v>1393904.46</v>
      </c>
      <c r="AU406" s="891"/>
      <c r="AV406" s="30">
        <v>43759</v>
      </c>
      <c r="AW406" s="11">
        <v>43823</v>
      </c>
      <c r="AX406" s="223" t="s">
        <v>68</v>
      </c>
      <c r="AY406" s="52" t="s">
        <v>68</v>
      </c>
      <c r="AZ406" s="30">
        <v>43825</v>
      </c>
      <c r="BA406" s="5">
        <v>43759</v>
      </c>
      <c r="BB406" s="5">
        <v>43830</v>
      </c>
      <c r="BC406" s="11">
        <v>43825</v>
      </c>
      <c r="BD406" s="30">
        <v>43825</v>
      </c>
      <c r="BE406" s="309"/>
      <c r="BF406" s="5">
        <v>43759</v>
      </c>
      <c r="BG406" s="5">
        <v>43830</v>
      </c>
      <c r="BH406" s="11">
        <v>43825</v>
      </c>
      <c r="BI406" s="36">
        <f t="shared" si="12"/>
        <v>1393904.46</v>
      </c>
      <c r="BJ406" s="1027">
        <v>43823</v>
      </c>
      <c r="BK406" s="1027"/>
      <c r="BL406" s="1027">
        <v>43755</v>
      </c>
      <c r="BM406" s="218" t="s">
        <v>74</v>
      </c>
      <c r="BN406" s="218" t="s">
        <v>74</v>
      </c>
      <c r="BO406" s="1246"/>
      <c r="BP406" s="1246"/>
      <c r="BQ406" s="1246"/>
      <c r="BR406" s="914"/>
      <c r="BS406" s="336">
        <v>43823</v>
      </c>
      <c r="BT406" s="336"/>
      <c r="BU406" s="1093"/>
      <c r="BV406" s="694" t="s">
        <v>68</v>
      </c>
      <c r="BW406" s="13"/>
      <c r="BX406" s="13"/>
      <c r="BY406" s="13"/>
      <c r="BZ406" s="13"/>
      <c r="CA406" s="13"/>
      <c r="CB406" s="1222" t="s">
        <v>2094</v>
      </c>
      <c r="CC406" s="38"/>
      <c r="CD406" s="526"/>
      <c r="CE406" s="526"/>
      <c r="CF406" s="526"/>
      <c r="CG406" s="526"/>
      <c r="CH406" s="526"/>
      <c r="CI406" s="526"/>
      <c r="CJ406" s="526"/>
      <c r="CK406" s="15"/>
    </row>
    <row r="407" spans="2:89" customFormat="1" ht="91.5" hidden="1" customHeight="1">
      <c r="B407" s="22"/>
      <c r="C407" s="1445">
        <v>44494</v>
      </c>
      <c r="D407" s="1445"/>
      <c r="E407" s="911">
        <v>44075</v>
      </c>
      <c r="F407" s="911"/>
      <c r="G407" s="915">
        <v>44015</v>
      </c>
      <c r="H407" s="1746"/>
      <c r="I407" s="330">
        <v>43837</v>
      </c>
      <c r="J407" s="169">
        <v>2019</v>
      </c>
      <c r="K407" s="1421">
        <v>196.24</v>
      </c>
      <c r="L407" s="1421"/>
      <c r="M407" s="170" t="s">
        <v>1151</v>
      </c>
      <c r="N407" s="178" t="s">
        <v>1346</v>
      </c>
      <c r="O407" s="172" t="s">
        <v>79</v>
      </c>
      <c r="P407" s="173" t="s">
        <v>1347</v>
      </c>
      <c r="Q407" s="173" t="s">
        <v>1975</v>
      </c>
      <c r="R407" s="594">
        <v>1414229.08</v>
      </c>
      <c r="S407" s="590">
        <v>43755</v>
      </c>
      <c r="T407" s="176">
        <v>43759</v>
      </c>
      <c r="U407" s="177">
        <v>43830</v>
      </c>
      <c r="V407" s="105">
        <v>43754</v>
      </c>
      <c r="W407" s="178" t="s">
        <v>1348</v>
      </c>
      <c r="X407" s="170" t="s">
        <v>213</v>
      </c>
      <c r="Y407" s="1025" t="s">
        <v>68</v>
      </c>
      <c r="Z407" s="1380"/>
      <c r="AA407" s="33" t="s">
        <v>1154</v>
      </c>
      <c r="AB407" s="8">
        <v>43722</v>
      </c>
      <c r="AC407" s="4">
        <v>4496816.92</v>
      </c>
      <c r="AD407" s="4"/>
      <c r="AE407" s="32"/>
      <c r="AF407" s="34" t="s">
        <v>68</v>
      </c>
      <c r="AG407" s="112" t="s">
        <v>68</v>
      </c>
      <c r="AH407" s="112" t="s">
        <v>68</v>
      </c>
      <c r="AI407" s="7" t="s">
        <v>68</v>
      </c>
      <c r="AJ407" s="109" t="s">
        <v>68</v>
      </c>
      <c r="AK407" s="33" t="s">
        <v>1321</v>
      </c>
      <c r="AL407" s="1">
        <v>2366229</v>
      </c>
      <c r="AM407" s="5">
        <v>43748</v>
      </c>
      <c r="AN407" s="1">
        <v>2366240</v>
      </c>
      <c r="AO407" s="5">
        <v>43755</v>
      </c>
      <c r="AP407" s="242">
        <v>2393144</v>
      </c>
      <c r="AQ407" s="5">
        <v>43825</v>
      </c>
      <c r="AR407" s="279">
        <f>353557.27+141422.91+141422.91</f>
        <v>636403.09000000008</v>
      </c>
      <c r="AS407" s="35">
        <v>0</v>
      </c>
      <c r="AT407" s="900">
        <v>1414229.1</v>
      </c>
      <c r="AU407" s="891"/>
      <c r="AV407" s="30">
        <v>43759</v>
      </c>
      <c r="AW407" s="11">
        <v>43830</v>
      </c>
      <c r="AX407" s="223" t="s">
        <v>68</v>
      </c>
      <c r="AY407" s="52" t="s">
        <v>68</v>
      </c>
      <c r="AZ407" s="30">
        <v>43823</v>
      </c>
      <c r="BA407" s="5">
        <v>43759</v>
      </c>
      <c r="BB407" s="5">
        <v>43830</v>
      </c>
      <c r="BC407" s="11">
        <v>43825</v>
      </c>
      <c r="BD407" s="30">
        <v>43823</v>
      </c>
      <c r="BE407" s="309"/>
      <c r="BF407" s="5">
        <v>43759</v>
      </c>
      <c r="BG407" s="5">
        <v>43830</v>
      </c>
      <c r="BH407" s="5">
        <v>43825</v>
      </c>
      <c r="BI407" s="36">
        <f t="shared" si="12"/>
        <v>1414229.1</v>
      </c>
      <c r="BJ407" s="62" t="s">
        <v>1349</v>
      </c>
      <c r="BK407" s="224"/>
      <c r="BL407" s="1027">
        <v>43755</v>
      </c>
      <c r="BM407" s="218" t="s">
        <v>74</v>
      </c>
      <c r="BN407" s="218" t="s">
        <v>74</v>
      </c>
      <c r="BO407" s="1246"/>
      <c r="BP407" s="1246"/>
      <c r="BQ407" s="1246"/>
      <c r="BR407" s="914"/>
      <c r="BS407" s="336">
        <v>43822</v>
      </c>
      <c r="BT407" s="336"/>
      <c r="BU407" s="1093"/>
      <c r="BV407" s="694" t="s">
        <v>68</v>
      </c>
      <c r="BW407" s="13"/>
      <c r="BX407" s="13"/>
      <c r="BY407" s="13"/>
      <c r="BZ407" s="13"/>
      <c r="CA407" s="13"/>
      <c r="CB407" s="1222" t="s">
        <v>2094</v>
      </c>
      <c r="CC407" s="38"/>
      <c r="CD407" s="526"/>
      <c r="CE407" s="526"/>
      <c r="CF407" s="526"/>
      <c r="CG407" s="526"/>
      <c r="CH407" s="526"/>
      <c r="CI407" s="526"/>
      <c r="CJ407" s="526"/>
      <c r="CK407" s="15"/>
    </row>
    <row r="408" spans="2:89" customFormat="1" ht="85.5" hidden="1" customHeight="1">
      <c r="B408" s="22"/>
      <c r="C408" s="22"/>
      <c r="D408" s="22"/>
      <c r="E408" s="911">
        <v>44075</v>
      </c>
      <c r="F408" s="911"/>
      <c r="G408" s="915">
        <v>44011</v>
      </c>
      <c r="H408" s="1746"/>
      <c r="I408" s="330">
        <v>43805</v>
      </c>
      <c r="J408" s="169">
        <v>2019</v>
      </c>
      <c r="K408" s="1421">
        <v>196.25</v>
      </c>
      <c r="L408" s="1421"/>
      <c r="M408" s="170" t="s">
        <v>77</v>
      </c>
      <c r="N408" s="178" t="s">
        <v>1350</v>
      </c>
      <c r="O408" s="172" t="s">
        <v>79</v>
      </c>
      <c r="P408" s="173" t="s">
        <v>1351</v>
      </c>
      <c r="Q408" s="173" t="s">
        <v>1975</v>
      </c>
      <c r="R408" s="594">
        <v>198328.91</v>
      </c>
      <c r="S408" s="590">
        <v>43755</v>
      </c>
      <c r="T408" s="176">
        <v>43759</v>
      </c>
      <c r="U408" s="177">
        <v>43809</v>
      </c>
      <c r="V408" s="105">
        <v>43754</v>
      </c>
      <c r="W408" s="178" t="s">
        <v>1352</v>
      </c>
      <c r="X408" s="170" t="s">
        <v>3047</v>
      </c>
      <c r="Y408" s="611">
        <v>43728</v>
      </c>
      <c r="Z408" s="1372"/>
      <c r="AA408" s="33" t="s">
        <v>1353</v>
      </c>
      <c r="AB408" s="8">
        <v>43752</v>
      </c>
      <c r="AC408" s="4">
        <v>198328.45</v>
      </c>
      <c r="AD408" s="4"/>
      <c r="AE408" s="32"/>
      <c r="AF408" s="34" t="s">
        <v>68</v>
      </c>
      <c r="AG408" s="112" t="s">
        <v>68</v>
      </c>
      <c r="AH408" s="112" t="s">
        <v>68</v>
      </c>
      <c r="AI408" s="7" t="s">
        <v>68</v>
      </c>
      <c r="AJ408" s="109" t="s">
        <v>68</v>
      </c>
      <c r="AK408" s="344" t="s">
        <v>1294</v>
      </c>
      <c r="AL408" s="1"/>
      <c r="AM408" s="5"/>
      <c r="AN408" s="242" t="s">
        <v>1354</v>
      </c>
      <c r="AO408" s="5">
        <v>43759</v>
      </c>
      <c r="AP408" s="242" t="s">
        <v>1355</v>
      </c>
      <c r="AQ408" s="5">
        <v>43791</v>
      </c>
      <c r="AR408" s="279">
        <f>19832.89+18550.04</f>
        <v>38382.93</v>
      </c>
      <c r="AS408" s="35">
        <v>0</v>
      </c>
      <c r="AT408" s="895">
        <v>185500.38</v>
      </c>
      <c r="AU408" s="891"/>
      <c r="AV408" s="568">
        <v>43759</v>
      </c>
      <c r="AW408" s="11">
        <v>43773</v>
      </c>
      <c r="AX408" s="223"/>
      <c r="AY408" s="52"/>
      <c r="AZ408" s="30">
        <v>43790</v>
      </c>
      <c r="BA408" s="5">
        <v>43759</v>
      </c>
      <c r="BB408" s="5">
        <v>43809</v>
      </c>
      <c r="BC408" s="11">
        <v>43789</v>
      </c>
      <c r="BD408" s="30">
        <v>43791</v>
      </c>
      <c r="BE408" s="309"/>
      <c r="BF408" s="5">
        <v>43759</v>
      </c>
      <c r="BG408" s="5">
        <v>43809</v>
      </c>
      <c r="BH408" s="5">
        <v>43789</v>
      </c>
      <c r="BI408" s="36">
        <f t="shared" si="12"/>
        <v>185500.38</v>
      </c>
      <c r="BJ408" s="62">
        <v>43794</v>
      </c>
      <c r="BK408" s="224"/>
      <c r="BL408" s="1027">
        <v>43755</v>
      </c>
      <c r="BM408" s="71">
        <v>43756</v>
      </c>
      <c r="BN408" s="71">
        <v>43759</v>
      </c>
      <c r="BO408" s="336"/>
      <c r="BP408" s="336"/>
      <c r="BQ408" s="336"/>
      <c r="BR408" s="914"/>
      <c r="BS408" s="1027">
        <v>43787</v>
      </c>
      <c r="BT408" s="1027"/>
      <c r="BU408" s="71"/>
      <c r="BV408" s="694" t="s">
        <v>68</v>
      </c>
      <c r="BW408" s="13"/>
      <c r="BX408" s="13"/>
      <c r="BY408" s="13"/>
      <c r="BZ408" s="13"/>
      <c r="CA408" s="13"/>
      <c r="CB408" s="1222" t="s">
        <v>2094</v>
      </c>
      <c r="CC408" s="38" t="s">
        <v>2866</v>
      </c>
      <c r="CD408" s="526"/>
      <c r="CE408" s="526"/>
      <c r="CF408" s="526"/>
      <c r="CG408" s="526"/>
      <c r="CH408" s="526"/>
      <c r="CI408" s="526"/>
      <c r="CJ408" s="526"/>
      <c r="CK408" s="15"/>
    </row>
    <row r="409" spans="2:89" customFormat="1" ht="92.25" hidden="1" customHeight="1">
      <c r="B409" s="22"/>
      <c r="C409" s="22"/>
      <c r="D409" s="22"/>
      <c r="E409" s="911">
        <v>44075</v>
      </c>
      <c r="F409" s="911"/>
      <c r="G409" s="915">
        <v>44008</v>
      </c>
      <c r="H409" s="1746"/>
      <c r="I409" s="330">
        <v>43805</v>
      </c>
      <c r="J409" s="169">
        <v>2019</v>
      </c>
      <c r="K409" s="1421">
        <v>196.26</v>
      </c>
      <c r="L409" s="1421"/>
      <c r="M409" s="170" t="s">
        <v>77</v>
      </c>
      <c r="N409" s="178" t="s">
        <v>1356</v>
      </c>
      <c r="O409" s="172" t="s">
        <v>79</v>
      </c>
      <c r="P409" s="173" t="s">
        <v>1357</v>
      </c>
      <c r="Q409" s="173" t="s">
        <v>1975</v>
      </c>
      <c r="R409" s="594">
        <v>135637.59</v>
      </c>
      <c r="S409" s="590">
        <v>43755</v>
      </c>
      <c r="T409" s="176">
        <v>43759</v>
      </c>
      <c r="U409" s="177">
        <v>43809</v>
      </c>
      <c r="V409" s="105">
        <v>43754</v>
      </c>
      <c r="W409" s="178" t="s">
        <v>1352</v>
      </c>
      <c r="X409" s="170" t="s">
        <v>3047</v>
      </c>
      <c r="Y409" s="611">
        <v>43728</v>
      </c>
      <c r="Z409" s="1372"/>
      <c r="AA409" s="33" t="s">
        <v>1358</v>
      </c>
      <c r="AB409" s="8">
        <v>43752</v>
      </c>
      <c r="AC409" s="4">
        <v>135636.20000000001</v>
      </c>
      <c r="AD409" s="4"/>
      <c r="AE409" s="32"/>
      <c r="AF409" s="34" t="s">
        <v>68</v>
      </c>
      <c r="AG409" s="112" t="s">
        <v>68</v>
      </c>
      <c r="AH409" s="112" t="s">
        <v>68</v>
      </c>
      <c r="AI409" s="7" t="s">
        <v>68</v>
      </c>
      <c r="AJ409" s="109" t="s">
        <v>68</v>
      </c>
      <c r="AK409" s="344" t="s">
        <v>1294</v>
      </c>
      <c r="AL409" s="1" t="s">
        <v>68</v>
      </c>
      <c r="AM409" s="5"/>
      <c r="AN409" s="5" t="s">
        <v>1359</v>
      </c>
      <c r="AO409" s="5">
        <v>43759</v>
      </c>
      <c r="AP409" s="242" t="s">
        <v>1360</v>
      </c>
      <c r="AQ409" s="5">
        <v>43791</v>
      </c>
      <c r="AR409" s="279">
        <f>13563.76+14027.43</f>
        <v>27591.190000000002</v>
      </c>
      <c r="AS409" s="35">
        <v>0</v>
      </c>
      <c r="AT409" s="895">
        <v>140274.29</v>
      </c>
      <c r="AU409" s="891"/>
      <c r="AV409" s="568">
        <v>43774</v>
      </c>
      <c r="AW409" s="11">
        <v>43782</v>
      </c>
      <c r="AX409" s="223"/>
      <c r="AY409" s="52"/>
      <c r="AZ409" s="30">
        <v>43790</v>
      </c>
      <c r="BA409" s="5">
        <v>43759</v>
      </c>
      <c r="BB409" s="5">
        <v>43809</v>
      </c>
      <c r="BC409" s="11">
        <v>43789</v>
      </c>
      <c r="BD409" s="30">
        <v>43791</v>
      </c>
      <c r="BE409" s="309"/>
      <c r="BF409" s="5">
        <v>43759</v>
      </c>
      <c r="BG409" s="5">
        <v>43809</v>
      </c>
      <c r="BH409" s="5">
        <v>43789</v>
      </c>
      <c r="BI409" s="36">
        <f t="shared" si="12"/>
        <v>140274.29</v>
      </c>
      <c r="BJ409" s="62">
        <v>43794</v>
      </c>
      <c r="BK409" s="224"/>
      <c r="BL409" s="1027">
        <v>43755</v>
      </c>
      <c r="BM409" s="325">
        <v>43756</v>
      </c>
      <c r="BN409" s="325">
        <v>43756</v>
      </c>
      <c r="BO409" s="1027"/>
      <c r="BP409" s="1027"/>
      <c r="BQ409" s="1027"/>
      <c r="BR409" s="914"/>
      <c r="BS409" s="1027">
        <v>43787</v>
      </c>
      <c r="BT409" s="1027"/>
      <c r="BU409" s="71"/>
      <c r="BV409" s="694" t="s">
        <v>68</v>
      </c>
      <c r="BW409" s="13"/>
      <c r="BX409" s="13"/>
      <c r="BY409" s="13"/>
      <c r="BZ409" s="13"/>
      <c r="CA409" s="13"/>
      <c r="CB409" s="1222" t="s">
        <v>2094</v>
      </c>
      <c r="CC409" s="38" t="s">
        <v>2866</v>
      </c>
      <c r="CD409" s="526"/>
      <c r="CE409" s="526"/>
      <c r="CF409" s="526"/>
      <c r="CG409" s="526"/>
      <c r="CH409" s="526"/>
      <c r="CI409" s="526"/>
      <c r="CJ409" s="526"/>
      <c r="CK409" s="15"/>
    </row>
    <row r="410" spans="2:89" customFormat="1" ht="92.25" hidden="1" customHeight="1">
      <c r="B410" s="22"/>
      <c r="C410" s="22"/>
      <c r="D410" s="22"/>
      <c r="E410" s="911">
        <v>44075</v>
      </c>
      <c r="F410" s="911"/>
      <c r="G410" s="915">
        <v>44014</v>
      </c>
      <c r="H410" s="1746"/>
      <c r="I410" s="330"/>
      <c r="J410" s="169">
        <v>2019</v>
      </c>
      <c r="K410" s="1421">
        <v>196.27</v>
      </c>
      <c r="L410" s="1421"/>
      <c r="M410" s="170" t="s">
        <v>77</v>
      </c>
      <c r="N410" s="178" t="s">
        <v>1361</v>
      </c>
      <c r="O410" s="172" t="s">
        <v>79</v>
      </c>
      <c r="P410" s="173" t="s">
        <v>1362</v>
      </c>
      <c r="Q410" s="173" t="s">
        <v>1975</v>
      </c>
      <c r="R410" s="594">
        <v>883708.77</v>
      </c>
      <c r="S410" s="542">
        <v>43755</v>
      </c>
      <c r="T410" s="176">
        <v>43759</v>
      </c>
      <c r="U410" s="177">
        <v>43809</v>
      </c>
      <c r="V410" s="981">
        <v>43754</v>
      </c>
      <c r="W410" s="178" t="s">
        <v>1352</v>
      </c>
      <c r="X410" s="170" t="s">
        <v>3047</v>
      </c>
      <c r="Y410" s="611">
        <v>43728</v>
      </c>
      <c r="Z410" s="1372"/>
      <c r="AA410" s="344" t="s">
        <v>1363</v>
      </c>
      <c r="AB410" s="8">
        <v>43752</v>
      </c>
      <c r="AC410" s="4">
        <v>883708.49</v>
      </c>
      <c r="AD410" s="4"/>
      <c r="AE410" s="32"/>
      <c r="AF410" s="34" t="s">
        <v>68</v>
      </c>
      <c r="AG410" s="112" t="s">
        <v>68</v>
      </c>
      <c r="AH410" s="112" t="s">
        <v>68</v>
      </c>
      <c r="AI410" s="7" t="s">
        <v>68</v>
      </c>
      <c r="AJ410" s="109" t="s">
        <v>68</v>
      </c>
      <c r="AK410" s="344" t="s">
        <v>1294</v>
      </c>
      <c r="AL410" s="1" t="s">
        <v>68</v>
      </c>
      <c r="AM410" s="5"/>
      <c r="AN410" s="343" t="s">
        <v>1364</v>
      </c>
      <c r="AO410" s="5">
        <v>43759</v>
      </c>
      <c r="AP410" s="343" t="s">
        <v>1365</v>
      </c>
      <c r="AQ410" s="5">
        <v>43809</v>
      </c>
      <c r="AR410" s="279">
        <f>88370.88+82617.22</f>
        <v>170988.1</v>
      </c>
      <c r="AS410" s="35">
        <v>0</v>
      </c>
      <c r="AT410" s="895">
        <v>826172.24</v>
      </c>
      <c r="AU410" s="891"/>
      <c r="AV410" s="568">
        <v>43784</v>
      </c>
      <c r="AW410" s="11">
        <v>43802</v>
      </c>
      <c r="AX410" s="223"/>
      <c r="AY410" s="52"/>
      <c r="AZ410" s="30">
        <v>43808</v>
      </c>
      <c r="BA410" s="5">
        <v>43759</v>
      </c>
      <c r="BB410" s="5">
        <v>43809</v>
      </c>
      <c r="BC410" s="11">
        <v>43808</v>
      </c>
      <c r="BD410" s="30">
        <v>43809</v>
      </c>
      <c r="BE410" s="309"/>
      <c r="BF410" s="5">
        <v>43759</v>
      </c>
      <c r="BG410" s="5">
        <v>43809</v>
      </c>
      <c r="BH410" s="5">
        <v>43808</v>
      </c>
      <c r="BI410" s="36">
        <f t="shared" si="12"/>
        <v>826172.24</v>
      </c>
      <c r="BJ410" s="62">
        <v>43810</v>
      </c>
      <c r="BK410" s="224"/>
      <c r="BL410" s="1027">
        <v>43797</v>
      </c>
      <c r="BM410" s="325">
        <v>43756</v>
      </c>
      <c r="BN410" s="325">
        <v>43756</v>
      </c>
      <c r="BO410" s="1027"/>
      <c r="BP410" s="1027"/>
      <c r="BQ410" s="1027"/>
      <c r="BR410" s="914"/>
      <c r="BS410" s="1027">
        <v>43804</v>
      </c>
      <c r="BT410" s="1027"/>
      <c r="BU410" s="71">
        <v>43791</v>
      </c>
      <c r="BV410" s="694" t="s">
        <v>68</v>
      </c>
      <c r="BW410" s="13"/>
      <c r="BX410" s="13"/>
      <c r="BY410" s="13"/>
      <c r="BZ410" s="13"/>
      <c r="CA410" s="13"/>
      <c r="CB410" s="1222" t="s">
        <v>2094</v>
      </c>
      <c r="CC410" s="38" t="s">
        <v>2866</v>
      </c>
      <c r="CD410" s="526"/>
      <c r="CE410" s="526"/>
      <c r="CF410" s="526"/>
      <c r="CG410" s="526"/>
      <c r="CH410" s="526"/>
      <c r="CI410" s="526"/>
      <c r="CJ410" s="526"/>
      <c r="CK410" s="15"/>
    </row>
    <row r="411" spans="2:89" customFormat="1" ht="92.25" hidden="1" customHeight="1">
      <c r="B411" s="22"/>
      <c r="C411" s="22"/>
      <c r="D411" s="22"/>
      <c r="E411" s="911">
        <v>44075</v>
      </c>
      <c r="F411" s="911"/>
      <c r="G411" s="915">
        <v>44011</v>
      </c>
      <c r="H411" s="1746"/>
      <c r="I411" s="330">
        <v>43837</v>
      </c>
      <c r="J411" s="169">
        <v>2019</v>
      </c>
      <c r="K411" s="1421">
        <v>196.28</v>
      </c>
      <c r="L411" s="1421"/>
      <c r="M411" s="170" t="s">
        <v>77</v>
      </c>
      <c r="N411" s="178" t="s">
        <v>1366</v>
      </c>
      <c r="O411" s="172" t="s">
        <v>79</v>
      </c>
      <c r="P411" s="173" t="s">
        <v>1367</v>
      </c>
      <c r="Q411" s="173" t="s">
        <v>1975</v>
      </c>
      <c r="R411" s="594">
        <v>269609.8</v>
      </c>
      <c r="S411" s="590">
        <v>43754</v>
      </c>
      <c r="T411" s="176">
        <v>43755</v>
      </c>
      <c r="U411" s="177">
        <v>43799</v>
      </c>
      <c r="V411" s="105">
        <v>43753</v>
      </c>
      <c r="W411" s="178" t="s">
        <v>1368</v>
      </c>
      <c r="X411" s="170" t="s">
        <v>449</v>
      </c>
      <c r="Y411" s="200">
        <v>43757</v>
      </c>
      <c r="Z411" s="368"/>
      <c r="AA411" s="33" t="s">
        <v>1369</v>
      </c>
      <c r="AB411" s="8">
        <v>43752</v>
      </c>
      <c r="AC411" s="4">
        <v>269607.82</v>
      </c>
      <c r="AD411" s="4"/>
      <c r="AE411" s="32"/>
      <c r="AF411" s="34" t="s">
        <v>68</v>
      </c>
      <c r="AG411" s="112" t="s">
        <v>68</v>
      </c>
      <c r="AH411" s="112" t="s">
        <v>68</v>
      </c>
      <c r="AI411" s="7" t="s">
        <v>68</v>
      </c>
      <c r="AJ411" s="109" t="s">
        <v>68</v>
      </c>
      <c r="AK411" s="33" t="s">
        <v>1270</v>
      </c>
      <c r="AL411" s="1" t="s">
        <v>68</v>
      </c>
      <c r="AM411" s="5"/>
      <c r="AN411" s="2" t="s">
        <v>1370</v>
      </c>
      <c r="AO411" s="5">
        <v>43754</v>
      </c>
      <c r="AP411" s="2" t="s">
        <v>1370</v>
      </c>
      <c r="AQ411" s="5">
        <v>43756</v>
      </c>
      <c r="AR411" s="279">
        <f>29595.34+26960.96</f>
        <v>56556.3</v>
      </c>
      <c r="AS411" s="35">
        <v>0</v>
      </c>
      <c r="AT411" s="895">
        <v>295953.42</v>
      </c>
      <c r="AU411" s="891"/>
      <c r="AV411" s="66" t="s">
        <v>74</v>
      </c>
      <c r="AW411" s="11"/>
      <c r="AX411" s="223" t="s">
        <v>68</v>
      </c>
      <c r="AY411" s="52" t="s">
        <v>68</v>
      </c>
      <c r="AZ411" s="30">
        <v>43775</v>
      </c>
      <c r="BA411" s="5">
        <v>43755</v>
      </c>
      <c r="BB411" s="5">
        <v>43799</v>
      </c>
      <c r="BC411" s="5">
        <v>43775</v>
      </c>
      <c r="BD411" s="30">
        <v>43776</v>
      </c>
      <c r="BE411" s="309"/>
      <c r="BF411" s="5">
        <v>43755</v>
      </c>
      <c r="BG411" s="5">
        <v>43799</v>
      </c>
      <c r="BH411" s="5">
        <v>43775</v>
      </c>
      <c r="BI411" s="36">
        <f t="shared" si="12"/>
        <v>295953.42</v>
      </c>
      <c r="BJ411" s="62">
        <v>43776</v>
      </c>
      <c r="BK411" s="224"/>
      <c r="BL411" s="1027">
        <v>43752</v>
      </c>
      <c r="BM411" s="71">
        <v>43755</v>
      </c>
      <c r="BN411" s="71">
        <v>43755</v>
      </c>
      <c r="BO411" s="71"/>
      <c r="BP411" s="71"/>
      <c r="BQ411" s="71"/>
      <c r="BR411" s="914"/>
      <c r="BS411" s="234" t="s">
        <v>74</v>
      </c>
      <c r="BT411" s="1401"/>
      <c r="BU411" s="336">
        <v>43756</v>
      </c>
      <c r="BV411" s="694" t="s">
        <v>68</v>
      </c>
      <c r="BW411" s="13"/>
      <c r="BX411" s="13">
        <v>0</v>
      </c>
      <c r="BY411" s="13"/>
      <c r="BZ411" s="13"/>
      <c r="CA411" s="13"/>
      <c r="CB411" s="1222" t="s">
        <v>2094</v>
      </c>
      <c r="CC411" s="38"/>
      <c r="CD411" s="526"/>
      <c r="CE411" s="526"/>
      <c r="CF411" s="526"/>
      <c r="CG411" s="526"/>
      <c r="CH411" s="526"/>
      <c r="CI411" s="526"/>
      <c r="CJ411" s="526"/>
      <c r="CK411" s="15"/>
    </row>
    <row r="412" spans="2:89" customFormat="1" ht="92.25" hidden="1" customHeight="1">
      <c r="B412" s="22"/>
      <c r="C412" s="22"/>
      <c r="D412" s="22"/>
      <c r="E412" s="911">
        <v>44075</v>
      </c>
      <c r="F412" s="911"/>
      <c r="G412" s="915">
        <v>44008</v>
      </c>
      <c r="H412" s="1746"/>
      <c r="I412" s="330"/>
      <c r="J412" s="169">
        <v>2019</v>
      </c>
      <c r="K412" s="1421">
        <v>196.29</v>
      </c>
      <c r="L412" s="1421"/>
      <c r="M412" s="170" t="s">
        <v>77</v>
      </c>
      <c r="N412" s="178" t="s">
        <v>1371</v>
      </c>
      <c r="O412" s="172" t="s">
        <v>79</v>
      </c>
      <c r="P412" s="173" t="s">
        <v>1372</v>
      </c>
      <c r="Q412" s="173" t="s">
        <v>1975</v>
      </c>
      <c r="R412" s="594">
        <v>104875.19</v>
      </c>
      <c r="S412" s="542">
        <v>43754</v>
      </c>
      <c r="T412" s="176">
        <v>43762</v>
      </c>
      <c r="U412" s="177">
        <v>43799</v>
      </c>
      <c r="V412" s="981">
        <v>43753</v>
      </c>
      <c r="W412" s="178" t="s">
        <v>1368</v>
      </c>
      <c r="X412" s="170" t="s">
        <v>449</v>
      </c>
      <c r="Y412" s="611">
        <v>43757</v>
      </c>
      <c r="Z412" s="1372"/>
      <c r="AA412" s="241" t="s">
        <v>1373</v>
      </c>
      <c r="AB412" s="8">
        <v>43752</v>
      </c>
      <c r="AC412" s="4">
        <v>201224.82</v>
      </c>
      <c r="AD412" s="4"/>
      <c r="AE412" s="32"/>
      <c r="AF412" s="34"/>
      <c r="AG412" s="112"/>
      <c r="AH412" s="112"/>
      <c r="AI412" s="7"/>
      <c r="AJ412" s="109"/>
      <c r="AK412" s="344" t="s">
        <v>1374</v>
      </c>
      <c r="AL412" s="1" t="s">
        <v>68</v>
      </c>
      <c r="AM412" s="5"/>
      <c r="AN412" s="343" t="s">
        <v>1375</v>
      </c>
      <c r="AO412" s="5">
        <v>43753</v>
      </c>
      <c r="AP412" s="343" t="s">
        <v>1376</v>
      </c>
      <c r="AQ412" s="5">
        <v>43794</v>
      </c>
      <c r="AR412" s="279">
        <f>10487.52+10482.52</f>
        <v>20970.04</v>
      </c>
      <c r="AS412" s="35">
        <v>0</v>
      </c>
      <c r="AT412" s="895">
        <v>104872.2</v>
      </c>
      <c r="AU412" s="891"/>
      <c r="AV412" s="66" t="s">
        <v>74</v>
      </c>
      <c r="AW412" s="11"/>
      <c r="AX412" s="223"/>
      <c r="AY412" s="52"/>
      <c r="AZ412" s="5">
        <v>43799</v>
      </c>
      <c r="BA412" s="5">
        <v>43762</v>
      </c>
      <c r="BB412" s="5">
        <v>43799</v>
      </c>
      <c r="BC412" s="11">
        <v>43799</v>
      </c>
      <c r="BD412" s="324">
        <v>43799</v>
      </c>
      <c r="BE412" s="1615"/>
      <c r="BF412" s="5">
        <v>43762</v>
      </c>
      <c r="BG412" s="5">
        <v>43799</v>
      </c>
      <c r="BH412" s="5">
        <v>43799</v>
      </c>
      <c r="BI412" s="36">
        <f t="shared" si="12"/>
        <v>104872.2</v>
      </c>
      <c r="BJ412" s="1024">
        <v>43799</v>
      </c>
      <c r="BK412" s="1027"/>
      <c r="BL412" s="336">
        <v>43761</v>
      </c>
      <c r="BM412" s="71">
        <v>43762</v>
      </c>
      <c r="BN412" s="71">
        <v>43762</v>
      </c>
      <c r="BO412" s="71"/>
      <c r="BP412" s="71"/>
      <c r="BQ412" s="71"/>
      <c r="BR412" s="914"/>
      <c r="BS412" s="612">
        <v>43799</v>
      </c>
      <c r="BT412" s="1262"/>
      <c r="BU412" s="1030"/>
      <c r="BV412" s="694" t="s">
        <v>68</v>
      </c>
      <c r="BW412" s="13"/>
      <c r="BX412" s="13"/>
      <c r="BY412" s="13"/>
      <c r="BZ412" s="13"/>
      <c r="CA412" s="13"/>
      <c r="CB412" s="1222" t="s">
        <v>2094</v>
      </c>
      <c r="CC412" s="38"/>
      <c r="CD412" s="526"/>
      <c r="CE412" s="526"/>
      <c r="CF412" s="526"/>
      <c r="CG412" s="526"/>
      <c r="CH412" s="526"/>
      <c r="CI412" s="526"/>
      <c r="CJ412" s="526"/>
      <c r="CK412" s="15"/>
    </row>
    <row r="413" spans="2:89" customFormat="1" ht="83.25" hidden="1" customHeight="1">
      <c r="B413" s="22"/>
      <c r="C413" s="22"/>
      <c r="D413" s="22"/>
      <c r="E413" s="911">
        <v>44075</v>
      </c>
      <c r="F413" s="911"/>
      <c r="G413" s="915">
        <v>44013</v>
      </c>
      <c r="H413" s="1746"/>
      <c r="I413" s="330">
        <v>43837</v>
      </c>
      <c r="J413" s="169">
        <v>2019</v>
      </c>
      <c r="K413" s="1421">
        <v>196.3</v>
      </c>
      <c r="L413" s="1421"/>
      <c r="M413" s="170" t="s">
        <v>77</v>
      </c>
      <c r="N413" s="178" t="s">
        <v>1377</v>
      </c>
      <c r="O413" s="172" t="s">
        <v>79</v>
      </c>
      <c r="P413" s="173" t="s">
        <v>1378</v>
      </c>
      <c r="Q413" s="173" t="s">
        <v>1975</v>
      </c>
      <c r="R413" s="594">
        <v>702979.49</v>
      </c>
      <c r="S413" s="590">
        <v>43754</v>
      </c>
      <c r="T413" s="176">
        <v>43762</v>
      </c>
      <c r="U413" s="177">
        <v>43799</v>
      </c>
      <c r="V413" s="105">
        <v>43753</v>
      </c>
      <c r="W413" s="178" t="s">
        <v>1368</v>
      </c>
      <c r="X413" s="170" t="s">
        <v>449</v>
      </c>
      <c r="Y413" s="611">
        <v>43757</v>
      </c>
      <c r="Z413" s="1372"/>
      <c r="AA413" s="33" t="s">
        <v>1379</v>
      </c>
      <c r="AB413" s="8">
        <v>43752</v>
      </c>
      <c r="AC413" s="4">
        <v>702981.41</v>
      </c>
      <c r="AD413" s="4"/>
      <c r="AE413" s="32"/>
      <c r="AF413" s="34" t="s">
        <v>68</v>
      </c>
      <c r="AG413" s="112" t="s">
        <v>68</v>
      </c>
      <c r="AH413" s="112" t="s">
        <v>68</v>
      </c>
      <c r="AI413" s="7" t="s">
        <v>68</v>
      </c>
      <c r="AJ413" s="109" t="s">
        <v>68</v>
      </c>
      <c r="AK413" s="344" t="s">
        <v>1380</v>
      </c>
      <c r="AL413" s="343" t="s">
        <v>68</v>
      </c>
      <c r="AM413" s="325"/>
      <c r="AN413" s="343" t="s">
        <v>1381</v>
      </c>
      <c r="AO413" s="325">
        <v>43754</v>
      </c>
      <c r="AP413" s="343" t="s">
        <v>1382</v>
      </c>
      <c r="AQ413" s="5">
        <v>43801</v>
      </c>
      <c r="AR413" s="279">
        <f>70297.95+74574.27</f>
        <v>144872.22</v>
      </c>
      <c r="AS413" s="35">
        <v>0</v>
      </c>
      <c r="AT413" s="895">
        <v>745742.71</v>
      </c>
      <c r="AU413" s="891"/>
      <c r="AV413" s="66" t="s">
        <v>74</v>
      </c>
      <c r="AW413" s="11"/>
      <c r="AX413" s="223" t="s">
        <v>68</v>
      </c>
      <c r="AY413" s="52" t="s">
        <v>68</v>
      </c>
      <c r="AZ413" s="324">
        <v>43801</v>
      </c>
      <c r="BA413" s="5">
        <v>43762</v>
      </c>
      <c r="BB413" s="5">
        <v>43799</v>
      </c>
      <c r="BC413" s="11">
        <v>43799</v>
      </c>
      <c r="BD413" s="324" t="s">
        <v>1383</v>
      </c>
      <c r="BE413" s="1615"/>
      <c r="BF413" s="325">
        <v>43762</v>
      </c>
      <c r="BG413" s="325">
        <v>43799</v>
      </c>
      <c r="BH413" s="5">
        <v>43799</v>
      </c>
      <c r="BI413" s="36">
        <f t="shared" si="12"/>
        <v>745742.71</v>
      </c>
      <c r="BJ413" s="1024">
        <v>43801</v>
      </c>
      <c r="BK413" s="1027"/>
      <c r="BL413" s="1027">
        <v>43755</v>
      </c>
      <c r="BM413" s="325">
        <v>43762</v>
      </c>
      <c r="BN413" s="325">
        <v>43762</v>
      </c>
      <c r="BO413" s="325"/>
      <c r="BP413" s="325"/>
      <c r="BQ413" s="325"/>
      <c r="BR413" s="914"/>
      <c r="BS413" s="325">
        <v>43799</v>
      </c>
      <c r="BT413" s="1027"/>
      <c r="BU413" s="336">
        <v>43787</v>
      </c>
      <c r="BV413" s="694" t="s">
        <v>68</v>
      </c>
      <c r="BW413" s="13"/>
      <c r="BX413" s="13">
        <v>0</v>
      </c>
      <c r="BY413" s="13"/>
      <c r="BZ413" s="13"/>
      <c r="CA413" s="13"/>
      <c r="CB413" s="1222" t="s">
        <v>2094</v>
      </c>
      <c r="CC413" s="38"/>
      <c r="CD413" s="526"/>
      <c r="CE413" s="526"/>
      <c r="CF413" s="526"/>
      <c r="CG413" s="526"/>
      <c r="CH413" s="526"/>
      <c r="CI413" s="526"/>
      <c r="CJ413" s="526"/>
      <c r="CK413" s="15"/>
    </row>
    <row r="414" spans="2:89" customFormat="1" ht="60" hidden="1" customHeight="1">
      <c r="B414" s="22"/>
      <c r="C414" s="22"/>
      <c r="D414" s="22"/>
      <c r="E414" s="911">
        <v>44075</v>
      </c>
      <c r="F414" s="911"/>
      <c r="G414" s="915">
        <v>44008</v>
      </c>
      <c r="H414" s="1746"/>
      <c r="I414" s="330"/>
      <c r="J414" s="169">
        <v>2019</v>
      </c>
      <c r="K414" s="1421">
        <v>196.31</v>
      </c>
      <c r="L414" s="1421"/>
      <c r="M414" s="170" t="s">
        <v>77</v>
      </c>
      <c r="N414" s="178" t="s">
        <v>1384</v>
      </c>
      <c r="O414" s="172" t="s">
        <v>79</v>
      </c>
      <c r="P414" s="173" t="s">
        <v>1385</v>
      </c>
      <c r="Q414" s="173" t="s">
        <v>2538</v>
      </c>
      <c r="R414" s="594">
        <v>311860.06</v>
      </c>
      <c r="S414" s="590">
        <v>43754</v>
      </c>
      <c r="T414" s="176">
        <v>43759</v>
      </c>
      <c r="U414" s="177">
        <v>43790</v>
      </c>
      <c r="V414" s="105">
        <v>43753</v>
      </c>
      <c r="W414" s="178" t="s">
        <v>1225</v>
      </c>
      <c r="X414" s="170" t="s">
        <v>3047</v>
      </c>
      <c r="Y414" s="611">
        <v>43684</v>
      </c>
      <c r="Z414" s="1372"/>
      <c r="AA414" s="33" t="s">
        <v>1386</v>
      </c>
      <c r="AB414" s="8">
        <v>43752</v>
      </c>
      <c r="AC414" s="4">
        <v>311860.59999999998</v>
      </c>
      <c r="AD414" s="4"/>
      <c r="AE414" s="32"/>
      <c r="AF414" s="34" t="s">
        <v>68</v>
      </c>
      <c r="AG414" s="112" t="s">
        <v>68</v>
      </c>
      <c r="AH414" s="112" t="s">
        <v>68</v>
      </c>
      <c r="AI414" s="7" t="s">
        <v>68</v>
      </c>
      <c r="AJ414" s="109" t="s">
        <v>68</v>
      </c>
      <c r="AK414" s="33" t="s">
        <v>855</v>
      </c>
      <c r="AL414" s="1" t="s">
        <v>68</v>
      </c>
      <c r="AM414" s="5"/>
      <c r="AN414" s="1">
        <v>190521</v>
      </c>
      <c r="AO414" s="5">
        <v>43783</v>
      </c>
      <c r="AP414" s="1">
        <v>190522</v>
      </c>
      <c r="AQ414" s="5">
        <v>43783</v>
      </c>
      <c r="AR414" s="279">
        <f>31186+31186</f>
        <v>62372</v>
      </c>
      <c r="AS414" s="35">
        <v>0</v>
      </c>
      <c r="AT414" s="900">
        <v>317393.01</v>
      </c>
      <c r="AU414" s="891"/>
      <c r="AV414" s="324">
        <v>43759</v>
      </c>
      <c r="AW414" s="1031">
        <v>43783</v>
      </c>
      <c r="AX414" s="223" t="s">
        <v>68</v>
      </c>
      <c r="AY414" s="52" t="s">
        <v>68</v>
      </c>
      <c r="AZ414" s="30">
        <v>43784</v>
      </c>
      <c r="BA414" s="5">
        <v>43759</v>
      </c>
      <c r="BB414" s="5">
        <v>43790</v>
      </c>
      <c r="BC414" s="5">
        <v>43790</v>
      </c>
      <c r="BD414" s="30">
        <v>43788</v>
      </c>
      <c r="BE414" s="309"/>
      <c r="BF414" s="5">
        <v>43759</v>
      </c>
      <c r="BG414" s="5">
        <v>43790</v>
      </c>
      <c r="BH414" s="5">
        <v>43783</v>
      </c>
      <c r="BI414" s="1036">
        <f t="shared" si="12"/>
        <v>317393.01</v>
      </c>
      <c r="BJ414" s="62">
        <v>43789</v>
      </c>
      <c r="BK414" s="224"/>
      <c r="BL414" s="1027">
        <v>43755</v>
      </c>
      <c r="BM414" s="71">
        <v>43759</v>
      </c>
      <c r="BN414" s="71">
        <v>43790</v>
      </c>
      <c r="BO414" s="71"/>
      <c r="BP414" s="71"/>
      <c r="BQ414" s="71"/>
      <c r="BR414" s="914"/>
      <c r="BS414" s="325">
        <v>43782</v>
      </c>
      <c r="BT414" s="1027"/>
      <c r="BU414" s="336"/>
      <c r="BV414" s="694" t="s">
        <v>68</v>
      </c>
      <c r="BW414" s="13"/>
      <c r="BX414" s="13"/>
      <c r="BY414" s="13"/>
      <c r="BZ414" s="13"/>
      <c r="CA414" s="13"/>
      <c r="CB414" s="1222" t="s">
        <v>2094</v>
      </c>
      <c r="CC414" s="586" t="s">
        <v>1143</v>
      </c>
      <c r="CD414" s="526"/>
      <c r="CE414" s="526"/>
      <c r="CF414" s="526"/>
      <c r="CG414" s="526"/>
      <c r="CH414" s="526"/>
      <c r="CI414" s="526"/>
      <c r="CJ414" s="526"/>
      <c r="CK414" s="15"/>
    </row>
    <row r="415" spans="2:89" s="1050" customFormat="1" ht="34.5" hidden="1" customHeight="1">
      <c r="B415" s="1051"/>
      <c r="C415" s="1051"/>
      <c r="D415" s="1051"/>
      <c r="E415" s="1052"/>
      <c r="F415" s="1052"/>
      <c r="G415" s="553"/>
      <c r="H415" s="620"/>
      <c r="I415" s="620"/>
      <c r="J415" s="1053">
        <v>2019</v>
      </c>
      <c r="K415" s="1420">
        <v>196.32</v>
      </c>
      <c r="L415" s="1420"/>
      <c r="M415" s="1054"/>
      <c r="N415" s="1055" t="s">
        <v>1387</v>
      </c>
      <c r="O415" s="790" t="s">
        <v>251</v>
      </c>
      <c r="P415" s="1056"/>
      <c r="Q415" s="1056"/>
      <c r="R415" s="1057"/>
      <c r="S415" s="1058"/>
      <c r="T415" s="1059"/>
      <c r="U415" s="1060"/>
      <c r="V415" s="1061"/>
      <c r="W415" s="1055"/>
      <c r="X415" s="1054"/>
      <c r="Y415" s="1062"/>
      <c r="Z415" s="1377"/>
      <c r="AA415" s="308"/>
      <c r="AB415" s="1063"/>
      <c r="AC415" s="1064"/>
      <c r="AD415" s="1064"/>
      <c r="AE415" s="1065"/>
      <c r="AF415" s="1066" t="s">
        <v>68</v>
      </c>
      <c r="AG415" s="1067" t="s">
        <v>68</v>
      </c>
      <c r="AH415" s="1067" t="s">
        <v>68</v>
      </c>
      <c r="AI415" s="1068" t="s">
        <v>68</v>
      </c>
      <c r="AJ415" s="1069" t="s">
        <v>68</v>
      </c>
      <c r="AK415" s="308"/>
      <c r="AL415" s="1070"/>
      <c r="AM415" s="1071"/>
      <c r="AN415" s="1070"/>
      <c r="AO415" s="1071"/>
      <c r="AP415" s="1070"/>
      <c r="AQ415" s="1071"/>
      <c r="AR415" s="1072"/>
      <c r="AS415" s="1073">
        <v>0</v>
      </c>
      <c r="AT415" s="1074"/>
      <c r="AU415" s="1075"/>
      <c r="AV415" s="1076"/>
      <c r="AW415" s="1077"/>
      <c r="AX415" s="1078"/>
      <c r="AY415" s="1079"/>
      <c r="AZ415" s="1076"/>
      <c r="BA415" s="1071"/>
      <c r="BB415" s="1071"/>
      <c r="BC415" s="1077"/>
      <c r="BD415" s="1076"/>
      <c r="BE415" s="1608"/>
      <c r="BF415" s="1071"/>
      <c r="BG415" s="1071"/>
      <c r="BH415" s="1071"/>
      <c r="BI415" s="1081">
        <f t="shared" si="12"/>
        <v>0</v>
      </c>
      <c r="BJ415" s="1082"/>
      <c r="BK415" s="1816"/>
      <c r="BL415" s="1470" t="s">
        <v>68</v>
      </c>
      <c r="BM415" s="1471" t="s">
        <v>68</v>
      </c>
      <c r="BN415" s="1471" t="s">
        <v>68</v>
      </c>
      <c r="BO415" s="1470"/>
      <c r="BP415" s="1470"/>
      <c r="BQ415" s="1470"/>
      <c r="BR415" s="914"/>
      <c r="BS415" s="1470"/>
      <c r="BT415" s="1470"/>
      <c r="BU415" s="1470"/>
      <c r="BV415" s="1470" t="s">
        <v>68</v>
      </c>
      <c r="BW415" s="1082"/>
      <c r="BX415" s="1082"/>
      <c r="BY415" s="1082"/>
      <c r="BZ415" s="1082"/>
      <c r="CA415" s="1082"/>
      <c r="CB415" s="1486" t="s">
        <v>2094</v>
      </c>
      <c r="CC415" s="1085"/>
      <c r="CD415" s="789"/>
      <c r="CE415" s="789"/>
      <c r="CF415" s="789"/>
      <c r="CG415" s="789"/>
      <c r="CH415" s="789"/>
      <c r="CI415" s="789"/>
      <c r="CJ415" s="789"/>
      <c r="CK415" s="1086"/>
    </row>
    <row r="416" spans="2:89" s="1050" customFormat="1" ht="34.5" hidden="1" customHeight="1">
      <c r="B416" s="1051"/>
      <c r="C416" s="1051"/>
      <c r="D416" s="1051"/>
      <c r="E416" s="1052"/>
      <c r="F416" s="1052"/>
      <c r="G416" s="553"/>
      <c r="H416" s="620"/>
      <c r="I416" s="620"/>
      <c r="J416" s="1053">
        <v>2019</v>
      </c>
      <c r="K416" s="1420">
        <v>196.33</v>
      </c>
      <c r="L416" s="1420"/>
      <c r="M416" s="1054"/>
      <c r="N416" s="1055" t="s">
        <v>1388</v>
      </c>
      <c r="O416" s="790" t="s">
        <v>251</v>
      </c>
      <c r="P416" s="1056"/>
      <c r="Q416" s="1056"/>
      <c r="R416" s="1057"/>
      <c r="S416" s="1058"/>
      <c r="T416" s="1059"/>
      <c r="U416" s="1060"/>
      <c r="V416" s="1061"/>
      <c r="W416" s="1055"/>
      <c r="X416" s="1054"/>
      <c r="Y416" s="1062"/>
      <c r="Z416" s="1377"/>
      <c r="AA416" s="308"/>
      <c r="AB416" s="1063"/>
      <c r="AC416" s="1064"/>
      <c r="AD416" s="1064"/>
      <c r="AE416" s="1065"/>
      <c r="AF416" s="1066" t="s">
        <v>68</v>
      </c>
      <c r="AG416" s="1067" t="s">
        <v>68</v>
      </c>
      <c r="AH416" s="1067" t="s">
        <v>68</v>
      </c>
      <c r="AI416" s="1068" t="s">
        <v>68</v>
      </c>
      <c r="AJ416" s="1069" t="s">
        <v>68</v>
      </c>
      <c r="AK416" s="308"/>
      <c r="AL416" s="1070"/>
      <c r="AM416" s="1071"/>
      <c r="AN416" s="1070"/>
      <c r="AO416" s="1071"/>
      <c r="AP416" s="1070"/>
      <c r="AQ416" s="1071"/>
      <c r="AR416" s="1072"/>
      <c r="AS416" s="1073">
        <v>0</v>
      </c>
      <c r="AT416" s="1074"/>
      <c r="AU416" s="1075"/>
      <c r="AV416" s="1076"/>
      <c r="AW416" s="1077"/>
      <c r="AX416" s="1078"/>
      <c r="AY416" s="1079"/>
      <c r="AZ416" s="1076"/>
      <c r="BA416" s="1071"/>
      <c r="BB416" s="1071"/>
      <c r="BC416" s="1077"/>
      <c r="BD416" s="1076"/>
      <c r="BE416" s="1608"/>
      <c r="BF416" s="1071"/>
      <c r="BG416" s="1071"/>
      <c r="BH416" s="1071"/>
      <c r="BI416" s="1081">
        <f t="shared" si="12"/>
        <v>0</v>
      </c>
      <c r="BJ416" s="1082"/>
      <c r="BK416" s="1816"/>
      <c r="BL416" s="1470" t="s">
        <v>68</v>
      </c>
      <c r="BM416" s="1471" t="s">
        <v>68</v>
      </c>
      <c r="BN416" s="1471" t="s">
        <v>68</v>
      </c>
      <c r="BO416" s="1470"/>
      <c r="BP416" s="1470"/>
      <c r="BQ416" s="1470"/>
      <c r="BR416" s="914"/>
      <c r="BS416" s="1470"/>
      <c r="BT416" s="1470"/>
      <c r="BU416" s="1470"/>
      <c r="BV416" s="1470" t="s">
        <v>68</v>
      </c>
      <c r="BW416" s="1082"/>
      <c r="BX416" s="1082"/>
      <c r="BY416" s="1082"/>
      <c r="BZ416" s="1082"/>
      <c r="CA416" s="1082"/>
      <c r="CB416" s="1486" t="s">
        <v>2094</v>
      </c>
      <c r="CC416" s="1085"/>
      <c r="CD416" s="789"/>
      <c r="CE416" s="789"/>
      <c r="CF416" s="789"/>
      <c r="CG416" s="789"/>
      <c r="CH416" s="789"/>
      <c r="CI416" s="789"/>
      <c r="CJ416" s="789"/>
      <c r="CK416" s="1086"/>
    </row>
    <row r="417" spans="1:89" ht="109.5" hidden="1" customHeight="1">
      <c r="A417"/>
      <c r="B417" s="22"/>
      <c r="C417" s="22"/>
      <c r="D417" s="22"/>
      <c r="E417" s="911">
        <v>44075</v>
      </c>
      <c r="F417" s="911"/>
      <c r="G417" s="915">
        <v>44011</v>
      </c>
      <c r="H417" s="1746"/>
      <c r="I417" s="330">
        <v>43830</v>
      </c>
      <c r="J417" s="169">
        <v>2019</v>
      </c>
      <c r="K417" s="1421">
        <v>196.34</v>
      </c>
      <c r="L417" s="1421"/>
      <c r="M417" s="170" t="s">
        <v>77</v>
      </c>
      <c r="N417" s="178" t="s">
        <v>1389</v>
      </c>
      <c r="O417" s="172" t="s">
        <v>79</v>
      </c>
      <c r="P417" s="173" t="s">
        <v>1390</v>
      </c>
      <c r="Q417" s="173" t="s">
        <v>4409</v>
      </c>
      <c r="R417" s="594">
        <v>82700.09</v>
      </c>
      <c r="S417" s="590">
        <v>43754</v>
      </c>
      <c r="T417" s="176">
        <v>43755</v>
      </c>
      <c r="U417" s="177">
        <v>43767</v>
      </c>
      <c r="V417" s="105">
        <v>43753</v>
      </c>
      <c r="W417" s="178" t="s">
        <v>1302</v>
      </c>
      <c r="X417" s="170" t="s">
        <v>3047</v>
      </c>
      <c r="Y417" s="611">
        <v>43710</v>
      </c>
      <c r="Z417" s="1372"/>
      <c r="AA417" s="33" t="s">
        <v>1391</v>
      </c>
      <c r="AB417" s="8">
        <v>43752</v>
      </c>
      <c r="AC417" s="4">
        <v>82700.75</v>
      </c>
      <c r="AD417" s="4"/>
      <c r="AE417" s="32"/>
      <c r="AF417" s="34" t="s">
        <v>68</v>
      </c>
      <c r="AG417" s="112" t="s">
        <v>68</v>
      </c>
      <c r="AH417" s="112" t="s">
        <v>68</v>
      </c>
      <c r="AI417" s="7" t="s">
        <v>68</v>
      </c>
      <c r="AJ417" s="109" t="s">
        <v>68</v>
      </c>
      <c r="AK417" s="33" t="s">
        <v>855</v>
      </c>
      <c r="AL417" s="1" t="s">
        <v>68</v>
      </c>
      <c r="AM417" s="5"/>
      <c r="AN417" s="1">
        <v>190514</v>
      </c>
      <c r="AO417" s="5">
        <v>43754</v>
      </c>
      <c r="AP417" s="1">
        <v>190515</v>
      </c>
      <c r="AQ417" s="5">
        <v>43754</v>
      </c>
      <c r="AR417" s="279">
        <f>8270+40065.01</f>
        <v>48335.01</v>
      </c>
      <c r="AS417" s="35">
        <v>0</v>
      </c>
      <c r="AT417" s="895">
        <v>82700.08</v>
      </c>
      <c r="AU417" s="891"/>
      <c r="AV417" s="66" t="s">
        <v>74</v>
      </c>
      <c r="AW417" s="11"/>
      <c r="AX417" s="223" t="s">
        <v>68</v>
      </c>
      <c r="AY417" s="52" t="s">
        <v>68</v>
      </c>
      <c r="AZ417" s="30">
        <v>43763</v>
      </c>
      <c r="BA417" s="5">
        <v>43755</v>
      </c>
      <c r="BB417" s="5">
        <v>43767</v>
      </c>
      <c r="BC417" s="11"/>
      <c r="BD417" s="30">
        <v>43766</v>
      </c>
      <c r="BE417" s="309"/>
      <c r="BF417" s="5">
        <v>43755</v>
      </c>
      <c r="BG417" s="5">
        <v>43767</v>
      </c>
      <c r="BH417" s="5">
        <v>43762</v>
      </c>
      <c r="BI417" s="36">
        <f t="shared" si="12"/>
        <v>82700.08</v>
      </c>
      <c r="BJ417" s="62">
        <v>43766</v>
      </c>
      <c r="BK417" s="224"/>
      <c r="BL417" s="336">
        <v>43750</v>
      </c>
      <c r="BM417" s="71">
        <v>43754</v>
      </c>
      <c r="BN417" s="71">
        <v>43754</v>
      </c>
      <c r="BO417" s="71"/>
      <c r="BP417" s="71"/>
      <c r="BQ417" s="71"/>
      <c r="BR417" s="914"/>
      <c r="BS417" s="325">
        <v>43760</v>
      </c>
      <c r="BT417" s="1027"/>
      <c r="BU417" s="336"/>
      <c r="BV417" s="336" t="s">
        <v>68</v>
      </c>
      <c r="BW417" s="13"/>
      <c r="BX417" s="13"/>
      <c r="BY417" s="13"/>
      <c r="BZ417" s="13"/>
      <c r="CA417" s="13"/>
      <c r="CB417" s="1222" t="s">
        <v>2094</v>
      </c>
      <c r="CC417" s="38"/>
      <c r="CD417" s="526"/>
      <c r="CE417" s="526"/>
      <c r="CF417" s="526"/>
      <c r="CG417" s="526"/>
      <c r="CH417" s="526"/>
      <c r="CI417" s="526"/>
      <c r="CJ417" s="526"/>
      <c r="CK417" s="15"/>
    </row>
    <row r="418" spans="1:89" ht="74.25" hidden="1" customHeight="1">
      <c r="A418"/>
      <c r="B418" s="22"/>
      <c r="C418" s="22"/>
      <c r="D418" s="22"/>
      <c r="E418" s="911">
        <v>44075</v>
      </c>
      <c r="F418" s="911"/>
      <c r="G418" s="915">
        <v>44011</v>
      </c>
      <c r="H418" s="1746"/>
      <c r="I418" s="330">
        <v>43830</v>
      </c>
      <c r="J418" s="169">
        <v>2019</v>
      </c>
      <c r="K418" s="1421">
        <v>196.35</v>
      </c>
      <c r="L418" s="1421"/>
      <c r="M418" s="170" t="s">
        <v>77</v>
      </c>
      <c r="N418" s="178" t="s">
        <v>1392</v>
      </c>
      <c r="O418" s="172" t="s">
        <v>79</v>
      </c>
      <c r="P418" s="173" t="s">
        <v>1393</v>
      </c>
      <c r="Q418" s="173" t="s">
        <v>1975</v>
      </c>
      <c r="R418" s="594">
        <v>118488.2</v>
      </c>
      <c r="S418" s="542">
        <v>43794</v>
      </c>
      <c r="T418" s="176">
        <v>43795</v>
      </c>
      <c r="U418" s="177">
        <v>43813</v>
      </c>
      <c r="V418" s="981">
        <v>43794</v>
      </c>
      <c r="W418" s="178" t="s">
        <v>1302</v>
      </c>
      <c r="X418" s="170" t="s">
        <v>3047</v>
      </c>
      <c r="Y418" s="608">
        <v>43731</v>
      </c>
      <c r="Z418" s="1373"/>
      <c r="AA418" s="33" t="s">
        <v>1394</v>
      </c>
      <c r="AB418" s="8">
        <v>43793</v>
      </c>
      <c r="AC418" s="4">
        <v>118488.2</v>
      </c>
      <c r="AD418" s="4"/>
      <c r="AE418" s="32"/>
      <c r="AF418" s="34" t="s">
        <v>68</v>
      </c>
      <c r="AG418" s="112" t="s">
        <v>68</v>
      </c>
      <c r="AH418" s="112" t="s">
        <v>68</v>
      </c>
      <c r="AI418" s="7" t="s">
        <v>68</v>
      </c>
      <c r="AJ418" s="109" t="s">
        <v>68</v>
      </c>
      <c r="AK418" s="344" t="s">
        <v>1226</v>
      </c>
      <c r="AL418" s="1" t="s">
        <v>68</v>
      </c>
      <c r="AM418" s="5"/>
      <c r="AN418" s="343">
        <v>190621</v>
      </c>
      <c r="AO418" s="5">
        <v>43795</v>
      </c>
      <c r="AP418" s="343">
        <v>190652</v>
      </c>
      <c r="AQ418" s="5">
        <v>43809</v>
      </c>
      <c r="AR418" s="279">
        <f>11848.82+11848.82</f>
        <v>23697.64</v>
      </c>
      <c r="AS418" s="35">
        <v>0</v>
      </c>
      <c r="AT418" s="900">
        <v>117816.14</v>
      </c>
      <c r="AU418" s="891"/>
      <c r="AV418" s="66" t="s">
        <v>74</v>
      </c>
      <c r="AW418" s="11"/>
      <c r="AX418" s="223" t="s">
        <v>68</v>
      </c>
      <c r="AY418" s="52" t="s">
        <v>68</v>
      </c>
      <c r="AZ418" s="324">
        <v>43809</v>
      </c>
      <c r="BA418" s="5">
        <v>43795</v>
      </c>
      <c r="BB418" s="5">
        <v>43813</v>
      </c>
      <c r="BC418" s="11">
        <v>43809</v>
      </c>
      <c r="BD418" s="324">
        <v>43810</v>
      </c>
      <c r="BE418" s="1615"/>
      <c r="BF418" s="5">
        <v>43795</v>
      </c>
      <c r="BG418" s="5">
        <v>43813</v>
      </c>
      <c r="BH418" s="5">
        <v>43809</v>
      </c>
      <c r="BI418" s="36">
        <f t="shared" si="12"/>
        <v>117816.14</v>
      </c>
      <c r="BJ418" s="1024">
        <v>43811</v>
      </c>
      <c r="BK418" s="1027"/>
      <c r="BL418" s="336">
        <v>43790</v>
      </c>
      <c r="BM418" s="71">
        <v>43794</v>
      </c>
      <c r="BN418" s="71">
        <v>43794</v>
      </c>
      <c r="BO418" s="71"/>
      <c r="BP418" s="71"/>
      <c r="BQ418" s="71"/>
      <c r="BR418" s="914"/>
      <c r="BS418" s="325">
        <v>43809</v>
      </c>
      <c r="BT418" s="1027"/>
      <c r="BU418" s="694"/>
      <c r="BV418" s="694" t="s">
        <v>68</v>
      </c>
      <c r="BW418" s="13"/>
      <c r="BX418" s="13"/>
      <c r="BY418" s="13"/>
      <c r="BZ418" s="13"/>
      <c r="CA418" s="13"/>
      <c r="CB418" s="1222" t="s">
        <v>2094</v>
      </c>
      <c r="CC418" s="38"/>
      <c r="CD418" s="526"/>
      <c r="CE418" s="526"/>
      <c r="CF418" s="526"/>
      <c r="CG418" s="526"/>
      <c r="CH418" s="526"/>
      <c r="CI418" s="526"/>
      <c r="CJ418" s="526"/>
      <c r="CK418" s="15"/>
    </row>
    <row r="419" spans="1:89" ht="84.75" hidden="1" customHeight="1">
      <c r="A419"/>
      <c r="B419" s="22"/>
      <c r="C419" s="22"/>
      <c r="D419" s="22"/>
      <c r="E419" s="911">
        <v>44075</v>
      </c>
      <c r="F419" s="911"/>
      <c r="G419" s="915">
        <v>44013</v>
      </c>
      <c r="H419" s="1746"/>
      <c r="I419" s="330">
        <v>43837</v>
      </c>
      <c r="J419" s="169">
        <v>2019</v>
      </c>
      <c r="K419" s="1421">
        <v>196.36</v>
      </c>
      <c r="L419" s="1421"/>
      <c r="M419" s="170" t="s">
        <v>77</v>
      </c>
      <c r="N419" s="178" t="s">
        <v>1395</v>
      </c>
      <c r="O419" s="172" t="s">
        <v>79</v>
      </c>
      <c r="P419" s="173" t="s">
        <v>1396</v>
      </c>
      <c r="Q419" s="173" t="s">
        <v>1975</v>
      </c>
      <c r="R419" s="174">
        <v>267068.21999999997</v>
      </c>
      <c r="S419" s="590">
        <v>43794</v>
      </c>
      <c r="T419" s="176">
        <v>43801</v>
      </c>
      <c r="U419" s="177">
        <v>43830</v>
      </c>
      <c r="V419" s="105">
        <v>43794</v>
      </c>
      <c r="W419" s="178" t="s">
        <v>1302</v>
      </c>
      <c r="X419" s="170" t="s">
        <v>3047</v>
      </c>
      <c r="Y419" s="608">
        <v>43731</v>
      </c>
      <c r="Z419" s="1373"/>
      <c r="AA419" s="33" t="s">
        <v>1397</v>
      </c>
      <c r="AB419" s="8">
        <v>43752</v>
      </c>
      <c r="AC419" s="4">
        <v>267068.45</v>
      </c>
      <c r="AD419" s="4"/>
      <c r="AE419" s="32"/>
      <c r="AF419" s="34" t="s">
        <v>68</v>
      </c>
      <c r="AG419" s="112" t="s">
        <v>68</v>
      </c>
      <c r="AH419" s="112" t="s">
        <v>68</v>
      </c>
      <c r="AI419" s="7" t="s">
        <v>68</v>
      </c>
      <c r="AJ419" s="109" t="s">
        <v>68</v>
      </c>
      <c r="AK419" s="344" t="s">
        <v>1226</v>
      </c>
      <c r="AL419" s="1" t="s">
        <v>68</v>
      </c>
      <c r="AM419" s="5"/>
      <c r="AN419" s="343">
        <v>190631</v>
      </c>
      <c r="AO419" s="5">
        <v>43801</v>
      </c>
      <c r="AP419" s="343">
        <v>190682</v>
      </c>
      <c r="AQ419" s="5">
        <v>43809</v>
      </c>
      <c r="AR419" s="279">
        <f>26706.82+26706.82</f>
        <v>53413.64</v>
      </c>
      <c r="AS419" s="35">
        <v>0</v>
      </c>
      <c r="AT419" s="900">
        <v>256679.4</v>
      </c>
      <c r="AU419" s="891"/>
      <c r="AV419" s="66" t="s">
        <v>74</v>
      </c>
      <c r="AW419" s="11"/>
      <c r="AX419" s="223" t="s">
        <v>68</v>
      </c>
      <c r="AY419" s="52" t="s">
        <v>68</v>
      </c>
      <c r="AZ419" s="324">
        <v>43815</v>
      </c>
      <c r="BA419" s="5">
        <v>43801</v>
      </c>
      <c r="BB419" s="5" t="s">
        <v>1398</v>
      </c>
      <c r="BC419" s="11">
        <v>43815</v>
      </c>
      <c r="BD419" s="324">
        <v>43816</v>
      </c>
      <c r="BE419" s="1615"/>
      <c r="BF419" s="5">
        <v>43801</v>
      </c>
      <c r="BG419" s="5">
        <v>43830</v>
      </c>
      <c r="BH419" s="5">
        <v>43815</v>
      </c>
      <c r="BI419" s="36">
        <f t="shared" si="12"/>
        <v>256679.4</v>
      </c>
      <c r="BJ419" s="1024">
        <v>43817</v>
      </c>
      <c r="BK419" s="1027"/>
      <c r="BL419" s="1027">
        <v>43797</v>
      </c>
      <c r="BM419" s="71">
        <v>43798</v>
      </c>
      <c r="BN419" s="325">
        <v>43798</v>
      </c>
      <c r="BO419" s="325"/>
      <c r="BP419" s="325"/>
      <c r="BQ419" s="325"/>
      <c r="BR419" s="914"/>
      <c r="BS419" s="325">
        <v>43812</v>
      </c>
      <c r="BT419" s="1027"/>
      <c r="BU419" s="694"/>
      <c r="BV419" s="694" t="s">
        <v>68</v>
      </c>
      <c r="BW419" s="13"/>
      <c r="BX419" s="13">
        <v>0</v>
      </c>
      <c r="BY419" s="13"/>
      <c r="BZ419" s="13"/>
      <c r="CA419" s="13"/>
      <c r="CB419" s="1222" t="s">
        <v>2094</v>
      </c>
      <c r="CC419" s="38"/>
      <c r="CD419" s="526"/>
      <c r="CE419" s="526"/>
      <c r="CF419" s="526"/>
      <c r="CG419" s="526"/>
      <c r="CH419" s="526"/>
      <c r="CI419" s="526"/>
      <c r="CJ419" s="526"/>
      <c r="CK419" s="15"/>
    </row>
    <row r="420" spans="1:89" s="1050" customFormat="1" ht="69.75" hidden="1" customHeight="1">
      <c r="B420" s="1051"/>
      <c r="C420" s="1051"/>
      <c r="D420" s="1051"/>
      <c r="E420" s="1052"/>
      <c r="F420" s="1052"/>
      <c r="G420" s="553"/>
      <c r="H420" s="620"/>
      <c r="I420" s="620"/>
      <c r="J420" s="1053">
        <v>2019</v>
      </c>
      <c r="K420" s="1420">
        <v>196.37</v>
      </c>
      <c r="L420" s="1420"/>
      <c r="M420" s="1054"/>
      <c r="N420" s="1055" t="s">
        <v>3970</v>
      </c>
      <c r="O420" s="790" t="s">
        <v>251</v>
      </c>
      <c r="P420" s="1056"/>
      <c r="Q420" s="1056"/>
      <c r="R420" s="1057"/>
      <c r="S420" s="1058"/>
      <c r="T420" s="1059"/>
      <c r="U420" s="1060"/>
      <c r="V420" s="1061"/>
      <c r="W420" s="1055"/>
      <c r="X420" s="1054"/>
      <c r="Y420" s="1087"/>
      <c r="Z420" s="1478"/>
      <c r="AA420" s="1491"/>
      <c r="AB420" s="1063"/>
      <c r="AC420" s="1064"/>
      <c r="AD420" s="1064"/>
      <c r="AE420" s="1065"/>
      <c r="AF420" s="1066"/>
      <c r="AG420" s="1067"/>
      <c r="AH420" s="1067"/>
      <c r="AI420" s="1068"/>
      <c r="AJ420" s="1069"/>
      <c r="AK420" s="308"/>
      <c r="AL420" s="1070"/>
      <c r="AM420" s="1071"/>
      <c r="AN420" s="1070"/>
      <c r="AO420" s="1071"/>
      <c r="AP420" s="1070"/>
      <c r="AQ420" s="1071"/>
      <c r="AR420" s="1072"/>
      <c r="AS420" s="1073"/>
      <c r="AT420" s="1074"/>
      <c r="AU420" s="1075"/>
      <c r="AV420" s="1479"/>
      <c r="AW420" s="1077"/>
      <c r="AX420" s="1078"/>
      <c r="AY420" s="1079"/>
      <c r="AZ420" s="1076"/>
      <c r="BA420" s="1071"/>
      <c r="BB420" s="1071"/>
      <c r="BC420" s="1529"/>
      <c r="BD420" s="1076"/>
      <c r="BE420" s="1608"/>
      <c r="BF420" s="1071"/>
      <c r="BG420" s="1071"/>
      <c r="BH420" s="1071"/>
      <c r="BI420" s="1081"/>
      <c r="BJ420" s="1465"/>
      <c r="BK420" s="1478"/>
      <c r="BL420" s="1478"/>
      <c r="BM420" s="1071"/>
      <c r="BN420" s="1071"/>
      <c r="BO420" s="1071"/>
      <c r="BP420" s="1071"/>
      <c r="BQ420" s="1071"/>
      <c r="BR420" s="914"/>
      <c r="BS420" s="1071"/>
      <c r="BT420" s="1478"/>
      <c r="BU420" s="1470"/>
      <c r="BV420" s="1470"/>
      <c r="BW420" s="1082"/>
      <c r="BX420" s="1082"/>
      <c r="BY420" s="1082"/>
      <c r="BZ420" s="1082"/>
      <c r="CA420" s="1082"/>
      <c r="CB420" s="1486"/>
      <c r="CC420" s="1085"/>
      <c r="CD420" s="789"/>
      <c r="CE420" s="789"/>
      <c r="CF420" s="789"/>
      <c r="CG420" s="789"/>
      <c r="CH420" s="789"/>
      <c r="CI420" s="789"/>
      <c r="CJ420" s="789"/>
      <c r="CK420" s="1086"/>
    </row>
    <row r="421" spans="1:89" ht="75.75" hidden="1" customHeight="1">
      <c r="A421"/>
      <c r="B421" s="22"/>
      <c r="C421" s="1445">
        <v>44494</v>
      </c>
      <c r="D421" s="1445"/>
      <c r="E421" s="911">
        <v>44075</v>
      </c>
      <c r="F421" s="911"/>
      <c r="G421" s="915">
        <v>44014</v>
      </c>
      <c r="H421" s="1746"/>
      <c r="I421" s="330">
        <v>43921</v>
      </c>
      <c r="J421" s="169">
        <v>2019</v>
      </c>
      <c r="K421" s="1421">
        <v>196.38</v>
      </c>
      <c r="L421" s="1421"/>
      <c r="M421" s="170" t="s">
        <v>1148</v>
      </c>
      <c r="N421" s="178" t="s">
        <v>1223</v>
      </c>
      <c r="O421" s="172" t="s">
        <v>79</v>
      </c>
      <c r="P421" s="173" t="s">
        <v>1224</v>
      </c>
      <c r="Q421" s="173" t="s">
        <v>2577</v>
      </c>
      <c r="R421" s="174">
        <v>875313.77</v>
      </c>
      <c r="S421" s="542">
        <v>43783</v>
      </c>
      <c r="T421" s="176">
        <v>43784</v>
      </c>
      <c r="U421" s="177">
        <v>43829</v>
      </c>
      <c r="V421" s="105">
        <v>43782</v>
      </c>
      <c r="W421" s="178" t="s">
        <v>1225</v>
      </c>
      <c r="X421" s="170" t="s">
        <v>3047</v>
      </c>
      <c r="Y421" s="1173" t="s">
        <v>68</v>
      </c>
      <c r="Z421" s="1382"/>
      <c r="AA421" s="33" t="s">
        <v>3586</v>
      </c>
      <c r="AB421" s="8">
        <v>43637</v>
      </c>
      <c r="AC421" s="79">
        <v>543500</v>
      </c>
      <c r="AD421" s="236" t="s">
        <v>1208</v>
      </c>
      <c r="AE421" s="32">
        <v>1302585.8500000001</v>
      </c>
      <c r="AF421" s="34" t="s">
        <v>68</v>
      </c>
      <c r="AG421" s="112" t="s">
        <v>68</v>
      </c>
      <c r="AH421" s="112" t="s">
        <v>68</v>
      </c>
      <c r="AI421" s="7" t="s">
        <v>68</v>
      </c>
      <c r="AJ421" s="109" t="s">
        <v>68</v>
      </c>
      <c r="AK421" s="33" t="s">
        <v>1226</v>
      </c>
      <c r="AL421" s="1" t="s">
        <v>68</v>
      </c>
      <c r="AM421" s="5" t="s">
        <v>68</v>
      </c>
      <c r="AN421" s="1">
        <v>190445</v>
      </c>
      <c r="AO421" s="5">
        <v>43784</v>
      </c>
      <c r="AP421" s="1">
        <v>190871</v>
      </c>
      <c r="AQ421" s="5">
        <v>43829</v>
      </c>
      <c r="AR421" s="279">
        <f>87531.37+87531.37</f>
        <v>175062.74</v>
      </c>
      <c r="AS421" s="35">
        <v>0</v>
      </c>
      <c r="AT421" s="900">
        <v>875309.47</v>
      </c>
      <c r="AU421" s="891"/>
      <c r="AV421" s="30">
        <v>43784</v>
      </c>
      <c r="AW421" s="11">
        <v>43794</v>
      </c>
      <c r="AX421" s="223"/>
      <c r="AY421" s="52"/>
      <c r="AZ421" s="30">
        <v>43829</v>
      </c>
      <c r="BA421" s="5">
        <v>43784</v>
      </c>
      <c r="BB421" s="5">
        <v>43829</v>
      </c>
      <c r="BC421" s="5">
        <v>43829</v>
      </c>
      <c r="BD421" s="30">
        <v>43830</v>
      </c>
      <c r="BE421" s="309"/>
      <c r="BF421" s="5">
        <v>43784</v>
      </c>
      <c r="BG421" s="5">
        <v>43829</v>
      </c>
      <c r="BH421" s="5">
        <v>43829</v>
      </c>
      <c r="BI421" s="36">
        <f>AT421</f>
        <v>875309.47</v>
      </c>
      <c r="BJ421" s="62">
        <v>43830</v>
      </c>
      <c r="BK421" s="224"/>
      <c r="BL421" s="336">
        <v>43780</v>
      </c>
      <c r="BM421" s="71">
        <v>43783</v>
      </c>
      <c r="BN421" s="71">
        <v>43783</v>
      </c>
      <c r="BO421" s="71"/>
      <c r="BP421" s="71"/>
      <c r="BQ421" s="71"/>
      <c r="BR421" s="914"/>
      <c r="BS421" s="912" t="s">
        <v>68</v>
      </c>
      <c r="BT421" s="913"/>
      <c r="BU421" s="336">
        <v>43805</v>
      </c>
      <c r="BV421" s="336">
        <v>43808</v>
      </c>
      <c r="BW421" s="13"/>
      <c r="BX421" s="13"/>
      <c r="BY421" s="13"/>
      <c r="BZ421" s="13"/>
      <c r="CA421" s="13"/>
      <c r="CB421" s="1222" t="s">
        <v>2094</v>
      </c>
      <c r="CC421" s="586" t="s">
        <v>1143</v>
      </c>
      <c r="CD421" s="526"/>
      <c r="CE421" s="526"/>
      <c r="CF421" s="526"/>
      <c r="CG421" s="526"/>
      <c r="CH421" s="526"/>
      <c r="CI421" s="526"/>
      <c r="CJ421" s="526"/>
      <c r="CK421" s="15"/>
    </row>
    <row r="422" spans="1:89" ht="49.5" hidden="1" customHeight="1">
      <c r="B422" s="22"/>
      <c r="C422" s="22"/>
      <c r="D422" s="22"/>
      <c r="E422" s="911"/>
      <c r="F422" s="911"/>
      <c r="G422" s="915">
        <v>43985</v>
      </c>
      <c r="H422" s="1746"/>
      <c r="I422" s="330">
        <v>43985</v>
      </c>
      <c r="J422" s="169">
        <v>2020</v>
      </c>
      <c r="K422" s="1417">
        <v>200.3</v>
      </c>
      <c r="L422" s="1417"/>
      <c r="M422" s="170" t="s">
        <v>2836</v>
      </c>
      <c r="N422" s="178" t="s">
        <v>2837</v>
      </c>
      <c r="O422" s="172" t="s">
        <v>467</v>
      </c>
      <c r="P422" s="173" t="s">
        <v>2838</v>
      </c>
      <c r="Q422" s="173" t="s">
        <v>2575</v>
      </c>
      <c r="R422" s="174">
        <v>962427.31</v>
      </c>
      <c r="S422" s="176">
        <v>43943</v>
      </c>
      <c r="T422" s="176" t="s">
        <v>68</v>
      </c>
      <c r="U422" s="177" t="s">
        <v>68</v>
      </c>
      <c r="V422" s="105" t="s">
        <v>68</v>
      </c>
      <c r="W422" s="178" t="s">
        <v>1177</v>
      </c>
      <c r="X422" s="170" t="s">
        <v>1177</v>
      </c>
      <c r="Y422" s="200" t="s">
        <v>68</v>
      </c>
      <c r="Z422" s="368"/>
      <c r="AA422" s="33" t="s">
        <v>3001</v>
      </c>
      <c r="AB422" s="8">
        <v>43972</v>
      </c>
      <c r="AC422" s="63">
        <v>962427.31</v>
      </c>
      <c r="AD422" s="4"/>
      <c r="AE422" s="32"/>
      <c r="AF422" s="34" t="s">
        <v>68</v>
      </c>
      <c r="AG422" s="112" t="s">
        <v>68</v>
      </c>
      <c r="AH422" s="112" t="s">
        <v>68</v>
      </c>
      <c r="AI422" s="7" t="s">
        <v>68</v>
      </c>
      <c r="AJ422" s="109" t="s">
        <v>68</v>
      </c>
      <c r="AK422" s="33" t="s">
        <v>68</v>
      </c>
      <c r="AL422" s="1" t="s">
        <v>68</v>
      </c>
      <c r="AM422" s="5"/>
      <c r="AN422" s="1" t="s">
        <v>68</v>
      </c>
      <c r="AO422" s="5"/>
      <c r="AP422" s="1" t="s">
        <v>68</v>
      </c>
      <c r="AQ422" s="5"/>
      <c r="AR422" s="279">
        <v>0</v>
      </c>
      <c r="AS422" s="35">
        <v>0</v>
      </c>
      <c r="AT422" s="895">
        <v>0</v>
      </c>
      <c r="AU422" s="884">
        <v>0</v>
      </c>
      <c r="AV422" s="30" t="s">
        <v>68</v>
      </c>
      <c r="AW422" s="11"/>
      <c r="AX422" s="223"/>
      <c r="AY422" s="52"/>
      <c r="AZ422" s="30" t="s">
        <v>1177</v>
      </c>
      <c r="BA422" s="5"/>
      <c r="BB422" s="5"/>
      <c r="BC422" s="11"/>
      <c r="BD422" s="30" t="s">
        <v>1177</v>
      </c>
      <c r="BE422" s="309"/>
      <c r="BF422" s="5"/>
      <c r="BG422" s="5"/>
      <c r="BH422" s="5"/>
      <c r="BI422" s="36">
        <f t="shared" ref="BI422:BI433" si="13">AS422+AT422</f>
        <v>0</v>
      </c>
      <c r="BJ422" s="62" t="s">
        <v>68</v>
      </c>
      <c r="BK422" s="224"/>
      <c r="BL422" s="694" t="s">
        <v>68</v>
      </c>
      <c r="BM422" s="695" t="s">
        <v>68</v>
      </c>
      <c r="BN422" s="695" t="s">
        <v>68</v>
      </c>
      <c r="BO422" s="695"/>
      <c r="BP422" s="695"/>
      <c r="BQ422" s="695"/>
      <c r="BR422" s="914"/>
      <c r="BS422" s="695" t="s">
        <v>68</v>
      </c>
      <c r="BT422" s="695"/>
      <c r="BU422" s="695" t="s">
        <v>68</v>
      </c>
      <c r="BV422" s="694" t="s">
        <v>68</v>
      </c>
      <c r="BW422" s="13"/>
      <c r="BX422" s="13" t="s">
        <v>1177</v>
      </c>
      <c r="BY422" s="13"/>
      <c r="BZ422" s="13"/>
      <c r="CA422" s="13"/>
      <c r="CB422" s="1222" t="s">
        <v>2094</v>
      </c>
      <c r="CC422" s="38"/>
      <c r="CD422" s="526"/>
      <c r="CE422" s="526"/>
      <c r="CF422" s="526"/>
      <c r="CG422" s="526"/>
      <c r="CH422" s="526"/>
      <c r="CI422" s="526"/>
      <c r="CJ422" s="526"/>
      <c r="CK422" s="15"/>
    </row>
    <row r="423" spans="1:89" ht="58.5" hidden="1" customHeight="1">
      <c r="B423" s="22"/>
      <c r="C423" s="22"/>
      <c r="D423" s="22"/>
      <c r="E423" s="911"/>
      <c r="F423" s="911"/>
      <c r="G423" s="915"/>
      <c r="H423" s="1746"/>
      <c r="I423" s="330">
        <v>44196</v>
      </c>
      <c r="J423" s="169">
        <v>2020</v>
      </c>
      <c r="K423" s="1417">
        <v>200.4</v>
      </c>
      <c r="L423" s="1417"/>
      <c r="M423" s="170" t="s">
        <v>3300</v>
      </c>
      <c r="N423" s="178" t="s">
        <v>3321</v>
      </c>
      <c r="O423" s="172" t="s">
        <v>467</v>
      </c>
      <c r="P423" s="173" t="s">
        <v>3322</v>
      </c>
      <c r="Q423" s="173" t="s">
        <v>1975</v>
      </c>
      <c r="R423" s="174">
        <v>1600000</v>
      </c>
      <c r="S423" s="176">
        <v>44162</v>
      </c>
      <c r="T423" s="176" t="s">
        <v>68</v>
      </c>
      <c r="U423" s="177" t="s">
        <v>68</v>
      </c>
      <c r="V423" s="105" t="s">
        <v>68</v>
      </c>
      <c r="W423" s="178" t="s">
        <v>1177</v>
      </c>
      <c r="X423" s="170" t="s">
        <v>1177</v>
      </c>
      <c r="Y423" s="200" t="s">
        <v>68</v>
      </c>
      <c r="Z423" s="368"/>
      <c r="AA423" s="33" t="s">
        <v>3323</v>
      </c>
      <c r="AB423" s="8">
        <v>44153</v>
      </c>
      <c r="AC423" s="4">
        <v>1600000</v>
      </c>
      <c r="AD423" s="4"/>
      <c r="AE423" s="32"/>
      <c r="AF423" s="34" t="s">
        <v>68</v>
      </c>
      <c r="AG423" s="112" t="s">
        <v>68</v>
      </c>
      <c r="AH423" s="112" t="s">
        <v>68</v>
      </c>
      <c r="AI423" s="7" t="s">
        <v>68</v>
      </c>
      <c r="AJ423" s="109" t="s">
        <v>68</v>
      </c>
      <c r="AK423" s="33" t="s">
        <v>68</v>
      </c>
      <c r="AL423" s="1" t="s">
        <v>68</v>
      </c>
      <c r="AM423" s="5"/>
      <c r="AN423" s="1" t="s">
        <v>68</v>
      </c>
      <c r="AO423" s="5"/>
      <c r="AP423" s="1" t="s">
        <v>68</v>
      </c>
      <c r="AQ423" s="5"/>
      <c r="AR423" s="279">
        <v>0</v>
      </c>
      <c r="AS423" s="35">
        <v>0</v>
      </c>
      <c r="AT423" s="895">
        <v>0</v>
      </c>
      <c r="AU423" s="884">
        <v>0</v>
      </c>
      <c r="AV423" s="30" t="s">
        <v>68</v>
      </c>
      <c r="AW423" s="11"/>
      <c r="AX423" s="223"/>
      <c r="AY423" s="52"/>
      <c r="AZ423" s="30" t="s">
        <v>1177</v>
      </c>
      <c r="BA423" s="5"/>
      <c r="BB423" s="5"/>
      <c r="BC423" s="11"/>
      <c r="BD423" s="30" t="s">
        <v>1177</v>
      </c>
      <c r="BE423" s="309"/>
      <c r="BF423" s="5"/>
      <c r="BG423" s="5"/>
      <c r="BH423" s="5"/>
      <c r="BI423" s="36">
        <f>AS423+AT423</f>
        <v>0</v>
      </c>
      <c r="BJ423" s="62" t="s">
        <v>68</v>
      </c>
      <c r="BK423" s="224"/>
      <c r="BL423" s="694" t="s">
        <v>68</v>
      </c>
      <c r="BM423" s="695" t="s">
        <v>68</v>
      </c>
      <c r="BN423" s="695" t="s">
        <v>68</v>
      </c>
      <c r="BO423" s="695"/>
      <c r="BP423" s="695"/>
      <c r="BQ423" s="695"/>
      <c r="BR423" s="914"/>
      <c r="BS423" s="695" t="s">
        <v>68</v>
      </c>
      <c r="BT423" s="695"/>
      <c r="BU423" s="695" t="s">
        <v>68</v>
      </c>
      <c r="BV423" s="694" t="s">
        <v>68</v>
      </c>
      <c r="BW423" s="13"/>
      <c r="BX423" s="13" t="s">
        <v>1177</v>
      </c>
      <c r="BY423" s="13"/>
      <c r="BZ423" s="13"/>
      <c r="CA423" s="13"/>
      <c r="CB423" s="1222" t="s">
        <v>2094</v>
      </c>
      <c r="CC423" s="38"/>
      <c r="CD423" s="526"/>
      <c r="CE423" s="526"/>
      <c r="CF423" s="526"/>
      <c r="CG423" s="526"/>
      <c r="CH423" s="526"/>
      <c r="CI423" s="526"/>
      <c r="CJ423" s="526"/>
      <c r="CK423" s="15"/>
    </row>
    <row r="424" spans="1:89" s="104" customFormat="1" ht="105" hidden="1" customHeight="1">
      <c r="A424" s="1438"/>
      <c r="B424" s="22"/>
      <c r="C424" s="22"/>
      <c r="D424" s="22"/>
      <c r="E424" s="911"/>
      <c r="F424" s="911"/>
      <c r="G424" s="915" t="s">
        <v>68</v>
      </c>
      <c r="H424" s="1746"/>
      <c r="I424" s="330">
        <v>44196</v>
      </c>
      <c r="J424" s="169">
        <v>2020</v>
      </c>
      <c r="K424" s="1417">
        <v>200.6</v>
      </c>
      <c r="L424" s="1417"/>
      <c r="M424" s="170" t="s">
        <v>867</v>
      </c>
      <c r="N424" s="178" t="s">
        <v>3214</v>
      </c>
      <c r="O424" s="172" t="s">
        <v>467</v>
      </c>
      <c r="P424" s="173" t="s">
        <v>3316</v>
      </c>
      <c r="Q424" s="173" t="s">
        <v>1975</v>
      </c>
      <c r="R424" s="174">
        <v>20000000</v>
      </c>
      <c r="S424" s="176">
        <v>44054</v>
      </c>
      <c r="T424" s="176" t="s">
        <v>68</v>
      </c>
      <c r="U424" s="177" t="s">
        <v>68</v>
      </c>
      <c r="V424" s="105" t="s">
        <v>68</v>
      </c>
      <c r="W424" s="178" t="s">
        <v>1177</v>
      </c>
      <c r="X424" s="170" t="s">
        <v>1177</v>
      </c>
      <c r="Y424" s="200" t="s">
        <v>68</v>
      </c>
      <c r="Z424" s="368"/>
      <c r="AA424" s="33" t="s">
        <v>3317</v>
      </c>
      <c r="AB424" s="8">
        <v>43972</v>
      </c>
      <c r="AC424" s="4">
        <v>11636000</v>
      </c>
      <c r="AD424" s="1192" t="s">
        <v>3294</v>
      </c>
      <c r="AE424" s="32">
        <v>10000000</v>
      </c>
      <c r="AF424" s="34" t="s">
        <v>68</v>
      </c>
      <c r="AG424" s="112" t="s">
        <v>68</v>
      </c>
      <c r="AH424" s="112" t="s">
        <v>68</v>
      </c>
      <c r="AI424" s="7" t="s">
        <v>68</v>
      </c>
      <c r="AJ424" s="109" t="s">
        <v>68</v>
      </c>
      <c r="AK424" s="33" t="s">
        <v>68</v>
      </c>
      <c r="AL424" s="1" t="s">
        <v>68</v>
      </c>
      <c r="AM424" s="5"/>
      <c r="AN424" s="1" t="s">
        <v>68</v>
      </c>
      <c r="AO424" s="5"/>
      <c r="AP424" s="1" t="s">
        <v>68</v>
      </c>
      <c r="AQ424" s="5"/>
      <c r="AR424" s="279">
        <v>0</v>
      </c>
      <c r="AS424" s="35">
        <v>0</v>
      </c>
      <c r="AT424" s="895">
        <v>0</v>
      </c>
      <c r="AU424" s="884">
        <v>0</v>
      </c>
      <c r="AV424" s="30" t="s">
        <v>68</v>
      </c>
      <c r="AW424" s="11"/>
      <c r="AX424" s="223"/>
      <c r="AY424" s="52"/>
      <c r="AZ424" s="30" t="s">
        <v>1177</v>
      </c>
      <c r="BA424" s="5"/>
      <c r="BB424" s="5"/>
      <c r="BC424" s="11"/>
      <c r="BD424" s="30" t="s">
        <v>1177</v>
      </c>
      <c r="BE424" s="309"/>
      <c r="BF424" s="5"/>
      <c r="BG424" s="5"/>
      <c r="BH424" s="5"/>
      <c r="BI424" s="36">
        <f>AS424+AT424</f>
        <v>0</v>
      </c>
      <c r="BJ424" s="62" t="s">
        <v>68</v>
      </c>
      <c r="BK424" s="224"/>
      <c r="BL424" s="694" t="s">
        <v>68</v>
      </c>
      <c r="BM424" s="695" t="s">
        <v>68</v>
      </c>
      <c r="BN424" s="695" t="s">
        <v>68</v>
      </c>
      <c r="BO424" s="695"/>
      <c r="BP424" s="695"/>
      <c r="BQ424" s="695"/>
      <c r="BR424" s="914"/>
      <c r="BS424" s="695" t="s">
        <v>68</v>
      </c>
      <c r="BT424" s="695"/>
      <c r="BU424" s="695" t="s">
        <v>68</v>
      </c>
      <c r="BV424" s="694" t="s">
        <v>68</v>
      </c>
      <c r="BW424" s="13"/>
      <c r="BX424" s="13" t="s">
        <v>1177</v>
      </c>
      <c r="BY424" s="13"/>
      <c r="BZ424" s="13"/>
      <c r="CA424" s="13"/>
      <c r="CB424" s="1222" t="s">
        <v>2094</v>
      </c>
      <c r="CC424" s="38"/>
      <c r="CD424" s="527"/>
      <c r="CE424" s="527"/>
      <c r="CF424" s="527"/>
      <c r="CG424" s="527"/>
      <c r="CH424" s="527"/>
      <c r="CI424" s="527"/>
      <c r="CJ424" s="527"/>
      <c r="CK424" s="627"/>
    </row>
    <row r="425" spans="1:89" ht="49.5" hidden="1" customHeight="1">
      <c r="B425" s="22"/>
      <c r="C425" s="22"/>
      <c r="D425" s="22"/>
      <c r="E425" s="911"/>
      <c r="F425" s="911"/>
      <c r="G425" s="915"/>
      <c r="H425" s="1746"/>
      <c r="I425" s="330">
        <v>44211</v>
      </c>
      <c r="J425" s="169">
        <v>2020</v>
      </c>
      <c r="K425" s="1417">
        <v>200.7</v>
      </c>
      <c r="L425" s="1417"/>
      <c r="M425" s="170" t="s">
        <v>3351</v>
      </c>
      <c r="N425" s="178" t="s">
        <v>3352</v>
      </c>
      <c r="O425" s="172" t="s">
        <v>467</v>
      </c>
      <c r="P425" s="173" t="s">
        <v>3353</v>
      </c>
      <c r="Q425" s="173" t="s">
        <v>1975</v>
      </c>
      <c r="R425" s="174">
        <v>2755548.61</v>
      </c>
      <c r="S425" s="176">
        <v>44174</v>
      </c>
      <c r="T425" s="176" t="s">
        <v>68</v>
      </c>
      <c r="U425" s="177" t="s">
        <v>68</v>
      </c>
      <c r="V425" s="105" t="s">
        <v>68</v>
      </c>
      <c r="W425" s="178" t="s">
        <v>1177</v>
      </c>
      <c r="X425" s="170" t="s">
        <v>1177</v>
      </c>
      <c r="Y425" s="200" t="s">
        <v>68</v>
      </c>
      <c r="Z425" s="368"/>
      <c r="AA425" s="337" t="s">
        <v>74</v>
      </c>
      <c r="AB425" s="8"/>
      <c r="AC425" s="4"/>
      <c r="AD425" s="4"/>
      <c r="AE425" s="32"/>
      <c r="AF425" s="34" t="s">
        <v>68</v>
      </c>
      <c r="AG425" s="112" t="s">
        <v>68</v>
      </c>
      <c r="AH425" s="112" t="s">
        <v>68</v>
      </c>
      <c r="AI425" s="7" t="s">
        <v>68</v>
      </c>
      <c r="AJ425" s="109" t="s">
        <v>68</v>
      </c>
      <c r="AK425" s="33" t="s">
        <v>68</v>
      </c>
      <c r="AL425" s="1" t="s">
        <v>68</v>
      </c>
      <c r="AM425" s="5"/>
      <c r="AN425" s="1" t="s">
        <v>68</v>
      </c>
      <c r="AO425" s="5"/>
      <c r="AP425" s="1" t="s">
        <v>68</v>
      </c>
      <c r="AQ425" s="5"/>
      <c r="AR425" s="279">
        <v>0</v>
      </c>
      <c r="AS425" s="35">
        <v>0</v>
      </c>
      <c r="AT425" s="895">
        <v>0</v>
      </c>
      <c r="AU425" s="884">
        <v>0</v>
      </c>
      <c r="AV425" s="30" t="s">
        <v>68</v>
      </c>
      <c r="AW425" s="11"/>
      <c r="AX425" s="223"/>
      <c r="AY425" s="52"/>
      <c r="AZ425" s="30" t="s">
        <v>1177</v>
      </c>
      <c r="BA425" s="5"/>
      <c r="BB425" s="5"/>
      <c r="BC425" s="11"/>
      <c r="BD425" s="30" t="s">
        <v>1177</v>
      </c>
      <c r="BE425" s="309"/>
      <c r="BF425" s="5"/>
      <c r="BG425" s="5"/>
      <c r="BH425" s="5"/>
      <c r="BI425" s="36">
        <f>AS425+AT425</f>
        <v>0</v>
      </c>
      <c r="BJ425" s="62" t="s">
        <v>68</v>
      </c>
      <c r="BK425" s="224"/>
      <c r="BL425" s="694" t="s">
        <v>68</v>
      </c>
      <c r="BM425" s="695" t="s">
        <v>68</v>
      </c>
      <c r="BN425" s="695" t="s">
        <v>68</v>
      </c>
      <c r="BO425" s="695"/>
      <c r="BP425" s="695"/>
      <c r="BQ425" s="695"/>
      <c r="BR425" s="914"/>
      <c r="BS425" s="695" t="s">
        <v>68</v>
      </c>
      <c r="BT425" s="695"/>
      <c r="BU425" s="695" t="s">
        <v>68</v>
      </c>
      <c r="BV425" s="694" t="s">
        <v>68</v>
      </c>
      <c r="BW425" s="13"/>
      <c r="BX425" s="13" t="s">
        <v>1177</v>
      </c>
      <c r="BY425" s="13"/>
      <c r="BZ425" s="13"/>
      <c r="CA425" s="13"/>
      <c r="CB425" s="1222" t="s">
        <v>2094</v>
      </c>
      <c r="CC425" s="38"/>
      <c r="CD425" s="526"/>
      <c r="CE425" s="526"/>
      <c r="CF425" s="526"/>
      <c r="CG425" s="526"/>
      <c r="CH425" s="526"/>
      <c r="CI425" s="526"/>
      <c r="CJ425" s="526"/>
      <c r="CK425" s="15"/>
    </row>
    <row r="426" spans="1:89" ht="46.5" hidden="1" customHeight="1">
      <c r="B426" s="22"/>
      <c r="C426" s="22"/>
      <c r="D426" s="22"/>
      <c r="E426" s="911"/>
      <c r="F426" s="911"/>
      <c r="G426" s="915"/>
      <c r="H426" s="1746"/>
      <c r="I426" s="330">
        <v>44196</v>
      </c>
      <c r="J426" s="169">
        <v>2020</v>
      </c>
      <c r="K426" s="1417">
        <v>200.8</v>
      </c>
      <c r="L426" s="1417"/>
      <c r="M426" s="1194" t="s">
        <v>3236</v>
      </c>
      <c r="N426" s="178" t="s">
        <v>3318</v>
      </c>
      <c r="O426" s="172" t="s">
        <v>467</v>
      </c>
      <c r="P426" s="173" t="s">
        <v>3319</v>
      </c>
      <c r="Q426" s="173" t="s">
        <v>2575</v>
      </c>
      <c r="R426" s="174">
        <v>7000000</v>
      </c>
      <c r="S426" s="176">
        <v>44085</v>
      </c>
      <c r="T426" s="176" t="s">
        <v>68</v>
      </c>
      <c r="U426" s="177" t="s">
        <v>68</v>
      </c>
      <c r="V426" s="105" t="s">
        <v>68</v>
      </c>
      <c r="W426" s="178" t="s">
        <v>1177</v>
      </c>
      <c r="X426" s="170" t="s">
        <v>1177</v>
      </c>
      <c r="Y426" s="200" t="s">
        <v>68</v>
      </c>
      <c r="Z426" s="368"/>
      <c r="AA426" s="33" t="s">
        <v>3320</v>
      </c>
      <c r="AB426" s="8">
        <v>44082</v>
      </c>
      <c r="AC426" s="4"/>
      <c r="AD426" s="4"/>
      <c r="AE426" s="32"/>
      <c r="AF426" s="34" t="s">
        <v>68</v>
      </c>
      <c r="AG426" s="112" t="s">
        <v>68</v>
      </c>
      <c r="AH426" s="112" t="s">
        <v>68</v>
      </c>
      <c r="AI426" s="7" t="s">
        <v>68</v>
      </c>
      <c r="AJ426" s="109" t="s">
        <v>68</v>
      </c>
      <c r="AK426" s="33" t="s">
        <v>68</v>
      </c>
      <c r="AL426" s="1" t="s">
        <v>68</v>
      </c>
      <c r="AM426" s="5"/>
      <c r="AN426" s="1" t="s">
        <v>68</v>
      </c>
      <c r="AO426" s="5"/>
      <c r="AP426" s="1" t="s">
        <v>68</v>
      </c>
      <c r="AQ426" s="5"/>
      <c r="AR426" s="279">
        <v>0</v>
      </c>
      <c r="AS426" s="35">
        <v>0</v>
      </c>
      <c r="AT426" s="895">
        <v>0</v>
      </c>
      <c r="AU426" s="884">
        <v>0</v>
      </c>
      <c r="AV426" s="30" t="s">
        <v>68</v>
      </c>
      <c r="AW426" s="11"/>
      <c r="AX426" s="223"/>
      <c r="AY426" s="52"/>
      <c r="AZ426" s="30" t="s">
        <v>1177</v>
      </c>
      <c r="BA426" s="5"/>
      <c r="BB426" s="5"/>
      <c r="BC426" s="11"/>
      <c r="BD426" s="30" t="s">
        <v>1177</v>
      </c>
      <c r="BE426" s="309"/>
      <c r="BF426" s="5"/>
      <c r="BG426" s="5"/>
      <c r="BH426" s="5"/>
      <c r="BI426" s="36">
        <f>AS426+AT426</f>
        <v>0</v>
      </c>
      <c r="BJ426" s="62" t="s">
        <v>68</v>
      </c>
      <c r="BK426" s="224"/>
      <c r="BL426" s="694" t="s">
        <v>68</v>
      </c>
      <c r="BM426" s="695" t="s">
        <v>68</v>
      </c>
      <c r="BN426" s="695" t="s">
        <v>68</v>
      </c>
      <c r="BO426" s="695"/>
      <c r="BP426" s="695"/>
      <c r="BQ426" s="695"/>
      <c r="BR426" s="914"/>
      <c r="BS426" s="695" t="s">
        <v>68</v>
      </c>
      <c r="BT426" s="695"/>
      <c r="BU426" s="695" t="s">
        <v>68</v>
      </c>
      <c r="BV426" s="694" t="s">
        <v>68</v>
      </c>
      <c r="BW426" s="13"/>
      <c r="BX426" s="13" t="s">
        <v>1177</v>
      </c>
      <c r="BY426" s="13"/>
      <c r="BZ426" s="13"/>
      <c r="CA426" s="13"/>
      <c r="CB426" s="1222" t="s">
        <v>2094</v>
      </c>
      <c r="CC426" s="38"/>
      <c r="CD426" s="526"/>
      <c r="CE426" s="526"/>
      <c r="CF426" s="526"/>
      <c r="CG426" s="526"/>
      <c r="CH426" s="526"/>
      <c r="CI426" s="526"/>
      <c r="CJ426" s="526"/>
      <c r="CK426" s="15"/>
    </row>
    <row r="427" spans="1:89" ht="66.75" hidden="1" customHeight="1">
      <c r="B427" s="22"/>
      <c r="C427" s="22"/>
      <c r="D427" s="22"/>
      <c r="E427" s="911">
        <v>44075</v>
      </c>
      <c r="F427" s="911"/>
      <c r="G427" s="915"/>
      <c r="H427" s="1746"/>
      <c r="I427" s="330">
        <v>44331</v>
      </c>
      <c r="J427" s="169">
        <v>2020</v>
      </c>
      <c r="K427" s="1417">
        <v>201.01</v>
      </c>
      <c r="L427" s="1417"/>
      <c r="M427" s="170" t="s">
        <v>166</v>
      </c>
      <c r="N427" s="178" t="s">
        <v>2724</v>
      </c>
      <c r="O427" s="2" t="s">
        <v>4032</v>
      </c>
      <c r="P427" s="173" t="s">
        <v>2840</v>
      </c>
      <c r="Q427" s="173" t="s">
        <v>4410</v>
      </c>
      <c r="R427" s="174">
        <v>149601.96</v>
      </c>
      <c r="S427" s="176">
        <v>43924</v>
      </c>
      <c r="T427" s="176">
        <v>43893</v>
      </c>
      <c r="U427" s="177">
        <v>43982</v>
      </c>
      <c r="V427" s="105" t="s">
        <v>68</v>
      </c>
      <c r="W427" s="178" t="s">
        <v>1177</v>
      </c>
      <c r="X427" s="170" t="s">
        <v>709</v>
      </c>
      <c r="Y427" s="200" t="s">
        <v>1428</v>
      </c>
      <c r="Z427" s="368" t="s">
        <v>1177</v>
      </c>
      <c r="AA427" s="241" t="s">
        <v>2841</v>
      </c>
      <c r="AB427" s="8">
        <v>43923</v>
      </c>
      <c r="AC427" s="4">
        <v>149601.96</v>
      </c>
      <c r="AD427" s="4"/>
      <c r="AE427" s="32"/>
      <c r="AF427" s="34" t="s">
        <v>68</v>
      </c>
      <c r="AG427" s="112" t="s">
        <v>68</v>
      </c>
      <c r="AH427" s="112" t="s">
        <v>68</v>
      </c>
      <c r="AI427" s="7" t="s">
        <v>68</v>
      </c>
      <c r="AJ427" s="109" t="s">
        <v>68</v>
      </c>
      <c r="AK427" s="33" t="s">
        <v>68</v>
      </c>
      <c r="AL427" s="1" t="s">
        <v>68</v>
      </c>
      <c r="AM427" s="5"/>
      <c r="AN427" s="1" t="s">
        <v>68</v>
      </c>
      <c r="AO427" s="5"/>
      <c r="AP427" s="1" t="s">
        <v>68</v>
      </c>
      <c r="AQ427" s="5"/>
      <c r="AR427" s="279">
        <v>0</v>
      </c>
      <c r="AS427" s="674"/>
      <c r="AT427" s="900">
        <v>148382.19</v>
      </c>
      <c r="AU427" s="1359">
        <v>211254.19</v>
      </c>
      <c r="AV427" s="66" t="s">
        <v>74</v>
      </c>
      <c r="AW427" s="11"/>
      <c r="AX427" s="223"/>
      <c r="AY427" s="52"/>
      <c r="AZ427" s="66" t="s">
        <v>74</v>
      </c>
      <c r="BA427" s="5"/>
      <c r="BB427" s="5"/>
      <c r="BC427" s="11"/>
      <c r="BD427" s="66" t="s">
        <v>74</v>
      </c>
      <c r="BE427" s="1423"/>
      <c r="BF427" s="5"/>
      <c r="BG427" s="5"/>
      <c r="BH427" s="5"/>
      <c r="BI427" s="36">
        <f t="shared" si="13"/>
        <v>148382.19</v>
      </c>
      <c r="BJ427" s="62" t="s">
        <v>68</v>
      </c>
      <c r="BK427" s="224"/>
      <c r="BL427" s="1041"/>
      <c r="BM427" s="695" t="s">
        <v>68</v>
      </c>
      <c r="BN427" s="695" t="s">
        <v>68</v>
      </c>
      <c r="BO427" s="695"/>
      <c r="BP427" s="695"/>
      <c r="BQ427" s="695"/>
      <c r="BR427" s="914"/>
      <c r="BS427" s="695" t="s">
        <v>68</v>
      </c>
      <c r="BT427" s="695"/>
      <c r="BU427" s="695" t="s">
        <v>68</v>
      </c>
      <c r="BV427" s="694" t="s">
        <v>68</v>
      </c>
      <c r="BW427" s="13"/>
      <c r="BX427" s="1256" t="s">
        <v>3730</v>
      </c>
      <c r="BY427" s="13"/>
      <c r="BZ427" s="13"/>
      <c r="CA427" s="13"/>
      <c r="CB427" s="1222" t="s">
        <v>2094</v>
      </c>
      <c r="CC427" s="38"/>
      <c r="CD427" s="526"/>
      <c r="CE427" s="526"/>
      <c r="CF427" s="526"/>
      <c r="CG427" s="526"/>
      <c r="CH427" s="526"/>
      <c r="CI427" s="526"/>
      <c r="CJ427" s="526"/>
      <c r="CK427" s="15"/>
    </row>
    <row r="428" spans="1:89" ht="59.25" hidden="1" customHeight="1">
      <c r="B428" s="22"/>
      <c r="C428" s="22"/>
      <c r="D428" s="22"/>
      <c r="E428" s="911">
        <v>44408</v>
      </c>
      <c r="F428" s="911"/>
      <c r="G428" s="915">
        <v>44286</v>
      </c>
      <c r="H428" s="1746"/>
      <c r="I428" s="330">
        <v>44331</v>
      </c>
      <c r="J428" s="169">
        <v>2020</v>
      </c>
      <c r="K428" s="1417">
        <v>201.02</v>
      </c>
      <c r="L428" s="1417"/>
      <c r="M428" s="170" t="s">
        <v>166</v>
      </c>
      <c r="N428" s="178" t="s">
        <v>2725</v>
      </c>
      <c r="O428" s="2" t="s">
        <v>4032</v>
      </c>
      <c r="P428" s="173" t="s">
        <v>2970</v>
      </c>
      <c r="Q428" s="173" t="s">
        <v>4409</v>
      </c>
      <c r="R428" s="174">
        <v>655000</v>
      </c>
      <c r="S428" s="176">
        <v>43924</v>
      </c>
      <c r="T428" s="176">
        <v>43924</v>
      </c>
      <c r="U428" s="177">
        <v>44043</v>
      </c>
      <c r="V428" s="105" t="s">
        <v>68</v>
      </c>
      <c r="W428" s="178" t="s">
        <v>1177</v>
      </c>
      <c r="X428" s="1440" t="s">
        <v>3009</v>
      </c>
      <c r="Y428" s="200" t="s">
        <v>1428</v>
      </c>
      <c r="Z428" s="368" t="s">
        <v>1177</v>
      </c>
      <c r="AA428" s="255" t="s">
        <v>3000</v>
      </c>
      <c r="AB428" s="8">
        <v>43865</v>
      </c>
      <c r="AC428" s="4">
        <v>405000</v>
      </c>
      <c r="AD428" s="4"/>
      <c r="AE428" s="32"/>
      <c r="AF428" s="34" t="s">
        <v>68</v>
      </c>
      <c r="AG428" s="112" t="s">
        <v>68</v>
      </c>
      <c r="AH428" s="112" t="s">
        <v>68</v>
      </c>
      <c r="AI428" s="7" t="s">
        <v>68</v>
      </c>
      <c r="AJ428" s="109" t="s">
        <v>68</v>
      </c>
      <c r="AK428" s="33" t="s">
        <v>68</v>
      </c>
      <c r="AL428" s="1" t="s">
        <v>68</v>
      </c>
      <c r="AM428" s="5"/>
      <c r="AN428" s="1" t="s">
        <v>68</v>
      </c>
      <c r="AO428" s="5"/>
      <c r="AP428" s="1" t="s">
        <v>68</v>
      </c>
      <c r="AQ428" s="5"/>
      <c r="AR428" s="279">
        <v>0</v>
      </c>
      <c r="AS428" s="674"/>
      <c r="AT428" s="902"/>
      <c r="AU428" s="884">
        <v>805778.19</v>
      </c>
      <c r="AV428" s="66" t="s">
        <v>74</v>
      </c>
      <c r="AW428" s="11"/>
      <c r="AX428" s="223"/>
      <c r="AY428" s="52"/>
      <c r="AZ428" s="66" t="s">
        <v>74</v>
      </c>
      <c r="BA428" s="5"/>
      <c r="BB428" s="5"/>
      <c r="BC428" s="11"/>
      <c r="BD428" s="66" t="s">
        <v>74</v>
      </c>
      <c r="BE428" s="1423"/>
      <c r="BF428" s="5"/>
      <c r="BG428" s="5"/>
      <c r="BH428" s="5"/>
      <c r="BI428" s="36">
        <f t="shared" si="13"/>
        <v>0</v>
      </c>
      <c r="BJ428" s="62" t="s">
        <v>68</v>
      </c>
      <c r="BK428" s="224"/>
      <c r="BL428" s="1041"/>
      <c r="BM428" s="695" t="s">
        <v>68</v>
      </c>
      <c r="BN428" s="695" t="s">
        <v>68</v>
      </c>
      <c r="BO428" s="695"/>
      <c r="BP428" s="695"/>
      <c r="BQ428" s="695"/>
      <c r="BR428" s="914"/>
      <c r="BS428" s="695" t="s">
        <v>68</v>
      </c>
      <c r="BT428" s="695"/>
      <c r="BU428" s="695" t="s">
        <v>68</v>
      </c>
      <c r="BV428" s="694" t="s">
        <v>68</v>
      </c>
      <c r="BW428" s="13"/>
      <c r="BX428" s="1256" t="s">
        <v>3730</v>
      </c>
      <c r="BY428" s="13"/>
      <c r="BZ428" s="13"/>
      <c r="CA428" s="13"/>
      <c r="CB428" s="1222" t="s">
        <v>2094</v>
      </c>
      <c r="CC428" s="38"/>
      <c r="CD428" s="526"/>
      <c r="CE428" s="526"/>
      <c r="CF428" s="526"/>
      <c r="CG428" s="526"/>
      <c r="CH428" s="526"/>
      <c r="CI428" s="526"/>
      <c r="CJ428" s="526"/>
      <c r="CK428" s="15"/>
    </row>
    <row r="429" spans="1:89" ht="85.5" hidden="1" customHeight="1">
      <c r="B429" s="22"/>
      <c r="C429" s="1446">
        <v>44494</v>
      </c>
      <c r="D429" s="1446"/>
      <c r="E429" s="911">
        <v>44408</v>
      </c>
      <c r="F429" s="911"/>
      <c r="G429" s="915">
        <v>44279</v>
      </c>
      <c r="H429" s="1746"/>
      <c r="I429" s="330">
        <v>44176</v>
      </c>
      <c r="J429" s="169">
        <v>2020</v>
      </c>
      <c r="K429" s="1417">
        <v>201.03</v>
      </c>
      <c r="L429" s="1417"/>
      <c r="M429" s="170" t="s">
        <v>2836</v>
      </c>
      <c r="N429" s="178" t="s">
        <v>2726</v>
      </c>
      <c r="O429" s="2" t="s">
        <v>4032</v>
      </c>
      <c r="P429" s="173" t="s">
        <v>2859</v>
      </c>
      <c r="Q429" s="173" t="s">
        <v>2614</v>
      </c>
      <c r="R429" s="174">
        <v>962427.31</v>
      </c>
      <c r="S429" s="176">
        <v>43945</v>
      </c>
      <c r="T429" s="176">
        <v>43945</v>
      </c>
      <c r="U429" s="177">
        <v>44098</v>
      </c>
      <c r="V429" s="105" t="s">
        <v>68</v>
      </c>
      <c r="W429" s="178" t="s">
        <v>1177</v>
      </c>
      <c r="X429" s="1045" t="s">
        <v>213</v>
      </c>
      <c r="Y429" s="200" t="s">
        <v>1428</v>
      </c>
      <c r="Z429" s="1383"/>
      <c r="AA429" s="33" t="s">
        <v>3001</v>
      </c>
      <c r="AB429" s="8">
        <v>43972</v>
      </c>
      <c r="AC429" s="4">
        <v>962427.31</v>
      </c>
      <c r="AD429" s="4"/>
      <c r="AE429" s="32"/>
      <c r="AF429" s="34" t="s">
        <v>68</v>
      </c>
      <c r="AG429" s="112" t="s">
        <v>68</v>
      </c>
      <c r="AH429" s="112" t="s">
        <v>68</v>
      </c>
      <c r="AI429" s="7" t="s">
        <v>68</v>
      </c>
      <c r="AJ429" s="109" t="s">
        <v>68</v>
      </c>
      <c r="AK429" s="33" t="s">
        <v>68</v>
      </c>
      <c r="AL429" s="1" t="s">
        <v>68</v>
      </c>
      <c r="AM429" s="5"/>
      <c r="AN429" s="1" t="s">
        <v>68</v>
      </c>
      <c r="AO429" s="5"/>
      <c r="AP429" s="1" t="s">
        <v>68</v>
      </c>
      <c r="AQ429" s="5"/>
      <c r="AR429" s="279">
        <v>0</v>
      </c>
      <c r="AS429" s="674"/>
      <c r="AT429" s="902"/>
      <c r="AU429" s="884">
        <v>623373.34</v>
      </c>
      <c r="AV429" s="66" t="s">
        <v>74</v>
      </c>
      <c r="AW429" s="11"/>
      <c r="AX429" s="223"/>
      <c r="AY429" s="52"/>
      <c r="AZ429" s="66" t="s">
        <v>74</v>
      </c>
      <c r="BA429" s="5"/>
      <c r="BB429" s="5"/>
      <c r="BC429" s="11"/>
      <c r="BD429" s="66" t="s">
        <v>74</v>
      </c>
      <c r="BE429" s="1423"/>
      <c r="BF429" s="5"/>
      <c r="BG429" s="5"/>
      <c r="BH429" s="5"/>
      <c r="BI429" s="36">
        <f t="shared" si="13"/>
        <v>0</v>
      </c>
      <c r="BJ429" s="62" t="s">
        <v>68</v>
      </c>
      <c r="BK429" s="224"/>
      <c r="BL429" s="1041"/>
      <c r="BM429" s="695" t="s">
        <v>68</v>
      </c>
      <c r="BN429" s="695" t="s">
        <v>68</v>
      </c>
      <c r="BO429" s="695"/>
      <c r="BP429" s="695"/>
      <c r="BQ429" s="695"/>
      <c r="BR429" s="914"/>
      <c r="BS429" s="695" t="s">
        <v>68</v>
      </c>
      <c r="BT429" s="695"/>
      <c r="BU429" s="695" t="s">
        <v>68</v>
      </c>
      <c r="BV429" s="694" t="s">
        <v>68</v>
      </c>
      <c r="BW429" s="13"/>
      <c r="BX429" s="1308" t="s">
        <v>3730</v>
      </c>
      <c r="BY429" s="13"/>
      <c r="BZ429" s="13"/>
      <c r="CA429" s="13"/>
      <c r="CB429" s="1222" t="s">
        <v>2094</v>
      </c>
      <c r="CC429" s="38"/>
      <c r="CD429" s="526"/>
      <c r="CE429" s="526"/>
      <c r="CF429" s="526"/>
      <c r="CG429" s="526"/>
      <c r="CH429" s="526"/>
      <c r="CI429" s="526"/>
      <c r="CJ429" s="526"/>
      <c r="CK429" s="15"/>
    </row>
    <row r="430" spans="1:89" ht="104.25" hidden="1" customHeight="1">
      <c r="B430" s="22"/>
      <c r="C430" s="22"/>
      <c r="D430" s="22"/>
      <c r="E430" s="911"/>
      <c r="F430" s="911"/>
      <c r="G430" s="915">
        <v>44440</v>
      </c>
      <c r="H430" s="1746"/>
      <c r="I430" s="330">
        <v>44446</v>
      </c>
      <c r="J430" s="169">
        <v>2020</v>
      </c>
      <c r="K430" s="1417">
        <v>201.04</v>
      </c>
      <c r="L430" s="1417"/>
      <c r="M430" s="170" t="s">
        <v>166</v>
      </c>
      <c r="N430" s="178" t="s">
        <v>2727</v>
      </c>
      <c r="O430" s="2" t="s">
        <v>4032</v>
      </c>
      <c r="P430" s="173" t="s">
        <v>3867</v>
      </c>
      <c r="Q430" s="173" t="s">
        <v>4409</v>
      </c>
      <c r="R430" s="594">
        <v>192779.35</v>
      </c>
      <c r="S430" s="176">
        <v>43910</v>
      </c>
      <c r="T430" s="176">
        <v>43913</v>
      </c>
      <c r="U430" s="177">
        <v>43960</v>
      </c>
      <c r="V430" s="105" t="s">
        <v>68</v>
      </c>
      <c r="W430" s="178" t="s">
        <v>1177</v>
      </c>
      <c r="X430" s="1440" t="s">
        <v>3873</v>
      </c>
      <c r="Y430" s="200" t="s">
        <v>1428</v>
      </c>
      <c r="Z430" s="368" t="s">
        <v>3865</v>
      </c>
      <c r="AA430" s="33" t="s">
        <v>3868</v>
      </c>
      <c r="AB430" s="8">
        <v>44005</v>
      </c>
      <c r="AC430" s="79">
        <v>192779.35</v>
      </c>
      <c r="AD430" s="79"/>
      <c r="AE430" s="651"/>
      <c r="AF430" s="582" t="s">
        <v>68</v>
      </c>
      <c r="AG430" s="583" t="s">
        <v>68</v>
      </c>
      <c r="AH430" s="583" t="s">
        <v>68</v>
      </c>
      <c r="AI430" s="584" t="s">
        <v>68</v>
      </c>
      <c r="AJ430" s="581" t="s">
        <v>68</v>
      </c>
      <c r="AK430" s="33" t="s">
        <v>68</v>
      </c>
      <c r="AL430" s="1" t="s">
        <v>68</v>
      </c>
      <c r="AM430" s="5"/>
      <c r="AN430" s="1" t="s">
        <v>68</v>
      </c>
      <c r="AO430" s="5"/>
      <c r="AP430" s="1" t="s">
        <v>68</v>
      </c>
      <c r="AQ430" s="5"/>
      <c r="AR430" s="279">
        <v>0</v>
      </c>
      <c r="AS430" s="674"/>
      <c r="AT430" s="902"/>
      <c r="AU430" s="891"/>
      <c r="AV430" s="66" t="s">
        <v>74</v>
      </c>
      <c r="AW430" s="11"/>
      <c r="AX430" s="223"/>
      <c r="AY430" s="52"/>
      <c r="AZ430" s="66" t="s">
        <v>74</v>
      </c>
      <c r="BA430" s="5"/>
      <c r="BB430" s="5"/>
      <c r="BC430" s="11"/>
      <c r="BD430" s="66" t="s">
        <v>74</v>
      </c>
      <c r="BE430" s="1423"/>
      <c r="BF430" s="5"/>
      <c r="BG430" s="5"/>
      <c r="BH430" s="5"/>
      <c r="BI430" s="36">
        <f t="shared" si="13"/>
        <v>0</v>
      </c>
      <c r="BJ430" s="62" t="s">
        <v>68</v>
      </c>
      <c r="BK430" s="224"/>
      <c r="BL430" s="336">
        <v>43910</v>
      </c>
      <c r="BM430" s="695" t="s">
        <v>68</v>
      </c>
      <c r="BN430" s="695" t="s">
        <v>68</v>
      </c>
      <c r="BO430" s="695"/>
      <c r="BP430" s="695" t="s">
        <v>68</v>
      </c>
      <c r="BQ430" s="695" t="s">
        <v>68</v>
      </c>
      <c r="BR430" s="914" t="s">
        <v>68</v>
      </c>
      <c r="BS430" s="695" t="s">
        <v>68</v>
      </c>
      <c r="BT430" s="695"/>
      <c r="BU430" s="695" t="s">
        <v>68</v>
      </c>
      <c r="BV430" s="694" t="s">
        <v>68</v>
      </c>
      <c r="BW430" s="13"/>
      <c r="BX430" s="1252" t="s">
        <v>3730</v>
      </c>
      <c r="BY430" s="1252" t="s">
        <v>3730</v>
      </c>
      <c r="BZ430" s="1252" t="s">
        <v>3730</v>
      </c>
      <c r="CA430" s="13"/>
      <c r="CB430" s="1222" t="s">
        <v>2094</v>
      </c>
      <c r="CC430" s="38"/>
      <c r="CD430" s="526"/>
      <c r="CE430" s="526"/>
      <c r="CF430" s="526"/>
      <c r="CG430" s="526"/>
      <c r="CH430" s="526"/>
      <c r="CI430" s="526"/>
      <c r="CJ430" s="526"/>
      <c r="CK430" s="15"/>
    </row>
    <row r="431" spans="1:89" ht="72" hidden="1" customHeight="1">
      <c r="B431" s="22"/>
      <c r="C431" s="22"/>
      <c r="D431" s="22"/>
      <c r="E431" s="911"/>
      <c r="F431" s="911"/>
      <c r="G431" s="915">
        <v>44286</v>
      </c>
      <c r="H431" s="1746"/>
      <c r="I431" s="330">
        <v>44331</v>
      </c>
      <c r="J431" s="169">
        <v>2020</v>
      </c>
      <c r="K431" s="1417">
        <v>201.05</v>
      </c>
      <c r="L431" s="1417"/>
      <c r="M431" s="170" t="s">
        <v>166</v>
      </c>
      <c r="N431" s="178" t="s">
        <v>2728</v>
      </c>
      <c r="O431" s="2" t="s">
        <v>4032</v>
      </c>
      <c r="P431" s="173" t="s">
        <v>2920</v>
      </c>
      <c r="Q431" s="173" t="s">
        <v>4409</v>
      </c>
      <c r="R431" s="174">
        <v>50000</v>
      </c>
      <c r="S431" s="176">
        <v>43924</v>
      </c>
      <c r="T431" s="176">
        <v>43924</v>
      </c>
      <c r="U431" s="177">
        <v>43961</v>
      </c>
      <c r="V431" s="105" t="s">
        <v>68</v>
      </c>
      <c r="W431" s="178" t="s">
        <v>1177</v>
      </c>
      <c r="X431" s="1440" t="s">
        <v>3009</v>
      </c>
      <c r="Y431" s="200" t="s">
        <v>1428</v>
      </c>
      <c r="Z431" s="368" t="s">
        <v>1177</v>
      </c>
      <c r="AA431" s="337" t="s">
        <v>74</v>
      </c>
      <c r="AB431" s="8"/>
      <c r="AC431" s="4"/>
      <c r="AD431" s="4"/>
      <c r="AE431" s="32"/>
      <c r="AF431" s="34" t="s">
        <v>68</v>
      </c>
      <c r="AG431" s="112" t="s">
        <v>68</v>
      </c>
      <c r="AH431" s="112" t="s">
        <v>68</v>
      </c>
      <c r="AI431" s="7" t="s">
        <v>68</v>
      </c>
      <c r="AJ431" s="109" t="s">
        <v>68</v>
      </c>
      <c r="AK431" s="33" t="s">
        <v>68</v>
      </c>
      <c r="AL431" s="1" t="s">
        <v>68</v>
      </c>
      <c r="AM431" s="5"/>
      <c r="AN431" s="1" t="s">
        <v>68</v>
      </c>
      <c r="AO431" s="5"/>
      <c r="AP431" s="1" t="s">
        <v>68</v>
      </c>
      <c r="AQ431" s="5"/>
      <c r="AR431" s="279">
        <v>0</v>
      </c>
      <c r="AS431" s="674"/>
      <c r="AT431" s="902"/>
      <c r="AU431" s="884">
        <v>2292.7800000000002</v>
      </c>
      <c r="AV431" s="66" t="s">
        <v>74</v>
      </c>
      <c r="AW431" s="11"/>
      <c r="AX431" s="223"/>
      <c r="AY431" s="52"/>
      <c r="AZ431" s="66" t="s">
        <v>74</v>
      </c>
      <c r="BA431" s="5"/>
      <c r="BB431" s="5"/>
      <c r="BC431" s="11"/>
      <c r="BD431" s="66" t="s">
        <v>74</v>
      </c>
      <c r="BE431" s="1423"/>
      <c r="BF431" s="5"/>
      <c r="BG431" s="5"/>
      <c r="BH431" s="5"/>
      <c r="BI431" s="36">
        <f t="shared" si="13"/>
        <v>0</v>
      </c>
      <c r="BJ431" s="62" t="s">
        <v>68</v>
      </c>
      <c r="BK431" s="224"/>
      <c r="BL431" s="1041"/>
      <c r="BM431" s="695" t="s">
        <v>68</v>
      </c>
      <c r="BN431" s="695" t="s">
        <v>68</v>
      </c>
      <c r="BO431" s="695"/>
      <c r="BP431" s="695"/>
      <c r="BQ431" s="695"/>
      <c r="BR431" s="914"/>
      <c r="BS431" s="695" t="s">
        <v>68</v>
      </c>
      <c r="BT431" s="695"/>
      <c r="BU431" s="695" t="s">
        <v>68</v>
      </c>
      <c r="BV431" s="694" t="s">
        <v>68</v>
      </c>
      <c r="BW431" s="13"/>
      <c r="BX431" s="1256" t="s">
        <v>3730</v>
      </c>
      <c r="BY431" s="13"/>
      <c r="BZ431" s="13"/>
      <c r="CA431" s="13"/>
      <c r="CB431" s="1222" t="s">
        <v>2094</v>
      </c>
      <c r="CC431" s="38"/>
      <c r="CD431" s="526"/>
      <c r="CE431" s="526"/>
      <c r="CF431" s="526"/>
      <c r="CG431" s="526"/>
      <c r="CH431" s="526"/>
      <c r="CI431" s="526"/>
      <c r="CJ431" s="526"/>
      <c r="CK431" s="15"/>
    </row>
    <row r="432" spans="1:89" ht="85.5" hidden="1" customHeight="1">
      <c r="B432" s="22"/>
      <c r="C432" s="22"/>
      <c r="D432" s="22"/>
      <c r="E432" s="911">
        <v>44075</v>
      </c>
      <c r="F432" s="911"/>
      <c r="G432" s="915">
        <v>44279</v>
      </c>
      <c r="H432" s="1746"/>
      <c r="I432" s="330">
        <v>44295</v>
      </c>
      <c r="J432" s="169">
        <v>2020</v>
      </c>
      <c r="K432" s="1417">
        <v>201.06</v>
      </c>
      <c r="L432" s="1417"/>
      <c r="M432" s="170" t="s">
        <v>77</v>
      </c>
      <c r="N432" s="178" t="s">
        <v>2729</v>
      </c>
      <c r="O432" s="2" t="s">
        <v>4032</v>
      </c>
      <c r="P432" s="173" t="s">
        <v>3249</v>
      </c>
      <c r="Q432" s="173" t="s">
        <v>1975</v>
      </c>
      <c r="R432" s="174">
        <v>42478.36</v>
      </c>
      <c r="S432" s="176">
        <v>44103</v>
      </c>
      <c r="T432" s="176">
        <v>44106</v>
      </c>
      <c r="U432" s="177">
        <v>44120</v>
      </c>
      <c r="V432" s="105" t="s">
        <v>68</v>
      </c>
      <c r="W432" s="178" t="s">
        <v>1177</v>
      </c>
      <c r="X432" s="170" t="s">
        <v>449</v>
      </c>
      <c r="Y432" s="461" t="s">
        <v>74</v>
      </c>
      <c r="Z432" s="1371"/>
      <c r="AA432" s="115" t="s">
        <v>3250</v>
      </c>
      <c r="AB432" s="8">
        <v>43972</v>
      </c>
      <c r="AC432" s="4">
        <v>877535.55</v>
      </c>
      <c r="AD432" s="4"/>
      <c r="AE432" s="32"/>
      <c r="AF432" s="34" t="s">
        <v>68</v>
      </c>
      <c r="AG432" s="112" t="s">
        <v>68</v>
      </c>
      <c r="AH432" s="112" t="s">
        <v>68</v>
      </c>
      <c r="AI432" s="7" t="s">
        <v>68</v>
      </c>
      <c r="AJ432" s="109" t="s">
        <v>68</v>
      </c>
      <c r="AK432" s="33" t="s">
        <v>68</v>
      </c>
      <c r="AL432" s="1" t="s">
        <v>68</v>
      </c>
      <c r="AM432" s="5"/>
      <c r="AN432" s="1" t="s">
        <v>68</v>
      </c>
      <c r="AO432" s="5"/>
      <c r="AP432" s="1" t="s">
        <v>68</v>
      </c>
      <c r="AQ432" s="5"/>
      <c r="AR432" s="279">
        <v>0</v>
      </c>
      <c r="AS432" s="35">
        <v>18780.34</v>
      </c>
      <c r="AT432" s="895">
        <v>20202.27</v>
      </c>
      <c r="AU432" s="884">
        <v>38982.61</v>
      </c>
      <c r="AV432" s="66" t="s">
        <v>74</v>
      </c>
      <c r="AW432" s="11"/>
      <c r="AX432" s="223"/>
      <c r="AY432" s="52"/>
      <c r="AZ432" s="30">
        <v>44116</v>
      </c>
      <c r="BA432" s="5">
        <v>44106</v>
      </c>
      <c r="BB432" s="5">
        <v>44120</v>
      </c>
      <c r="BC432" s="11">
        <v>44114</v>
      </c>
      <c r="BD432" s="30">
        <v>44116</v>
      </c>
      <c r="BE432" s="309"/>
      <c r="BF432" s="5">
        <v>44106</v>
      </c>
      <c r="BG432" s="5">
        <v>44120</v>
      </c>
      <c r="BH432" s="5">
        <v>44114</v>
      </c>
      <c r="BI432" s="245">
        <f t="shared" si="13"/>
        <v>38982.61</v>
      </c>
      <c r="BJ432" s="62" t="s">
        <v>68</v>
      </c>
      <c r="BK432" s="224"/>
      <c r="BL432" s="1246" t="s">
        <v>74</v>
      </c>
      <c r="BM432" s="695" t="s">
        <v>68</v>
      </c>
      <c r="BN432" s="695" t="s">
        <v>68</v>
      </c>
      <c r="BO432" s="695"/>
      <c r="BP432" s="695"/>
      <c r="BQ432" s="695"/>
      <c r="BR432" s="914"/>
      <c r="BS432" s="695" t="s">
        <v>68</v>
      </c>
      <c r="BT432" s="695"/>
      <c r="BU432" s="695" t="s">
        <v>68</v>
      </c>
      <c r="BV432" s="694" t="s">
        <v>68</v>
      </c>
      <c r="BW432" s="13"/>
      <c r="BX432" s="1255" t="s">
        <v>3567</v>
      </c>
      <c r="BY432" s="13"/>
      <c r="BZ432" s="13"/>
      <c r="CA432" s="13"/>
      <c r="CB432" s="1222" t="s">
        <v>2094</v>
      </c>
      <c r="CC432" s="38" t="s">
        <v>3560</v>
      </c>
      <c r="CD432" s="526"/>
      <c r="CE432" s="526"/>
      <c r="CF432" s="526"/>
      <c r="CG432" s="526"/>
      <c r="CH432" s="526"/>
      <c r="CI432" s="526"/>
      <c r="CJ432" s="526"/>
      <c r="CK432" s="15"/>
    </row>
    <row r="433" spans="2:89" ht="91.5" hidden="1" customHeight="1">
      <c r="B433" s="22"/>
      <c r="C433" s="22"/>
      <c r="D433" s="22"/>
      <c r="E433" s="911"/>
      <c r="F433" s="911"/>
      <c r="G433" s="915"/>
      <c r="H433" s="1746"/>
      <c r="I433" s="330">
        <v>44401</v>
      </c>
      <c r="J433" s="169">
        <v>2020</v>
      </c>
      <c r="K433" s="1417">
        <v>201.07</v>
      </c>
      <c r="L433" s="1417"/>
      <c r="M433" s="170" t="s">
        <v>3236</v>
      </c>
      <c r="N433" s="178" t="s">
        <v>2730</v>
      </c>
      <c r="O433" s="2" t="s">
        <v>4032</v>
      </c>
      <c r="P433" s="173" t="s">
        <v>3251</v>
      </c>
      <c r="Q433" s="173" t="s">
        <v>2614</v>
      </c>
      <c r="R433" s="174">
        <v>196881.44</v>
      </c>
      <c r="S433" s="176">
        <v>44089</v>
      </c>
      <c r="T433" s="176">
        <v>44144</v>
      </c>
      <c r="U433" s="177">
        <v>44191</v>
      </c>
      <c r="V433" s="105" t="s">
        <v>68</v>
      </c>
      <c r="W433" s="178" t="s">
        <v>1177</v>
      </c>
      <c r="X433" s="170" t="s">
        <v>449</v>
      </c>
      <c r="Y433" s="461" t="s">
        <v>74</v>
      </c>
      <c r="Z433" s="1371"/>
      <c r="AA433" s="255" t="s">
        <v>3237</v>
      </c>
      <c r="AB433" s="8">
        <v>44082</v>
      </c>
      <c r="AC433" s="4">
        <v>475375.11</v>
      </c>
      <c r="AD433" s="4"/>
      <c r="AE433" s="32"/>
      <c r="AF433" s="34" t="s">
        <v>68</v>
      </c>
      <c r="AG433" s="112" t="s">
        <v>68</v>
      </c>
      <c r="AH433" s="112" t="s">
        <v>68</v>
      </c>
      <c r="AI433" s="7" t="s">
        <v>68</v>
      </c>
      <c r="AJ433" s="109" t="s">
        <v>68</v>
      </c>
      <c r="AK433" s="33" t="s">
        <v>68</v>
      </c>
      <c r="AL433" s="1" t="s">
        <v>68</v>
      </c>
      <c r="AM433" s="5"/>
      <c r="AN433" s="1" t="s">
        <v>68</v>
      </c>
      <c r="AO433" s="5"/>
      <c r="AP433" s="1" t="s">
        <v>68</v>
      </c>
      <c r="AQ433" s="5"/>
      <c r="AR433" s="279">
        <v>0</v>
      </c>
      <c r="AS433" s="674"/>
      <c r="AT433" s="902"/>
      <c r="AU433" s="891"/>
      <c r="AV433" s="66" t="s">
        <v>74</v>
      </c>
      <c r="AW433" s="11"/>
      <c r="AX433" s="223"/>
      <c r="AY433" s="52"/>
      <c r="AZ433" s="66" t="s">
        <v>74</v>
      </c>
      <c r="BA433" s="5"/>
      <c r="BB433" s="5"/>
      <c r="BC433" s="11"/>
      <c r="BD433" s="66" t="s">
        <v>74</v>
      </c>
      <c r="BE433" s="1423"/>
      <c r="BF433" s="5"/>
      <c r="BG433" s="5"/>
      <c r="BH433" s="5"/>
      <c r="BI433" s="36">
        <f t="shared" si="13"/>
        <v>0</v>
      </c>
      <c r="BJ433" s="62" t="s">
        <v>68</v>
      </c>
      <c r="BK433" s="224"/>
      <c r="BL433" s="1041"/>
      <c r="BM433" s="695" t="s">
        <v>68</v>
      </c>
      <c r="BN433" s="695" t="s">
        <v>68</v>
      </c>
      <c r="BO433" s="695"/>
      <c r="BP433" s="695"/>
      <c r="BQ433" s="695"/>
      <c r="BR433" s="914"/>
      <c r="BS433" s="695" t="s">
        <v>68</v>
      </c>
      <c r="BT433" s="695"/>
      <c r="BU433" s="695" t="s">
        <v>68</v>
      </c>
      <c r="BV433" s="694" t="s">
        <v>68</v>
      </c>
      <c r="BW433" s="13"/>
      <c r="BX433" s="1256" t="s">
        <v>3730</v>
      </c>
      <c r="BY433" s="13"/>
      <c r="BZ433" s="13"/>
      <c r="CA433" s="13"/>
      <c r="CB433" s="1222" t="s">
        <v>2094</v>
      </c>
      <c r="CC433" s="38"/>
      <c r="CD433" s="526"/>
      <c r="CE433" s="526"/>
      <c r="CF433" s="526"/>
      <c r="CG433" s="526"/>
      <c r="CH433" s="526"/>
      <c r="CI433" s="526"/>
      <c r="CJ433" s="526"/>
      <c r="CK433" s="15"/>
    </row>
    <row r="434" spans="2:89" ht="87" hidden="1" customHeight="1">
      <c r="B434" s="22"/>
      <c r="C434" s="22"/>
      <c r="D434" s="22"/>
      <c r="E434" s="911"/>
      <c r="F434" s="911"/>
      <c r="G434" s="915"/>
      <c r="H434" s="1746"/>
      <c r="I434" s="330"/>
      <c r="J434" s="169">
        <v>2020</v>
      </c>
      <c r="K434" s="1417">
        <v>201.071</v>
      </c>
      <c r="L434" s="1417"/>
      <c r="M434" s="170" t="s">
        <v>3914</v>
      </c>
      <c r="N434" s="178" t="s">
        <v>3904</v>
      </c>
      <c r="O434" s="2" t="s">
        <v>4032</v>
      </c>
      <c r="P434" s="451" t="s">
        <v>3943</v>
      </c>
      <c r="Q434" s="451" t="s">
        <v>2614</v>
      </c>
      <c r="R434" s="174">
        <v>283094.36</v>
      </c>
      <c r="S434" s="176">
        <v>44089</v>
      </c>
      <c r="T434" s="176">
        <v>44137</v>
      </c>
      <c r="U434" s="177">
        <v>44191</v>
      </c>
      <c r="V434" s="105" t="s">
        <v>1177</v>
      </c>
      <c r="W434" s="178" t="s">
        <v>1177</v>
      </c>
      <c r="X434" s="920"/>
      <c r="Y434" s="611" t="s">
        <v>1428</v>
      </c>
      <c r="Z434" s="1372" t="s">
        <v>1177</v>
      </c>
      <c r="AA434" s="255"/>
      <c r="AB434" s="8"/>
      <c r="AC434" s="4"/>
      <c r="AD434" s="4"/>
      <c r="AE434" s="32"/>
      <c r="AF434" s="34" t="s">
        <v>68</v>
      </c>
      <c r="AG434" s="112" t="s">
        <v>68</v>
      </c>
      <c r="AH434" s="112" t="s">
        <v>68</v>
      </c>
      <c r="AI434" s="7" t="s">
        <v>68</v>
      </c>
      <c r="AJ434" s="109" t="s">
        <v>68</v>
      </c>
      <c r="AK434" s="33" t="s">
        <v>68</v>
      </c>
      <c r="AL434" s="1" t="s">
        <v>68</v>
      </c>
      <c r="AM434" s="5"/>
      <c r="AN434" s="1" t="s">
        <v>68</v>
      </c>
      <c r="AO434" s="5"/>
      <c r="AP434" s="1" t="s">
        <v>68</v>
      </c>
      <c r="AQ434" s="5"/>
      <c r="AR434" s="279">
        <v>0</v>
      </c>
      <c r="AS434" s="674"/>
      <c r="AT434" s="902"/>
      <c r="AU434" s="891"/>
      <c r="AV434" s="66" t="s">
        <v>74</v>
      </c>
      <c r="AW434" s="11"/>
      <c r="AX434" s="223"/>
      <c r="AY434" s="52"/>
      <c r="AZ434" s="66" t="s">
        <v>74</v>
      </c>
      <c r="BA434" s="5"/>
      <c r="BB434" s="5"/>
      <c r="BC434" s="11"/>
      <c r="BD434" s="66" t="s">
        <v>74</v>
      </c>
      <c r="BE434" s="1423"/>
      <c r="BF434" s="5"/>
      <c r="BG434" s="5"/>
      <c r="BH434" s="5"/>
      <c r="BI434" s="36"/>
      <c r="BJ434" s="62" t="s">
        <v>68</v>
      </c>
      <c r="BK434" s="224"/>
      <c r="BL434" s="1041"/>
      <c r="BM434" s="695" t="s">
        <v>68</v>
      </c>
      <c r="BN434" s="695" t="s">
        <v>68</v>
      </c>
      <c r="BO434" s="695" t="s">
        <v>68</v>
      </c>
      <c r="BP434" s="695" t="s">
        <v>68</v>
      </c>
      <c r="BQ434" s="695" t="s">
        <v>68</v>
      </c>
      <c r="BR434" s="914" t="s">
        <v>68</v>
      </c>
      <c r="BS434" s="695" t="s">
        <v>68</v>
      </c>
      <c r="BT434" s="695"/>
      <c r="BU434" s="695" t="s">
        <v>68</v>
      </c>
      <c r="BV434" s="694" t="s">
        <v>68</v>
      </c>
      <c r="BW434" s="13"/>
      <c r="BX434" s="1256"/>
      <c r="BY434" s="13"/>
      <c r="BZ434" s="13"/>
      <c r="CA434" s="13"/>
      <c r="CB434" s="1222" t="s">
        <v>2094</v>
      </c>
      <c r="CC434" s="38"/>
      <c r="CD434" s="526"/>
      <c r="CE434" s="526"/>
      <c r="CF434" s="526"/>
      <c r="CG434" s="526"/>
      <c r="CH434" s="526"/>
      <c r="CI434" s="526"/>
      <c r="CJ434" s="526"/>
      <c r="CK434" s="15"/>
    </row>
    <row r="435" spans="2:89" ht="68.25" hidden="1" customHeight="1">
      <c r="B435" s="22"/>
      <c r="C435" s="22"/>
      <c r="D435" s="22"/>
      <c r="E435" s="911"/>
      <c r="F435" s="911"/>
      <c r="G435" s="915"/>
      <c r="H435" s="1746"/>
      <c r="I435" s="330">
        <v>44251</v>
      </c>
      <c r="J435" s="169">
        <v>2020</v>
      </c>
      <c r="K435" s="1417">
        <v>201.08</v>
      </c>
      <c r="L435" s="1417"/>
      <c r="M435" s="170" t="s">
        <v>3236</v>
      </c>
      <c r="N435" s="178" t="s">
        <v>2731</v>
      </c>
      <c r="O435" s="2" t="s">
        <v>4032</v>
      </c>
      <c r="P435" s="173" t="s">
        <v>3252</v>
      </c>
      <c r="Q435" s="173" t="s">
        <v>4410</v>
      </c>
      <c r="R435" s="174">
        <v>1079624.5</v>
      </c>
      <c r="S435" s="176">
        <v>44454</v>
      </c>
      <c r="T435" s="176">
        <v>44166</v>
      </c>
      <c r="U435" s="177">
        <v>44196</v>
      </c>
      <c r="V435" s="105" t="s">
        <v>68</v>
      </c>
      <c r="W435" s="178" t="s">
        <v>1177</v>
      </c>
      <c r="X435" s="170" t="s">
        <v>449</v>
      </c>
      <c r="Y435" s="461" t="s">
        <v>74</v>
      </c>
      <c r="Z435" s="1371"/>
      <c r="AA435" s="617" t="s">
        <v>3237</v>
      </c>
      <c r="AB435" s="8">
        <v>44082</v>
      </c>
      <c r="AC435" s="63">
        <v>930275.13</v>
      </c>
      <c r="AD435" s="4"/>
      <c r="AE435" s="32"/>
      <c r="AF435" s="34" t="s">
        <v>68</v>
      </c>
      <c r="AG435" s="112" t="s">
        <v>68</v>
      </c>
      <c r="AH435" s="112" t="s">
        <v>68</v>
      </c>
      <c r="AI435" s="7" t="s">
        <v>68</v>
      </c>
      <c r="AJ435" s="109" t="s">
        <v>68</v>
      </c>
      <c r="AK435" s="33" t="s">
        <v>68</v>
      </c>
      <c r="AL435" s="1" t="s">
        <v>68</v>
      </c>
      <c r="AM435" s="5"/>
      <c r="AN435" s="1" t="s">
        <v>68</v>
      </c>
      <c r="AO435" s="5"/>
      <c r="AP435" s="1" t="s">
        <v>68</v>
      </c>
      <c r="AQ435" s="5"/>
      <c r="AR435" s="279">
        <v>0</v>
      </c>
      <c r="AS435" s="674"/>
      <c r="AT435" s="902"/>
      <c r="AU435" s="891"/>
      <c r="AV435" s="66" t="s">
        <v>74</v>
      </c>
      <c r="AW435" s="11"/>
      <c r="AX435" s="223"/>
      <c r="AY435" s="52"/>
      <c r="AZ435" s="66" t="s">
        <v>74</v>
      </c>
      <c r="BA435" s="5"/>
      <c r="BB435" s="5"/>
      <c r="BC435" s="11"/>
      <c r="BD435" s="66" t="s">
        <v>74</v>
      </c>
      <c r="BE435" s="1423"/>
      <c r="BF435" s="5"/>
      <c r="BG435" s="5"/>
      <c r="BH435" s="5"/>
      <c r="BI435" s="36">
        <f>AS435+AT435</f>
        <v>0</v>
      </c>
      <c r="BJ435" s="62" t="s">
        <v>68</v>
      </c>
      <c r="BK435" s="224"/>
      <c r="BL435" s="1041"/>
      <c r="BM435" s="695" t="s">
        <v>68</v>
      </c>
      <c r="BN435" s="695" t="s">
        <v>68</v>
      </c>
      <c r="BO435" s="695"/>
      <c r="BP435" s="695"/>
      <c r="BQ435" s="695"/>
      <c r="BR435" s="914"/>
      <c r="BS435" s="695" t="s">
        <v>68</v>
      </c>
      <c r="BT435" s="695"/>
      <c r="BU435" s="695" t="s">
        <v>68</v>
      </c>
      <c r="BV435" s="694" t="s">
        <v>68</v>
      </c>
      <c r="BW435" s="13"/>
      <c r="BX435" s="1256" t="s">
        <v>3730</v>
      </c>
      <c r="BY435" s="13"/>
      <c r="BZ435" s="13"/>
      <c r="CA435" s="13"/>
      <c r="CB435" s="1222" t="s">
        <v>2094</v>
      </c>
      <c r="CC435" s="38"/>
      <c r="CD435" s="526"/>
      <c r="CE435" s="526"/>
      <c r="CF435" s="526"/>
      <c r="CG435" s="526"/>
      <c r="CH435" s="526"/>
      <c r="CI435" s="526"/>
      <c r="CJ435" s="526"/>
      <c r="CK435" s="15"/>
    </row>
    <row r="436" spans="2:89" ht="66.75" hidden="1" customHeight="1">
      <c r="B436" s="22"/>
      <c r="C436" s="22"/>
      <c r="D436" s="22"/>
      <c r="E436" s="911"/>
      <c r="F436" s="911"/>
      <c r="G436" s="915"/>
      <c r="H436" s="1746"/>
      <c r="I436" s="330"/>
      <c r="J436" s="169">
        <v>2020</v>
      </c>
      <c r="K436" s="1417">
        <v>201.08099999999999</v>
      </c>
      <c r="L436" s="1417"/>
      <c r="M436" s="170" t="s">
        <v>3914</v>
      </c>
      <c r="N436" s="178" t="s">
        <v>3905</v>
      </c>
      <c r="O436" s="2" t="s">
        <v>4032</v>
      </c>
      <c r="P436" s="451" t="s">
        <v>3930</v>
      </c>
      <c r="Q436" s="451" t="s">
        <v>4410</v>
      </c>
      <c r="R436" s="174">
        <v>327960.31</v>
      </c>
      <c r="S436" s="176">
        <v>44089</v>
      </c>
      <c r="T436" s="176">
        <v>44166</v>
      </c>
      <c r="U436" s="177">
        <v>44196</v>
      </c>
      <c r="V436" s="105" t="s">
        <v>1177</v>
      </c>
      <c r="W436" s="178" t="s">
        <v>1177</v>
      </c>
      <c r="X436" s="920"/>
      <c r="Y436" s="611" t="s">
        <v>1428</v>
      </c>
      <c r="Z436" s="1372" t="s">
        <v>1177</v>
      </c>
      <c r="AA436" s="255"/>
      <c r="AB436" s="8"/>
      <c r="AC436" s="4"/>
      <c r="AD436" s="4"/>
      <c r="AE436" s="32"/>
      <c r="AF436" s="34" t="s">
        <v>68</v>
      </c>
      <c r="AG436" s="112" t="s">
        <v>68</v>
      </c>
      <c r="AH436" s="112" t="s">
        <v>68</v>
      </c>
      <c r="AI436" s="7" t="s">
        <v>68</v>
      </c>
      <c r="AJ436" s="109" t="s">
        <v>68</v>
      </c>
      <c r="AK436" s="33" t="s">
        <v>68</v>
      </c>
      <c r="AL436" s="1" t="s">
        <v>68</v>
      </c>
      <c r="AM436" s="5"/>
      <c r="AN436" s="1" t="s">
        <v>68</v>
      </c>
      <c r="AO436" s="5"/>
      <c r="AP436" s="1" t="s">
        <v>68</v>
      </c>
      <c r="AQ436" s="5"/>
      <c r="AR436" s="279">
        <v>0</v>
      </c>
      <c r="AS436" s="674"/>
      <c r="AT436" s="902"/>
      <c r="AU436" s="891"/>
      <c r="AV436" s="66" t="s">
        <v>74</v>
      </c>
      <c r="AW436" s="11"/>
      <c r="AX436" s="223"/>
      <c r="AY436" s="52"/>
      <c r="AZ436" s="66" t="s">
        <v>74</v>
      </c>
      <c r="BA436" s="5"/>
      <c r="BB436" s="5"/>
      <c r="BC436" s="11"/>
      <c r="BD436" s="66" t="s">
        <v>74</v>
      </c>
      <c r="BE436" s="1423"/>
      <c r="BF436" s="5"/>
      <c r="BG436" s="5"/>
      <c r="BH436" s="5"/>
      <c r="BI436" s="36"/>
      <c r="BJ436" s="62" t="s">
        <v>68</v>
      </c>
      <c r="BK436" s="224"/>
      <c r="BL436" s="1041"/>
      <c r="BM436" s="695" t="s">
        <v>68</v>
      </c>
      <c r="BN436" s="695" t="s">
        <v>68</v>
      </c>
      <c r="BO436" s="695" t="s">
        <v>68</v>
      </c>
      <c r="BP436" s="695" t="s">
        <v>68</v>
      </c>
      <c r="BQ436" s="695" t="s">
        <v>68</v>
      </c>
      <c r="BR436" s="914" t="s">
        <v>68</v>
      </c>
      <c r="BS436" s="695" t="s">
        <v>68</v>
      </c>
      <c r="BT436" s="695"/>
      <c r="BU436" s="695" t="s">
        <v>68</v>
      </c>
      <c r="BV436" s="694" t="s">
        <v>68</v>
      </c>
      <c r="BW436" s="13"/>
      <c r="BX436" s="1256"/>
      <c r="BY436" s="13"/>
      <c r="BZ436" s="13"/>
      <c r="CA436" s="13"/>
      <c r="CB436" s="1222" t="s">
        <v>2094</v>
      </c>
      <c r="CC436" s="38"/>
      <c r="CD436" s="526"/>
      <c r="CE436" s="526"/>
      <c r="CF436" s="526"/>
      <c r="CG436" s="526"/>
      <c r="CH436" s="526"/>
      <c r="CI436" s="526"/>
      <c r="CJ436" s="526"/>
      <c r="CK436" s="15"/>
    </row>
    <row r="437" spans="2:89" ht="104.25" hidden="1" customHeight="1">
      <c r="B437" s="22"/>
      <c r="C437" s="22"/>
      <c r="D437" s="22"/>
      <c r="E437" s="911"/>
      <c r="F437" s="911"/>
      <c r="G437" s="915"/>
      <c r="H437" s="1746"/>
      <c r="I437" s="330">
        <v>44251</v>
      </c>
      <c r="J437" s="169">
        <v>2020</v>
      </c>
      <c r="K437" s="1417">
        <v>201.09</v>
      </c>
      <c r="L437" s="1417"/>
      <c r="M437" s="170" t="s">
        <v>3236</v>
      </c>
      <c r="N437" s="178" t="s">
        <v>2732</v>
      </c>
      <c r="O437" s="2" t="s">
        <v>4032</v>
      </c>
      <c r="P437" s="173" t="s">
        <v>3253</v>
      </c>
      <c r="Q437" s="173" t="s">
        <v>2515</v>
      </c>
      <c r="R437" s="174">
        <v>193929.96</v>
      </c>
      <c r="S437" s="176">
        <v>44089</v>
      </c>
      <c r="T437" s="176">
        <v>44140</v>
      </c>
      <c r="U437" s="177">
        <v>44191</v>
      </c>
      <c r="V437" s="105" t="s">
        <v>68</v>
      </c>
      <c r="W437" s="178" t="s">
        <v>1177</v>
      </c>
      <c r="X437" s="170" t="s">
        <v>449</v>
      </c>
      <c r="Y437" s="461" t="s">
        <v>74</v>
      </c>
      <c r="Z437" s="1371"/>
      <c r="AA437" s="255" t="s">
        <v>3237</v>
      </c>
      <c r="AB437" s="8">
        <v>44082</v>
      </c>
      <c r="AC437" s="4">
        <v>1274811.49</v>
      </c>
      <c r="AD437" s="4"/>
      <c r="AE437" s="32"/>
      <c r="AF437" s="34" t="s">
        <v>68</v>
      </c>
      <c r="AG437" s="112" t="s">
        <v>68</v>
      </c>
      <c r="AH437" s="112" t="s">
        <v>68</v>
      </c>
      <c r="AI437" s="7" t="s">
        <v>68</v>
      </c>
      <c r="AJ437" s="109" t="s">
        <v>68</v>
      </c>
      <c r="AK437" s="33" t="s">
        <v>68</v>
      </c>
      <c r="AL437" s="1" t="s">
        <v>68</v>
      </c>
      <c r="AM437" s="5"/>
      <c r="AN437" s="1" t="s">
        <v>68</v>
      </c>
      <c r="AO437" s="5"/>
      <c r="AP437" s="1" t="s">
        <v>68</v>
      </c>
      <c r="AQ437" s="5"/>
      <c r="AR437" s="279">
        <v>0</v>
      </c>
      <c r="AS437" s="674"/>
      <c r="AT437" s="902"/>
      <c r="AU437" s="891"/>
      <c r="AV437" s="66" t="s">
        <v>74</v>
      </c>
      <c r="AW437" s="11"/>
      <c r="AX437" s="223"/>
      <c r="AY437" s="52"/>
      <c r="AZ437" s="66" t="s">
        <v>74</v>
      </c>
      <c r="BA437" s="5"/>
      <c r="BB437" s="5"/>
      <c r="BC437" s="11"/>
      <c r="BD437" s="66" t="s">
        <v>74</v>
      </c>
      <c r="BE437" s="1423"/>
      <c r="BF437" s="5"/>
      <c r="BG437" s="5"/>
      <c r="BH437" s="5"/>
      <c r="BI437" s="36">
        <f>AS437+AT437</f>
        <v>0</v>
      </c>
      <c r="BJ437" s="62" t="s">
        <v>68</v>
      </c>
      <c r="BK437" s="224"/>
      <c r="BL437" s="1041"/>
      <c r="BM437" s="695" t="s">
        <v>68</v>
      </c>
      <c r="BN437" s="695" t="s">
        <v>68</v>
      </c>
      <c r="BO437" s="695"/>
      <c r="BP437" s="695"/>
      <c r="BQ437" s="695"/>
      <c r="BR437" s="914"/>
      <c r="BS437" s="695" t="s">
        <v>68</v>
      </c>
      <c r="BT437" s="695"/>
      <c r="BU437" s="695" t="s">
        <v>68</v>
      </c>
      <c r="BV437" s="694" t="s">
        <v>68</v>
      </c>
      <c r="BW437" s="13"/>
      <c r="BX437" s="1256" t="s">
        <v>3730</v>
      </c>
      <c r="BY437" s="13"/>
      <c r="BZ437" s="13"/>
      <c r="CA437" s="13"/>
      <c r="CB437" s="1222" t="s">
        <v>2094</v>
      </c>
      <c r="CC437" s="38"/>
      <c r="CD437" s="526"/>
      <c r="CE437" s="526"/>
      <c r="CF437" s="526"/>
      <c r="CG437" s="526"/>
      <c r="CH437" s="526"/>
      <c r="CI437" s="526"/>
      <c r="CJ437" s="526"/>
      <c r="CK437" s="15"/>
    </row>
    <row r="438" spans="2:89" ht="114.75" hidden="1" customHeight="1">
      <c r="B438" s="22"/>
      <c r="C438" s="22"/>
      <c r="D438" s="22"/>
      <c r="E438" s="911"/>
      <c r="F438" s="911"/>
      <c r="G438" s="915"/>
      <c r="H438" s="1746"/>
      <c r="I438" s="330">
        <v>44331</v>
      </c>
      <c r="J438" s="169">
        <v>2020</v>
      </c>
      <c r="K438" s="1417">
        <v>201.09100000000001</v>
      </c>
      <c r="L438" s="1417"/>
      <c r="M438" s="170" t="s">
        <v>3236</v>
      </c>
      <c r="N438" s="178" t="s">
        <v>2732</v>
      </c>
      <c r="O438" s="2" t="s">
        <v>4032</v>
      </c>
      <c r="P438" s="173" t="s">
        <v>3254</v>
      </c>
      <c r="Q438" s="173" t="s">
        <v>2515</v>
      </c>
      <c r="R438" s="174">
        <v>331496.03999999998</v>
      </c>
      <c r="S438" s="176">
        <v>44089</v>
      </c>
      <c r="T438" s="176">
        <v>44140</v>
      </c>
      <c r="U438" s="177">
        <v>44191</v>
      </c>
      <c r="V438" s="105" t="s">
        <v>68</v>
      </c>
      <c r="W438" s="178" t="s">
        <v>1177</v>
      </c>
      <c r="X438" s="170" t="s">
        <v>449</v>
      </c>
      <c r="Y438" s="461" t="s">
        <v>74</v>
      </c>
      <c r="Z438" s="1371"/>
      <c r="AA438" s="255" t="s">
        <v>3237</v>
      </c>
      <c r="AB438" s="8">
        <v>44082</v>
      </c>
      <c r="AC438" s="79">
        <v>1274811.49</v>
      </c>
      <c r="AD438" s="4"/>
      <c r="AE438" s="32"/>
      <c r="AF438" s="34" t="s">
        <v>68</v>
      </c>
      <c r="AG438" s="112" t="s">
        <v>68</v>
      </c>
      <c r="AH438" s="112" t="s">
        <v>68</v>
      </c>
      <c r="AI438" s="7" t="s">
        <v>68</v>
      </c>
      <c r="AJ438" s="109" t="s">
        <v>68</v>
      </c>
      <c r="AK438" s="33" t="s">
        <v>68</v>
      </c>
      <c r="AL438" s="1" t="s">
        <v>68</v>
      </c>
      <c r="AM438" s="5"/>
      <c r="AN438" s="1" t="s">
        <v>68</v>
      </c>
      <c r="AO438" s="5"/>
      <c r="AP438" s="1" t="s">
        <v>68</v>
      </c>
      <c r="AQ438" s="5"/>
      <c r="AR438" s="279">
        <v>0</v>
      </c>
      <c r="AS438" s="674"/>
      <c r="AT438" s="902"/>
      <c r="AU438" s="891"/>
      <c r="AV438" s="66" t="s">
        <v>74</v>
      </c>
      <c r="AW438" s="11"/>
      <c r="AX438" s="223"/>
      <c r="AY438" s="52"/>
      <c r="AZ438" s="66" t="s">
        <v>74</v>
      </c>
      <c r="BA438" s="5"/>
      <c r="BB438" s="5"/>
      <c r="BC438" s="11"/>
      <c r="BD438" s="66" t="s">
        <v>74</v>
      </c>
      <c r="BE438" s="1423"/>
      <c r="BF438" s="5"/>
      <c r="BG438" s="5"/>
      <c r="BH438" s="5"/>
      <c r="BI438" s="36">
        <f>AS438+AT438</f>
        <v>0</v>
      </c>
      <c r="BJ438" s="62" t="s">
        <v>68</v>
      </c>
      <c r="BK438" s="224"/>
      <c r="BL438" s="1041"/>
      <c r="BM438" s="695" t="s">
        <v>68</v>
      </c>
      <c r="BN438" s="695" t="s">
        <v>68</v>
      </c>
      <c r="BO438" s="695"/>
      <c r="BP438" s="695"/>
      <c r="BQ438" s="695"/>
      <c r="BR438" s="914"/>
      <c r="BS438" s="695" t="s">
        <v>68</v>
      </c>
      <c r="BT438" s="695"/>
      <c r="BU438" s="695" t="s">
        <v>68</v>
      </c>
      <c r="BV438" s="694" t="s">
        <v>68</v>
      </c>
      <c r="BW438" s="13"/>
      <c r="BX438" s="1256" t="s">
        <v>3730</v>
      </c>
      <c r="BY438" s="13"/>
      <c r="BZ438" s="13"/>
      <c r="CA438" s="13"/>
      <c r="CB438" s="1222" t="s">
        <v>2094</v>
      </c>
      <c r="CC438" s="38"/>
      <c r="CD438" s="526"/>
      <c r="CE438" s="526"/>
      <c r="CF438" s="526"/>
      <c r="CG438" s="526"/>
      <c r="CH438" s="526"/>
      <c r="CI438" s="526"/>
      <c r="CJ438" s="526"/>
      <c r="CK438" s="15"/>
    </row>
    <row r="439" spans="2:89" ht="79.5" hidden="1" customHeight="1">
      <c r="B439" s="22"/>
      <c r="C439" s="22"/>
      <c r="D439" s="22"/>
      <c r="E439" s="911"/>
      <c r="F439" s="911"/>
      <c r="G439" s="915"/>
      <c r="H439" s="1746"/>
      <c r="I439" s="330"/>
      <c r="J439" s="169">
        <v>2020</v>
      </c>
      <c r="K439" s="1417">
        <v>201.09200000000001</v>
      </c>
      <c r="L439" s="1417"/>
      <c r="M439" s="170" t="s">
        <v>3914</v>
      </c>
      <c r="N439" s="178" t="s">
        <v>3906</v>
      </c>
      <c r="O439" s="2" t="s">
        <v>4032</v>
      </c>
      <c r="P439" s="451" t="s">
        <v>3925</v>
      </c>
      <c r="Q439" s="451" t="s">
        <v>2515</v>
      </c>
      <c r="R439" s="174">
        <v>174032.11</v>
      </c>
      <c r="S439" s="176">
        <v>44089</v>
      </c>
      <c r="T439" s="176">
        <v>44140</v>
      </c>
      <c r="U439" s="177">
        <v>44191</v>
      </c>
      <c r="V439" s="105" t="s">
        <v>1177</v>
      </c>
      <c r="W439" s="178" t="s">
        <v>1177</v>
      </c>
      <c r="X439" s="920"/>
      <c r="Y439" s="611" t="s">
        <v>1428</v>
      </c>
      <c r="Z439" s="1372" t="s">
        <v>1177</v>
      </c>
      <c r="AA439" s="255"/>
      <c r="AB439" s="8"/>
      <c r="AC439" s="4"/>
      <c r="AD439" s="4"/>
      <c r="AE439" s="32"/>
      <c r="AF439" s="34" t="s">
        <v>68</v>
      </c>
      <c r="AG439" s="112" t="s">
        <v>68</v>
      </c>
      <c r="AH439" s="112" t="s">
        <v>68</v>
      </c>
      <c r="AI439" s="7" t="s">
        <v>68</v>
      </c>
      <c r="AJ439" s="109" t="s">
        <v>68</v>
      </c>
      <c r="AK439" s="33" t="s">
        <v>68</v>
      </c>
      <c r="AL439" s="1" t="s">
        <v>68</v>
      </c>
      <c r="AM439" s="5"/>
      <c r="AN439" s="1" t="s">
        <v>68</v>
      </c>
      <c r="AO439" s="5"/>
      <c r="AP439" s="1" t="s">
        <v>68</v>
      </c>
      <c r="AQ439" s="5"/>
      <c r="AR439" s="279">
        <v>0</v>
      </c>
      <c r="AS439" s="674"/>
      <c r="AT439" s="902"/>
      <c r="AU439" s="891"/>
      <c r="AV439" s="66" t="s">
        <v>74</v>
      </c>
      <c r="AW439" s="11"/>
      <c r="AX439" s="223"/>
      <c r="AY439" s="52"/>
      <c r="AZ439" s="66" t="s">
        <v>74</v>
      </c>
      <c r="BA439" s="5"/>
      <c r="BB439" s="5"/>
      <c r="BC439" s="11"/>
      <c r="BD439" s="66" t="s">
        <v>74</v>
      </c>
      <c r="BE439" s="1423"/>
      <c r="BF439" s="5"/>
      <c r="BG439" s="5"/>
      <c r="BH439" s="5"/>
      <c r="BI439" s="36"/>
      <c r="BJ439" s="62" t="s">
        <v>68</v>
      </c>
      <c r="BK439" s="224"/>
      <c r="BL439" s="1041"/>
      <c r="BM439" s="695" t="s">
        <v>68</v>
      </c>
      <c r="BN439" s="695" t="s">
        <v>68</v>
      </c>
      <c r="BO439" s="695" t="s">
        <v>68</v>
      </c>
      <c r="BP439" s="695" t="s">
        <v>68</v>
      </c>
      <c r="BQ439" s="695" t="s">
        <v>68</v>
      </c>
      <c r="BR439" s="914" t="s">
        <v>68</v>
      </c>
      <c r="BS439" s="695" t="s">
        <v>68</v>
      </c>
      <c r="BT439" s="695"/>
      <c r="BU439" s="695" t="s">
        <v>68</v>
      </c>
      <c r="BV439" s="694" t="s">
        <v>68</v>
      </c>
      <c r="BW439" s="13"/>
      <c r="BX439" s="1256"/>
      <c r="BY439" s="13"/>
      <c r="BZ439" s="13"/>
      <c r="CA439" s="13"/>
      <c r="CB439" s="1222" t="s">
        <v>2094</v>
      </c>
      <c r="CC439" s="38"/>
      <c r="CD439" s="526"/>
      <c r="CE439" s="526"/>
      <c r="CF439" s="526"/>
      <c r="CG439" s="526"/>
      <c r="CH439" s="526"/>
      <c r="CI439" s="526"/>
      <c r="CJ439" s="526"/>
      <c r="CK439" s="15"/>
    </row>
    <row r="440" spans="2:89" ht="91.5" hidden="1" customHeight="1">
      <c r="B440" s="22"/>
      <c r="C440" s="22"/>
      <c r="D440" s="22"/>
      <c r="E440" s="911"/>
      <c r="F440" s="911"/>
      <c r="G440" s="915"/>
      <c r="H440" s="1746"/>
      <c r="I440" s="330">
        <v>44251</v>
      </c>
      <c r="J440" s="169">
        <v>2020</v>
      </c>
      <c r="K440" s="1417">
        <v>201.1</v>
      </c>
      <c r="L440" s="1417"/>
      <c r="M440" s="170" t="s">
        <v>3236</v>
      </c>
      <c r="N440" s="178" t="s">
        <v>2733</v>
      </c>
      <c r="O440" s="2" t="s">
        <v>4032</v>
      </c>
      <c r="P440" s="173" t="s">
        <v>3255</v>
      </c>
      <c r="Q440" s="173" t="s">
        <v>4823</v>
      </c>
      <c r="R440" s="174">
        <v>410787.6</v>
      </c>
      <c r="S440" s="176">
        <v>44089</v>
      </c>
      <c r="T440" s="176">
        <v>44166</v>
      </c>
      <c r="U440" s="177">
        <v>44196</v>
      </c>
      <c r="V440" s="105" t="s">
        <v>68</v>
      </c>
      <c r="W440" s="178" t="s">
        <v>1177</v>
      </c>
      <c r="X440" s="170" t="s">
        <v>449</v>
      </c>
      <c r="Y440" s="461" t="s">
        <v>74</v>
      </c>
      <c r="Z440" s="1371"/>
      <c r="AA440" s="255" t="s">
        <v>3237</v>
      </c>
      <c r="AB440" s="8">
        <v>44082</v>
      </c>
      <c r="AC440" s="4">
        <v>1023137.79</v>
      </c>
      <c r="AD440" s="4"/>
      <c r="AE440" s="32"/>
      <c r="AF440" s="34" t="s">
        <v>68</v>
      </c>
      <c r="AG440" s="112" t="s">
        <v>68</v>
      </c>
      <c r="AH440" s="112" t="s">
        <v>68</v>
      </c>
      <c r="AI440" s="7" t="s">
        <v>68</v>
      </c>
      <c r="AJ440" s="109" t="s">
        <v>68</v>
      </c>
      <c r="AK440" s="33" t="s">
        <v>68</v>
      </c>
      <c r="AL440" s="1" t="s">
        <v>68</v>
      </c>
      <c r="AM440" s="5"/>
      <c r="AN440" s="1" t="s">
        <v>68</v>
      </c>
      <c r="AO440" s="5"/>
      <c r="AP440" s="1" t="s">
        <v>68</v>
      </c>
      <c r="AQ440" s="5"/>
      <c r="AR440" s="279">
        <v>0</v>
      </c>
      <c r="AS440" s="674"/>
      <c r="AT440" s="902"/>
      <c r="AU440" s="891"/>
      <c r="AV440" s="66" t="s">
        <v>74</v>
      </c>
      <c r="AW440" s="11"/>
      <c r="AX440" s="223"/>
      <c r="AY440" s="52"/>
      <c r="AZ440" s="66" t="s">
        <v>74</v>
      </c>
      <c r="BA440" s="5"/>
      <c r="BB440" s="5"/>
      <c r="BC440" s="11"/>
      <c r="BD440" s="66" t="s">
        <v>74</v>
      </c>
      <c r="BE440" s="1423"/>
      <c r="BF440" s="5"/>
      <c r="BG440" s="5"/>
      <c r="BH440" s="5"/>
      <c r="BI440" s="36"/>
      <c r="BJ440" s="62"/>
      <c r="BK440" s="224"/>
      <c r="BL440" s="1041"/>
      <c r="BM440" s="695"/>
      <c r="BN440" s="695"/>
      <c r="BO440" s="695"/>
      <c r="BP440" s="695"/>
      <c r="BQ440" s="695"/>
      <c r="BR440" s="914"/>
      <c r="BS440" s="695"/>
      <c r="BT440" s="695"/>
      <c r="BU440" s="695"/>
      <c r="BV440" s="694"/>
      <c r="BW440" s="13"/>
      <c r="BX440" s="1256" t="s">
        <v>3730</v>
      </c>
      <c r="BY440" s="13"/>
      <c r="BZ440" s="13"/>
      <c r="CA440" s="13"/>
      <c r="CB440" s="1222" t="s">
        <v>2094</v>
      </c>
      <c r="CC440" s="38"/>
      <c r="CD440" s="526"/>
      <c r="CE440" s="526"/>
      <c r="CF440" s="526"/>
      <c r="CG440" s="526"/>
      <c r="CH440" s="526"/>
      <c r="CI440" s="526"/>
      <c r="CJ440" s="526"/>
      <c r="CK440" s="15"/>
    </row>
    <row r="441" spans="2:89" ht="105.75" hidden="1" customHeight="1">
      <c r="B441" s="22"/>
      <c r="C441" s="22"/>
      <c r="D441" s="22"/>
      <c r="E441" s="911"/>
      <c r="F441" s="911"/>
      <c r="G441" s="915"/>
      <c r="H441" s="1746"/>
      <c r="I441" s="330"/>
      <c r="J441" s="169">
        <v>2020</v>
      </c>
      <c r="K441" s="1417">
        <v>201.101</v>
      </c>
      <c r="L441" s="1417"/>
      <c r="M441" s="170" t="s">
        <v>3914</v>
      </c>
      <c r="N441" s="178" t="s">
        <v>3907</v>
      </c>
      <c r="O441" s="2" t="s">
        <v>4032</v>
      </c>
      <c r="P441" s="451" t="s">
        <v>3926</v>
      </c>
      <c r="Q441" s="173" t="s">
        <v>4823</v>
      </c>
      <c r="R441" s="174">
        <v>149317.53</v>
      </c>
      <c r="S441" s="176">
        <v>44089</v>
      </c>
      <c r="T441" s="176">
        <v>44166</v>
      </c>
      <c r="U441" s="177">
        <v>44196</v>
      </c>
      <c r="V441" s="105" t="s">
        <v>1177</v>
      </c>
      <c r="W441" s="178" t="s">
        <v>1177</v>
      </c>
      <c r="X441" s="920"/>
      <c r="Y441" s="611" t="s">
        <v>1428</v>
      </c>
      <c r="Z441" s="1372" t="s">
        <v>1177</v>
      </c>
      <c r="AA441" s="255"/>
      <c r="AB441" s="8"/>
      <c r="AC441" s="4"/>
      <c r="AD441" s="4"/>
      <c r="AE441" s="32"/>
      <c r="AF441" s="34" t="s">
        <v>68</v>
      </c>
      <c r="AG441" s="112" t="s">
        <v>68</v>
      </c>
      <c r="AH441" s="112" t="s">
        <v>68</v>
      </c>
      <c r="AI441" s="7" t="s">
        <v>68</v>
      </c>
      <c r="AJ441" s="109" t="s">
        <v>68</v>
      </c>
      <c r="AK441" s="33" t="s">
        <v>68</v>
      </c>
      <c r="AL441" s="1" t="s">
        <v>68</v>
      </c>
      <c r="AM441" s="5"/>
      <c r="AN441" s="1" t="s">
        <v>68</v>
      </c>
      <c r="AO441" s="5"/>
      <c r="AP441" s="1" t="s">
        <v>68</v>
      </c>
      <c r="AQ441" s="5"/>
      <c r="AR441" s="279">
        <v>0</v>
      </c>
      <c r="AS441" s="674"/>
      <c r="AT441" s="902"/>
      <c r="AU441" s="891"/>
      <c r="AV441" s="66" t="s">
        <v>74</v>
      </c>
      <c r="AW441" s="11"/>
      <c r="AX441" s="223"/>
      <c r="AY441" s="52"/>
      <c r="AZ441" s="66" t="s">
        <v>74</v>
      </c>
      <c r="BA441" s="5"/>
      <c r="BB441" s="5"/>
      <c r="BC441" s="11"/>
      <c r="BD441" s="66" t="s">
        <v>74</v>
      </c>
      <c r="BE441" s="1423"/>
      <c r="BF441" s="5"/>
      <c r="BG441" s="5"/>
      <c r="BH441" s="5"/>
      <c r="BI441" s="36"/>
      <c r="BJ441" s="62" t="s">
        <v>68</v>
      </c>
      <c r="BK441" s="224"/>
      <c r="BL441" s="1041"/>
      <c r="BM441" s="695" t="s">
        <v>68</v>
      </c>
      <c r="BN441" s="695" t="s">
        <v>68</v>
      </c>
      <c r="BO441" s="695" t="s">
        <v>68</v>
      </c>
      <c r="BP441" s="695" t="s">
        <v>68</v>
      </c>
      <c r="BQ441" s="695" t="s">
        <v>68</v>
      </c>
      <c r="BR441" s="914" t="s">
        <v>68</v>
      </c>
      <c r="BS441" s="695" t="s">
        <v>68</v>
      </c>
      <c r="BT441" s="695"/>
      <c r="BU441" s="695" t="s">
        <v>68</v>
      </c>
      <c r="BV441" s="694" t="s">
        <v>68</v>
      </c>
      <c r="BW441" s="13"/>
      <c r="BX441" s="1256"/>
      <c r="BY441" s="13"/>
      <c r="BZ441" s="13"/>
      <c r="CA441" s="13"/>
      <c r="CB441" s="1222" t="s">
        <v>2094</v>
      </c>
      <c r="CC441" s="38"/>
      <c r="CD441" s="526"/>
      <c r="CE441" s="526"/>
      <c r="CF441" s="526"/>
      <c r="CG441" s="526"/>
      <c r="CH441" s="526"/>
      <c r="CI441" s="526"/>
      <c r="CJ441" s="526"/>
      <c r="CK441" s="15"/>
    </row>
    <row r="442" spans="2:89" ht="66.75" hidden="1" customHeight="1">
      <c r="B442" s="22"/>
      <c r="C442" s="22"/>
      <c r="D442" s="22"/>
      <c r="E442" s="911"/>
      <c r="F442" s="911"/>
      <c r="G442" s="915"/>
      <c r="H442" s="1746"/>
      <c r="I442" s="330">
        <v>44251</v>
      </c>
      <c r="J442" s="169">
        <v>2020</v>
      </c>
      <c r="K442" s="1417">
        <v>201.11</v>
      </c>
      <c r="L442" s="1417"/>
      <c r="M442" s="170" t="s">
        <v>3236</v>
      </c>
      <c r="N442" s="178" t="s">
        <v>3324</v>
      </c>
      <c r="O442" s="2" t="s">
        <v>4032</v>
      </c>
      <c r="P442" s="173" t="s">
        <v>3325</v>
      </c>
      <c r="Q442" s="173" t="s">
        <v>4506</v>
      </c>
      <c r="R442" s="174">
        <v>781012.26</v>
      </c>
      <c r="S442" s="176">
        <v>44089</v>
      </c>
      <c r="T442" s="176">
        <v>44150</v>
      </c>
      <c r="U442" s="177">
        <v>44181</v>
      </c>
      <c r="V442" s="105"/>
      <c r="W442" s="178" t="s">
        <v>1177</v>
      </c>
      <c r="X442" s="170" t="s">
        <v>449</v>
      </c>
      <c r="Y442" s="461" t="s">
        <v>74</v>
      </c>
      <c r="Z442" s="1371"/>
      <c r="AA442" s="255" t="s">
        <v>3237</v>
      </c>
      <c r="AB442" s="8">
        <v>44082</v>
      </c>
      <c r="AC442" s="1190">
        <f>270757.59+279551.87+686973.64+310537.91+327983.96</f>
        <v>1875804.97</v>
      </c>
      <c r="AD442" s="4"/>
      <c r="AE442" s="32"/>
      <c r="AF442" s="34" t="s">
        <v>68</v>
      </c>
      <c r="AG442" s="112" t="s">
        <v>68</v>
      </c>
      <c r="AH442" s="112" t="s">
        <v>68</v>
      </c>
      <c r="AI442" s="7" t="s">
        <v>68</v>
      </c>
      <c r="AJ442" s="109" t="s">
        <v>68</v>
      </c>
      <c r="AK442" s="33" t="s">
        <v>68</v>
      </c>
      <c r="AL442" s="1" t="s">
        <v>68</v>
      </c>
      <c r="AM442" s="5"/>
      <c r="AN442" s="1" t="s">
        <v>68</v>
      </c>
      <c r="AO442" s="5"/>
      <c r="AP442" s="1" t="s">
        <v>68</v>
      </c>
      <c r="AQ442" s="5"/>
      <c r="AR442" s="279">
        <v>0</v>
      </c>
      <c r="AS442" s="674"/>
      <c r="AT442" s="902"/>
      <c r="AU442" s="891"/>
      <c r="AV442" s="66" t="s">
        <v>74</v>
      </c>
      <c r="AW442" s="11"/>
      <c r="AX442" s="223"/>
      <c r="AY442" s="52"/>
      <c r="AZ442" s="66" t="s">
        <v>74</v>
      </c>
      <c r="BA442" s="5"/>
      <c r="BB442" s="5"/>
      <c r="BC442" s="11"/>
      <c r="BD442" s="66" t="s">
        <v>74</v>
      </c>
      <c r="BE442" s="1423"/>
      <c r="BF442" s="5"/>
      <c r="BG442" s="5"/>
      <c r="BH442" s="5"/>
      <c r="BI442" s="36"/>
      <c r="BJ442" s="62"/>
      <c r="BK442" s="224"/>
      <c r="BL442" s="1041"/>
      <c r="BM442" s="695"/>
      <c r="BN442" s="695"/>
      <c r="BO442" s="695"/>
      <c r="BP442" s="695"/>
      <c r="BQ442" s="695"/>
      <c r="BR442" s="914"/>
      <c r="BS442" s="695"/>
      <c r="BT442" s="695"/>
      <c r="BU442" s="695"/>
      <c r="BV442" s="694"/>
      <c r="BW442" s="13"/>
      <c r="BX442" s="1256" t="s">
        <v>3730</v>
      </c>
      <c r="BY442" s="13"/>
      <c r="BZ442" s="13"/>
      <c r="CA442" s="13"/>
      <c r="CB442" s="1222" t="s">
        <v>2094</v>
      </c>
      <c r="CC442" s="38"/>
      <c r="CD442" s="526"/>
      <c r="CE442" s="526"/>
      <c r="CF442" s="526"/>
      <c r="CG442" s="526"/>
      <c r="CH442" s="526"/>
      <c r="CI442" s="526"/>
      <c r="CJ442" s="526"/>
      <c r="CK442" s="15"/>
    </row>
    <row r="443" spans="2:89" ht="60" hidden="1" customHeight="1">
      <c r="B443" s="22"/>
      <c r="C443" s="22"/>
      <c r="D443" s="22"/>
      <c r="E443" s="911"/>
      <c r="F443" s="911"/>
      <c r="G443" s="915"/>
      <c r="H443" s="1746"/>
      <c r="I443" s="330"/>
      <c r="J443" s="169">
        <v>2020</v>
      </c>
      <c r="K443" s="1417">
        <v>201.11099999999999</v>
      </c>
      <c r="L443" s="1417"/>
      <c r="M443" s="170" t="s">
        <v>3914</v>
      </c>
      <c r="N443" s="178" t="s">
        <v>3908</v>
      </c>
      <c r="O443" s="2" t="s">
        <v>4032</v>
      </c>
      <c r="P443" s="451" t="s">
        <v>3927</v>
      </c>
      <c r="Q443" s="451" t="s">
        <v>4506</v>
      </c>
      <c r="R443" s="174">
        <v>289700.96999999997</v>
      </c>
      <c r="S443" s="176">
        <v>44089</v>
      </c>
      <c r="T443" s="176">
        <v>44150</v>
      </c>
      <c r="U443" s="177">
        <v>44181</v>
      </c>
      <c r="V443" s="105" t="s">
        <v>1177</v>
      </c>
      <c r="W443" s="178" t="s">
        <v>1177</v>
      </c>
      <c r="X443" s="920"/>
      <c r="Y443" s="611" t="s">
        <v>1428</v>
      </c>
      <c r="Z443" s="1372" t="s">
        <v>1177</v>
      </c>
      <c r="AA443" s="255"/>
      <c r="AB443" s="8"/>
      <c r="AC443" s="4"/>
      <c r="AD443" s="4"/>
      <c r="AE443" s="32"/>
      <c r="AF443" s="34" t="s">
        <v>68</v>
      </c>
      <c r="AG443" s="112" t="s">
        <v>68</v>
      </c>
      <c r="AH443" s="112" t="s">
        <v>68</v>
      </c>
      <c r="AI443" s="7" t="s">
        <v>68</v>
      </c>
      <c r="AJ443" s="109" t="s">
        <v>68</v>
      </c>
      <c r="AK443" s="33" t="s">
        <v>68</v>
      </c>
      <c r="AL443" s="1" t="s">
        <v>68</v>
      </c>
      <c r="AM443" s="5"/>
      <c r="AN443" s="1" t="s">
        <v>68</v>
      </c>
      <c r="AO443" s="5"/>
      <c r="AP443" s="1" t="s">
        <v>68</v>
      </c>
      <c r="AQ443" s="5"/>
      <c r="AR443" s="279">
        <v>0</v>
      </c>
      <c r="AS443" s="674"/>
      <c r="AT443" s="902"/>
      <c r="AU443" s="891"/>
      <c r="AV443" s="66" t="s">
        <v>74</v>
      </c>
      <c r="AW443" s="11"/>
      <c r="AX443" s="223"/>
      <c r="AY443" s="52"/>
      <c r="AZ443" s="66" t="s">
        <v>74</v>
      </c>
      <c r="BA443" s="5"/>
      <c r="BB443" s="5"/>
      <c r="BC443" s="11"/>
      <c r="BD443" s="66" t="s">
        <v>74</v>
      </c>
      <c r="BE443" s="1423"/>
      <c r="BF443" s="5"/>
      <c r="BG443" s="5"/>
      <c r="BH443" s="5"/>
      <c r="BI443" s="36"/>
      <c r="BJ443" s="62" t="s">
        <v>68</v>
      </c>
      <c r="BK443" s="224"/>
      <c r="BL443" s="1041"/>
      <c r="BM443" s="695" t="s">
        <v>68</v>
      </c>
      <c r="BN443" s="695" t="s">
        <v>68</v>
      </c>
      <c r="BO443" s="695" t="s">
        <v>68</v>
      </c>
      <c r="BP443" s="695" t="s">
        <v>68</v>
      </c>
      <c r="BQ443" s="695" t="s">
        <v>68</v>
      </c>
      <c r="BR443" s="914" t="s">
        <v>68</v>
      </c>
      <c r="BS443" s="695" t="s">
        <v>68</v>
      </c>
      <c r="BT443" s="695"/>
      <c r="BU443" s="695" t="s">
        <v>68</v>
      </c>
      <c r="BV443" s="694" t="s">
        <v>68</v>
      </c>
      <c r="BW443" s="13"/>
      <c r="BX443" s="1256"/>
      <c r="BY443" s="13"/>
      <c r="BZ443" s="13"/>
      <c r="CA443" s="13"/>
      <c r="CB443" s="1222" t="s">
        <v>2094</v>
      </c>
      <c r="CC443" s="38"/>
      <c r="CD443" s="526"/>
      <c r="CE443" s="526"/>
      <c r="CF443" s="526"/>
      <c r="CG443" s="526"/>
      <c r="CH443" s="526"/>
      <c r="CI443" s="526"/>
      <c r="CJ443" s="526"/>
      <c r="CK443" s="15"/>
    </row>
    <row r="444" spans="2:89" ht="86.25" hidden="1" customHeight="1">
      <c r="B444" s="22"/>
      <c r="C444" s="22"/>
      <c r="D444" s="22"/>
      <c r="E444" s="911"/>
      <c r="F444" s="911"/>
      <c r="G444" s="915"/>
      <c r="H444" s="1746"/>
      <c r="I444" s="330">
        <v>44251</v>
      </c>
      <c r="J444" s="169">
        <v>2020</v>
      </c>
      <c r="K444" s="1417">
        <v>201.12</v>
      </c>
      <c r="L444" s="1417"/>
      <c r="M444" s="170" t="s">
        <v>3236</v>
      </c>
      <c r="N444" s="178" t="s">
        <v>3238</v>
      </c>
      <c r="O444" s="2" t="s">
        <v>4032</v>
      </c>
      <c r="P444" s="173" t="s">
        <v>3239</v>
      </c>
      <c r="Q444" s="173" t="s">
        <v>2613</v>
      </c>
      <c r="R444" s="174">
        <v>448092.36</v>
      </c>
      <c r="S444" s="176">
        <v>44089</v>
      </c>
      <c r="T444" s="176">
        <v>44166</v>
      </c>
      <c r="U444" s="177">
        <v>44196</v>
      </c>
      <c r="V444" s="105" t="s">
        <v>68</v>
      </c>
      <c r="W444" s="178" t="s">
        <v>1177</v>
      </c>
      <c r="X444" s="170" t="s">
        <v>449</v>
      </c>
      <c r="Y444" s="461" t="s">
        <v>74</v>
      </c>
      <c r="Z444" s="1371"/>
      <c r="AA444" s="255" t="s">
        <v>3237</v>
      </c>
      <c r="AB444" s="8">
        <v>44082</v>
      </c>
      <c r="AC444" s="75">
        <v>1035995.63</v>
      </c>
      <c r="AD444" s="4"/>
      <c r="AE444" s="32"/>
      <c r="AF444" s="34" t="s">
        <v>68</v>
      </c>
      <c r="AG444" s="112" t="s">
        <v>68</v>
      </c>
      <c r="AH444" s="112" t="s">
        <v>68</v>
      </c>
      <c r="AI444" s="7" t="s">
        <v>68</v>
      </c>
      <c r="AJ444" s="109" t="s">
        <v>68</v>
      </c>
      <c r="AK444" s="33" t="s">
        <v>68</v>
      </c>
      <c r="AL444" s="1" t="s">
        <v>68</v>
      </c>
      <c r="AM444" s="5"/>
      <c r="AN444" s="1" t="s">
        <v>68</v>
      </c>
      <c r="AO444" s="5"/>
      <c r="AP444" s="1" t="s">
        <v>68</v>
      </c>
      <c r="AQ444" s="5"/>
      <c r="AR444" s="279">
        <v>0</v>
      </c>
      <c r="AS444" s="674"/>
      <c r="AT444" s="902"/>
      <c r="AU444" s="891"/>
      <c r="AV444" s="66" t="s">
        <v>74</v>
      </c>
      <c r="AW444" s="11"/>
      <c r="AX444" s="223"/>
      <c r="AY444" s="52"/>
      <c r="AZ444" s="66" t="s">
        <v>74</v>
      </c>
      <c r="BA444" s="5"/>
      <c r="BB444" s="5"/>
      <c r="BC444" s="11"/>
      <c r="BD444" s="66" t="s">
        <v>74</v>
      </c>
      <c r="BE444" s="1423"/>
      <c r="BF444" s="5"/>
      <c r="BG444" s="5"/>
      <c r="BH444" s="5"/>
      <c r="BI444" s="36"/>
      <c r="BJ444" s="62"/>
      <c r="BK444" s="224"/>
      <c r="BL444" s="1041"/>
      <c r="BM444" s="695"/>
      <c r="BN444" s="695"/>
      <c r="BO444" s="695"/>
      <c r="BP444" s="695"/>
      <c r="BQ444" s="695"/>
      <c r="BR444" s="914"/>
      <c r="BS444" s="695"/>
      <c r="BT444" s="695"/>
      <c r="BU444" s="695"/>
      <c r="BV444" s="694"/>
      <c r="BW444" s="13"/>
      <c r="BX444" s="1256" t="s">
        <v>3730</v>
      </c>
      <c r="BY444" s="13"/>
      <c r="BZ444" s="13"/>
      <c r="CA444" s="13"/>
      <c r="CB444" s="1222" t="s">
        <v>2094</v>
      </c>
      <c r="CC444" s="38"/>
      <c r="CD444" s="526"/>
      <c r="CE444" s="526"/>
      <c r="CF444" s="526"/>
      <c r="CG444" s="526"/>
      <c r="CH444" s="526"/>
      <c r="CI444" s="526"/>
      <c r="CJ444" s="526"/>
      <c r="CK444" s="15"/>
    </row>
    <row r="445" spans="2:89" ht="125.25" hidden="1" customHeight="1">
      <c r="B445" s="22"/>
      <c r="C445" s="22"/>
      <c r="D445" s="22"/>
      <c r="E445" s="911"/>
      <c r="F445" s="911"/>
      <c r="G445" s="915"/>
      <c r="H445" s="1746"/>
      <c r="I445" s="330"/>
      <c r="J445" s="169">
        <v>2020</v>
      </c>
      <c r="K445" s="1417">
        <v>201.12100000000001</v>
      </c>
      <c r="L445" s="1417"/>
      <c r="M445" s="170" t="s">
        <v>3914</v>
      </c>
      <c r="N445" s="178" t="s">
        <v>3909</v>
      </c>
      <c r="O445" s="2" t="s">
        <v>4032</v>
      </c>
      <c r="P445" s="451" t="s">
        <v>3928</v>
      </c>
      <c r="Q445" s="451" t="s">
        <v>2613</v>
      </c>
      <c r="R445" s="174">
        <v>180637.7</v>
      </c>
      <c r="S445" s="176">
        <v>44089</v>
      </c>
      <c r="T445" s="176">
        <v>44166</v>
      </c>
      <c r="U445" s="177">
        <v>44196</v>
      </c>
      <c r="V445" s="105" t="s">
        <v>1177</v>
      </c>
      <c r="W445" s="178" t="s">
        <v>1177</v>
      </c>
      <c r="X445" s="920"/>
      <c r="Y445" s="611" t="s">
        <v>1428</v>
      </c>
      <c r="Z445" s="1372" t="s">
        <v>1177</v>
      </c>
      <c r="AA445" s="255"/>
      <c r="AB445" s="8"/>
      <c r="AC445" s="4"/>
      <c r="AD445" s="4"/>
      <c r="AE445" s="32"/>
      <c r="AF445" s="34" t="s">
        <v>68</v>
      </c>
      <c r="AG445" s="112" t="s">
        <v>68</v>
      </c>
      <c r="AH445" s="112" t="s">
        <v>68</v>
      </c>
      <c r="AI445" s="7" t="s">
        <v>68</v>
      </c>
      <c r="AJ445" s="109" t="s">
        <v>68</v>
      </c>
      <c r="AK445" s="33" t="s">
        <v>68</v>
      </c>
      <c r="AL445" s="1" t="s">
        <v>68</v>
      </c>
      <c r="AM445" s="5"/>
      <c r="AN445" s="1" t="s">
        <v>68</v>
      </c>
      <c r="AO445" s="5"/>
      <c r="AP445" s="1" t="s">
        <v>68</v>
      </c>
      <c r="AQ445" s="5"/>
      <c r="AR445" s="279">
        <v>0</v>
      </c>
      <c r="AS445" s="674"/>
      <c r="AT445" s="902"/>
      <c r="AU445" s="891"/>
      <c r="AV445" s="66" t="s">
        <v>74</v>
      </c>
      <c r="AW445" s="11"/>
      <c r="AX445" s="223"/>
      <c r="AY445" s="52"/>
      <c r="AZ445" s="66" t="s">
        <v>74</v>
      </c>
      <c r="BA445" s="5"/>
      <c r="BB445" s="5"/>
      <c r="BC445" s="11"/>
      <c r="BD445" s="66" t="s">
        <v>74</v>
      </c>
      <c r="BE445" s="1423"/>
      <c r="BF445" s="5"/>
      <c r="BG445" s="5"/>
      <c r="BH445" s="5"/>
      <c r="BI445" s="36"/>
      <c r="BJ445" s="62" t="s">
        <v>68</v>
      </c>
      <c r="BK445" s="224"/>
      <c r="BL445" s="1041"/>
      <c r="BM445" s="695" t="s">
        <v>68</v>
      </c>
      <c r="BN445" s="695" t="s">
        <v>68</v>
      </c>
      <c r="BO445" s="695" t="s">
        <v>68</v>
      </c>
      <c r="BP445" s="695" t="s">
        <v>68</v>
      </c>
      <c r="BQ445" s="695" t="s">
        <v>68</v>
      </c>
      <c r="BR445" s="914" t="s">
        <v>68</v>
      </c>
      <c r="BS445" s="695" t="s">
        <v>68</v>
      </c>
      <c r="BT445" s="695"/>
      <c r="BU445" s="695" t="s">
        <v>68</v>
      </c>
      <c r="BV445" s="694" t="s">
        <v>68</v>
      </c>
      <c r="BW445" s="13"/>
      <c r="BX445" s="1256"/>
      <c r="BY445" s="13"/>
      <c r="BZ445" s="13"/>
      <c r="CA445" s="13"/>
      <c r="CB445" s="1222" t="s">
        <v>2094</v>
      </c>
      <c r="CC445" s="38"/>
      <c r="CD445" s="526"/>
      <c r="CE445" s="526"/>
      <c r="CF445" s="526"/>
      <c r="CG445" s="526"/>
      <c r="CH445" s="526"/>
      <c r="CI445" s="526"/>
      <c r="CJ445" s="526"/>
      <c r="CK445" s="15"/>
    </row>
    <row r="446" spans="2:89" ht="123.75" hidden="1" customHeight="1">
      <c r="B446" s="22"/>
      <c r="C446" s="22"/>
      <c r="D446" s="22"/>
      <c r="E446" s="911"/>
      <c r="F446" s="911"/>
      <c r="G446" s="915"/>
      <c r="H446" s="1746"/>
      <c r="I446" s="330">
        <v>44251</v>
      </c>
      <c r="J446" s="169">
        <v>2020</v>
      </c>
      <c r="K446" s="1417">
        <v>201.13</v>
      </c>
      <c r="L446" s="1417"/>
      <c r="M446" s="170" t="s">
        <v>3236</v>
      </c>
      <c r="N446" s="178" t="s">
        <v>3240</v>
      </c>
      <c r="O446" s="2" t="s">
        <v>4032</v>
      </c>
      <c r="P446" s="173" t="s">
        <v>3241</v>
      </c>
      <c r="Q446" s="173" t="s">
        <v>1975</v>
      </c>
      <c r="R446" s="174">
        <f>279231.15+88000.12+86307.81+96461.67+106615.53+86307.81+103230.91</f>
        <v>846155.00000000012</v>
      </c>
      <c r="S446" s="176">
        <v>44089</v>
      </c>
      <c r="T446" s="176">
        <v>44139</v>
      </c>
      <c r="U446" s="177">
        <v>44191</v>
      </c>
      <c r="V446" s="105" t="s">
        <v>68</v>
      </c>
      <c r="W446" s="178" t="s">
        <v>1177</v>
      </c>
      <c r="X446" s="170" t="s">
        <v>449</v>
      </c>
      <c r="Y446" s="461" t="s">
        <v>74</v>
      </c>
      <c r="Z446" s="1371"/>
      <c r="AA446" s="255" t="s">
        <v>3237</v>
      </c>
      <c r="AB446" s="8">
        <v>44082</v>
      </c>
      <c r="AC446" s="4">
        <f>757928.28+212915.08+208820.56+233387.69+257954.81+208820.56+249765.77</f>
        <v>2129592.75</v>
      </c>
      <c r="AD446" s="4"/>
      <c r="AE446" s="32"/>
      <c r="AF446" s="34" t="s">
        <v>68</v>
      </c>
      <c r="AG446" s="112" t="s">
        <v>68</v>
      </c>
      <c r="AH446" s="112" t="s">
        <v>68</v>
      </c>
      <c r="AI446" s="7" t="s">
        <v>68</v>
      </c>
      <c r="AJ446" s="109" t="s">
        <v>68</v>
      </c>
      <c r="AK446" s="33" t="s">
        <v>68</v>
      </c>
      <c r="AL446" s="1" t="s">
        <v>68</v>
      </c>
      <c r="AM446" s="5"/>
      <c r="AN446" s="1" t="s">
        <v>68</v>
      </c>
      <c r="AO446" s="5"/>
      <c r="AP446" s="1" t="s">
        <v>68</v>
      </c>
      <c r="AQ446" s="5"/>
      <c r="AR446" s="279">
        <v>0</v>
      </c>
      <c r="AS446" s="674"/>
      <c r="AT446" s="902"/>
      <c r="AU446" s="891"/>
      <c r="AV446" s="66" t="s">
        <v>74</v>
      </c>
      <c r="AW446" s="11"/>
      <c r="AX446" s="223"/>
      <c r="AY446" s="52"/>
      <c r="AZ446" s="66" t="s">
        <v>74</v>
      </c>
      <c r="BA446" s="5"/>
      <c r="BB446" s="5"/>
      <c r="BC446" s="11"/>
      <c r="BD446" s="66" t="s">
        <v>74</v>
      </c>
      <c r="BE446" s="1423"/>
      <c r="BF446" s="5"/>
      <c r="BG446" s="5"/>
      <c r="BH446" s="5"/>
      <c r="BI446" s="36"/>
      <c r="BJ446" s="62"/>
      <c r="BK446" s="224"/>
      <c r="BL446" s="1041"/>
      <c r="BM446" s="695"/>
      <c r="BN446" s="695"/>
      <c r="BO446" s="695"/>
      <c r="BP446" s="695"/>
      <c r="BQ446" s="695"/>
      <c r="BR446" s="914"/>
      <c r="BS446" s="695"/>
      <c r="BT446" s="695"/>
      <c r="BU446" s="695"/>
      <c r="BV446" s="694"/>
      <c r="BW446" s="13"/>
      <c r="BX446" s="1256" t="s">
        <v>3730</v>
      </c>
      <c r="BY446" s="13"/>
      <c r="BZ446" s="13"/>
      <c r="CA446" s="13"/>
      <c r="CB446" s="1222" t="s">
        <v>2094</v>
      </c>
      <c r="CC446" s="38"/>
      <c r="CD446" s="526"/>
      <c r="CE446" s="526"/>
      <c r="CF446" s="526"/>
      <c r="CG446" s="526"/>
      <c r="CH446" s="526"/>
      <c r="CI446" s="526"/>
      <c r="CJ446" s="526"/>
      <c r="CK446" s="15"/>
    </row>
    <row r="447" spans="2:89" ht="86.25" hidden="1" customHeight="1">
      <c r="B447" s="22"/>
      <c r="C447" s="22"/>
      <c r="D447" s="22"/>
      <c r="E447" s="911"/>
      <c r="F447" s="911"/>
      <c r="G447" s="915"/>
      <c r="H447" s="1746"/>
      <c r="I447" s="330"/>
      <c r="J447" s="169">
        <v>2020</v>
      </c>
      <c r="K447" s="1417">
        <v>201.131</v>
      </c>
      <c r="L447" s="1417"/>
      <c r="M447" s="170" t="s">
        <v>3914</v>
      </c>
      <c r="N447" s="178" t="s">
        <v>3910</v>
      </c>
      <c r="O447" s="2" t="s">
        <v>4032</v>
      </c>
      <c r="P447" s="451" t="s">
        <v>3929</v>
      </c>
      <c r="Q447" s="451" t="s">
        <v>1975</v>
      </c>
      <c r="R447" s="174">
        <v>219218.46</v>
      </c>
      <c r="S447" s="176">
        <v>44089</v>
      </c>
      <c r="T447" s="176">
        <v>44139</v>
      </c>
      <c r="U447" s="177">
        <v>44191</v>
      </c>
      <c r="V447" s="105" t="s">
        <v>1177</v>
      </c>
      <c r="W447" s="178" t="s">
        <v>1177</v>
      </c>
      <c r="X447" s="920"/>
      <c r="Y447" s="611" t="s">
        <v>1428</v>
      </c>
      <c r="Z447" s="1372" t="s">
        <v>1177</v>
      </c>
      <c r="AA447" s="255"/>
      <c r="AB447" s="8"/>
      <c r="AC447" s="4"/>
      <c r="AD447" s="4"/>
      <c r="AE447" s="4"/>
      <c r="AF447" s="34" t="s">
        <v>68</v>
      </c>
      <c r="AG447" s="112" t="s">
        <v>68</v>
      </c>
      <c r="AH447" s="112" t="s">
        <v>68</v>
      </c>
      <c r="AI447" s="7" t="s">
        <v>68</v>
      </c>
      <c r="AJ447" s="109" t="s">
        <v>68</v>
      </c>
      <c r="AK447" s="33" t="s">
        <v>68</v>
      </c>
      <c r="AL447" s="1" t="s">
        <v>68</v>
      </c>
      <c r="AM447" s="5"/>
      <c r="AN447" s="1" t="s">
        <v>68</v>
      </c>
      <c r="AO447" s="5"/>
      <c r="AP447" s="1" t="s">
        <v>68</v>
      </c>
      <c r="AQ447" s="5"/>
      <c r="AR447" s="279">
        <v>0</v>
      </c>
      <c r="AS447" s="674"/>
      <c r="AT447" s="902"/>
      <c r="AU447" s="891"/>
      <c r="AV447" s="66" t="s">
        <v>74</v>
      </c>
      <c r="AW447" s="11"/>
      <c r="AX447" s="223"/>
      <c r="AY447" s="52"/>
      <c r="AZ447" s="66" t="s">
        <v>74</v>
      </c>
      <c r="BA447" s="5"/>
      <c r="BB447" s="5"/>
      <c r="BC447" s="11"/>
      <c r="BD447" s="66" t="s">
        <v>74</v>
      </c>
      <c r="BE447" s="1423"/>
      <c r="BF447" s="5"/>
      <c r="BG447" s="5"/>
      <c r="BH447" s="5"/>
      <c r="BI447" s="36"/>
      <c r="BJ447" s="62" t="s">
        <v>68</v>
      </c>
      <c r="BK447" s="224"/>
      <c r="BL447" s="1041"/>
      <c r="BM447" s="695" t="s">
        <v>68</v>
      </c>
      <c r="BN447" s="695" t="s">
        <v>68</v>
      </c>
      <c r="BO447" s="695" t="s">
        <v>68</v>
      </c>
      <c r="BP447" s="695" t="s">
        <v>68</v>
      </c>
      <c r="BQ447" s="695" t="s">
        <v>68</v>
      </c>
      <c r="BR447" s="914" t="s">
        <v>68</v>
      </c>
      <c r="BS447" s="695" t="s">
        <v>68</v>
      </c>
      <c r="BT447" s="695"/>
      <c r="BU447" s="695" t="s">
        <v>68</v>
      </c>
      <c r="BV447" s="694" t="s">
        <v>68</v>
      </c>
      <c r="BW447" s="13"/>
      <c r="BX447" s="1256"/>
      <c r="BY447" s="13"/>
      <c r="BZ447" s="13"/>
      <c r="CA447" s="13"/>
      <c r="CB447" s="1222" t="s">
        <v>2094</v>
      </c>
      <c r="CC447" s="38"/>
      <c r="CD447" s="526"/>
      <c r="CE447" s="526"/>
      <c r="CF447" s="526"/>
      <c r="CG447" s="526"/>
      <c r="CH447" s="526"/>
      <c r="CI447" s="526"/>
      <c r="CJ447" s="526"/>
      <c r="CK447" s="15"/>
    </row>
    <row r="448" spans="2:89" ht="105" hidden="1" customHeight="1">
      <c r="B448" s="22"/>
      <c r="C448" s="1445">
        <v>44494</v>
      </c>
      <c r="D448" s="1445"/>
      <c r="E448" s="122"/>
      <c r="F448" s="122"/>
      <c r="G448" s="915"/>
      <c r="H448" s="1746"/>
      <c r="I448" s="330">
        <v>44251</v>
      </c>
      <c r="J448" s="169">
        <v>2020</v>
      </c>
      <c r="K448" s="1417">
        <v>201.14</v>
      </c>
      <c r="L448" s="1417"/>
      <c r="M448" s="170" t="s">
        <v>3236</v>
      </c>
      <c r="N448" s="178" t="s">
        <v>3242</v>
      </c>
      <c r="O448" s="2" t="s">
        <v>4032</v>
      </c>
      <c r="P448" s="173" t="s">
        <v>3243</v>
      </c>
      <c r="Q448" s="173" t="s">
        <v>1975</v>
      </c>
      <c r="R448" s="174">
        <v>367959.98</v>
      </c>
      <c r="S448" s="176">
        <v>44089</v>
      </c>
      <c r="T448" s="176">
        <v>44172</v>
      </c>
      <c r="U448" s="177">
        <v>44196</v>
      </c>
      <c r="V448" s="105" t="s">
        <v>68</v>
      </c>
      <c r="W448" s="178" t="s">
        <v>1177</v>
      </c>
      <c r="X448" s="170" t="s">
        <v>449</v>
      </c>
      <c r="Y448" s="461" t="s">
        <v>74</v>
      </c>
      <c r="Z448" s="1371"/>
      <c r="AA448" s="255" t="s">
        <v>3237</v>
      </c>
      <c r="AB448" s="8">
        <v>44082</v>
      </c>
      <c r="AC448" s="4">
        <v>895020.71</v>
      </c>
      <c r="AD448" s="4"/>
      <c r="AE448" s="32"/>
      <c r="AF448" s="34" t="s">
        <v>68</v>
      </c>
      <c r="AG448" s="112" t="s">
        <v>68</v>
      </c>
      <c r="AH448" s="112" t="s">
        <v>68</v>
      </c>
      <c r="AI448" s="7" t="s">
        <v>68</v>
      </c>
      <c r="AJ448" s="109" t="s">
        <v>68</v>
      </c>
      <c r="AK448" s="33" t="s">
        <v>68</v>
      </c>
      <c r="AL448" s="1" t="s">
        <v>68</v>
      </c>
      <c r="AM448" s="5"/>
      <c r="AN448" s="1" t="s">
        <v>68</v>
      </c>
      <c r="AO448" s="5"/>
      <c r="AP448" s="1" t="s">
        <v>68</v>
      </c>
      <c r="AQ448" s="5"/>
      <c r="AR448" s="279">
        <v>0</v>
      </c>
      <c r="AS448" s="674"/>
      <c r="AT448" s="902"/>
      <c r="AU448" s="891"/>
      <c r="AV448" s="66" t="s">
        <v>74</v>
      </c>
      <c r="AW448" s="11"/>
      <c r="AX448" s="223"/>
      <c r="AY448" s="52"/>
      <c r="AZ448" s="66" t="s">
        <v>74</v>
      </c>
      <c r="BA448" s="5"/>
      <c r="BB448" s="5"/>
      <c r="BC448" s="11"/>
      <c r="BD448" s="66" t="s">
        <v>74</v>
      </c>
      <c r="BE448" s="1423"/>
      <c r="BF448" s="5"/>
      <c r="BG448" s="5"/>
      <c r="BH448" s="5"/>
      <c r="BI448" s="36"/>
      <c r="BJ448" s="62"/>
      <c r="BK448" s="224"/>
      <c r="BL448" s="1041"/>
      <c r="BM448" s="695"/>
      <c r="BN448" s="695"/>
      <c r="BO448" s="695"/>
      <c r="BP448" s="695"/>
      <c r="BQ448" s="695"/>
      <c r="BR448" s="914"/>
      <c r="BS448" s="695"/>
      <c r="BT448" s="695"/>
      <c r="BU448" s="695"/>
      <c r="BV448" s="694"/>
      <c r="BW448" s="13"/>
      <c r="BX448" s="1256" t="s">
        <v>3730</v>
      </c>
      <c r="BY448" s="13"/>
      <c r="BZ448" s="13"/>
      <c r="CA448" s="13"/>
      <c r="CB448" s="1222" t="s">
        <v>2094</v>
      </c>
      <c r="CC448" s="38"/>
      <c r="CD448" s="526"/>
      <c r="CE448" s="526"/>
      <c r="CF448" s="526"/>
      <c r="CG448" s="526"/>
      <c r="CH448" s="526"/>
      <c r="CI448" s="526"/>
      <c r="CJ448" s="526"/>
      <c r="CK448" s="15"/>
    </row>
    <row r="449" spans="2:89" ht="108" hidden="1" customHeight="1">
      <c r="B449" s="22"/>
      <c r="C449" s="1445">
        <v>44494</v>
      </c>
      <c r="D449" s="1445"/>
      <c r="E449" s="122"/>
      <c r="F449" s="122"/>
      <c r="G449" s="915"/>
      <c r="H449" s="1746"/>
      <c r="I449" s="330"/>
      <c r="J449" s="169">
        <v>2020</v>
      </c>
      <c r="K449" s="1417">
        <v>201.14099999999999</v>
      </c>
      <c r="L449" s="1417"/>
      <c r="M449" s="170" t="s">
        <v>3914</v>
      </c>
      <c r="N449" s="178" t="s">
        <v>3911</v>
      </c>
      <c r="O449" s="2" t="s">
        <v>4032</v>
      </c>
      <c r="P449" s="173" t="s">
        <v>3931</v>
      </c>
      <c r="Q449" s="173" t="s">
        <v>1975</v>
      </c>
      <c r="R449" s="174">
        <v>134912.99</v>
      </c>
      <c r="S449" s="176">
        <v>44089</v>
      </c>
      <c r="T449" s="176">
        <v>44172</v>
      </c>
      <c r="U449" s="177">
        <v>44196</v>
      </c>
      <c r="V449" s="105" t="s">
        <v>1177</v>
      </c>
      <c r="W449" s="178" t="s">
        <v>1177</v>
      </c>
      <c r="X449" s="920"/>
      <c r="Y449" s="611" t="s">
        <v>1428</v>
      </c>
      <c r="Z449" s="1372" t="s">
        <v>1177</v>
      </c>
      <c r="AA449" s="255"/>
      <c r="AB449" s="8"/>
      <c r="AC449" s="4"/>
      <c r="AD449" s="4"/>
      <c r="AE449" s="32"/>
      <c r="AF449" s="34" t="s">
        <v>68</v>
      </c>
      <c r="AG449" s="112" t="s">
        <v>68</v>
      </c>
      <c r="AH449" s="112" t="s">
        <v>68</v>
      </c>
      <c r="AI449" s="7" t="s">
        <v>68</v>
      </c>
      <c r="AJ449" s="109" t="s">
        <v>68</v>
      </c>
      <c r="AK449" s="33" t="s">
        <v>68</v>
      </c>
      <c r="AL449" s="1" t="s">
        <v>68</v>
      </c>
      <c r="AM449" s="5"/>
      <c r="AN449" s="1" t="s">
        <v>68</v>
      </c>
      <c r="AO449" s="5"/>
      <c r="AP449" s="1" t="s">
        <v>68</v>
      </c>
      <c r="AQ449" s="5"/>
      <c r="AR449" s="279">
        <v>0</v>
      </c>
      <c r="AS449" s="674"/>
      <c r="AT449" s="902"/>
      <c r="AU449" s="891"/>
      <c r="AV449" s="66" t="s">
        <v>74</v>
      </c>
      <c r="AW449" s="11"/>
      <c r="AX449" s="223"/>
      <c r="AY449" s="52"/>
      <c r="AZ449" s="66" t="s">
        <v>74</v>
      </c>
      <c r="BA449" s="5"/>
      <c r="BB449" s="5"/>
      <c r="BC449" s="11"/>
      <c r="BD449" s="66" t="s">
        <v>74</v>
      </c>
      <c r="BE449" s="1423"/>
      <c r="BF449" s="5"/>
      <c r="BG449" s="5"/>
      <c r="BH449" s="5"/>
      <c r="BI449" s="36"/>
      <c r="BJ449" s="62" t="s">
        <v>68</v>
      </c>
      <c r="BK449" s="224"/>
      <c r="BL449" s="1041"/>
      <c r="BM449" s="695" t="s">
        <v>68</v>
      </c>
      <c r="BN449" s="695" t="s">
        <v>68</v>
      </c>
      <c r="BO449" s="695" t="s">
        <v>68</v>
      </c>
      <c r="BP449" s="695" t="s">
        <v>68</v>
      </c>
      <c r="BQ449" s="695" t="s">
        <v>68</v>
      </c>
      <c r="BR449" s="914" t="s">
        <v>68</v>
      </c>
      <c r="BS449" s="695" t="s">
        <v>68</v>
      </c>
      <c r="BT449" s="695"/>
      <c r="BU449" s="695" t="s">
        <v>68</v>
      </c>
      <c r="BV449" s="694" t="s">
        <v>68</v>
      </c>
      <c r="BW449" s="13"/>
      <c r="BX449" s="1256"/>
      <c r="BY449" s="13"/>
      <c r="BZ449" s="13"/>
      <c r="CA449" s="13"/>
      <c r="CB449" s="1222" t="s">
        <v>2094</v>
      </c>
      <c r="CC449" s="38"/>
      <c r="CD449" s="526"/>
      <c r="CE449" s="526"/>
      <c r="CF449" s="526"/>
      <c r="CG449" s="526"/>
      <c r="CH449" s="526"/>
      <c r="CI449" s="526"/>
      <c r="CJ449" s="526"/>
      <c r="CK449" s="15"/>
    </row>
    <row r="450" spans="2:89" ht="103.5" hidden="1" customHeight="1">
      <c r="B450" s="22"/>
      <c r="C450" s="22"/>
      <c r="D450" s="22"/>
      <c r="E450" s="911"/>
      <c r="F450" s="911"/>
      <c r="G450" s="915"/>
      <c r="H450" s="1746"/>
      <c r="I450" s="330">
        <v>44251</v>
      </c>
      <c r="J450" s="169">
        <v>2020</v>
      </c>
      <c r="K450" s="1417">
        <v>201.15</v>
      </c>
      <c r="L450" s="1417"/>
      <c r="M450" s="170" t="s">
        <v>3236</v>
      </c>
      <c r="N450" s="178" t="s">
        <v>3244</v>
      </c>
      <c r="O450" s="2" t="s">
        <v>4032</v>
      </c>
      <c r="P450" s="173" t="s">
        <v>3245</v>
      </c>
      <c r="Q450" s="173" t="s">
        <v>1975</v>
      </c>
      <c r="R450" s="174">
        <f>295285.95+206562+206658.63+147528.29</f>
        <v>856034.87000000011</v>
      </c>
      <c r="S450" s="176">
        <v>44089</v>
      </c>
      <c r="T450" s="176">
        <v>44153</v>
      </c>
      <c r="U450" s="177">
        <v>44191</v>
      </c>
      <c r="V450" s="105" t="s">
        <v>68</v>
      </c>
      <c r="W450" s="178" t="s">
        <v>1177</v>
      </c>
      <c r="X450" s="170" t="s">
        <v>449</v>
      </c>
      <c r="Y450" s="461" t="s">
        <v>74</v>
      </c>
      <c r="Z450" s="1371"/>
      <c r="AA450" s="255" t="s">
        <v>3237</v>
      </c>
      <c r="AB450" s="8">
        <v>44082</v>
      </c>
      <c r="AC450" s="4">
        <f>716080.21+500916.7+409912.49+367447.82+1637432.52</f>
        <v>3631789.74</v>
      </c>
      <c r="AD450" s="4"/>
      <c r="AE450" s="32">
        <v>856034.87</v>
      </c>
      <c r="AF450" s="34" t="s">
        <v>68</v>
      </c>
      <c r="AG450" s="112" t="s">
        <v>68</v>
      </c>
      <c r="AH450" s="112" t="s">
        <v>68</v>
      </c>
      <c r="AI450" s="7" t="s">
        <v>68</v>
      </c>
      <c r="AJ450" s="109" t="s">
        <v>68</v>
      </c>
      <c r="AK450" s="33" t="s">
        <v>68</v>
      </c>
      <c r="AL450" s="1" t="s">
        <v>68</v>
      </c>
      <c r="AM450" s="5"/>
      <c r="AN450" s="1" t="s">
        <v>68</v>
      </c>
      <c r="AO450" s="5"/>
      <c r="AP450" s="1" t="s">
        <v>68</v>
      </c>
      <c r="AQ450" s="5"/>
      <c r="AR450" s="279">
        <v>0</v>
      </c>
      <c r="AS450" s="674"/>
      <c r="AT450" s="902"/>
      <c r="AU450" s="891"/>
      <c r="AV450" s="66" t="s">
        <v>74</v>
      </c>
      <c r="AW450" s="11"/>
      <c r="AX450" s="223"/>
      <c r="AY450" s="52"/>
      <c r="AZ450" s="66" t="s">
        <v>74</v>
      </c>
      <c r="BA450" s="5"/>
      <c r="BB450" s="5"/>
      <c r="BC450" s="11"/>
      <c r="BD450" s="66" t="s">
        <v>74</v>
      </c>
      <c r="BE450" s="1423"/>
      <c r="BF450" s="5"/>
      <c r="BG450" s="5"/>
      <c r="BH450" s="5"/>
      <c r="BI450" s="36"/>
      <c r="BJ450" s="62"/>
      <c r="BK450" s="224"/>
      <c r="BL450" s="1041"/>
      <c r="BM450" s="695"/>
      <c r="BN450" s="695"/>
      <c r="BO450" s="695"/>
      <c r="BP450" s="695"/>
      <c r="BQ450" s="695"/>
      <c r="BR450" s="914"/>
      <c r="BS450" s="695"/>
      <c r="BT450" s="695"/>
      <c r="BU450" s="695"/>
      <c r="BV450" s="694"/>
      <c r="BW450" s="13"/>
      <c r="BX450" s="1256" t="s">
        <v>3730</v>
      </c>
      <c r="BY450" s="13"/>
      <c r="BZ450" s="13"/>
      <c r="CA450" s="13"/>
      <c r="CB450" s="1222" t="s">
        <v>2094</v>
      </c>
      <c r="CC450" s="38"/>
      <c r="CD450" s="526"/>
      <c r="CE450" s="526"/>
      <c r="CF450" s="526"/>
      <c r="CG450" s="526"/>
      <c r="CH450" s="526"/>
      <c r="CI450" s="526"/>
      <c r="CJ450" s="526"/>
      <c r="CK450" s="15"/>
    </row>
    <row r="451" spans="2:89" ht="108.75" hidden="1" customHeight="1">
      <c r="B451" s="22"/>
      <c r="C451" s="122"/>
      <c r="D451" s="122"/>
      <c r="E451" s="122"/>
      <c r="F451" s="122"/>
      <c r="G451" s="915"/>
      <c r="H451" s="1746"/>
      <c r="I451" s="330">
        <v>44331</v>
      </c>
      <c r="J451" s="169">
        <v>2020</v>
      </c>
      <c r="K451" s="1417">
        <v>201.15100000000001</v>
      </c>
      <c r="L451" s="1417"/>
      <c r="M451" s="170" t="s">
        <v>3236</v>
      </c>
      <c r="N451" s="178" t="s">
        <v>3244</v>
      </c>
      <c r="O451" s="2" t="s">
        <v>4032</v>
      </c>
      <c r="P451" s="173" t="s">
        <v>3246</v>
      </c>
      <c r="Q451" s="173" t="s">
        <v>1975</v>
      </c>
      <c r="R451" s="174">
        <v>196467.44</v>
      </c>
      <c r="S451" s="176">
        <v>44089</v>
      </c>
      <c r="T451" s="176">
        <v>44153</v>
      </c>
      <c r="U451" s="177">
        <v>44191</v>
      </c>
      <c r="V451" s="105" t="s">
        <v>68</v>
      </c>
      <c r="W451" s="178" t="s">
        <v>1177</v>
      </c>
      <c r="X451" s="170" t="s">
        <v>449</v>
      </c>
      <c r="Y451" s="461" t="s">
        <v>74</v>
      </c>
      <c r="Z451" s="1371"/>
      <c r="AA451" s="255" t="s">
        <v>3237</v>
      </c>
      <c r="AB451" s="8">
        <v>44082</v>
      </c>
      <c r="AC451" s="63"/>
      <c r="AD451" s="4"/>
      <c r="AE451" s="32"/>
      <c r="AF451" s="34" t="s">
        <v>68</v>
      </c>
      <c r="AG451" s="112" t="s">
        <v>68</v>
      </c>
      <c r="AH451" s="112" t="s">
        <v>68</v>
      </c>
      <c r="AI451" s="7" t="s">
        <v>68</v>
      </c>
      <c r="AJ451" s="109" t="s">
        <v>68</v>
      </c>
      <c r="AK451" s="33" t="s">
        <v>68</v>
      </c>
      <c r="AL451" s="1" t="s">
        <v>68</v>
      </c>
      <c r="AM451" s="5"/>
      <c r="AN451" s="1" t="s">
        <v>68</v>
      </c>
      <c r="AO451" s="5"/>
      <c r="AP451" s="1" t="s">
        <v>68</v>
      </c>
      <c r="AQ451" s="5"/>
      <c r="AR451" s="279">
        <v>0</v>
      </c>
      <c r="AS451" s="674"/>
      <c r="AT451" s="902"/>
      <c r="AU451" s="891"/>
      <c r="AV451" s="66" t="s">
        <v>74</v>
      </c>
      <c r="AW451" s="11"/>
      <c r="AX451" s="223"/>
      <c r="AY451" s="52"/>
      <c r="AZ451" s="66" t="s">
        <v>74</v>
      </c>
      <c r="BA451" s="5"/>
      <c r="BB451" s="5"/>
      <c r="BC451" s="11"/>
      <c r="BD451" s="66" t="s">
        <v>74</v>
      </c>
      <c r="BE451" s="1423"/>
      <c r="BF451" s="5"/>
      <c r="BG451" s="5"/>
      <c r="BH451" s="5"/>
      <c r="BI451" s="36"/>
      <c r="BJ451" s="62"/>
      <c r="BK451" s="224"/>
      <c r="BL451" s="1041"/>
      <c r="BM451" s="695"/>
      <c r="BN451" s="695"/>
      <c r="BO451" s="695"/>
      <c r="BP451" s="695"/>
      <c r="BQ451" s="695"/>
      <c r="BR451" s="914"/>
      <c r="BS451" s="695"/>
      <c r="BT451" s="695"/>
      <c r="BU451" s="695"/>
      <c r="BV451" s="694"/>
      <c r="BW451" s="13"/>
      <c r="BX451" s="1256" t="s">
        <v>3730</v>
      </c>
      <c r="BY451" s="13"/>
      <c r="BZ451" s="13"/>
      <c r="CA451" s="13"/>
      <c r="CB451" s="1222" t="s">
        <v>2094</v>
      </c>
      <c r="CC451" s="38"/>
      <c r="CD451" s="526"/>
      <c r="CE451" s="526"/>
      <c r="CF451" s="526"/>
      <c r="CG451" s="526"/>
      <c r="CH451" s="526"/>
      <c r="CI451" s="526"/>
      <c r="CJ451" s="526"/>
      <c r="CK451" s="15"/>
    </row>
    <row r="452" spans="2:89" ht="78.75" hidden="1" customHeight="1">
      <c r="B452" s="22"/>
      <c r="C452" s="22"/>
      <c r="D452" s="22"/>
      <c r="E452" s="911"/>
      <c r="F452" s="911"/>
      <c r="G452" s="915"/>
      <c r="H452" s="1746"/>
      <c r="I452" s="330"/>
      <c r="J452" s="169">
        <v>2020</v>
      </c>
      <c r="K452" s="1417">
        <v>201.15199999999999</v>
      </c>
      <c r="L452" s="1417"/>
      <c r="M452" s="170" t="s">
        <v>3914</v>
      </c>
      <c r="N452" s="178" t="s">
        <v>3912</v>
      </c>
      <c r="O452" s="2" t="s">
        <v>4032</v>
      </c>
      <c r="P452" s="173" t="s">
        <v>3932</v>
      </c>
      <c r="Q452" s="173" t="s">
        <v>1975</v>
      </c>
      <c r="R452" s="174">
        <v>230070.08</v>
      </c>
      <c r="S452" s="176">
        <v>44089</v>
      </c>
      <c r="T452" s="176">
        <v>44153</v>
      </c>
      <c r="U452" s="177">
        <v>44191</v>
      </c>
      <c r="V452" s="105" t="s">
        <v>1177</v>
      </c>
      <c r="W452" s="178" t="s">
        <v>1177</v>
      </c>
      <c r="X452" s="920"/>
      <c r="Y452" s="611" t="s">
        <v>1428</v>
      </c>
      <c r="Z452" s="1372" t="s">
        <v>1177</v>
      </c>
      <c r="AA452" s="255"/>
      <c r="AB452" s="8"/>
      <c r="AC452" s="4"/>
      <c r="AD452" s="4"/>
      <c r="AE452" s="32"/>
      <c r="AF452" s="34" t="s">
        <v>68</v>
      </c>
      <c r="AG452" s="112" t="s">
        <v>68</v>
      </c>
      <c r="AH452" s="112" t="s">
        <v>68</v>
      </c>
      <c r="AI452" s="7" t="s">
        <v>68</v>
      </c>
      <c r="AJ452" s="109" t="s">
        <v>68</v>
      </c>
      <c r="AK452" s="33" t="s">
        <v>68</v>
      </c>
      <c r="AL452" s="1" t="s">
        <v>68</v>
      </c>
      <c r="AM452" s="5"/>
      <c r="AN452" s="1" t="s">
        <v>68</v>
      </c>
      <c r="AO452" s="5"/>
      <c r="AP452" s="1" t="s">
        <v>68</v>
      </c>
      <c r="AQ452" s="5"/>
      <c r="AR452" s="279">
        <v>0</v>
      </c>
      <c r="AS452" s="674"/>
      <c r="AT452" s="902"/>
      <c r="AU452" s="891"/>
      <c r="AV452" s="66" t="s">
        <v>74</v>
      </c>
      <c r="AW452" s="11"/>
      <c r="AX452" s="223"/>
      <c r="AY452" s="52"/>
      <c r="AZ452" s="66" t="s">
        <v>74</v>
      </c>
      <c r="BA452" s="5"/>
      <c r="BB452" s="5"/>
      <c r="BC452" s="11"/>
      <c r="BD452" s="66" t="s">
        <v>74</v>
      </c>
      <c r="BE452" s="1423"/>
      <c r="BF452" s="5"/>
      <c r="BG452" s="5"/>
      <c r="BH452" s="5"/>
      <c r="BI452" s="36"/>
      <c r="BJ452" s="62" t="s">
        <v>68</v>
      </c>
      <c r="BK452" s="224"/>
      <c r="BL452" s="1041"/>
      <c r="BM452" s="695" t="s">
        <v>68</v>
      </c>
      <c r="BN452" s="695" t="s">
        <v>68</v>
      </c>
      <c r="BO452" s="695" t="s">
        <v>68</v>
      </c>
      <c r="BP452" s="695" t="s">
        <v>68</v>
      </c>
      <c r="BQ452" s="695" t="s">
        <v>68</v>
      </c>
      <c r="BR452" s="914" t="s">
        <v>68</v>
      </c>
      <c r="BS452" s="695" t="s">
        <v>68</v>
      </c>
      <c r="BT452" s="695"/>
      <c r="BU452" s="695" t="s">
        <v>68</v>
      </c>
      <c r="BV452" s="694" t="s">
        <v>68</v>
      </c>
      <c r="BW452" s="13"/>
      <c r="BX452" s="1256"/>
      <c r="BY452" s="13"/>
      <c r="BZ452" s="13"/>
      <c r="CA452" s="13"/>
      <c r="CB452" s="1222" t="s">
        <v>2094</v>
      </c>
      <c r="CC452" s="38"/>
      <c r="CD452" s="526"/>
      <c r="CE452" s="526"/>
      <c r="CF452" s="526"/>
      <c r="CG452" s="526"/>
      <c r="CH452" s="526"/>
      <c r="CI452" s="526"/>
      <c r="CJ452" s="526"/>
      <c r="CK452" s="15"/>
    </row>
    <row r="453" spans="2:89" ht="90" hidden="1" customHeight="1">
      <c r="B453" s="22"/>
      <c r="C453" s="1445">
        <v>44494</v>
      </c>
      <c r="D453" s="1445"/>
      <c r="E453" s="122"/>
      <c r="F453" s="122"/>
      <c r="G453" s="915"/>
      <c r="H453" s="1746"/>
      <c r="I453" s="330">
        <v>44251</v>
      </c>
      <c r="J453" s="169">
        <v>2020</v>
      </c>
      <c r="K453" s="1417">
        <v>201.16</v>
      </c>
      <c r="L453" s="1417"/>
      <c r="M453" s="170" t="s">
        <v>3236</v>
      </c>
      <c r="N453" s="178" t="s">
        <v>3247</v>
      </c>
      <c r="O453" s="148" t="s">
        <v>4032</v>
      </c>
      <c r="P453" s="173" t="s">
        <v>3248</v>
      </c>
      <c r="Q453" s="173" t="s">
        <v>1975</v>
      </c>
      <c r="R453" s="174">
        <f>108906.48+189373.08+114829.46+878449.53</f>
        <v>1291558.55</v>
      </c>
      <c r="S453" s="176">
        <v>44089</v>
      </c>
      <c r="T453" s="176">
        <v>44139</v>
      </c>
      <c r="U453" s="177">
        <v>44196</v>
      </c>
      <c r="V453" s="105" t="s">
        <v>68</v>
      </c>
      <c r="W453" s="178" t="s">
        <v>1177</v>
      </c>
      <c r="X453" s="170" t="s">
        <v>449</v>
      </c>
      <c r="Y453" s="461" t="s">
        <v>74</v>
      </c>
      <c r="Z453" s="1371"/>
      <c r="AA453" s="255" t="s">
        <v>3237</v>
      </c>
      <c r="AB453" s="8">
        <v>44082</v>
      </c>
      <c r="AC453" s="75">
        <f>299279.39+532216.78</f>
        <v>831496.17</v>
      </c>
      <c r="AD453" s="4"/>
      <c r="AE453" s="32"/>
      <c r="AF453" s="34" t="s">
        <v>68</v>
      </c>
      <c r="AG453" s="112" t="s">
        <v>68</v>
      </c>
      <c r="AH453" s="112" t="s">
        <v>68</v>
      </c>
      <c r="AI453" s="7" t="s">
        <v>68</v>
      </c>
      <c r="AJ453" s="109" t="s">
        <v>68</v>
      </c>
      <c r="AK453" s="33" t="s">
        <v>68</v>
      </c>
      <c r="AL453" s="1" t="s">
        <v>68</v>
      </c>
      <c r="AM453" s="5"/>
      <c r="AN453" s="1" t="s">
        <v>68</v>
      </c>
      <c r="AO453" s="5"/>
      <c r="AP453" s="1" t="s">
        <v>68</v>
      </c>
      <c r="AQ453" s="5"/>
      <c r="AR453" s="279">
        <v>0</v>
      </c>
      <c r="AS453" s="674"/>
      <c r="AT453" s="902"/>
      <c r="AU453" s="891"/>
      <c r="AV453" s="66" t="s">
        <v>74</v>
      </c>
      <c r="AW453" s="11"/>
      <c r="AX453" s="223"/>
      <c r="AY453" s="52"/>
      <c r="AZ453" s="66" t="s">
        <v>74</v>
      </c>
      <c r="BA453" s="5"/>
      <c r="BB453" s="5"/>
      <c r="BC453" s="11"/>
      <c r="BD453" s="66" t="s">
        <v>74</v>
      </c>
      <c r="BE453" s="1423"/>
      <c r="BF453" s="5"/>
      <c r="BG453" s="5"/>
      <c r="BH453" s="5"/>
      <c r="BI453" s="36">
        <f>AS453+AT453</f>
        <v>0</v>
      </c>
      <c r="BJ453" s="62" t="s">
        <v>68</v>
      </c>
      <c r="BK453" s="224"/>
      <c r="BL453" s="1041"/>
      <c r="BM453" s="695" t="s">
        <v>68</v>
      </c>
      <c r="BN453" s="695" t="s">
        <v>68</v>
      </c>
      <c r="BO453" s="695"/>
      <c r="BP453" s="695"/>
      <c r="BQ453" s="695"/>
      <c r="BR453" s="914"/>
      <c r="BS453" s="695" t="s">
        <v>68</v>
      </c>
      <c r="BT453" s="695"/>
      <c r="BU453" s="695" t="s">
        <v>68</v>
      </c>
      <c r="BV453" s="694" t="s">
        <v>68</v>
      </c>
      <c r="BW453" s="13"/>
      <c r="BX453" s="1256" t="s">
        <v>3730</v>
      </c>
      <c r="BY453" s="13"/>
      <c r="BZ453" s="13"/>
      <c r="CA453" s="13"/>
      <c r="CB453" s="1222" t="s">
        <v>2094</v>
      </c>
      <c r="CC453" s="38"/>
      <c r="CD453" s="526"/>
      <c r="CE453" s="526"/>
      <c r="CF453" s="526"/>
      <c r="CG453" s="526"/>
      <c r="CH453" s="526"/>
      <c r="CI453" s="526"/>
      <c r="CJ453" s="526"/>
      <c r="CK453" s="15"/>
    </row>
    <row r="454" spans="2:89" ht="96.75" hidden="1" customHeight="1">
      <c r="B454" s="22"/>
      <c r="C454" s="1445">
        <v>44494</v>
      </c>
      <c r="D454" s="1445"/>
      <c r="E454" s="122"/>
      <c r="F454" s="122"/>
      <c r="G454" s="915"/>
      <c r="H454" s="1746"/>
      <c r="I454" s="330"/>
      <c r="J454" s="169">
        <v>2020</v>
      </c>
      <c r="K454" s="1417">
        <v>201.161</v>
      </c>
      <c r="L454" s="1417"/>
      <c r="M454" s="170" t="s">
        <v>3914</v>
      </c>
      <c r="N454" s="178" t="s">
        <v>3913</v>
      </c>
      <c r="O454" s="148" t="s">
        <v>4032</v>
      </c>
      <c r="P454" s="173" t="s">
        <v>3248</v>
      </c>
      <c r="Q454" s="173" t="s">
        <v>1975</v>
      </c>
      <c r="R454" s="174">
        <v>542961</v>
      </c>
      <c r="S454" s="176">
        <v>44089</v>
      </c>
      <c r="T454" s="176">
        <v>44139</v>
      </c>
      <c r="U454" s="177">
        <v>44196</v>
      </c>
      <c r="V454" s="105" t="s">
        <v>1177</v>
      </c>
      <c r="W454" s="178" t="s">
        <v>1177</v>
      </c>
      <c r="X454" s="920"/>
      <c r="Y454" s="611" t="s">
        <v>1428</v>
      </c>
      <c r="Z454" s="1372" t="s">
        <v>1177</v>
      </c>
      <c r="AA454" s="255"/>
      <c r="AB454" s="8"/>
      <c r="AC454" s="4"/>
      <c r="AD454" s="4"/>
      <c r="AE454" s="32"/>
      <c r="AF454" s="34" t="s">
        <v>68</v>
      </c>
      <c r="AG454" s="112" t="s">
        <v>68</v>
      </c>
      <c r="AH454" s="112" t="s">
        <v>68</v>
      </c>
      <c r="AI454" s="7" t="s">
        <v>68</v>
      </c>
      <c r="AJ454" s="109" t="s">
        <v>68</v>
      </c>
      <c r="AK454" s="33" t="s">
        <v>68</v>
      </c>
      <c r="AL454" s="1" t="s">
        <v>68</v>
      </c>
      <c r="AM454" s="5"/>
      <c r="AN454" s="1" t="s">
        <v>68</v>
      </c>
      <c r="AO454" s="5"/>
      <c r="AP454" s="1" t="s">
        <v>68</v>
      </c>
      <c r="AQ454" s="5"/>
      <c r="AR454" s="279">
        <v>0</v>
      </c>
      <c r="AS454" s="674"/>
      <c r="AT454" s="902"/>
      <c r="AU454" s="891"/>
      <c r="AV454" s="66" t="s">
        <v>74</v>
      </c>
      <c r="AW454" s="11"/>
      <c r="AX454" s="223"/>
      <c r="AY454" s="52"/>
      <c r="AZ454" s="66" t="s">
        <v>74</v>
      </c>
      <c r="BA454" s="5"/>
      <c r="BB454" s="5"/>
      <c r="BC454" s="11"/>
      <c r="BD454" s="66" t="s">
        <v>74</v>
      </c>
      <c r="BE454" s="1423"/>
      <c r="BF454" s="5"/>
      <c r="BG454" s="5"/>
      <c r="BH454" s="5"/>
      <c r="BI454" s="36"/>
      <c r="BJ454" s="62" t="s">
        <v>68</v>
      </c>
      <c r="BK454" s="224"/>
      <c r="BL454" s="1041"/>
      <c r="BM454" s="695" t="s">
        <v>68</v>
      </c>
      <c r="BN454" s="695" t="s">
        <v>68</v>
      </c>
      <c r="BO454" s="695" t="s">
        <v>68</v>
      </c>
      <c r="BP454" s="695" t="s">
        <v>68</v>
      </c>
      <c r="BQ454" s="695" t="s">
        <v>68</v>
      </c>
      <c r="BR454" s="914" t="s">
        <v>68</v>
      </c>
      <c r="BS454" s="695" t="s">
        <v>68</v>
      </c>
      <c r="BT454" s="695"/>
      <c r="BU454" s="695" t="s">
        <v>68</v>
      </c>
      <c r="BV454" s="694" t="s">
        <v>68</v>
      </c>
      <c r="BW454" s="13"/>
      <c r="BX454" s="1256"/>
      <c r="BY454" s="13"/>
      <c r="BZ454" s="13"/>
      <c r="CA454" s="13"/>
      <c r="CB454" s="1222" t="s">
        <v>2094</v>
      </c>
      <c r="CC454" s="38"/>
      <c r="CD454" s="526"/>
      <c r="CE454" s="526"/>
      <c r="CF454" s="526"/>
      <c r="CG454" s="526"/>
      <c r="CH454" s="526"/>
      <c r="CI454" s="526"/>
      <c r="CJ454" s="526"/>
      <c r="CK454" s="15"/>
    </row>
    <row r="455" spans="2:89" ht="96.75" hidden="1" customHeight="1">
      <c r="B455" s="22"/>
      <c r="C455" s="22"/>
      <c r="D455" s="22"/>
      <c r="E455" s="911"/>
      <c r="F455" s="911"/>
      <c r="G455" s="915"/>
      <c r="H455" s="1746"/>
      <c r="I455" s="330">
        <v>44081</v>
      </c>
      <c r="J455" s="169">
        <v>2020</v>
      </c>
      <c r="K455" s="1417">
        <v>205.01</v>
      </c>
      <c r="L455" s="1417"/>
      <c r="M455" s="170" t="s">
        <v>166</v>
      </c>
      <c r="N455" s="178" t="s">
        <v>3013</v>
      </c>
      <c r="O455" s="172" t="s">
        <v>45</v>
      </c>
      <c r="P455" s="173" t="s">
        <v>2985</v>
      </c>
      <c r="Q455" s="173" t="s">
        <v>2663</v>
      </c>
      <c r="R455" s="594">
        <v>15080</v>
      </c>
      <c r="S455" s="176">
        <v>43864</v>
      </c>
      <c r="T455" s="176">
        <v>43865</v>
      </c>
      <c r="U455" s="177">
        <v>43879</v>
      </c>
      <c r="V455" s="105" t="s">
        <v>68</v>
      </c>
      <c r="W455" s="178" t="s">
        <v>2986</v>
      </c>
      <c r="X455" s="170" t="s">
        <v>709</v>
      </c>
      <c r="Y455" s="1040"/>
      <c r="Z455" s="368" t="s">
        <v>1177</v>
      </c>
      <c r="AA455" s="255" t="s">
        <v>3002</v>
      </c>
      <c r="AB455" s="8">
        <v>43793</v>
      </c>
      <c r="AC455" s="4">
        <v>885535.63</v>
      </c>
      <c r="AD455" s="4"/>
      <c r="AE455" s="32"/>
      <c r="AF455" s="34" t="s">
        <v>68</v>
      </c>
      <c r="AG455" s="112" t="s">
        <v>68</v>
      </c>
      <c r="AH455" s="112" t="s">
        <v>68</v>
      </c>
      <c r="AI455" s="7" t="s">
        <v>68</v>
      </c>
      <c r="AJ455" s="109" t="s">
        <v>68</v>
      </c>
      <c r="AK455" s="33" t="s">
        <v>68</v>
      </c>
      <c r="AL455" s="1" t="s">
        <v>68</v>
      </c>
      <c r="AM455" s="5"/>
      <c r="AN455" s="1" t="s">
        <v>68</v>
      </c>
      <c r="AO455" s="5"/>
      <c r="AP455" s="1" t="s">
        <v>68</v>
      </c>
      <c r="AQ455" s="5"/>
      <c r="AR455" s="279">
        <v>0</v>
      </c>
      <c r="AS455" s="35">
        <v>0</v>
      </c>
      <c r="AT455" s="902"/>
      <c r="AU455" s="891"/>
      <c r="AV455" s="30" t="s">
        <v>68</v>
      </c>
      <c r="AW455" s="11" t="s">
        <v>68</v>
      </c>
      <c r="AX455" s="223" t="s">
        <v>551</v>
      </c>
      <c r="AY455" s="52" t="s">
        <v>68</v>
      </c>
      <c r="AZ455" s="30" t="s">
        <v>1177</v>
      </c>
      <c r="BA455" s="5"/>
      <c r="BB455" s="5"/>
      <c r="BC455" s="11"/>
      <c r="BD455" s="30" t="s">
        <v>1177</v>
      </c>
      <c r="BE455" s="309"/>
      <c r="BF455" s="5"/>
      <c r="BG455" s="5"/>
      <c r="BH455" s="5"/>
      <c r="BI455" s="36">
        <f>AS455+AT455</f>
        <v>0</v>
      </c>
      <c r="BJ455" s="62" t="s">
        <v>68</v>
      </c>
      <c r="BK455" s="224"/>
      <c r="BL455" s="1041"/>
      <c r="BM455" s="695" t="s">
        <v>68</v>
      </c>
      <c r="BN455" s="695" t="s">
        <v>68</v>
      </c>
      <c r="BO455" s="695"/>
      <c r="BP455" s="695"/>
      <c r="BQ455" s="695"/>
      <c r="BR455" s="914"/>
      <c r="BS455" s="695" t="s">
        <v>68</v>
      </c>
      <c r="BT455" s="695"/>
      <c r="BU455" s="695" t="s">
        <v>68</v>
      </c>
      <c r="BV455" s="694" t="s">
        <v>68</v>
      </c>
      <c r="BW455" s="13"/>
      <c r="BX455" s="1256" t="s">
        <v>3730</v>
      </c>
      <c r="BY455" s="13"/>
      <c r="BZ455" s="13"/>
      <c r="CA455" s="13"/>
      <c r="CB455" s="1222" t="s">
        <v>2094</v>
      </c>
      <c r="CC455" s="38"/>
      <c r="CD455" s="526"/>
      <c r="CE455" s="526"/>
      <c r="CF455" s="526"/>
      <c r="CG455" s="526"/>
      <c r="CH455" s="526"/>
      <c r="CI455" s="526"/>
      <c r="CJ455" s="526"/>
      <c r="CK455" s="15"/>
    </row>
    <row r="456" spans="2:89" ht="239.25" hidden="1" customHeight="1">
      <c r="B456" s="22"/>
      <c r="C456" s="22"/>
      <c r="D456" s="22"/>
      <c r="E456" s="911"/>
      <c r="F456" s="911"/>
      <c r="G456" s="915"/>
      <c r="H456" s="1746"/>
      <c r="I456" s="330">
        <v>44081</v>
      </c>
      <c r="J456" s="169">
        <v>2020</v>
      </c>
      <c r="K456" s="1417">
        <v>205.02</v>
      </c>
      <c r="L456" s="1417"/>
      <c r="M456" s="1045" t="s">
        <v>166</v>
      </c>
      <c r="N456" s="1044" t="s">
        <v>3014</v>
      </c>
      <c r="O456" s="1171" t="s">
        <v>45</v>
      </c>
      <c r="P456" s="451" t="s">
        <v>4015</v>
      </c>
      <c r="Q456" s="451" t="s">
        <v>2575</v>
      </c>
      <c r="R456" s="1172">
        <v>139246.39999999999</v>
      </c>
      <c r="S456" s="176">
        <v>44275</v>
      </c>
      <c r="T456" s="979">
        <v>44287</v>
      </c>
      <c r="U456" s="980">
        <v>44289</v>
      </c>
      <c r="V456" s="981" t="s">
        <v>68</v>
      </c>
      <c r="W456" s="1044" t="s">
        <v>3263</v>
      </c>
      <c r="X456" s="1045" t="s">
        <v>709</v>
      </c>
      <c r="Y456" s="1040"/>
      <c r="Z456" s="368" t="s">
        <v>1177</v>
      </c>
      <c r="AA456" s="255" t="s">
        <v>3002</v>
      </c>
      <c r="AB456" s="8">
        <v>43793</v>
      </c>
      <c r="AC456" s="4">
        <v>885535.63</v>
      </c>
      <c r="AD456" s="4"/>
      <c r="AE456" s="32"/>
      <c r="AF456" s="34" t="s">
        <v>68</v>
      </c>
      <c r="AG456" s="112" t="s">
        <v>68</v>
      </c>
      <c r="AH456" s="112" t="s">
        <v>68</v>
      </c>
      <c r="AI456" s="7" t="s">
        <v>68</v>
      </c>
      <c r="AJ456" s="109" t="s">
        <v>68</v>
      </c>
      <c r="AK456" s="33" t="s">
        <v>68</v>
      </c>
      <c r="AL456" s="1" t="s">
        <v>68</v>
      </c>
      <c r="AM456" s="5"/>
      <c r="AN456" s="1" t="s">
        <v>68</v>
      </c>
      <c r="AO456" s="5"/>
      <c r="AP456" s="1" t="s">
        <v>68</v>
      </c>
      <c r="AQ456" s="5"/>
      <c r="AR456" s="279">
        <v>0</v>
      </c>
      <c r="AS456" s="35">
        <v>0</v>
      </c>
      <c r="AT456" s="902"/>
      <c r="AU456" s="891"/>
      <c r="AV456" s="30" t="s">
        <v>68</v>
      </c>
      <c r="AW456" s="11" t="s">
        <v>68</v>
      </c>
      <c r="AX456" s="223" t="s">
        <v>551</v>
      </c>
      <c r="AY456" s="52" t="s">
        <v>68</v>
      </c>
      <c r="AZ456" s="30" t="s">
        <v>1177</v>
      </c>
      <c r="BA456" s="5"/>
      <c r="BB456" s="5"/>
      <c r="BC456" s="11"/>
      <c r="BD456" s="30" t="s">
        <v>1177</v>
      </c>
      <c r="BE456" s="309"/>
      <c r="BF456" s="5"/>
      <c r="BG456" s="5"/>
      <c r="BH456" s="5"/>
      <c r="BI456" s="36">
        <f>AS456+AT456</f>
        <v>0</v>
      </c>
      <c r="BJ456" s="62" t="s">
        <v>68</v>
      </c>
      <c r="BK456" s="224"/>
      <c r="BL456" s="1041"/>
      <c r="BM456" s="695" t="s">
        <v>68</v>
      </c>
      <c r="BN456" s="695" t="s">
        <v>68</v>
      </c>
      <c r="BO456" s="696"/>
      <c r="BP456" s="696"/>
      <c r="BQ456" s="696"/>
      <c r="BR456" s="914"/>
      <c r="BS456" s="696" t="s">
        <v>68</v>
      </c>
      <c r="BT456" s="696"/>
      <c r="BU456" s="696" t="s">
        <v>68</v>
      </c>
      <c r="BV456" s="694" t="s">
        <v>68</v>
      </c>
      <c r="BW456" s="13"/>
      <c r="BX456" s="1256" t="s">
        <v>3730</v>
      </c>
      <c r="BY456" s="13"/>
      <c r="BZ456" s="13"/>
      <c r="CA456" s="13"/>
      <c r="CB456" s="1222" t="s">
        <v>2094</v>
      </c>
      <c r="CC456" s="38"/>
      <c r="CD456" s="526"/>
      <c r="CE456" s="526"/>
      <c r="CF456" s="526"/>
      <c r="CG456" s="526"/>
      <c r="CH456" s="526"/>
      <c r="CI456" s="526"/>
      <c r="CJ456" s="526"/>
      <c r="CK456" s="15"/>
    </row>
    <row r="457" spans="2:89" s="1050" customFormat="1" ht="39.75" hidden="1" customHeight="1">
      <c r="B457" s="1051"/>
      <c r="C457" s="1051"/>
      <c r="D457" s="1051"/>
      <c r="E457" s="1052"/>
      <c r="F457" s="1052"/>
      <c r="G457" s="553"/>
      <c r="H457" s="620"/>
      <c r="I457" s="620"/>
      <c r="J457" s="1053">
        <v>2020</v>
      </c>
      <c r="K457" s="1420">
        <v>205.03</v>
      </c>
      <c r="L457" s="1420"/>
      <c r="M457" s="1054"/>
      <c r="N457" s="1055" t="s">
        <v>3015</v>
      </c>
      <c r="O457" s="790" t="s">
        <v>251</v>
      </c>
      <c r="P457" s="1056" t="s">
        <v>3972</v>
      </c>
      <c r="Q457" s="1056"/>
      <c r="R457" s="1057"/>
      <c r="S457" s="1059"/>
      <c r="T457" s="1059"/>
      <c r="U457" s="1060"/>
      <c r="V457" s="1061"/>
      <c r="W457" s="1055"/>
      <c r="X457" s="1054"/>
      <c r="Y457" s="1087"/>
      <c r="Z457" s="1378"/>
      <c r="AA457" s="308"/>
      <c r="AB457" s="1063"/>
      <c r="AC457" s="1064"/>
      <c r="AD457" s="1064"/>
      <c r="AE457" s="1065"/>
      <c r="AF457" s="1066"/>
      <c r="AG457" s="1067"/>
      <c r="AH457" s="1067"/>
      <c r="AI457" s="1068"/>
      <c r="AJ457" s="1069"/>
      <c r="AK457" s="308"/>
      <c r="AL457" s="1070"/>
      <c r="AM457" s="1071"/>
      <c r="AN457" s="1070"/>
      <c r="AO457" s="1071"/>
      <c r="AP457" s="1070"/>
      <c r="AQ457" s="1071"/>
      <c r="AR457" s="1072"/>
      <c r="AS457" s="1073"/>
      <c r="AT457" s="1074"/>
      <c r="AU457" s="1075"/>
      <c r="AV457" s="1076"/>
      <c r="AW457" s="1077"/>
      <c r="AX457" s="1078"/>
      <c r="AY457" s="1079"/>
      <c r="AZ457" s="1076"/>
      <c r="BA457" s="1071"/>
      <c r="BB457" s="1071"/>
      <c r="BC457" s="1077"/>
      <c r="BD457" s="1076"/>
      <c r="BE457" s="1608"/>
      <c r="BF457" s="1071"/>
      <c r="BG457" s="1071"/>
      <c r="BH457" s="1071"/>
      <c r="BI457" s="1081"/>
      <c r="BJ457" s="1465"/>
      <c r="BK457" s="1478"/>
      <c r="BL457" s="1470"/>
      <c r="BM457" s="1471"/>
      <c r="BN457" s="1471"/>
      <c r="BO457" s="1487"/>
      <c r="BP457" s="1487"/>
      <c r="BQ457" s="1487"/>
      <c r="BR457" s="914"/>
      <c r="BS457" s="1487"/>
      <c r="BT457" s="1487"/>
      <c r="BU457" s="1487"/>
      <c r="BV457" s="1470"/>
      <c r="BW457" s="1082"/>
      <c r="BX457" s="1256"/>
      <c r="BY457" s="1082"/>
      <c r="BZ457" s="1082"/>
      <c r="CA457" s="1082"/>
      <c r="CB457" s="1222" t="s">
        <v>2094</v>
      </c>
      <c r="CC457" s="1085"/>
      <c r="CD457" s="789"/>
      <c r="CE457" s="789"/>
      <c r="CF457" s="789"/>
      <c r="CG457" s="789"/>
      <c r="CH457" s="789"/>
      <c r="CI457" s="789"/>
      <c r="CJ457" s="789"/>
      <c r="CK457" s="1086"/>
    </row>
    <row r="458" spans="2:89" ht="122.25" hidden="1" customHeight="1">
      <c r="B458" s="22"/>
      <c r="C458" s="22"/>
      <c r="D458" s="22"/>
      <c r="E458" s="911"/>
      <c r="F458" s="911"/>
      <c r="G458" s="915"/>
      <c r="H458" s="1746"/>
      <c r="I458" s="330">
        <v>44081</v>
      </c>
      <c r="J458" s="169">
        <v>2020</v>
      </c>
      <c r="K458" s="1417">
        <v>205.04</v>
      </c>
      <c r="L458" s="1417"/>
      <c r="M458" s="1045" t="s">
        <v>166</v>
      </c>
      <c r="N458" s="1044" t="s">
        <v>3016</v>
      </c>
      <c r="O458" s="1171" t="s">
        <v>45</v>
      </c>
      <c r="P458" s="451" t="s">
        <v>2990</v>
      </c>
      <c r="Q458" s="451" t="s">
        <v>1975</v>
      </c>
      <c r="R458" s="1172">
        <v>25520</v>
      </c>
      <c r="S458" s="176">
        <v>43979</v>
      </c>
      <c r="T458" s="979" t="s">
        <v>1428</v>
      </c>
      <c r="U458" s="980" t="s">
        <v>1428</v>
      </c>
      <c r="V458" s="981" t="s">
        <v>68</v>
      </c>
      <c r="W458" s="1044" t="s">
        <v>2991</v>
      </c>
      <c r="X458" s="170" t="s">
        <v>3264</v>
      </c>
      <c r="Y458" s="1040"/>
      <c r="Z458" s="368" t="s">
        <v>1177</v>
      </c>
      <c r="AA458" s="255" t="s">
        <v>3003</v>
      </c>
      <c r="AB458" s="8">
        <v>43972</v>
      </c>
      <c r="AC458" s="4">
        <v>90000</v>
      </c>
      <c r="AD458" s="4"/>
      <c r="AE458" s="32"/>
      <c r="AF458" s="34" t="s">
        <v>68</v>
      </c>
      <c r="AG458" s="112" t="s">
        <v>68</v>
      </c>
      <c r="AH458" s="112" t="s">
        <v>68</v>
      </c>
      <c r="AI458" s="7" t="s">
        <v>68</v>
      </c>
      <c r="AJ458" s="109" t="s">
        <v>68</v>
      </c>
      <c r="AK458" s="33" t="s">
        <v>68</v>
      </c>
      <c r="AL458" s="1" t="s">
        <v>68</v>
      </c>
      <c r="AM458" s="5"/>
      <c r="AN458" s="1" t="s">
        <v>68</v>
      </c>
      <c r="AO458" s="5"/>
      <c r="AP458" s="1" t="s">
        <v>68</v>
      </c>
      <c r="AQ458" s="5"/>
      <c r="AR458" s="279">
        <v>0</v>
      </c>
      <c r="AS458" s="35">
        <v>0</v>
      </c>
      <c r="AT458" s="902"/>
      <c r="AU458" s="891"/>
      <c r="AV458" s="30" t="s">
        <v>68</v>
      </c>
      <c r="AW458" s="11" t="s">
        <v>68</v>
      </c>
      <c r="AX458" s="223" t="s">
        <v>551</v>
      </c>
      <c r="AY458" s="52" t="s">
        <v>68</v>
      </c>
      <c r="AZ458" s="30" t="s">
        <v>1177</v>
      </c>
      <c r="BA458" s="5"/>
      <c r="BB458" s="5"/>
      <c r="BC458" s="11"/>
      <c r="BD458" s="30" t="s">
        <v>1177</v>
      </c>
      <c r="BE458" s="309"/>
      <c r="BF458" s="5"/>
      <c r="BG458" s="5"/>
      <c r="BH458" s="5"/>
      <c r="BI458" s="36">
        <f t="shared" ref="BI458:BI482" si="14">AS458+AT458</f>
        <v>0</v>
      </c>
      <c r="BJ458" s="62" t="s">
        <v>68</v>
      </c>
      <c r="BK458" s="224"/>
      <c r="BL458" s="1041"/>
      <c r="BM458" s="695" t="s">
        <v>68</v>
      </c>
      <c r="BN458" s="695" t="s">
        <v>68</v>
      </c>
      <c r="BO458" s="696"/>
      <c r="BP458" s="696"/>
      <c r="BQ458" s="696"/>
      <c r="BR458" s="914"/>
      <c r="BS458" s="696" t="s">
        <v>68</v>
      </c>
      <c r="BT458" s="696"/>
      <c r="BU458" s="696" t="s">
        <v>68</v>
      </c>
      <c r="BV458" s="694" t="s">
        <v>68</v>
      </c>
      <c r="BW458" s="13"/>
      <c r="BX458" s="1256" t="s">
        <v>3730</v>
      </c>
      <c r="BY458" s="13"/>
      <c r="BZ458" s="13"/>
      <c r="CA458" s="13"/>
      <c r="CB458" s="1222" t="s">
        <v>2094</v>
      </c>
      <c r="CC458" s="38"/>
      <c r="CD458" s="526"/>
      <c r="CE458" s="526"/>
      <c r="CF458" s="526"/>
      <c r="CG458" s="526"/>
      <c r="CH458" s="526"/>
      <c r="CI458" s="526"/>
      <c r="CJ458" s="526"/>
      <c r="CK458" s="15"/>
    </row>
    <row r="459" spans="2:89" ht="115.5" hidden="1" customHeight="1">
      <c r="B459" s="22"/>
      <c r="C459" s="22"/>
      <c r="D459" s="22"/>
      <c r="E459" s="911"/>
      <c r="F459" s="911"/>
      <c r="G459" s="915"/>
      <c r="H459" s="1746"/>
      <c r="I459" s="330">
        <v>44081</v>
      </c>
      <c r="J459" s="169">
        <v>2020</v>
      </c>
      <c r="K459" s="1417">
        <v>205.05</v>
      </c>
      <c r="L459" s="1417"/>
      <c r="M459" s="1045" t="s">
        <v>166</v>
      </c>
      <c r="N459" s="1044" t="s">
        <v>3017</v>
      </c>
      <c r="O459" s="1171" t="s">
        <v>45</v>
      </c>
      <c r="P459" s="451" t="s">
        <v>2994</v>
      </c>
      <c r="Q459" s="451" t="s">
        <v>1975</v>
      </c>
      <c r="R459" s="1172">
        <v>36772</v>
      </c>
      <c r="S459" s="176">
        <v>43979</v>
      </c>
      <c r="T459" s="979" t="s">
        <v>1428</v>
      </c>
      <c r="U459" s="980" t="s">
        <v>1428</v>
      </c>
      <c r="V459" s="981" t="s">
        <v>68</v>
      </c>
      <c r="W459" s="1044" t="s">
        <v>2991</v>
      </c>
      <c r="X459" s="170" t="s">
        <v>3264</v>
      </c>
      <c r="Y459" s="1040"/>
      <c r="Z459" s="368" t="s">
        <v>1177</v>
      </c>
      <c r="AA459" s="255" t="s">
        <v>3003</v>
      </c>
      <c r="AB459" s="8">
        <v>43972</v>
      </c>
      <c r="AC459" s="4">
        <v>90000</v>
      </c>
      <c r="AD459" s="4"/>
      <c r="AE459" s="32"/>
      <c r="AF459" s="34" t="s">
        <v>68</v>
      </c>
      <c r="AG459" s="112" t="s">
        <v>68</v>
      </c>
      <c r="AH459" s="112" t="s">
        <v>68</v>
      </c>
      <c r="AI459" s="7" t="s">
        <v>68</v>
      </c>
      <c r="AJ459" s="109" t="s">
        <v>68</v>
      </c>
      <c r="AK459" s="33" t="s">
        <v>68</v>
      </c>
      <c r="AL459" s="1" t="s">
        <v>68</v>
      </c>
      <c r="AM459" s="5"/>
      <c r="AN459" s="1" t="s">
        <v>68</v>
      </c>
      <c r="AO459" s="5"/>
      <c r="AP459" s="1" t="s">
        <v>68</v>
      </c>
      <c r="AQ459" s="5"/>
      <c r="AR459" s="279">
        <v>0</v>
      </c>
      <c r="AS459" s="35">
        <v>0</v>
      </c>
      <c r="AT459" s="902"/>
      <c r="AU459" s="891"/>
      <c r="AV459" s="30" t="s">
        <v>68</v>
      </c>
      <c r="AW459" s="11" t="s">
        <v>68</v>
      </c>
      <c r="AX459" s="223" t="s">
        <v>551</v>
      </c>
      <c r="AY459" s="52" t="s">
        <v>68</v>
      </c>
      <c r="AZ459" s="30" t="s">
        <v>1177</v>
      </c>
      <c r="BA459" s="5"/>
      <c r="BB459" s="5"/>
      <c r="BC459" s="11"/>
      <c r="BD459" s="30" t="s">
        <v>1177</v>
      </c>
      <c r="BE459" s="309"/>
      <c r="BF459" s="5"/>
      <c r="BG459" s="5"/>
      <c r="BH459" s="5"/>
      <c r="BI459" s="36">
        <f t="shared" si="14"/>
        <v>0</v>
      </c>
      <c r="BJ459" s="62" t="s">
        <v>68</v>
      </c>
      <c r="BK459" s="224"/>
      <c r="BL459" s="1041"/>
      <c r="BM459" s="695" t="s">
        <v>68</v>
      </c>
      <c r="BN459" s="695" t="s">
        <v>68</v>
      </c>
      <c r="BO459" s="696"/>
      <c r="BP459" s="696"/>
      <c r="BQ459" s="696"/>
      <c r="BR459" s="914"/>
      <c r="BS459" s="696" t="s">
        <v>68</v>
      </c>
      <c r="BT459" s="696"/>
      <c r="BU459" s="696" t="s">
        <v>68</v>
      </c>
      <c r="BV459" s="694" t="s">
        <v>68</v>
      </c>
      <c r="BW459" s="13"/>
      <c r="BX459" s="1256" t="s">
        <v>3730</v>
      </c>
      <c r="BY459" s="13"/>
      <c r="BZ459" s="13"/>
      <c r="CA459" s="13"/>
      <c r="CB459" s="1222" t="s">
        <v>2094</v>
      </c>
      <c r="CC459" s="38"/>
      <c r="CD459" s="526"/>
      <c r="CE459" s="526"/>
      <c r="CF459" s="526"/>
      <c r="CG459" s="526"/>
      <c r="CH459" s="526"/>
      <c r="CI459" s="526"/>
      <c r="CJ459" s="526"/>
      <c r="CK459" s="15"/>
    </row>
    <row r="460" spans="2:89" ht="129" hidden="1" customHeight="1">
      <c r="B460" s="22"/>
      <c r="C460" s="22"/>
      <c r="D460" s="22"/>
      <c r="E460" s="911"/>
      <c r="F460" s="911"/>
      <c r="G460" s="915"/>
      <c r="H460" s="1746"/>
      <c r="I460" s="330">
        <v>44081</v>
      </c>
      <c r="J460" s="169">
        <v>2020</v>
      </c>
      <c r="K460" s="1417">
        <v>205.06</v>
      </c>
      <c r="L460" s="1417"/>
      <c r="M460" s="1045" t="s">
        <v>166</v>
      </c>
      <c r="N460" s="1044" t="s">
        <v>3026</v>
      </c>
      <c r="O460" s="1171" t="s">
        <v>45</v>
      </c>
      <c r="P460" s="173" t="s">
        <v>2995</v>
      </c>
      <c r="Q460" s="173" t="s">
        <v>4409</v>
      </c>
      <c r="R460" s="174">
        <v>18096</v>
      </c>
      <c r="S460" s="176">
        <v>43979</v>
      </c>
      <c r="T460" s="176" t="s">
        <v>1428</v>
      </c>
      <c r="U460" s="177" t="s">
        <v>1428</v>
      </c>
      <c r="V460" s="105" t="s">
        <v>68</v>
      </c>
      <c r="W460" s="178" t="s">
        <v>2991</v>
      </c>
      <c r="X460" s="170" t="s">
        <v>3264</v>
      </c>
      <c r="Y460" s="1040"/>
      <c r="Z460" s="368" t="s">
        <v>1177</v>
      </c>
      <c r="AA460" s="255" t="s">
        <v>3004</v>
      </c>
      <c r="AB460" s="8">
        <v>43972</v>
      </c>
      <c r="AC460" s="4">
        <v>40000</v>
      </c>
      <c r="AD460" s="4"/>
      <c r="AE460" s="32"/>
      <c r="AF460" s="34" t="s">
        <v>68</v>
      </c>
      <c r="AG460" s="112" t="s">
        <v>68</v>
      </c>
      <c r="AH460" s="112" t="s">
        <v>68</v>
      </c>
      <c r="AI460" s="7" t="s">
        <v>68</v>
      </c>
      <c r="AJ460" s="109" t="s">
        <v>68</v>
      </c>
      <c r="AK460" s="33" t="s">
        <v>68</v>
      </c>
      <c r="AL460" s="1" t="s">
        <v>68</v>
      </c>
      <c r="AM460" s="5"/>
      <c r="AN460" s="1" t="s">
        <v>68</v>
      </c>
      <c r="AO460" s="5"/>
      <c r="AP460" s="1" t="s">
        <v>68</v>
      </c>
      <c r="AQ460" s="5"/>
      <c r="AR460" s="279">
        <v>0</v>
      </c>
      <c r="AS460" s="35">
        <v>0</v>
      </c>
      <c r="AT460" s="902"/>
      <c r="AU460" s="891"/>
      <c r="AV460" s="30" t="s">
        <v>68</v>
      </c>
      <c r="AW460" s="11" t="s">
        <v>68</v>
      </c>
      <c r="AX460" s="223" t="s">
        <v>551</v>
      </c>
      <c r="AY460" s="52" t="s">
        <v>68</v>
      </c>
      <c r="AZ460" s="30" t="s">
        <v>1177</v>
      </c>
      <c r="BA460" s="5"/>
      <c r="BB460" s="5"/>
      <c r="BC460" s="11"/>
      <c r="BD460" s="30" t="s">
        <v>1177</v>
      </c>
      <c r="BE460" s="309"/>
      <c r="BF460" s="5"/>
      <c r="BG460" s="5"/>
      <c r="BH460" s="5"/>
      <c r="BI460" s="36">
        <f t="shared" si="14"/>
        <v>0</v>
      </c>
      <c r="BJ460" s="62" t="s">
        <v>68</v>
      </c>
      <c r="BK460" s="224"/>
      <c r="BL460" s="1041"/>
      <c r="BM460" s="695" t="s">
        <v>68</v>
      </c>
      <c r="BN460" s="695" t="s">
        <v>68</v>
      </c>
      <c r="BO460" s="696"/>
      <c r="BP460" s="696"/>
      <c r="BQ460" s="696"/>
      <c r="BR460" s="914"/>
      <c r="BS460" s="696" t="s">
        <v>68</v>
      </c>
      <c r="BT460" s="696"/>
      <c r="BU460" s="696" t="s">
        <v>68</v>
      </c>
      <c r="BV460" s="694" t="s">
        <v>68</v>
      </c>
      <c r="BW460" s="13"/>
      <c r="BX460" s="1256" t="s">
        <v>3730</v>
      </c>
      <c r="BY460" s="13"/>
      <c r="BZ460" s="13"/>
      <c r="CA460" s="13"/>
      <c r="CB460" s="1222" t="s">
        <v>2094</v>
      </c>
      <c r="CC460" s="38"/>
      <c r="CD460" s="526"/>
      <c r="CE460" s="526"/>
      <c r="CF460" s="526"/>
      <c r="CG460" s="526"/>
      <c r="CH460" s="526"/>
      <c r="CI460" s="526"/>
      <c r="CJ460" s="526"/>
      <c r="CK460" s="15"/>
    </row>
    <row r="461" spans="2:89" ht="90.75" hidden="1" customHeight="1">
      <c r="B461" s="22"/>
      <c r="C461" s="22"/>
      <c r="D461" s="22"/>
      <c r="E461" s="911"/>
      <c r="F461" s="911"/>
      <c r="G461" s="915"/>
      <c r="H461" s="1746"/>
      <c r="I461" s="330">
        <v>44081</v>
      </c>
      <c r="J461" s="169">
        <v>2020</v>
      </c>
      <c r="K461" s="1417">
        <v>205.07</v>
      </c>
      <c r="L461" s="1417"/>
      <c r="M461" s="170" t="s">
        <v>166</v>
      </c>
      <c r="N461" s="178" t="s">
        <v>3018</v>
      </c>
      <c r="O461" s="172" t="s">
        <v>45</v>
      </c>
      <c r="P461" s="173" t="s">
        <v>2997</v>
      </c>
      <c r="Q461" s="173" t="s">
        <v>1975</v>
      </c>
      <c r="R461" s="174">
        <v>22772</v>
      </c>
      <c r="S461" s="176">
        <v>43979</v>
      </c>
      <c r="T461" s="176" t="s">
        <v>1428</v>
      </c>
      <c r="U461" s="177" t="s">
        <v>1428</v>
      </c>
      <c r="V461" s="105" t="s">
        <v>68</v>
      </c>
      <c r="W461" s="178" t="s">
        <v>2991</v>
      </c>
      <c r="X461" s="170" t="s">
        <v>3264</v>
      </c>
      <c r="Y461" s="1040"/>
      <c r="Z461" s="368" t="s">
        <v>1177</v>
      </c>
      <c r="AA461" s="255" t="s">
        <v>3005</v>
      </c>
      <c r="AB461" s="8">
        <v>43972</v>
      </c>
      <c r="AC461" s="4">
        <v>90000</v>
      </c>
      <c r="AD461" s="4"/>
      <c r="AE461" s="32"/>
      <c r="AF461" s="34" t="s">
        <v>68</v>
      </c>
      <c r="AG461" s="112" t="s">
        <v>68</v>
      </c>
      <c r="AH461" s="112" t="s">
        <v>68</v>
      </c>
      <c r="AI461" s="7" t="s">
        <v>68</v>
      </c>
      <c r="AJ461" s="109" t="s">
        <v>68</v>
      </c>
      <c r="AK461" s="33" t="s">
        <v>68</v>
      </c>
      <c r="AL461" s="1" t="s">
        <v>68</v>
      </c>
      <c r="AM461" s="5"/>
      <c r="AN461" s="1" t="s">
        <v>68</v>
      </c>
      <c r="AO461" s="5"/>
      <c r="AP461" s="1" t="s">
        <v>68</v>
      </c>
      <c r="AQ461" s="5"/>
      <c r="AR461" s="279">
        <v>0</v>
      </c>
      <c r="AS461" s="35">
        <v>0</v>
      </c>
      <c r="AT461" s="902"/>
      <c r="AU461" s="891"/>
      <c r="AV461" s="30" t="s">
        <v>68</v>
      </c>
      <c r="AW461" s="11" t="s">
        <v>68</v>
      </c>
      <c r="AX461" s="223" t="s">
        <v>551</v>
      </c>
      <c r="AY461" s="52" t="s">
        <v>68</v>
      </c>
      <c r="AZ461" s="30" t="s">
        <v>1177</v>
      </c>
      <c r="BA461" s="5"/>
      <c r="BB461" s="5"/>
      <c r="BC461" s="11"/>
      <c r="BD461" s="30" t="s">
        <v>1177</v>
      </c>
      <c r="BE461" s="309"/>
      <c r="BF461" s="5"/>
      <c r="BG461" s="5"/>
      <c r="BH461" s="5"/>
      <c r="BI461" s="36">
        <f t="shared" si="14"/>
        <v>0</v>
      </c>
      <c r="BJ461" s="62" t="s">
        <v>68</v>
      </c>
      <c r="BK461" s="224"/>
      <c r="BL461" s="1041"/>
      <c r="BM461" s="695" t="s">
        <v>68</v>
      </c>
      <c r="BN461" s="695" t="s">
        <v>68</v>
      </c>
      <c r="BO461" s="696"/>
      <c r="BP461" s="696"/>
      <c r="BQ461" s="696"/>
      <c r="BR461" s="914"/>
      <c r="BS461" s="696" t="s">
        <v>68</v>
      </c>
      <c r="BT461" s="696"/>
      <c r="BU461" s="696" t="s">
        <v>68</v>
      </c>
      <c r="BV461" s="694" t="s">
        <v>68</v>
      </c>
      <c r="BW461" s="13"/>
      <c r="BX461" s="1256" t="s">
        <v>3730</v>
      </c>
      <c r="BY461" s="13"/>
      <c r="BZ461" s="13"/>
      <c r="CA461" s="13"/>
      <c r="CB461" s="1222" t="s">
        <v>2094</v>
      </c>
      <c r="CC461" s="38"/>
      <c r="CD461" s="526"/>
      <c r="CE461" s="526"/>
      <c r="CF461" s="526"/>
      <c r="CG461" s="526"/>
      <c r="CH461" s="526"/>
      <c r="CI461" s="526"/>
      <c r="CJ461" s="526"/>
      <c r="CK461" s="15"/>
    </row>
    <row r="462" spans="2:89" ht="106.5" hidden="1" customHeight="1">
      <c r="B462" s="22"/>
      <c r="C462" s="22"/>
      <c r="D462" s="22"/>
      <c r="E462" s="911"/>
      <c r="F462" s="911"/>
      <c r="G462" s="915"/>
      <c r="H462" s="1746"/>
      <c r="I462" s="330">
        <v>44081</v>
      </c>
      <c r="J462" s="169">
        <v>2020</v>
      </c>
      <c r="K462" s="1417">
        <v>205.08</v>
      </c>
      <c r="L462" s="1417"/>
      <c r="M462" s="170" t="s">
        <v>166</v>
      </c>
      <c r="N462" s="178" t="s">
        <v>3019</v>
      </c>
      <c r="O462" s="172" t="s">
        <v>45</v>
      </c>
      <c r="P462" s="173" t="s">
        <v>2996</v>
      </c>
      <c r="Q462" s="173" t="s">
        <v>2577</v>
      </c>
      <c r="R462" s="174">
        <v>22772</v>
      </c>
      <c r="S462" s="682">
        <v>43979</v>
      </c>
      <c r="T462" s="176" t="s">
        <v>1428</v>
      </c>
      <c r="U462" s="177" t="s">
        <v>1428</v>
      </c>
      <c r="V462" s="105" t="s">
        <v>68</v>
      </c>
      <c r="W462" s="178" t="s">
        <v>2991</v>
      </c>
      <c r="X462" s="170" t="s">
        <v>3264</v>
      </c>
      <c r="Y462" s="1040"/>
      <c r="Z462" s="368" t="s">
        <v>1177</v>
      </c>
      <c r="AA462" s="255" t="s">
        <v>3005</v>
      </c>
      <c r="AB462" s="8">
        <v>43972</v>
      </c>
      <c r="AC462" s="4">
        <v>90000</v>
      </c>
      <c r="AD462" s="4"/>
      <c r="AE462" s="32"/>
      <c r="AF462" s="34" t="s">
        <v>68</v>
      </c>
      <c r="AG462" s="112" t="s">
        <v>68</v>
      </c>
      <c r="AH462" s="112" t="s">
        <v>68</v>
      </c>
      <c r="AI462" s="7" t="s">
        <v>68</v>
      </c>
      <c r="AJ462" s="109" t="s">
        <v>68</v>
      </c>
      <c r="AK462" s="33" t="s">
        <v>68</v>
      </c>
      <c r="AL462" s="1" t="s">
        <v>68</v>
      </c>
      <c r="AM462" s="5"/>
      <c r="AN462" s="1" t="s">
        <v>68</v>
      </c>
      <c r="AO462" s="5"/>
      <c r="AP462" s="1" t="s">
        <v>68</v>
      </c>
      <c r="AQ462" s="5"/>
      <c r="AR462" s="279">
        <v>0</v>
      </c>
      <c r="AS462" s="35">
        <v>0</v>
      </c>
      <c r="AT462" s="902"/>
      <c r="AU462" s="891"/>
      <c r="AV462" s="30" t="s">
        <v>68</v>
      </c>
      <c r="AW462" s="11" t="s">
        <v>68</v>
      </c>
      <c r="AX462" s="223" t="s">
        <v>551</v>
      </c>
      <c r="AY462" s="52" t="s">
        <v>68</v>
      </c>
      <c r="AZ462" s="30" t="s">
        <v>1177</v>
      </c>
      <c r="BA462" s="5"/>
      <c r="BB462" s="5"/>
      <c r="BC462" s="11"/>
      <c r="BD462" s="30" t="s">
        <v>1177</v>
      </c>
      <c r="BE462" s="309"/>
      <c r="BF462" s="5"/>
      <c r="BG462" s="5"/>
      <c r="BH462" s="5"/>
      <c r="BI462" s="36">
        <f t="shared" si="14"/>
        <v>0</v>
      </c>
      <c r="BJ462" s="62" t="s">
        <v>68</v>
      </c>
      <c r="BK462" s="224"/>
      <c r="BL462" s="1041"/>
      <c r="BM462" s="695" t="s">
        <v>68</v>
      </c>
      <c r="BN462" s="695" t="s">
        <v>68</v>
      </c>
      <c r="BO462" s="696"/>
      <c r="BP462" s="696"/>
      <c r="BQ462" s="696"/>
      <c r="BR462" s="914"/>
      <c r="BS462" s="696" t="s">
        <v>68</v>
      </c>
      <c r="BT462" s="696"/>
      <c r="BU462" s="696" t="s">
        <v>68</v>
      </c>
      <c r="BV462" s="694" t="s">
        <v>68</v>
      </c>
      <c r="BW462" s="13"/>
      <c r="BX462" s="1256" t="s">
        <v>3730</v>
      </c>
      <c r="BY462" s="13"/>
      <c r="BZ462" s="13"/>
      <c r="CA462" s="13"/>
      <c r="CB462" s="1222" t="s">
        <v>2094</v>
      </c>
      <c r="CC462" s="38"/>
      <c r="CD462" s="526"/>
      <c r="CE462" s="526"/>
      <c r="CF462" s="526"/>
      <c r="CG462" s="526"/>
      <c r="CH462" s="526"/>
      <c r="CI462" s="526"/>
      <c r="CJ462" s="526"/>
      <c r="CK462" s="15"/>
    </row>
    <row r="463" spans="2:89" ht="108.75" hidden="1" customHeight="1">
      <c r="B463" s="22"/>
      <c r="C463" s="22"/>
      <c r="D463" s="22"/>
      <c r="E463" s="911"/>
      <c r="F463" s="911"/>
      <c r="G463" s="915"/>
      <c r="H463" s="1746"/>
      <c r="I463" s="330">
        <v>44081</v>
      </c>
      <c r="J463" s="169">
        <v>2020</v>
      </c>
      <c r="K463" s="1417">
        <v>205.09</v>
      </c>
      <c r="L463" s="1417"/>
      <c r="M463" s="170" t="s">
        <v>166</v>
      </c>
      <c r="N463" s="178" t="s">
        <v>3020</v>
      </c>
      <c r="O463" s="172" t="s">
        <v>45</v>
      </c>
      <c r="P463" s="173" t="s">
        <v>2998</v>
      </c>
      <c r="Q463" s="173" t="s">
        <v>2614</v>
      </c>
      <c r="R463" s="174">
        <v>17400</v>
      </c>
      <c r="S463" s="682">
        <v>44050</v>
      </c>
      <c r="T463" s="176">
        <v>44050</v>
      </c>
      <c r="U463" s="177">
        <v>44055</v>
      </c>
      <c r="V463" s="105" t="s">
        <v>68</v>
      </c>
      <c r="W463" s="178" t="s">
        <v>2986</v>
      </c>
      <c r="X463" s="170" t="s">
        <v>3264</v>
      </c>
      <c r="Y463" s="1040"/>
      <c r="Z463" s="368" t="s">
        <v>1177</v>
      </c>
      <c r="AA463" s="255" t="s">
        <v>3001</v>
      </c>
      <c r="AB463" s="8">
        <v>43972</v>
      </c>
      <c r="AC463" s="4">
        <v>962427.31</v>
      </c>
      <c r="AD463" s="4"/>
      <c r="AE463" s="32"/>
      <c r="AF463" s="34" t="s">
        <v>68</v>
      </c>
      <c r="AG463" s="112" t="s">
        <v>68</v>
      </c>
      <c r="AH463" s="112" t="s">
        <v>68</v>
      </c>
      <c r="AI463" s="7" t="s">
        <v>68</v>
      </c>
      <c r="AJ463" s="109" t="s">
        <v>68</v>
      </c>
      <c r="AK463" s="33" t="s">
        <v>68</v>
      </c>
      <c r="AL463" s="1" t="s">
        <v>68</v>
      </c>
      <c r="AM463" s="5"/>
      <c r="AN463" s="1" t="s">
        <v>68</v>
      </c>
      <c r="AO463" s="5"/>
      <c r="AP463" s="1" t="s">
        <v>68</v>
      </c>
      <c r="AQ463" s="5"/>
      <c r="AR463" s="279">
        <v>0</v>
      </c>
      <c r="AS463" s="35">
        <v>0</v>
      </c>
      <c r="AT463" s="902"/>
      <c r="AU463" s="891"/>
      <c r="AV463" s="30" t="s">
        <v>68</v>
      </c>
      <c r="AW463" s="11" t="s">
        <v>68</v>
      </c>
      <c r="AX463" s="223" t="s">
        <v>551</v>
      </c>
      <c r="AY463" s="52" t="s">
        <v>68</v>
      </c>
      <c r="AZ463" s="30" t="s">
        <v>1177</v>
      </c>
      <c r="BA463" s="5"/>
      <c r="BB463" s="5"/>
      <c r="BC463" s="11"/>
      <c r="BD463" s="30" t="s">
        <v>1177</v>
      </c>
      <c r="BE463" s="309"/>
      <c r="BF463" s="5"/>
      <c r="BG463" s="5"/>
      <c r="BH463" s="5"/>
      <c r="BI463" s="36">
        <f t="shared" si="14"/>
        <v>0</v>
      </c>
      <c r="BJ463" s="62" t="s">
        <v>68</v>
      </c>
      <c r="BK463" s="224"/>
      <c r="BL463" s="1041"/>
      <c r="BM463" s="695" t="s">
        <v>68</v>
      </c>
      <c r="BN463" s="695" t="s">
        <v>68</v>
      </c>
      <c r="BO463" s="696"/>
      <c r="BP463" s="696"/>
      <c r="BQ463" s="696"/>
      <c r="BR463" s="914"/>
      <c r="BS463" s="696" t="s">
        <v>68</v>
      </c>
      <c r="BT463" s="696"/>
      <c r="BU463" s="696" t="s">
        <v>68</v>
      </c>
      <c r="BV463" s="694" t="s">
        <v>68</v>
      </c>
      <c r="BW463" s="13"/>
      <c r="BX463" s="1256" t="s">
        <v>3730</v>
      </c>
      <c r="BY463" s="13"/>
      <c r="BZ463" s="13"/>
      <c r="CA463" s="13"/>
      <c r="CB463" s="1222" t="s">
        <v>2094</v>
      </c>
      <c r="CC463" s="38"/>
      <c r="CD463" s="526"/>
      <c r="CE463" s="526"/>
      <c r="CF463" s="526"/>
      <c r="CG463" s="526"/>
      <c r="CH463" s="526"/>
      <c r="CI463" s="526"/>
      <c r="CJ463" s="526"/>
      <c r="CK463" s="15"/>
    </row>
    <row r="464" spans="2:89" ht="120" hidden="1" customHeight="1">
      <c r="B464" s="22"/>
      <c r="C464" s="22"/>
      <c r="D464" s="22"/>
      <c r="E464" s="911"/>
      <c r="F464" s="911"/>
      <c r="G464" s="915"/>
      <c r="H464" s="1746"/>
      <c r="I464" s="330"/>
      <c r="J464" s="169">
        <v>2020</v>
      </c>
      <c r="K464" s="1417">
        <v>205.1</v>
      </c>
      <c r="L464" s="1417"/>
      <c r="M464" s="170" t="s">
        <v>166</v>
      </c>
      <c r="N464" s="178" t="s">
        <v>3021</v>
      </c>
      <c r="O464" s="172" t="s">
        <v>45</v>
      </c>
      <c r="P464" s="173" t="s">
        <v>3256</v>
      </c>
      <c r="Q464" s="173" t="s">
        <v>2538</v>
      </c>
      <c r="R464" s="174">
        <v>34046</v>
      </c>
      <c r="S464" s="682">
        <v>44026</v>
      </c>
      <c r="T464" s="176" t="s">
        <v>1428</v>
      </c>
      <c r="U464" s="177" t="s">
        <v>1428</v>
      </c>
      <c r="V464" s="981" t="s">
        <v>68</v>
      </c>
      <c r="W464" s="178" t="s">
        <v>2991</v>
      </c>
      <c r="X464" s="170" t="s">
        <v>3257</v>
      </c>
      <c r="Y464" s="200" t="s">
        <v>1428</v>
      </c>
      <c r="Z464" s="368" t="s">
        <v>1177</v>
      </c>
      <c r="AA464" s="33" t="s">
        <v>3258</v>
      </c>
      <c r="AB464" s="8">
        <v>43972</v>
      </c>
      <c r="AC464" s="4">
        <v>120000</v>
      </c>
      <c r="AD464" s="4"/>
      <c r="AE464" s="32"/>
      <c r="AF464" s="34" t="s">
        <v>68</v>
      </c>
      <c r="AG464" s="112" t="s">
        <v>68</v>
      </c>
      <c r="AH464" s="112" t="s">
        <v>68</v>
      </c>
      <c r="AI464" s="7" t="s">
        <v>68</v>
      </c>
      <c r="AJ464" s="109" t="s">
        <v>68</v>
      </c>
      <c r="AK464" s="33" t="s">
        <v>68</v>
      </c>
      <c r="AL464" s="1" t="s">
        <v>68</v>
      </c>
      <c r="AM464" s="5"/>
      <c r="AN464" s="1" t="s">
        <v>68</v>
      </c>
      <c r="AO464" s="5"/>
      <c r="AP464" s="1" t="s">
        <v>68</v>
      </c>
      <c r="AQ464" s="5"/>
      <c r="AR464" s="279">
        <v>0</v>
      </c>
      <c r="AS464" s="35">
        <v>0</v>
      </c>
      <c r="AT464" s="902"/>
      <c r="AU464" s="891"/>
      <c r="AV464" s="30" t="s">
        <v>68</v>
      </c>
      <c r="AW464" s="11" t="s">
        <v>68</v>
      </c>
      <c r="AX464" s="223" t="s">
        <v>551</v>
      </c>
      <c r="AY464" s="52" t="s">
        <v>68</v>
      </c>
      <c r="AZ464" s="30" t="s">
        <v>1177</v>
      </c>
      <c r="BA464" s="5"/>
      <c r="BB464" s="5"/>
      <c r="BC464" s="11"/>
      <c r="BD464" s="30" t="s">
        <v>1177</v>
      </c>
      <c r="BE464" s="309"/>
      <c r="BF464" s="5"/>
      <c r="BG464" s="5"/>
      <c r="BH464" s="5"/>
      <c r="BI464" s="36">
        <f t="shared" si="14"/>
        <v>0</v>
      </c>
      <c r="BJ464" s="62" t="s">
        <v>68</v>
      </c>
      <c r="BK464" s="224"/>
      <c r="BL464" s="1041"/>
      <c r="BM464" s="695"/>
      <c r="BN464" s="695"/>
      <c r="BO464" s="696"/>
      <c r="BP464" s="696"/>
      <c r="BQ464" s="696"/>
      <c r="BR464" s="914"/>
      <c r="BS464" s="696"/>
      <c r="BT464" s="696"/>
      <c r="BU464" s="696"/>
      <c r="BV464" s="694"/>
      <c r="BW464" s="13"/>
      <c r="BX464" s="1256" t="s">
        <v>3730</v>
      </c>
      <c r="BY464" s="13"/>
      <c r="BZ464" s="13"/>
      <c r="CA464" s="13"/>
      <c r="CB464" s="1222" t="s">
        <v>2094</v>
      </c>
      <c r="CC464" s="38"/>
      <c r="CD464" s="526"/>
      <c r="CE464" s="526"/>
      <c r="CF464" s="526"/>
      <c r="CG464" s="526"/>
      <c r="CH464" s="526"/>
      <c r="CI464" s="526"/>
      <c r="CJ464" s="526"/>
      <c r="CK464" s="15"/>
    </row>
    <row r="465" spans="2:89" ht="81.75" hidden="1" customHeight="1">
      <c r="B465" s="22"/>
      <c r="C465" s="22"/>
      <c r="D465" s="22"/>
      <c r="E465" s="911"/>
      <c r="F465" s="911"/>
      <c r="G465" s="915"/>
      <c r="H465" s="1746"/>
      <c r="I465" s="330"/>
      <c r="J465" s="169">
        <v>2020</v>
      </c>
      <c r="K465" s="1417">
        <v>205.11</v>
      </c>
      <c r="L465" s="1417"/>
      <c r="M465" s="170" t="s">
        <v>166</v>
      </c>
      <c r="N465" s="178" t="s">
        <v>3259</v>
      </c>
      <c r="O465" s="172" t="s">
        <v>45</v>
      </c>
      <c r="P465" s="173" t="s">
        <v>4018</v>
      </c>
      <c r="Q465" s="173" t="s">
        <v>1975</v>
      </c>
      <c r="R465" s="174">
        <f>3500*1.16</f>
        <v>4059.9999999999995</v>
      </c>
      <c r="S465" s="682">
        <v>44454</v>
      </c>
      <c r="T465" s="176" t="s">
        <v>1428</v>
      </c>
      <c r="U465" s="177" t="s">
        <v>1428</v>
      </c>
      <c r="V465" s="981" t="s">
        <v>68</v>
      </c>
      <c r="W465" s="178" t="s">
        <v>3260</v>
      </c>
      <c r="X465" s="170" t="s">
        <v>3264</v>
      </c>
      <c r="Y465" s="200" t="s">
        <v>1428</v>
      </c>
      <c r="Z465" s="368" t="s">
        <v>1177</v>
      </c>
      <c r="AA465" s="33" t="s">
        <v>3261</v>
      </c>
      <c r="AB465" s="8">
        <v>44071</v>
      </c>
      <c r="AC465" s="4">
        <f>R465</f>
        <v>4059.9999999999995</v>
      </c>
      <c r="AD465" s="4"/>
      <c r="AE465" s="32"/>
      <c r="AF465" s="34" t="s">
        <v>68</v>
      </c>
      <c r="AG465" s="112" t="s">
        <v>68</v>
      </c>
      <c r="AH465" s="112" t="s">
        <v>68</v>
      </c>
      <c r="AI465" s="7" t="s">
        <v>68</v>
      </c>
      <c r="AJ465" s="109" t="s">
        <v>68</v>
      </c>
      <c r="AK465" s="33" t="s">
        <v>68</v>
      </c>
      <c r="AL465" s="1" t="s">
        <v>68</v>
      </c>
      <c r="AM465" s="5"/>
      <c r="AN465" s="1" t="s">
        <v>68</v>
      </c>
      <c r="AO465" s="5"/>
      <c r="AP465" s="1" t="s">
        <v>68</v>
      </c>
      <c r="AQ465" s="5"/>
      <c r="AR465" s="279">
        <v>0</v>
      </c>
      <c r="AS465" s="35">
        <v>0</v>
      </c>
      <c r="AT465" s="902"/>
      <c r="AU465" s="891"/>
      <c r="AV465" s="30" t="s">
        <v>68</v>
      </c>
      <c r="AW465" s="11" t="s">
        <v>68</v>
      </c>
      <c r="AX465" s="223" t="s">
        <v>551</v>
      </c>
      <c r="AY465" s="52" t="s">
        <v>68</v>
      </c>
      <c r="AZ465" s="30" t="s">
        <v>1177</v>
      </c>
      <c r="BA465" s="5"/>
      <c r="BB465" s="5"/>
      <c r="BC465" s="11"/>
      <c r="BD465" s="30" t="s">
        <v>1177</v>
      </c>
      <c r="BE465" s="309"/>
      <c r="BF465" s="5"/>
      <c r="BG465" s="5"/>
      <c r="BH465" s="5"/>
      <c r="BI465" s="36">
        <f t="shared" si="14"/>
        <v>0</v>
      </c>
      <c r="BJ465" s="62" t="s">
        <v>68</v>
      </c>
      <c r="BK465" s="224"/>
      <c r="BL465" s="1041"/>
      <c r="BM465" s="695"/>
      <c r="BN465" s="695"/>
      <c r="BO465" s="696"/>
      <c r="BP465" s="696"/>
      <c r="BQ465" s="696"/>
      <c r="BR465" s="914"/>
      <c r="BS465" s="696"/>
      <c r="BT465" s="696"/>
      <c r="BU465" s="696"/>
      <c r="BV465" s="694"/>
      <c r="BW465" s="13"/>
      <c r="BX465" s="1256" t="s">
        <v>3730</v>
      </c>
      <c r="BY465" s="13"/>
      <c r="BZ465" s="13"/>
      <c r="CA465" s="13"/>
      <c r="CB465" s="1222" t="s">
        <v>2094</v>
      </c>
      <c r="CC465" s="38"/>
      <c r="CD465" s="526"/>
      <c r="CE465" s="526"/>
      <c r="CF465" s="526"/>
      <c r="CG465" s="526"/>
      <c r="CH465" s="526"/>
      <c r="CI465" s="526"/>
      <c r="CJ465" s="526"/>
      <c r="CK465" s="15"/>
    </row>
    <row r="466" spans="2:89" ht="210.75" hidden="1" customHeight="1">
      <c r="B466" s="22"/>
      <c r="C466" s="22"/>
      <c r="D466" s="22"/>
      <c r="E466" s="911"/>
      <c r="F466" s="911"/>
      <c r="G466" s="915"/>
      <c r="H466" s="1746"/>
      <c r="I466" s="330"/>
      <c r="J466" s="169">
        <v>2020</v>
      </c>
      <c r="K466" s="1417">
        <v>205.12</v>
      </c>
      <c r="L466" s="1417"/>
      <c r="M466" s="170" t="s">
        <v>166</v>
      </c>
      <c r="N466" s="178" t="s">
        <v>3262</v>
      </c>
      <c r="O466" s="172" t="s">
        <v>45</v>
      </c>
      <c r="P466" s="173" t="s">
        <v>4016</v>
      </c>
      <c r="Q466" s="173" t="s">
        <v>2575</v>
      </c>
      <c r="R466" s="174">
        <v>139246</v>
      </c>
      <c r="S466" s="682">
        <v>44082</v>
      </c>
      <c r="T466" s="176">
        <v>44088</v>
      </c>
      <c r="U466" s="177">
        <v>44094</v>
      </c>
      <c r="V466" s="981" t="s">
        <v>68</v>
      </c>
      <c r="W466" s="1044" t="s">
        <v>3263</v>
      </c>
      <c r="X466" s="1045" t="s">
        <v>3264</v>
      </c>
      <c r="Y466" s="200" t="s">
        <v>1428</v>
      </c>
      <c r="Z466" s="368" t="s">
        <v>1177</v>
      </c>
      <c r="AA466" s="33" t="s">
        <v>3002</v>
      </c>
      <c r="AB466" s="8">
        <v>43793</v>
      </c>
      <c r="AC466" s="4">
        <v>885535.63</v>
      </c>
      <c r="AD466" s="4"/>
      <c r="AE466" s="32"/>
      <c r="AF466" s="34" t="s">
        <v>68</v>
      </c>
      <c r="AG466" s="112" t="s">
        <v>68</v>
      </c>
      <c r="AH466" s="112" t="s">
        <v>68</v>
      </c>
      <c r="AI466" s="7" t="s">
        <v>68</v>
      </c>
      <c r="AJ466" s="109" t="s">
        <v>68</v>
      </c>
      <c r="AK466" s="33" t="s">
        <v>68</v>
      </c>
      <c r="AL466" s="1" t="s">
        <v>68</v>
      </c>
      <c r="AM466" s="5"/>
      <c r="AN466" s="1" t="s">
        <v>68</v>
      </c>
      <c r="AO466" s="5"/>
      <c r="AP466" s="1" t="s">
        <v>68</v>
      </c>
      <c r="AQ466" s="5"/>
      <c r="AR466" s="279">
        <v>0</v>
      </c>
      <c r="AS466" s="35">
        <v>0</v>
      </c>
      <c r="AT466" s="902"/>
      <c r="AU466" s="891"/>
      <c r="AV466" s="30" t="s">
        <v>68</v>
      </c>
      <c r="AW466" s="11" t="s">
        <v>68</v>
      </c>
      <c r="AX466" s="223" t="s">
        <v>551</v>
      </c>
      <c r="AY466" s="52" t="s">
        <v>68</v>
      </c>
      <c r="AZ466" s="30" t="s">
        <v>1177</v>
      </c>
      <c r="BA466" s="5"/>
      <c r="BB466" s="5"/>
      <c r="BC466" s="11"/>
      <c r="BD466" s="30" t="s">
        <v>1177</v>
      </c>
      <c r="BE466" s="309"/>
      <c r="BF466" s="5"/>
      <c r="BG466" s="5"/>
      <c r="BH466" s="5"/>
      <c r="BI466" s="36">
        <f t="shared" si="14"/>
        <v>0</v>
      </c>
      <c r="BJ466" s="62" t="s">
        <v>68</v>
      </c>
      <c r="BK466" s="224"/>
      <c r="BL466" s="1041"/>
      <c r="BM466" s="695"/>
      <c r="BN466" s="695"/>
      <c r="BO466" s="696"/>
      <c r="BP466" s="696"/>
      <c r="BQ466" s="696"/>
      <c r="BR466" s="914"/>
      <c r="BS466" s="696"/>
      <c r="BT466" s="696"/>
      <c r="BU466" s="696"/>
      <c r="BV466" s="694"/>
      <c r="BW466" s="13"/>
      <c r="BX466" s="1256" t="s">
        <v>3730</v>
      </c>
      <c r="BY466" s="13"/>
      <c r="BZ466" s="13"/>
      <c r="CA466" s="13"/>
      <c r="CB466" s="1222" t="s">
        <v>2094</v>
      </c>
      <c r="CC466" s="38"/>
      <c r="CD466" s="526"/>
      <c r="CE466" s="526"/>
      <c r="CF466" s="526"/>
      <c r="CG466" s="526"/>
      <c r="CH466" s="526"/>
      <c r="CI466" s="526"/>
      <c r="CJ466" s="526"/>
      <c r="CK466" s="15"/>
    </row>
    <row r="467" spans="2:89" ht="148.5" hidden="1" customHeight="1">
      <c r="B467" s="22"/>
      <c r="C467" s="22"/>
      <c r="D467" s="22"/>
      <c r="E467" s="911"/>
      <c r="F467" s="911"/>
      <c r="G467" s="915"/>
      <c r="H467" s="1746"/>
      <c r="I467" s="330"/>
      <c r="J467" s="169">
        <v>2020</v>
      </c>
      <c r="K467" s="1417">
        <v>205.13</v>
      </c>
      <c r="L467" s="1417"/>
      <c r="M467" s="170" t="s">
        <v>166</v>
      </c>
      <c r="N467" s="178" t="s">
        <v>3265</v>
      </c>
      <c r="O467" s="172" t="s">
        <v>45</v>
      </c>
      <c r="P467" s="173" t="s">
        <v>3266</v>
      </c>
      <c r="Q467" s="173" t="s">
        <v>2575</v>
      </c>
      <c r="R467" s="174">
        <v>139246</v>
      </c>
      <c r="S467" s="682">
        <v>44081</v>
      </c>
      <c r="T467" s="176">
        <v>44082</v>
      </c>
      <c r="U467" s="177">
        <v>44086</v>
      </c>
      <c r="V467" s="981" t="s">
        <v>68</v>
      </c>
      <c r="W467" s="1044" t="s">
        <v>3263</v>
      </c>
      <c r="X467" s="1045" t="s">
        <v>3264</v>
      </c>
      <c r="Y467" s="200" t="s">
        <v>1428</v>
      </c>
      <c r="Z467" s="368" t="s">
        <v>1177</v>
      </c>
      <c r="AA467" s="255"/>
      <c r="AB467" s="8"/>
      <c r="AC467" s="4"/>
      <c r="AD467" s="4"/>
      <c r="AE467" s="32"/>
      <c r="AF467" s="34" t="s">
        <v>68</v>
      </c>
      <c r="AG467" s="112" t="s">
        <v>68</v>
      </c>
      <c r="AH467" s="112" t="s">
        <v>68</v>
      </c>
      <c r="AI467" s="7" t="s">
        <v>68</v>
      </c>
      <c r="AJ467" s="109" t="s">
        <v>68</v>
      </c>
      <c r="AK467" s="33" t="s">
        <v>68</v>
      </c>
      <c r="AL467" s="1" t="s">
        <v>68</v>
      </c>
      <c r="AM467" s="5"/>
      <c r="AN467" s="1" t="s">
        <v>68</v>
      </c>
      <c r="AO467" s="5"/>
      <c r="AP467" s="1" t="s">
        <v>68</v>
      </c>
      <c r="AQ467" s="5"/>
      <c r="AR467" s="279">
        <v>0</v>
      </c>
      <c r="AS467" s="35">
        <v>0</v>
      </c>
      <c r="AT467" s="902"/>
      <c r="AU467" s="891"/>
      <c r="AV467" s="30" t="s">
        <v>68</v>
      </c>
      <c r="AW467" s="11" t="s">
        <v>68</v>
      </c>
      <c r="AX467" s="223" t="s">
        <v>551</v>
      </c>
      <c r="AY467" s="52" t="s">
        <v>68</v>
      </c>
      <c r="AZ467" s="30" t="s">
        <v>1177</v>
      </c>
      <c r="BA467" s="5"/>
      <c r="BB467" s="5"/>
      <c r="BC467" s="11"/>
      <c r="BD467" s="30" t="s">
        <v>1177</v>
      </c>
      <c r="BE467" s="309"/>
      <c r="BF467" s="5"/>
      <c r="BG467" s="5"/>
      <c r="BH467" s="5"/>
      <c r="BI467" s="36">
        <f t="shared" si="14"/>
        <v>0</v>
      </c>
      <c r="BJ467" s="62" t="s">
        <v>68</v>
      </c>
      <c r="BK467" s="224"/>
      <c r="BL467" s="1041"/>
      <c r="BM467" s="695"/>
      <c r="BN467" s="695"/>
      <c r="BO467" s="696"/>
      <c r="BP467" s="696"/>
      <c r="BQ467" s="696"/>
      <c r="BR467" s="914"/>
      <c r="BS467" s="696"/>
      <c r="BT467" s="696"/>
      <c r="BU467" s="696"/>
      <c r="BV467" s="694"/>
      <c r="BW467" s="13"/>
      <c r="BX467" s="1256" t="s">
        <v>3730</v>
      </c>
      <c r="BY467" s="13"/>
      <c r="BZ467" s="13"/>
      <c r="CA467" s="13"/>
      <c r="CB467" s="1222" t="s">
        <v>2094</v>
      </c>
      <c r="CC467" s="38"/>
      <c r="CD467" s="526"/>
      <c r="CE467" s="526"/>
      <c r="CF467" s="526"/>
      <c r="CG467" s="526"/>
      <c r="CH467" s="526"/>
      <c r="CI467" s="526"/>
      <c r="CJ467" s="526"/>
      <c r="CK467" s="15"/>
    </row>
    <row r="468" spans="2:89" ht="158.25" hidden="1" customHeight="1">
      <c r="B468" s="22"/>
      <c r="C468" s="22"/>
      <c r="D468" s="22"/>
      <c r="E468" s="911"/>
      <c r="F468" s="911"/>
      <c r="G468" s="915"/>
      <c r="H468" s="1746"/>
      <c r="I468" s="330"/>
      <c r="J468" s="169">
        <v>2020</v>
      </c>
      <c r="K468" s="1417">
        <v>205.14</v>
      </c>
      <c r="L468" s="1417"/>
      <c r="M468" s="170" t="s">
        <v>166</v>
      </c>
      <c r="N468" s="178" t="s">
        <v>3267</v>
      </c>
      <c r="O468" s="172" t="s">
        <v>45</v>
      </c>
      <c r="P468" s="173" t="s">
        <v>3268</v>
      </c>
      <c r="Q468" s="173" t="s">
        <v>4409</v>
      </c>
      <c r="R468" s="174">
        <v>32944</v>
      </c>
      <c r="S468" s="682">
        <v>44075</v>
      </c>
      <c r="T468" s="176" t="s">
        <v>1428</v>
      </c>
      <c r="U468" s="177" t="s">
        <v>1428</v>
      </c>
      <c r="V468" s="981" t="s">
        <v>68</v>
      </c>
      <c r="W468" s="178" t="s">
        <v>2991</v>
      </c>
      <c r="X468" s="170" t="s">
        <v>3047</v>
      </c>
      <c r="Y468" s="1040"/>
      <c r="Z468" s="368" t="s">
        <v>1177</v>
      </c>
      <c r="AA468" s="33" t="s">
        <v>3269</v>
      </c>
      <c r="AB468" s="8">
        <v>44071</v>
      </c>
      <c r="AC468" s="4">
        <v>50000</v>
      </c>
      <c r="AD468" s="4"/>
      <c r="AE468" s="32"/>
      <c r="AF468" s="34" t="s">
        <v>68</v>
      </c>
      <c r="AG468" s="112" t="s">
        <v>68</v>
      </c>
      <c r="AH468" s="112" t="s">
        <v>68</v>
      </c>
      <c r="AI468" s="7" t="s">
        <v>68</v>
      </c>
      <c r="AJ468" s="109" t="s">
        <v>68</v>
      </c>
      <c r="AK468" s="33" t="s">
        <v>68</v>
      </c>
      <c r="AL468" s="1" t="s">
        <v>68</v>
      </c>
      <c r="AM468" s="5"/>
      <c r="AN468" s="1" t="s">
        <v>68</v>
      </c>
      <c r="AO468" s="5"/>
      <c r="AP468" s="1" t="s">
        <v>68</v>
      </c>
      <c r="AQ468" s="5"/>
      <c r="AR468" s="279">
        <v>0</v>
      </c>
      <c r="AS468" s="35">
        <v>0</v>
      </c>
      <c r="AT468" s="902"/>
      <c r="AU468" s="891"/>
      <c r="AV468" s="30" t="s">
        <v>68</v>
      </c>
      <c r="AW468" s="11" t="s">
        <v>68</v>
      </c>
      <c r="AX468" s="223" t="s">
        <v>551</v>
      </c>
      <c r="AY468" s="52" t="s">
        <v>68</v>
      </c>
      <c r="AZ468" s="30" t="s">
        <v>1177</v>
      </c>
      <c r="BA468" s="5"/>
      <c r="BB468" s="5"/>
      <c r="BC468" s="11"/>
      <c r="BD468" s="30" t="s">
        <v>1177</v>
      </c>
      <c r="BE468" s="309"/>
      <c r="BF468" s="5"/>
      <c r="BG468" s="5"/>
      <c r="BH468" s="5"/>
      <c r="BI468" s="36">
        <f t="shared" si="14"/>
        <v>0</v>
      </c>
      <c r="BJ468" s="62" t="s">
        <v>68</v>
      </c>
      <c r="BK468" s="224"/>
      <c r="BL468" s="1041"/>
      <c r="BM468" s="695"/>
      <c r="BN468" s="695"/>
      <c r="BO468" s="696"/>
      <c r="BP468" s="696"/>
      <c r="BQ468" s="696"/>
      <c r="BR468" s="914"/>
      <c r="BS468" s="696"/>
      <c r="BT468" s="696"/>
      <c r="BU468" s="696"/>
      <c r="BV468" s="694"/>
      <c r="BW468" s="13"/>
      <c r="BX468" s="1256" t="s">
        <v>3730</v>
      </c>
      <c r="BY468" s="13"/>
      <c r="BZ468" s="13"/>
      <c r="CA468" s="13"/>
      <c r="CB468" s="1222" t="s">
        <v>2094</v>
      </c>
      <c r="CC468" s="38"/>
      <c r="CD468" s="526"/>
      <c r="CE468" s="526"/>
      <c r="CF468" s="526"/>
      <c r="CG468" s="526"/>
      <c r="CH468" s="526"/>
      <c r="CI468" s="526"/>
      <c r="CJ468" s="526"/>
      <c r="CK468" s="15"/>
    </row>
    <row r="469" spans="2:89" ht="178.5" hidden="1" customHeight="1">
      <c r="B469" s="22"/>
      <c r="C469" s="22"/>
      <c r="D469" s="22"/>
      <c r="E469" s="911"/>
      <c r="F469" s="911"/>
      <c r="G469" s="915"/>
      <c r="H469" s="1746"/>
      <c r="I469" s="330"/>
      <c r="J469" s="169">
        <v>2020</v>
      </c>
      <c r="K469" s="1417">
        <v>205.15</v>
      </c>
      <c r="L469" s="1417"/>
      <c r="M469" s="170" t="s">
        <v>166</v>
      </c>
      <c r="N469" s="178" t="s">
        <v>3270</v>
      </c>
      <c r="O469" s="172" t="s">
        <v>45</v>
      </c>
      <c r="P469" s="173" t="s">
        <v>3271</v>
      </c>
      <c r="Q469" s="173" t="s">
        <v>1975</v>
      </c>
      <c r="R469" s="174">
        <v>25520</v>
      </c>
      <c r="S469" s="682">
        <v>44075</v>
      </c>
      <c r="T469" s="176" t="s">
        <v>1428</v>
      </c>
      <c r="U469" s="177" t="s">
        <v>1428</v>
      </c>
      <c r="V469" s="981" t="s">
        <v>68</v>
      </c>
      <c r="W469" s="178" t="s">
        <v>2991</v>
      </c>
      <c r="X469" s="170" t="s">
        <v>213</v>
      </c>
      <c r="Y469" s="1040"/>
      <c r="Z469" s="368" t="s">
        <v>1177</v>
      </c>
      <c r="AA469" s="33" t="s">
        <v>3269</v>
      </c>
      <c r="AB469" s="8">
        <v>44071</v>
      </c>
      <c r="AC469" s="4">
        <v>50000</v>
      </c>
      <c r="AD469" s="4"/>
      <c r="AE469" s="32"/>
      <c r="AF469" s="34" t="s">
        <v>68</v>
      </c>
      <c r="AG469" s="112" t="s">
        <v>68</v>
      </c>
      <c r="AH469" s="112" t="s">
        <v>68</v>
      </c>
      <c r="AI469" s="7" t="s">
        <v>68</v>
      </c>
      <c r="AJ469" s="109" t="s">
        <v>68</v>
      </c>
      <c r="AK469" s="33" t="s">
        <v>68</v>
      </c>
      <c r="AL469" s="1" t="s">
        <v>68</v>
      </c>
      <c r="AM469" s="5"/>
      <c r="AN469" s="1" t="s">
        <v>68</v>
      </c>
      <c r="AO469" s="5"/>
      <c r="AP469" s="1" t="s">
        <v>68</v>
      </c>
      <c r="AQ469" s="5"/>
      <c r="AR469" s="279">
        <v>0</v>
      </c>
      <c r="AS469" s="35">
        <v>0</v>
      </c>
      <c r="AT469" s="902"/>
      <c r="AU469" s="891"/>
      <c r="AV469" s="30" t="s">
        <v>68</v>
      </c>
      <c r="AW469" s="11" t="s">
        <v>68</v>
      </c>
      <c r="AX469" s="223" t="s">
        <v>551</v>
      </c>
      <c r="AY469" s="52" t="s">
        <v>68</v>
      </c>
      <c r="AZ469" s="30" t="s">
        <v>1177</v>
      </c>
      <c r="BA469" s="5"/>
      <c r="BB469" s="5"/>
      <c r="BC469" s="11"/>
      <c r="BD469" s="30" t="s">
        <v>1177</v>
      </c>
      <c r="BE469" s="309"/>
      <c r="BF469" s="5"/>
      <c r="BG469" s="5"/>
      <c r="BH469" s="5"/>
      <c r="BI469" s="36">
        <f t="shared" si="14"/>
        <v>0</v>
      </c>
      <c r="BJ469" s="62" t="s">
        <v>68</v>
      </c>
      <c r="BK469" s="224"/>
      <c r="BL469" s="1041"/>
      <c r="BM469" s="695"/>
      <c r="BN469" s="695"/>
      <c r="BO469" s="696"/>
      <c r="BP469" s="696"/>
      <c r="BQ469" s="696"/>
      <c r="BR469" s="914"/>
      <c r="BS469" s="696"/>
      <c r="BT469" s="696"/>
      <c r="BU469" s="696"/>
      <c r="BV469" s="694"/>
      <c r="BW469" s="13"/>
      <c r="BX469" s="1256" t="s">
        <v>3730</v>
      </c>
      <c r="BY469" s="13"/>
      <c r="BZ469" s="13"/>
      <c r="CA469" s="13"/>
      <c r="CB469" s="1222" t="s">
        <v>2094</v>
      </c>
      <c r="CC469" s="38"/>
      <c r="CD469" s="526"/>
      <c r="CE469" s="526"/>
      <c r="CF469" s="526"/>
      <c r="CG469" s="526"/>
      <c r="CH469" s="526"/>
      <c r="CI469" s="526"/>
      <c r="CJ469" s="526"/>
      <c r="CK469" s="15"/>
    </row>
    <row r="470" spans="2:89" ht="152.25" hidden="1" customHeight="1">
      <c r="B470" s="22"/>
      <c r="C470" s="22"/>
      <c r="D470" s="22"/>
      <c r="E470" s="911"/>
      <c r="F470" s="911"/>
      <c r="G470" s="915"/>
      <c r="H470" s="1746"/>
      <c r="I470" s="330"/>
      <c r="J470" s="169">
        <v>2020</v>
      </c>
      <c r="K470" s="1417">
        <v>205.16</v>
      </c>
      <c r="L470" s="1417"/>
      <c r="M470" s="170" t="s">
        <v>166</v>
      </c>
      <c r="N470" s="178" t="s">
        <v>3272</v>
      </c>
      <c r="O470" s="172" t="s">
        <v>45</v>
      </c>
      <c r="P470" s="173" t="s">
        <v>3273</v>
      </c>
      <c r="Q470" s="173" t="s">
        <v>1975</v>
      </c>
      <c r="R470" s="174">
        <v>36656</v>
      </c>
      <c r="S470" s="682">
        <v>44124</v>
      </c>
      <c r="T470" s="176" t="s">
        <v>1428</v>
      </c>
      <c r="U470" s="177" t="s">
        <v>1428</v>
      </c>
      <c r="V470" s="981" t="s">
        <v>68</v>
      </c>
      <c r="W470" s="178" t="s">
        <v>2991</v>
      </c>
      <c r="X470" s="170" t="s">
        <v>449</v>
      </c>
      <c r="Y470" s="1040"/>
      <c r="Z470" s="368" t="s">
        <v>1177</v>
      </c>
      <c r="AA470" s="33" t="s">
        <v>3274</v>
      </c>
      <c r="AB470" s="8">
        <v>44153</v>
      </c>
      <c r="AC470" s="4">
        <v>37000</v>
      </c>
      <c r="AD470" s="4"/>
      <c r="AE470" s="32"/>
      <c r="AF470" s="34" t="s">
        <v>68</v>
      </c>
      <c r="AG470" s="112" t="s">
        <v>68</v>
      </c>
      <c r="AH470" s="112" t="s">
        <v>68</v>
      </c>
      <c r="AI470" s="7" t="s">
        <v>68</v>
      </c>
      <c r="AJ470" s="109" t="s">
        <v>68</v>
      </c>
      <c r="AK470" s="33" t="s">
        <v>68</v>
      </c>
      <c r="AL470" s="1" t="s">
        <v>68</v>
      </c>
      <c r="AM470" s="5"/>
      <c r="AN470" s="1" t="s">
        <v>68</v>
      </c>
      <c r="AO470" s="5"/>
      <c r="AP470" s="1" t="s">
        <v>68</v>
      </c>
      <c r="AQ470" s="5"/>
      <c r="AR470" s="279">
        <v>0</v>
      </c>
      <c r="AS470" s="35">
        <v>0</v>
      </c>
      <c r="AT470" s="902"/>
      <c r="AU470" s="891"/>
      <c r="AV470" s="30" t="s">
        <v>68</v>
      </c>
      <c r="AW470" s="11" t="s">
        <v>68</v>
      </c>
      <c r="AX470" s="223" t="s">
        <v>551</v>
      </c>
      <c r="AY470" s="52" t="s">
        <v>68</v>
      </c>
      <c r="AZ470" s="30" t="s">
        <v>1177</v>
      </c>
      <c r="BA470" s="5"/>
      <c r="BB470" s="5"/>
      <c r="BC470" s="11"/>
      <c r="BD470" s="30" t="s">
        <v>1177</v>
      </c>
      <c r="BE470" s="309"/>
      <c r="BF470" s="5"/>
      <c r="BG470" s="5"/>
      <c r="BH470" s="5"/>
      <c r="BI470" s="36">
        <f t="shared" si="14"/>
        <v>0</v>
      </c>
      <c r="BJ470" s="62" t="s">
        <v>68</v>
      </c>
      <c r="BK470" s="224"/>
      <c r="BL470" s="1041"/>
      <c r="BM470" s="695"/>
      <c r="BN470" s="695"/>
      <c r="BO470" s="696"/>
      <c r="BP470" s="696"/>
      <c r="BQ470" s="696"/>
      <c r="BR470" s="914"/>
      <c r="BS470" s="696"/>
      <c r="BT470" s="696"/>
      <c r="BU470" s="696"/>
      <c r="BV470" s="694"/>
      <c r="BW470" s="13"/>
      <c r="BX470" s="1256" t="s">
        <v>3730</v>
      </c>
      <c r="BY470" s="13"/>
      <c r="BZ470" s="13"/>
      <c r="CA470" s="13"/>
      <c r="CB470" s="1222" t="s">
        <v>2094</v>
      </c>
      <c r="CC470" s="38"/>
      <c r="CD470" s="526"/>
      <c r="CE470" s="526"/>
      <c r="CF470" s="526"/>
      <c r="CG470" s="526"/>
      <c r="CH470" s="526"/>
      <c r="CI470" s="526"/>
      <c r="CJ470" s="526"/>
      <c r="CK470" s="15"/>
    </row>
    <row r="471" spans="2:89" ht="81" hidden="1" customHeight="1">
      <c r="B471" s="22"/>
      <c r="C471" s="22"/>
      <c r="D471" s="22"/>
      <c r="E471" s="911"/>
      <c r="F471" s="911"/>
      <c r="G471" s="915"/>
      <c r="H471" s="1746"/>
      <c r="I471" s="330"/>
      <c r="J471" s="169">
        <v>2020</v>
      </c>
      <c r="K471" s="1417">
        <v>205.17</v>
      </c>
      <c r="L471" s="1417"/>
      <c r="M471" s="170" t="s">
        <v>166</v>
      </c>
      <c r="N471" s="178" t="s">
        <v>3275</v>
      </c>
      <c r="O471" s="172" t="s">
        <v>45</v>
      </c>
      <c r="P471" s="173" t="s">
        <v>3367</v>
      </c>
      <c r="Q471" s="173" t="s">
        <v>1975</v>
      </c>
      <c r="R471" s="594">
        <f>3500*1.16</f>
        <v>4059.9999999999995</v>
      </c>
      <c r="S471" s="682">
        <v>44089</v>
      </c>
      <c r="T471" s="176" t="s">
        <v>68</v>
      </c>
      <c r="U471" s="177" t="s">
        <v>68</v>
      </c>
      <c r="V471" s="981" t="s">
        <v>68</v>
      </c>
      <c r="W471" s="178" t="s">
        <v>3368</v>
      </c>
      <c r="X471" s="170" t="s">
        <v>3264</v>
      </c>
      <c r="Y471" s="1040"/>
      <c r="Z471" s="368" t="s">
        <v>1177</v>
      </c>
      <c r="AA471" s="255"/>
      <c r="AB471" s="8"/>
      <c r="AC471" s="4"/>
      <c r="AD471" s="4"/>
      <c r="AE471" s="32"/>
      <c r="AF471" s="34" t="s">
        <v>68</v>
      </c>
      <c r="AG471" s="112" t="s">
        <v>68</v>
      </c>
      <c r="AH471" s="112" t="s">
        <v>68</v>
      </c>
      <c r="AI471" s="7" t="s">
        <v>68</v>
      </c>
      <c r="AJ471" s="109" t="s">
        <v>68</v>
      </c>
      <c r="AK471" s="33" t="s">
        <v>68</v>
      </c>
      <c r="AL471" s="1" t="s">
        <v>68</v>
      </c>
      <c r="AM471" s="5"/>
      <c r="AN471" s="1" t="s">
        <v>68</v>
      </c>
      <c r="AO471" s="5"/>
      <c r="AP471" s="1" t="s">
        <v>68</v>
      </c>
      <c r="AQ471" s="5"/>
      <c r="AR471" s="279">
        <v>0</v>
      </c>
      <c r="AS471" s="35">
        <v>0</v>
      </c>
      <c r="AT471" s="902"/>
      <c r="AU471" s="891"/>
      <c r="AV471" s="30" t="s">
        <v>68</v>
      </c>
      <c r="AW471" s="11" t="s">
        <v>68</v>
      </c>
      <c r="AX471" s="223" t="s">
        <v>551</v>
      </c>
      <c r="AY471" s="52" t="s">
        <v>68</v>
      </c>
      <c r="AZ471" s="30" t="s">
        <v>1177</v>
      </c>
      <c r="BA471" s="5"/>
      <c r="BB471" s="5"/>
      <c r="BC471" s="11"/>
      <c r="BD471" s="30" t="s">
        <v>1177</v>
      </c>
      <c r="BE471" s="309"/>
      <c r="BF471" s="5"/>
      <c r="BG471" s="5"/>
      <c r="BH471" s="5"/>
      <c r="BI471" s="36">
        <f t="shared" si="14"/>
        <v>0</v>
      </c>
      <c r="BJ471" s="62" t="s">
        <v>68</v>
      </c>
      <c r="BK471" s="224"/>
      <c r="BL471" s="1041"/>
      <c r="BM471" s="695"/>
      <c r="BN471" s="695"/>
      <c r="BO471" s="696"/>
      <c r="BP471" s="696"/>
      <c r="BQ471" s="696"/>
      <c r="BR471" s="914"/>
      <c r="BS471" s="696"/>
      <c r="BT471" s="696"/>
      <c r="BU471" s="696"/>
      <c r="BV471" s="694"/>
      <c r="BW471" s="13"/>
      <c r="BX471" s="1256" t="s">
        <v>3730</v>
      </c>
      <c r="BY471" s="13"/>
      <c r="BZ471" s="13"/>
      <c r="CA471" s="13"/>
      <c r="CB471" s="1222" t="s">
        <v>2094</v>
      </c>
      <c r="CC471" s="38"/>
      <c r="CD471" s="526"/>
      <c r="CE471" s="526"/>
      <c r="CF471" s="526"/>
      <c r="CG471" s="526"/>
      <c r="CH471" s="526"/>
      <c r="CI471" s="526"/>
      <c r="CJ471" s="526"/>
      <c r="CK471" s="15"/>
    </row>
    <row r="472" spans="2:89" ht="90.75" hidden="1" customHeight="1">
      <c r="B472" s="22"/>
      <c r="C472" s="22"/>
      <c r="D472" s="22"/>
      <c r="E472" s="911"/>
      <c r="F472" s="911"/>
      <c r="G472" s="915"/>
      <c r="H472" s="1746"/>
      <c r="I472" s="330"/>
      <c r="J472" s="169">
        <v>2020</v>
      </c>
      <c r="K472" s="1417">
        <v>205.18</v>
      </c>
      <c r="L472" s="1417"/>
      <c r="M472" s="170" t="s">
        <v>166</v>
      </c>
      <c r="N472" s="178" t="s">
        <v>3276</v>
      </c>
      <c r="O472" s="172" t="s">
        <v>45</v>
      </c>
      <c r="P472" s="173" t="s">
        <v>3369</v>
      </c>
      <c r="Q472" s="173" t="s">
        <v>1975</v>
      </c>
      <c r="R472" s="594">
        <f>18000*1.16</f>
        <v>20880</v>
      </c>
      <c r="S472" s="682">
        <v>44089</v>
      </c>
      <c r="T472" s="176" t="s">
        <v>68</v>
      </c>
      <c r="U472" s="177" t="s">
        <v>68</v>
      </c>
      <c r="V472" s="981" t="s">
        <v>68</v>
      </c>
      <c r="W472" s="178" t="s">
        <v>3368</v>
      </c>
      <c r="X472" s="170" t="s">
        <v>3264</v>
      </c>
      <c r="Y472" s="1040"/>
      <c r="Z472" s="368" t="s">
        <v>1177</v>
      </c>
      <c r="AA472" s="255"/>
      <c r="AB472" s="8"/>
      <c r="AC472" s="4"/>
      <c r="AD472" s="4"/>
      <c r="AE472" s="32"/>
      <c r="AF472" s="34" t="s">
        <v>68</v>
      </c>
      <c r="AG472" s="112" t="s">
        <v>68</v>
      </c>
      <c r="AH472" s="112" t="s">
        <v>68</v>
      </c>
      <c r="AI472" s="7" t="s">
        <v>68</v>
      </c>
      <c r="AJ472" s="109" t="s">
        <v>68</v>
      </c>
      <c r="AK472" s="33" t="s">
        <v>68</v>
      </c>
      <c r="AL472" s="1" t="s">
        <v>68</v>
      </c>
      <c r="AM472" s="5"/>
      <c r="AN472" s="1" t="s">
        <v>68</v>
      </c>
      <c r="AO472" s="5"/>
      <c r="AP472" s="1" t="s">
        <v>68</v>
      </c>
      <c r="AQ472" s="5"/>
      <c r="AR472" s="279">
        <v>0</v>
      </c>
      <c r="AS472" s="35">
        <v>0</v>
      </c>
      <c r="AT472" s="902"/>
      <c r="AU472" s="891"/>
      <c r="AV472" s="30" t="s">
        <v>68</v>
      </c>
      <c r="AW472" s="11" t="s">
        <v>68</v>
      </c>
      <c r="AX472" s="223" t="s">
        <v>551</v>
      </c>
      <c r="AY472" s="52" t="s">
        <v>68</v>
      </c>
      <c r="AZ472" s="30" t="s">
        <v>1177</v>
      </c>
      <c r="BA472" s="5"/>
      <c r="BB472" s="5"/>
      <c r="BC472" s="11"/>
      <c r="BD472" s="30" t="s">
        <v>1177</v>
      </c>
      <c r="BE472" s="309"/>
      <c r="BF472" s="5"/>
      <c r="BG472" s="5"/>
      <c r="BH472" s="5"/>
      <c r="BI472" s="36">
        <f t="shared" si="14"/>
        <v>0</v>
      </c>
      <c r="BJ472" s="62" t="s">
        <v>68</v>
      </c>
      <c r="BK472" s="224"/>
      <c r="BL472" s="1041"/>
      <c r="BM472" s="695"/>
      <c r="BN472" s="695"/>
      <c r="BO472" s="696"/>
      <c r="BP472" s="696"/>
      <c r="BQ472" s="696"/>
      <c r="BR472" s="914"/>
      <c r="BS472" s="696"/>
      <c r="BT472" s="696"/>
      <c r="BU472" s="696"/>
      <c r="BV472" s="694"/>
      <c r="BW472" s="13"/>
      <c r="BX472" s="1256" t="s">
        <v>3730</v>
      </c>
      <c r="BY472" s="13"/>
      <c r="BZ472" s="13"/>
      <c r="CA472" s="13"/>
      <c r="CB472" s="1222" t="s">
        <v>2094</v>
      </c>
      <c r="CC472" s="38"/>
      <c r="CD472" s="526"/>
      <c r="CE472" s="526"/>
      <c r="CF472" s="526"/>
      <c r="CG472" s="526"/>
      <c r="CH472" s="526"/>
      <c r="CI472" s="526"/>
      <c r="CJ472" s="526"/>
      <c r="CK472" s="15"/>
    </row>
    <row r="473" spans="2:89" ht="90.75" hidden="1" customHeight="1">
      <c r="B473" s="22"/>
      <c r="C473" s="22"/>
      <c r="D473" s="22"/>
      <c r="E473" s="911"/>
      <c r="F473" s="911"/>
      <c r="G473" s="915"/>
      <c r="H473" s="1746"/>
      <c r="I473" s="330"/>
      <c r="J473" s="169">
        <v>2020</v>
      </c>
      <c r="K473" s="1417">
        <v>205.19</v>
      </c>
      <c r="L473" s="1417"/>
      <c r="M473" s="170" t="s">
        <v>166</v>
      </c>
      <c r="N473" s="178" t="s">
        <v>3277</v>
      </c>
      <c r="O473" s="172" t="s">
        <v>45</v>
      </c>
      <c r="P473" s="173" t="s">
        <v>3370</v>
      </c>
      <c r="Q473" s="173" t="s">
        <v>2515</v>
      </c>
      <c r="R473" s="594">
        <f>5000*1.16</f>
        <v>5800</v>
      </c>
      <c r="S473" s="682">
        <v>44089</v>
      </c>
      <c r="T473" s="176" t="s">
        <v>68</v>
      </c>
      <c r="U473" s="177" t="s">
        <v>68</v>
      </c>
      <c r="V473" s="981" t="s">
        <v>68</v>
      </c>
      <c r="W473" s="178" t="s">
        <v>3368</v>
      </c>
      <c r="X473" s="170" t="s">
        <v>3264</v>
      </c>
      <c r="Y473" s="1040"/>
      <c r="Z473" s="368" t="s">
        <v>1177</v>
      </c>
      <c r="AA473" s="255"/>
      <c r="AB473" s="8"/>
      <c r="AC473" s="4"/>
      <c r="AD473" s="4"/>
      <c r="AE473" s="32"/>
      <c r="AF473" s="34" t="s">
        <v>68</v>
      </c>
      <c r="AG473" s="112" t="s">
        <v>68</v>
      </c>
      <c r="AH473" s="112" t="s">
        <v>68</v>
      </c>
      <c r="AI473" s="7" t="s">
        <v>68</v>
      </c>
      <c r="AJ473" s="109" t="s">
        <v>68</v>
      </c>
      <c r="AK473" s="33" t="s">
        <v>68</v>
      </c>
      <c r="AL473" s="1" t="s">
        <v>68</v>
      </c>
      <c r="AM473" s="5"/>
      <c r="AN473" s="1" t="s">
        <v>68</v>
      </c>
      <c r="AO473" s="5"/>
      <c r="AP473" s="1" t="s">
        <v>68</v>
      </c>
      <c r="AQ473" s="5"/>
      <c r="AR473" s="279">
        <v>0</v>
      </c>
      <c r="AS473" s="35">
        <v>0</v>
      </c>
      <c r="AT473" s="902"/>
      <c r="AU473" s="891"/>
      <c r="AV473" s="30" t="s">
        <v>68</v>
      </c>
      <c r="AW473" s="11" t="s">
        <v>68</v>
      </c>
      <c r="AX473" s="223" t="s">
        <v>551</v>
      </c>
      <c r="AY473" s="52" t="s">
        <v>68</v>
      </c>
      <c r="AZ473" s="30" t="s">
        <v>1177</v>
      </c>
      <c r="BA473" s="5"/>
      <c r="BB473" s="5"/>
      <c r="BC473" s="11"/>
      <c r="BD473" s="30" t="s">
        <v>1177</v>
      </c>
      <c r="BE473" s="309"/>
      <c r="BF473" s="5"/>
      <c r="BG473" s="5"/>
      <c r="BH473" s="5"/>
      <c r="BI473" s="36">
        <f t="shared" si="14"/>
        <v>0</v>
      </c>
      <c r="BJ473" s="62" t="s">
        <v>68</v>
      </c>
      <c r="BK473" s="224"/>
      <c r="BL473" s="1041"/>
      <c r="BM473" s="695"/>
      <c r="BN473" s="695"/>
      <c r="BO473" s="696"/>
      <c r="BP473" s="696"/>
      <c r="BQ473" s="696"/>
      <c r="BR473" s="914"/>
      <c r="BS473" s="696"/>
      <c r="BT473" s="696"/>
      <c r="BU473" s="696"/>
      <c r="BV473" s="694"/>
      <c r="BW473" s="13"/>
      <c r="BX473" s="1256" t="s">
        <v>3730</v>
      </c>
      <c r="BY473" s="13"/>
      <c r="BZ473" s="13"/>
      <c r="CA473" s="13"/>
      <c r="CB473" s="1222" t="s">
        <v>2094</v>
      </c>
      <c r="CC473" s="38"/>
      <c r="CD473" s="526"/>
      <c r="CE473" s="526"/>
      <c r="CF473" s="526"/>
      <c r="CG473" s="526"/>
      <c r="CH473" s="526"/>
      <c r="CI473" s="526"/>
      <c r="CJ473" s="526"/>
      <c r="CK473" s="15"/>
    </row>
    <row r="474" spans="2:89" ht="110.25" hidden="1" customHeight="1">
      <c r="B474" s="22"/>
      <c r="C474" s="22"/>
      <c r="D474" s="22"/>
      <c r="E474" s="911"/>
      <c r="F474" s="911"/>
      <c r="G474" s="915"/>
      <c r="H474" s="1746"/>
      <c r="I474" s="330"/>
      <c r="J474" s="169">
        <v>2020</v>
      </c>
      <c r="K474" s="1417">
        <v>205.2</v>
      </c>
      <c r="L474" s="1417"/>
      <c r="M474" s="170" t="s">
        <v>166</v>
      </c>
      <c r="N474" s="178" t="s">
        <v>3278</v>
      </c>
      <c r="O474" s="172" t="s">
        <v>45</v>
      </c>
      <c r="P474" s="173" t="s">
        <v>4017</v>
      </c>
      <c r="Q474" s="173" t="s">
        <v>68</v>
      </c>
      <c r="R474" s="594">
        <f>4500*1.16</f>
        <v>5220</v>
      </c>
      <c r="S474" s="682">
        <v>44089</v>
      </c>
      <c r="T474" s="176" t="s">
        <v>68</v>
      </c>
      <c r="U474" s="177" t="s">
        <v>68</v>
      </c>
      <c r="V474" s="981" t="s">
        <v>68</v>
      </c>
      <c r="W474" s="178" t="s">
        <v>3368</v>
      </c>
      <c r="X474" s="170" t="s">
        <v>3264</v>
      </c>
      <c r="Y474" s="1040"/>
      <c r="Z474" s="368" t="s">
        <v>1177</v>
      </c>
      <c r="AA474" s="255"/>
      <c r="AB474" s="8"/>
      <c r="AC474" s="4"/>
      <c r="AD474" s="4"/>
      <c r="AE474" s="32"/>
      <c r="AF474" s="34" t="s">
        <v>68</v>
      </c>
      <c r="AG474" s="112" t="s">
        <v>68</v>
      </c>
      <c r="AH474" s="112" t="s">
        <v>68</v>
      </c>
      <c r="AI474" s="7" t="s">
        <v>68</v>
      </c>
      <c r="AJ474" s="109" t="s">
        <v>68</v>
      </c>
      <c r="AK474" s="33" t="s">
        <v>68</v>
      </c>
      <c r="AL474" s="1" t="s">
        <v>68</v>
      </c>
      <c r="AM474" s="5"/>
      <c r="AN474" s="1" t="s">
        <v>68</v>
      </c>
      <c r="AO474" s="5"/>
      <c r="AP474" s="1" t="s">
        <v>68</v>
      </c>
      <c r="AQ474" s="5"/>
      <c r="AR474" s="279">
        <v>0</v>
      </c>
      <c r="AS474" s="35">
        <v>0</v>
      </c>
      <c r="AT474" s="902"/>
      <c r="AU474" s="891"/>
      <c r="AV474" s="30" t="s">
        <v>68</v>
      </c>
      <c r="AW474" s="11" t="s">
        <v>68</v>
      </c>
      <c r="AX474" s="223" t="s">
        <v>551</v>
      </c>
      <c r="AY474" s="52" t="s">
        <v>68</v>
      </c>
      <c r="AZ474" s="30" t="s">
        <v>1177</v>
      </c>
      <c r="BA474" s="5"/>
      <c r="BB474" s="5"/>
      <c r="BC474" s="11"/>
      <c r="BD474" s="30" t="s">
        <v>1177</v>
      </c>
      <c r="BE474" s="309"/>
      <c r="BF474" s="5"/>
      <c r="BG474" s="5"/>
      <c r="BH474" s="5"/>
      <c r="BI474" s="36">
        <f t="shared" si="14"/>
        <v>0</v>
      </c>
      <c r="BJ474" s="62" t="s">
        <v>68</v>
      </c>
      <c r="BK474" s="224"/>
      <c r="BL474" s="1041"/>
      <c r="BM474" s="695"/>
      <c r="BN474" s="695"/>
      <c r="BO474" s="696"/>
      <c r="BP474" s="696"/>
      <c r="BQ474" s="696"/>
      <c r="BR474" s="914"/>
      <c r="BS474" s="696"/>
      <c r="BT474" s="696"/>
      <c r="BU474" s="696"/>
      <c r="BV474" s="694"/>
      <c r="BW474" s="13"/>
      <c r="BX474" s="1256" t="s">
        <v>3730</v>
      </c>
      <c r="BY474" s="13"/>
      <c r="BZ474" s="13"/>
      <c r="CA474" s="13"/>
      <c r="CB474" s="1222" t="s">
        <v>2094</v>
      </c>
      <c r="CC474" s="38"/>
      <c r="CD474" s="526"/>
      <c r="CE474" s="526"/>
      <c r="CF474" s="526"/>
      <c r="CG474" s="526"/>
      <c r="CH474" s="526"/>
      <c r="CI474" s="526"/>
      <c r="CJ474" s="526"/>
      <c r="CK474" s="15"/>
    </row>
    <row r="475" spans="2:89" ht="94.5" hidden="1" customHeight="1">
      <c r="B475" s="22"/>
      <c r="C475" s="22"/>
      <c r="D475" s="22"/>
      <c r="E475" s="911"/>
      <c r="F475" s="911"/>
      <c r="G475" s="915"/>
      <c r="H475" s="1746"/>
      <c r="I475" s="330"/>
      <c r="J475" s="169">
        <v>2020</v>
      </c>
      <c r="K475" s="1417">
        <v>205.21</v>
      </c>
      <c r="L475" s="1417"/>
      <c r="M475" s="170" t="s">
        <v>166</v>
      </c>
      <c r="N475" s="178" t="s">
        <v>3279</v>
      </c>
      <c r="O475" s="172" t="s">
        <v>45</v>
      </c>
      <c r="P475" s="173" t="s">
        <v>3371</v>
      </c>
      <c r="Q475" s="173" t="s">
        <v>1975</v>
      </c>
      <c r="R475" s="594">
        <f>5000*1.16</f>
        <v>5800</v>
      </c>
      <c r="S475" s="682">
        <v>44089</v>
      </c>
      <c r="T475" s="176" t="s">
        <v>68</v>
      </c>
      <c r="U475" s="177" t="s">
        <v>68</v>
      </c>
      <c r="V475" s="981" t="s">
        <v>68</v>
      </c>
      <c r="W475" s="178" t="s">
        <v>3368</v>
      </c>
      <c r="X475" s="170" t="s">
        <v>3264</v>
      </c>
      <c r="Y475" s="1040"/>
      <c r="Z475" s="368" t="s">
        <v>1177</v>
      </c>
      <c r="AA475" s="255"/>
      <c r="AB475" s="8"/>
      <c r="AC475" s="4"/>
      <c r="AD475" s="4"/>
      <c r="AE475" s="32"/>
      <c r="AF475" s="34" t="s">
        <v>68</v>
      </c>
      <c r="AG475" s="112" t="s">
        <v>68</v>
      </c>
      <c r="AH475" s="112" t="s">
        <v>68</v>
      </c>
      <c r="AI475" s="7" t="s">
        <v>68</v>
      </c>
      <c r="AJ475" s="109" t="s">
        <v>68</v>
      </c>
      <c r="AK475" s="33" t="s">
        <v>68</v>
      </c>
      <c r="AL475" s="1" t="s">
        <v>68</v>
      </c>
      <c r="AM475" s="5"/>
      <c r="AN475" s="1" t="s">
        <v>68</v>
      </c>
      <c r="AO475" s="5"/>
      <c r="AP475" s="1" t="s">
        <v>68</v>
      </c>
      <c r="AQ475" s="5"/>
      <c r="AR475" s="279">
        <v>0</v>
      </c>
      <c r="AS475" s="35">
        <v>0</v>
      </c>
      <c r="AT475" s="902"/>
      <c r="AU475" s="891"/>
      <c r="AV475" s="30" t="s">
        <v>68</v>
      </c>
      <c r="AW475" s="11" t="s">
        <v>68</v>
      </c>
      <c r="AX475" s="223" t="s">
        <v>551</v>
      </c>
      <c r="AY475" s="52" t="s">
        <v>68</v>
      </c>
      <c r="AZ475" s="30" t="s">
        <v>1177</v>
      </c>
      <c r="BA475" s="5"/>
      <c r="BB475" s="5"/>
      <c r="BC475" s="11"/>
      <c r="BD475" s="30" t="s">
        <v>1177</v>
      </c>
      <c r="BE475" s="309"/>
      <c r="BF475" s="5"/>
      <c r="BG475" s="5"/>
      <c r="BH475" s="5"/>
      <c r="BI475" s="36">
        <f t="shared" si="14"/>
        <v>0</v>
      </c>
      <c r="BJ475" s="62" t="s">
        <v>68</v>
      </c>
      <c r="BK475" s="224"/>
      <c r="BL475" s="1041"/>
      <c r="BM475" s="695"/>
      <c r="BN475" s="695"/>
      <c r="BO475" s="696"/>
      <c r="BP475" s="696"/>
      <c r="BQ475" s="696"/>
      <c r="BR475" s="914"/>
      <c r="BS475" s="696"/>
      <c r="BT475" s="696"/>
      <c r="BU475" s="696"/>
      <c r="BV475" s="694"/>
      <c r="BW475" s="13"/>
      <c r="BX475" s="1256" t="s">
        <v>3730</v>
      </c>
      <c r="BY475" s="13"/>
      <c r="BZ475" s="13"/>
      <c r="CA475" s="13"/>
      <c r="CB475" s="1222" t="s">
        <v>2094</v>
      </c>
      <c r="CC475" s="38"/>
      <c r="CD475" s="526"/>
      <c r="CE475" s="526"/>
      <c r="CF475" s="526"/>
      <c r="CG475" s="526"/>
      <c r="CH475" s="526"/>
      <c r="CI475" s="526"/>
      <c r="CJ475" s="526"/>
      <c r="CK475" s="15"/>
    </row>
    <row r="476" spans="2:89" ht="105" hidden="1" customHeight="1">
      <c r="B476" s="22"/>
      <c r="C476" s="22"/>
      <c r="D476" s="22"/>
      <c r="E476" s="911"/>
      <c r="F476" s="911"/>
      <c r="G476" s="915"/>
      <c r="H476" s="1746"/>
      <c r="I476" s="330"/>
      <c r="J476" s="169">
        <v>2020</v>
      </c>
      <c r="K476" s="1417">
        <v>205.22</v>
      </c>
      <c r="L476" s="1417"/>
      <c r="M476" s="170" t="s">
        <v>166</v>
      </c>
      <c r="N476" s="178" t="s">
        <v>3280</v>
      </c>
      <c r="O476" s="172" t="s">
        <v>45</v>
      </c>
      <c r="P476" s="173" t="s">
        <v>3372</v>
      </c>
      <c r="Q476" s="173" t="s">
        <v>1975</v>
      </c>
      <c r="R476" s="594">
        <f>4500*1.16</f>
        <v>5220</v>
      </c>
      <c r="S476" s="682">
        <v>44089</v>
      </c>
      <c r="T476" s="176" t="s">
        <v>68</v>
      </c>
      <c r="U476" s="177" t="s">
        <v>68</v>
      </c>
      <c r="V476" s="981" t="s">
        <v>68</v>
      </c>
      <c r="W476" s="178" t="s">
        <v>3368</v>
      </c>
      <c r="X476" s="170" t="s">
        <v>3264</v>
      </c>
      <c r="Y476" s="1040"/>
      <c r="Z476" s="368" t="s">
        <v>1177</v>
      </c>
      <c r="AA476" s="255"/>
      <c r="AB476" s="8"/>
      <c r="AC476" s="4"/>
      <c r="AD476" s="4"/>
      <c r="AE476" s="32"/>
      <c r="AF476" s="34" t="s">
        <v>68</v>
      </c>
      <c r="AG476" s="112" t="s">
        <v>68</v>
      </c>
      <c r="AH476" s="112" t="s">
        <v>68</v>
      </c>
      <c r="AI476" s="7" t="s">
        <v>68</v>
      </c>
      <c r="AJ476" s="109" t="s">
        <v>68</v>
      </c>
      <c r="AK476" s="33" t="s">
        <v>68</v>
      </c>
      <c r="AL476" s="1" t="s">
        <v>68</v>
      </c>
      <c r="AM476" s="5"/>
      <c r="AN476" s="1" t="s">
        <v>68</v>
      </c>
      <c r="AO476" s="5"/>
      <c r="AP476" s="1" t="s">
        <v>68</v>
      </c>
      <c r="AQ476" s="5"/>
      <c r="AR476" s="279">
        <v>0</v>
      </c>
      <c r="AS476" s="35">
        <v>0</v>
      </c>
      <c r="AT476" s="902"/>
      <c r="AU476" s="891"/>
      <c r="AV476" s="30" t="s">
        <v>68</v>
      </c>
      <c r="AW476" s="11" t="s">
        <v>68</v>
      </c>
      <c r="AX476" s="223" t="s">
        <v>551</v>
      </c>
      <c r="AY476" s="52" t="s">
        <v>68</v>
      </c>
      <c r="AZ476" s="30" t="s">
        <v>1177</v>
      </c>
      <c r="BA476" s="5"/>
      <c r="BB476" s="5"/>
      <c r="BC476" s="11"/>
      <c r="BD476" s="30" t="s">
        <v>1177</v>
      </c>
      <c r="BE476" s="309"/>
      <c r="BF476" s="5"/>
      <c r="BG476" s="5"/>
      <c r="BH476" s="5"/>
      <c r="BI476" s="36">
        <f t="shared" si="14"/>
        <v>0</v>
      </c>
      <c r="BJ476" s="62" t="s">
        <v>68</v>
      </c>
      <c r="BK476" s="224"/>
      <c r="BL476" s="1041"/>
      <c r="BM476" s="695"/>
      <c r="BN476" s="695"/>
      <c r="BO476" s="696"/>
      <c r="BP476" s="696"/>
      <c r="BQ476" s="696"/>
      <c r="BR476" s="914"/>
      <c r="BS476" s="696"/>
      <c r="BT476" s="696"/>
      <c r="BU476" s="696"/>
      <c r="BV476" s="694"/>
      <c r="BW476" s="13"/>
      <c r="BX476" s="1256" t="s">
        <v>3730</v>
      </c>
      <c r="BY476" s="13"/>
      <c r="BZ476" s="13"/>
      <c r="CA476" s="13"/>
      <c r="CB476" s="1222" t="s">
        <v>2094</v>
      </c>
      <c r="CC476" s="38"/>
      <c r="CD476" s="526"/>
      <c r="CE476" s="526"/>
      <c r="CF476" s="526"/>
      <c r="CG476" s="526"/>
      <c r="CH476" s="526"/>
      <c r="CI476" s="526"/>
      <c r="CJ476" s="526"/>
      <c r="CK476" s="15"/>
    </row>
    <row r="477" spans="2:89" ht="109.5" hidden="1" customHeight="1">
      <c r="B477" s="22"/>
      <c r="C477" s="22"/>
      <c r="D477" s="22"/>
      <c r="E477" s="911"/>
      <c r="F477" s="911"/>
      <c r="G477" s="915"/>
      <c r="H477" s="1746"/>
      <c r="I477" s="330"/>
      <c r="J477" s="169">
        <v>2020</v>
      </c>
      <c r="K477" s="1417">
        <v>205.23</v>
      </c>
      <c r="L477" s="1417"/>
      <c r="M477" s="170" t="s">
        <v>166</v>
      </c>
      <c r="N477" s="178" t="s">
        <v>3281</v>
      </c>
      <c r="O477" s="172" t="s">
        <v>45</v>
      </c>
      <c r="P477" s="173" t="s">
        <v>3373</v>
      </c>
      <c r="Q477" s="173" t="s">
        <v>4823</v>
      </c>
      <c r="R477" s="594">
        <f>1500*1.16</f>
        <v>1739.9999999999998</v>
      </c>
      <c r="S477" s="682">
        <v>44089</v>
      </c>
      <c r="T477" s="176" t="s">
        <v>68</v>
      </c>
      <c r="U477" s="177" t="s">
        <v>68</v>
      </c>
      <c r="V477" s="981" t="s">
        <v>68</v>
      </c>
      <c r="W477" s="178" t="s">
        <v>3368</v>
      </c>
      <c r="X477" s="170" t="s">
        <v>3264</v>
      </c>
      <c r="Y477" s="1040"/>
      <c r="Z477" s="368" t="s">
        <v>1177</v>
      </c>
      <c r="AA477" s="255"/>
      <c r="AB477" s="8"/>
      <c r="AC477" s="4"/>
      <c r="AD477" s="4"/>
      <c r="AE477" s="32"/>
      <c r="AF477" s="34" t="s">
        <v>68</v>
      </c>
      <c r="AG477" s="112" t="s">
        <v>68</v>
      </c>
      <c r="AH477" s="112" t="s">
        <v>68</v>
      </c>
      <c r="AI477" s="7" t="s">
        <v>68</v>
      </c>
      <c r="AJ477" s="109" t="s">
        <v>68</v>
      </c>
      <c r="AK477" s="33" t="s">
        <v>68</v>
      </c>
      <c r="AL477" s="1" t="s">
        <v>68</v>
      </c>
      <c r="AM477" s="5"/>
      <c r="AN477" s="1" t="s">
        <v>68</v>
      </c>
      <c r="AO477" s="5"/>
      <c r="AP477" s="1" t="s">
        <v>68</v>
      </c>
      <c r="AQ477" s="5"/>
      <c r="AR477" s="279">
        <v>0</v>
      </c>
      <c r="AS477" s="35">
        <v>0</v>
      </c>
      <c r="AT477" s="902"/>
      <c r="AU477" s="891"/>
      <c r="AV477" s="30" t="s">
        <v>68</v>
      </c>
      <c r="AW477" s="11" t="s">
        <v>68</v>
      </c>
      <c r="AX477" s="223" t="s">
        <v>551</v>
      </c>
      <c r="AY477" s="52" t="s">
        <v>68</v>
      </c>
      <c r="AZ477" s="30" t="s">
        <v>1177</v>
      </c>
      <c r="BA477" s="5"/>
      <c r="BB477" s="5"/>
      <c r="BC477" s="11"/>
      <c r="BD477" s="30" t="s">
        <v>1177</v>
      </c>
      <c r="BE477" s="309"/>
      <c r="BF477" s="5"/>
      <c r="BG477" s="5"/>
      <c r="BH477" s="5"/>
      <c r="BI477" s="36">
        <f t="shared" si="14"/>
        <v>0</v>
      </c>
      <c r="BJ477" s="62" t="s">
        <v>68</v>
      </c>
      <c r="BK477" s="224"/>
      <c r="BL477" s="1041"/>
      <c r="BM477" s="695"/>
      <c r="BN477" s="695"/>
      <c r="BO477" s="696"/>
      <c r="BP477" s="696"/>
      <c r="BQ477" s="696"/>
      <c r="BR477" s="914"/>
      <c r="BS477" s="696"/>
      <c r="BT477" s="696"/>
      <c r="BU477" s="696"/>
      <c r="BV477" s="694"/>
      <c r="BW477" s="13"/>
      <c r="BX477" s="1256" t="s">
        <v>3730</v>
      </c>
      <c r="BY477" s="13"/>
      <c r="BZ477" s="13"/>
      <c r="CA477" s="13"/>
      <c r="CB477" s="1222" t="s">
        <v>2094</v>
      </c>
      <c r="CC477" s="38"/>
      <c r="CD477" s="526"/>
      <c r="CE477" s="526"/>
      <c r="CF477" s="526"/>
      <c r="CG477" s="526"/>
      <c r="CH477" s="526"/>
      <c r="CI477" s="526"/>
      <c r="CJ477" s="526"/>
      <c r="CK477" s="15"/>
    </row>
    <row r="478" spans="2:89" ht="90.75" hidden="1" customHeight="1">
      <c r="B478" s="22"/>
      <c r="C478" s="22"/>
      <c r="D478" s="22"/>
      <c r="E478" s="911"/>
      <c r="F478" s="911"/>
      <c r="G478" s="915"/>
      <c r="H478" s="1746"/>
      <c r="I478" s="330"/>
      <c r="J478" s="169">
        <v>2020</v>
      </c>
      <c r="K478" s="1417">
        <v>205.24</v>
      </c>
      <c r="L478" s="1417"/>
      <c r="M478" s="170" t="s">
        <v>166</v>
      </c>
      <c r="N478" s="178" t="s">
        <v>3282</v>
      </c>
      <c r="O478" s="172" t="s">
        <v>45</v>
      </c>
      <c r="P478" s="173" t="s">
        <v>3374</v>
      </c>
      <c r="Q478" s="173" t="s">
        <v>4409</v>
      </c>
      <c r="R478" s="594">
        <f>2500*1.16</f>
        <v>2900</v>
      </c>
      <c r="S478" s="682">
        <v>44089</v>
      </c>
      <c r="T478" s="176" t="s">
        <v>68</v>
      </c>
      <c r="U478" s="177" t="s">
        <v>68</v>
      </c>
      <c r="V478" s="981" t="s">
        <v>68</v>
      </c>
      <c r="W478" s="178" t="s">
        <v>3368</v>
      </c>
      <c r="X478" s="170" t="s">
        <v>3264</v>
      </c>
      <c r="Y478" s="1040"/>
      <c r="Z478" s="368" t="s">
        <v>1177</v>
      </c>
      <c r="AA478" s="255"/>
      <c r="AB478" s="8"/>
      <c r="AC478" s="4"/>
      <c r="AD478" s="4"/>
      <c r="AE478" s="32"/>
      <c r="AF478" s="34" t="s">
        <v>68</v>
      </c>
      <c r="AG478" s="112" t="s">
        <v>68</v>
      </c>
      <c r="AH478" s="112" t="s">
        <v>68</v>
      </c>
      <c r="AI478" s="7" t="s">
        <v>68</v>
      </c>
      <c r="AJ478" s="109" t="s">
        <v>68</v>
      </c>
      <c r="AK478" s="33" t="s">
        <v>68</v>
      </c>
      <c r="AL478" s="1" t="s">
        <v>68</v>
      </c>
      <c r="AM478" s="5"/>
      <c r="AN478" s="1" t="s">
        <v>68</v>
      </c>
      <c r="AO478" s="5"/>
      <c r="AP478" s="1" t="s">
        <v>68</v>
      </c>
      <c r="AQ478" s="5"/>
      <c r="AR478" s="279">
        <v>0</v>
      </c>
      <c r="AS478" s="35">
        <v>0</v>
      </c>
      <c r="AT478" s="902"/>
      <c r="AU478" s="891"/>
      <c r="AV478" s="30" t="s">
        <v>68</v>
      </c>
      <c r="AW478" s="11" t="s">
        <v>68</v>
      </c>
      <c r="AX478" s="223" t="s">
        <v>551</v>
      </c>
      <c r="AY478" s="52" t="s">
        <v>68</v>
      </c>
      <c r="AZ478" s="30" t="s">
        <v>1177</v>
      </c>
      <c r="BA478" s="5"/>
      <c r="BB478" s="5"/>
      <c r="BC478" s="11"/>
      <c r="BD478" s="30" t="s">
        <v>1177</v>
      </c>
      <c r="BE478" s="309"/>
      <c r="BF478" s="5"/>
      <c r="BG478" s="5"/>
      <c r="BH478" s="5"/>
      <c r="BI478" s="36">
        <f t="shared" si="14"/>
        <v>0</v>
      </c>
      <c r="BJ478" s="62" t="s">
        <v>68</v>
      </c>
      <c r="BK478" s="224"/>
      <c r="BL478" s="1041"/>
      <c r="BM478" s="695"/>
      <c r="BN478" s="695"/>
      <c r="BO478" s="696"/>
      <c r="BP478" s="696"/>
      <c r="BQ478" s="696"/>
      <c r="BR478" s="914"/>
      <c r="BS478" s="696"/>
      <c r="BT478" s="696"/>
      <c r="BU478" s="696"/>
      <c r="BV478" s="694"/>
      <c r="BW478" s="13"/>
      <c r="BX478" s="1256" t="s">
        <v>3730</v>
      </c>
      <c r="BY478" s="13"/>
      <c r="BZ478" s="13"/>
      <c r="CA478" s="13"/>
      <c r="CB478" s="1222" t="s">
        <v>2094</v>
      </c>
      <c r="CC478" s="38"/>
      <c r="CD478" s="526"/>
      <c r="CE478" s="526"/>
      <c r="CF478" s="526"/>
      <c r="CG478" s="526"/>
      <c r="CH478" s="526"/>
      <c r="CI478" s="526"/>
      <c r="CJ478" s="526"/>
      <c r="CK478" s="15"/>
    </row>
    <row r="479" spans="2:89" ht="87.75" hidden="1" customHeight="1">
      <c r="B479" s="22"/>
      <c r="C479" s="22"/>
      <c r="D479" s="22"/>
      <c r="E479" s="911"/>
      <c r="F479" s="911"/>
      <c r="G479" s="915"/>
      <c r="H479" s="1746"/>
      <c r="I479" s="330"/>
      <c r="J479" s="169">
        <v>2020</v>
      </c>
      <c r="K479" s="1417">
        <v>205.25</v>
      </c>
      <c r="L479" s="1417"/>
      <c r="M479" s="170" t="s">
        <v>166</v>
      </c>
      <c r="N479" s="178" t="s">
        <v>3283</v>
      </c>
      <c r="O479" s="172" t="s">
        <v>45</v>
      </c>
      <c r="P479" s="173" t="s">
        <v>3375</v>
      </c>
      <c r="Q479" s="173" t="s">
        <v>1975</v>
      </c>
      <c r="R479" s="594">
        <f>2500*1.16</f>
        <v>2900</v>
      </c>
      <c r="S479" s="682">
        <v>44089</v>
      </c>
      <c r="T479" s="176" t="s">
        <v>68</v>
      </c>
      <c r="U479" s="177" t="s">
        <v>68</v>
      </c>
      <c r="V479" s="981" t="s">
        <v>68</v>
      </c>
      <c r="W479" s="178" t="s">
        <v>3368</v>
      </c>
      <c r="X479" s="170" t="s">
        <v>3264</v>
      </c>
      <c r="Y479" s="1040"/>
      <c r="Z479" s="368" t="s">
        <v>1177</v>
      </c>
      <c r="AA479" s="255"/>
      <c r="AB479" s="8"/>
      <c r="AC479" s="4"/>
      <c r="AD479" s="4"/>
      <c r="AE479" s="32"/>
      <c r="AF479" s="34" t="s">
        <v>68</v>
      </c>
      <c r="AG479" s="112" t="s">
        <v>68</v>
      </c>
      <c r="AH479" s="112" t="s">
        <v>68</v>
      </c>
      <c r="AI479" s="7" t="s">
        <v>68</v>
      </c>
      <c r="AJ479" s="109" t="s">
        <v>68</v>
      </c>
      <c r="AK479" s="33" t="s">
        <v>68</v>
      </c>
      <c r="AL479" s="1" t="s">
        <v>68</v>
      </c>
      <c r="AM479" s="5"/>
      <c r="AN479" s="1" t="s">
        <v>68</v>
      </c>
      <c r="AO479" s="5"/>
      <c r="AP479" s="1" t="s">
        <v>68</v>
      </c>
      <c r="AQ479" s="5"/>
      <c r="AR479" s="279">
        <v>0</v>
      </c>
      <c r="AS479" s="35">
        <v>0</v>
      </c>
      <c r="AT479" s="902"/>
      <c r="AU479" s="891"/>
      <c r="AV479" s="30" t="s">
        <v>68</v>
      </c>
      <c r="AW479" s="11" t="s">
        <v>68</v>
      </c>
      <c r="AX479" s="223" t="s">
        <v>551</v>
      </c>
      <c r="AY479" s="52" t="s">
        <v>68</v>
      </c>
      <c r="AZ479" s="30" t="s">
        <v>1177</v>
      </c>
      <c r="BA479" s="5"/>
      <c r="BB479" s="5"/>
      <c r="BC479" s="11"/>
      <c r="BD479" s="30" t="s">
        <v>1177</v>
      </c>
      <c r="BE479" s="309"/>
      <c r="BF479" s="5"/>
      <c r="BG479" s="5"/>
      <c r="BH479" s="5"/>
      <c r="BI479" s="36">
        <f t="shared" si="14"/>
        <v>0</v>
      </c>
      <c r="BJ479" s="62" t="s">
        <v>68</v>
      </c>
      <c r="BK479" s="224"/>
      <c r="BL479" s="1041"/>
      <c r="BM479" s="695"/>
      <c r="BN479" s="695"/>
      <c r="BO479" s="696"/>
      <c r="BP479" s="696"/>
      <c r="BQ479" s="696"/>
      <c r="BR479" s="914"/>
      <c r="BS479" s="696"/>
      <c r="BT479" s="696"/>
      <c r="BU479" s="696"/>
      <c r="BV479" s="694"/>
      <c r="BW479" s="13"/>
      <c r="BX479" s="1256" t="s">
        <v>3730</v>
      </c>
      <c r="BY479" s="13"/>
      <c r="BZ479" s="13"/>
      <c r="CA479" s="13"/>
      <c r="CB479" s="1222" t="s">
        <v>2094</v>
      </c>
      <c r="CC479" s="38"/>
      <c r="CD479" s="526"/>
      <c r="CE479" s="526"/>
      <c r="CF479" s="526"/>
      <c r="CG479" s="526"/>
      <c r="CH479" s="526"/>
      <c r="CI479" s="526"/>
      <c r="CJ479" s="526"/>
      <c r="CK479" s="15"/>
    </row>
    <row r="480" spans="2:89" ht="84.75" hidden="1" customHeight="1">
      <c r="B480" s="22"/>
      <c r="C480" s="22"/>
      <c r="D480" s="22"/>
      <c r="E480" s="911"/>
      <c r="F480" s="911"/>
      <c r="G480" s="915"/>
      <c r="H480" s="1746"/>
      <c r="I480" s="330"/>
      <c r="J480" s="169">
        <v>2020</v>
      </c>
      <c r="K480" s="1417">
        <v>205.26</v>
      </c>
      <c r="L480" s="1417"/>
      <c r="M480" s="170" t="s">
        <v>166</v>
      </c>
      <c r="N480" s="178" t="s">
        <v>3284</v>
      </c>
      <c r="O480" s="172" t="s">
        <v>45</v>
      </c>
      <c r="P480" s="173" t="s">
        <v>3377</v>
      </c>
      <c r="Q480" s="173" t="s">
        <v>2663</v>
      </c>
      <c r="R480" s="594">
        <f>3500*1.16</f>
        <v>4059.9999999999995</v>
      </c>
      <c r="S480" s="682">
        <v>44089</v>
      </c>
      <c r="T480" s="176" t="s">
        <v>68</v>
      </c>
      <c r="U480" s="177" t="s">
        <v>68</v>
      </c>
      <c r="V480" s="981" t="s">
        <v>68</v>
      </c>
      <c r="W480" s="178" t="s">
        <v>3368</v>
      </c>
      <c r="X480" s="170" t="s">
        <v>3264</v>
      </c>
      <c r="Y480" s="1040"/>
      <c r="Z480" s="368" t="s">
        <v>1177</v>
      </c>
      <c r="AA480" s="255"/>
      <c r="AB480" s="8"/>
      <c r="AC480" s="4"/>
      <c r="AD480" s="4"/>
      <c r="AE480" s="32"/>
      <c r="AF480" s="34" t="s">
        <v>68</v>
      </c>
      <c r="AG480" s="112" t="s">
        <v>68</v>
      </c>
      <c r="AH480" s="112" t="s">
        <v>68</v>
      </c>
      <c r="AI480" s="7" t="s">
        <v>68</v>
      </c>
      <c r="AJ480" s="109" t="s">
        <v>68</v>
      </c>
      <c r="AK480" s="33" t="s">
        <v>68</v>
      </c>
      <c r="AL480" s="1" t="s">
        <v>68</v>
      </c>
      <c r="AM480" s="5"/>
      <c r="AN480" s="1" t="s">
        <v>68</v>
      </c>
      <c r="AO480" s="5"/>
      <c r="AP480" s="1" t="s">
        <v>68</v>
      </c>
      <c r="AQ480" s="5"/>
      <c r="AR480" s="279">
        <v>0</v>
      </c>
      <c r="AS480" s="35">
        <v>0</v>
      </c>
      <c r="AT480" s="902"/>
      <c r="AU480" s="891"/>
      <c r="AV480" s="30" t="s">
        <v>68</v>
      </c>
      <c r="AW480" s="11" t="s">
        <v>68</v>
      </c>
      <c r="AX480" s="223" t="s">
        <v>551</v>
      </c>
      <c r="AY480" s="52" t="s">
        <v>68</v>
      </c>
      <c r="AZ480" s="30" t="s">
        <v>1177</v>
      </c>
      <c r="BA480" s="5"/>
      <c r="BB480" s="5"/>
      <c r="BC480" s="11"/>
      <c r="BD480" s="30" t="s">
        <v>1177</v>
      </c>
      <c r="BE480" s="309"/>
      <c r="BF480" s="5"/>
      <c r="BG480" s="5"/>
      <c r="BH480" s="5"/>
      <c r="BI480" s="36">
        <f t="shared" si="14"/>
        <v>0</v>
      </c>
      <c r="BJ480" s="62" t="s">
        <v>68</v>
      </c>
      <c r="BK480" s="224"/>
      <c r="BL480" s="1041"/>
      <c r="BM480" s="695"/>
      <c r="BN480" s="695"/>
      <c r="BO480" s="696"/>
      <c r="BP480" s="696"/>
      <c r="BQ480" s="696"/>
      <c r="BR480" s="914"/>
      <c r="BS480" s="696"/>
      <c r="BT480" s="696"/>
      <c r="BU480" s="696"/>
      <c r="BV480" s="694"/>
      <c r="BW480" s="13"/>
      <c r="BX480" s="1256" t="s">
        <v>3730</v>
      </c>
      <c r="BY480" s="13"/>
      <c r="BZ480" s="13"/>
      <c r="CA480" s="13"/>
      <c r="CB480" s="1222" t="s">
        <v>2094</v>
      </c>
      <c r="CC480" s="38"/>
      <c r="CD480" s="526"/>
      <c r="CE480" s="526"/>
      <c r="CF480" s="526"/>
      <c r="CG480" s="526"/>
      <c r="CH480" s="526"/>
      <c r="CI480" s="526"/>
      <c r="CJ480" s="526"/>
      <c r="CK480" s="15"/>
    </row>
    <row r="481" spans="2:89" ht="90.75" hidden="1" customHeight="1">
      <c r="B481" s="22"/>
      <c r="C481" s="22"/>
      <c r="D481" s="22"/>
      <c r="E481" s="911"/>
      <c r="F481" s="911"/>
      <c r="G481" s="915"/>
      <c r="H481" s="1746"/>
      <c r="I481" s="330"/>
      <c r="J481" s="169">
        <v>2020</v>
      </c>
      <c r="K481" s="1417">
        <v>205.27</v>
      </c>
      <c r="L481" s="1417"/>
      <c r="M481" s="170" t="s">
        <v>166</v>
      </c>
      <c r="N481" s="178" t="s">
        <v>3285</v>
      </c>
      <c r="O481" s="172" t="s">
        <v>45</v>
      </c>
      <c r="P481" s="173" t="s">
        <v>3378</v>
      </c>
      <c r="Q481" s="173" t="s">
        <v>4410</v>
      </c>
      <c r="R481" s="594">
        <f>3200*1.16</f>
        <v>3711.9999999999995</v>
      </c>
      <c r="S481" s="682">
        <v>44089</v>
      </c>
      <c r="T481" s="176" t="s">
        <v>68</v>
      </c>
      <c r="U481" s="177" t="s">
        <v>68</v>
      </c>
      <c r="V481" s="981" t="s">
        <v>68</v>
      </c>
      <c r="W481" s="178" t="s">
        <v>3368</v>
      </c>
      <c r="X481" s="170" t="s">
        <v>3264</v>
      </c>
      <c r="Y481" s="1040"/>
      <c r="Z481" s="368" t="s">
        <v>1177</v>
      </c>
      <c r="AA481" s="255"/>
      <c r="AB481" s="8"/>
      <c r="AC481" s="4"/>
      <c r="AD481" s="4"/>
      <c r="AE481" s="32"/>
      <c r="AF481" s="34" t="s">
        <v>68</v>
      </c>
      <c r="AG481" s="112" t="s">
        <v>68</v>
      </c>
      <c r="AH481" s="112" t="s">
        <v>68</v>
      </c>
      <c r="AI481" s="7" t="s">
        <v>68</v>
      </c>
      <c r="AJ481" s="109" t="s">
        <v>68</v>
      </c>
      <c r="AK481" s="33" t="s">
        <v>68</v>
      </c>
      <c r="AL481" s="1" t="s">
        <v>68</v>
      </c>
      <c r="AM481" s="5"/>
      <c r="AN481" s="1" t="s">
        <v>68</v>
      </c>
      <c r="AO481" s="5"/>
      <c r="AP481" s="1" t="s">
        <v>68</v>
      </c>
      <c r="AQ481" s="5"/>
      <c r="AR481" s="279">
        <v>0</v>
      </c>
      <c r="AS481" s="35">
        <v>0</v>
      </c>
      <c r="AT481" s="902"/>
      <c r="AU481" s="891"/>
      <c r="AV481" s="30" t="s">
        <v>68</v>
      </c>
      <c r="AW481" s="11" t="s">
        <v>68</v>
      </c>
      <c r="AX481" s="223" t="s">
        <v>551</v>
      </c>
      <c r="AY481" s="52" t="s">
        <v>68</v>
      </c>
      <c r="AZ481" s="30" t="s">
        <v>1177</v>
      </c>
      <c r="BA481" s="5"/>
      <c r="BB481" s="5"/>
      <c r="BC481" s="11"/>
      <c r="BD481" s="30" t="s">
        <v>1177</v>
      </c>
      <c r="BE481" s="309"/>
      <c r="BF481" s="5"/>
      <c r="BG481" s="5"/>
      <c r="BH481" s="5"/>
      <c r="BI481" s="36">
        <f t="shared" si="14"/>
        <v>0</v>
      </c>
      <c r="BJ481" s="62" t="s">
        <v>68</v>
      </c>
      <c r="BK481" s="224"/>
      <c r="BL481" s="1041"/>
      <c r="BM481" s="695"/>
      <c r="BN481" s="695"/>
      <c r="BO481" s="696"/>
      <c r="BP481" s="696"/>
      <c r="BQ481" s="696"/>
      <c r="BR481" s="914"/>
      <c r="BS481" s="696"/>
      <c r="BT481" s="696"/>
      <c r="BU481" s="696"/>
      <c r="BV481" s="694"/>
      <c r="BW481" s="13"/>
      <c r="BX481" s="1256" t="s">
        <v>3730</v>
      </c>
      <c r="BY481" s="13"/>
      <c r="BZ481" s="13"/>
      <c r="CA481" s="13"/>
      <c r="CB481" s="1222" t="s">
        <v>2094</v>
      </c>
      <c r="CC481" s="38"/>
      <c r="CD481" s="526"/>
      <c r="CE481" s="526"/>
      <c r="CF481" s="526"/>
      <c r="CG481" s="526"/>
      <c r="CH481" s="526"/>
      <c r="CI481" s="526"/>
      <c r="CJ481" s="526"/>
      <c r="CK481" s="15"/>
    </row>
    <row r="482" spans="2:89" ht="116.25" hidden="1" customHeight="1">
      <c r="B482" s="22"/>
      <c r="C482" s="22"/>
      <c r="D482" s="22"/>
      <c r="E482" s="911"/>
      <c r="F482" s="911"/>
      <c r="G482" s="915"/>
      <c r="H482" s="1746"/>
      <c r="I482" s="330"/>
      <c r="J482" s="169">
        <v>2020</v>
      </c>
      <c r="K482" s="1417">
        <v>205.28</v>
      </c>
      <c r="L482" s="1417"/>
      <c r="M482" s="170" t="s">
        <v>166</v>
      </c>
      <c r="N482" s="178" t="s">
        <v>3286</v>
      </c>
      <c r="O482" s="172" t="s">
        <v>45</v>
      </c>
      <c r="P482" s="173" t="s">
        <v>3379</v>
      </c>
      <c r="Q482" s="173" t="s">
        <v>1975</v>
      </c>
      <c r="R482" s="594">
        <f>8500*1.16</f>
        <v>9860</v>
      </c>
      <c r="S482" s="682">
        <v>44089</v>
      </c>
      <c r="T482" s="176" t="s">
        <v>68</v>
      </c>
      <c r="U482" s="177" t="s">
        <v>68</v>
      </c>
      <c r="V482" s="981" t="s">
        <v>68</v>
      </c>
      <c r="W482" s="178" t="s">
        <v>3368</v>
      </c>
      <c r="X482" s="170" t="s">
        <v>3264</v>
      </c>
      <c r="Y482" s="1040"/>
      <c r="Z482" s="368" t="s">
        <v>1177</v>
      </c>
      <c r="AA482" s="255"/>
      <c r="AB482" s="8"/>
      <c r="AC482" s="4"/>
      <c r="AD482" s="4"/>
      <c r="AE482" s="32"/>
      <c r="AF482" s="34" t="s">
        <v>68</v>
      </c>
      <c r="AG482" s="112" t="s">
        <v>68</v>
      </c>
      <c r="AH482" s="112" t="s">
        <v>68</v>
      </c>
      <c r="AI482" s="7" t="s">
        <v>68</v>
      </c>
      <c r="AJ482" s="109" t="s">
        <v>68</v>
      </c>
      <c r="AK482" s="33" t="s">
        <v>68</v>
      </c>
      <c r="AL482" s="1" t="s">
        <v>68</v>
      </c>
      <c r="AM482" s="5"/>
      <c r="AN482" s="1" t="s">
        <v>68</v>
      </c>
      <c r="AO482" s="5"/>
      <c r="AP482" s="1" t="s">
        <v>68</v>
      </c>
      <c r="AQ482" s="5"/>
      <c r="AR482" s="279">
        <v>0</v>
      </c>
      <c r="AS482" s="35">
        <v>0</v>
      </c>
      <c r="AT482" s="902"/>
      <c r="AU482" s="891"/>
      <c r="AV482" s="30" t="s">
        <v>68</v>
      </c>
      <c r="AW482" s="11" t="s">
        <v>68</v>
      </c>
      <c r="AX482" s="223" t="s">
        <v>551</v>
      </c>
      <c r="AY482" s="52" t="s">
        <v>68</v>
      </c>
      <c r="AZ482" s="30" t="s">
        <v>1177</v>
      </c>
      <c r="BA482" s="5"/>
      <c r="BB482" s="5"/>
      <c r="BC482" s="11"/>
      <c r="BD482" s="30" t="s">
        <v>1177</v>
      </c>
      <c r="BE482" s="309"/>
      <c r="BF482" s="5"/>
      <c r="BG482" s="5"/>
      <c r="BH482" s="5"/>
      <c r="BI482" s="36">
        <f t="shared" si="14"/>
        <v>0</v>
      </c>
      <c r="BJ482" s="62" t="s">
        <v>68</v>
      </c>
      <c r="BK482" s="224"/>
      <c r="BL482" s="1041"/>
      <c r="BM482" s="695"/>
      <c r="BN482" s="695"/>
      <c r="BO482" s="696"/>
      <c r="BP482" s="696"/>
      <c r="BQ482" s="696"/>
      <c r="BR482" s="914"/>
      <c r="BS482" s="696"/>
      <c r="BT482" s="696"/>
      <c r="BU482" s="696"/>
      <c r="BV482" s="694"/>
      <c r="BW482" s="13"/>
      <c r="BX482" s="1256" t="s">
        <v>3730</v>
      </c>
      <c r="BY482" s="13"/>
      <c r="BZ482" s="13"/>
      <c r="CA482" s="13"/>
      <c r="CB482" s="1222" t="s">
        <v>2094</v>
      </c>
      <c r="CC482" s="38"/>
      <c r="CD482" s="526"/>
      <c r="CE482" s="526"/>
      <c r="CF482" s="526"/>
      <c r="CG482" s="526"/>
      <c r="CH482" s="526"/>
      <c r="CI482" s="526"/>
      <c r="CJ482" s="526"/>
      <c r="CK482" s="15"/>
    </row>
    <row r="483" spans="2:89" s="1050" customFormat="1" ht="50.1" hidden="1" customHeight="1">
      <c r="B483" s="1051"/>
      <c r="C483" s="1051"/>
      <c r="D483" s="1051"/>
      <c r="E483" s="1052"/>
      <c r="F483" s="1052"/>
      <c r="G483" s="553"/>
      <c r="H483" s="620"/>
      <c r="I483" s="620"/>
      <c r="J483" s="1053">
        <v>2020</v>
      </c>
      <c r="K483" s="1420">
        <v>205.29</v>
      </c>
      <c r="L483" s="1420"/>
      <c r="M483" s="1054" t="s">
        <v>166</v>
      </c>
      <c r="N483" s="1055" t="s">
        <v>3287</v>
      </c>
      <c r="O483" s="790" t="s">
        <v>251</v>
      </c>
      <c r="P483" s="1056" t="s">
        <v>3972</v>
      </c>
      <c r="Q483" s="1056"/>
      <c r="R483" s="1057"/>
      <c r="S483" s="1059"/>
      <c r="T483" s="1059" t="s">
        <v>68</v>
      </c>
      <c r="U483" s="1060" t="s">
        <v>68</v>
      </c>
      <c r="V483" s="1061" t="s">
        <v>68</v>
      </c>
      <c r="W483" s="1055" t="s">
        <v>3368</v>
      </c>
      <c r="X483" s="1054"/>
      <c r="Y483" s="1087"/>
      <c r="Z483" s="1378" t="s">
        <v>1177</v>
      </c>
      <c r="AA483" s="308"/>
      <c r="AB483" s="1063"/>
      <c r="AC483" s="1064"/>
      <c r="AD483" s="1064"/>
      <c r="AE483" s="1065"/>
      <c r="AF483" s="1066" t="s">
        <v>68</v>
      </c>
      <c r="AG483" s="1067" t="s">
        <v>68</v>
      </c>
      <c r="AH483" s="1067" t="s">
        <v>68</v>
      </c>
      <c r="AI483" s="1068" t="s">
        <v>68</v>
      </c>
      <c r="AJ483" s="1069" t="s">
        <v>68</v>
      </c>
      <c r="AK483" s="308" t="s">
        <v>68</v>
      </c>
      <c r="AL483" s="1070" t="s">
        <v>68</v>
      </c>
      <c r="AM483" s="1071"/>
      <c r="AN483" s="1070" t="s">
        <v>68</v>
      </c>
      <c r="AO483" s="1071"/>
      <c r="AP483" s="1070" t="s">
        <v>68</v>
      </c>
      <c r="AQ483" s="1071"/>
      <c r="AR483" s="1072">
        <v>0</v>
      </c>
      <c r="AS483" s="1073">
        <v>0</v>
      </c>
      <c r="AT483" s="1074"/>
      <c r="AU483" s="1075"/>
      <c r="AV483" s="1076" t="s">
        <v>68</v>
      </c>
      <c r="AW483" s="1077" t="s">
        <v>68</v>
      </c>
      <c r="AX483" s="1078" t="s">
        <v>551</v>
      </c>
      <c r="AY483" s="1079" t="s">
        <v>68</v>
      </c>
      <c r="AZ483" s="1076"/>
      <c r="BA483" s="1071"/>
      <c r="BB483" s="1071"/>
      <c r="BC483" s="1077"/>
      <c r="BD483" s="1076"/>
      <c r="BE483" s="1608"/>
      <c r="BF483" s="1071"/>
      <c r="BG483" s="1071"/>
      <c r="BH483" s="1071"/>
      <c r="BI483" s="1081"/>
      <c r="BJ483" s="1465"/>
      <c r="BK483" s="1478"/>
      <c r="BL483" s="1470"/>
      <c r="BM483" s="1471"/>
      <c r="BN483" s="1471"/>
      <c r="BO483" s="1487"/>
      <c r="BP483" s="1487"/>
      <c r="BQ483" s="1487"/>
      <c r="BR483" s="914"/>
      <c r="BS483" s="1487"/>
      <c r="BT483" s="1487"/>
      <c r="BU483" s="1487"/>
      <c r="BV483" s="1470"/>
      <c r="BW483" s="1082"/>
      <c r="BX483" s="1256"/>
      <c r="BY483" s="1082"/>
      <c r="BZ483" s="1082"/>
      <c r="CA483" s="1082"/>
      <c r="CB483" s="1486" t="s">
        <v>2094</v>
      </c>
      <c r="CC483" s="1085"/>
      <c r="CD483" s="789"/>
      <c r="CE483" s="789"/>
      <c r="CF483" s="789"/>
      <c r="CG483" s="789"/>
      <c r="CH483" s="789"/>
      <c r="CI483" s="789"/>
      <c r="CJ483" s="789"/>
      <c r="CK483" s="1086"/>
    </row>
    <row r="484" spans="2:89" ht="75.75" hidden="1" customHeight="1">
      <c r="B484" s="22"/>
      <c r="C484" s="22"/>
      <c r="D484" s="22"/>
      <c r="E484" s="911"/>
      <c r="F484" s="911"/>
      <c r="G484" s="915"/>
      <c r="H484" s="1746"/>
      <c r="I484" s="330"/>
      <c r="J484" s="169">
        <v>2020</v>
      </c>
      <c r="K484" s="1417">
        <v>205.3</v>
      </c>
      <c r="L484" s="1417"/>
      <c r="M484" s="170" t="s">
        <v>166</v>
      </c>
      <c r="N484" s="178" t="s">
        <v>3288</v>
      </c>
      <c r="O484" s="172" t="s">
        <v>45</v>
      </c>
      <c r="P484" s="173" t="s">
        <v>3380</v>
      </c>
      <c r="Q484" s="173" t="s">
        <v>2512</v>
      </c>
      <c r="R484" s="594">
        <f>8000*1.16</f>
        <v>9280</v>
      </c>
      <c r="S484" s="682">
        <v>44089</v>
      </c>
      <c r="T484" s="176" t="s">
        <v>68</v>
      </c>
      <c r="U484" s="177" t="s">
        <v>68</v>
      </c>
      <c r="V484" s="981" t="s">
        <v>68</v>
      </c>
      <c r="W484" s="178" t="s">
        <v>3368</v>
      </c>
      <c r="X484" s="170" t="s">
        <v>3264</v>
      </c>
      <c r="Y484" s="1040"/>
      <c r="Z484" s="368" t="s">
        <v>1177</v>
      </c>
      <c r="AA484" s="255"/>
      <c r="AB484" s="8"/>
      <c r="AC484" s="4"/>
      <c r="AD484" s="4"/>
      <c r="AE484" s="32"/>
      <c r="AF484" s="34" t="s">
        <v>68</v>
      </c>
      <c r="AG484" s="112" t="s">
        <v>68</v>
      </c>
      <c r="AH484" s="112" t="s">
        <v>68</v>
      </c>
      <c r="AI484" s="7" t="s">
        <v>68</v>
      </c>
      <c r="AJ484" s="109" t="s">
        <v>68</v>
      </c>
      <c r="AK484" s="33" t="s">
        <v>68</v>
      </c>
      <c r="AL484" s="1" t="s">
        <v>68</v>
      </c>
      <c r="AM484" s="5"/>
      <c r="AN484" s="1" t="s">
        <v>68</v>
      </c>
      <c r="AO484" s="5"/>
      <c r="AP484" s="1" t="s">
        <v>68</v>
      </c>
      <c r="AQ484" s="5"/>
      <c r="AR484" s="279">
        <v>0</v>
      </c>
      <c r="AS484" s="35">
        <v>0</v>
      </c>
      <c r="AT484" s="902"/>
      <c r="AU484" s="891"/>
      <c r="AV484" s="30" t="s">
        <v>68</v>
      </c>
      <c r="AW484" s="11" t="s">
        <v>68</v>
      </c>
      <c r="AX484" s="223" t="s">
        <v>551</v>
      </c>
      <c r="AY484" s="52" t="s">
        <v>68</v>
      </c>
      <c r="AZ484" s="30" t="s">
        <v>1177</v>
      </c>
      <c r="BA484" s="5"/>
      <c r="BB484" s="5"/>
      <c r="BC484" s="11"/>
      <c r="BD484" s="30" t="s">
        <v>1177</v>
      </c>
      <c r="BE484" s="309"/>
      <c r="BF484" s="5"/>
      <c r="BG484" s="5"/>
      <c r="BH484" s="5"/>
      <c r="BI484" s="36">
        <f>AS484+AT484</f>
        <v>0</v>
      </c>
      <c r="BJ484" s="62" t="s">
        <v>68</v>
      </c>
      <c r="BK484" s="224"/>
      <c r="BL484" s="1041"/>
      <c r="BM484" s="695"/>
      <c r="BN484" s="695"/>
      <c r="BO484" s="696"/>
      <c r="BP484" s="696"/>
      <c r="BQ484" s="696"/>
      <c r="BR484" s="914"/>
      <c r="BS484" s="696"/>
      <c r="BT484" s="696"/>
      <c r="BU484" s="696"/>
      <c r="BV484" s="694"/>
      <c r="BW484" s="13"/>
      <c r="BX484" s="1256" t="s">
        <v>3730</v>
      </c>
      <c r="BY484" s="13"/>
      <c r="BZ484" s="13"/>
      <c r="CA484" s="13"/>
      <c r="CB484" s="1222" t="s">
        <v>2094</v>
      </c>
      <c r="CC484" s="38"/>
      <c r="CD484" s="526"/>
      <c r="CE484" s="526"/>
      <c r="CF484" s="526"/>
      <c r="CG484" s="526"/>
      <c r="CH484" s="526"/>
      <c r="CI484" s="526"/>
      <c r="CJ484" s="526"/>
      <c r="CK484" s="15"/>
    </row>
    <row r="485" spans="2:89" ht="102.75" hidden="1" customHeight="1">
      <c r="B485" s="22"/>
      <c r="C485" s="22"/>
      <c r="D485" s="22"/>
      <c r="E485" s="911"/>
      <c r="F485" s="911"/>
      <c r="G485" s="915"/>
      <c r="H485" s="1746"/>
      <c r="I485" s="330"/>
      <c r="J485" s="169">
        <v>2020</v>
      </c>
      <c r="K485" s="1417">
        <v>205.31</v>
      </c>
      <c r="L485" s="1417"/>
      <c r="M485" s="170" t="s">
        <v>166</v>
      </c>
      <c r="N485" s="178" t="s">
        <v>3289</v>
      </c>
      <c r="O485" s="172" t="s">
        <v>45</v>
      </c>
      <c r="P485" s="173" t="s">
        <v>3381</v>
      </c>
      <c r="Q485" s="173" t="s">
        <v>4410</v>
      </c>
      <c r="R485" s="594">
        <f>4500*1.16</f>
        <v>5220</v>
      </c>
      <c r="S485" s="682">
        <v>44089</v>
      </c>
      <c r="T485" s="176" t="s">
        <v>68</v>
      </c>
      <c r="U485" s="177" t="s">
        <v>68</v>
      </c>
      <c r="V485" s="981" t="s">
        <v>68</v>
      </c>
      <c r="W485" s="178" t="s">
        <v>3368</v>
      </c>
      <c r="X485" s="170" t="s">
        <v>3264</v>
      </c>
      <c r="Y485" s="1040"/>
      <c r="Z485" s="368" t="s">
        <v>1177</v>
      </c>
      <c r="AA485" s="255"/>
      <c r="AB485" s="8"/>
      <c r="AC485" s="4"/>
      <c r="AD485" s="4"/>
      <c r="AE485" s="32"/>
      <c r="AF485" s="34" t="s">
        <v>68</v>
      </c>
      <c r="AG485" s="112" t="s">
        <v>68</v>
      </c>
      <c r="AH485" s="112" t="s">
        <v>68</v>
      </c>
      <c r="AI485" s="7" t="s">
        <v>68</v>
      </c>
      <c r="AJ485" s="109" t="s">
        <v>68</v>
      </c>
      <c r="AK485" s="33" t="s">
        <v>68</v>
      </c>
      <c r="AL485" s="1" t="s">
        <v>68</v>
      </c>
      <c r="AM485" s="5"/>
      <c r="AN485" s="1" t="s">
        <v>68</v>
      </c>
      <c r="AO485" s="5"/>
      <c r="AP485" s="1" t="s">
        <v>68</v>
      </c>
      <c r="AQ485" s="5"/>
      <c r="AR485" s="279">
        <v>0</v>
      </c>
      <c r="AS485" s="35">
        <v>0</v>
      </c>
      <c r="AT485" s="902"/>
      <c r="AU485" s="891"/>
      <c r="AV485" s="30" t="s">
        <v>68</v>
      </c>
      <c r="AW485" s="11" t="s">
        <v>68</v>
      </c>
      <c r="AX485" s="223" t="s">
        <v>551</v>
      </c>
      <c r="AY485" s="52" t="s">
        <v>68</v>
      </c>
      <c r="AZ485" s="30" t="s">
        <v>1177</v>
      </c>
      <c r="BA485" s="5"/>
      <c r="BB485" s="5"/>
      <c r="BC485" s="11"/>
      <c r="BD485" s="30" t="s">
        <v>1177</v>
      </c>
      <c r="BE485" s="309"/>
      <c r="BF485" s="5"/>
      <c r="BG485" s="5"/>
      <c r="BH485" s="5"/>
      <c r="BI485" s="36">
        <f>AS485+AT485</f>
        <v>0</v>
      </c>
      <c r="BJ485" s="62" t="s">
        <v>68</v>
      </c>
      <c r="BK485" s="224"/>
      <c r="BL485" s="1041"/>
      <c r="BM485" s="695"/>
      <c r="BN485" s="695"/>
      <c r="BO485" s="696"/>
      <c r="BP485" s="696"/>
      <c r="BQ485" s="696"/>
      <c r="BR485" s="914"/>
      <c r="BS485" s="696"/>
      <c r="BT485" s="696"/>
      <c r="BU485" s="696"/>
      <c r="BV485" s="694"/>
      <c r="BW485" s="13"/>
      <c r="BX485" s="1256" t="s">
        <v>3730</v>
      </c>
      <c r="BY485" s="13"/>
      <c r="BZ485" s="13"/>
      <c r="CA485" s="13"/>
      <c r="CB485" s="1222" t="s">
        <v>2094</v>
      </c>
      <c r="CC485" s="38"/>
      <c r="CD485" s="526"/>
      <c r="CE485" s="526"/>
      <c r="CF485" s="526"/>
      <c r="CG485" s="526"/>
      <c r="CH485" s="526"/>
      <c r="CI485" s="526"/>
      <c r="CJ485" s="526"/>
      <c r="CK485" s="15"/>
    </row>
    <row r="486" spans="2:89" ht="109.5" hidden="1" customHeight="1">
      <c r="B486" s="22"/>
      <c r="C486" s="22"/>
      <c r="D486" s="22"/>
      <c r="E486" s="911"/>
      <c r="F486" s="911"/>
      <c r="G486" s="915"/>
      <c r="H486" s="1746"/>
      <c r="I486" s="330"/>
      <c r="J486" s="169">
        <v>2020</v>
      </c>
      <c r="K486" s="1417">
        <v>205.32</v>
      </c>
      <c r="L486" s="1417"/>
      <c r="M486" s="170" t="s">
        <v>166</v>
      </c>
      <c r="N486" s="178" t="s">
        <v>3290</v>
      </c>
      <c r="O486" s="172" t="s">
        <v>45</v>
      </c>
      <c r="P486" s="173" t="s">
        <v>3382</v>
      </c>
      <c r="Q486" s="173" t="s">
        <v>1975</v>
      </c>
      <c r="R486" s="594">
        <f>8500*1.16</f>
        <v>9860</v>
      </c>
      <c r="S486" s="682">
        <v>44089</v>
      </c>
      <c r="T486" s="176" t="s">
        <v>68</v>
      </c>
      <c r="U486" s="177" t="s">
        <v>68</v>
      </c>
      <c r="V486" s="981" t="s">
        <v>68</v>
      </c>
      <c r="W486" s="178" t="s">
        <v>3368</v>
      </c>
      <c r="X486" s="170" t="s">
        <v>3264</v>
      </c>
      <c r="Y486" s="1040"/>
      <c r="Z486" s="368" t="s">
        <v>1177</v>
      </c>
      <c r="AA486" s="255"/>
      <c r="AB486" s="8"/>
      <c r="AC486" s="4"/>
      <c r="AD486" s="4"/>
      <c r="AE486" s="32"/>
      <c r="AF486" s="34" t="s">
        <v>68</v>
      </c>
      <c r="AG486" s="112" t="s">
        <v>68</v>
      </c>
      <c r="AH486" s="112" t="s">
        <v>68</v>
      </c>
      <c r="AI486" s="7" t="s">
        <v>68</v>
      </c>
      <c r="AJ486" s="109" t="s">
        <v>68</v>
      </c>
      <c r="AK486" s="33" t="s">
        <v>68</v>
      </c>
      <c r="AL486" s="1" t="s">
        <v>68</v>
      </c>
      <c r="AM486" s="5"/>
      <c r="AN486" s="1" t="s">
        <v>68</v>
      </c>
      <c r="AO486" s="5"/>
      <c r="AP486" s="1" t="s">
        <v>68</v>
      </c>
      <c r="AQ486" s="5"/>
      <c r="AR486" s="279">
        <v>0</v>
      </c>
      <c r="AS486" s="35">
        <v>0</v>
      </c>
      <c r="AT486" s="902"/>
      <c r="AU486" s="891"/>
      <c r="AV486" s="30" t="s">
        <v>68</v>
      </c>
      <c r="AW486" s="11" t="s">
        <v>68</v>
      </c>
      <c r="AX486" s="223" t="s">
        <v>551</v>
      </c>
      <c r="AY486" s="52" t="s">
        <v>68</v>
      </c>
      <c r="AZ486" s="30" t="s">
        <v>1177</v>
      </c>
      <c r="BA486" s="5"/>
      <c r="BB486" s="5"/>
      <c r="BC486" s="11"/>
      <c r="BD486" s="30" t="s">
        <v>1177</v>
      </c>
      <c r="BE486" s="309"/>
      <c r="BF486" s="5"/>
      <c r="BG486" s="5"/>
      <c r="BH486" s="5"/>
      <c r="BI486" s="36">
        <f>AS486+AT486</f>
        <v>0</v>
      </c>
      <c r="BJ486" s="62" t="s">
        <v>68</v>
      </c>
      <c r="BK486" s="224"/>
      <c r="BL486" s="1041"/>
      <c r="BM486" s="695"/>
      <c r="BN486" s="695"/>
      <c r="BO486" s="696"/>
      <c r="BP486" s="696"/>
      <c r="BQ486" s="696"/>
      <c r="BR486" s="914"/>
      <c r="BS486" s="696"/>
      <c r="BT486" s="696"/>
      <c r="BU486" s="696"/>
      <c r="BV486" s="694"/>
      <c r="BW486" s="13"/>
      <c r="BX486" s="1256" t="s">
        <v>3730</v>
      </c>
      <c r="BY486" s="13"/>
      <c r="BZ486" s="13"/>
      <c r="CA486" s="13"/>
      <c r="CB486" s="1222" t="s">
        <v>2094</v>
      </c>
      <c r="CC486" s="38"/>
      <c r="CD486" s="526"/>
      <c r="CE486" s="526"/>
      <c r="CF486" s="526"/>
      <c r="CG486" s="526"/>
      <c r="CH486" s="526"/>
      <c r="CI486" s="526"/>
      <c r="CJ486" s="526"/>
      <c r="CK486" s="15"/>
    </row>
    <row r="487" spans="2:89" ht="93" hidden="1" customHeight="1">
      <c r="B487" s="22"/>
      <c r="C487" s="22"/>
      <c r="D487" s="22"/>
      <c r="E487" s="911"/>
      <c r="F487" s="911"/>
      <c r="G487" s="915"/>
      <c r="H487" s="1746"/>
      <c r="I487" s="330"/>
      <c r="J487" s="169">
        <v>2020</v>
      </c>
      <c r="K487" s="1417">
        <v>205.33</v>
      </c>
      <c r="L487" s="1417"/>
      <c r="M487" s="170" t="s">
        <v>166</v>
      </c>
      <c r="N487" s="178" t="s">
        <v>3376</v>
      </c>
      <c r="O487" s="172" t="s">
        <v>45</v>
      </c>
      <c r="P487" s="173" t="s">
        <v>3383</v>
      </c>
      <c r="Q487" s="173" t="s">
        <v>1975</v>
      </c>
      <c r="R487" s="594">
        <f>3500*1.16</f>
        <v>4059.9999999999995</v>
      </c>
      <c r="S487" s="682">
        <v>44089</v>
      </c>
      <c r="T487" s="176" t="s">
        <v>68</v>
      </c>
      <c r="U487" s="177" t="s">
        <v>68</v>
      </c>
      <c r="V487" s="981" t="s">
        <v>68</v>
      </c>
      <c r="W487" s="178" t="s">
        <v>3368</v>
      </c>
      <c r="X487" s="170" t="s">
        <v>3264</v>
      </c>
      <c r="Y487" s="1040"/>
      <c r="Z487" s="368" t="s">
        <v>1177</v>
      </c>
      <c r="AA487" s="255"/>
      <c r="AB487" s="8"/>
      <c r="AC487" s="4"/>
      <c r="AD487" s="4"/>
      <c r="AE487" s="32"/>
      <c r="AF487" s="34" t="s">
        <v>68</v>
      </c>
      <c r="AG487" s="112" t="s">
        <v>68</v>
      </c>
      <c r="AH487" s="112" t="s">
        <v>68</v>
      </c>
      <c r="AI487" s="7" t="s">
        <v>68</v>
      </c>
      <c r="AJ487" s="109" t="s">
        <v>68</v>
      </c>
      <c r="AK487" s="33" t="s">
        <v>68</v>
      </c>
      <c r="AL487" s="1" t="s">
        <v>68</v>
      </c>
      <c r="AM487" s="5"/>
      <c r="AN487" s="1" t="s">
        <v>68</v>
      </c>
      <c r="AO487" s="5"/>
      <c r="AP487" s="1" t="s">
        <v>68</v>
      </c>
      <c r="AQ487" s="5"/>
      <c r="AR487" s="279">
        <v>0</v>
      </c>
      <c r="AS487" s="35">
        <v>0</v>
      </c>
      <c r="AT487" s="902"/>
      <c r="AU487" s="891"/>
      <c r="AV487" s="30" t="s">
        <v>68</v>
      </c>
      <c r="AW487" s="11" t="s">
        <v>68</v>
      </c>
      <c r="AX487" s="223" t="s">
        <v>551</v>
      </c>
      <c r="AY487" s="52" t="s">
        <v>68</v>
      </c>
      <c r="AZ487" s="30" t="s">
        <v>1177</v>
      </c>
      <c r="BA487" s="5"/>
      <c r="BB487" s="5"/>
      <c r="BC487" s="11"/>
      <c r="BD487" s="30" t="s">
        <v>1177</v>
      </c>
      <c r="BE487" s="309"/>
      <c r="BF487" s="5"/>
      <c r="BG487" s="5"/>
      <c r="BH487" s="5"/>
      <c r="BI487" s="36">
        <f>AS487+AT487</f>
        <v>0</v>
      </c>
      <c r="BJ487" s="62" t="s">
        <v>68</v>
      </c>
      <c r="BK487" s="224"/>
      <c r="BL487" s="1041"/>
      <c r="BM487" s="695"/>
      <c r="BN487" s="695"/>
      <c r="BO487" s="696"/>
      <c r="BP487" s="696"/>
      <c r="BQ487" s="696"/>
      <c r="BR487" s="914"/>
      <c r="BS487" s="696"/>
      <c r="BT487" s="696"/>
      <c r="BU487" s="696"/>
      <c r="BV487" s="694"/>
      <c r="BW487" s="13"/>
      <c r="BX487" s="1256" t="s">
        <v>3730</v>
      </c>
      <c r="BY487" s="13"/>
      <c r="BZ487" s="13"/>
      <c r="CA487" s="13"/>
      <c r="CB487" s="1222" t="s">
        <v>2094</v>
      </c>
      <c r="CC487" s="38"/>
      <c r="CD487" s="526"/>
      <c r="CE487" s="526"/>
      <c r="CF487" s="526"/>
      <c r="CG487" s="526"/>
      <c r="CH487" s="526"/>
      <c r="CI487" s="526"/>
      <c r="CJ487" s="526"/>
      <c r="CK487" s="15"/>
    </row>
    <row r="488" spans="2:89" ht="78" hidden="1" customHeight="1">
      <c r="B488" s="22"/>
      <c r="C488" s="22"/>
      <c r="D488" s="22"/>
      <c r="E488" s="911">
        <v>44075</v>
      </c>
      <c r="F488" s="911"/>
      <c r="G488" s="915"/>
      <c r="H488" s="1746"/>
      <c r="I488" s="330">
        <v>43985</v>
      </c>
      <c r="J488" s="169">
        <v>2020</v>
      </c>
      <c r="K488" s="1417">
        <v>206.01</v>
      </c>
      <c r="L488" s="1417"/>
      <c r="M488" s="170" t="s">
        <v>166</v>
      </c>
      <c r="N488" s="178" t="s">
        <v>2734</v>
      </c>
      <c r="O488" s="172" t="s">
        <v>79</v>
      </c>
      <c r="P488" s="173" t="s">
        <v>2798</v>
      </c>
      <c r="Q488" s="173" t="s">
        <v>1975</v>
      </c>
      <c r="R488" s="594">
        <v>156714.98000000001</v>
      </c>
      <c r="S488" s="176">
        <v>43894</v>
      </c>
      <c r="T488" s="176">
        <v>43894</v>
      </c>
      <c r="U488" s="177">
        <v>43960</v>
      </c>
      <c r="V488" s="105">
        <v>43892</v>
      </c>
      <c r="W488" s="178" t="s">
        <v>6565</v>
      </c>
      <c r="X488" s="1045" t="s">
        <v>984</v>
      </c>
      <c r="Y488" s="200" t="s">
        <v>68</v>
      </c>
      <c r="Z488" s="368"/>
      <c r="AA488" s="241" t="s">
        <v>2813</v>
      </c>
      <c r="AB488" s="8">
        <v>43884</v>
      </c>
      <c r="AC488" s="4">
        <v>160069.69</v>
      </c>
      <c r="AD488" s="4"/>
      <c r="AE488" s="32"/>
      <c r="AF488" s="34" t="s">
        <v>68</v>
      </c>
      <c r="AG488" s="112" t="s">
        <v>68</v>
      </c>
      <c r="AH488" s="112" t="s">
        <v>68</v>
      </c>
      <c r="AI488" s="7" t="s">
        <v>68</v>
      </c>
      <c r="AJ488" s="109" t="s">
        <v>68</v>
      </c>
      <c r="AK488" s="241" t="s">
        <v>2815</v>
      </c>
      <c r="AL488" s="1" t="s">
        <v>68</v>
      </c>
      <c r="AM488" s="5"/>
      <c r="AN488" s="1" t="s">
        <v>2814</v>
      </c>
      <c r="AO488" s="5">
        <v>43892</v>
      </c>
      <c r="AP488" s="1" t="s">
        <v>2816</v>
      </c>
      <c r="AQ488" s="5">
        <v>43923</v>
      </c>
      <c r="AR488" s="279">
        <f>15671.5+15671.5</f>
        <v>31343</v>
      </c>
      <c r="AS488" s="35">
        <v>0</v>
      </c>
      <c r="AT488" s="900">
        <v>156609.66</v>
      </c>
      <c r="AU488" s="884">
        <v>156609.66</v>
      </c>
      <c r="AV488" s="225">
        <v>43915</v>
      </c>
      <c r="AW488" s="11">
        <v>43923</v>
      </c>
      <c r="AX488" s="223" t="s">
        <v>68</v>
      </c>
      <c r="AY488" s="52" t="s">
        <v>68</v>
      </c>
      <c r="AZ488" s="225">
        <v>43924</v>
      </c>
      <c r="BA488" s="5">
        <v>43894</v>
      </c>
      <c r="BB488" s="5">
        <v>43960</v>
      </c>
      <c r="BC488" s="11">
        <v>43923</v>
      </c>
      <c r="BD488" s="225">
        <v>43925</v>
      </c>
      <c r="BE488" s="1606"/>
      <c r="BF488" s="5">
        <v>43894</v>
      </c>
      <c r="BG488" s="5">
        <v>43960</v>
      </c>
      <c r="BH488" s="5">
        <v>43923</v>
      </c>
      <c r="BI488" s="36">
        <f t="shared" ref="BI488:BI494" si="15">AS488+AT488</f>
        <v>156609.66</v>
      </c>
      <c r="BJ488" s="377">
        <v>43923</v>
      </c>
      <c r="BK488" s="1819"/>
      <c r="BL488" s="1027">
        <v>43893</v>
      </c>
      <c r="BM488" s="325">
        <v>43910</v>
      </c>
      <c r="BN488" s="325">
        <v>43910</v>
      </c>
      <c r="BO488" s="1091"/>
      <c r="BP488" s="1091"/>
      <c r="BQ488" s="1091"/>
      <c r="BR488" s="914"/>
      <c r="BS488" s="1091">
        <v>43920</v>
      </c>
      <c r="BT488" s="1091"/>
      <c r="BU488" s="1092">
        <v>43920</v>
      </c>
      <c r="BV488" s="1093" t="s">
        <v>2817</v>
      </c>
      <c r="BW488" s="13"/>
      <c r="BX488" s="1313" t="s">
        <v>3554</v>
      </c>
      <c r="BY488" s="13"/>
      <c r="BZ488" s="13"/>
      <c r="CA488" s="13"/>
      <c r="CB488" s="1222" t="s">
        <v>2094</v>
      </c>
      <c r="CC488" s="586" t="s">
        <v>1143</v>
      </c>
      <c r="CD488" s="526"/>
      <c r="CE488" s="526"/>
      <c r="CF488" s="526"/>
      <c r="CG488" s="526"/>
      <c r="CH488" s="526"/>
      <c r="CI488" s="526"/>
      <c r="CJ488" s="526"/>
      <c r="CK488" s="15"/>
    </row>
    <row r="489" spans="2:89" ht="101.25" hidden="1" customHeight="1">
      <c r="B489" s="22"/>
      <c r="C489" s="22"/>
      <c r="D489" s="22"/>
      <c r="E489" s="911">
        <v>44075</v>
      </c>
      <c r="F489" s="911"/>
      <c r="G489" s="915">
        <v>44286</v>
      </c>
      <c r="H489" s="1746"/>
      <c r="I489" s="330">
        <v>43985</v>
      </c>
      <c r="J489" s="169">
        <v>2020</v>
      </c>
      <c r="K489" s="1417">
        <v>206.02</v>
      </c>
      <c r="L489" s="1417"/>
      <c r="M489" s="170" t="s">
        <v>77</v>
      </c>
      <c r="N489" s="178" t="s">
        <v>2735</v>
      </c>
      <c r="O489" s="172" t="s">
        <v>79</v>
      </c>
      <c r="P489" s="173" t="s">
        <v>2744</v>
      </c>
      <c r="Q489" s="173" t="s">
        <v>2538</v>
      </c>
      <c r="R489" s="174">
        <v>654632.78</v>
      </c>
      <c r="S489" s="176">
        <v>43936</v>
      </c>
      <c r="T489" s="176">
        <v>43937</v>
      </c>
      <c r="U489" s="177">
        <v>43958</v>
      </c>
      <c r="V489" s="105">
        <v>43934</v>
      </c>
      <c r="W489" s="178" t="s">
        <v>1268</v>
      </c>
      <c r="X489" s="170" t="s">
        <v>3047</v>
      </c>
      <c r="Y489" s="200">
        <v>44335</v>
      </c>
      <c r="Z489" s="368"/>
      <c r="AA489" s="241" t="s">
        <v>2809</v>
      </c>
      <c r="AB489" s="8">
        <v>43923</v>
      </c>
      <c r="AC489" s="4">
        <v>665287.4</v>
      </c>
      <c r="AD489" s="4"/>
      <c r="AE489" s="32"/>
      <c r="AF489" s="34" t="s">
        <v>68</v>
      </c>
      <c r="AG489" s="112" t="s">
        <v>68</v>
      </c>
      <c r="AH489" s="112" t="s">
        <v>68</v>
      </c>
      <c r="AI489" s="7" t="s">
        <v>68</v>
      </c>
      <c r="AJ489" s="109" t="s">
        <v>68</v>
      </c>
      <c r="AK489" s="33" t="s">
        <v>2914</v>
      </c>
      <c r="AL489" s="1" t="s">
        <v>68</v>
      </c>
      <c r="AM489" s="5"/>
      <c r="AN489" s="1" t="s">
        <v>2812</v>
      </c>
      <c r="AO489" s="5">
        <v>43936</v>
      </c>
      <c r="AP489" s="2" t="s">
        <v>2913</v>
      </c>
      <c r="AQ489" s="5">
        <v>44005</v>
      </c>
      <c r="AR489" s="279">
        <f>65463.27*2</f>
        <v>130926.54</v>
      </c>
      <c r="AS489" s="35">
        <v>0</v>
      </c>
      <c r="AT489" s="895">
        <v>685944.29</v>
      </c>
      <c r="AU489" s="884">
        <v>685944.29</v>
      </c>
      <c r="AV489" s="230">
        <v>43937</v>
      </c>
      <c r="AW489" s="11"/>
      <c r="AX489" s="223" t="s">
        <v>68</v>
      </c>
      <c r="AY489" s="52" t="s">
        <v>68</v>
      </c>
      <c r="AZ489" s="225">
        <v>43959</v>
      </c>
      <c r="BA489" s="5">
        <v>43937</v>
      </c>
      <c r="BB489" s="5">
        <v>43958</v>
      </c>
      <c r="BC489" s="11">
        <v>43958</v>
      </c>
      <c r="BD489" s="225">
        <v>47293</v>
      </c>
      <c r="BE489" s="1606"/>
      <c r="BF489" s="5">
        <v>43937</v>
      </c>
      <c r="BG489" s="5">
        <v>43958</v>
      </c>
      <c r="BH489" s="5">
        <v>43958</v>
      </c>
      <c r="BI489" s="36">
        <f t="shared" si="15"/>
        <v>685944.29</v>
      </c>
      <c r="BJ489" s="377">
        <v>44007</v>
      </c>
      <c r="BK489" s="1819"/>
      <c r="BL489" s="1027">
        <v>43936</v>
      </c>
      <c r="BM489" s="1113"/>
      <c r="BN489" s="325">
        <v>43936</v>
      </c>
      <c r="BO489" s="1443"/>
      <c r="BP489" s="1443"/>
      <c r="BQ489" s="1443"/>
      <c r="BR489" s="914"/>
      <c r="BS489" s="1091">
        <v>43956</v>
      </c>
      <c r="BT489" s="1443"/>
      <c r="BU489" s="914">
        <v>43949</v>
      </c>
      <c r="BV489" s="694"/>
      <c r="BW489" s="13"/>
      <c r="BX489" s="1256" t="s">
        <v>3730</v>
      </c>
      <c r="BY489" s="13" t="s">
        <v>1295</v>
      </c>
      <c r="BZ489" s="13" t="s">
        <v>1295</v>
      </c>
      <c r="CA489" s="13" t="s">
        <v>1295</v>
      </c>
      <c r="CB489" s="1222" t="s">
        <v>2094</v>
      </c>
      <c r="CC489" s="38"/>
      <c r="CD489" s="526"/>
      <c r="CE489" s="526"/>
      <c r="CF489" s="526"/>
      <c r="CG489" s="526"/>
      <c r="CH489" s="526"/>
      <c r="CI489" s="526"/>
      <c r="CJ489" s="526"/>
      <c r="CK489" s="15"/>
    </row>
    <row r="490" spans="2:89" ht="94.5" hidden="1" customHeight="1">
      <c r="B490" s="22"/>
      <c r="C490" s="22"/>
      <c r="D490" s="22"/>
      <c r="E490" s="911">
        <v>44075</v>
      </c>
      <c r="F490" s="911"/>
      <c r="G490" s="915">
        <v>44291</v>
      </c>
      <c r="H490" s="1746"/>
      <c r="I490" s="330">
        <v>43985</v>
      </c>
      <c r="J490" s="169">
        <v>2020</v>
      </c>
      <c r="K490" s="1417">
        <v>206.03</v>
      </c>
      <c r="L490" s="1417"/>
      <c r="M490" s="170" t="s">
        <v>77</v>
      </c>
      <c r="N490" s="178" t="s">
        <v>2736</v>
      </c>
      <c r="O490" s="172" t="s">
        <v>79</v>
      </c>
      <c r="P490" s="173" t="s">
        <v>2745</v>
      </c>
      <c r="Q490" s="173" t="s">
        <v>2577</v>
      </c>
      <c r="R490" s="174">
        <v>248927.96</v>
      </c>
      <c r="S490" s="176">
        <v>43948</v>
      </c>
      <c r="T490" s="176">
        <v>43949</v>
      </c>
      <c r="U490" s="177">
        <v>43980</v>
      </c>
      <c r="V490" s="105">
        <v>43945</v>
      </c>
      <c r="W490" s="1044" t="s">
        <v>3038</v>
      </c>
      <c r="X490" s="1045" t="s">
        <v>984</v>
      </c>
      <c r="Y490" s="1094">
        <v>43976</v>
      </c>
      <c r="Z490" s="1384"/>
      <c r="AA490" s="241" t="s">
        <v>2810</v>
      </c>
      <c r="AB490" s="8">
        <v>43923</v>
      </c>
      <c r="AC490" s="4">
        <v>249126.75</v>
      </c>
      <c r="AD490" s="4"/>
      <c r="AE490" s="32"/>
      <c r="AF490" s="34" t="s">
        <v>68</v>
      </c>
      <c r="AG490" s="112" t="s">
        <v>68</v>
      </c>
      <c r="AH490" s="112" t="s">
        <v>68</v>
      </c>
      <c r="AI490" s="7" t="s">
        <v>68</v>
      </c>
      <c r="AJ490" s="109" t="s">
        <v>68</v>
      </c>
      <c r="AK490" s="241" t="s">
        <v>1226</v>
      </c>
      <c r="AL490" s="1">
        <v>20999</v>
      </c>
      <c r="AM490" s="5">
        <v>43945</v>
      </c>
      <c r="AN490" s="1">
        <v>20998</v>
      </c>
      <c r="AO490" s="5">
        <v>43945</v>
      </c>
      <c r="AP490" s="1">
        <v>200915</v>
      </c>
      <c r="AQ490" s="5">
        <v>43980</v>
      </c>
      <c r="AR490" s="279">
        <f>62231.99+24892.79+101098.05</f>
        <v>188222.83000000002</v>
      </c>
      <c r="AS490" s="35">
        <v>0</v>
      </c>
      <c r="AT490" s="900">
        <v>255753.06</v>
      </c>
      <c r="AU490" s="884">
        <v>255753.06</v>
      </c>
      <c r="AV490" s="66" t="s">
        <v>74</v>
      </c>
      <c r="AW490" s="11"/>
      <c r="AX490" s="223" t="s">
        <v>68</v>
      </c>
      <c r="AY490" s="52" t="s">
        <v>68</v>
      </c>
      <c r="AZ490" s="225">
        <v>43980</v>
      </c>
      <c r="BA490" s="5">
        <v>43949</v>
      </c>
      <c r="BB490" s="5" t="s">
        <v>2842</v>
      </c>
      <c r="BC490" s="11">
        <v>43980</v>
      </c>
      <c r="BD490" s="225">
        <v>43983</v>
      </c>
      <c r="BE490" s="1606"/>
      <c r="BF490" s="5">
        <v>43949</v>
      </c>
      <c r="BG490" s="5">
        <v>43980</v>
      </c>
      <c r="BH490" s="5">
        <v>43980</v>
      </c>
      <c r="BI490" s="36">
        <f t="shared" si="15"/>
        <v>255753.06</v>
      </c>
      <c r="BJ490" s="377">
        <v>43953</v>
      </c>
      <c r="BK490" s="1819"/>
      <c r="BL490" s="1027">
        <v>43945</v>
      </c>
      <c r="BM490" s="325">
        <v>43963</v>
      </c>
      <c r="BN490" s="325">
        <v>43963</v>
      </c>
      <c r="BO490" s="1091"/>
      <c r="BP490" s="1091"/>
      <c r="BQ490" s="1091"/>
      <c r="BR490" s="914"/>
      <c r="BS490" s="1091">
        <v>43977</v>
      </c>
      <c r="BT490" s="1091"/>
      <c r="BU490" s="914">
        <v>43971</v>
      </c>
      <c r="BV490" s="694"/>
      <c r="BW490" s="13"/>
      <c r="BX490" s="1256" t="s">
        <v>3730</v>
      </c>
      <c r="BY490" s="158" t="s">
        <v>3570</v>
      </c>
      <c r="BZ490" s="158" t="s">
        <v>3570</v>
      </c>
      <c r="CA490" s="158" t="s">
        <v>3548</v>
      </c>
      <c r="CB490" s="1222" t="s">
        <v>2094</v>
      </c>
      <c r="CC490" s="38"/>
      <c r="CD490" s="526"/>
      <c r="CE490" s="526"/>
      <c r="CF490" s="526"/>
      <c r="CG490" s="526"/>
      <c r="CH490" s="526"/>
      <c r="CI490" s="526"/>
      <c r="CJ490" s="526"/>
      <c r="CK490" s="15"/>
    </row>
    <row r="491" spans="2:89" ht="96.75" hidden="1" customHeight="1">
      <c r="B491" s="22"/>
      <c r="C491" s="22"/>
      <c r="D491" s="22"/>
      <c r="E491" s="911">
        <v>44075</v>
      </c>
      <c r="F491" s="911"/>
      <c r="G491" s="915">
        <v>44285</v>
      </c>
      <c r="H491" s="1746"/>
      <c r="I491" s="330">
        <v>44017</v>
      </c>
      <c r="J491" s="169">
        <v>2020</v>
      </c>
      <c r="K491" s="1417">
        <v>206.04</v>
      </c>
      <c r="L491" s="1417"/>
      <c r="M491" s="170" t="s">
        <v>77</v>
      </c>
      <c r="N491" s="178" t="s">
        <v>2737</v>
      </c>
      <c r="O491" s="172" t="s">
        <v>79</v>
      </c>
      <c r="P491" s="173" t="s">
        <v>2803</v>
      </c>
      <c r="Q491" s="173" t="s">
        <v>1975</v>
      </c>
      <c r="R491" s="594">
        <v>1010980.5</v>
      </c>
      <c r="S491" s="176">
        <v>43951</v>
      </c>
      <c r="T491" s="176">
        <v>43962</v>
      </c>
      <c r="U491" s="177">
        <v>44054</v>
      </c>
      <c r="V491" s="105">
        <v>43950</v>
      </c>
      <c r="W491" s="178" t="s">
        <v>2804</v>
      </c>
      <c r="X491" s="1045" t="s">
        <v>213</v>
      </c>
      <c r="Y491" s="461" t="s">
        <v>74</v>
      </c>
      <c r="Z491" s="1371"/>
      <c r="AA491" s="241" t="s">
        <v>2808</v>
      </c>
      <c r="AB491" s="8">
        <v>43923</v>
      </c>
      <c r="AC491" s="4">
        <v>1011249.78</v>
      </c>
      <c r="AD491" s="4"/>
      <c r="AE491" s="32"/>
      <c r="AF491" s="34" t="s">
        <v>68</v>
      </c>
      <c r="AG491" s="112" t="s">
        <v>68</v>
      </c>
      <c r="AH491" s="112" t="s">
        <v>68</v>
      </c>
      <c r="AI491" s="7" t="s">
        <v>68</v>
      </c>
      <c r="AJ491" s="109" t="s">
        <v>68</v>
      </c>
      <c r="AK491" s="33" t="s">
        <v>1226</v>
      </c>
      <c r="AL491" s="1">
        <v>20997</v>
      </c>
      <c r="AM491" s="5">
        <v>43962</v>
      </c>
      <c r="AN491" s="1">
        <v>20995</v>
      </c>
      <c r="AO491" s="5">
        <v>43962</v>
      </c>
      <c r="AP491" s="1">
        <v>200921</v>
      </c>
      <c r="AQ491" s="5">
        <v>43995</v>
      </c>
      <c r="AR491" s="279">
        <f>252745.12+101098.05+101098.05</f>
        <v>454941.22</v>
      </c>
      <c r="AS491" s="35">
        <v>0</v>
      </c>
      <c r="AT491" s="895">
        <v>966143.58</v>
      </c>
      <c r="AU491" s="884">
        <v>966143.58</v>
      </c>
      <c r="AV491" s="66" t="s">
        <v>74</v>
      </c>
      <c r="AW491" s="11"/>
      <c r="AX491" s="223" t="s">
        <v>68</v>
      </c>
      <c r="AY491" s="52" t="s">
        <v>68</v>
      </c>
      <c r="AZ491" s="225">
        <v>43997</v>
      </c>
      <c r="BA491" s="5">
        <v>43962</v>
      </c>
      <c r="BB491" s="5">
        <v>44054</v>
      </c>
      <c r="BC491" s="11">
        <v>43995</v>
      </c>
      <c r="BD491" s="225">
        <v>43997</v>
      </c>
      <c r="BE491" s="1606"/>
      <c r="BF491" s="5">
        <v>43962</v>
      </c>
      <c r="BG491" s="5">
        <v>44054</v>
      </c>
      <c r="BH491" s="5">
        <v>43995</v>
      </c>
      <c r="BI491" s="36">
        <f t="shared" si="15"/>
        <v>966143.58</v>
      </c>
      <c r="BJ491" s="377">
        <v>43997</v>
      </c>
      <c r="BK491" s="1819"/>
      <c r="BL491" s="1027">
        <v>43951</v>
      </c>
      <c r="BM491" s="325">
        <v>43962</v>
      </c>
      <c r="BN491" s="325">
        <v>43962</v>
      </c>
      <c r="BO491" s="1091"/>
      <c r="BP491" s="1091"/>
      <c r="BQ491" s="1091"/>
      <c r="BR491" s="914"/>
      <c r="BS491" s="1091">
        <v>43990</v>
      </c>
      <c r="BT491" s="1091"/>
      <c r="BU491" s="696"/>
      <c r="BV491" s="694"/>
      <c r="BW491" s="13"/>
      <c r="BX491" s="1082" t="s">
        <v>3591</v>
      </c>
      <c r="BY491" s="13" t="s">
        <v>1295</v>
      </c>
      <c r="BZ491" s="158" t="s">
        <v>3570</v>
      </c>
      <c r="CA491" s="1082" t="s">
        <v>3592</v>
      </c>
      <c r="CB491" s="1222" t="s">
        <v>2094</v>
      </c>
      <c r="CC491" s="38"/>
      <c r="CD491" s="526"/>
      <c r="CE491" s="526"/>
      <c r="CF491" s="526"/>
      <c r="CG491" s="526"/>
      <c r="CH491" s="526"/>
      <c r="CI491" s="526"/>
      <c r="CJ491" s="526"/>
      <c r="CK491" s="15"/>
    </row>
    <row r="492" spans="2:89" ht="93.75" hidden="1" customHeight="1">
      <c r="B492" s="22"/>
      <c r="C492" s="22"/>
      <c r="D492" s="22"/>
      <c r="E492" s="911">
        <v>44075</v>
      </c>
      <c r="F492" s="911"/>
      <c r="G492" s="915">
        <v>44291</v>
      </c>
      <c r="H492" s="1746"/>
      <c r="I492" s="330">
        <v>43985</v>
      </c>
      <c r="J492" s="169">
        <v>2020</v>
      </c>
      <c r="K492" s="1417">
        <v>206.05</v>
      </c>
      <c r="L492" s="1417"/>
      <c r="M492" s="1045" t="s">
        <v>77</v>
      </c>
      <c r="N492" s="178" t="s">
        <v>2738</v>
      </c>
      <c r="O492" s="172" t="s">
        <v>79</v>
      </c>
      <c r="P492" s="173" t="s">
        <v>2835</v>
      </c>
      <c r="Q492" s="173" t="s">
        <v>2577</v>
      </c>
      <c r="R492" s="174">
        <v>125624.96000000001</v>
      </c>
      <c r="S492" s="176">
        <v>43948</v>
      </c>
      <c r="T492" s="176">
        <v>43949</v>
      </c>
      <c r="U492" s="177">
        <v>43980</v>
      </c>
      <c r="V492" s="981">
        <v>43945</v>
      </c>
      <c r="W492" s="1044" t="s">
        <v>2811</v>
      </c>
      <c r="X492" s="1045" t="s">
        <v>984</v>
      </c>
      <c r="Y492" s="1094">
        <v>43976</v>
      </c>
      <c r="Z492" s="1384"/>
      <c r="AA492" s="241" t="s">
        <v>2843</v>
      </c>
      <c r="AB492" s="540">
        <v>43972</v>
      </c>
      <c r="AC492" s="4">
        <v>127065.7</v>
      </c>
      <c r="AD492" s="4"/>
      <c r="AE492" s="32"/>
      <c r="AF492" s="34" t="s">
        <v>68</v>
      </c>
      <c r="AG492" s="112" t="s">
        <v>68</v>
      </c>
      <c r="AH492" s="112" t="s">
        <v>68</v>
      </c>
      <c r="AI492" s="7" t="s">
        <v>68</v>
      </c>
      <c r="AJ492" s="109" t="s">
        <v>68</v>
      </c>
      <c r="AK492" s="241" t="s">
        <v>2844</v>
      </c>
      <c r="AL492" s="1"/>
      <c r="AM492" s="5"/>
      <c r="AN492" s="1">
        <v>21013</v>
      </c>
      <c r="AO492" s="5">
        <v>43949</v>
      </c>
      <c r="AP492" s="1">
        <v>200919</v>
      </c>
      <c r="AQ492" s="5">
        <v>43980</v>
      </c>
      <c r="AR492" s="279">
        <f>12562.49+12562.49</f>
        <v>25124.98</v>
      </c>
      <c r="AS492" s="35">
        <v>0</v>
      </c>
      <c r="AT492" s="900">
        <v>133293.67000000001</v>
      </c>
      <c r="AU492" s="884">
        <v>133293.67000000001</v>
      </c>
      <c r="AV492" s="66" t="s">
        <v>74</v>
      </c>
      <c r="AW492" s="11"/>
      <c r="AX492" s="223" t="s">
        <v>68</v>
      </c>
      <c r="AY492" s="52" t="s">
        <v>68</v>
      </c>
      <c r="AZ492" s="225">
        <v>43978</v>
      </c>
      <c r="BA492" s="5">
        <v>43949</v>
      </c>
      <c r="BB492" s="5">
        <v>43980</v>
      </c>
      <c r="BC492" s="11">
        <v>43977</v>
      </c>
      <c r="BD492" s="225">
        <v>43979</v>
      </c>
      <c r="BE492" s="1606"/>
      <c r="BF492" s="5">
        <v>43949</v>
      </c>
      <c r="BG492" s="5">
        <v>43980</v>
      </c>
      <c r="BH492" s="5">
        <v>43977</v>
      </c>
      <c r="BI492" s="36">
        <f t="shared" si="15"/>
        <v>133293.67000000001</v>
      </c>
      <c r="BJ492" s="377">
        <v>43980</v>
      </c>
      <c r="BK492" s="1819"/>
      <c r="BL492" s="1027">
        <v>43945</v>
      </c>
      <c r="BM492" s="325">
        <v>43948</v>
      </c>
      <c r="BN492" s="325">
        <v>43948</v>
      </c>
      <c r="BO492" s="1091"/>
      <c r="BP492" s="1091"/>
      <c r="BQ492" s="1091"/>
      <c r="BR492" s="914"/>
      <c r="BS492" s="1091">
        <v>43976</v>
      </c>
      <c r="BT492" s="1091"/>
      <c r="BU492" s="914">
        <v>43973</v>
      </c>
      <c r="BV492" s="694"/>
      <c r="BW492" s="13"/>
      <c r="BX492" s="1256" t="s">
        <v>3730</v>
      </c>
      <c r="BY492" s="158" t="s">
        <v>3570</v>
      </c>
      <c r="BZ492" s="158" t="s">
        <v>3570</v>
      </c>
      <c r="CA492" s="158" t="s">
        <v>3543</v>
      </c>
      <c r="CB492" s="1222" t="s">
        <v>2094</v>
      </c>
      <c r="CC492" s="38"/>
      <c r="CD492" s="526"/>
      <c r="CE492" s="526"/>
      <c r="CF492" s="526"/>
      <c r="CG492" s="526"/>
      <c r="CH492" s="526"/>
      <c r="CI492" s="526"/>
      <c r="CJ492" s="526"/>
      <c r="CK492" s="15"/>
    </row>
    <row r="493" spans="2:89" ht="119.25" hidden="1" customHeight="1">
      <c r="B493" s="22"/>
      <c r="C493" s="22"/>
      <c r="D493" s="22"/>
      <c r="E493" s="911">
        <v>44075</v>
      </c>
      <c r="F493" s="911"/>
      <c r="G493" s="915">
        <v>44286</v>
      </c>
      <c r="H493" s="1746"/>
      <c r="I493" s="330">
        <v>43985</v>
      </c>
      <c r="J493" s="169">
        <v>2020</v>
      </c>
      <c r="K493" s="1417">
        <v>206.06</v>
      </c>
      <c r="L493" s="1417"/>
      <c r="M493" s="170" t="s">
        <v>77</v>
      </c>
      <c r="N493" s="178" t="s">
        <v>2739</v>
      </c>
      <c r="O493" s="172" t="s">
        <v>79</v>
      </c>
      <c r="P493" s="173" t="s">
        <v>2818</v>
      </c>
      <c r="Q493" s="173" t="s">
        <v>1975</v>
      </c>
      <c r="R493" s="174">
        <v>965741.4</v>
      </c>
      <c r="S493" s="176">
        <v>43977</v>
      </c>
      <c r="T493" s="176">
        <v>43984</v>
      </c>
      <c r="U493" s="177">
        <v>44040</v>
      </c>
      <c r="V493" s="105">
        <v>43976</v>
      </c>
      <c r="W493" s="178" t="s">
        <v>2819</v>
      </c>
      <c r="X493" s="170" t="s">
        <v>449</v>
      </c>
      <c r="Y493" s="200">
        <v>43973</v>
      </c>
      <c r="Z493" s="368"/>
      <c r="AA493" s="33" t="s">
        <v>2905</v>
      </c>
      <c r="AB493" s="8">
        <v>43972</v>
      </c>
      <c r="AC493" s="4">
        <f>216010.26+127177.52+616699.1</f>
        <v>959886.88</v>
      </c>
      <c r="AD493" s="4"/>
      <c r="AE493" s="32"/>
      <c r="AF493" s="34" t="s">
        <v>68</v>
      </c>
      <c r="AG493" s="112" t="s">
        <v>68</v>
      </c>
      <c r="AH493" s="112" t="s">
        <v>68</v>
      </c>
      <c r="AI493" s="7" t="s">
        <v>68</v>
      </c>
      <c r="AJ493" s="109" t="s">
        <v>68</v>
      </c>
      <c r="AK493" s="33" t="s">
        <v>3573</v>
      </c>
      <c r="AL493" s="1">
        <v>2485915</v>
      </c>
      <c r="AM493" s="5">
        <v>43977</v>
      </c>
      <c r="AN493" s="1">
        <v>2485938</v>
      </c>
      <c r="AO493" s="5">
        <v>43977</v>
      </c>
      <c r="AP493" s="1">
        <v>2492932</v>
      </c>
      <c r="AQ493" s="5">
        <v>44039</v>
      </c>
      <c r="AR493" s="279">
        <f>241435.35+96574.14+96574.14</f>
        <v>434583.63</v>
      </c>
      <c r="AS493" s="35">
        <v>0</v>
      </c>
      <c r="AT493" s="895">
        <v>961549.42</v>
      </c>
      <c r="AU493" s="884">
        <f>223704.98+135577.76+602266.68</f>
        <v>961549.42</v>
      </c>
      <c r="AV493" s="30">
        <v>43984</v>
      </c>
      <c r="AW493" s="11">
        <v>44036</v>
      </c>
      <c r="AX493" s="223" t="s">
        <v>68</v>
      </c>
      <c r="AY493" s="52" t="s">
        <v>68</v>
      </c>
      <c r="AZ493" s="30">
        <v>44039</v>
      </c>
      <c r="BA493" s="5">
        <v>43984</v>
      </c>
      <c r="BB493" s="5">
        <v>44040</v>
      </c>
      <c r="BC493" s="11">
        <v>44036</v>
      </c>
      <c r="BD493" s="30">
        <v>44039</v>
      </c>
      <c r="BE493" s="309"/>
      <c r="BF493" s="5">
        <v>43984</v>
      </c>
      <c r="BG493" s="5">
        <v>44040</v>
      </c>
      <c r="BH493" s="5">
        <v>44036</v>
      </c>
      <c r="BI493" s="36">
        <f t="shared" si="15"/>
        <v>961549.42</v>
      </c>
      <c r="BJ493" s="62">
        <v>44039</v>
      </c>
      <c r="BK493" s="224"/>
      <c r="BL493" s="336">
        <v>43973</v>
      </c>
      <c r="BM493" s="71">
        <v>43983</v>
      </c>
      <c r="BN493" s="71">
        <v>43983</v>
      </c>
      <c r="BO493" s="914"/>
      <c r="BP493" s="914"/>
      <c r="BQ493" s="914"/>
      <c r="BR493" s="914"/>
      <c r="BS493" s="914">
        <v>44035</v>
      </c>
      <c r="BT493" s="914"/>
      <c r="BU493" s="696"/>
      <c r="BV493" s="694"/>
      <c r="BW493" s="13"/>
      <c r="BX493" s="1255" t="s">
        <v>3567</v>
      </c>
      <c r="BY493" s="158" t="s">
        <v>1295</v>
      </c>
      <c r="BZ493" s="158" t="s">
        <v>1295</v>
      </c>
      <c r="CA493" s="158" t="s">
        <v>3548</v>
      </c>
      <c r="CB493" s="1222" t="s">
        <v>2094</v>
      </c>
      <c r="CC493" s="586" t="s">
        <v>1143</v>
      </c>
      <c r="CD493" s="526"/>
      <c r="CE493" s="526"/>
      <c r="CF493" s="526"/>
      <c r="CG493" s="526"/>
      <c r="CH493" s="526"/>
      <c r="CI493" s="526"/>
      <c r="CJ493" s="526"/>
      <c r="CK493" s="15"/>
    </row>
    <row r="494" spans="2:89" ht="104.25" hidden="1" customHeight="1">
      <c r="B494" s="22"/>
      <c r="C494" s="22"/>
      <c r="D494" s="22"/>
      <c r="E494" s="911">
        <v>44075</v>
      </c>
      <c r="F494" s="911"/>
      <c r="G494" s="915">
        <v>44286</v>
      </c>
      <c r="H494" s="1746"/>
      <c r="I494" s="330">
        <v>43985</v>
      </c>
      <c r="J494" s="169">
        <v>2020</v>
      </c>
      <c r="K494" s="1417">
        <v>206.07</v>
      </c>
      <c r="L494" s="1417"/>
      <c r="M494" s="170" t="s">
        <v>77</v>
      </c>
      <c r="N494" s="178" t="s">
        <v>2740</v>
      </c>
      <c r="O494" s="172" t="s">
        <v>79</v>
      </c>
      <c r="P494" s="173" t="s">
        <v>2824</v>
      </c>
      <c r="Q494" s="173" t="s">
        <v>1975</v>
      </c>
      <c r="R494" s="174">
        <v>334158.86</v>
      </c>
      <c r="S494" s="176">
        <v>43977</v>
      </c>
      <c r="T494" s="176">
        <v>43984</v>
      </c>
      <c r="U494" s="177">
        <v>44040</v>
      </c>
      <c r="V494" s="105">
        <v>43976</v>
      </c>
      <c r="W494" s="178" t="s">
        <v>2819</v>
      </c>
      <c r="X494" s="170" t="s">
        <v>449</v>
      </c>
      <c r="Y494" s="200">
        <v>43973</v>
      </c>
      <c r="Z494" s="368"/>
      <c r="AA494" s="33" t="s">
        <v>2906</v>
      </c>
      <c r="AB494" s="8">
        <v>43972</v>
      </c>
      <c r="AC494" s="4">
        <f>110984.55+61216.15+154114.22</f>
        <v>326314.92000000004</v>
      </c>
      <c r="AD494" s="4"/>
      <c r="AE494" s="32"/>
      <c r="AF494" s="34" t="s">
        <v>68</v>
      </c>
      <c r="AG494" s="112" t="s">
        <v>68</v>
      </c>
      <c r="AH494" s="112" t="s">
        <v>68</v>
      </c>
      <c r="AI494" s="7" t="s">
        <v>68</v>
      </c>
      <c r="AJ494" s="109" t="s">
        <v>68</v>
      </c>
      <c r="AK494" s="33" t="s">
        <v>3571</v>
      </c>
      <c r="AL494" s="1">
        <v>2448891</v>
      </c>
      <c r="AM494" s="5">
        <v>43977</v>
      </c>
      <c r="AN494" s="1">
        <v>2448906</v>
      </c>
      <c r="AO494" s="5">
        <v>43977</v>
      </c>
      <c r="AP494" s="1">
        <v>2493324</v>
      </c>
      <c r="AQ494" s="5">
        <v>44013</v>
      </c>
      <c r="AR494" s="279">
        <f>83539.72+33415.89+33415.89</f>
        <v>150371.5</v>
      </c>
      <c r="AS494" s="35">
        <v>0</v>
      </c>
      <c r="AT494" s="895">
        <v>340712.1</v>
      </c>
      <c r="AU494" s="884">
        <f>62456.9+126851.41+151403.79</f>
        <v>340712.1</v>
      </c>
      <c r="AV494" s="30">
        <v>43984</v>
      </c>
      <c r="AW494" s="11">
        <v>44012</v>
      </c>
      <c r="AX494" s="223" t="s">
        <v>68</v>
      </c>
      <c r="AY494" s="52" t="s">
        <v>68</v>
      </c>
      <c r="AZ494" s="30">
        <v>44013</v>
      </c>
      <c r="BA494" s="5">
        <v>43984</v>
      </c>
      <c r="BB494" s="5">
        <v>44040</v>
      </c>
      <c r="BC494" s="11">
        <v>44012</v>
      </c>
      <c r="BD494" s="30">
        <v>44013</v>
      </c>
      <c r="BE494" s="309"/>
      <c r="BF494" s="5">
        <v>43984</v>
      </c>
      <c r="BG494" s="5">
        <v>44040</v>
      </c>
      <c r="BH494" s="5">
        <v>44042</v>
      </c>
      <c r="BI494" s="36">
        <f t="shared" si="15"/>
        <v>340712.1</v>
      </c>
      <c r="BJ494" s="62">
        <v>44014</v>
      </c>
      <c r="BK494" s="224"/>
      <c r="BL494" s="336">
        <v>43973</v>
      </c>
      <c r="BM494" s="71">
        <v>43983</v>
      </c>
      <c r="BN494" s="71">
        <v>43983</v>
      </c>
      <c r="BO494" s="914"/>
      <c r="BP494" s="914"/>
      <c r="BQ494" s="914"/>
      <c r="BR494" s="914"/>
      <c r="BS494" s="914">
        <v>44011</v>
      </c>
      <c r="BT494" s="914"/>
      <c r="BU494" s="1092"/>
      <c r="BV494" s="694"/>
      <c r="BW494" s="13"/>
      <c r="BX494" s="1254" t="s">
        <v>3567</v>
      </c>
      <c r="BY494" s="158" t="s">
        <v>3542</v>
      </c>
      <c r="BZ494" s="158" t="s">
        <v>3542</v>
      </c>
      <c r="CA494" s="158" t="s">
        <v>3543</v>
      </c>
      <c r="CB494" s="1222" t="s">
        <v>2094</v>
      </c>
      <c r="CC494" s="586" t="s">
        <v>1143</v>
      </c>
      <c r="CD494" s="526"/>
      <c r="CE494" s="526"/>
      <c r="CF494" s="526"/>
      <c r="CG494" s="526"/>
      <c r="CH494" s="526"/>
      <c r="CI494" s="526"/>
      <c r="CJ494" s="526"/>
      <c r="CK494" s="15"/>
    </row>
    <row r="495" spans="2:89" ht="114" hidden="1" customHeight="1">
      <c r="B495" s="22"/>
      <c r="C495" s="22"/>
      <c r="D495" s="22"/>
      <c r="E495" s="911">
        <v>44075</v>
      </c>
      <c r="F495" s="911"/>
      <c r="G495" s="915">
        <v>44291</v>
      </c>
      <c r="H495" s="1746"/>
      <c r="I495" s="330">
        <v>44017</v>
      </c>
      <c r="J495" s="169">
        <v>2020</v>
      </c>
      <c r="K495" s="1417">
        <v>206.08</v>
      </c>
      <c r="L495" s="1417"/>
      <c r="M495" s="170" t="s">
        <v>77</v>
      </c>
      <c r="N495" s="178" t="s">
        <v>2741</v>
      </c>
      <c r="O495" s="172" t="s">
        <v>79</v>
      </c>
      <c r="P495" s="173" t="s">
        <v>2846</v>
      </c>
      <c r="Q495" s="173" t="s">
        <v>2538</v>
      </c>
      <c r="R495" s="174">
        <v>755011.1</v>
      </c>
      <c r="S495" s="176">
        <v>43977</v>
      </c>
      <c r="T495" s="176">
        <v>43984</v>
      </c>
      <c r="U495" s="177">
        <v>44037</v>
      </c>
      <c r="V495" s="105">
        <v>43976</v>
      </c>
      <c r="W495" s="178" t="s">
        <v>2847</v>
      </c>
      <c r="X495" s="170" t="s">
        <v>3047</v>
      </c>
      <c r="Y495" s="200">
        <v>43982</v>
      </c>
      <c r="Z495" s="368"/>
      <c r="AA495" s="33" t="s">
        <v>3006</v>
      </c>
      <c r="AB495" s="8">
        <v>43972</v>
      </c>
      <c r="AC495" s="4">
        <v>756194.44</v>
      </c>
      <c r="AD495" s="4"/>
      <c r="AE495" s="32"/>
      <c r="AF495" s="34" t="s">
        <v>68</v>
      </c>
      <c r="AG495" s="112" t="s">
        <v>68</v>
      </c>
      <c r="AH495" s="112" t="s">
        <v>68</v>
      </c>
      <c r="AI495" s="7" t="s">
        <v>68</v>
      </c>
      <c r="AJ495" s="109" t="s">
        <v>68</v>
      </c>
      <c r="AK495" s="33" t="s">
        <v>1011</v>
      </c>
      <c r="AL495" s="2" t="s">
        <v>3048</v>
      </c>
      <c r="AM495" s="5">
        <v>43977</v>
      </c>
      <c r="AN495" s="1" t="s">
        <v>3049</v>
      </c>
      <c r="AO495" s="5">
        <v>43977</v>
      </c>
      <c r="AP495" s="131" t="s">
        <v>74</v>
      </c>
      <c r="AQ495" s="5"/>
      <c r="AR495" s="279">
        <f>75501.11+75501.11</f>
        <v>151002.22</v>
      </c>
      <c r="AS495" s="35">
        <v>0</v>
      </c>
      <c r="AT495" s="895">
        <v>665921</v>
      </c>
      <c r="AU495" s="884">
        <v>665921</v>
      </c>
      <c r="AV495" s="30">
        <v>44165</v>
      </c>
      <c r="AW495" s="11">
        <v>44176</v>
      </c>
      <c r="AX495" s="223" t="s">
        <v>68</v>
      </c>
      <c r="AY495" s="52" t="s">
        <v>68</v>
      </c>
      <c r="AZ495" s="30">
        <v>44039</v>
      </c>
      <c r="BA495" s="5">
        <v>43984</v>
      </c>
      <c r="BB495" s="5">
        <v>44037</v>
      </c>
      <c r="BC495" s="11">
        <v>44037</v>
      </c>
      <c r="BD495" s="30">
        <v>44039</v>
      </c>
      <c r="BE495" s="309"/>
      <c r="BF495" s="5">
        <v>43984</v>
      </c>
      <c r="BG495" s="5">
        <v>44037</v>
      </c>
      <c r="BH495" s="5">
        <v>44037</v>
      </c>
      <c r="BI495" s="129">
        <v>665921</v>
      </c>
      <c r="BJ495" s="62">
        <v>44039</v>
      </c>
      <c r="BK495" s="224"/>
      <c r="BL495" s="336">
        <v>43983</v>
      </c>
      <c r="BM495" s="325">
        <v>43997</v>
      </c>
      <c r="BN495" s="325">
        <v>43997</v>
      </c>
      <c r="BO495" s="1091"/>
      <c r="BP495" s="1091"/>
      <c r="BQ495" s="1091"/>
      <c r="BR495" s="914"/>
      <c r="BS495" s="914">
        <v>44036</v>
      </c>
      <c r="BT495" s="914"/>
      <c r="BU495" s="696"/>
      <c r="BV495" s="694"/>
      <c r="BW495" s="13"/>
      <c r="BX495" s="1309" t="s">
        <v>3567</v>
      </c>
      <c r="BY495" s="158" t="s">
        <v>3542</v>
      </c>
      <c r="BZ495" s="158" t="s">
        <v>3542</v>
      </c>
      <c r="CA495" s="158" t="s">
        <v>3582</v>
      </c>
      <c r="CB495" s="1222" t="s">
        <v>2094</v>
      </c>
      <c r="CC495" s="38"/>
      <c r="CD495" s="526"/>
      <c r="CE495" s="526"/>
      <c r="CF495" s="526"/>
      <c r="CG495" s="526"/>
      <c r="CH495" s="526"/>
      <c r="CI495" s="526"/>
      <c r="CJ495" s="526"/>
      <c r="CK495" s="15"/>
    </row>
    <row r="496" spans="2:89" ht="95.25" hidden="1" customHeight="1">
      <c r="B496" s="22"/>
      <c r="C496" s="22"/>
      <c r="D496" s="22"/>
      <c r="E496" s="911">
        <v>44075</v>
      </c>
      <c r="F496" s="911"/>
      <c r="G496" s="915">
        <v>44267</v>
      </c>
      <c r="H496" s="1746"/>
      <c r="I496" s="330">
        <v>44017</v>
      </c>
      <c r="J496" s="169">
        <v>2020</v>
      </c>
      <c r="K496" s="1417">
        <v>206.09</v>
      </c>
      <c r="L496" s="1417"/>
      <c r="M496" s="170" t="s">
        <v>77</v>
      </c>
      <c r="N496" s="178" t="s">
        <v>2742</v>
      </c>
      <c r="O496" s="172" t="s">
        <v>79</v>
      </c>
      <c r="P496" s="173" t="s">
        <v>2862</v>
      </c>
      <c r="Q496" s="173" t="s">
        <v>1975</v>
      </c>
      <c r="R496" s="174">
        <v>317000</v>
      </c>
      <c r="S496" s="176">
        <v>44005</v>
      </c>
      <c r="T496" s="176">
        <v>44032</v>
      </c>
      <c r="U496" s="177">
        <v>44063</v>
      </c>
      <c r="V496" s="105">
        <v>44004</v>
      </c>
      <c r="W496" s="178" t="s">
        <v>2851</v>
      </c>
      <c r="X496" s="170" t="s">
        <v>1107</v>
      </c>
      <c r="Y496" s="200">
        <v>43982</v>
      </c>
      <c r="Z496" s="368"/>
      <c r="AA496" s="33" t="s">
        <v>2904</v>
      </c>
      <c r="AB496" s="8">
        <v>44003</v>
      </c>
      <c r="AC496" s="4">
        <v>365068.34</v>
      </c>
      <c r="AD496" s="4"/>
      <c r="AE496" s="32"/>
      <c r="AF496" s="34" t="s">
        <v>68</v>
      </c>
      <c r="AG496" s="112" t="s">
        <v>68</v>
      </c>
      <c r="AH496" s="112" t="s">
        <v>68</v>
      </c>
      <c r="AI496" s="7" t="s">
        <v>68</v>
      </c>
      <c r="AJ496" s="109" t="s">
        <v>68</v>
      </c>
      <c r="AK496" s="33" t="s">
        <v>1226</v>
      </c>
      <c r="AL496" s="1">
        <v>2003</v>
      </c>
      <c r="AM496" s="5">
        <v>44011</v>
      </c>
      <c r="AN496" s="1">
        <v>2004</v>
      </c>
      <c r="AO496" s="5">
        <v>44011</v>
      </c>
      <c r="AP496" s="1">
        <v>2005</v>
      </c>
      <c r="AQ496" s="5">
        <v>44041</v>
      </c>
      <c r="AR496" s="279">
        <f>79250+37100+37100</f>
        <v>153450</v>
      </c>
      <c r="AS496" s="35">
        <v>0</v>
      </c>
      <c r="AT496" s="895">
        <v>316487.46000000002</v>
      </c>
      <c r="AU496" s="884">
        <v>316487.46000000002</v>
      </c>
      <c r="AV496" s="66" t="s">
        <v>74</v>
      </c>
      <c r="AW496" s="509">
        <v>44058</v>
      </c>
      <c r="AX496" s="223" t="s">
        <v>68</v>
      </c>
      <c r="AY496" s="52" t="s">
        <v>68</v>
      </c>
      <c r="AZ496" s="30">
        <v>44056</v>
      </c>
      <c r="BA496" s="5">
        <v>44032</v>
      </c>
      <c r="BB496" s="5">
        <v>44063</v>
      </c>
      <c r="BC496" s="11" t="s">
        <v>68</v>
      </c>
      <c r="BD496" s="30">
        <v>44057</v>
      </c>
      <c r="BE496" s="309"/>
      <c r="BF496" s="5">
        <v>44032</v>
      </c>
      <c r="BG496" s="5">
        <v>44063</v>
      </c>
      <c r="BH496" s="5">
        <v>44056</v>
      </c>
      <c r="BI496" s="36">
        <v>316487.44</v>
      </c>
      <c r="BJ496" s="62">
        <v>44060</v>
      </c>
      <c r="BK496" s="224"/>
      <c r="BL496" s="336">
        <v>43999</v>
      </c>
      <c r="BM496" s="71">
        <v>44029</v>
      </c>
      <c r="BN496" s="71">
        <v>44029</v>
      </c>
      <c r="BO496" s="914"/>
      <c r="BP496" s="914"/>
      <c r="BQ496" s="914"/>
      <c r="BR496" s="914"/>
      <c r="BS496" s="914">
        <v>44054</v>
      </c>
      <c r="BT496" s="914"/>
      <c r="BU496" s="696"/>
      <c r="BV496" s="694"/>
      <c r="BW496" s="13"/>
      <c r="BX496" s="1255" t="s">
        <v>3567</v>
      </c>
      <c r="BY496" s="158" t="s">
        <v>3570</v>
      </c>
      <c r="BZ496" s="158" t="s">
        <v>3570</v>
      </c>
      <c r="CA496" s="158" t="s">
        <v>3548</v>
      </c>
      <c r="CB496" s="1222" t="s">
        <v>2094</v>
      </c>
      <c r="CC496" s="38"/>
      <c r="CD496" s="526"/>
      <c r="CE496" s="526"/>
      <c r="CF496" s="526"/>
      <c r="CG496" s="526"/>
      <c r="CH496" s="526"/>
      <c r="CI496" s="526"/>
      <c r="CJ496" s="526"/>
      <c r="CK496" s="15"/>
    </row>
    <row r="497" spans="2:89" ht="97.5" hidden="1" customHeight="1">
      <c r="B497" s="22"/>
      <c r="C497" s="22"/>
      <c r="D497" s="22"/>
      <c r="E497" s="911">
        <v>44075</v>
      </c>
      <c r="F497" s="911"/>
      <c r="G497" s="915">
        <v>44286</v>
      </c>
      <c r="H497" s="1746"/>
      <c r="I497" s="330">
        <v>44080</v>
      </c>
      <c r="J497" s="169">
        <v>2020</v>
      </c>
      <c r="K497" s="1417">
        <v>206.1</v>
      </c>
      <c r="L497" s="1417"/>
      <c r="M497" s="170" t="s">
        <v>77</v>
      </c>
      <c r="N497" s="178" t="s">
        <v>2743</v>
      </c>
      <c r="O497" s="172" t="s">
        <v>79</v>
      </c>
      <c r="P497" s="173" t="s">
        <v>2830</v>
      </c>
      <c r="Q497" s="173" t="s">
        <v>2538</v>
      </c>
      <c r="R497" s="174">
        <v>239360.13</v>
      </c>
      <c r="S497" s="176">
        <v>43974</v>
      </c>
      <c r="T497" s="176">
        <v>43976</v>
      </c>
      <c r="U497" s="177">
        <v>43983</v>
      </c>
      <c r="V497" s="105">
        <v>43973</v>
      </c>
      <c r="W497" s="178" t="s">
        <v>1268</v>
      </c>
      <c r="X497" s="170" t="s">
        <v>3047</v>
      </c>
      <c r="Y497" s="200">
        <v>44335</v>
      </c>
      <c r="Z497" s="368"/>
      <c r="AA497" s="33" t="s">
        <v>2915</v>
      </c>
      <c r="AB497" s="8">
        <v>43972</v>
      </c>
      <c r="AC497" s="4">
        <v>239360.13</v>
      </c>
      <c r="AD497" s="4"/>
      <c r="AE497" s="32"/>
      <c r="AF497" s="34" t="s">
        <v>68</v>
      </c>
      <c r="AG497" s="112" t="s">
        <v>68</v>
      </c>
      <c r="AH497" s="112" t="s">
        <v>68</v>
      </c>
      <c r="AI497" s="7" t="s">
        <v>68</v>
      </c>
      <c r="AJ497" s="109" t="s">
        <v>68</v>
      </c>
      <c r="AK497" s="33" t="s">
        <v>2916</v>
      </c>
      <c r="AL497" s="1" t="s">
        <v>68</v>
      </c>
      <c r="AM497" s="5"/>
      <c r="AN497" s="1" t="s">
        <v>3050</v>
      </c>
      <c r="AO497" s="5">
        <v>43974</v>
      </c>
      <c r="AP497" s="2" t="s">
        <v>2917</v>
      </c>
      <c r="AQ497" s="5">
        <v>44005</v>
      </c>
      <c r="AR497" s="279">
        <f>23936.01*2</f>
        <v>47872.02</v>
      </c>
      <c r="AS497" s="35">
        <v>0</v>
      </c>
      <c r="AT497" s="895">
        <v>233601.31</v>
      </c>
      <c r="AU497" s="884">
        <v>233601.31</v>
      </c>
      <c r="AV497" s="66" t="s">
        <v>74</v>
      </c>
      <c r="AW497" s="11"/>
      <c r="AX497" s="223" t="s">
        <v>68</v>
      </c>
      <c r="AY497" s="52" t="s">
        <v>68</v>
      </c>
      <c r="AZ497" s="30">
        <v>43983</v>
      </c>
      <c r="BA497" s="5">
        <v>43976</v>
      </c>
      <c r="BB497" s="5">
        <v>43983</v>
      </c>
      <c r="BC497" s="11" t="s">
        <v>68</v>
      </c>
      <c r="BD497" s="30">
        <v>43984</v>
      </c>
      <c r="BE497" s="309"/>
      <c r="BF497" s="5">
        <v>43976</v>
      </c>
      <c r="BG497" s="5">
        <v>43983</v>
      </c>
      <c r="BH497" s="5">
        <v>43982</v>
      </c>
      <c r="BI497" s="36">
        <f>AS497+AT497</f>
        <v>233601.31</v>
      </c>
      <c r="BJ497" s="377">
        <v>44007</v>
      </c>
      <c r="BK497" s="1819"/>
      <c r="BL497" s="336">
        <v>43975</v>
      </c>
      <c r="BM497" s="1113"/>
      <c r="BN497" s="1113"/>
      <c r="BO497" s="1253"/>
      <c r="BP497" s="1253"/>
      <c r="BQ497" s="1253"/>
      <c r="BR497" s="914"/>
      <c r="BS497" s="1253"/>
      <c r="BT497" s="1253"/>
      <c r="BU497" s="696"/>
      <c r="BV497" s="694"/>
      <c r="BW497" s="13"/>
      <c r="BX497" s="1256" t="s">
        <v>3730</v>
      </c>
      <c r="BY497" s="13" t="s">
        <v>1295</v>
      </c>
      <c r="BZ497" s="13" t="s">
        <v>1295</v>
      </c>
      <c r="CA497" s="13" t="s">
        <v>1295</v>
      </c>
      <c r="CB497" s="1222" t="s">
        <v>2094</v>
      </c>
      <c r="CC497" s="38"/>
      <c r="CD497" s="526"/>
      <c r="CE497" s="526"/>
      <c r="CF497" s="526"/>
      <c r="CG497" s="526"/>
      <c r="CH497" s="526"/>
      <c r="CI497" s="526"/>
      <c r="CJ497" s="526"/>
      <c r="CK497" s="15"/>
    </row>
    <row r="498" spans="2:89" ht="96" hidden="1" customHeight="1">
      <c r="B498" s="22"/>
      <c r="C498" s="22"/>
      <c r="D498" s="22"/>
      <c r="E498" s="911">
        <v>44075</v>
      </c>
      <c r="F498" s="911"/>
      <c r="G498" s="915">
        <v>44286</v>
      </c>
      <c r="H498" s="1746"/>
      <c r="I498" s="330">
        <v>44080</v>
      </c>
      <c r="J498" s="169">
        <v>2020</v>
      </c>
      <c r="K498" s="1417">
        <v>206.11</v>
      </c>
      <c r="L498" s="1417"/>
      <c r="M498" s="170" t="s">
        <v>166</v>
      </c>
      <c r="N498" s="178" t="s">
        <v>2825</v>
      </c>
      <c r="O498" s="172" t="s">
        <v>79</v>
      </c>
      <c r="P498" s="173" t="s">
        <v>2831</v>
      </c>
      <c r="Q498" s="173" t="s">
        <v>2538</v>
      </c>
      <c r="R498" s="174">
        <v>410553.76</v>
      </c>
      <c r="S498" s="176">
        <v>43978</v>
      </c>
      <c r="T498" s="176">
        <v>43952</v>
      </c>
      <c r="U498" s="177">
        <v>43987</v>
      </c>
      <c r="V498" s="105">
        <v>43977</v>
      </c>
      <c r="W498" s="178" t="s">
        <v>1268</v>
      </c>
      <c r="X498" s="170" t="s">
        <v>3047</v>
      </c>
      <c r="Y498" s="200" t="s">
        <v>1428</v>
      </c>
      <c r="Z498" s="368"/>
      <c r="AA498" s="33" t="s">
        <v>2918</v>
      </c>
      <c r="AB498" s="8">
        <v>43972</v>
      </c>
      <c r="AC498" s="4">
        <v>410553.76</v>
      </c>
      <c r="AD498" s="4"/>
      <c r="AE498" s="32"/>
      <c r="AF498" s="34" t="s">
        <v>68</v>
      </c>
      <c r="AG498" s="112" t="s">
        <v>68</v>
      </c>
      <c r="AH498" s="112" t="s">
        <v>68</v>
      </c>
      <c r="AI498" s="7" t="s">
        <v>68</v>
      </c>
      <c r="AJ498" s="109" t="s">
        <v>68</v>
      </c>
      <c r="AK498" s="33" t="s">
        <v>2916</v>
      </c>
      <c r="AL498" s="1" t="s">
        <v>68</v>
      </c>
      <c r="AM498" s="5"/>
      <c r="AN498" s="1" t="s">
        <v>3589</v>
      </c>
      <c r="AO498" s="5">
        <v>43977</v>
      </c>
      <c r="AP498" s="1" t="s">
        <v>3590</v>
      </c>
      <c r="AQ498" s="5">
        <v>44005</v>
      </c>
      <c r="AR498" s="279">
        <f>41055.37*2</f>
        <v>82110.740000000005</v>
      </c>
      <c r="AS498" s="35">
        <v>0</v>
      </c>
      <c r="AT498" s="895">
        <v>401181.07</v>
      </c>
      <c r="AU498" s="884">
        <v>401181.07</v>
      </c>
      <c r="AV498" s="66" t="s">
        <v>74</v>
      </c>
      <c r="AW498" s="11"/>
      <c r="AX498" s="223" t="s">
        <v>68</v>
      </c>
      <c r="AY498" s="52" t="s">
        <v>68</v>
      </c>
      <c r="AZ498" s="30">
        <v>43990</v>
      </c>
      <c r="BA498" s="5">
        <v>43983</v>
      </c>
      <c r="BB498" s="5">
        <v>43987</v>
      </c>
      <c r="BC498" s="11"/>
      <c r="BD498" s="30">
        <v>44005</v>
      </c>
      <c r="BE498" s="309"/>
      <c r="BF498" s="5">
        <v>43983</v>
      </c>
      <c r="BG498" s="5">
        <v>43987</v>
      </c>
      <c r="BH498" s="5">
        <v>43987</v>
      </c>
      <c r="BI498" s="36">
        <f>AS498+AT498</f>
        <v>401181.07</v>
      </c>
      <c r="BJ498" s="62">
        <v>44006</v>
      </c>
      <c r="BK498" s="224"/>
      <c r="BL498" s="1041"/>
      <c r="BM498" s="1007"/>
      <c r="BN498" s="71">
        <v>43982</v>
      </c>
      <c r="BO498" s="1443"/>
      <c r="BP498" s="1443"/>
      <c r="BQ498" s="1443"/>
      <c r="BR498" s="914"/>
      <c r="BS498" s="1043"/>
      <c r="BT498" s="1043"/>
      <c r="BU498" s="696"/>
      <c r="BV498" s="694" t="s">
        <v>68</v>
      </c>
      <c r="BW498" s="13"/>
      <c r="BX498" s="1256" t="s">
        <v>3730</v>
      </c>
      <c r="BY498" s="13" t="s">
        <v>1295</v>
      </c>
      <c r="BZ498" s="13" t="s">
        <v>1295</v>
      </c>
      <c r="CA498" s="13" t="s">
        <v>1295</v>
      </c>
      <c r="CB498" s="1222" t="s">
        <v>2094</v>
      </c>
      <c r="CC498" s="38"/>
      <c r="CD498" s="526"/>
      <c r="CE498" s="526"/>
      <c r="CF498" s="526"/>
      <c r="CG498" s="526"/>
      <c r="CH498" s="526"/>
      <c r="CI498" s="526"/>
      <c r="CJ498" s="526"/>
      <c r="CK498" s="15"/>
    </row>
    <row r="499" spans="2:89" ht="122.25" hidden="1" customHeight="1">
      <c r="B499" s="22"/>
      <c r="C499" s="22"/>
      <c r="D499" s="22"/>
      <c r="E499" s="911">
        <v>44075</v>
      </c>
      <c r="F499" s="911"/>
      <c r="G499" s="915">
        <v>44278</v>
      </c>
      <c r="H499" s="1746"/>
      <c r="I499" s="330">
        <v>44080</v>
      </c>
      <c r="J499" s="169">
        <v>2020</v>
      </c>
      <c r="K499" s="1417">
        <v>206.12</v>
      </c>
      <c r="L499" s="1417"/>
      <c r="M499" s="170" t="s">
        <v>77</v>
      </c>
      <c r="N499" s="178" t="s">
        <v>2826</v>
      </c>
      <c r="O499" s="172" t="s">
        <v>79</v>
      </c>
      <c r="P499" s="173" t="s">
        <v>2848</v>
      </c>
      <c r="Q499" s="173" t="s">
        <v>1975</v>
      </c>
      <c r="R499" s="174">
        <v>1306545.6299999999</v>
      </c>
      <c r="S499" s="176">
        <v>43987</v>
      </c>
      <c r="T499" s="176">
        <v>43990</v>
      </c>
      <c r="U499" s="177">
        <v>44057</v>
      </c>
      <c r="V499" s="105">
        <v>43986</v>
      </c>
      <c r="W499" s="178" t="s">
        <v>2849</v>
      </c>
      <c r="X499" s="170" t="s">
        <v>449</v>
      </c>
      <c r="Y499" s="608">
        <v>43998</v>
      </c>
      <c r="Z499" s="1373"/>
      <c r="AA499" s="33" t="s">
        <v>2907</v>
      </c>
      <c r="AB499" s="8">
        <v>43972</v>
      </c>
      <c r="AC499" s="4">
        <f>314566.67+147393.11+877535.55</f>
        <v>1339495.33</v>
      </c>
      <c r="AD499" s="4"/>
      <c r="AE499" s="32"/>
      <c r="AF499" s="34" t="s">
        <v>68</v>
      </c>
      <c r="AG499" s="112" t="s">
        <v>68</v>
      </c>
      <c r="AH499" s="112" t="s">
        <v>68</v>
      </c>
      <c r="AI499" s="7" t="s">
        <v>68</v>
      </c>
      <c r="AJ499" s="109" t="s">
        <v>68</v>
      </c>
      <c r="AK499" s="33" t="s">
        <v>3555</v>
      </c>
      <c r="AL499" s="1" t="s">
        <v>3556</v>
      </c>
      <c r="AM499" s="5">
        <v>43990</v>
      </c>
      <c r="AN499" s="1" t="s">
        <v>3557</v>
      </c>
      <c r="AO499" s="5">
        <v>43990</v>
      </c>
      <c r="AP499" s="1" t="s">
        <v>3557</v>
      </c>
      <c r="AQ499" s="474">
        <v>43990</v>
      </c>
      <c r="AR499" s="279">
        <f>130654.56*3</f>
        <v>391963.68</v>
      </c>
      <c r="AS499" s="35">
        <v>0</v>
      </c>
      <c r="AT499" s="895">
        <v>1281375.1299999999</v>
      </c>
      <c r="AU499" s="884">
        <f>103342+305926.93+872106.2</f>
        <v>1281375.1299999999</v>
      </c>
      <c r="AV499" s="30">
        <v>44004</v>
      </c>
      <c r="AW499" s="11">
        <v>44068</v>
      </c>
      <c r="AX499" s="223" t="s">
        <v>68</v>
      </c>
      <c r="AY499" s="52" t="s">
        <v>68</v>
      </c>
      <c r="AZ499" s="30">
        <v>44068</v>
      </c>
      <c r="BA499" s="5">
        <v>44004</v>
      </c>
      <c r="BB499" s="5">
        <v>44074</v>
      </c>
      <c r="BC499" s="11">
        <v>44068</v>
      </c>
      <c r="BD499" s="30">
        <v>44068</v>
      </c>
      <c r="BE499" s="309"/>
      <c r="BF499" s="5">
        <v>44004</v>
      </c>
      <c r="BG499" s="5">
        <v>44074</v>
      </c>
      <c r="BH499" s="5">
        <v>44068</v>
      </c>
      <c r="BI499" s="36">
        <f>305926.93+103368.22+872106.2</f>
        <v>1281401.3500000001</v>
      </c>
      <c r="BJ499" s="62">
        <v>44068</v>
      </c>
      <c r="BK499" s="224"/>
      <c r="BL499" s="336">
        <v>43983</v>
      </c>
      <c r="BM499" s="71">
        <v>43985</v>
      </c>
      <c r="BN499" s="71">
        <v>43985</v>
      </c>
      <c r="BO499" s="914"/>
      <c r="BP499" s="914"/>
      <c r="BQ499" s="914"/>
      <c r="BR499" s="914"/>
      <c r="BS499" s="914">
        <v>44067</v>
      </c>
      <c r="BT499" s="914"/>
      <c r="BU499" s="696"/>
      <c r="BV499" s="694" t="s">
        <v>68</v>
      </c>
      <c r="BW499" s="13"/>
      <c r="BX499" s="1249" t="s">
        <v>3558</v>
      </c>
      <c r="BY499" s="158" t="s">
        <v>551</v>
      </c>
      <c r="BZ499" s="158" t="s">
        <v>3542</v>
      </c>
      <c r="CA499" s="158" t="s">
        <v>3548</v>
      </c>
      <c r="CB499" s="1222" t="s">
        <v>2094</v>
      </c>
      <c r="CC499" s="38" t="s">
        <v>3593</v>
      </c>
      <c r="CD499" s="526"/>
      <c r="CE499" s="526"/>
      <c r="CF499" s="526"/>
      <c r="CG499" s="526"/>
      <c r="CH499" s="526"/>
      <c r="CI499" s="526"/>
      <c r="CJ499" s="526"/>
      <c r="CK499" s="15"/>
    </row>
    <row r="500" spans="2:89" ht="118.5" hidden="1" customHeight="1">
      <c r="B500" s="22"/>
      <c r="C500" s="22"/>
      <c r="D500" s="22"/>
      <c r="E500" s="911">
        <v>44075</v>
      </c>
      <c r="F500" s="911"/>
      <c r="G500" s="915">
        <v>44286</v>
      </c>
      <c r="H500" s="1746"/>
      <c r="I500" s="330">
        <v>44017</v>
      </c>
      <c r="J500" s="169">
        <v>2020</v>
      </c>
      <c r="K500" s="1417">
        <v>206.13</v>
      </c>
      <c r="L500" s="1417"/>
      <c r="M500" s="170" t="s">
        <v>77</v>
      </c>
      <c r="N500" s="178" t="s">
        <v>2827</v>
      </c>
      <c r="O500" s="172" t="s">
        <v>79</v>
      </c>
      <c r="P500" s="173" t="s">
        <v>2845</v>
      </c>
      <c r="Q500" s="173" t="s">
        <v>1975</v>
      </c>
      <c r="R500" s="594">
        <v>281826.5</v>
      </c>
      <c r="S500" s="176">
        <v>43994</v>
      </c>
      <c r="T500" s="176">
        <v>43997</v>
      </c>
      <c r="U500" s="177">
        <v>44011</v>
      </c>
      <c r="V500" s="105">
        <v>43993</v>
      </c>
      <c r="W500" s="178" t="s">
        <v>2811</v>
      </c>
      <c r="X500" s="170" t="s">
        <v>1107</v>
      </c>
      <c r="Y500" s="200">
        <v>43984</v>
      </c>
      <c r="Z500" s="368"/>
      <c r="AA500" s="33" t="s">
        <v>2860</v>
      </c>
      <c r="AB500" s="8">
        <v>43972</v>
      </c>
      <c r="AC500" s="4">
        <f>86961.91+44805.76+150514.2</f>
        <v>282281.87</v>
      </c>
      <c r="AD500" s="4"/>
      <c r="AE500" s="32"/>
      <c r="AF500" s="34" t="s">
        <v>68</v>
      </c>
      <c r="AG500" s="112" t="s">
        <v>68</v>
      </c>
      <c r="AH500" s="112" t="s">
        <v>68</v>
      </c>
      <c r="AI500" s="7" t="s">
        <v>68</v>
      </c>
      <c r="AJ500" s="109" t="s">
        <v>68</v>
      </c>
      <c r="AK500" s="33" t="s">
        <v>1289</v>
      </c>
      <c r="AL500" s="1" t="s">
        <v>68</v>
      </c>
      <c r="AM500" s="5"/>
      <c r="AN500" s="1">
        <v>2016</v>
      </c>
      <c r="AO500" s="5">
        <v>43997</v>
      </c>
      <c r="AP500" s="1">
        <v>2015</v>
      </c>
      <c r="AQ500" s="5">
        <v>44027</v>
      </c>
      <c r="AR500" s="279">
        <f>28182.65*2</f>
        <v>56365.3</v>
      </c>
      <c r="AS500" s="35">
        <v>0</v>
      </c>
      <c r="AT500" s="895">
        <v>320004.51</v>
      </c>
      <c r="AU500" s="884">
        <f>44677.76+85922.73+189404.01</f>
        <v>320004.5</v>
      </c>
      <c r="AV500" s="66" t="s">
        <v>74</v>
      </c>
      <c r="AW500" s="11"/>
      <c r="AX500" s="223" t="s">
        <v>68</v>
      </c>
      <c r="AY500" s="52" t="s">
        <v>68</v>
      </c>
      <c r="AZ500" s="30">
        <v>44026</v>
      </c>
      <c r="BA500" s="5">
        <v>43997</v>
      </c>
      <c r="BB500" s="5" t="s">
        <v>2912</v>
      </c>
      <c r="BC500" s="11">
        <v>44025</v>
      </c>
      <c r="BD500" s="30">
        <v>44027</v>
      </c>
      <c r="BE500" s="309"/>
      <c r="BF500" s="5">
        <v>43997</v>
      </c>
      <c r="BG500" s="5">
        <v>44041</v>
      </c>
      <c r="BH500" s="5">
        <v>44025</v>
      </c>
      <c r="BI500" s="36">
        <f t="shared" ref="BI500:BI510" si="16">AS500+AT500</f>
        <v>320004.51</v>
      </c>
      <c r="BJ500" s="62">
        <v>44028</v>
      </c>
      <c r="BK500" s="224"/>
      <c r="BL500" s="336">
        <v>43983</v>
      </c>
      <c r="BM500" s="71">
        <v>43994</v>
      </c>
      <c r="BN500" s="71">
        <v>43994</v>
      </c>
      <c r="BO500" s="914"/>
      <c r="BP500" s="914"/>
      <c r="BQ500" s="914"/>
      <c r="BR500" s="914"/>
      <c r="BS500" s="914">
        <v>44022</v>
      </c>
      <c r="BT500" s="914"/>
      <c r="BU500" s="696"/>
      <c r="BV500" s="694" t="s">
        <v>68</v>
      </c>
      <c r="BW500" s="13"/>
      <c r="BX500" s="13" t="s">
        <v>3572</v>
      </c>
      <c r="BY500" s="13" t="s">
        <v>1295</v>
      </c>
      <c r="BZ500" s="13" t="s">
        <v>1295</v>
      </c>
      <c r="CA500" s="13" t="s">
        <v>1295</v>
      </c>
      <c r="CB500" s="1222" t="s">
        <v>2094</v>
      </c>
      <c r="CC500" s="38"/>
      <c r="CD500" s="526"/>
      <c r="CE500" s="526"/>
      <c r="CF500" s="526"/>
      <c r="CG500" s="526"/>
      <c r="CH500" s="526"/>
      <c r="CI500" s="526"/>
      <c r="CJ500" s="526"/>
      <c r="CK500" s="15"/>
    </row>
    <row r="501" spans="2:89" ht="103.5" hidden="1" customHeight="1">
      <c r="B501" s="22"/>
      <c r="C501" s="22"/>
      <c r="D501" s="22"/>
      <c r="E501" s="911">
        <v>44075</v>
      </c>
      <c r="F501" s="911"/>
      <c r="G501" s="915">
        <v>43921</v>
      </c>
      <c r="H501" s="1746"/>
      <c r="I501" s="330">
        <v>44080</v>
      </c>
      <c r="J501" s="169">
        <v>2020</v>
      </c>
      <c r="K501" s="1417">
        <v>206.14</v>
      </c>
      <c r="L501" s="1417"/>
      <c r="M501" s="170" t="s">
        <v>77</v>
      </c>
      <c r="N501" s="178" t="s">
        <v>2828</v>
      </c>
      <c r="O501" s="172" t="s">
        <v>79</v>
      </c>
      <c r="P501" s="173" t="s">
        <v>2850</v>
      </c>
      <c r="Q501" s="173" t="s">
        <v>1975</v>
      </c>
      <c r="R501" s="174">
        <v>241381.67</v>
      </c>
      <c r="S501" s="176">
        <v>43994</v>
      </c>
      <c r="T501" s="176">
        <v>44000</v>
      </c>
      <c r="U501" s="177">
        <v>44030</v>
      </c>
      <c r="V501" s="105">
        <v>43993</v>
      </c>
      <c r="W501" s="178" t="s">
        <v>2851</v>
      </c>
      <c r="X501" s="170" t="s">
        <v>3047</v>
      </c>
      <c r="Y501" s="200">
        <v>43965</v>
      </c>
      <c r="Z501" s="368"/>
      <c r="AA501" s="33" t="s">
        <v>2903</v>
      </c>
      <c r="AB501" s="8">
        <v>43972</v>
      </c>
      <c r="AC501" s="4">
        <v>241945.72</v>
      </c>
      <c r="AD501" s="4"/>
      <c r="AE501" s="32"/>
      <c r="AF501" s="34" t="s">
        <v>68</v>
      </c>
      <c r="AG501" s="112" t="s">
        <v>68</v>
      </c>
      <c r="AH501" s="112" t="s">
        <v>68</v>
      </c>
      <c r="AI501" s="7" t="s">
        <v>68</v>
      </c>
      <c r="AJ501" s="109" t="s">
        <v>68</v>
      </c>
      <c r="AK501" s="33" t="s">
        <v>1289</v>
      </c>
      <c r="AL501" s="1" t="s">
        <v>68</v>
      </c>
      <c r="AM501" s="5"/>
      <c r="AN501" s="1">
        <v>2011</v>
      </c>
      <c r="AO501" s="5">
        <v>44000</v>
      </c>
      <c r="AP501" s="1">
        <v>2010</v>
      </c>
      <c r="AQ501" s="5">
        <v>44030</v>
      </c>
      <c r="AR501" s="279">
        <f>24138.1*2</f>
        <v>48276.2</v>
      </c>
      <c r="AS501" s="35">
        <v>0</v>
      </c>
      <c r="AT501" s="895">
        <v>230567.7</v>
      </c>
      <c r="AU501" s="884">
        <f>138821.24+91746.46</f>
        <v>230567.7</v>
      </c>
      <c r="AV501" s="66" t="s">
        <v>74</v>
      </c>
      <c r="AW501" s="11"/>
      <c r="AX501" s="223" t="s">
        <v>68</v>
      </c>
      <c r="AY501" s="52" t="s">
        <v>68</v>
      </c>
      <c r="AZ501" s="230">
        <v>44027</v>
      </c>
      <c r="BA501" s="5">
        <v>43997</v>
      </c>
      <c r="BB501" s="5">
        <v>44025</v>
      </c>
      <c r="BC501" s="11">
        <v>44030</v>
      </c>
      <c r="BD501" s="230">
        <v>44028</v>
      </c>
      <c r="BE501" s="508"/>
      <c r="BF501" s="5">
        <v>43997</v>
      </c>
      <c r="BG501" s="5">
        <v>44024</v>
      </c>
      <c r="BH501" s="5">
        <v>44030</v>
      </c>
      <c r="BI501" s="36">
        <f t="shared" si="16"/>
        <v>230567.7</v>
      </c>
      <c r="BJ501" s="62">
        <v>44028</v>
      </c>
      <c r="BK501" s="224"/>
      <c r="BL501" s="1262">
        <v>43983</v>
      </c>
      <c r="BM501" s="71">
        <v>44024</v>
      </c>
      <c r="BN501" s="71">
        <v>44024</v>
      </c>
      <c r="BO501" s="914"/>
      <c r="BP501" s="914"/>
      <c r="BQ501" s="914"/>
      <c r="BR501" s="914"/>
      <c r="BS501" s="914">
        <v>44024</v>
      </c>
      <c r="BT501" s="914"/>
      <c r="BU501" s="914">
        <v>44008</v>
      </c>
      <c r="BV501" s="694" t="s">
        <v>68</v>
      </c>
      <c r="BW501" s="13"/>
      <c r="BX501" s="1256" t="s">
        <v>3730</v>
      </c>
      <c r="BY501" s="158" t="s">
        <v>3542</v>
      </c>
      <c r="BZ501" s="158" t="s">
        <v>3570</v>
      </c>
      <c r="CA501" s="158" t="s">
        <v>3543</v>
      </c>
      <c r="CB501" s="1222" t="s">
        <v>2094</v>
      </c>
      <c r="CC501" s="38" t="s">
        <v>3594</v>
      </c>
      <c r="CD501" s="526"/>
      <c r="CE501" s="526"/>
      <c r="CF501" s="526"/>
      <c r="CG501" s="526"/>
      <c r="CH501" s="526"/>
      <c r="CI501" s="526"/>
      <c r="CJ501" s="526"/>
      <c r="CK501" s="15"/>
    </row>
    <row r="502" spans="2:89" ht="97.5" hidden="1" customHeight="1">
      <c r="B502" s="22"/>
      <c r="C502" s="22"/>
      <c r="D502" s="22"/>
      <c r="E502" s="911">
        <v>44075</v>
      </c>
      <c r="F502" s="911"/>
      <c r="G502" s="915">
        <v>44291</v>
      </c>
      <c r="H502" s="1746"/>
      <c r="I502" s="330">
        <v>44302</v>
      </c>
      <c r="J502" s="169">
        <v>2020</v>
      </c>
      <c r="K502" s="1417">
        <v>206.15</v>
      </c>
      <c r="L502" s="1417"/>
      <c r="M502" s="170" t="s">
        <v>166</v>
      </c>
      <c r="N502" s="178" t="s">
        <v>2829</v>
      </c>
      <c r="O502" s="172" t="s">
        <v>79</v>
      </c>
      <c r="P502" s="173" t="s">
        <v>2925</v>
      </c>
      <c r="Q502" s="173" t="s">
        <v>1975</v>
      </c>
      <c r="R502" s="174">
        <v>232396.73</v>
      </c>
      <c r="S502" s="176">
        <v>44012</v>
      </c>
      <c r="T502" s="176">
        <v>44046</v>
      </c>
      <c r="U502" s="177">
        <v>44099</v>
      </c>
      <c r="V502" s="105">
        <v>44011</v>
      </c>
      <c r="W502" s="178" t="s">
        <v>2926</v>
      </c>
      <c r="X502" s="170" t="s">
        <v>984</v>
      </c>
      <c r="Y502" s="200" t="s">
        <v>1428</v>
      </c>
      <c r="Z502" s="368"/>
      <c r="AA502" s="33" t="s">
        <v>3583</v>
      </c>
      <c r="AB502" s="8">
        <v>43972</v>
      </c>
      <c r="AC502" s="4">
        <f>135093.5+104883.11</f>
        <v>239976.61</v>
      </c>
      <c r="AD502" s="4"/>
      <c r="AE502" s="32"/>
      <c r="AF502" s="34" t="s">
        <v>68</v>
      </c>
      <c r="AG502" s="112" t="s">
        <v>68</v>
      </c>
      <c r="AH502" s="112" t="s">
        <v>68</v>
      </c>
      <c r="AI502" s="7" t="s">
        <v>68</v>
      </c>
      <c r="AJ502" s="109" t="s">
        <v>68</v>
      </c>
      <c r="AK502" s="33" t="s">
        <v>1270</v>
      </c>
      <c r="AL502" s="1" t="s">
        <v>68</v>
      </c>
      <c r="AM502" s="5"/>
      <c r="AN502" s="1" t="s">
        <v>3584</v>
      </c>
      <c r="AO502" s="5">
        <v>44021</v>
      </c>
      <c r="AP502" s="1" t="s">
        <v>3585</v>
      </c>
      <c r="AQ502" s="5">
        <v>44092</v>
      </c>
      <c r="AR502" s="279">
        <f>23239.67+25170.45</f>
        <v>48410.119999999995</v>
      </c>
      <c r="AS502" s="35">
        <v>0</v>
      </c>
      <c r="AT502" s="895">
        <v>251704.57</v>
      </c>
      <c r="AU502" s="884">
        <f>108500.8+143203.78</f>
        <v>251704.58000000002</v>
      </c>
      <c r="AV502" s="30">
        <v>44071</v>
      </c>
      <c r="AW502" s="11">
        <v>44092</v>
      </c>
      <c r="AX502" s="223" t="s">
        <v>68</v>
      </c>
      <c r="AY502" s="52" t="s">
        <v>68</v>
      </c>
      <c r="AZ502" s="30">
        <v>44091</v>
      </c>
      <c r="BA502" s="5">
        <v>44046</v>
      </c>
      <c r="BB502" s="5">
        <v>44099</v>
      </c>
      <c r="BC502" s="11" t="s">
        <v>68</v>
      </c>
      <c r="BD502" s="30">
        <v>44092</v>
      </c>
      <c r="BE502" s="309"/>
      <c r="BF502" s="5">
        <v>44046</v>
      </c>
      <c r="BG502" s="5">
        <v>44099</v>
      </c>
      <c r="BH502" s="5">
        <v>44092</v>
      </c>
      <c r="BI502" s="36">
        <f t="shared" si="16"/>
        <v>251704.57</v>
      </c>
      <c r="BJ502" s="62">
        <v>44093</v>
      </c>
      <c r="BK502" s="224"/>
      <c r="BL502" s="336">
        <v>44043</v>
      </c>
      <c r="BM502" s="71">
        <v>44068</v>
      </c>
      <c r="BN502" s="71">
        <v>44068</v>
      </c>
      <c r="BO502" s="914"/>
      <c r="BP502" s="914"/>
      <c r="BQ502" s="914"/>
      <c r="BR502" s="914"/>
      <c r="BS502" s="914">
        <v>44092</v>
      </c>
      <c r="BT502" s="914"/>
      <c r="BU502" s="696"/>
      <c r="BV502" s="694" t="s">
        <v>68</v>
      </c>
      <c r="BW502" s="13"/>
      <c r="BX502" s="1256" t="s">
        <v>3730</v>
      </c>
      <c r="BY502" s="158" t="s">
        <v>3553</v>
      </c>
      <c r="BZ502" s="158" t="s">
        <v>3570</v>
      </c>
      <c r="CA502" s="158" t="s">
        <v>3543</v>
      </c>
      <c r="CB502" s="1222" t="s">
        <v>2094</v>
      </c>
      <c r="CC502" s="586" t="s">
        <v>1143</v>
      </c>
      <c r="CD502" s="526"/>
      <c r="CE502" s="526"/>
      <c r="CF502" s="526"/>
      <c r="CG502" s="526"/>
      <c r="CH502" s="526"/>
      <c r="CI502" s="526"/>
      <c r="CJ502" s="526"/>
      <c r="CK502" s="15"/>
    </row>
    <row r="503" spans="2:89" ht="86.25" hidden="1" customHeight="1">
      <c r="B503" s="22"/>
      <c r="C503" s="22"/>
      <c r="D503" s="22"/>
      <c r="E503" s="911">
        <v>44075</v>
      </c>
      <c r="F503" s="911"/>
      <c r="G503" s="915">
        <v>44281</v>
      </c>
      <c r="H503" s="1746"/>
      <c r="I503" s="330">
        <v>44295</v>
      </c>
      <c r="J503" s="169">
        <v>2020</v>
      </c>
      <c r="K503" s="1417">
        <v>206.16</v>
      </c>
      <c r="L503" s="1417"/>
      <c r="M503" s="170" t="s">
        <v>166</v>
      </c>
      <c r="N503" s="178" t="s">
        <v>2854</v>
      </c>
      <c r="O503" s="172" t="s">
        <v>79</v>
      </c>
      <c r="P503" s="173" t="s">
        <v>3036</v>
      </c>
      <c r="Q503" s="173" t="s">
        <v>2663</v>
      </c>
      <c r="R503" s="174">
        <v>302749.5</v>
      </c>
      <c r="S503" s="176">
        <v>44007</v>
      </c>
      <c r="T503" s="176">
        <v>44008</v>
      </c>
      <c r="U503" s="177">
        <v>44074</v>
      </c>
      <c r="V503" s="105">
        <v>44006</v>
      </c>
      <c r="W503" s="178" t="s">
        <v>2804</v>
      </c>
      <c r="X503" s="170" t="s">
        <v>449</v>
      </c>
      <c r="Y503" s="200" t="s">
        <v>1428</v>
      </c>
      <c r="Z503" s="368"/>
      <c r="AA503" s="33" t="s">
        <v>3569</v>
      </c>
      <c r="AB503" s="8">
        <v>44005</v>
      </c>
      <c r="AC503" s="4">
        <v>316052.5</v>
      </c>
      <c r="AD503" s="4"/>
      <c r="AE503" s="32"/>
      <c r="AF503" s="34" t="s">
        <v>68</v>
      </c>
      <c r="AG503" s="112" t="s">
        <v>68</v>
      </c>
      <c r="AH503" s="112" t="s">
        <v>68</v>
      </c>
      <c r="AI503" s="7" t="s">
        <v>68</v>
      </c>
      <c r="AJ503" s="109" t="s">
        <v>68</v>
      </c>
      <c r="AK503" s="33" t="s">
        <v>1289</v>
      </c>
      <c r="AL503" s="1" t="s">
        <v>68</v>
      </c>
      <c r="AM503" s="5"/>
      <c r="AN503" s="1">
        <v>209932</v>
      </c>
      <c r="AO503" s="5">
        <v>44008</v>
      </c>
      <c r="AP503" s="1">
        <v>209933</v>
      </c>
      <c r="AQ503" s="5">
        <v>44074</v>
      </c>
      <c r="AR503" s="279">
        <f>30274.95+30274.05</f>
        <v>60549</v>
      </c>
      <c r="AS503" s="35">
        <v>0</v>
      </c>
      <c r="AT503" s="895">
        <v>301450.13</v>
      </c>
      <c r="AU503" s="1359">
        <v>724669.84</v>
      </c>
      <c r="AV503" s="30">
        <v>44008</v>
      </c>
      <c r="AW503" s="11">
        <v>44020</v>
      </c>
      <c r="AX503" s="223" t="s">
        <v>68</v>
      </c>
      <c r="AY503" s="52" t="s">
        <v>68</v>
      </c>
      <c r="AZ503" s="30">
        <v>44021</v>
      </c>
      <c r="BA503" s="5">
        <v>44008</v>
      </c>
      <c r="BB503" s="5">
        <v>44074</v>
      </c>
      <c r="BC503" s="11">
        <v>44020</v>
      </c>
      <c r="BD503" s="30">
        <v>44021</v>
      </c>
      <c r="BE503" s="309"/>
      <c r="BF503" s="5">
        <v>44008</v>
      </c>
      <c r="BG503" s="5">
        <v>44074</v>
      </c>
      <c r="BH503" s="5">
        <v>44020</v>
      </c>
      <c r="BI503" s="36">
        <f t="shared" si="16"/>
        <v>301450.13</v>
      </c>
      <c r="BJ503" s="62">
        <v>44021</v>
      </c>
      <c r="BK503" s="224"/>
      <c r="BL503" s="336">
        <v>44006</v>
      </c>
      <c r="BM503" s="71">
        <v>44007</v>
      </c>
      <c r="BN503" s="71">
        <v>44007</v>
      </c>
      <c r="BO503" s="914"/>
      <c r="BP503" s="914"/>
      <c r="BQ503" s="914"/>
      <c r="BR503" s="914"/>
      <c r="BS503" s="914">
        <v>44020</v>
      </c>
      <c r="BT503" s="914"/>
      <c r="BU503" s="1092"/>
      <c r="BV503" s="1093" t="s">
        <v>68</v>
      </c>
      <c r="BW503" s="13"/>
      <c r="BX503" s="158" t="s">
        <v>3567</v>
      </c>
      <c r="BY503" s="158" t="s">
        <v>3542</v>
      </c>
      <c r="BZ503" s="158" t="s">
        <v>3570</v>
      </c>
      <c r="CA503" s="158" t="s">
        <v>3543</v>
      </c>
      <c r="CB503" s="1222" t="s">
        <v>2094</v>
      </c>
      <c r="CC503" s="586" t="s">
        <v>1143</v>
      </c>
      <c r="CD503" s="526"/>
      <c r="CE503" s="526"/>
      <c r="CF503" s="526"/>
      <c r="CG503" s="526"/>
      <c r="CH503" s="526"/>
      <c r="CI503" s="526"/>
      <c r="CJ503" s="526"/>
      <c r="CK503" s="15"/>
    </row>
    <row r="504" spans="2:89" ht="90.75" hidden="1" customHeight="1">
      <c r="B504" s="22"/>
      <c r="C504" s="22"/>
      <c r="D504" s="22"/>
      <c r="E504" s="911">
        <v>44075</v>
      </c>
      <c r="F504" s="911"/>
      <c r="G504" s="915">
        <v>44281</v>
      </c>
      <c r="H504" s="1746"/>
      <c r="I504" s="330">
        <v>44295</v>
      </c>
      <c r="J504" s="169">
        <v>2020</v>
      </c>
      <c r="K504" s="1417">
        <v>206.17</v>
      </c>
      <c r="L504" s="1417"/>
      <c r="M504" s="170" t="s">
        <v>166</v>
      </c>
      <c r="N504" s="178" t="s">
        <v>2855</v>
      </c>
      <c r="O504" s="172" t="s">
        <v>79</v>
      </c>
      <c r="P504" s="173" t="s">
        <v>2929</v>
      </c>
      <c r="Q504" s="173" t="s">
        <v>2663</v>
      </c>
      <c r="R504" s="174">
        <v>423536.77</v>
      </c>
      <c r="S504" s="176">
        <v>44012</v>
      </c>
      <c r="T504" s="176">
        <v>44018</v>
      </c>
      <c r="U504" s="177">
        <v>44104</v>
      </c>
      <c r="V504" s="105">
        <v>44011</v>
      </c>
      <c r="W504" s="178" t="s">
        <v>2804</v>
      </c>
      <c r="X504" s="170" t="s">
        <v>449</v>
      </c>
      <c r="Y504" s="200" t="s">
        <v>1428</v>
      </c>
      <c r="Z504" s="368"/>
      <c r="AA504" s="33" t="s">
        <v>2919</v>
      </c>
      <c r="AB504" s="8">
        <v>44005</v>
      </c>
      <c r="AC504" s="4">
        <v>423536.77</v>
      </c>
      <c r="AD504" s="4"/>
      <c r="AE504" s="32"/>
      <c r="AF504" s="34" t="s">
        <v>68</v>
      </c>
      <c r="AG504" s="112" t="s">
        <v>68</v>
      </c>
      <c r="AH504" s="112" t="s">
        <v>68</v>
      </c>
      <c r="AI504" s="7" t="s">
        <v>68</v>
      </c>
      <c r="AJ504" s="109" t="s">
        <v>68</v>
      </c>
      <c r="AK504" s="33" t="s">
        <v>1289</v>
      </c>
      <c r="AL504" s="1" t="s">
        <v>68</v>
      </c>
      <c r="AM504" s="5"/>
      <c r="AN504" s="1">
        <v>209944</v>
      </c>
      <c r="AO504" s="5">
        <v>44018</v>
      </c>
      <c r="AP504" s="1">
        <v>209945</v>
      </c>
      <c r="AQ504" s="5">
        <v>44104</v>
      </c>
      <c r="AR504" s="279">
        <f>42353.67*2</f>
        <v>84707.34</v>
      </c>
      <c r="AS504" s="35">
        <v>0</v>
      </c>
      <c r="AT504" s="895">
        <v>423219.71</v>
      </c>
      <c r="AU504" s="1359">
        <v>416263.57</v>
      </c>
      <c r="AV504" s="30">
        <v>44018</v>
      </c>
      <c r="AW504" s="11">
        <v>44060</v>
      </c>
      <c r="AX504" s="223" t="s">
        <v>68</v>
      </c>
      <c r="AY504" s="52" t="s">
        <v>68</v>
      </c>
      <c r="AZ504" s="30">
        <v>44061</v>
      </c>
      <c r="BA504" s="5">
        <v>44018</v>
      </c>
      <c r="BB504" s="5">
        <v>44104</v>
      </c>
      <c r="BC504" s="11">
        <v>44060</v>
      </c>
      <c r="BD504" s="30">
        <v>44061</v>
      </c>
      <c r="BE504" s="309"/>
      <c r="BF504" s="5">
        <v>44018</v>
      </c>
      <c r="BG504" s="5">
        <v>44104</v>
      </c>
      <c r="BH504" s="5">
        <v>44060</v>
      </c>
      <c r="BI504" s="36">
        <f t="shared" si="16"/>
        <v>423219.71</v>
      </c>
      <c r="BJ504" s="62">
        <v>44061</v>
      </c>
      <c r="BK504" s="224"/>
      <c r="BL504" s="336">
        <v>44017</v>
      </c>
      <c r="BM504" s="71">
        <v>44015</v>
      </c>
      <c r="BN504" s="71">
        <v>44015</v>
      </c>
      <c r="BO504" s="914"/>
      <c r="BP504" s="914"/>
      <c r="BQ504" s="914"/>
      <c r="BR504" s="914"/>
      <c r="BS504" s="914">
        <v>44060</v>
      </c>
      <c r="BT504" s="914"/>
      <c r="BU504" s="696"/>
      <c r="BV504" s="694" t="s">
        <v>68</v>
      </c>
      <c r="BW504" s="13"/>
      <c r="BX504" s="158" t="s">
        <v>3567</v>
      </c>
      <c r="BY504" s="158" t="s">
        <v>3542</v>
      </c>
      <c r="BZ504" s="158" t="s">
        <v>3542</v>
      </c>
      <c r="CA504" s="158" t="s">
        <v>3543</v>
      </c>
      <c r="CB504" s="1222" t="s">
        <v>2094</v>
      </c>
      <c r="CC504" s="586" t="s">
        <v>1143</v>
      </c>
      <c r="CD504" s="526"/>
      <c r="CE504" s="526"/>
      <c r="CF504" s="526"/>
      <c r="CG504" s="526"/>
      <c r="CH504" s="526"/>
      <c r="CI504" s="526"/>
      <c r="CJ504" s="526"/>
      <c r="CK504" s="15"/>
    </row>
    <row r="505" spans="2:89" ht="78" hidden="1" customHeight="1">
      <c r="B505" s="22"/>
      <c r="C505" s="22"/>
      <c r="D505" s="22"/>
      <c r="E505" s="911"/>
      <c r="F505" s="911"/>
      <c r="G505" s="915">
        <v>44408</v>
      </c>
      <c r="H505" s="1746"/>
      <c r="I505" s="330">
        <v>44302</v>
      </c>
      <c r="J505" s="169">
        <v>2020</v>
      </c>
      <c r="K505" s="1417">
        <v>206.18</v>
      </c>
      <c r="L505" s="1417"/>
      <c r="M505" s="170" t="s">
        <v>77</v>
      </c>
      <c r="N505" s="178" t="s">
        <v>2856</v>
      </c>
      <c r="O505" s="172" t="s">
        <v>79</v>
      </c>
      <c r="P505" s="173" t="s">
        <v>2931</v>
      </c>
      <c r="Q505" s="173" t="s">
        <v>2538</v>
      </c>
      <c r="R505" s="174">
        <v>174784.71</v>
      </c>
      <c r="S505" s="176">
        <v>44019</v>
      </c>
      <c r="T505" s="176">
        <v>44032</v>
      </c>
      <c r="U505" s="177">
        <v>44051</v>
      </c>
      <c r="V505" s="68">
        <v>44018</v>
      </c>
      <c r="W505" s="178" t="s">
        <v>2932</v>
      </c>
      <c r="X505" s="170" t="s">
        <v>114</v>
      </c>
      <c r="Y505" s="200">
        <v>43973</v>
      </c>
      <c r="Z505" s="368"/>
      <c r="AA505" s="33" t="s">
        <v>3574</v>
      </c>
      <c r="AB505" s="8">
        <v>43972</v>
      </c>
      <c r="AC505" s="4">
        <v>240672.69</v>
      </c>
      <c r="AD505" s="4"/>
      <c r="AE505" s="32"/>
      <c r="AF505" s="34" t="s">
        <v>68</v>
      </c>
      <c r="AG505" s="112" t="s">
        <v>68</v>
      </c>
      <c r="AH505" s="112" t="s">
        <v>68</v>
      </c>
      <c r="AI505" s="7" t="s">
        <v>68</v>
      </c>
      <c r="AJ505" s="109" t="s">
        <v>68</v>
      </c>
      <c r="AK505" s="33" t="s">
        <v>3555</v>
      </c>
      <c r="AL505" s="1" t="s">
        <v>3575</v>
      </c>
      <c r="AM505" s="5">
        <v>44019</v>
      </c>
      <c r="AN505" s="1" t="s">
        <v>3576</v>
      </c>
      <c r="AO505" s="5">
        <v>44019</v>
      </c>
      <c r="AP505" s="1" t="s">
        <v>83</v>
      </c>
      <c r="AQ505" s="5"/>
      <c r="AR505" s="279">
        <f>43696.18+17478.47</f>
        <v>61174.65</v>
      </c>
      <c r="AS505" s="35">
        <v>0</v>
      </c>
      <c r="AT505" s="895">
        <v>174784.71</v>
      </c>
      <c r="AU505" s="884">
        <v>174784.71</v>
      </c>
      <c r="AV505" s="66" t="s">
        <v>74</v>
      </c>
      <c r="AW505" s="11"/>
      <c r="AX505" s="223" t="s">
        <v>68</v>
      </c>
      <c r="AY505" s="52" t="s">
        <v>68</v>
      </c>
      <c r="AZ505" s="30">
        <v>44047</v>
      </c>
      <c r="BA505" s="5">
        <v>44032</v>
      </c>
      <c r="BB505" s="5">
        <v>44051</v>
      </c>
      <c r="BC505" s="11">
        <v>44047</v>
      </c>
      <c r="BD505" s="30">
        <v>44048</v>
      </c>
      <c r="BE505" s="309"/>
      <c r="BF505" s="5">
        <v>44032</v>
      </c>
      <c r="BG505" s="5">
        <v>44051</v>
      </c>
      <c r="BH505" s="5">
        <v>44047</v>
      </c>
      <c r="BI505" s="36">
        <f t="shared" si="16"/>
        <v>174784.71</v>
      </c>
      <c r="BJ505" s="62">
        <v>44049</v>
      </c>
      <c r="BK505" s="224"/>
      <c r="BL505" s="336">
        <v>44028</v>
      </c>
      <c r="BM505" s="71">
        <v>44027</v>
      </c>
      <c r="BN505" s="71">
        <v>44027</v>
      </c>
      <c r="BO505" s="914"/>
      <c r="BP505" s="914"/>
      <c r="BQ505" s="914"/>
      <c r="BR505" s="914"/>
      <c r="BS505" s="216" t="s">
        <v>74</v>
      </c>
      <c r="BT505" s="216"/>
      <c r="BU505" s="696"/>
      <c r="BV505" s="694" t="s">
        <v>68</v>
      </c>
      <c r="BW505" s="13"/>
      <c r="BX505" s="1256" t="s">
        <v>3730</v>
      </c>
      <c r="BY505" s="1257" t="s">
        <v>74</v>
      </c>
      <c r="BZ505" s="158" t="s">
        <v>3542</v>
      </c>
      <c r="CA505" s="158" t="s">
        <v>3548</v>
      </c>
      <c r="CB505" s="1222" t="s">
        <v>2094</v>
      </c>
      <c r="CC505" s="38"/>
      <c r="CD505" s="526"/>
      <c r="CE505" s="526"/>
      <c r="CF505" s="526"/>
      <c r="CG505" s="526"/>
      <c r="CH505" s="526"/>
      <c r="CI505" s="526"/>
      <c r="CJ505" s="526"/>
      <c r="CK505" s="15"/>
    </row>
    <row r="506" spans="2:89" ht="75.75" hidden="1" customHeight="1">
      <c r="B506" s="22"/>
      <c r="C506" s="22"/>
      <c r="D506" s="22"/>
      <c r="E506" s="911"/>
      <c r="F506" s="911"/>
      <c r="G506" s="915">
        <v>44408</v>
      </c>
      <c r="H506" s="1746"/>
      <c r="I506" s="330">
        <v>44302</v>
      </c>
      <c r="J506" s="169">
        <v>2020</v>
      </c>
      <c r="K506" s="1417">
        <v>206.19</v>
      </c>
      <c r="L506" s="1417"/>
      <c r="M506" s="170" t="s">
        <v>77</v>
      </c>
      <c r="N506" s="178" t="s">
        <v>2857</v>
      </c>
      <c r="O506" s="172" t="s">
        <v>79</v>
      </c>
      <c r="P506" s="173" t="s">
        <v>2934</v>
      </c>
      <c r="Q506" s="173" t="s">
        <v>2577</v>
      </c>
      <c r="R506" s="594">
        <v>165908.29999999999</v>
      </c>
      <c r="S506" s="609">
        <v>44019</v>
      </c>
      <c r="T506" s="609">
        <v>44032</v>
      </c>
      <c r="U506" s="610">
        <v>44051</v>
      </c>
      <c r="V506" s="68">
        <v>44018</v>
      </c>
      <c r="W506" s="178" t="s">
        <v>2932</v>
      </c>
      <c r="X506" s="170" t="s">
        <v>114</v>
      </c>
      <c r="Y506" s="461" t="s">
        <v>74</v>
      </c>
      <c r="Z506" s="1371"/>
      <c r="AA506" s="33" t="s">
        <v>3007</v>
      </c>
      <c r="AB506" s="8">
        <v>43972</v>
      </c>
      <c r="AC506" s="4">
        <v>240672.69</v>
      </c>
      <c r="AD506" s="4"/>
      <c r="AE506" s="32"/>
      <c r="AF506" s="34" t="s">
        <v>68</v>
      </c>
      <c r="AG506" s="112" t="s">
        <v>68</v>
      </c>
      <c r="AH506" s="112" t="s">
        <v>68</v>
      </c>
      <c r="AI506" s="7" t="s">
        <v>68</v>
      </c>
      <c r="AJ506" s="109" t="s">
        <v>68</v>
      </c>
      <c r="AK506" s="33" t="s">
        <v>3555</v>
      </c>
      <c r="AL506" s="1" t="s">
        <v>3577</v>
      </c>
      <c r="AM506" s="5">
        <v>44019</v>
      </c>
      <c r="AN506" s="1" t="s">
        <v>1177</v>
      </c>
      <c r="AO506" s="5"/>
      <c r="AP506" s="1" t="s">
        <v>1177</v>
      </c>
      <c r="AQ506" s="5"/>
      <c r="AR506" s="279">
        <f>41477.09</f>
        <v>41477.089999999997</v>
      </c>
      <c r="AS506" s="35">
        <v>0</v>
      </c>
      <c r="AT506" s="895">
        <v>0</v>
      </c>
      <c r="AU506" s="884">
        <v>0</v>
      </c>
      <c r="AV506" s="30" t="s">
        <v>1177</v>
      </c>
      <c r="AW506" s="11"/>
      <c r="AX506" s="223" t="s">
        <v>68</v>
      </c>
      <c r="AY506" s="52" t="s">
        <v>68</v>
      </c>
      <c r="AZ506" s="66" t="s">
        <v>74</v>
      </c>
      <c r="BA506" s="5"/>
      <c r="BB506" s="5"/>
      <c r="BC506" s="11"/>
      <c r="BD506" s="66" t="s">
        <v>74</v>
      </c>
      <c r="BE506" s="1423"/>
      <c r="BF506" s="5"/>
      <c r="BG506" s="5"/>
      <c r="BH506" s="5"/>
      <c r="BI506" s="36">
        <f t="shared" si="16"/>
        <v>0</v>
      </c>
      <c r="BJ506" s="197" t="s">
        <v>74</v>
      </c>
      <c r="BK506" s="1246"/>
      <c r="BL506" s="336">
        <v>44028</v>
      </c>
      <c r="BM506" s="128" t="s">
        <v>1177</v>
      </c>
      <c r="BN506" s="128" t="s">
        <v>1177</v>
      </c>
      <c r="BO506" s="1092"/>
      <c r="BP506" s="1092"/>
      <c r="BQ506" s="1092"/>
      <c r="BR506" s="914"/>
      <c r="BS506" s="1092" t="s">
        <v>1177</v>
      </c>
      <c r="BT506" s="1092"/>
      <c r="BU506" s="696"/>
      <c r="BV506" s="694" t="s">
        <v>68</v>
      </c>
      <c r="BW506" s="1258"/>
      <c r="BX506" s="1251" t="s">
        <v>1177</v>
      </c>
      <c r="BY506" s="1259" t="s">
        <v>1177</v>
      </c>
      <c r="BZ506" s="158" t="s">
        <v>3542</v>
      </c>
      <c r="CA506" s="158" t="s">
        <v>3581</v>
      </c>
      <c r="CB506" s="1222" t="s">
        <v>2094</v>
      </c>
      <c r="CC506" s="1258" t="s">
        <v>3578</v>
      </c>
      <c r="CD506" s="526"/>
      <c r="CE506" s="526"/>
      <c r="CF506" s="526"/>
      <c r="CG506" s="526"/>
      <c r="CH506" s="526"/>
      <c r="CI506" s="526"/>
      <c r="CJ506" s="526"/>
      <c r="CK506" s="15"/>
    </row>
    <row r="507" spans="2:89" s="1050" customFormat="1" ht="34.5" hidden="1" customHeight="1">
      <c r="B507" s="1051"/>
      <c r="C507" s="1051"/>
      <c r="D507" s="1051"/>
      <c r="E507" s="1052"/>
      <c r="F507" s="1052"/>
      <c r="G507" s="553"/>
      <c r="H507" s="620"/>
      <c r="I507" s="620"/>
      <c r="J507" s="1053">
        <v>2020</v>
      </c>
      <c r="K507" s="1420">
        <v>206.2</v>
      </c>
      <c r="L507" s="1420"/>
      <c r="M507" s="1054"/>
      <c r="N507" s="1055" t="s">
        <v>2858</v>
      </c>
      <c r="O507" s="790" t="s">
        <v>251</v>
      </c>
      <c r="P507" s="1056" t="s">
        <v>3972</v>
      </c>
      <c r="Q507" s="1056"/>
      <c r="R507" s="1057"/>
      <c r="S507" s="1059"/>
      <c r="T507" s="1059"/>
      <c r="U507" s="1060"/>
      <c r="V507" s="1061"/>
      <c r="W507" s="1055"/>
      <c r="X507" s="1054"/>
      <c r="Y507" s="1087"/>
      <c r="Z507" s="1378"/>
      <c r="AA507" s="308"/>
      <c r="AB507" s="1063"/>
      <c r="AC507" s="1064"/>
      <c r="AD507" s="1064"/>
      <c r="AE507" s="1065"/>
      <c r="AF507" s="1066" t="s">
        <v>68</v>
      </c>
      <c r="AG507" s="1067" t="s">
        <v>68</v>
      </c>
      <c r="AH507" s="1067" t="s">
        <v>68</v>
      </c>
      <c r="AI507" s="1068" t="s">
        <v>68</v>
      </c>
      <c r="AJ507" s="1069" t="s">
        <v>68</v>
      </c>
      <c r="AK507" s="308"/>
      <c r="AL507" s="1070"/>
      <c r="AM507" s="1071"/>
      <c r="AN507" s="1070"/>
      <c r="AO507" s="1071"/>
      <c r="AP507" s="1070"/>
      <c r="AQ507" s="1071"/>
      <c r="AR507" s="1072"/>
      <c r="AS507" s="1073">
        <v>0</v>
      </c>
      <c r="AT507" s="1074"/>
      <c r="AU507" s="1075"/>
      <c r="AV507" s="1076"/>
      <c r="AW507" s="1077"/>
      <c r="AX507" s="1078" t="s">
        <v>68</v>
      </c>
      <c r="AY507" s="1079" t="s">
        <v>68</v>
      </c>
      <c r="AZ507" s="1076"/>
      <c r="BA507" s="1071"/>
      <c r="BB507" s="1071"/>
      <c r="BC507" s="1077"/>
      <c r="BD507" s="1076"/>
      <c r="BE507" s="1608"/>
      <c r="BF507" s="1071"/>
      <c r="BG507" s="1071"/>
      <c r="BH507" s="1071"/>
      <c r="BI507" s="1081">
        <f t="shared" si="16"/>
        <v>0</v>
      </c>
      <c r="BJ507" s="1082"/>
      <c r="BK507" s="1816"/>
      <c r="BL507" s="1470"/>
      <c r="BM507" s="1471"/>
      <c r="BN507" s="1471"/>
      <c r="BO507" s="1487"/>
      <c r="BP507" s="1487"/>
      <c r="BQ507" s="1487"/>
      <c r="BR507" s="914"/>
      <c r="BS507" s="1487"/>
      <c r="BT507" s="1487"/>
      <c r="BU507" s="1487"/>
      <c r="BV507" s="1470" t="s">
        <v>68</v>
      </c>
      <c r="BW507" s="1082"/>
      <c r="BX507" s="1256"/>
      <c r="BY507" s="1082"/>
      <c r="BZ507" s="1082"/>
      <c r="CA507" s="1082"/>
      <c r="CB507" s="1486" t="s">
        <v>2094</v>
      </c>
      <c r="CC507" s="1085"/>
      <c r="CD507" s="789"/>
      <c r="CE507" s="789"/>
      <c r="CF507" s="789"/>
      <c r="CG507" s="789"/>
      <c r="CH507" s="789"/>
      <c r="CI507" s="789"/>
      <c r="CJ507" s="789"/>
      <c r="CK507" s="1086"/>
    </row>
    <row r="508" spans="2:89" ht="114.75" hidden="1" customHeight="1">
      <c r="B508" s="22"/>
      <c r="C508" s="22"/>
      <c r="D508" s="22"/>
      <c r="E508" s="911">
        <v>44075</v>
      </c>
      <c r="F508" s="911"/>
      <c r="G508" s="915">
        <v>44279</v>
      </c>
      <c r="H508" s="1746"/>
      <c r="I508" s="330">
        <v>44080</v>
      </c>
      <c r="J508" s="169">
        <v>2020</v>
      </c>
      <c r="K508" s="1417">
        <v>206.21</v>
      </c>
      <c r="L508" s="1417"/>
      <c r="M508" s="170" t="s">
        <v>77</v>
      </c>
      <c r="N508" s="178" t="s">
        <v>2921</v>
      </c>
      <c r="O508" s="172" t="s">
        <v>79</v>
      </c>
      <c r="P508" s="173" t="s">
        <v>2936</v>
      </c>
      <c r="Q508" s="173" t="s">
        <v>3623</v>
      </c>
      <c r="R508" s="174">
        <v>773550.52</v>
      </c>
      <c r="S508" s="176">
        <v>44021</v>
      </c>
      <c r="T508" s="176">
        <v>44032</v>
      </c>
      <c r="U508" s="177">
        <v>44077</v>
      </c>
      <c r="V508" s="105">
        <v>44020</v>
      </c>
      <c r="W508" s="178" t="s">
        <v>2937</v>
      </c>
      <c r="X508" s="170" t="s">
        <v>213</v>
      </c>
      <c r="Y508" s="200">
        <v>43985</v>
      </c>
      <c r="Z508" s="368"/>
      <c r="AA508" s="33" t="s">
        <v>2983</v>
      </c>
      <c r="AB508" s="8">
        <v>43972</v>
      </c>
      <c r="AC508" s="4">
        <v>801629.24</v>
      </c>
      <c r="AD508" s="4"/>
      <c r="AE508" s="32"/>
      <c r="AF508" s="34" t="s">
        <v>68</v>
      </c>
      <c r="AG508" s="112" t="s">
        <v>68</v>
      </c>
      <c r="AH508" s="112" t="s">
        <v>68</v>
      </c>
      <c r="AI508" s="7" t="s">
        <v>68</v>
      </c>
      <c r="AJ508" s="109" t="s">
        <v>68</v>
      </c>
      <c r="AK508" s="33" t="s">
        <v>1011</v>
      </c>
      <c r="AL508" s="2" t="s">
        <v>3564</v>
      </c>
      <c r="AM508" s="238">
        <v>44021</v>
      </c>
      <c r="AN508" s="2" t="s">
        <v>3565</v>
      </c>
      <c r="AO508" s="238">
        <v>44021</v>
      </c>
      <c r="AP508" s="2" t="s">
        <v>3566</v>
      </c>
      <c r="AQ508" s="238">
        <v>44093</v>
      </c>
      <c r="AR508" s="279">
        <f>193876.63+77355.05+77331.44</f>
        <v>348563.12</v>
      </c>
      <c r="AS508" s="35">
        <v>0</v>
      </c>
      <c r="AT508" s="895">
        <v>773314.41</v>
      </c>
      <c r="AU508" s="884">
        <v>773314.41</v>
      </c>
      <c r="AV508" s="66" t="s">
        <v>74</v>
      </c>
      <c r="AW508" s="11"/>
      <c r="AX508" s="223" t="s">
        <v>68</v>
      </c>
      <c r="AY508" s="52" t="s">
        <v>68</v>
      </c>
      <c r="AZ508" s="30">
        <v>44093</v>
      </c>
      <c r="BA508" s="5">
        <v>44032</v>
      </c>
      <c r="BB508" s="5">
        <v>44077</v>
      </c>
      <c r="BC508" s="11" t="s">
        <v>68</v>
      </c>
      <c r="BD508" s="30">
        <v>44093</v>
      </c>
      <c r="BE508" s="309"/>
      <c r="BF508" s="5">
        <v>44032</v>
      </c>
      <c r="BG508" s="5">
        <v>44077</v>
      </c>
      <c r="BH508" s="5">
        <v>44093</v>
      </c>
      <c r="BI508" s="245">
        <f t="shared" si="16"/>
        <v>773314.41</v>
      </c>
      <c r="BJ508" s="62">
        <v>44093</v>
      </c>
      <c r="BK508" s="224"/>
      <c r="BL508" s="336">
        <v>44028</v>
      </c>
      <c r="BM508" s="71">
        <v>44032</v>
      </c>
      <c r="BN508" s="71">
        <v>44032</v>
      </c>
      <c r="BO508" s="914"/>
      <c r="BP508" s="914"/>
      <c r="BQ508" s="914"/>
      <c r="BR508" s="914"/>
      <c r="BS508" s="914">
        <v>44095</v>
      </c>
      <c r="BT508" s="914"/>
      <c r="BU508" s="914">
        <v>44074</v>
      </c>
      <c r="BV508" s="336">
        <v>44062</v>
      </c>
      <c r="BW508" s="13"/>
      <c r="BX508" s="158" t="s">
        <v>3567</v>
      </c>
      <c r="BY508" s="158" t="s">
        <v>551</v>
      </c>
      <c r="BZ508" s="158" t="s">
        <v>3542</v>
      </c>
      <c r="CA508" s="158" t="s">
        <v>3548</v>
      </c>
      <c r="CB508" s="1222" t="s">
        <v>2094</v>
      </c>
      <c r="CC508" s="38" t="s">
        <v>3568</v>
      </c>
      <c r="CD508" s="526"/>
      <c r="CE508" s="526"/>
      <c r="CF508" s="526"/>
      <c r="CG508" s="526"/>
      <c r="CH508" s="526"/>
      <c r="CI508" s="526"/>
      <c r="CJ508" s="526"/>
      <c r="CK508" s="15"/>
    </row>
    <row r="509" spans="2:89" ht="140.25" hidden="1" customHeight="1">
      <c r="B509" s="22"/>
      <c r="C509" s="22"/>
      <c r="D509" s="22"/>
      <c r="E509" s="911">
        <v>44075</v>
      </c>
      <c r="F509" s="911"/>
      <c r="G509" s="915">
        <v>44279</v>
      </c>
      <c r="H509" s="1746"/>
      <c r="I509" s="330">
        <v>44080</v>
      </c>
      <c r="J509" s="169">
        <v>2020</v>
      </c>
      <c r="K509" s="1417">
        <v>206.22</v>
      </c>
      <c r="L509" s="1417"/>
      <c r="M509" s="170" t="s">
        <v>77</v>
      </c>
      <c r="N509" s="178" t="s">
        <v>2922</v>
      </c>
      <c r="O509" s="172" t="s">
        <v>79</v>
      </c>
      <c r="P509" s="173" t="s">
        <v>2981</v>
      </c>
      <c r="Q509" s="173" t="s">
        <v>3623</v>
      </c>
      <c r="R509" s="174">
        <v>844236.05</v>
      </c>
      <c r="S509" s="176">
        <v>44021</v>
      </c>
      <c r="T509" s="176">
        <v>44027</v>
      </c>
      <c r="U509" s="177">
        <v>44088</v>
      </c>
      <c r="V509" s="105">
        <v>44020</v>
      </c>
      <c r="W509" s="178" t="s">
        <v>2973</v>
      </c>
      <c r="X509" s="170" t="s">
        <v>213</v>
      </c>
      <c r="Y509" s="1040">
        <v>43985</v>
      </c>
      <c r="Z509" s="1383"/>
      <c r="AA509" s="33" t="s">
        <v>2982</v>
      </c>
      <c r="AB509" s="8">
        <v>43972</v>
      </c>
      <c r="AC509" s="4">
        <f>113550.87+211191.7+524071.24</f>
        <v>848813.81</v>
      </c>
      <c r="AD509" s="4"/>
      <c r="AE509" s="32"/>
      <c r="AF509" s="34" t="s">
        <v>68</v>
      </c>
      <c r="AG509" s="112" t="s">
        <v>68</v>
      </c>
      <c r="AH509" s="112" t="s">
        <v>68</v>
      </c>
      <c r="AI509" s="7" t="s">
        <v>68</v>
      </c>
      <c r="AJ509" s="109" t="s">
        <v>68</v>
      </c>
      <c r="AK509" s="33" t="s">
        <v>1011</v>
      </c>
      <c r="AL509" s="1" t="s">
        <v>68</v>
      </c>
      <c r="AM509" s="5"/>
      <c r="AN509" s="1" t="s">
        <v>3561</v>
      </c>
      <c r="AO509" s="5">
        <v>44021</v>
      </c>
      <c r="AP509" s="2" t="s">
        <v>3562</v>
      </c>
      <c r="AQ509" s="5">
        <v>44085</v>
      </c>
      <c r="AR509" s="279">
        <f>84423.61*2</f>
        <v>168847.22</v>
      </c>
      <c r="AS509" s="35">
        <v>0</v>
      </c>
      <c r="AT509" s="895">
        <v>947197.91</v>
      </c>
      <c r="AU509" s="1359">
        <f>110457.65+178804.12+446877.13</f>
        <v>736138.9</v>
      </c>
      <c r="AV509" s="66" t="s">
        <v>74</v>
      </c>
      <c r="AW509" s="11"/>
      <c r="AX509" s="223" t="s">
        <v>68</v>
      </c>
      <c r="AY509" s="52" t="s">
        <v>68</v>
      </c>
      <c r="AZ509" s="66" t="s">
        <v>74</v>
      </c>
      <c r="BA509" s="5"/>
      <c r="BB509" s="5"/>
      <c r="BC509" s="11"/>
      <c r="BD509" s="30">
        <v>44085</v>
      </c>
      <c r="BE509" s="309"/>
      <c r="BF509" s="5">
        <v>44027</v>
      </c>
      <c r="BG509" s="5">
        <v>44088</v>
      </c>
      <c r="BH509" s="5">
        <v>44085</v>
      </c>
      <c r="BI509" s="245">
        <f t="shared" si="16"/>
        <v>947197.91</v>
      </c>
      <c r="BJ509" s="203">
        <v>44085</v>
      </c>
      <c r="BK509" s="1818"/>
      <c r="BL509" s="336">
        <v>44028</v>
      </c>
      <c r="BM509" s="131" t="s">
        <v>74</v>
      </c>
      <c r="BN509" s="131" t="s">
        <v>74</v>
      </c>
      <c r="BO509" s="1250"/>
      <c r="BP509" s="1250"/>
      <c r="BQ509" s="1250"/>
      <c r="BR509" s="914"/>
      <c r="BS509" s="1250" t="s">
        <v>74</v>
      </c>
      <c r="BT509" s="1250"/>
      <c r="BU509" s="696"/>
      <c r="BV509" s="694" t="s">
        <v>68</v>
      </c>
      <c r="BW509" s="13"/>
      <c r="BX509" s="1309" t="s">
        <v>3567</v>
      </c>
      <c r="BY509" s="13"/>
      <c r="BZ509" s="13"/>
      <c r="CA509" s="13"/>
      <c r="CB509" s="1222" t="s">
        <v>2094</v>
      </c>
      <c r="CC509" s="38" t="s">
        <v>3563</v>
      </c>
      <c r="CD509" s="526"/>
      <c r="CE509" s="526"/>
      <c r="CF509" s="526"/>
      <c r="CG509" s="526"/>
      <c r="CH509" s="526"/>
      <c r="CI509" s="526"/>
      <c r="CJ509" s="526"/>
      <c r="CK509" s="15"/>
    </row>
    <row r="510" spans="2:89" ht="75.75" hidden="1" customHeight="1">
      <c r="B510" s="22"/>
      <c r="C510" s="22"/>
      <c r="D510" s="22"/>
      <c r="E510" s="911">
        <v>44075</v>
      </c>
      <c r="F510" s="911"/>
      <c r="G510" s="915">
        <v>44286</v>
      </c>
      <c r="H510" s="1746"/>
      <c r="I510" s="330">
        <v>44302</v>
      </c>
      <c r="J510" s="169">
        <v>2020</v>
      </c>
      <c r="K510" s="1417">
        <v>206.23</v>
      </c>
      <c r="L510" s="1417"/>
      <c r="M510" s="170" t="s">
        <v>77</v>
      </c>
      <c r="N510" s="178" t="s">
        <v>2923</v>
      </c>
      <c r="O510" s="172" t="s">
        <v>79</v>
      </c>
      <c r="P510" s="173" t="s">
        <v>2942</v>
      </c>
      <c r="Q510" s="173" t="s">
        <v>1975</v>
      </c>
      <c r="R510" s="174">
        <v>189588.54</v>
      </c>
      <c r="S510" s="176">
        <v>44019</v>
      </c>
      <c r="T510" s="176">
        <v>44032</v>
      </c>
      <c r="U510" s="177">
        <v>44051</v>
      </c>
      <c r="V510" s="68">
        <v>44018</v>
      </c>
      <c r="W510" s="178" t="s">
        <v>2932</v>
      </c>
      <c r="X510" s="170" t="s">
        <v>114</v>
      </c>
      <c r="Y510" s="200">
        <v>43973</v>
      </c>
      <c r="Z510" s="368"/>
      <c r="AA510" s="33" t="s">
        <v>3008</v>
      </c>
      <c r="AB510" s="8">
        <v>43972</v>
      </c>
      <c r="AC510" s="4">
        <v>240672.69</v>
      </c>
      <c r="AD510" s="4"/>
      <c r="AE510" s="32"/>
      <c r="AF510" s="34" t="s">
        <v>68</v>
      </c>
      <c r="AG510" s="112" t="s">
        <v>68</v>
      </c>
      <c r="AH510" s="112" t="s">
        <v>68</v>
      </c>
      <c r="AI510" s="7" t="s">
        <v>68</v>
      </c>
      <c r="AJ510" s="109" t="s">
        <v>68</v>
      </c>
      <c r="AK510" s="33" t="s">
        <v>3555</v>
      </c>
      <c r="AL510" s="1" t="s">
        <v>3579</v>
      </c>
      <c r="AM510" s="5">
        <v>44019</v>
      </c>
      <c r="AN510" s="1" t="s">
        <v>3580</v>
      </c>
      <c r="AO510" s="5">
        <v>44019</v>
      </c>
      <c r="AP510" s="1" t="s">
        <v>83</v>
      </c>
      <c r="AQ510" s="5"/>
      <c r="AR510" s="279">
        <f>47397.15+18958.85</f>
        <v>66356</v>
      </c>
      <c r="AS510" s="35">
        <v>0</v>
      </c>
      <c r="AT510" s="895">
        <v>189588.55</v>
      </c>
      <c r="AU510" s="884">
        <v>189588.55</v>
      </c>
      <c r="AV510" s="66" t="s">
        <v>74</v>
      </c>
      <c r="AW510" s="11"/>
      <c r="AX510" s="223" t="s">
        <v>68</v>
      </c>
      <c r="AY510" s="52" t="s">
        <v>68</v>
      </c>
      <c r="AZ510" s="30">
        <v>44042</v>
      </c>
      <c r="BA510" s="5">
        <v>44032</v>
      </c>
      <c r="BB510" s="5">
        <v>44051</v>
      </c>
      <c r="BC510" s="11">
        <v>44042</v>
      </c>
      <c r="BD510" s="30">
        <v>44047</v>
      </c>
      <c r="BE510" s="309"/>
      <c r="BF510" s="5">
        <v>44032</v>
      </c>
      <c r="BG510" s="5">
        <v>44051</v>
      </c>
      <c r="BH510" s="5">
        <v>44042</v>
      </c>
      <c r="BI510" s="36">
        <f t="shared" si="16"/>
        <v>189588.55</v>
      </c>
      <c r="BJ510" s="62">
        <v>44047</v>
      </c>
      <c r="BK510" s="224"/>
      <c r="BL510" s="336">
        <v>44028</v>
      </c>
      <c r="BM510" s="218" t="s">
        <v>74</v>
      </c>
      <c r="BN510" s="218" t="s">
        <v>74</v>
      </c>
      <c r="BO510" s="216"/>
      <c r="BP510" s="216"/>
      <c r="BQ510" s="216"/>
      <c r="BR510" s="914"/>
      <c r="BS510" s="216" t="s">
        <v>74</v>
      </c>
      <c r="BT510" s="216"/>
      <c r="BU510" s="696"/>
      <c r="BV510" s="694" t="s">
        <v>68</v>
      </c>
      <c r="BW510" s="13"/>
      <c r="BX510" s="1256" t="s">
        <v>3730</v>
      </c>
      <c r="BY510" s="1257" t="s">
        <v>74</v>
      </c>
      <c r="BZ510" s="158" t="s">
        <v>3542</v>
      </c>
      <c r="CA510" s="158" t="s">
        <v>3548</v>
      </c>
      <c r="CB510" s="1222" t="s">
        <v>2094</v>
      </c>
      <c r="CC510" s="38"/>
      <c r="CD510" s="526"/>
      <c r="CE510" s="526"/>
      <c r="CF510" s="526"/>
      <c r="CG510" s="526"/>
      <c r="CH510" s="526"/>
      <c r="CI510" s="526"/>
      <c r="CJ510" s="526"/>
      <c r="CK510" s="15"/>
    </row>
    <row r="511" spans="2:89" ht="121.5" hidden="1" customHeight="1">
      <c r="B511" s="22"/>
      <c r="C511" s="911"/>
      <c r="D511" s="911"/>
      <c r="E511" s="911">
        <v>44075</v>
      </c>
      <c r="F511" s="911"/>
      <c r="G511" s="915">
        <v>44267</v>
      </c>
      <c r="H511" s="1746"/>
      <c r="I511" s="330">
        <v>44267</v>
      </c>
      <c r="J511" s="169">
        <v>2020</v>
      </c>
      <c r="K511" s="1417">
        <v>206.24</v>
      </c>
      <c r="L511" s="1417"/>
      <c r="M511" s="170" t="s">
        <v>77</v>
      </c>
      <c r="N511" s="178" t="s">
        <v>2924</v>
      </c>
      <c r="O511" s="172" t="s">
        <v>79</v>
      </c>
      <c r="P511" s="173" t="s">
        <v>3033</v>
      </c>
      <c r="Q511" s="173" t="s">
        <v>2538</v>
      </c>
      <c r="R511" s="174">
        <v>1003699.45</v>
      </c>
      <c r="S511" s="176">
        <v>44028</v>
      </c>
      <c r="T511" s="176">
        <v>44032</v>
      </c>
      <c r="U511" s="177">
        <v>44089</v>
      </c>
      <c r="V511" s="105">
        <v>44026</v>
      </c>
      <c r="W511" s="178" t="s">
        <v>739</v>
      </c>
      <c r="X511" s="170" t="s">
        <v>1107</v>
      </c>
      <c r="Y511" s="200">
        <v>44034</v>
      </c>
      <c r="Z511" s="368"/>
      <c r="AA511" s="33" t="s">
        <v>2979</v>
      </c>
      <c r="AB511" s="8">
        <v>43972</v>
      </c>
      <c r="AC511" s="4">
        <v>955219.27</v>
      </c>
      <c r="AD511" s="4"/>
      <c r="AE511" s="32"/>
      <c r="AF511" s="34" t="s">
        <v>68</v>
      </c>
      <c r="AG511" s="112" t="s">
        <v>68</v>
      </c>
      <c r="AH511" s="112" t="s">
        <v>68</v>
      </c>
      <c r="AI511" s="7" t="s">
        <v>68</v>
      </c>
      <c r="AJ511" s="109" t="s">
        <v>68</v>
      </c>
      <c r="AK511" s="33" t="s">
        <v>2980</v>
      </c>
      <c r="AL511" s="1">
        <v>2461253</v>
      </c>
      <c r="AM511" s="5">
        <v>44028</v>
      </c>
      <c r="AN511" s="1">
        <v>2461257</v>
      </c>
      <c r="AO511" s="5">
        <v>44028</v>
      </c>
      <c r="AP511" s="1">
        <v>2477171</v>
      </c>
      <c r="AQ511" s="5">
        <v>44101</v>
      </c>
      <c r="AR511" s="279">
        <f>250924.86+100369.94+100369.94</f>
        <v>451664.74</v>
      </c>
      <c r="AS511" s="35">
        <v>0</v>
      </c>
      <c r="AT511" s="895">
        <v>961943.47</v>
      </c>
      <c r="AU511" s="884">
        <v>961942.61</v>
      </c>
      <c r="AV511" s="66" t="s">
        <v>74</v>
      </c>
      <c r="AW511" s="11"/>
      <c r="AX511" s="223" t="s">
        <v>68</v>
      </c>
      <c r="AY511" s="52" t="s">
        <v>68</v>
      </c>
      <c r="AZ511" s="30">
        <v>44104</v>
      </c>
      <c r="BA511" s="5">
        <v>44032</v>
      </c>
      <c r="BB511" s="5">
        <v>44089</v>
      </c>
      <c r="BC511" s="11" t="s">
        <v>68</v>
      </c>
      <c r="BD511" s="30">
        <v>44105</v>
      </c>
      <c r="BE511" s="309"/>
      <c r="BF511" s="5">
        <v>44032</v>
      </c>
      <c r="BG511" s="5">
        <v>44089</v>
      </c>
      <c r="BH511" s="5">
        <v>44100</v>
      </c>
      <c r="BI511" s="36">
        <v>961943.47</v>
      </c>
      <c r="BJ511" s="62">
        <v>44105</v>
      </c>
      <c r="BK511" s="224"/>
      <c r="BL511" s="1246" t="s">
        <v>74</v>
      </c>
      <c r="BM511" s="218" t="s">
        <v>74</v>
      </c>
      <c r="BN511" s="71">
        <v>44032</v>
      </c>
      <c r="BO511" s="1091" t="s">
        <v>68</v>
      </c>
      <c r="BP511" s="218" t="s">
        <v>74</v>
      </c>
      <c r="BQ511" s="218" t="s">
        <v>74</v>
      </c>
      <c r="BR511" s="914" t="s">
        <v>74</v>
      </c>
      <c r="BS511" s="914">
        <v>44102</v>
      </c>
      <c r="BT511" s="914"/>
      <c r="BU511" s="1092" t="s">
        <v>551</v>
      </c>
      <c r="BV511" s="694" t="s">
        <v>68</v>
      </c>
      <c r="BW511" s="13"/>
      <c r="BX511" s="158" t="s">
        <v>3567</v>
      </c>
      <c r="BY511" s="158" t="s">
        <v>3553</v>
      </c>
      <c r="BZ511" s="158" t="s">
        <v>3542</v>
      </c>
      <c r="CA511" s="158" t="s">
        <v>3548</v>
      </c>
      <c r="CB511" s="1222" t="s">
        <v>2094</v>
      </c>
      <c r="CC511" s="38"/>
      <c r="CD511" s="526"/>
      <c r="CE511" s="526"/>
      <c r="CF511" s="526"/>
      <c r="CG511" s="526"/>
      <c r="CH511" s="526"/>
      <c r="CI511" s="526"/>
      <c r="CJ511" s="526"/>
      <c r="CK511" s="15"/>
    </row>
    <row r="512" spans="2:89" ht="156" hidden="1" customHeight="1">
      <c r="B512" s="22"/>
      <c r="C512" s="911"/>
      <c r="D512" s="911"/>
      <c r="E512" s="911">
        <v>44075</v>
      </c>
      <c r="F512" s="911"/>
      <c r="G512" s="915">
        <v>44267</v>
      </c>
      <c r="H512" s="1746"/>
      <c r="I512" s="330">
        <v>44267</v>
      </c>
      <c r="J512" s="169">
        <v>2020</v>
      </c>
      <c r="K512" s="1417">
        <v>206.25</v>
      </c>
      <c r="L512" s="1417"/>
      <c r="M512" s="170" t="s">
        <v>77</v>
      </c>
      <c r="N512" s="178" t="s">
        <v>3010</v>
      </c>
      <c r="O512" s="172" t="s">
        <v>79</v>
      </c>
      <c r="P512" s="173" t="s">
        <v>3178</v>
      </c>
      <c r="Q512" s="173" t="s">
        <v>2538</v>
      </c>
      <c r="R512" s="594">
        <v>961974.96</v>
      </c>
      <c r="S512" s="176">
        <v>44028</v>
      </c>
      <c r="T512" s="176">
        <v>44032</v>
      </c>
      <c r="U512" s="177">
        <v>44089</v>
      </c>
      <c r="V512" s="105">
        <v>44026</v>
      </c>
      <c r="W512" s="178" t="s">
        <v>739</v>
      </c>
      <c r="X512" s="170" t="s">
        <v>1107</v>
      </c>
      <c r="Y512" s="200">
        <v>44034</v>
      </c>
      <c r="Z512" s="368"/>
      <c r="AA512" s="33" t="s">
        <v>2979</v>
      </c>
      <c r="AB512" s="8">
        <v>43972</v>
      </c>
      <c r="AC512" s="79">
        <f>801868.45+112115.45</f>
        <v>913983.89999999991</v>
      </c>
      <c r="AD512" s="4"/>
      <c r="AE512" s="32"/>
      <c r="AF512" s="34" t="s">
        <v>68</v>
      </c>
      <c r="AG512" s="112" t="s">
        <v>68</v>
      </c>
      <c r="AH512" s="112" t="s">
        <v>68</v>
      </c>
      <c r="AI512" s="7" t="s">
        <v>68</v>
      </c>
      <c r="AJ512" s="109" t="s">
        <v>68</v>
      </c>
      <c r="AK512" s="33" t="s">
        <v>2980</v>
      </c>
      <c r="AL512" s="1">
        <v>2461266</v>
      </c>
      <c r="AM512" s="5">
        <v>44028</v>
      </c>
      <c r="AN512" s="1">
        <v>2461270</v>
      </c>
      <c r="AO512" s="5">
        <v>44028</v>
      </c>
      <c r="AP512" s="1">
        <v>2477176</v>
      </c>
      <c r="AQ512" s="5">
        <v>44101</v>
      </c>
      <c r="AR512" s="279">
        <f>240493.73+96197.49+96197.49</f>
        <v>432888.71</v>
      </c>
      <c r="AS512" s="35">
        <v>0</v>
      </c>
      <c r="AT512" s="900">
        <v>976127.66</v>
      </c>
      <c r="AU512" s="1359">
        <v>842373.69</v>
      </c>
      <c r="AV512" s="66" t="s">
        <v>74</v>
      </c>
      <c r="AW512" s="11"/>
      <c r="AX512" s="223" t="s">
        <v>68</v>
      </c>
      <c r="AY512" s="52" t="s">
        <v>68</v>
      </c>
      <c r="AZ512" s="30">
        <v>44104</v>
      </c>
      <c r="BA512" s="5">
        <v>44032</v>
      </c>
      <c r="BB512" s="5">
        <v>44089</v>
      </c>
      <c r="BC512" s="11" t="s">
        <v>68</v>
      </c>
      <c r="BD512" s="30">
        <v>44105</v>
      </c>
      <c r="BE512" s="309"/>
      <c r="BF512" s="5">
        <v>44032</v>
      </c>
      <c r="BG512" s="5">
        <v>44089</v>
      </c>
      <c r="BH512" s="5">
        <v>44100</v>
      </c>
      <c r="BI512" s="36">
        <f>854170.84+121956.82</f>
        <v>976127.65999999992</v>
      </c>
      <c r="BJ512" s="62">
        <v>44105</v>
      </c>
      <c r="BK512" s="224"/>
      <c r="BL512" s="1246" t="s">
        <v>74</v>
      </c>
      <c r="BM512" s="218" t="s">
        <v>74</v>
      </c>
      <c r="BN512" s="71">
        <v>44032</v>
      </c>
      <c r="BO512" s="1091" t="s">
        <v>68</v>
      </c>
      <c r="BP512" s="218" t="s">
        <v>74</v>
      </c>
      <c r="BQ512" s="218" t="s">
        <v>74</v>
      </c>
      <c r="BR512" s="914" t="s">
        <v>74</v>
      </c>
      <c r="BS512" s="914">
        <v>44102</v>
      </c>
      <c r="BT512" s="914"/>
      <c r="BU512" s="1092" t="s">
        <v>551</v>
      </c>
      <c r="BV512" s="694" t="s">
        <v>68</v>
      </c>
      <c r="BW512" s="13"/>
      <c r="BX512" s="158" t="s">
        <v>3567</v>
      </c>
      <c r="BY512" s="158" t="s">
        <v>3553</v>
      </c>
      <c r="BZ512" s="158" t="s">
        <v>3542</v>
      </c>
      <c r="CA512" s="158" t="s">
        <v>3548</v>
      </c>
      <c r="CB512" s="1222" t="s">
        <v>2094</v>
      </c>
      <c r="CC512" s="38"/>
      <c r="CD512" s="526"/>
      <c r="CE512" s="526"/>
      <c r="CF512" s="526"/>
      <c r="CG512" s="526"/>
      <c r="CH512" s="526"/>
      <c r="CI512" s="526"/>
      <c r="CJ512" s="526"/>
      <c r="CK512" s="15"/>
    </row>
    <row r="513" spans="2:89" ht="117.75" hidden="1" customHeight="1">
      <c r="B513" s="22"/>
      <c r="C513" s="1444">
        <v>44494</v>
      </c>
      <c r="D513" s="1444"/>
      <c r="E513" s="911">
        <v>44075</v>
      </c>
      <c r="F513" s="911"/>
      <c r="G513" s="915">
        <v>44278</v>
      </c>
      <c r="H513" s="1746"/>
      <c r="I513" s="330">
        <v>44295</v>
      </c>
      <c r="J513" s="169">
        <v>2020</v>
      </c>
      <c r="K513" s="1417">
        <v>206.26</v>
      </c>
      <c r="L513" s="1417"/>
      <c r="M513" s="170" t="s">
        <v>77</v>
      </c>
      <c r="N513" s="178" t="s">
        <v>2971</v>
      </c>
      <c r="O513" s="172" t="s">
        <v>79</v>
      </c>
      <c r="P513" s="173" t="s">
        <v>3205</v>
      </c>
      <c r="Q513" s="173" t="s">
        <v>2538</v>
      </c>
      <c r="R513" s="174">
        <v>720809.67</v>
      </c>
      <c r="S513" s="176">
        <v>44076</v>
      </c>
      <c r="T513" s="176">
        <v>44069</v>
      </c>
      <c r="U513" s="177">
        <v>44142</v>
      </c>
      <c r="V513" s="105">
        <v>44074</v>
      </c>
      <c r="W513" s="178" t="s">
        <v>1319</v>
      </c>
      <c r="X513" s="170" t="s">
        <v>984</v>
      </c>
      <c r="Y513" s="611" t="s">
        <v>4027</v>
      </c>
      <c r="Z513" s="1371"/>
      <c r="AA513" s="33" t="s">
        <v>2979</v>
      </c>
      <c r="AB513" s="8">
        <v>43972</v>
      </c>
      <c r="AC513" s="4">
        <v>725198.91</v>
      </c>
      <c r="AD513" s="4"/>
      <c r="AE513" s="32"/>
      <c r="AF513" s="34" t="s">
        <v>68</v>
      </c>
      <c r="AG513" s="112" t="s">
        <v>68</v>
      </c>
      <c r="AH513" s="112" t="s">
        <v>68</v>
      </c>
      <c r="AI513" s="7" t="s">
        <v>68</v>
      </c>
      <c r="AJ513" s="109" t="s">
        <v>68</v>
      </c>
      <c r="AK513" s="33" t="s">
        <v>1011</v>
      </c>
      <c r="AL513" s="2" t="s">
        <v>3549</v>
      </c>
      <c r="AM513" s="238">
        <v>44076</v>
      </c>
      <c r="AN513" s="2" t="s">
        <v>3550</v>
      </c>
      <c r="AO513" s="238">
        <v>44076</v>
      </c>
      <c r="AP513" s="2" t="s">
        <v>3551</v>
      </c>
      <c r="AQ513" s="238">
        <v>44148</v>
      </c>
      <c r="AR513" s="279">
        <f>180202.41+72080.97+82245.12</f>
        <v>334528.5</v>
      </c>
      <c r="AS513" s="35">
        <v>0</v>
      </c>
      <c r="AT513" s="895">
        <v>822451.21</v>
      </c>
      <c r="AU513" s="884">
        <v>822451.22</v>
      </c>
      <c r="AV513" s="324">
        <v>44123</v>
      </c>
      <c r="AW513" s="11">
        <v>44196</v>
      </c>
      <c r="AX513" s="223" t="s">
        <v>68</v>
      </c>
      <c r="AY513" s="52" t="s">
        <v>68</v>
      </c>
      <c r="AZ513" s="30">
        <v>44147</v>
      </c>
      <c r="BA513" s="5">
        <v>44069</v>
      </c>
      <c r="BB513" s="58">
        <v>44148</v>
      </c>
      <c r="BC513" s="11" t="s">
        <v>68</v>
      </c>
      <c r="BD513" s="30">
        <v>44148</v>
      </c>
      <c r="BE513" s="309"/>
      <c r="BF513" s="5">
        <v>44069</v>
      </c>
      <c r="BG513" s="5">
        <v>44142</v>
      </c>
      <c r="BH513" s="5">
        <v>44148</v>
      </c>
      <c r="BI513" s="36">
        <v>822451.21</v>
      </c>
      <c r="BJ513" s="62">
        <v>44148</v>
      </c>
      <c r="BK513" s="224"/>
      <c r="BL513" s="336">
        <v>44068</v>
      </c>
      <c r="BM513" s="218" t="s">
        <v>74</v>
      </c>
      <c r="BN513" s="218" t="s">
        <v>74</v>
      </c>
      <c r="BO513" s="1091" t="s">
        <v>68</v>
      </c>
      <c r="BP513" s="218" t="s">
        <v>74</v>
      </c>
      <c r="BQ513" s="218" t="s">
        <v>74</v>
      </c>
      <c r="BR513" s="914" t="s">
        <v>74</v>
      </c>
      <c r="BS513" s="914">
        <v>44145</v>
      </c>
      <c r="BT513" s="914"/>
      <c r="BU513" s="914">
        <v>44130</v>
      </c>
      <c r="BV513" s="694" t="s">
        <v>68</v>
      </c>
      <c r="BW513" s="13"/>
      <c r="BX513" s="1310" t="s">
        <v>3572</v>
      </c>
      <c r="BY513" s="158" t="s">
        <v>3553</v>
      </c>
      <c r="BZ513" s="158" t="s">
        <v>3542</v>
      </c>
      <c r="CA513" s="158" t="s">
        <v>3548</v>
      </c>
      <c r="CB513" s="1222" t="s">
        <v>2094</v>
      </c>
      <c r="CC513" s="38"/>
      <c r="CD513" s="526"/>
      <c r="CE513" s="526"/>
      <c r="CF513" s="526"/>
      <c r="CG513" s="526"/>
      <c r="CH513" s="526"/>
      <c r="CI513" s="526"/>
      <c r="CJ513" s="526"/>
      <c r="CK513" s="15"/>
    </row>
    <row r="514" spans="2:89" ht="67.5" hidden="1" customHeight="1">
      <c r="B514" s="22"/>
      <c r="C514" s="22"/>
      <c r="D514" s="22"/>
      <c r="E514" s="911"/>
      <c r="F514" s="911"/>
      <c r="G514" s="915">
        <v>44278</v>
      </c>
      <c r="H514" s="1746"/>
      <c r="I514" s="330">
        <v>44295</v>
      </c>
      <c r="J514" s="169">
        <v>2020</v>
      </c>
      <c r="K514" s="1417">
        <v>206.27</v>
      </c>
      <c r="L514" s="1417"/>
      <c r="M514" s="170" t="s">
        <v>77</v>
      </c>
      <c r="N514" s="178" t="s">
        <v>2972</v>
      </c>
      <c r="O514" s="172" t="s">
        <v>3212</v>
      </c>
      <c r="P514" s="173" t="s">
        <v>3333</v>
      </c>
      <c r="Q514" s="173" t="s">
        <v>1975</v>
      </c>
      <c r="R514" s="174">
        <v>2630623.62</v>
      </c>
      <c r="S514" s="176">
        <v>44007</v>
      </c>
      <c r="T514" s="176">
        <v>44008</v>
      </c>
      <c r="U514" s="177">
        <v>44099</v>
      </c>
      <c r="V514" s="677" t="s">
        <v>68</v>
      </c>
      <c r="W514" s="178" t="s">
        <v>3334</v>
      </c>
      <c r="X514" s="170" t="s">
        <v>449</v>
      </c>
      <c r="Y514" s="461" t="s">
        <v>74</v>
      </c>
      <c r="Z514" s="1371"/>
      <c r="AA514" s="33" t="s">
        <v>3541</v>
      </c>
      <c r="AB514" s="8">
        <v>44021</v>
      </c>
      <c r="AC514" s="1244">
        <v>2631731.1800000002</v>
      </c>
      <c r="AD514" s="4"/>
      <c r="AE514" s="32"/>
      <c r="AF514" s="34">
        <v>43983</v>
      </c>
      <c r="AG514" s="112">
        <v>43990</v>
      </c>
      <c r="AH514" s="112">
        <v>43990</v>
      </c>
      <c r="AI514" s="7">
        <v>44000</v>
      </c>
      <c r="AJ514" s="109">
        <v>44007</v>
      </c>
      <c r="AK514" s="33" t="s">
        <v>1270</v>
      </c>
      <c r="AL514" s="1" t="s">
        <v>68</v>
      </c>
      <c r="AM514" s="5"/>
      <c r="AN514" s="1245" t="s">
        <v>74</v>
      </c>
      <c r="AO514" s="238"/>
      <c r="AP514" s="2" t="s">
        <v>3544</v>
      </c>
      <c r="AQ514" s="5">
        <v>44100</v>
      </c>
      <c r="AR514" s="279">
        <f>263173.42</f>
        <v>263173.42</v>
      </c>
      <c r="AS514" s="35">
        <v>0</v>
      </c>
      <c r="AT514" s="895">
        <v>2631734.15</v>
      </c>
      <c r="AU514" s="1359">
        <v>2729206.78</v>
      </c>
      <c r="AV514" s="66" t="s">
        <v>74</v>
      </c>
      <c r="AW514" s="11"/>
      <c r="AX514" s="223" t="s">
        <v>68</v>
      </c>
      <c r="AY514" s="52" t="s">
        <v>68</v>
      </c>
      <c r="AZ514" s="30">
        <v>44100</v>
      </c>
      <c r="BA514" s="5">
        <v>44008</v>
      </c>
      <c r="BB514" s="5">
        <v>44100</v>
      </c>
      <c r="BC514" s="11">
        <v>44098</v>
      </c>
      <c r="BD514" s="30">
        <v>44100</v>
      </c>
      <c r="BE514" s="309"/>
      <c r="BF514" s="5">
        <v>44008</v>
      </c>
      <c r="BG514" s="5">
        <v>44100</v>
      </c>
      <c r="BH514" s="5">
        <v>44098</v>
      </c>
      <c r="BI514" s="36">
        <v>461128.74</v>
      </c>
      <c r="BJ514" s="62">
        <v>44100</v>
      </c>
      <c r="BK514" s="224"/>
      <c r="BL514" s="1246" t="s">
        <v>74</v>
      </c>
      <c r="BM514" s="218" t="s">
        <v>74</v>
      </c>
      <c r="BN514" s="218" t="s">
        <v>74</v>
      </c>
      <c r="BO514" s="1091" t="s">
        <v>68</v>
      </c>
      <c r="BP514" s="218" t="s">
        <v>74</v>
      </c>
      <c r="BQ514" s="218" t="s">
        <v>74</v>
      </c>
      <c r="BR514" s="914" t="s">
        <v>74</v>
      </c>
      <c r="BS514" s="216" t="s">
        <v>74</v>
      </c>
      <c r="BT514" s="216"/>
      <c r="BU514" s="696"/>
      <c r="BV514" s="694" t="s">
        <v>68</v>
      </c>
      <c r="BW514" s="13"/>
      <c r="BX514" s="1248" t="s">
        <v>3730</v>
      </c>
      <c r="BY514" s="13" t="s">
        <v>551</v>
      </c>
      <c r="BZ514" s="1247" t="s">
        <v>3542</v>
      </c>
      <c r="CA514" s="158" t="s">
        <v>3543</v>
      </c>
      <c r="CB514" s="1222" t="s">
        <v>2094</v>
      </c>
      <c r="CC514" s="38"/>
      <c r="CD514" s="526"/>
      <c r="CE514" s="526"/>
      <c r="CF514" s="526"/>
      <c r="CG514" s="526"/>
      <c r="CH514" s="526"/>
      <c r="CI514" s="526"/>
      <c r="CJ514" s="526"/>
      <c r="CK514" s="15"/>
    </row>
    <row r="515" spans="2:89" ht="64.5" hidden="1" customHeight="1">
      <c r="B515" s="22"/>
      <c r="C515" s="1445">
        <v>44494</v>
      </c>
      <c r="D515" s="1445"/>
      <c r="E515" s="911"/>
      <c r="F515" s="911"/>
      <c r="G515" s="915">
        <v>44516</v>
      </c>
      <c r="H515" s="1746"/>
      <c r="I515" s="330">
        <v>44309</v>
      </c>
      <c r="J515" s="169">
        <v>2020</v>
      </c>
      <c r="K515" s="1417">
        <v>206.28</v>
      </c>
      <c r="L515" s="1417"/>
      <c r="M515" s="1045" t="s">
        <v>867</v>
      </c>
      <c r="N515" s="178" t="s">
        <v>3211</v>
      </c>
      <c r="O515" s="172" t="s">
        <v>3212</v>
      </c>
      <c r="P515" s="173" t="s">
        <v>3213</v>
      </c>
      <c r="Q515" s="173" t="s">
        <v>2538</v>
      </c>
      <c r="R515" s="174">
        <v>8270578.4299999997</v>
      </c>
      <c r="S515" s="176">
        <v>44120</v>
      </c>
      <c r="T515" s="176">
        <v>44123</v>
      </c>
      <c r="U515" s="177">
        <v>44176</v>
      </c>
      <c r="V515" s="105" t="s">
        <v>1428</v>
      </c>
      <c r="W515" s="1044" t="s">
        <v>739</v>
      </c>
      <c r="X515" s="1045" t="s">
        <v>3257</v>
      </c>
      <c r="Y515" s="611" t="s">
        <v>4027</v>
      </c>
      <c r="Z515" s="1373" t="s">
        <v>3865</v>
      </c>
      <c r="AA515" s="33" t="s">
        <v>3293</v>
      </c>
      <c r="AB515" s="8">
        <v>44021</v>
      </c>
      <c r="AC515" s="79">
        <v>10000000</v>
      </c>
      <c r="AD515" s="665" t="s">
        <v>3294</v>
      </c>
      <c r="AE515" s="32">
        <v>10000000</v>
      </c>
      <c r="AF515" s="1325">
        <v>44099</v>
      </c>
      <c r="AG515" s="1326">
        <v>44102</v>
      </c>
      <c r="AH515" s="1326">
        <v>44103</v>
      </c>
      <c r="AI515" s="584">
        <v>44109</v>
      </c>
      <c r="AJ515" s="581">
        <v>44113</v>
      </c>
      <c r="AK515" s="115" t="s">
        <v>3830</v>
      </c>
      <c r="AL515" s="1" t="s">
        <v>68</v>
      </c>
      <c r="AM515" s="5"/>
      <c r="AN515" s="1">
        <v>2489379</v>
      </c>
      <c r="AO515" s="5">
        <v>44123</v>
      </c>
      <c r="AP515" s="1">
        <v>2537213</v>
      </c>
      <c r="AQ515" s="5">
        <v>44272</v>
      </c>
      <c r="AR515" s="279">
        <f>827057.84*2</f>
        <v>1654115.68</v>
      </c>
      <c r="AS515" s="35">
        <v>0</v>
      </c>
      <c r="AT515" s="895">
        <v>8270576.8799999999</v>
      </c>
      <c r="AU515" s="884">
        <f>9999989.88-AT516</f>
        <v>8270576.870000001</v>
      </c>
      <c r="AV515" s="70">
        <v>44123</v>
      </c>
      <c r="AW515" s="11">
        <v>44196</v>
      </c>
      <c r="AX515" s="223" t="s">
        <v>68</v>
      </c>
      <c r="AY515" s="52" t="s">
        <v>68</v>
      </c>
      <c r="AZ515" s="324">
        <v>44200</v>
      </c>
      <c r="BA515" s="5">
        <v>44123</v>
      </c>
      <c r="BB515" s="5">
        <v>44196</v>
      </c>
      <c r="BC515" s="11">
        <v>44196</v>
      </c>
      <c r="BD515" s="70">
        <v>44200</v>
      </c>
      <c r="BE515" s="1614"/>
      <c r="BF515" s="5">
        <v>44123</v>
      </c>
      <c r="BG515" s="58">
        <v>44196</v>
      </c>
      <c r="BH515" s="58">
        <v>44196</v>
      </c>
      <c r="BI515" s="1036">
        <v>8270576.8799999999</v>
      </c>
      <c r="BJ515" s="1024">
        <v>44200</v>
      </c>
      <c r="BK515" s="1027"/>
      <c r="BL515" s="336">
        <v>44123</v>
      </c>
      <c r="BM515" s="71">
        <v>44123</v>
      </c>
      <c r="BN515" s="71">
        <v>44123</v>
      </c>
      <c r="BO515" s="914">
        <v>44123</v>
      </c>
      <c r="BP515" s="1091">
        <v>44109</v>
      </c>
      <c r="BQ515" s="1091">
        <v>44109</v>
      </c>
      <c r="BR515" s="914" t="s">
        <v>74</v>
      </c>
      <c r="BS515" s="1091">
        <v>44196</v>
      </c>
      <c r="BT515" s="1091">
        <v>44196</v>
      </c>
      <c r="BU515" s="914" t="s">
        <v>3831</v>
      </c>
      <c r="BV515" s="694" t="s">
        <v>68</v>
      </c>
      <c r="BW515" s="13"/>
      <c r="BX515" s="1309" t="s">
        <v>3567</v>
      </c>
      <c r="BY515" s="13"/>
      <c r="BZ515" s="13"/>
      <c r="CA515" s="13"/>
      <c r="CB515" s="1222" t="s">
        <v>2094</v>
      </c>
      <c r="CC515" s="38"/>
      <c r="CD515" s="526"/>
      <c r="CE515" s="526"/>
      <c r="CF515" s="526"/>
      <c r="CG515" s="526"/>
      <c r="CH515" s="526"/>
      <c r="CI515" s="526"/>
      <c r="CJ515" s="526"/>
      <c r="CK515" s="15"/>
    </row>
    <row r="516" spans="2:89" ht="72" hidden="1" customHeight="1">
      <c r="B516" s="22"/>
      <c r="C516" s="1445">
        <v>44494</v>
      </c>
      <c r="D516" s="1445"/>
      <c r="E516" s="911"/>
      <c r="F516" s="911"/>
      <c r="G516" s="915">
        <v>44516</v>
      </c>
      <c r="H516" s="1746"/>
      <c r="I516" s="330">
        <v>44309</v>
      </c>
      <c r="J516" s="169">
        <v>2020</v>
      </c>
      <c r="K516" s="1417">
        <v>206.29</v>
      </c>
      <c r="L516" s="1417"/>
      <c r="M516" s="170" t="s">
        <v>867</v>
      </c>
      <c r="N516" s="178" t="s">
        <v>3354</v>
      </c>
      <c r="O516" s="172" t="s">
        <v>3212</v>
      </c>
      <c r="P516" s="173" t="s">
        <v>3291</v>
      </c>
      <c r="Q516" s="173" t="s">
        <v>2538</v>
      </c>
      <c r="R516" s="174">
        <v>1729413</v>
      </c>
      <c r="S516" s="979">
        <v>44485</v>
      </c>
      <c r="T516" s="176">
        <v>44123</v>
      </c>
      <c r="U516" s="177">
        <v>44196</v>
      </c>
      <c r="V516" s="105" t="s">
        <v>1428</v>
      </c>
      <c r="W516" s="178" t="s">
        <v>3292</v>
      </c>
      <c r="X516" s="1045" t="s">
        <v>3257</v>
      </c>
      <c r="Y516" s="611" t="s">
        <v>4027</v>
      </c>
      <c r="Z516" s="1373" t="s">
        <v>3865</v>
      </c>
      <c r="AA516" s="33" t="s">
        <v>3293</v>
      </c>
      <c r="AB516" s="8">
        <v>44021</v>
      </c>
      <c r="AC516" s="4">
        <v>10000000</v>
      </c>
      <c r="AD516" s="665" t="s">
        <v>3294</v>
      </c>
      <c r="AE516" s="32">
        <v>10000000</v>
      </c>
      <c r="AF516" s="1325">
        <v>44099</v>
      </c>
      <c r="AG516" s="1326">
        <v>44102</v>
      </c>
      <c r="AH516" s="1326">
        <v>44103</v>
      </c>
      <c r="AI516" s="1327">
        <v>44109</v>
      </c>
      <c r="AJ516" s="406">
        <v>44113</v>
      </c>
      <c r="AK516" s="344" t="s">
        <v>1011</v>
      </c>
      <c r="AL516" s="1" t="s">
        <v>68</v>
      </c>
      <c r="AM516" s="5"/>
      <c r="AN516" s="1" t="s">
        <v>3832</v>
      </c>
      <c r="AO516" s="5">
        <v>44120</v>
      </c>
      <c r="AP516" s="1" t="s">
        <v>3833</v>
      </c>
      <c r="AQ516" s="5">
        <v>44196</v>
      </c>
      <c r="AR516" s="279">
        <f>172941.3+172941.3</f>
        <v>345882.6</v>
      </c>
      <c r="AS516" s="35">
        <v>0</v>
      </c>
      <c r="AT516" s="895">
        <v>1729413.01</v>
      </c>
      <c r="AU516" s="884">
        <f>9999989.88-AT515</f>
        <v>1729413.0000000009</v>
      </c>
      <c r="AV516" s="70">
        <v>44123</v>
      </c>
      <c r="AW516" s="11">
        <v>44196</v>
      </c>
      <c r="AX516" s="223" t="s">
        <v>68</v>
      </c>
      <c r="AY516" s="52" t="s">
        <v>68</v>
      </c>
      <c r="AZ516" s="324">
        <v>44200</v>
      </c>
      <c r="BA516" s="5">
        <v>44123</v>
      </c>
      <c r="BB516" s="5">
        <v>44196</v>
      </c>
      <c r="BC516" s="11">
        <v>44196</v>
      </c>
      <c r="BD516" s="246">
        <v>44200</v>
      </c>
      <c r="BE516" s="1542"/>
      <c r="BF516" s="5">
        <v>44123</v>
      </c>
      <c r="BG516" s="5">
        <v>44196</v>
      </c>
      <c r="BH516" s="5">
        <v>44196</v>
      </c>
      <c r="BI516" s="36">
        <f>AS516+AT516</f>
        <v>1729413.01</v>
      </c>
      <c r="BJ516" s="239">
        <v>44200</v>
      </c>
      <c r="BK516" s="1401"/>
      <c r="BL516" s="336">
        <v>44123</v>
      </c>
      <c r="BM516" s="71">
        <v>44123</v>
      </c>
      <c r="BN516" s="71">
        <v>44123</v>
      </c>
      <c r="BO516" s="914">
        <v>44123</v>
      </c>
      <c r="BP516" s="1091">
        <v>44109</v>
      </c>
      <c r="BQ516" s="1091">
        <v>44109</v>
      </c>
      <c r="BR516" s="914" t="s">
        <v>74</v>
      </c>
      <c r="BS516" s="1091">
        <v>44196</v>
      </c>
      <c r="BT516" s="1091">
        <v>44196</v>
      </c>
      <c r="BU516" s="1092" t="s">
        <v>3834</v>
      </c>
      <c r="BV516" s="694" t="s">
        <v>68</v>
      </c>
      <c r="BW516" s="13"/>
      <c r="BX516" s="1310" t="s">
        <v>3567</v>
      </c>
      <c r="BY516" s="13"/>
      <c r="BZ516" s="13"/>
      <c r="CA516" s="13"/>
      <c r="CB516" s="1222" t="s">
        <v>2094</v>
      </c>
      <c r="CC516" s="38"/>
      <c r="CD516" s="526"/>
      <c r="CE516" s="526"/>
      <c r="CF516" s="526"/>
      <c r="CG516" s="526"/>
      <c r="CH516" s="526"/>
      <c r="CI516" s="526"/>
      <c r="CJ516" s="526"/>
      <c r="CK516" s="15"/>
    </row>
    <row r="517" spans="2:89" ht="89.25" hidden="1" customHeight="1">
      <c r="B517" s="22"/>
      <c r="C517" s="1445">
        <v>44494</v>
      </c>
      <c r="D517" s="1445"/>
      <c r="E517" s="911"/>
      <c r="F517" s="911"/>
      <c r="G517" s="915">
        <v>44516</v>
      </c>
      <c r="H517" s="1746"/>
      <c r="I517" s="330">
        <v>44309</v>
      </c>
      <c r="J517" s="169">
        <v>2020</v>
      </c>
      <c r="K517" s="1417">
        <v>206.3</v>
      </c>
      <c r="L517" s="1417"/>
      <c r="M517" s="170" t="s">
        <v>867</v>
      </c>
      <c r="N517" s="178" t="s">
        <v>3356</v>
      </c>
      <c r="O517" s="172" t="s">
        <v>3212</v>
      </c>
      <c r="P517" s="173" t="s">
        <v>3358</v>
      </c>
      <c r="Q517" s="173" t="s">
        <v>1975</v>
      </c>
      <c r="R517" s="174">
        <v>4896549.54</v>
      </c>
      <c r="S517" s="176">
        <v>44110</v>
      </c>
      <c r="T517" s="176">
        <v>44130</v>
      </c>
      <c r="U517" s="177">
        <v>44196</v>
      </c>
      <c r="V517" s="105">
        <v>44109</v>
      </c>
      <c r="W517" s="178" t="s">
        <v>2937</v>
      </c>
      <c r="X517" s="170" t="s">
        <v>3047</v>
      </c>
      <c r="Y517" s="608" t="s">
        <v>352</v>
      </c>
      <c r="Z517" s="1373" t="s">
        <v>3865</v>
      </c>
      <c r="AA517" s="33" t="s">
        <v>3295</v>
      </c>
      <c r="AB517" s="8">
        <v>44049</v>
      </c>
      <c r="AC517" s="4">
        <v>10000000</v>
      </c>
      <c r="AD517" s="665" t="s">
        <v>3294</v>
      </c>
      <c r="AE517" s="32">
        <v>10000000</v>
      </c>
      <c r="AF517" s="1329">
        <v>44099</v>
      </c>
      <c r="AG517" s="1326">
        <v>44102</v>
      </c>
      <c r="AH517" s="1326">
        <v>44103</v>
      </c>
      <c r="AI517" s="1327">
        <v>44109</v>
      </c>
      <c r="AJ517" s="1328">
        <v>44109</v>
      </c>
      <c r="AK517" s="115" t="s">
        <v>1289</v>
      </c>
      <c r="AL517" s="1" t="s">
        <v>68</v>
      </c>
      <c r="AM517" s="5"/>
      <c r="AN517" s="1">
        <v>20081</v>
      </c>
      <c r="AO517" s="5">
        <v>44110</v>
      </c>
      <c r="AP517" s="343">
        <v>20088</v>
      </c>
      <c r="AQ517" s="5">
        <v>44286</v>
      </c>
      <c r="AR517" s="279">
        <f>517042.39+517042.39</f>
        <v>1034084.78</v>
      </c>
      <c r="AS517" s="35">
        <v>0</v>
      </c>
      <c r="AT517" s="895">
        <v>5170423.96</v>
      </c>
      <c r="AU517" s="884">
        <f>9799999.53-AT518</f>
        <v>5170523.97</v>
      </c>
      <c r="AV517" s="70">
        <v>44130</v>
      </c>
      <c r="AW517" s="127">
        <v>44196</v>
      </c>
      <c r="AX517" s="223" t="s">
        <v>68</v>
      </c>
      <c r="AY517" s="52" t="s">
        <v>68</v>
      </c>
      <c r="AZ517" s="324">
        <v>44287</v>
      </c>
      <c r="BA517" s="5">
        <v>44130</v>
      </c>
      <c r="BB517" s="5">
        <v>44286</v>
      </c>
      <c r="BC517" s="11"/>
      <c r="BD517" s="324">
        <v>44288</v>
      </c>
      <c r="BE517" s="1615"/>
      <c r="BF517" s="5">
        <v>44130</v>
      </c>
      <c r="BG517" s="5">
        <v>44196</v>
      </c>
      <c r="BH517" s="5">
        <v>44286</v>
      </c>
      <c r="BI517" s="36">
        <f>AS517+AT517-0.02</f>
        <v>5170423.9400000004</v>
      </c>
      <c r="BJ517" s="1024">
        <v>44291</v>
      </c>
      <c r="BK517" s="1027"/>
      <c r="BL517" s="336">
        <v>44111</v>
      </c>
      <c r="BM517" s="71">
        <v>44127</v>
      </c>
      <c r="BN517" s="71">
        <v>44127</v>
      </c>
      <c r="BO517" s="216" t="s">
        <v>74</v>
      </c>
      <c r="BP517" s="1091">
        <v>44109</v>
      </c>
      <c r="BQ517" s="1091">
        <v>44109</v>
      </c>
      <c r="BR517" s="914">
        <v>44109</v>
      </c>
      <c r="BS517" s="1091">
        <v>44280</v>
      </c>
      <c r="BT517" s="1091">
        <v>44284</v>
      </c>
      <c r="BU517" s="696"/>
      <c r="BV517" s="694" t="s">
        <v>68</v>
      </c>
      <c r="BW517" s="13"/>
      <c r="BX517" s="1397" t="s">
        <v>3567</v>
      </c>
      <c r="BY517" s="13" t="s">
        <v>3893</v>
      </c>
      <c r="BZ517" s="13"/>
      <c r="CA517" s="13"/>
      <c r="CB517" s="1222" t="s">
        <v>2094</v>
      </c>
      <c r="CC517" s="38"/>
      <c r="CD517" s="526"/>
      <c r="CE517" s="526"/>
      <c r="CF517" s="526"/>
      <c r="CG517" s="526"/>
      <c r="CH517" s="526"/>
      <c r="CI517" s="526"/>
      <c r="CJ517" s="526"/>
      <c r="CK517" s="15"/>
    </row>
    <row r="518" spans="2:89" ht="73.5" hidden="1" customHeight="1">
      <c r="B518" s="22"/>
      <c r="C518" s="1445">
        <v>44494</v>
      </c>
      <c r="D518" s="1445"/>
      <c r="E518" s="911"/>
      <c r="F518" s="911"/>
      <c r="G518" s="915">
        <v>44408</v>
      </c>
      <c r="H518" s="1746"/>
      <c r="I518" s="330">
        <v>44309</v>
      </c>
      <c r="J518" s="169">
        <v>2020</v>
      </c>
      <c r="K518" s="1417">
        <v>206.31</v>
      </c>
      <c r="L518" s="1417"/>
      <c r="M518" s="170" t="s">
        <v>867</v>
      </c>
      <c r="N518" s="178" t="s">
        <v>3357</v>
      </c>
      <c r="O518" s="172" t="s">
        <v>3212</v>
      </c>
      <c r="P518" s="173" t="s">
        <v>3359</v>
      </c>
      <c r="Q518" s="173" t="s">
        <v>1975</v>
      </c>
      <c r="R518" s="174">
        <v>4629575.57</v>
      </c>
      <c r="S518" s="979">
        <v>44110</v>
      </c>
      <c r="T518" s="176">
        <v>44164</v>
      </c>
      <c r="U518" s="177">
        <v>44185</v>
      </c>
      <c r="V518" s="105">
        <v>44109</v>
      </c>
      <c r="W518" s="178" t="s">
        <v>3296</v>
      </c>
      <c r="X518" s="170" t="s">
        <v>3047</v>
      </c>
      <c r="Y518" s="608" t="s">
        <v>352</v>
      </c>
      <c r="Z518" s="1373" t="s">
        <v>3865</v>
      </c>
      <c r="AA518" s="241" t="s">
        <v>3295</v>
      </c>
      <c r="AB518" s="8">
        <v>44049</v>
      </c>
      <c r="AC518" s="4">
        <v>10000000</v>
      </c>
      <c r="AD518" s="1398" t="s">
        <v>3294</v>
      </c>
      <c r="AE518" s="32">
        <v>10000000</v>
      </c>
      <c r="AF518" s="1329">
        <v>44099</v>
      </c>
      <c r="AG518" s="1326">
        <v>44467</v>
      </c>
      <c r="AH518" s="1326">
        <v>44103</v>
      </c>
      <c r="AI518" s="1327">
        <v>44109</v>
      </c>
      <c r="AJ518" s="1328">
        <v>44113</v>
      </c>
      <c r="AK518" s="115" t="s">
        <v>1289</v>
      </c>
      <c r="AL518" s="1" t="s">
        <v>68</v>
      </c>
      <c r="AM518" s="5"/>
      <c r="AN518" s="1">
        <v>2099430</v>
      </c>
      <c r="AO518" s="5">
        <v>44164</v>
      </c>
      <c r="AP518" s="1">
        <v>2099431</v>
      </c>
      <c r="AQ518" s="5">
        <v>44286</v>
      </c>
      <c r="AR518" s="279">
        <f>462957.55*2</f>
        <v>925915.1</v>
      </c>
      <c r="AS518" s="35">
        <v>0</v>
      </c>
      <c r="AT518" s="895">
        <v>4629475.5599999996</v>
      </c>
      <c r="AU518" s="884">
        <f>AT518</f>
        <v>4629475.5599999996</v>
      </c>
      <c r="AV518" s="66" t="s">
        <v>74</v>
      </c>
      <c r="AW518" s="11"/>
      <c r="AX518" s="223" t="s">
        <v>68</v>
      </c>
      <c r="AY518" s="52" t="s">
        <v>68</v>
      </c>
      <c r="AZ518" s="324">
        <v>44287</v>
      </c>
      <c r="BA518" s="5">
        <v>44164</v>
      </c>
      <c r="BB518" s="5"/>
      <c r="BC518" s="11">
        <v>43921</v>
      </c>
      <c r="BD518" s="324">
        <v>44288</v>
      </c>
      <c r="BE518" s="1615"/>
      <c r="BF518" s="5">
        <v>44164</v>
      </c>
      <c r="BG518" s="5">
        <v>44196</v>
      </c>
      <c r="BH518" s="5">
        <v>44286</v>
      </c>
      <c r="BI518" s="36">
        <f>AS518+AT518</f>
        <v>4629475.5599999996</v>
      </c>
      <c r="BJ518" s="1024">
        <v>44291</v>
      </c>
      <c r="BK518" s="1027"/>
      <c r="BL518" s="1246" t="s">
        <v>74</v>
      </c>
      <c r="BM518" s="218" t="s">
        <v>74</v>
      </c>
      <c r="BN518" s="218" t="s">
        <v>74</v>
      </c>
      <c r="BO518" s="216" t="s">
        <v>74</v>
      </c>
      <c r="BP518" s="216" t="s">
        <v>74</v>
      </c>
      <c r="BQ518" s="216" t="s">
        <v>74</v>
      </c>
      <c r="BR518" s="914" t="s">
        <v>74</v>
      </c>
      <c r="BS518" s="216" t="s">
        <v>74</v>
      </c>
      <c r="BT518" s="216"/>
      <c r="BU518" s="696"/>
      <c r="BV518" s="694" t="s">
        <v>68</v>
      </c>
      <c r="BW518" s="13"/>
      <c r="BX518" s="1310" t="s">
        <v>3567</v>
      </c>
      <c r="BY518" s="13"/>
      <c r="BZ518" s="13"/>
      <c r="CA518" s="13"/>
      <c r="CB518" s="1222" t="s">
        <v>2094</v>
      </c>
      <c r="CC518" s="38"/>
      <c r="CD518" s="526"/>
      <c r="CE518" s="526"/>
      <c r="CF518" s="526"/>
      <c r="CG518" s="526"/>
      <c r="CH518" s="526"/>
      <c r="CI518" s="526"/>
      <c r="CJ518" s="526"/>
      <c r="CK518" s="15"/>
    </row>
    <row r="519" spans="2:89" ht="74.25" hidden="1" customHeight="1">
      <c r="B519" s="22"/>
      <c r="C519" s="22"/>
      <c r="D519" s="22"/>
      <c r="E519" s="911"/>
      <c r="F519" s="911"/>
      <c r="G519" s="915">
        <v>44408</v>
      </c>
      <c r="H519" s="1746"/>
      <c r="I519" s="330">
        <v>44295</v>
      </c>
      <c r="J519" s="169">
        <v>2020</v>
      </c>
      <c r="K519" s="1417">
        <v>206.32</v>
      </c>
      <c r="L519" s="1417"/>
      <c r="M519" s="170" t="s">
        <v>77</v>
      </c>
      <c r="N519" s="178" t="s">
        <v>3297</v>
      </c>
      <c r="O519" s="172" t="s">
        <v>79</v>
      </c>
      <c r="P519" s="173" t="s">
        <v>3298</v>
      </c>
      <c r="Q519" s="173" t="s">
        <v>4409</v>
      </c>
      <c r="R519" s="174">
        <v>287771.56</v>
      </c>
      <c r="S519" s="590">
        <v>44155</v>
      </c>
      <c r="T519" s="176">
        <v>44165</v>
      </c>
      <c r="U519" s="177">
        <v>44180</v>
      </c>
      <c r="V519" s="105">
        <v>44154</v>
      </c>
      <c r="W519" s="178" t="s">
        <v>2804</v>
      </c>
      <c r="X519" s="170" t="s">
        <v>3047</v>
      </c>
      <c r="Y519" s="608">
        <v>44057</v>
      </c>
      <c r="Z519" s="1373"/>
      <c r="AA519" s="33" t="s">
        <v>3299</v>
      </c>
      <c r="AB519" s="8">
        <v>44180</v>
      </c>
      <c r="AC519" s="4">
        <v>287741.15000000002</v>
      </c>
      <c r="AD519" s="4"/>
      <c r="AE519" s="32"/>
      <c r="AF519" s="34" t="s">
        <v>68</v>
      </c>
      <c r="AG519" s="112" t="s">
        <v>68</v>
      </c>
      <c r="AH519" s="112" t="s">
        <v>68</v>
      </c>
      <c r="AI519" s="7" t="s">
        <v>68</v>
      </c>
      <c r="AJ519" s="109" t="s">
        <v>68</v>
      </c>
      <c r="AK519" s="33" t="s">
        <v>855</v>
      </c>
      <c r="AL519" s="1" t="s">
        <v>68</v>
      </c>
      <c r="AM519" s="5"/>
      <c r="AN519" s="1">
        <v>2099441</v>
      </c>
      <c r="AO519" s="5">
        <v>44165</v>
      </c>
      <c r="AP519" s="1">
        <v>2099442</v>
      </c>
      <c r="AQ519" s="5">
        <v>44180</v>
      </c>
      <c r="AR519" s="279">
        <f>28777.15*2</f>
        <v>57554.3</v>
      </c>
      <c r="AS519" s="35">
        <v>0</v>
      </c>
      <c r="AT519" s="895">
        <v>287771.57</v>
      </c>
      <c r="AU519" s="884">
        <v>287771.57</v>
      </c>
      <c r="AV519" s="30">
        <v>43997</v>
      </c>
      <c r="AW519" s="11">
        <v>44037</v>
      </c>
      <c r="AX519" s="223" t="s">
        <v>68</v>
      </c>
      <c r="AY519" s="52" t="s">
        <v>68</v>
      </c>
      <c r="AZ519" s="30">
        <v>44179</v>
      </c>
      <c r="BA519" s="5">
        <v>44165</v>
      </c>
      <c r="BB519" s="5">
        <v>44180</v>
      </c>
      <c r="BC519" s="11" t="s">
        <v>68</v>
      </c>
      <c r="BD519" s="30">
        <v>44179</v>
      </c>
      <c r="BE519" s="309"/>
      <c r="BF519" s="5">
        <v>44165</v>
      </c>
      <c r="BG519" s="5">
        <v>44180</v>
      </c>
      <c r="BH519" s="5">
        <v>44177</v>
      </c>
      <c r="BI519" s="36">
        <f>AS519+AT519</f>
        <v>287771.57</v>
      </c>
      <c r="BJ519" s="62">
        <v>44180</v>
      </c>
      <c r="BK519" s="224"/>
      <c r="BL519" s="336">
        <v>44162</v>
      </c>
      <c r="BM519" s="71">
        <v>44162</v>
      </c>
      <c r="BN519" s="71">
        <v>44162</v>
      </c>
      <c r="BO519" s="1091" t="s">
        <v>68</v>
      </c>
      <c r="BP519" s="218" t="s">
        <v>74</v>
      </c>
      <c r="BQ519" s="218" t="s">
        <v>74</v>
      </c>
      <c r="BR519" s="914" t="s">
        <v>74</v>
      </c>
      <c r="BS519" s="914">
        <v>44174</v>
      </c>
      <c r="BT519" s="914"/>
      <c r="BU519" s="696"/>
      <c r="BV519" s="694" t="s">
        <v>68</v>
      </c>
      <c r="BW519" s="13"/>
      <c r="BX519" s="1248" t="s">
        <v>3730</v>
      </c>
      <c r="BY519" s="1252" t="s">
        <v>74</v>
      </c>
      <c r="BZ519" s="158" t="s">
        <v>551</v>
      </c>
      <c r="CA519" s="1251" t="s">
        <v>3543</v>
      </c>
      <c r="CB519" s="1222" t="s">
        <v>2094</v>
      </c>
      <c r="CC519" s="38"/>
      <c r="CD519" s="526"/>
      <c r="CE519" s="526"/>
      <c r="CF519" s="526"/>
      <c r="CG519" s="526"/>
      <c r="CH519" s="526"/>
      <c r="CI519" s="526"/>
      <c r="CJ519" s="526"/>
      <c r="CK519" s="15"/>
    </row>
    <row r="520" spans="2:89" ht="78.75" hidden="1" customHeight="1">
      <c r="B520" s="22"/>
      <c r="C520" s="22"/>
      <c r="D520" s="22"/>
      <c r="E520" s="911"/>
      <c r="F520" s="911"/>
      <c r="G520" s="915">
        <v>44358</v>
      </c>
      <c r="H520" s="1746"/>
      <c r="I520" s="330">
        <v>44250</v>
      </c>
      <c r="J520" s="169">
        <v>2020</v>
      </c>
      <c r="K520" s="1417">
        <v>206.33</v>
      </c>
      <c r="L520" s="1417"/>
      <c r="M520" s="170" t="s">
        <v>3300</v>
      </c>
      <c r="N520" s="178" t="s">
        <v>3301</v>
      </c>
      <c r="O520" s="172" t="s">
        <v>79</v>
      </c>
      <c r="P520" s="173" t="s">
        <v>3645</v>
      </c>
      <c r="Q520" s="173" t="s">
        <v>1975</v>
      </c>
      <c r="R520" s="174">
        <v>1600000</v>
      </c>
      <c r="S520" s="590">
        <v>44158</v>
      </c>
      <c r="T520" s="176">
        <v>44166</v>
      </c>
      <c r="U520" s="177">
        <v>44189</v>
      </c>
      <c r="V520" s="105">
        <v>44155</v>
      </c>
      <c r="W520" s="178" t="s">
        <v>3302</v>
      </c>
      <c r="X520" s="170" t="s">
        <v>1107</v>
      </c>
      <c r="Y520" s="200" t="s">
        <v>1428</v>
      </c>
      <c r="Z520" s="368"/>
      <c r="AA520" s="33" t="s">
        <v>3303</v>
      </c>
      <c r="AB520" s="8">
        <v>44153</v>
      </c>
      <c r="AC520" s="4">
        <v>1600000</v>
      </c>
      <c r="AD520" s="4"/>
      <c r="AE520" s="32"/>
      <c r="AF520" s="34" t="s">
        <v>68</v>
      </c>
      <c r="AG520" s="112" t="s">
        <v>68</v>
      </c>
      <c r="AH520" s="112" t="s">
        <v>68</v>
      </c>
      <c r="AI520" s="7" t="s">
        <v>68</v>
      </c>
      <c r="AJ520" s="109" t="s">
        <v>68</v>
      </c>
      <c r="AK520" s="33" t="s">
        <v>3573</v>
      </c>
      <c r="AL520" s="1" t="s">
        <v>68</v>
      </c>
      <c r="AM520" s="5"/>
      <c r="AN520" s="1">
        <v>2527874</v>
      </c>
      <c r="AO520" s="5">
        <v>44179</v>
      </c>
      <c r="AP520" s="1">
        <v>2564889</v>
      </c>
      <c r="AQ520" s="5">
        <v>44355</v>
      </c>
      <c r="AR520" s="279">
        <f>160000+160000</f>
        <v>320000</v>
      </c>
      <c r="AS520" s="35">
        <v>0</v>
      </c>
      <c r="AT520" s="895">
        <v>1600000</v>
      </c>
      <c r="AU520" s="891"/>
      <c r="AV520" s="230">
        <v>44179</v>
      </c>
      <c r="AW520" s="11">
        <v>44247</v>
      </c>
      <c r="AX520" s="223" t="s">
        <v>68</v>
      </c>
      <c r="AY520" s="52" t="s">
        <v>68</v>
      </c>
      <c r="AZ520" s="230">
        <v>44355</v>
      </c>
      <c r="BA520" s="5">
        <v>44166</v>
      </c>
      <c r="BB520" s="5">
        <v>44189</v>
      </c>
      <c r="BC520" s="11">
        <v>44247</v>
      </c>
      <c r="BD520" s="230">
        <v>44355</v>
      </c>
      <c r="BE520" s="508"/>
      <c r="BF520" s="5">
        <v>44166</v>
      </c>
      <c r="BG520" s="5">
        <v>44189</v>
      </c>
      <c r="BH520" s="5">
        <v>44247</v>
      </c>
      <c r="BI520" s="36">
        <v>1600000</v>
      </c>
      <c r="BJ520" s="1319">
        <v>44355</v>
      </c>
      <c r="BK520" s="1820"/>
      <c r="BL520" s="1100"/>
      <c r="BM520" s="1317">
        <v>44178</v>
      </c>
      <c r="BN520" s="1317">
        <v>44178</v>
      </c>
      <c r="BO520" s="1091" t="s">
        <v>68</v>
      </c>
      <c r="BP520" s="218" t="s">
        <v>74</v>
      </c>
      <c r="BQ520" s="218" t="s">
        <v>74</v>
      </c>
      <c r="BR520" s="914" t="s">
        <v>74</v>
      </c>
      <c r="BS520" s="1317">
        <v>44253</v>
      </c>
      <c r="BT520" s="1318"/>
      <c r="BU520" s="1092" t="s">
        <v>3770</v>
      </c>
      <c r="BV520" s="1320"/>
      <c r="BW520" s="13"/>
      <c r="BX520" s="1321" t="s">
        <v>3567</v>
      </c>
      <c r="BY520" s="13"/>
      <c r="BZ520" s="13"/>
      <c r="CA520" s="13"/>
      <c r="CB520" s="1222" t="s">
        <v>2094</v>
      </c>
      <c r="CC520" s="38"/>
      <c r="CD520" s="526"/>
      <c r="CE520" s="526"/>
      <c r="CF520" s="526"/>
      <c r="CG520" s="526"/>
      <c r="CH520" s="526"/>
      <c r="CI520" s="526"/>
      <c r="CJ520" s="526"/>
      <c r="CK520" s="15"/>
    </row>
    <row r="521" spans="2:89" ht="88.5" hidden="1" customHeight="1">
      <c r="B521" s="22"/>
      <c r="C521" s="22"/>
      <c r="D521" s="22"/>
      <c r="E521" s="911"/>
      <c r="F521" s="911"/>
      <c r="G521" s="915">
        <v>44278</v>
      </c>
      <c r="H521" s="1746"/>
      <c r="I521" s="330">
        <v>44295</v>
      </c>
      <c r="J521" s="169">
        <v>2020</v>
      </c>
      <c r="K521" s="1417">
        <v>206.34</v>
      </c>
      <c r="L521" s="1417"/>
      <c r="M521" s="170" t="s">
        <v>77</v>
      </c>
      <c r="N521" s="178" t="s">
        <v>3304</v>
      </c>
      <c r="O521" s="172" t="s">
        <v>79</v>
      </c>
      <c r="P521" s="173" t="s">
        <v>3305</v>
      </c>
      <c r="Q521" s="173" t="s">
        <v>1975</v>
      </c>
      <c r="R521" s="174">
        <v>914194.81</v>
      </c>
      <c r="S521" s="590">
        <v>44168</v>
      </c>
      <c r="T521" s="176">
        <v>44169</v>
      </c>
      <c r="U521" s="177">
        <v>44180</v>
      </c>
      <c r="V521" s="105">
        <v>44167</v>
      </c>
      <c r="W521" s="178" t="s">
        <v>2847</v>
      </c>
      <c r="X521" s="170" t="s">
        <v>984</v>
      </c>
      <c r="Y521" s="461" t="s">
        <v>74</v>
      </c>
      <c r="Z521" s="1371"/>
      <c r="AA521" s="255" t="s">
        <v>3306</v>
      </c>
      <c r="AB521" s="8">
        <v>44153</v>
      </c>
      <c r="AC521" s="4">
        <v>570635.42000000004</v>
      </c>
      <c r="AD521" s="665" t="s">
        <v>3307</v>
      </c>
      <c r="AE521" s="32">
        <v>559187.35</v>
      </c>
      <c r="AF521" s="34" t="s">
        <v>68</v>
      </c>
      <c r="AG521" s="112" t="s">
        <v>68</v>
      </c>
      <c r="AH521" s="112" t="s">
        <v>68</v>
      </c>
      <c r="AI521" s="7" t="s">
        <v>68</v>
      </c>
      <c r="AJ521" s="109" t="s">
        <v>68</v>
      </c>
      <c r="AK521" s="33" t="s">
        <v>1011</v>
      </c>
      <c r="AL521" s="2" t="s">
        <v>3545</v>
      </c>
      <c r="AM521" s="238">
        <v>44168</v>
      </c>
      <c r="AN521" s="2" t="s">
        <v>3546</v>
      </c>
      <c r="AO521" s="238">
        <v>44168</v>
      </c>
      <c r="AP521" s="2" t="s">
        <v>3547</v>
      </c>
      <c r="AQ521" s="5">
        <v>44184</v>
      </c>
      <c r="AR521" s="279">
        <f>228549.53+91419.81+91419.81</f>
        <v>411389.14999999997</v>
      </c>
      <c r="AS521" s="35">
        <v>0</v>
      </c>
      <c r="AT521" s="895">
        <v>911242.76</v>
      </c>
      <c r="AU521" s="1359">
        <f>355010.78+559187.36</f>
        <v>914198.14</v>
      </c>
      <c r="AV521" s="66" t="s">
        <v>74</v>
      </c>
      <c r="AW521" s="11"/>
      <c r="AX521" s="223" t="s">
        <v>68</v>
      </c>
      <c r="AY521" s="52" t="s">
        <v>68</v>
      </c>
      <c r="AZ521" s="30">
        <v>44186</v>
      </c>
      <c r="BA521" s="5">
        <v>44168</v>
      </c>
      <c r="BB521" s="5">
        <v>44184</v>
      </c>
      <c r="BC521" s="11" t="s">
        <v>68</v>
      </c>
      <c r="BD521" s="30">
        <v>44187</v>
      </c>
      <c r="BE521" s="309"/>
      <c r="BF521" s="5">
        <v>44168</v>
      </c>
      <c r="BG521" s="5">
        <v>44184</v>
      </c>
      <c r="BH521" s="5">
        <v>44184</v>
      </c>
      <c r="BI521" s="36">
        <v>559187.35</v>
      </c>
      <c r="BJ521" s="197" t="s">
        <v>74</v>
      </c>
      <c r="BK521" s="1246"/>
      <c r="BL521" s="336">
        <v>44166</v>
      </c>
      <c r="BM521" s="71">
        <v>44166</v>
      </c>
      <c r="BN521" s="71">
        <v>44166</v>
      </c>
      <c r="BO521" s="1091" t="s">
        <v>68</v>
      </c>
      <c r="BP521" s="218" t="s">
        <v>74</v>
      </c>
      <c r="BQ521" s="218" t="s">
        <v>74</v>
      </c>
      <c r="BR521" s="914" t="s">
        <v>74</v>
      </c>
      <c r="BS521" s="914">
        <v>44180</v>
      </c>
      <c r="BT521" s="914"/>
      <c r="BU521" s="696"/>
      <c r="BV521" s="694" t="s">
        <v>68</v>
      </c>
      <c r="BW521" s="13"/>
      <c r="BX521" s="1256" t="s">
        <v>3730</v>
      </c>
      <c r="BY521" s="158" t="s">
        <v>551</v>
      </c>
      <c r="BZ521" s="158" t="s">
        <v>551</v>
      </c>
      <c r="CA521" s="158" t="s">
        <v>3548</v>
      </c>
      <c r="CB521" s="1222" t="s">
        <v>2094</v>
      </c>
      <c r="CC521" s="38"/>
      <c r="CD521" s="526"/>
      <c r="CE521" s="526"/>
      <c r="CF521" s="526"/>
      <c r="CG521" s="526"/>
      <c r="CH521" s="526"/>
      <c r="CI521" s="526"/>
      <c r="CJ521" s="526"/>
      <c r="CK521" s="15"/>
    </row>
    <row r="522" spans="2:89" ht="68.25" hidden="1" customHeight="1">
      <c r="B522" s="22"/>
      <c r="C522" s="22"/>
      <c r="D522" s="22"/>
      <c r="E522" s="911"/>
      <c r="F522" s="911"/>
      <c r="G522" s="915">
        <v>44375</v>
      </c>
      <c r="H522" s="1746"/>
      <c r="I522" s="330">
        <v>44378</v>
      </c>
      <c r="J522" s="169">
        <v>2020</v>
      </c>
      <c r="K522" s="1417">
        <v>206.35</v>
      </c>
      <c r="L522" s="1417"/>
      <c r="M522" s="170" t="s">
        <v>2680</v>
      </c>
      <c r="N522" s="178" t="s">
        <v>3308</v>
      </c>
      <c r="O522" s="172" t="s">
        <v>79</v>
      </c>
      <c r="P522" s="173" t="s">
        <v>3362</v>
      </c>
      <c r="Q522" s="173" t="s">
        <v>1975</v>
      </c>
      <c r="R522" s="594">
        <v>537866.98</v>
      </c>
      <c r="S522" s="590">
        <v>44195</v>
      </c>
      <c r="T522" s="176">
        <v>44195</v>
      </c>
      <c r="U522" s="177">
        <v>44227</v>
      </c>
      <c r="V522" s="105">
        <v>44560</v>
      </c>
      <c r="W522" s="178" t="s">
        <v>1319</v>
      </c>
      <c r="X522" s="170" t="s">
        <v>213</v>
      </c>
      <c r="Y522" s="461" t="s">
        <v>74</v>
      </c>
      <c r="Z522" s="1371"/>
      <c r="AA522" s="115" t="s">
        <v>3835</v>
      </c>
      <c r="AB522" s="8">
        <v>44195</v>
      </c>
      <c r="AC522" s="4">
        <f>2775548.6+1719336.12</f>
        <v>4494884.7200000007</v>
      </c>
      <c r="AD522" s="4"/>
      <c r="AE522" s="32"/>
      <c r="AF522" s="34" t="s">
        <v>68</v>
      </c>
      <c r="AG522" s="112" t="s">
        <v>68</v>
      </c>
      <c r="AH522" s="112" t="s">
        <v>68</v>
      </c>
      <c r="AI522" s="7" t="s">
        <v>68</v>
      </c>
      <c r="AJ522" s="109" t="s">
        <v>68</v>
      </c>
      <c r="AK522" s="33" t="s">
        <v>1011</v>
      </c>
      <c r="AL522" s="2" t="s">
        <v>3836</v>
      </c>
      <c r="AM522" s="5">
        <v>44195</v>
      </c>
      <c r="AN522" s="1" t="s">
        <v>3837</v>
      </c>
      <c r="AO522" s="474">
        <v>44183</v>
      </c>
      <c r="AP522" s="1"/>
      <c r="AQ522" s="5"/>
      <c r="AR522" s="279"/>
      <c r="AS522" s="35">
        <v>0</v>
      </c>
      <c r="AT522" s="902"/>
      <c r="AU522" s="891"/>
      <c r="AV522" s="66" t="s">
        <v>74</v>
      </c>
      <c r="AW522" s="11"/>
      <c r="AX522" s="223" t="s">
        <v>68</v>
      </c>
      <c r="AY522" s="52" t="s">
        <v>68</v>
      </c>
      <c r="AZ522" s="66" t="s">
        <v>74</v>
      </c>
      <c r="BA522" s="5"/>
      <c r="BB522" s="5"/>
      <c r="BC522" s="11"/>
      <c r="BD522" s="66" t="s">
        <v>74</v>
      </c>
      <c r="BE522" s="1423"/>
      <c r="BF522" s="5"/>
      <c r="BG522" s="5"/>
      <c r="BH522" s="5"/>
      <c r="BI522" s="36">
        <f>AS522+AT522</f>
        <v>0</v>
      </c>
      <c r="BJ522" s="197" t="s">
        <v>74</v>
      </c>
      <c r="BK522" s="1246"/>
      <c r="BL522" s="1246" t="s">
        <v>74</v>
      </c>
      <c r="BM522" s="218" t="s">
        <v>74</v>
      </c>
      <c r="BN522" s="218" t="s">
        <v>74</v>
      </c>
      <c r="BO522" s="1091" t="s">
        <v>68</v>
      </c>
      <c r="BP522" s="218" t="s">
        <v>74</v>
      </c>
      <c r="BQ522" s="218" t="s">
        <v>74</v>
      </c>
      <c r="BR522" s="914" t="s">
        <v>74</v>
      </c>
      <c r="BS522" s="1043"/>
      <c r="BT522" s="1043"/>
      <c r="BU522" s="696"/>
      <c r="BV522" s="694" t="s">
        <v>68</v>
      </c>
      <c r="BW522" s="13"/>
      <c r="BX522" s="1256" t="s">
        <v>3730</v>
      </c>
      <c r="BY522" s="1260" t="s">
        <v>74</v>
      </c>
      <c r="BZ522" s="1260" t="s">
        <v>74</v>
      </c>
      <c r="CA522" s="13" t="s">
        <v>3838</v>
      </c>
      <c r="CB522" s="1222" t="s">
        <v>2094</v>
      </c>
      <c r="CC522" s="38"/>
      <c r="CD522" s="526"/>
      <c r="CE522" s="526"/>
      <c r="CF522" s="526"/>
      <c r="CG522" s="526"/>
      <c r="CH522" s="526"/>
      <c r="CI522" s="526"/>
      <c r="CJ522" s="526"/>
      <c r="CK522" s="15"/>
    </row>
    <row r="523" spans="2:89" s="1050" customFormat="1" ht="51" hidden="1" customHeight="1">
      <c r="B523" s="1051"/>
      <c r="C523" s="1051"/>
      <c r="D523" s="1051"/>
      <c r="E523" s="1052"/>
      <c r="F523" s="1052"/>
      <c r="G523" s="553"/>
      <c r="H523" s="620"/>
      <c r="I523" s="620"/>
      <c r="J523" s="1053">
        <v>2020</v>
      </c>
      <c r="K523" s="1420">
        <v>206.36</v>
      </c>
      <c r="L523" s="1420"/>
      <c r="M523" s="1054"/>
      <c r="N523" s="1055" t="s">
        <v>3309</v>
      </c>
      <c r="O523" s="790" t="s">
        <v>251</v>
      </c>
      <c r="P523" s="1056" t="s">
        <v>3972</v>
      </c>
      <c r="Q523" s="1056"/>
      <c r="R523" s="1057"/>
      <c r="S523" s="1058"/>
      <c r="T523" s="1059"/>
      <c r="U523" s="1060"/>
      <c r="V523" s="1061"/>
      <c r="W523" s="1055"/>
      <c r="X523" s="1054"/>
      <c r="Y523" s="1087"/>
      <c r="Z523" s="1378"/>
      <c r="AA523" s="308"/>
      <c r="AB523" s="1063"/>
      <c r="AC523" s="1064"/>
      <c r="AD523" s="1064"/>
      <c r="AE523" s="1065"/>
      <c r="AF523" s="1066"/>
      <c r="AG523" s="1067"/>
      <c r="AH523" s="1067"/>
      <c r="AI523" s="1068"/>
      <c r="AJ523" s="1069"/>
      <c r="AK523" s="308"/>
      <c r="AL523" s="1070"/>
      <c r="AM523" s="1071"/>
      <c r="AN523" s="1070"/>
      <c r="AO523" s="1071"/>
      <c r="AP523" s="1070"/>
      <c r="AQ523" s="1071"/>
      <c r="AR523" s="1072"/>
      <c r="AS523" s="1073">
        <v>0</v>
      </c>
      <c r="AT523" s="1074"/>
      <c r="AU523" s="1075"/>
      <c r="AV523" s="1076"/>
      <c r="AW523" s="1077"/>
      <c r="AX523" s="1078" t="s">
        <v>68</v>
      </c>
      <c r="AY523" s="1079" t="s">
        <v>68</v>
      </c>
      <c r="AZ523" s="1076"/>
      <c r="BA523" s="1071"/>
      <c r="BB523" s="1071"/>
      <c r="BC523" s="1077"/>
      <c r="BD523" s="1076"/>
      <c r="BE523" s="1608"/>
      <c r="BF523" s="1071"/>
      <c r="BG523" s="1071"/>
      <c r="BH523" s="1071"/>
      <c r="BI523" s="1081">
        <f>AS523+AT523</f>
        <v>0</v>
      </c>
      <c r="BJ523" s="1082"/>
      <c r="BK523" s="1816"/>
      <c r="BL523" s="1470"/>
      <c r="BM523" s="1471"/>
      <c r="BN523" s="1471"/>
      <c r="BO523" s="1487"/>
      <c r="BP523" s="1487"/>
      <c r="BQ523" s="1487"/>
      <c r="BR523" s="914"/>
      <c r="BS523" s="1487"/>
      <c r="BT523" s="1487"/>
      <c r="BU523" s="1487"/>
      <c r="BV523" s="1470" t="s">
        <v>68</v>
      </c>
      <c r="BW523" s="1082"/>
      <c r="BX523" s="1256"/>
      <c r="BY523" s="1082"/>
      <c r="BZ523" s="1082"/>
      <c r="CA523" s="1082"/>
      <c r="CB523" s="1486" t="s">
        <v>2094</v>
      </c>
      <c r="CC523" s="1085"/>
      <c r="CD523" s="789"/>
      <c r="CE523" s="789"/>
      <c r="CF523" s="789"/>
      <c r="CG523" s="789"/>
      <c r="CH523" s="789"/>
      <c r="CI523" s="789"/>
      <c r="CJ523" s="789"/>
      <c r="CK523" s="1086"/>
    </row>
    <row r="524" spans="2:89" ht="69" hidden="1" customHeight="1">
      <c r="B524" s="22"/>
      <c r="C524" s="22"/>
      <c r="D524" s="22"/>
      <c r="E524" s="911"/>
      <c r="F524" s="911"/>
      <c r="G524" s="915">
        <v>44343</v>
      </c>
      <c r="H524" s="1746"/>
      <c r="I524" s="330">
        <v>44358</v>
      </c>
      <c r="J524" s="169">
        <v>2020</v>
      </c>
      <c r="K524" s="1417">
        <v>206.37</v>
      </c>
      <c r="L524" s="1417"/>
      <c r="M524" s="170" t="s">
        <v>77</v>
      </c>
      <c r="N524" s="178" t="s">
        <v>3310</v>
      </c>
      <c r="O524" s="172" t="s">
        <v>79</v>
      </c>
      <c r="P524" s="173" t="s">
        <v>3311</v>
      </c>
      <c r="Q524" s="173" t="s">
        <v>1975</v>
      </c>
      <c r="R524" s="174">
        <v>229496.26</v>
      </c>
      <c r="S524" s="590">
        <v>44168</v>
      </c>
      <c r="T524" s="176">
        <v>44172</v>
      </c>
      <c r="U524" s="177">
        <v>44184</v>
      </c>
      <c r="V524" s="105">
        <v>44167</v>
      </c>
      <c r="W524" s="178" t="s">
        <v>3312</v>
      </c>
      <c r="X524" s="170" t="s">
        <v>3768</v>
      </c>
      <c r="Y524" s="608">
        <v>44165</v>
      </c>
      <c r="Z524" s="1373"/>
      <c r="AA524" s="33" t="s">
        <v>3313</v>
      </c>
      <c r="AB524" s="8">
        <v>44180</v>
      </c>
      <c r="AC524" s="4">
        <v>229496.26</v>
      </c>
      <c r="AD524" s="4"/>
      <c r="AE524" s="32"/>
      <c r="AF524" s="34" t="s">
        <v>68</v>
      </c>
      <c r="AG524" s="112" t="s">
        <v>68</v>
      </c>
      <c r="AH524" s="112" t="s">
        <v>68</v>
      </c>
      <c r="AI524" s="7" t="s">
        <v>68</v>
      </c>
      <c r="AJ524" s="109" t="s">
        <v>68</v>
      </c>
      <c r="AK524" s="33" t="s">
        <v>3766</v>
      </c>
      <c r="AL524" s="1" t="s">
        <v>68</v>
      </c>
      <c r="AM524" s="5"/>
      <c r="AN524" s="1">
        <v>2099447</v>
      </c>
      <c r="AO524" s="5">
        <v>44172</v>
      </c>
      <c r="AP524" s="1">
        <v>2099448</v>
      </c>
      <c r="AQ524" s="5">
        <v>44184</v>
      </c>
      <c r="AR524" s="279">
        <f>22949.62*2</f>
        <v>45899.24</v>
      </c>
      <c r="AS524" s="35">
        <v>0</v>
      </c>
      <c r="AT524" s="895">
        <v>229496.26</v>
      </c>
      <c r="AU524" s="891"/>
      <c r="AV524" s="66" t="s">
        <v>74</v>
      </c>
      <c r="AW524" s="11"/>
      <c r="AX524" s="223" t="s">
        <v>68</v>
      </c>
      <c r="AY524" s="52" t="s">
        <v>68</v>
      </c>
      <c r="AZ524" s="30">
        <v>44186</v>
      </c>
      <c r="BA524" s="5">
        <v>44172</v>
      </c>
      <c r="BB524" s="5">
        <v>44184</v>
      </c>
      <c r="BC524" s="11">
        <v>44184</v>
      </c>
      <c r="BD524" s="30">
        <v>44186</v>
      </c>
      <c r="BE524" s="309"/>
      <c r="BF524" s="5">
        <v>44172</v>
      </c>
      <c r="BG524" s="5">
        <v>44184</v>
      </c>
      <c r="BH524" s="5">
        <v>44184</v>
      </c>
      <c r="BI524" s="36">
        <f>AS524+AT524</f>
        <v>229496.26</v>
      </c>
      <c r="BJ524" s="62">
        <v>44186</v>
      </c>
      <c r="BK524" s="224"/>
      <c r="BL524" s="1246" t="s">
        <v>74</v>
      </c>
      <c r="BM524" s="218" t="s">
        <v>74</v>
      </c>
      <c r="BN524" s="218" t="s">
        <v>74</v>
      </c>
      <c r="BO524" s="1265" t="s">
        <v>74</v>
      </c>
      <c r="BP524" s="218" t="s">
        <v>74</v>
      </c>
      <c r="BQ524" s="218" t="s">
        <v>74</v>
      </c>
      <c r="BR524" s="914" t="s">
        <v>74</v>
      </c>
      <c r="BS524" s="1315">
        <v>44183</v>
      </c>
      <c r="BT524" s="1315"/>
      <c r="BU524" s="696"/>
      <c r="BV524" s="694" t="s">
        <v>68</v>
      </c>
      <c r="BW524" s="13"/>
      <c r="BX524" s="1311" t="s">
        <v>1404</v>
      </c>
      <c r="BY524" s="13" t="s">
        <v>1295</v>
      </c>
      <c r="BZ524" s="202" t="s">
        <v>1404</v>
      </c>
      <c r="CA524" s="13" t="s">
        <v>3543</v>
      </c>
      <c r="CB524" s="1222" t="s">
        <v>2094</v>
      </c>
      <c r="CC524" s="38"/>
      <c r="CD524" s="526"/>
      <c r="CE524" s="526"/>
      <c r="CF524" s="526"/>
      <c r="CG524" s="526"/>
      <c r="CH524" s="526"/>
      <c r="CI524" s="526"/>
      <c r="CJ524" s="526"/>
      <c r="CK524" s="15"/>
    </row>
    <row r="525" spans="2:89" ht="125.25" hidden="1" customHeight="1">
      <c r="B525" s="22"/>
      <c r="C525" s="22"/>
      <c r="D525" s="22"/>
      <c r="E525" s="911"/>
      <c r="F525" s="911"/>
      <c r="G525" s="915"/>
      <c r="H525" s="1746"/>
      <c r="I525" s="330"/>
      <c r="J525" s="169">
        <v>2020</v>
      </c>
      <c r="K525" s="1417">
        <v>206.38</v>
      </c>
      <c r="L525" s="1417"/>
      <c r="M525" s="170" t="s">
        <v>166</v>
      </c>
      <c r="N525" s="178" t="s">
        <v>3314</v>
      </c>
      <c r="O525" s="172" t="s">
        <v>79</v>
      </c>
      <c r="P525" s="173" t="s">
        <v>3315</v>
      </c>
      <c r="Q525" s="173" t="s">
        <v>2515</v>
      </c>
      <c r="R525" s="174">
        <v>868714.16</v>
      </c>
      <c r="S525" s="1193">
        <v>44548</v>
      </c>
      <c r="T525" s="176">
        <v>44194</v>
      </c>
      <c r="U525" s="177">
        <v>44284</v>
      </c>
      <c r="V525" s="676">
        <v>44181</v>
      </c>
      <c r="W525" s="178" t="s">
        <v>1319</v>
      </c>
      <c r="X525" s="170" t="s">
        <v>213</v>
      </c>
      <c r="Y525" s="200" t="s">
        <v>1428</v>
      </c>
      <c r="Z525" s="368"/>
      <c r="AA525" s="255" t="s">
        <v>3826</v>
      </c>
      <c r="AB525" s="8">
        <v>44180</v>
      </c>
      <c r="AC525" s="4">
        <f>546158.91+322555.25</f>
        <v>868714.16</v>
      </c>
      <c r="AD525" s="4"/>
      <c r="AE525" s="32"/>
      <c r="AF525" s="34"/>
      <c r="AG525" s="112"/>
      <c r="AH525" s="112"/>
      <c r="AI525" s="7"/>
      <c r="AJ525" s="109"/>
      <c r="AK525" s="255"/>
      <c r="AL525" s="219"/>
      <c r="AM525" s="5"/>
      <c r="AN525" s="219"/>
      <c r="AO525" s="5"/>
      <c r="AP525" s="219"/>
      <c r="AQ525" s="5"/>
      <c r="AR525" s="279">
        <v>0</v>
      </c>
      <c r="AS525" s="35">
        <v>0</v>
      </c>
      <c r="AT525" s="902"/>
      <c r="AU525" s="891"/>
      <c r="AV525" s="66" t="s">
        <v>74</v>
      </c>
      <c r="AW525" s="11"/>
      <c r="AX525" s="223"/>
      <c r="AY525" s="52"/>
      <c r="AZ525" s="66" t="s">
        <v>74</v>
      </c>
      <c r="BA525" s="5"/>
      <c r="BB525" s="5"/>
      <c r="BC525" s="11"/>
      <c r="BD525" s="66" t="s">
        <v>74</v>
      </c>
      <c r="BE525" s="1423"/>
      <c r="BF525" s="5"/>
      <c r="BG525" s="5"/>
      <c r="BH525" s="5"/>
      <c r="BI525" s="36">
        <f>AS525+AT525</f>
        <v>0</v>
      </c>
      <c r="BJ525" s="197" t="s">
        <v>74</v>
      </c>
      <c r="BK525" s="1246"/>
      <c r="BL525" s="694" t="s">
        <v>68</v>
      </c>
      <c r="BM525" s="695" t="s">
        <v>68</v>
      </c>
      <c r="BN525" s="695" t="s">
        <v>68</v>
      </c>
      <c r="BO525" s="1091" t="s">
        <v>68</v>
      </c>
      <c r="BP525" s="218" t="s">
        <v>74</v>
      </c>
      <c r="BQ525" s="218" t="s">
        <v>74</v>
      </c>
      <c r="BR525" s="914" t="s">
        <v>74</v>
      </c>
      <c r="BS525" s="696"/>
      <c r="BT525" s="696"/>
      <c r="BU525" s="696"/>
      <c r="BV525" s="694" t="s">
        <v>68</v>
      </c>
      <c r="BW525" s="13"/>
      <c r="BX525" s="1256" t="s">
        <v>3730</v>
      </c>
      <c r="BY525" s="13"/>
      <c r="BZ525" s="13"/>
      <c r="CA525" s="13"/>
      <c r="CB525" s="1222" t="s">
        <v>2094</v>
      </c>
      <c r="CC525" s="38"/>
      <c r="CD525" s="526"/>
      <c r="CE525" s="526"/>
      <c r="CF525" s="526"/>
      <c r="CG525" s="526"/>
      <c r="CH525" s="526"/>
      <c r="CI525" s="526"/>
      <c r="CJ525" s="526"/>
      <c r="CK525" s="15"/>
    </row>
    <row r="526" spans="2:89" ht="150.75" hidden="1" customHeight="1">
      <c r="B526" s="22"/>
      <c r="C526" s="1639"/>
      <c r="D526" s="1639"/>
      <c r="E526" s="911">
        <v>44440</v>
      </c>
      <c r="F526" s="911"/>
      <c r="G526" s="915"/>
      <c r="H526" s="1746"/>
      <c r="I526" s="330"/>
      <c r="J526" s="169">
        <v>2021</v>
      </c>
      <c r="K526" s="1417">
        <v>211004</v>
      </c>
      <c r="L526" s="1417"/>
      <c r="M526" s="170" t="s">
        <v>867</v>
      </c>
      <c r="N526" s="178" t="s">
        <v>3819</v>
      </c>
      <c r="O526" s="172" t="s">
        <v>467</v>
      </c>
      <c r="P526" s="173" t="s">
        <v>3820</v>
      </c>
      <c r="Q526" s="173" t="s">
        <v>2575</v>
      </c>
      <c r="R526" s="174">
        <v>9000000</v>
      </c>
      <c r="S526" s="590">
        <v>44251</v>
      </c>
      <c r="T526" s="176">
        <v>44251</v>
      </c>
      <c r="U526" s="177">
        <v>44469</v>
      </c>
      <c r="V526" s="105" t="s">
        <v>68</v>
      </c>
      <c r="W526" s="178" t="s">
        <v>1177</v>
      </c>
      <c r="X526" s="170" t="s">
        <v>1177</v>
      </c>
      <c r="Y526" s="200" t="s">
        <v>68</v>
      </c>
      <c r="Z526" s="368"/>
      <c r="AA526" s="337"/>
      <c r="AB526" s="8"/>
      <c r="AC526" s="4"/>
      <c r="AD526" s="4"/>
      <c r="AE526" s="32"/>
      <c r="AF526" s="34"/>
      <c r="AG526" s="112"/>
      <c r="AH526" s="112"/>
      <c r="AI526" s="7"/>
      <c r="AJ526" s="109"/>
      <c r="AK526" s="255"/>
      <c r="AL526" s="219"/>
      <c r="AM526" s="5"/>
      <c r="AN526" s="219"/>
      <c r="AO526" s="5"/>
      <c r="AP526" s="219"/>
      <c r="AQ526" s="5"/>
      <c r="AR526" s="279">
        <v>0</v>
      </c>
      <c r="AS526" s="35">
        <v>0</v>
      </c>
      <c r="AT526" s="902"/>
      <c r="AU526" s="891"/>
      <c r="AV526" s="66" t="s">
        <v>74</v>
      </c>
      <c r="AW526" s="11"/>
      <c r="AX526" s="223"/>
      <c r="AY526" s="52"/>
      <c r="AZ526" s="30" t="s">
        <v>1177</v>
      </c>
      <c r="BA526" s="5"/>
      <c r="BB526" s="5"/>
      <c r="BC526" s="11"/>
      <c r="BD526" s="30" t="s">
        <v>1177</v>
      </c>
      <c r="BE526" s="309"/>
      <c r="BF526" s="5"/>
      <c r="BG526" s="5"/>
      <c r="BH526" s="5"/>
      <c r="BI526" s="36">
        <f>AS526+AT526</f>
        <v>0</v>
      </c>
      <c r="BJ526" s="62" t="s">
        <v>68</v>
      </c>
      <c r="BK526" s="224"/>
      <c r="BL526" s="694"/>
      <c r="BM526" s="695"/>
      <c r="BN526" s="695"/>
      <c r="BO526" s="1091"/>
      <c r="BP526" s="216"/>
      <c r="BQ526" s="216"/>
      <c r="BR526" s="914"/>
      <c r="BS526" s="696"/>
      <c r="BT526" s="696"/>
      <c r="BU526" s="696"/>
      <c r="BV526" s="694"/>
      <c r="BW526" s="13"/>
      <c r="BX526" s="1256"/>
      <c r="BY526" s="13"/>
      <c r="BZ526" s="13"/>
      <c r="CA526" s="13"/>
      <c r="CB526" s="1222" t="s">
        <v>2094</v>
      </c>
      <c r="CC526" s="38"/>
      <c r="CD526" s="526"/>
      <c r="CE526" s="526"/>
      <c r="CF526" s="526"/>
      <c r="CG526" s="526"/>
      <c r="CH526" s="526"/>
      <c r="CI526" s="526"/>
      <c r="CJ526" s="526"/>
      <c r="CK526" s="15"/>
    </row>
    <row r="527" spans="2:89" s="104" customFormat="1" ht="78" hidden="1" customHeight="1">
      <c r="B527" s="81"/>
      <c r="C527" s="1641"/>
      <c r="D527" s="1641"/>
      <c r="E527" s="989"/>
      <c r="F527" s="989"/>
      <c r="G527" s="123"/>
      <c r="H527" s="1796"/>
      <c r="I527" s="620"/>
      <c r="J527" s="990">
        <v>2021</v>
      </c>
      <c r="K527" s="1419">
        <v>212001</v>
      </c>
      <c r="L527" s="1419"/>
      <c r="M527" s="621" t="s">
        <v>166</v>
      </c>
      <c r="N527" s="626" t="s">
        <v>3438</v>
      </c>
      <c r="O527" s="655" t="s">
        <v>251</v>
      </c>
      <c r="P527" s="656" t="s">
        <v>3478</v>
      </c>
      <c r="Q527" s="656"/>
      <c r="R527" s="622">
        <v>710000</v>
      </c>
      <c r="S527" s="623">
        <v>44221</v>
      </c>
      <c r="T527" s="624">
        <v>44222</v>
      </c>
      <c r="U527" s="625">
        <v>44377</v>
      </c>
      <c r="V527" s="370" t="s">
        <v>68</v>
      </c>
      <c r="W527" s="626" t="s">
        <v>1177</v>
      </c>
      <c r="X527" s="621" t="s">
        <v>1107</v>
      </c>
      <c r="Y527" s="554" t="s">
        <v>1177</v>
      </c>
      <c r="Z527" s="1363" t="s">
        <v>1177</v>
      </c>
      <c r="AA527" s="90"/>
      <c r="AB527" s="92"/>
      <c r="AC527" s="86"/>
      <c r="AD527" s="86"/>
      <c r="AE527" s="93"/>
      <c r="AF527" s="94" t="s">
        <v>68</v>
      </c>
      <c r="AG527" s="113" t="s">
        <v>68</v>
      </c>
      <c r="AH527" s="113" t="s">
        <v>68</v>
      </c>
      <c r="AI527" s="95" t="s">
        <v>68</v>
      </c>
      <c r="AJ527" s="110" t="s">
        <v>68</v>
      </c>
      <c r="AK527" s="90" t="s">
        <v>68</v>
      </c>
      <c r="AL527" s="96" t="s">
        <v>68</v>
      </c>
      <c r="AM527" s="88"/>
      <c r="AN527" s="96" t="s">
        <v>68</v>
      </c>
      <c r="AO527" s="88"/>
      <c r="AP527" s="96" t="s">
        <v>68</v>
      </c>
      <c r="AQ527" s="88"/>
      <c r="AR527" s="284">
        <v>0</v>
      </c>
      <c r="AS527" s="98"/>
      <c r="AT527" s="898"/>
      <c r="AU527" s="887"/>
      <c r="AV527" s="641" t="s">
        <v>74</v>
      </c>
      <c r="AW527" s="89"/>
      <c r="AX527" s="338"/>
      <c r="AY527" s="101"/>
      <c r="AZ527" s="641" t="s">
        <v>74</v>
      </c>
      <c r="BA527" s="88"/>
      <c r="BB527" s="88"/>
      <c r="BC527" s="89"/>
      <c r="BD527" s="641" t="s">
        <v>74</v>
      </c>
      <c r="BE527" s="1628"/>
      <c r="BF527" s="88"/>
      <c r="BG527" s="88"/>
      <c r="BH527" s="88"/>
      <c r="BI527" s="99">
        <f t="shared" ref="BI527:BI533" si="17">AS527+AT527</f>
        <v>0</v>
      </c>
      <c r="BJ527" s="102" t="s">
        <v>68</v>
      </c>
      <c r="BK527" s="354"/>
      <c r="BL527" s="855"/>
      <c r="BM527" s="856" t="s">
        <v>68</v>
      </c>
      <c r="BN527" s="856" t="s">
        <v>68</v>
      </c>
      <c r="BO527" s="991"/>
      <c r="BP527" s="991" t="s">
        <v>68</v>
      </c>
      <c r="BQ527" s="991" t="s">
        <v>68</v>
      </c>
      <c r="BR527" s="914" t="s">
        <v>68</v>
      </c>
      <c r="BS527" s="991" t="s">
        <v>68</v>
      </c>
      <c r="BT527" s="991"/>
      <c r="BU527" s="991" t="s">
        <v>68</v>
      </c>
      <c r="BV527" s="855" t="s">
        <v>68</v>
      </c>
      <c r="BW527" s="102"/>
      <c r="BX527" s="1256" t="s">
        <v>3730</v>
      </c>
      <c r="BY527" s="102"/>
      <c r="BZ527" s="102"/>
      <c r="CA527" s="102"/>
      <c r="CB527" s="1403" t="s">
        <v>2094</v>
      </c>
      <c r="CC527" s="857" t="s">
        <v>3916</v>
      </c>
      <c r="CD527" s="527"/>
      <c r="CE527" s="527"/>
      <c r="CF527" s="527"/>
      <c r="CG527" s="527"/>
      <c r="CH527" s="527"/>
      <c r="CI527" s="527"/>
      <c r="CJ527" s="527"/>
      <c r="CK527" s="627"/>
    </row>
    <row r="528" spans="2:89" ht="117.75" hidden="1" customHeight="1">
      <c r="B528" s="22"/>
      <c r="C528" s="1639"/>
      <c r="D528" s="1639"/>
      <c r="E528" s="911">
        <v>44440</v>
      </c>
      <c r="F528" s="911"/>
      <c r="G528" s="915">
        <v>44655</v>
      </c>
      <c r="H528" s="1746"/>
      <c r="I528" s="330">
        <v>37298</v>
      </c>
      <c r="J528" s="169">
        <v>2021</v>
      </c>
      <c r="K528" s="1417">
        <v>212002</v>
      </c>
      <c r="L528" s="1417"/>
      <c r="M528" s="170" t="s">
        <v>166</v>
      </c>
      <c r="N528" s="178" t="s">
        <v>3439</v>
      </c>
      <c r="O528" s="148" t="s">
        <v>4032</v>
      </c>
      <c r="P528" s="173" t="s">
        <v>3479</v>
      </c>
      <c r="Q528" s="173" t="s">
        <v>3623</v>
      </c>
      <c r="R528" s="174">
        <v>650000</v>
      </c>
      <c r="S528" s="175">
        <v>44221</v>
      </c>
      <c r="T528" s="176">
        <v>44222</v>
      </c>
      <c r="U528" s="177">
        <v>44377</v>
      </c>
      <c r="V528" s="105" t="s">
        <v>68</v>
      </c>
      <c r="W528" s="178" t="s">
        <v>1177</v>
      </c>
      <c r="X528" s="170" t="s">
        <v>3649</v>
      </c>
      <c r="Y528" s="200" t="s">
        <v>1177</v>
      </c>
      <c r="Z528" s="368" t="s">
        <v>1177</v>
      </c>
      <c r="AA528" s="255"/>
      <c r="AB528" s="8"/>
      <c r="AC528" s="4"/>
      <c r="AD528" s="4"/>
      <c r="AE528" s="32"/>
      <c r="AF528" s="34" t="s">
        <v>68</v>
      </c>
      <c r="AG528" s="112" t="s">
        <v>68</v>
      </c>
      <c r="AH528" s="112" t="s">
        <v>68</v>
      </c>
      <c r="AI528" s="7" t="s">
        <v>68</v>
      </c>
      <c r="AJ528" s="109" t="s">
        <v>68</v>
      </c>
      <c r="AK528" s="33" t="s">
        <v>68</v>
      </c>
      <c r="AL528" s="1" t="s">
        <v>68</v>
      </c>
      <c r="AM528" s="5"/>
      <c r="AN528" s="1" t="s">
        <v>68</v>
      </c>
      <c r="AO528" s="5"/>
      <c r="AP528" s="1" t="s">
        <v>68</v>
      </c>
      <c r="AQ528" s="5"/>
      <c r="AR528" s="279">
        <v>0</v>
      </c>
      <c r="AS528" s="35">
        <v>225000</v>
      </c>
      <c r="AT528" s="895">
        <v>468456.16</v>
      </c>
      <c r="AU528" s="891"/>
      <c r="AV528" s="66" t="s">
        <v>74</v>
      </c>
      <c r="AW528" s="11"/>
      <c r="AX528" s="223"/>
      <c r="AY528" s="52"/>
      <c r="AZ528" s="66" t="s">
        <v>74</v>
      </c>
      <c r="BA528" s="5"/>
      <c r="BB528" s="5"/>
      <c r="BC528" s="11"/>
      <c r="BD528" s="66" t="s">
        <v>74</v>
      </c>
      <c r="BE528" s="1423"/>
      <c r="BF528" s="5"/>
      <c r="BG528" s="5"/>
      <c r="BH528" s="5"/>
      <c r="BI528" s="36">
        <f t="shared" si="17"/>
        <v>693456.15999999992</v>
      </c>
      <c r="BJ528" s="13" t="s">
        <v>68</v>
      </c>
      <c r="BK528" s="352"/>
      <c r="BL528" s="1041"/>
      <c r="BM528" s="695" t="s">
        <v>68</v>
      </c>
      <c r="BN528" s="695" t="s">
        <v>68</v>
      </c>
      <c r="BO528" s="1043"/>
      <c r="BP528" s="696" t="s">
        <v>68</v>
      </c>
      <c r="BQ528" s="696" t="s">
        <v>68</v>
      </c>
      <c r="BR528" s="914" t="s">
        <v>68</v>
      </c>
      <c r="BS528" s="696" t="s">
        <v>68</v>
      </c>
      <c r="BT528" s="696"/>
      <c r="BU528" s="696" t="s">
        <v>68</v>
      </c>
      <c r="BV528" s="694" t="s">
        <v>68</v>
      </c>
      <c r="BW528" s="13"/>
      <c r="BX528" s="1307" t="s">
        <v>3730</v>
      </c>
      <c r="BY528" s="13"/>
      <c r="BZ528" s="13"/>
      <c r="CA528" s="13"/>
      <c r="CB528" s="1222" t="s">
        <v>2094</v>
      </c>
      <c r="CC528" s="38"/>
      <c r="CD528" s="526"/>
      <c r="CE528" s="526"/>
      <c r="CF528" s="526"/>
      <c r="CG528" s="526"/>
      <c r="CH528" s="526"/>
      <c r="CI528" s="526"/>
      <c r="CJ528" s="526"/>
      <c r="CK528" s="15"/>
    </row>
    <row r="529" spans="1:89" ht="137.25" hidden="1" customHeight="1">
      <c r="B529" s="22"/>
      <c r="C529" s="1639"/>
      <c r="D529" s="1639"/>
      <c r="E529" s="911">
        <v>44805</v>
      </c>
      <c r="F529" s="911">
        <v>44805</v>
      </c>
      <c r="G529" s="915">
        <v>44735</v>
      </c>
      <c r="H529" s="1746"/>
      <c r="I529" s="330"/>
      <c r="J529" s="169">
        <v>2021</v>
      </c>
      <c r="K529" s="1417">
        <v>212003</v>
      </c>
      <c r="L529" s="1417"/>
      <c r="M529" s="170" t="s">
        <v>77</v>
      </c>
      <c r="N529" s="178" t="s">
        <v>3440</v>
      </c>
      <c r="O529" s="148" t="s">
        <v>4032</v>
      </c>
      <c r="P529" s="173" t="s">
        <v>3457</v>
      </c>
      <c r="Q529" s="173" t="s">
        <v>1975</v>
      </c>
      <c r="R529" s="174">
        <f>124378.67+50260.4</f>
        <v>174639.07</v>
      </c>
      <c r="S529" s="590">
        <v>44435</v>
      </c>
      <c r="T529" s="176">
        <v>44440</v>
      </c>
      <c r="U529" s="177">
        <v>44455</v>
      </c>
      <c r="V529" s="105" t="s">
        <v>68</v>
      </c>
      <c r="W529" s="178" t="s">
        <v>1177</v>
      </c>
      <c r="X529" s="170" t="s">
        <v>449</v>
      </c>
      <c r="Y529" s="200" t="s">
        <v>1177</v>
      </c>
      <c r="Z529" s="1371" t="s">
        <v>74</v>
      </c>
      <c r="AA529" s="33" t="s">
        <v>3800</v>
      </c>
      <c r="AB529" s="8">
        <v>44197</v>
      </c>
      <c r="AC529" s="4">
        <v>18585634.399999999</v>
      </c>
      <c r="AD529" s="4"/>
      <c r="AE529" s="32"/>
      <c r="AF529" s="34" t="s">
        <v>68</v>
      </c>
      <c r="AG529" s="112" t="s">
        <v>68</v>
      </c>
      <c r="AH529" s="112" t="s">
        <v>68</v>
      </c>
      <c r="AI529" s="7" t="s">
        <v>68</v>
      </c>
      <c r="AJ529" s="109" t="s">
        <v>68</v>
      </c>
      <c r="AK529" s="33" t="s">
        <v>68</v>
      </c>
      <c r="AL529" s="1" t="s">
        <v>68</v>
      </c>
      <c r="AM529" s="5"/>
      <c r="AN529" s="1" t="s">
        <v>68</v>
      </c>
      <c r="AO529" s="5"/>
      <c r="AP529" s="1" t="s">
        <v>68</v>
      </c>
      <c r="AQ529" s="5"/>
      <c r="AR529" s="279">
        <v>0</v>
      </c>
      <c r="AS529" s="674"/>
      <c r="AT529" s="902"/>
      <c r="AU529" s="891"/>
      <c r="AV529" s="66" t="s">
        <v>74</v>
      </c>
      <c r="AW529" s="11"/>
      <c r="AX529" s="1429"/>
      <c r="AY529" s="880"/>
      <c r="AZ529" s="66" t="s">
        <v>74</v>
      </c>
      <c r="BA529" s="5"/>
      <c r="BB529" s="5"/>
      <c r="BC529" s="11"/>
      <c r="BD529" s="70">
        <v>44270</v>
      </c>
      <c r="BE529" s="1614"/>
      <c r="BF529" s="5">
        <v>44201</v>
      </c>
      <c r="BG529" s="5">
        <v>44270</v>
      </c>
      <c r="BH529" s="5">
        <v>44270</v>
      </c>
      <c r="BI529" s="36">
        <f>124378.67+50260.4</f>
        <v>174639.07</v>
      </c>
      <c r="BJ529" s="13" t="s">
        <v>68</v>
      </c>
      <c r="BK529" s="352"/>
      <c r="BL529" s="1041"/>
      <c r="BM529" s="695" t="s">
        <v>68</v>
      </c>
      <c r="BN529" s="695" t="s">
        <v>68</v>
      </c>
      <c r="BO529" s="1043"/>
      <c r="BP529" s="696" t="s">
        <v>68</v>
      </c>
      <c r="BQ529" s="696" t="s">
        <v>68</v>
      </c>
      <c r="BR529" s="914" t="s">
        <v>68</v>
      </c>
      <c r="BS529" s="696" t="s">
        <v>68</v>
      </c>
      <c r="BT529" s="696"/>
      <c r="BU529" s="696" t="s">
        <v>68</v>
      </c>
      <c r="BV529" s="694" t="s">
        <v>68</v>
      </c>
      <c r="BW529" s="13"/>
      <c r="BX529" s="1311" t="s">
        <v>1404</v>
      </c>
      <c r="BY529" s="13"/>
      <c r="BZ529" s="13"/>
      <c r="CA529" s="13"/>
      <c r="CB529" s="1222" t="s">
        <v>2094</v>
      </c>
      <c r="CC529" s="38"/>
      <c r="CD529" s="526"/>
      <c r="CE529" s="526"/>
      <c r="CF529" s="526"/>
      <c r="CG529" s="526"/>
      <c r="CH529" s="526"/>
      <c r="CI529" s="526"/>
      <c r="CJ529" s="526"/>
      <c r="CK529" s="15"/>
    </row>
    <row r="530" spans="1:89" ht="81" hidden="1" customHeight="1">
      <c r="B530" s="22"/>
      <c r="C530" s="1639"/>
      <c r="D530" s="1639"/>
      <c r="E530" s="911">
        <v>44440</v>
      </c>
      <c r="F530" s="911">
        <v>44440</v>
      </c>
      <c r="G530" s="915">
        <v>44655</v>
      </c>
      <c r="H530" s="1746"/>
      <c r="I530" s="330"/>
      <c r="J530" s="169">
        <v>2021</v>
      </c>
      <c r="K530" s="1417">
        <v>212004</v>
      </c>
      <c r="L530" s="1417"/>
      <c r="M530" s="170" t="s">
        <v>166</v>
      </c>
      <c r="N530" s="178" t="s">
        <v>3441</v>
      </c>
      <c r="O530" s="148" t="s">
        <v>4032</v>
      </c>
      <c r="P530" s="173" t="s">
        <v>3480</v>
      </c>
      <c r="Q530" s="173" t="s">
        <v>1975</v>
      </c>
      <c r="R530" s="174">
        <v>27000</v>
      </c>
      <c r="S530" s="175">
        <v>44225</v>
      </c>
      <c r="T530" s="176">
        <v>44228</v>
      </c>
      <c r="U530" s="177">
        <v>44250</v>
      </c>
      <c r="V530" s="105" t="s">
        <v>68</v>
      </c>
      <c r="W530" s="178" t="s">
        <v>1177</v>
      </c>
      <c r="X530" s="170" t="s">
        <v>3047</v>
      </c>
      <c r="Y530" s="200" t="s">
        <v>1177</v>
      </c>
      <c r="Z530" s="368" t="s">
        <v>1177</v>
      </c>
      <c r="AA530" s="255"/>
      <c r="AB530" s="8"/>
      <c r="AC530" s="4"/>
      <c r="AD530" s="4"/>
      <c r="AE530" s="32"/>
      <c r="AF530" s="34" t="s">
        <v>68</v>
      </c>
      <c r="AG530" s="112" t="s">
        <v>68</v>
      </c>
      <c r="AH530" s="112" t="s">
        <v>68</v>
      </c>
      <c r="AI530" s="7" t="s">
        <v>68</v>
      </c>
      <c r="AJ530" s="109" t="s">
        <v>68</v>
      </c>
      <c r="AK530" s="33" t="s">
        <v>68</v>
      </c>
      <c r="AL530" s="1" t="s">
        <v>68</v>
      </c>
      <c r="AM530" s="5"/>
      <c r="AN530" s="1" t="s">
        <v>68</v>
      </c>
      <c r="AO530" s="5"/>
      <c r="AP530" s="1" t="s">
        <v>68</v>
      </c>
      <c r="AQ530" s="5"/>
      <c r="AR530" s="279">
        <v>0</v>
      </c>
      <c r="AS530" s="674"/>
      <c r="AT530" s="902"/>
      <c r="AU530" s="884">
        <v>27000</v>
      </c>
      <c r="AV530" s="66" t="s">
        <v>74</v>
      </c>
      <c r="AW530" s="11"/>
      <c r="AX530" s="223"/>
      <c r="AY530" s="52"/>
      <c r="AZ530" s="66" t="s">
        <v>74</v>
      </c>
      <c r="BA530" s="5"/>
      <c r="BB530" s="5"/>
      <c r="BC530" s="11"/>
      <c r="BD530" s="66" t="s">
        <v>74</v>
      </c>
      <c r="BE530" s="1423"/>
      <c r="BF530" s="5"/>
      <c r="BG530" s="5"/>
      <c r="BH530" s="5"/>
      <c r="BI530" s="36">
        <f t="shared" si="17"/>
        <v>0</v>
      </c>
      <c r="BJ530" s="13" t="s">
        <v>68</v>
      </c>
      <c r="BK530" s="352"/>
      <c r="BL530" s="1041"/>
      <c r="BM530" s="695" t="s">
        <v>68</v>
      </c>
      <c r="BN530" s="695" t="s">
        <v>68</v>
      </c>
      <c r="BO530" s="1043"/>
      <c r="BP530" s="696" t="s">
        <v>68</v>
      </c>
      <c r="BQ530" s="696" t="s">
        <v>68</v>
      </c>
      <c r="BR530" s="914" t="s">
        <v>68</v>
      </c>
      <c r="BS530" s="696" t="s">
        <v>68</v>
      </c>
      <c r="BT530" s="696"/>
      <c r="BU530" s="696" t="s">
        <v>68</v>
      </c>
      <c r="BV530" s="694" t="s">
        <v>68</v>
      </c>
      <c r="BW530" s="13"/>
      <c r="BX530" s="1256" t="s">
        <v>3730</v>
      </c>
      <c r="BY530" s="13"/>
      <c r="BZ530" s="13"/>
      <c r="CA530" s="13"/>
      <c r="CB530" s="1222" t="s">
        <v>2094</v>
      </c>
      <c r="CC530" s="38"/>
      <c r="CD530" s="526"/>
      <c r="CE530" s="526"/>
      <c r="CF530" s="526"/>
      <c r="CG530" s="526"/>
      <c r="CH530" s="526"/>
      <c r="CI530" s="526"/>
      <c r="CJ530" s="526"/>
      <c r="CK530" s="15"/>
    </row>
    <row r="531" spans="1:89" ht="99" hidden="1" customHeight="1">
      <c r="B531" s="22"/>
      <c r="C531" s="1639"/>
      <c r="D531" s="1639"/>
      <c r="E531" s="911">
        <v>44440</v>
      </c>
      <c r="F531" s="911">
        <v>44440</v>
      </c>
      <c r="G531" s="915">
        <v>44655</v>
      </c>
      <c r="H531" s="1746"/>
      <c r="I531" s="330"/>
      <c r="J531" s="169">
        <v>2021</v>
      </c>
      <c r="K531" s="1417">
        <v>212005</v>
      </c>
      <c r="L531" s="1417"/>
      <c r="M531" s="170" t="s">
        <v>166</v>
      </c>
      <c r="N531" s="178" t="s">
        <v>3442</v>
      </c>
      <c r="O531" s="148" t="s">
        <v>4032</v>
      </c>
      <c r="P531" s="173" t="s">
        <v>3481</v>
      </c>
      <c r="Q531" s="173" t="s">
        <v>4410</v>
      </c>
      <c r="R531" s="174">
        <v>266000</v>
      </c>
      <c r="S531" s="1193">
        <v>44225</v>
      </c>
      <c r="T531" s="176">
        <v>44228</v>
      </c>
      <c r="U531" s="177">
        <v>44281</v>
      </c>
      <c r="V531" s="105" t="s">
        <v>68</v>
      </c>
      <c r="W531" s="178" t="s">
        <v>1177</v>
      </c>
      <c r="X531" s="170" t="s">
        <v>1107</v>
      </c>
      <c r="Y531" s="200" t="s">
        <v>1177</v>
      </c>
      <c r="Z531" s="368" t="s">
        <v>1177</v>
      </c>
      <c r="AA531" s="255"/>
      <c r="AB531" s="8"/>
      <c r="AC531" s="4"/>
      <c r="AD531" s="4"/>
      <c r="AE531" s="32"/>
      <c r="AF531" s="34" t="s">
        <v>68</v>
      </c>
      <c r="AG531" s="112" t="s">
        <v>68</v>
      </c>
      <c r="AH531" s="112" t="s">
        <v>68</v>
      </c>
      <c r="AI531" s="7" t="s">
        <v>68</v>
      </c>
      <c r="AJ531" s="109" t="s">
        <v>68</v>
      </c>
      <c r="AK531" s="33" t="s">
        <v>68</v>
      </c>
      <c r="AL531" s="1" t="s">
        <v>68</v>
      </c>
      <c r="AM531" s="5"/>
      <c r="AN531" s="1" t="s">
        <v>68</v>
      </c>
      <c r="AO531" s="5"/>
      <c r="AP531" s="1" t="s">
        <v>68</v>
      </c>
      <c r="AQ531" s="5"/>
      <c r="AR531" s="279">
        <v>0</v>
      </c>
      <c r="AS531" s="674"/>
      <c r="AT531" s="902"/>
      <c r="AU531" s="891">
        <v>506784</v>
      </c>
      <c r="AV531" s="66" t="s">
        <v>74</v>
      </c>
      <c r="AW531" s="11"/>
      <c r="AX531" s="223"/>
      <c r="AY531" s="52"/>
      <c r="AZ531" s="66" t="s">
        <v>74</v>
      </c>
      <c r="BA531" s="5"/>
      <c r="BB531" s="5"/>
      <c r="BC531" s="11"/>
      <c r="BD531" s="66" t="s">
        <v>74</v>
      </c>
      <c r="BE531" s="1423"/>
      <c r="BF531" s="5"/>
      <c r="BG531" s="5"/>
      <c r="BH531" s="5"/>
      <c r="BI531" s="36">
        <f t="shared" si="17"/>
        <v>0</v>
      </c>
      <c r="BJ531" s="13" t="s">
        <v>68</v>
      </c>
      <c r="BK531" s="352"/>
      <c r="BL531" s="1041"/>
      <c r="BM531" s="695" t="s">
        <v>68</v>
      </c>
      <c r="BN531" s="695" t="s">
        <v>68</v>
      </c>
      <c r="BO531" s="1043"/>
      <c r="BP531" s="696" t="s">
        <v>68</v>
      </c>
      <c r="BQ531" s="696" t="s">
        <v>68</v>
      </c>
      <c r="BR531" s="914" t="s">
        <v>68</v>
      </c>
      <c r="BS531" s="696" t="s">
        <v>68</v>
      </c>
      <c r="BT531" s="696"/>
      <c r="BU531" s="696" t="s">
        <v>68</v>
      </c>
      <c r="BV531" s="694" t="s">
        <v>68</v>
      </c>
      <c r="BW531" s="13"/>
      <c r="BX531" s="1256" t="s">
        <v>3730</v>
      </c>
      <c r="BY531" s="13"/>
      <c r="BZ531" s="13"/>
      <c r="CA531" s="13"/>
      <c r="CB531" s="1222" t="s">
        <v>2094</v>
      </c>
      <c r="CC531" s="38"/>
      <c r="CD531" s="526"/>
      <c r="CE531" s="526"/>
      <c r="CF531" s="526"/>
      <c r="CG531" s="526"/>
      <c r="CH531" s="526"/>
      <c r="CI531" s="526"/>
      <c r="CJ531" s="526"/>
      <c r="CK531" s="15"/>
    </row>
    <row r="532" spans="1:89" s="1050" customFormat="1" ht="37.5" hidden="1" customHeight="1">
      <c r="B532" s="1051"/>
      <c r="C532" s="1642"/>
      <c r="D532" s="1642"/>
      <c r="E532" s="1052"/>
      <c r="F532" s="1052"/>
      <c r="G532" s="553"/>
      <c r="H532" s="620"/>
      <c r="I532" s="620"/>
      <c r="J532" s="1053">
        <v>2021</v>
      </c>
      <c r="K532" s="1420">
        <v>212006</v>
      </c>
      <c r="L532" s="1420"/>
      <c r="M532" s="1054"/>
      <c r="N532" s="1055" t="s">
        <v>3443</v>
      </c>
      <c r="O532" s="790" t="s">
        <v>251</v>
      </c>
      <c r="P532" s="1056"/>
      <c r="Q532" s="1056"/>
      <c r="R532" s="1057"/>
      <c r="S532" s="1058"/>
      <c r="T532" s="1059"/>
      <c r="U532" s="1060"/>
      <c r="V532" s="1061" t="s">
        <v>68</v>
      </c>
      <c r="W532" s="1055" t="s">
        <v>1177</v>
      </c>
      <c r="X532" s="1054" t="s">
        <v>305</v>
      </c>
      <c r="Y532" s="1087" t="s">
        <v>1177</v>
      </c>
      <c r="Z532" s="1378"/>
      <c r="AA532" s="308"/>
      <c r="AB532" s="1063"/>
      <c r="AC532" s="1064"/>
      <c r="AD532" s="1064"/>
      <c r="AE532" s="1065"/>
      <c r="AF532" s="1066" t="s">
        <v>68</v>
      </c>
      <c r="AG532" s="1067" t="s">
        <v>68</v>
      </c>
      <c r="AH532" s="1067" t="s">
        <v>68</v>
      </c>
      <c r="AI532" s="1068" t="s">
        <v>68</v>
      </c>
      <c r="AJ532" s="1069" t="s">
        <v>68</v>
      </c>
      <c r="AK532" s="308" t="s">
        <v>68</v>
      </c>
      <c r="AL532" s="1070" t="s">
        <v>68</v>
      </c>
      <c r="AM532" s="1071"/>
      <c r="AN532" s="1070" t="s">
        <v>68</v>
      </c>
      <c r="AO532" s="1071"/>
      <c r="AP532" s="1070" t="s">
        <v>68</v>
      </c>
      <c r="AQ532" s="1071"/>
      <c r="AR532" s="1072">
        <v>0</v>
      </c>
      <c r="AS532" s="1073"/>
      <c r="AT532" s="1074"/>
      <c r="AU532" s="1075"/>
      <c r="AV532" s="1479" t="s">
        <v>74</v>
      </c>
      <c r="AW532" s="1077"/>
      <c r="AX532" s="1078"/>
      <c r="AY532" s="1079"/>
      <c r="AZ532" s="1076"/>
      <c r="BA532" s="1071"/>
      <c r="BB532" s="1071"/>
      <c r="BC532" s="1077"/>
      <c r="BD532" s="1076"/>
      <c r="BE532" s="1608"/>
      <c r="BF532" s="1071"/>
      <c r="BG532" s="1071"/>
      <c r="BH532" s="1071"/>
      <c r="BI532" s="1081">
        <f t="shared" si="17"/>
        <v>0</v>
      </c>
      <c r="BJ532" s="1082" t="s">
        <v>68</v>
      </c>
      <c r="BK532" s="1816"/>
      <c r="BL532" s="1470"/>
      <c r="BM532" s="1471" t="s">
        <v>68</v>
      </c>
      <c r="BN532" s="1471" t="s">
        <v>68</v>
      </c>
      <c r="BO532" s="1487"/>
      <c r="BP532" s="1487" t="s">
        <v>68</v>
      </c>
      <c r="BQ532" s="1487" t="s">
        <v>68</v>
      </c>
      <c r="BR532" s="914" t="s">
        <v>68</v>
      </c>
      <c r="BS532" s="1487" t="s">
        <v>68</v>
      </c>
      <c r="BT532" s="1487"/>
      <c r="BU532" s="1487" t="s">
        <v>68</v>
      </c>
      <c r="BV532" s="1470" t="s">
        <v>68</v>
      </c>
      <c r="BW532" s="1082"/>
      <c r="BX532" s="1256"/>
      <c r="BY532" s="1082"/>
      <c r="BZ532" s="1082"/>
      <c r="CA532" s="1082"/>
      <c r="CB532" s="1486" t="s">
        <v>2094</v>
      </c>
      <c r="CC532" s="1085"/>
      <c r="CD532" s="789"/>
      <c r="CE532" s="789"/>
      <c r="CF532" s="789"/>
      <c r="CG532" s="789"/>
      <c r="CH532" s="789"/>
      <c r="CI532" s="789"/>
      <c r="CJ532" s="789"/>
      <c r="CK532" s="1086"/>
    </row>
    <row r="533" spans="1:89" s="104" customFormat="1" ht="89.25" hidden="1" customHeight="1">
      <c r="B533" s="81"/>
      <c r="C533" s="1641"/>
      <c r="D533" s="1641"/>
      <c r="E533" s="989"/>
      <c r="F533" s="989"/>
      <c r="G533" s="123"/>
      <c r="H533" s="1796"/>
      <c r="I533" s="620"/>
      <c r="J533" s="990">
        <v>2021</v>
      </c>
      <c r="K533" s="1419">
        <v>212007</v>
      </c>
      <c r="L533" s="1419"/>
      <c r="M533" s="621" t="s">
        <v>166</v>
      </c>
      <c r="N533" s="626" t="s">
        <v>3915</v>
      </c>
      <c r="O533" s="655" t="s">
        <v>251</v>
      </c>
      <c r="P533" s="656" t="s">
        <v>3897</v>
      </c>
      <c r="Q533" s="656"/>
      <c r="R533" s="622">
        <v>227155</v>
      </c>
      <c r="S533" s="623">
        <v>44302</v>
      </c>
      <c r="T533" s="624">
        <v>44228</v>
      </c>
      <c r="U533" s="625">
        <v>44281</v>
      </c>
      <c r="V533" s="370" t="s">
        <v>68</v>
      </c>
      <c r="W533" s="626" t="s">
        <v>1177</v>
      </c>
      <c r="X533" s="621"/>
      <c r="Y533" s="554" t="s">
        <v>1177</v>
      </c>
      <c r="Z533" s="1363"/>
      <c r="AA533" s="90"/>
      <c r="AB533" s="92"/>
      <c r="AC533" s="86"/>
      <c r="AD533" s="86"/>
      <c r="AE533" s="93"/>
      <c r="AF533" s="94" t="s">
        <v>68</v>
      </c>
      <c r="AG533" s="113" t="s">
        <v>68</v>
      </c>
      <c r="AH533" s="113" t="s">
        <v>68</v>
      </c>
      <c r="AI533" s="95" t="s">
        <v>68</v>
      </c>
      <c r="AJ533" s="110" t="s">
        <v>68</v>
      </c>
      <c r="AK533" s="90" t="s">
        <v>68</v>
      </c>
      <c r="AL533" s="96" t="s">
        <v>68</v>
      </c>
      <c r="AM533" s="88"/>
      <c r="AN533" s="96" t="s">
        <v>68</v>
      </c>
      <c r="AO533" s="88"/>
      <c r="AP533" s="96" t="s">
        <v>68</v>
      </c>
      <c r="AQ533" s="88"/>
      <c r="AR533" s="284">
        <v>0</v>
      </c>
      <c r="AS533" s="98"/>
      <c r="AT533" s="898"/>
      <c r="AU533" s="887"/>
      <c r="AV533" s="641" t="s">
        <v>74</v>
      </c>
      <c r="AW533" s="89"/>
      <c r="AX533" s="338"/>
      <c r="AY533" s="101"/>
      <c r="AZ533" s="641" t="s">
        <v>74</v>
      </c>
      <c r="BA533" s="88"/>
      <c r="BB533" s="88"/>
      <c r="BC533" s="89"/>
      <c r="BD533" s="641" t="s">
        <v>74</v>
      </c>
      <c r="BE533" s="1628"/>
      <c r="BF533" s="88"/>
      <c r="BG533" s="88"/>
      <c r="BH533" s="88"/>
      <c r="BI533" s="99">
        <f t="shared" si="17"/>
        <v>0</v>
      </c>
      <c r="BJ533" s="102" t="s">
        <v>68</v>
      </c>
      <c r="BK533" s="354"/>
      <c r="BL533" s="855"/>
      <c r="BM533" s="856" t="s">
        <v>68</v>
      </c>
      <c r="BN533" s="856" t="s">
        <v>68</v>
      </c>
      <c r="BO533" s="991"/>
      <c r="BP533" s="991" t="s">
        <v>68</v>
      </c>
      <c r="BQ533" s="991" t="s">
        <v>68</v>
      </c>
      <c r="BR533" s="914" t="s">
        <v>68</v>
      </c>
      <c r="BS533" s="991" t="s">
        <v>68</v>
      </c>
      <c r="BT533" s="991"/>
      <c r="BU533" s="991" t="s">
        <v>68</v>
      </c>
      <c r="BV533" s="855" t="s">
        <v>68</v>
      </c>
      <c r="BW533" s="102"/>
      <c r="BX533" s="830"/>
      <c r="BY533" s="102"/>
      <c r="BZ533" s="102"/>
      <c r="CA533" s="102"/>
      <c r="CB533" s="1403" t="s">
        <v>2094</v>
      </c>
      <c r="CC533" s="857" t="s">
        <v>3916</v>
      </c>
      <c r="CD533" s="527"/>
      <c r="CE533" s="527"/>
      <c r="CF533" s="527"/>
      <c r="CG533" s="527"/>
      <c r="CH533" s="527"/>
      <c r="CI533" s="527"/>
      <c r="CJ533" s="527"/>
      <c r="CK533" s="627"/>
    </row>
    <row r="534" spans="1:89" ht="89.25" hidden="1" customHeight="1">
      <c r="B534" s="22"/>
      <c r="C534" s="1639"/>
      <c r="D534" s="1639"/>
      <c r="E534" s="911">
        <v>44805</v>
      </c>
      <c r="F534" s="911">
        <v>44440</v>
      </c>
      <c r="G534" s="915">
        <v>44452</v>
      </c>
      <c r="H534" s="1746"/>
      <c r="I534" s="330">
        <v>44452</v>
      </c>
      <c r="J534" s="169">
        <v>2021</v>
      </c>
      <c r="K534" s="1417">
        <v>212008</v>
      </c>
      <c r="L534" s="1417"/>
      <c r="M534" s="170" t="s">
        <v>77</v>
      </c>
      <c r="N534" s="178" t="s">
        <v>3444</v>
      </c>
      <c r="O534" s="148" t="s">
        <v>4032</v>
      </c>
      <c r="P534" s="173" t="s">
        <v>3891</v>
      </c>
      <c r="Q534" s="173" t="s">
        <v>2512</v>
      </c>
      <c r="R534" s="174">
        <v>113778.58</v>
      </c>
      <c r="S534" s="175">
        <v>44356</v>
      </c>
      <c r="T534" s="176">
        <v>44361</v>
      </c>
      <c r="U534" s="177">
        <v>44379</v>
      </c>
      <c r="V534" s="105" t="s">
        <v>68</v>
      </c>
      <c r="W534" s="178" t="s">
        <v>1177</v>
      </c>
      <c r="X534" s="170" t="s">
        <v>305</v>
      </c>
      <c r="Y534" s="1371" t="s">
        <v>74</v>
      </c>
      <c r="Z534" s="1371" t="s">
        <v>74</v>
      </c>
      <c r="AA534" s="33" t="s">
        <v>3892</v>
      </c>
      <c r="AB534" s="8">
        <v>44406</v>
      </c>
      <c r="AC534" s="4">
        <v>116483.73</v>
      </c>
      <c r="AD534" s="4"/>
      <c r="AE534" s="32"/>
      <c r="AF534" s="34" t="s">
        <v>68</v>
      </c>
      <c r="AG534" s="112" t="s">
        <v>68</v>
      </c>
      <c r="AH534" s="112" t="s">
        <v>68</v>
      </c>
      <c r="AI534" s="7" t="s">
        <v>68</v>
      </c>
      <c r="AJ534" s="109" t="s">
        <v>68</v>
      </c>
      <c r="AK534" s="33" t="s">
        <v>68</v>
      </c>
      <c r="AL534" s="1" t="s">
        <v>68</v>
      </c>
      <c r="AM534" s="5"/>
      <c r="AN534" s="1" t="s">
        <v>68</v>
      </c>
      <c r="AO534" s="5"/>
      <c r="AP534" s="1" t="s">
        <v>68</v>
      </c>
      <c r="AQ534" s="5"/>
      <c r="AR534" s="279">
        <v>0</v>
      </c>
      <c r="AS534" s="674"/>
      <c r="AT534" s="902"/>
      <c r="AU534" s="891"/>
      <c r="AV534" s="66" t="s">
        <v>74</v>
      </c>
      <c r="AW534" s="11"/>
      <c r="AX534" s="1429"/>
      <c r="AY534" s="880"/>
      <c r="AZ534" s="66" t="s">
        <v>74</v>
      </c>
      <c r="BA534" s="5"/>
      <c r="BB534" s="5"/>
      <c r="BC534" s="11"/>
      <c r="BD534" s="66" t="s">
        <v>74</v>
      </c>
      <c r="BE534" s="1423"/>
      <c r="BF534" s="5"/>
      <c r="BG534" s="5"/>
      <c r="BH534" s="5"/>
      <c r="BI534" s="36">
        <f>AS534+AT534</f>
        <v>0</v>
      </c>
      <c r="BJ534" s="13" t="s">
        <v>68</v>
      </c>
      <c r="BK534" s="352"/>
      <c r="BL534" s="1041"/>
      <c r="BM534" s="695" t="s">
        <v>68</v>
      </c>
      <c r="BN534" s="695" t="s">
        <v>68</v>
      </c>
      <c r="BO534" s="1043"/>
      <c r="BP534" s="696" t="s">
        <v>68</v>
      </c>
      <c r="BQ534" s="696" t="s">
        <v>68</v>
      </c>
      <c r="BR534" s="914" t="s">
        <v>68</v>
      </c>
      <c r="BS534" s="696" t="s">
        <v>68</v>
      </c>
      <c r="BT534" s="696"/>
      <c r="BU534" s="696" t="s">
        <v>68</v>
      </c>
      <c r="BV534" s="694" t="s">
        <v>68</v>
      </c>
      <c r="BW534" s="13"/>
      <c r="BX534" s="158"/>
      <c r="BY534" s="13"/>
      <c r="BZ534" s="13"/>
      <c r="CA534" s="13"/>
      <c r="CB534" s="1222" t="s">
        <v>2094</v>
      </c>
      <c r="CC534" s="38"/>
      <c r="CD534" s="526"/>
      <c r="CE534" s="526"/>
      <c r="CF534" s="526"/>
      <c r="CG534" s="526"/>
      <c r="CH534" s="526"/>
      <c r="CI534" s="526"/>
      <c r="CJ534" s="526"/>
      <c r="CK534" s="15"/>
    </row>
    <row r="535" spans="1:89" ht="93" hidden="1" customHeight="1">
      <c r="B535" s="22"/>
      <c r="C535" s="1639"/>
      <c r="D535" s="1639"/>
      <c r="E535" s="911"/>
      <c r="F535" s="911"/>
      <c r="G535" s="915"/>
      <c r="H535" s="1746"/>
      <c r="I535" s="330"/>
      <c r="J535" s="169">
        <v>2021</v>
      </c>
      <c r="K535" s="1417">
        <v>212009</v>
      </c>
      <c r="L535" s="1417"/>
      <c r="M535" s="170" t="s">
        <v>166</v>
      </c>
      <c r="N535" s="178" t="s">
        <v>3445</v>
      </c>
      <c r="O535" s="172" t="s">
        <v>251</v>
      </c>
      <c r="P535" s="173" t="s">
        <v>3898</v>
      </c>
      <c r="Q535" s="173"/>
      <c r="R535" s="174">
        <v>77686.679999999993</v>
      </c>
      <c r="S535" s="1193">
        <v>44356</v>
      </c>
      <c r="T535" s="176">
        <v>44369</v>
      </c>
      <c r="U535" s="177">
        <v>44383</v>
      </c>
      <c r="V535" s="105" t="s">
        <v>68</v>
      </c>
      <c r="W535" s="178" t="s">
        <v>1177</v>
      </c>
      <c r="X535" s="170" t="s">
        <v>305</v>
      </c>
      <c r="Y535" s="200" t="s">
        <v>1177</v>
      </c>
      <c r="Z535" s="1383"/>
      <c r="AA535" s="255"/>
      <c r="AB535" s="8"/>
      <c r="AC535" s="4"/>
      <c r="AD535" s="4"/>
      <c r="AE535" s="32"/>
      <c r="AF535" s="34" t="s">
        <v>68</v>
      </c>
      <c r="AG535" s="112" t="s">
        <v>68</v>
      </c>
      <c r="AH535" s="112" t="s">
        <v>68</v>
      </c>
      <c r="AI535" s="7" t="s">
        <v>68</v>
      </c>
      <c r="AJ535" s="109" t="s">
        <v>68</v>
      </c>
      <c r="AK535" s="33" t="s">
        <v>68</v>
      </c>
      <c r="AL535" s="1" t="s">
        <v>68</v>
      </c>
      <c r="AM535" s="5"/>
      <c r="AN535" s="1" t="s">
        <v>68</v>
      </c>
      <c r="AO535" s="5"/>
      <c r="AP535" s="1" t="s">
        <v>68</v>
      </c>
      <c r="AQ535" s="5"/>
      <c r="AR535" s="279">
        <v>0</v>
      </c>
      <c r="AS535" s="674"/>
      <c r="AT535" s="902"/>
      <c r="AU535" s="891"/>
      <c r="AV535" s="66" t="s">
        <v>74</v>
      </c>
      <c r="AW535" s="11"/>
      <c r="AX535" s="223"/>
      <c r="AY535" s="52"/>
      <c r="AZ535" s="66" t="s">
        <v>74</v>
      </c>
      <c r="BA535" s="5"/>
      <c r="BB535" s="5"/>
      <c r="BC535" s="11"/>
      <c r="BD535" s="66" t="s">
        <v>74</v>
      </c>
      <c r="BE535" s="1423"/>
      <c r="BF535" s="5"/>
      <c r="BG535" s="5"/>
      <c r="BH535" s="5"/>
      <c r="BI535" s="36">
        <f>AS535+AT535</f>
        <v>0</v>
      </c>
      <c r="BJ535" s="13" t="s">
        <v>68</v>
      </c>
      <c r="BK535" s="352"/>
      <c r="BL535" s="1041"/>
      <c r="BM535" s="695" t="s">
        <v>68</v>
      </c>
      <c r="BN535" s="695" t="s">
        <v>68</v>
      </c>
      <c r="BO535" s="1043"/>
      <c r="BP535" s="696" t="s">
        <v>68</v>
      </c>
      <c r="BQ535" s="696" t="s">
        <v>68</v>
      </c>
      <c r="BR535" s="914" t="s">
        <v>68</v>
      </c>
      <c r="BS535" s="696" t="s">
        <v>68</v>
      </c>
      <c r="BT535" s="696"/>
      <c r="BU535" s="696" t="s">
        <v>68</v>
      </c>
      <c r="BV535" s="694" t="s">
        <v>68</v>
      </c>
      <c r="BW535" s="13"/>
      <c r="BX535" s="158"/>
      <c r="BY535" s="13"/>
      <c r="BZ535" s="13"/>
      <c r="CA535" s="13"/>
      <c r="CB535" s="1222" t="s">
        <v>2094</v>
      </c>
      <c r="CC535" s="38"/>
      <c r="CD535" s="526"/>
      <c r="CE535" s="526"/>
      <c r="CF535" s="526"/>
      <c r="CG535" s="526"/>
      <c r="CH535" s="526"/>
      <c r="CI535" s="526"/>
      <c r="CJ535" s="526"/>
      <c r="CK535" s="15"/>
    </row>
    <row r="536" spans="1:89" s="1050" customFormat="1" ht="118.5" hidden="1" customHeight="1">
      <c r="B536" s="1051"/>
      <c r="C536" s="1642"/>
      <c r="D536" s="1642"/>
      <c r="E536" s="1052"/>
      <c r="F536" s="1052"/>
      <c r="G536" s="553"/>
      <c r="H536" s="620"/>
      <c r="I536" s="620"/>
      <c r="J536" s="1053">
        <v>2021</v>
      </c>
      <c r="K536" s="1420">
        <v>212010</v>
      </c>
      <c r="L536" s="1420"/>
      <c r="M536" s="1054"/>
      <c r="N536" s="1055" t="s">
        <v>3969</v>
      </c>
      <c r="O536" s="790" t="s">
        <v>251</v>
      </c>
      <c r="P536" s="1056"/>
      <c r="Q536" s="1056"/>
      <c r="R536" s="1057"/>
      <c r="S536" s="1058"/>
      <c r="T536" s="1059"/>
      <c r="U536" s="1060"/>
      <c r="V536" s="1061"/>
      <c r="W536" s="1055" t="s">
        <v>1177</v>
      </c>
      <c r="X536" s="1054"/>
      <c r="Y536" s="1087"/>
      <c r="Z536" s="1378"/>
      <c r="AA536" s="308"/>
      <c r="AB536" s="1063"/>
      <c r="AC536" s="1064"/>
      <c r="AD536" s="1064"/>
      <c r="AE536" s="1065"/>
      <c r="AF536" s="1066"/>
      <c r="AG536" s="1067"/>
      <c r="AH536" s="1067"/>
      <c r="AI536" s="1068"/>
      <c r="AJ536" s="1069"/>
      <c r="AK536" s="308"/>
      <c r="AL536" s="1070"/>
      <c r="AM536" s="1071"/>
      <c r="AN536" s="1070"/>
      <c r="AO536" s="1071"/>
      <c r="AP536" s="1070"/>
      <c r="AQ536" s="1071"/>
      <c r="AR536" s="1072">
        <v>0</v>
      </c>
      <c r="AS536" s="1073"/>
      <c r="AT536" s="1074"/>
      <c r="AU536" s="1075"/>
      <c r="AV536" s="1479" t="s">
        <v>74</v>
      </c>
      <c r="AW536" s="1077"/>
      <c r="AX536" s="1078"/>
      <c r="AY536" s="1079"/>
      <c r="AZ536" s="1076"/>
      <c r="BA536" s="1071"/>
      <c r="BB536" s="1071"/>
      <c r="BC536" s="1077"/>
      <c r="BD536" s="1076"/>
      <c r="BE536" s="1608"/>
      <c r="BF536" s="1071"/>
      <c r="BG536" s="1071"/>
      <c r="BH536" s="1071"/>
      <c r="BI536" s="1081"/>
      <c r="BJ536" s="1082"/>
      <c r="BK536" s="1816"/>
      <c r="BL536" s="1470"/>
      <c r="BM536" s="1471"/>
      <c r="BN536" s="1471"/>
      <c r="BO536" s="1487"/>
      <c r="BP536" s="1487"/>
      <c r="BQ536" s="1487"/>
      <c r="BR536" s="914"/>
      <c r="BS536" s="1487"/>
      <c r="BT536" s="1487"/>
      <c r="BU536" s="1487"/>
      <c r="BV536" s="1470"/>
      <c r="BW536" s="1082"/>
      <c r="BX536" s="1256"/>
      <c r="BY536" s="1082"/>
      <c r="BZ536" s="1082"/>
      <c r="CA536" s="1082"/>
      <c r="CB536" s="1486" t="s">
        <v>2094</v>
      </c>
      <c r="CC536" s="1085"/>
      <c r="CD536" s="789"/>
      <c r="CE536" s="789"/>
      <c r="CF536" s="789"/>
      <c r="CG536" s="789"/>
      <c r="CH536" s="789"/>
      <c r="CI536" s="789"/>
      <c r="CJ536" s="789"/>
      <c r="CK536" s="1086"/>
    </row>
    <row r="537" spans="1:89" s="104" customFormat="1" ht="157.5" hidden="1" customHeight="1">
      <c r="A537" s="1438"/>
      <c r="B537" s="22"/>
      <c r="C537" s="1639"/>
      <c r="D537" s="1639"/>
      <c r="E537" s="911">
        <v>44440</v>
      </c>
      <c r="F537" s="911">
        <v>44228</v>
      </c>
      <c r="G537" s="915">
        <v>44467</v>
      </c>
      <c r="H537" s="1746"/>
      <c r="I537" s="330"/>
      <c r="J537" s="169">
        <v>2021</v>
      </c>
      <c r="K537" s="1417">
        <v>212011</v>
      </c>
      <c r="L537" s="1417"/>
      <c r="M537" s="170" t="s">
        <v>166</v>
      </c>
      <c r="N537" s="178" t="s">
        <v>3894</v>
      </c>
      <c r="O537" s="148" t="s">
        <v>4032</v>
      </c>
      <c r="P537" s="173" t="s">
        <v>3899</v>
      </c>
      <c r="Q537" s="173" t="s">
        <v>1975</v>
      </c>
      <c r="R537" s="174">
        <f>220000+51040</f>
        <v>271040</v>
      </c>
      <c r="S537" s="1193">
        <v>44232</v>
      </c>
      <c r="T537" s="176">
        <v>44236</v>
      </c>
      <c r="U537" s="177">
        <v>44257</v>
      </c>
      <c r="V537" s="105" t="s">
        <v>68</v>
      </c>
      <c r="W537" s="178" t="s">
        <v>1177</v>
      </c>
      <c r="X537" s="170" t="s">
        <v>1107</v>
      </c>
      <c r="Y537" s="200" t="s">
        <v>1177</v>
      </c>
      <c r="Z537" s="1383"/>
      <c r="AA537" s="255"/>
      <c r="AB537" s="8"/>
      <c r="AC537" s="4"/>
      <c r="AD537" s="4"/>
      <c r="AE537" s="32"/>
      <c r="AF537" s="34" t="s">
        <v>68</v>
      </c>
      <c r="AG537" s="112" t="s">
        <v>68</v>
      </c>
      <c r="AH537" s="112" t="s">
        <v>68</v>
      </c>
      <c r="AI537" s="7" t="s">
        <v>68</v>
      </c>
      <c r="AJ537" s="109" t="s">
        <v>68</v>
      </c>
      <c r="AK537" s="33" t="s">
        <v>68</v>
      </c>
      <c r="AL537" s="1" t="s">
        <v>68</v>
      </c>
      <c r="AM537" s="5"/>
      <c r="AN537" s="1" t="s">
        <v>68</v>
      </c>
      <c r="AO537" s="5"/>
      <c r="AP537" s="1" t="s">
        <v>68</v>
      </c>
      <c r="AQ537" s="5"/>
      <c r="AR537" s="279">
        <v>0</v>
      </c>
      <c r="AS537" s="674"/>
      <c r="AT537" s="902"/>
      <c r="AU537" s="891"/>
      <c r="AV537" s="66" t="s">
        <v>74</v>
      </c>
      <c r="AW537" s="11"/>
      <c r="AX537" s="223"/>
      <c r="AY537" s="52"/>
      <c r="AZ537" s="66" t="s">
        <v>74</v>
      </c>
      <c r="BA537" s="5"/>
      <c r="BB537" s="5"/>
      <c r="BC537" s="11"/>
      <c r="BD537" s="66" t="s">
        <v>74</v>
      </c>
      <c r="BE537" s="1423"/>
      <c r="BF537" s="5"/>
      <c r="BG537" s="5"/>
      <c r="BH537" s="5"/>
      <c r="BI537" s="36">
        <f>AS537+AT537</f>
        <v>0</v>
      </c>
      <c r="BJ537" s="13" t="s">
        <v>68</v>
      </c>
      <c r="BK537" s="352"/>
      <c r="BL537" s="1041"/>
      <c r="BM537" s="695" t="s">
        <v>68</v>
      </c>
      <c r="BN537" s="695" t="s">
        <v>68</v>
      </c>
      <c r="BO537" s="1043"/>
      <c r="BP537" s="696" t="s">
        <v>68</v>
      </c>
      <c r="BQ537" s="696" t="s">
        <v>68</v>
      </c>
      <c r="BR537" s="914" t="s">
        <v>68</v>
      </c>
      <c r="BS537" s="696" t="s">
        <v>68</v>
      </c>
      <c r="BT537" s="696"/>
      <c r="BU537" s="696" t="s">
        <v>68</v>
      </c>
      <c r="BV537" s="694" t="s">
        <v>68</v>
      </c>
      <c r="BW537" s="13"/>
      <c r="BX537" s="158"/>
      <c r="BY537" s="13"/>
      <c r="BZ537" s="13"/>
      <c r="CA537" s="13"/>
      <c r="CB537" s="1222" t="s">
        <v>2094</v>
      </c>
      <c r="CC537" s="38"/>
      <c r="CD537" s="527"/>
      <c r="CE537" s="527"/>
      <c r="CF537" s="527"/>
      <c r="CG537" s="527"/>
      <c r="CH537" s="527"/>
      <c r="CI537" s="527"/>
      <c r="CJ537" s="527"/>
      <c r="CK537" s="627"/>
    </row>
    <row r="538" spans="1:89" s="1050" customFormat="1" ht="76.5" hidden="1" customHeight="1">
      <c r="B538" s="1051"/>
      <c r="C538" s="1642"/>
      <c r="D538" s="1642"/>
      <c r="E538" s="1052"/>
      <c r="F538" s="1052"/>
      <c r="G538" s="553"/>
      <c r="H538" s="620"/>
      <c r="I538" s="620"/>
      <c r="J538" s="1053">
        <v>2021</v>
      </c>
      <c r="K538" s="1420">
        <v>212012</v>
      </c>
      <c r="L538" s="1420"/>
      <c r="M538" s="1054" t="s">
        <v>3352</v>
      </c>
      <c r="N538" s="1055" t="s">
        <v>3895</v>
      </c>
      <c r="O538" s="790" t="s">
        <v>251</v>
      </c>
      <c r="P538" s="1056" t="s">
        <v>3900</v>
      </c>
      <c r="Q538" s="1056"/>
      <c r="R538" s="1057">
        <v>124003.71</v>
      </c>
      <c r="S538" s="1058">
        <v>44438</v>
      </c>
      <c r="T538" s="1059">
        <v>44445</v>
      </c>
      <c r="U538" s="1060">
        <v>44463</v>
      </c>
      <c r="V538" s="1061" t="s">
        <v>68</v>
      </c>
      <c r="W538" s="1055" t="s">
        <v>68</v>
      </c>
      <c r="X538" s="1054" t="s">
        <v>213</v>
      </c>
      <c r="Y538" s="1087" t="s">
        <v>1177</v>
      </c>
      <c r="Z538" s="1378"/>
      <c r="AA538" s="308"/>
      <c r="AB538" s="1063"/>
      <c r="AC538" s="1064"/>
      <c r="AD538" s="1064"/>
      <c r="AE538" s="1065"/>
      <c r="AF538" s="1066" t="s">
        <v>68</v>
      </c>
      <c r="AG538" s="1067" t="s">
        <v>68</v>
      </c>
      <c r="AH538" s="1067" t="s">
        <v>68</v>
      </c>
      <c r="AI538" s="1068" t="s">
        <v>68</v>
      </c>
      <c r="AJ538" s="1069" t="s">
        <v>68</v>
      </c>
      <c r="AK538" s="308" t="s">
        <v>68</v>
      </c>
      <c r="AL538" s="1070" t="s">
        <v>68</v>
      </c>
      <c r="AM538" s="1071"/>
      <c r="AN538" s="1070" t="s">
        <v>68</v>
      </c>
      <c r="AO538" s="1071"/>
      <c r="AP538" s="1070" t="s">
        <v>68</v>
      </c>
      <c r="AQ538" s="1071"/>
      <c r="AR538" s="1072">
        <v>0</v>
      </c>
      <c r="AS538" s="1073"/>
      <c r="AT538" s="1074"/>
      <c r="AU538" s="1075"/>
      <c r="AV538" s="1076"/>
      <c r="AW538" s="1077"/>
      <c r="AX538" s="1078"/>
      <c r="AY538" s="1079"/>
      <c r="AZ538" s="1076"/>
      <c r="BA538" s="1071"/>
      <c r="BB538" s="1071"/>
      <c r="BC538" s="1077"/>
      <c r="BD538" s="1076"/>
      <c r="BE538" s="1608"/>
      <c r="BF538" s="1071"/>
      <c r="BG538" s="1071"/>
      <c r="BH538" s="1071"/>
      <c r="BI538" s="1081">
        <f>AS538+AT538</f>
        <v>0</v>
      </c>
      <c r="BJ538" s="1082" t="s">
        <v>68</v>
      </c>
      <c r="BK538" s="1816"/>
      <c r="BL538" s="1470"/>
      <c r="BM538" s="1471" t="s">
        <v>68</v>
      </c>
      <c r="BN538" s="1471" t="s">
        <v>68</v>
      </c>
      <c r="BO538" s="1487"/>
      <c r="BP538" s="1487" t="s">
        <v>68</v>
      </c>
      <c r="BQ538" s="1487" t="s">
        <v>68</v>
      </c>
      <c r="BR538" s="914" t="s">
        <v>68</v>
      </c>
      <c r="BS538" s="1487" t="s">
        <v>68</v>
      </c>
      <c r="BT538" s="1487"/>
      <c r="BU538" s="1487" t="s">
        <v>68</v>
      </c>
      <c r="BV538" s="1470" t="s">
        <v>68</v>
      </c>
      <c r="BW538" s="1082"/>
      <c r="BX538" s="1256"/>
      <c r="BY538" s="1082"/>
      <c r="BZ538" s="1082"/>
      <c r="CA538" s="1082"/>
      <c r="CB538" s="1486" t="s">
        <v>2094</v>
      </c>
      <c r="CC538" s="1085"/>
      <c r="CD538" s="789"/>
      <c r="CE538" s="789"/>
      <c r="CF538" s="789"/>
      <c r="CG538" s="789"/>
      <c r="CH538" s="789"/>
      <c r="CI538" s="789"/>
      <c r="CJ538" s="789"/>
      <c r="CK538" s="1086"/>
    </row>
    <row r="539" spans="1:89" ht="130.5" hidden="1" customHeight="1">
      <c r="B539" s="22"/>
      <c r="C539" s="1639"/>
      <c r="D539" s="1639"/>
      <c r="E539" s="911">
        <v>44805</v>
      </c>
      <c r="F539" s="911">
        <v>44805</v>
      </c>
      <c r="G539" s="915">
        <v>44652</v>
      </c>
      <c r="H539" s="1746"/>
      <c r="I539" s="330"/>
      <c r="J539" s="169">
        <v>2021</v>
      </c>
      <c r="K539" s="1417">
        <v>212013</v>
      </c>
      <c r="L539" s="1417"/>
      <c r="M539" s="170" t="s">
        <v>166</v>
      </c>
      <c r="N539" s="178" t="s">
        <v>3896</v>
      </c>
      <c r="O539" s="148" t="s">
        <v>4032</v>
      </c>
      <c r="P539" s="173" t="s">
        <v>3901</v>
      </c>
      <c r="Q539" s="173" t="s">
        <v>1975</v>
      </c>
      <c r="R539" s="174">
        <v>168528.09</v>
      </c>
      <c r="S539" s="1193">
        <v>44407</v>
      </c>
      <c r="T539" s="176">
        <v>44410</v>
      </c>
      <c r="U539" s="177">
        <v>44469</v>
      </c>
      <c r="V539" s="105" t="s">
        <v>68</v>
      </c>
      <c r="W539" s="178" t="s">
        <v>1177</v>
      </c>
      <c r="X539" s="170" t="s">
        <v>449</v>
      </c>
      <c r="Y539" s="200" t="s">
        <v>1177</v>
      </c>
      <c r="Z539" s="1383"/>
      <c r="AA539" s="255"/>
      <c r="AB539" s="8"/>
      <c r="AC539" s="4"/>
      <c r="AD539" s="4"/>
      <c r="AE539" s="32"/>
      <c r="AF539" s="34" t="s">
        <v>68</v>
      </c>
      <c r="AG539" s="112" t="s">
        <v>68</v>
      </c>
      <c r="AH539" s="112" t="s">
        <v>68</v>
      </c>
      <c r="AI539" s="7" t="s">
        <v>68</v>
      </c>
      <c r="AJ539" s="109" t="s">
        <v>68</v>
      </c>
      <c r="AK539" s="33" t="s">
        <v>68</v>
      </c>
      <c r="AL539" s="1" t="s">
        <v>68</v>
      </c>
      <c r="AM539" s="5"/>
      <c r="AN539" s="1" t="s">
        <v>68</v>
      </c>
      <c r="AO539" s="5"/>
      <c r="AP539" s="1" t="s">
        <v>68</v>
      </c>
      <c r="AQ539" s="5"/>
      <c r="AR539" s="279">
        <v>0</v>
      </c>
      <c r="AS539" s="674"/>
      <c r="AT539" s="902"/>
      <c r="AU539" s="891"/>
      <c r="AV539" s="66" t="s">
        <v>74</v>
      </c>
      <c r="AW539" s="11"/>
      <c r="AX539" s="223"/>
      <c r="AY539" s="52"/>
      <c r="AZ539" s="66" t="s">
        <v>74</v>
      </c>
      <c r="BA539" s="5"/>
      <c r="BB539" s="5"/>
      <c r="BC539" s="11"/>
      <c r="BD539" s="66" t="s">
        <v>74</v>
      </c>
      <c r="BE539" s="1423"/>
      <c r="BF539" s="5"/>
      <c r="BG539" s="5"/>
      <c r="BH539" s="5"/>
      <c r="BI539" s="36">
        <f>AS539+AT539</f>
        <v>0</v>
      </c>
      <c r="BJ539" s="13" t="s">
        <v>68</v>
      </c>
      <c r="BK539" s="352"/>
      <c r="BL539" s="1041"/>
      <c r="BM539" s="695" t="s">
        <v>68</v>
      </c>
      <c r="BN539" s="695" t="s">
        <v>68</v>
      </c>
      <c r="BO539" s="1043"/>
      <c r="BP539" s="696" t="s">
        <v>68</v>
      </c>
      <c r="BQ539" s="696" t="s">
        <v>68</v>
      </c>
      <c r="BR539" s="914" t="s">
        <v>68</v>
      </c>
      <c r="BS539" s="696" t="s">
        <v>68</v>
      </c>
      <c r="BT539" s="696"/>
      <c r="BU539" s="696" t="s">
        <v>68</v>
      </c>
      <c r="BV539" s="694" t="s">
        <v>68</v>
      </c>
      <c r="BW539" s="13"/>
      <c r="BX539" s="158"/>
      <c r="BY539" s="13"/>
      <c r="BZ539" s="13"/>
      <c r="CA539" s="13"/>
      <c r="CB539" s="1222" t="s">
        <v>2094</v>
      </c>
      <c r="CC539" s="38"/>
      <c r="CD539" s="526"/>
      <c r="CE539" s="526"/>
      <c r="CF539" s="526"/>
      <c r="CG539" s="526"/>
      <c r="CH539" s="526"/>
      <c r="CI539" s="526"/>
      <c r="CJ539" s="526"/>
      <c r="CK539" s="15"/>
    </row>
    <row r="540" spans="1:89" ht="90.75" hidden="1" customHeight="1">
      <c r="B540" s="22"/>
      <c r="C540" s="1639"/>
      <c r="D540" s="1639"/>
      <c r="E540" s="911">
        <v>44805</v>
      </c>
      <c r="F540" s="911">
        <v>44805</v>
      </c>
      <c r="G540" s="915"/>
      <c r="H540" s="1746"/>
      <c r="I540" s="330"/>
      <c r="J540" s="169">
        <v>2021</v>
      </c>
      <c r="K540" s="1417">
        <v>212014</v>
      </c>
      <c r="L540" s="1417"/>
      <c r="M540" s="170" t="s">
        <v>3236</v>
      </c>
      <c r="N540" s="178" t="s">
        <v>4048</v>
      </c>
      <c r="O540" s="148" t="s">
        <v>4032</v>
      </c>
      <c r="P540" s="173" t="s">
        <v>4055</v>
      </c>
      <c r="Q540" s="173" t="s">
        <v>2538</v>
      </c>
      <c r="R540" s="174">
        <v>80674.649999999994</v>
      </c>
      <c r="S540" s="1193">
        <v>44378</v>
      </c>
      <c r="T540" s="176">
        <v>44438</v>
      </c>
      <c r="U540" s="177">
        <v>44464</v>
      </c>
      <c r="V540" s="105" t="s">
        <v>68</v>
      </c>
      <c r="W540" s="178" t="s">
        <v>1177</v>
      </c>
      <c r="X540" s="170" t="s">
        <v>305</v>
      </c>
      <c r="Y540" s="200" t="s">
        <v>1177</v>
      </c>
      <c r="Z540" s="1383"/>
      <c r="AA540" s="255"/>
      <c r="AB540" s="8"/>
      <c r="AC540" s="4"/>
      <c r="AD540" s="4"/>
      <c r="AE540" s="32"/>
      <c r="AF540" s="34"/>
      <c r="AG540" s="112"/>
      <c r="AH540" s="112"/>
      <c r="AI540" s="7"/>
      <c r="AJ540" s="109"/>
      <c r="AK540" s="33"/>
      <c r="AL540" s="1"/>
      <c r="AM540" s="5"/>
      <c r="AN540" s="1"/>
      <c r="AO540" s="5"/>
      <c r="AP540" s="1"/>
      <c r="AQ540" s="5"/>
      <c r="AR540" s="279"/>
      <c r="AS540" s="674"/>
      <c r="AT540" s="902"/>
      <c r="AU540" s="891"/>
      <c r="AV540" s="66"/>
      <c r="AW540" s="11"/>
      <c r="AX540" s="223"/>
      <c r="AY540" s="52"/>
      <c r="AZ540" s="66"/>
      <c r="BA540" s="5"/>
      <c r="BB540" s="5"/>
      <c r="BC540" s="11"/>
      <c r="BD540" s="66"/>
      <c r="BE540" s="1423"/>
      <c r="BF540" s="5"/>
      <c r="BG540" s="5"/>
      <c r="BH540" s="5"/>
      <c r="BI540" s="36"/>
      <c r="BJ540" s="13"/>
      <c r="BK540" s="352"/>
      <c r="BL540" s="1041"/>
      <c r="BM540" s="695"/>
      <c r="BN540" s="695"/>
      <c r="BO540" s="1043"/>
      <c r="BP540" s="696"/>
      <c r="BQ540" s="696"/>
      <c r="BR540" s="914"/>
      <c r="BS540" s="696"/>
      <c r="BT540" s="696"/>
      <c r="BU540" s="696"/>
      <c r="BV540" s="694"/>
      <c r="BW540" s="13"/>
      <c r="BX540" s="158"/>
      <c r="BY540" s="13"/>
      <c r="BZ540" s="13"/>
      <c r="CA540" s="13"/>
      <c r="CB540" s="1222" t="s">
        <v>2094</v>
      </c>
      <c r="CC540" s="38"/>
      <c r="CD540" s="526"/>
      <c r="CE540" s="526"/>
      <c r="CF540" s="526"/>
      <c r="CG540" s="526"/>
      <c r="CH540" s="526"/>
      <c r="CI540" s="526"/>
      <c r="CJ540" s="526"/>
      <c r="CK540" s="15"/>
    </row>
    <row r="541" spans="1:89" ht="78" hidden="1" customHeight="1">
      <c r="B541" s="22"/>
      <c r="C541" s="1640">
        <v>45068</v>
      </c>
      <c r="D541" s="1640" t="s">
        <v>4994</v>
      </c>
      <c r="E541" s="911">
        <v>44805</v>
      </c>
      <c r="F541" s="911">
        <v>44805</v>
      </c>
      <c r="G541" s="915">
        <v>44687</v>
      </c>
      <c r="H541" s="1746"/>
      <c r="I541" s="330">
        <v>44750</v>
      </c>
      <c r="J541" s="169">
        <v>2021</v>
      </c>
      <c r="K541" s="1417">
        <v>212015</v>
      </c>
      <c r="L541" s="1417"/>
      <c r="M541" s="170" t="s">
        <v>3236</v>
      </c>
      <c r="N541" s="178" t="s">
        <v>4049</v>
      </c>
      <c r="O541" s="148" t="s">
        <v>4032</v>
      </c>
      <c r="P541" s="1457" t="s">
        <v>4056</v>
      </c>
      <c r="Q541" s="1457" t="s">
        <v>2512</v>
      </c>
      <c r="R541" s="174">
        <v>966321.38</v>
      </c>
      <c r="S541" s="590">
        <v>44378</v>
      </c>
      <c r="T541" s="176">
        <v>44438</v>
      </c>
      <c r="U541" s="177">
        <v>44452</v>
      </c>
      <c r="V541" s="105" t="s">
        <v>68</v>
      </c>
      <c r="W541" s="178" t="s">
        <v>1177</v>
      </c>
      <c r="X541" s="170" t="s">
        <v>305</v>
      </c>
      <c r="Y541" s="1040">
        <v>44426</v>
      </c>
      <c r="Z541" s="1383">
        <v>44361</v>
      </c>
      <c r="AA541" s="255"/>
      <c r="AB541" s="8"/>
      <c r="AC541" s="4"/>
      <c r="AD541" s="4"/>
      <c r="AE541" s="32"/>
      <c r="AF541" s="34"/>
      <c r="AG541" s="112"/>
      <c r="AH541" s="112"/>
      <c r="AI541" s="7"/>
      <c r="AJ541" s="109"/>
      <c r="AK541" s="33"/>
      <c r="AL541" s="1"/>
      <c r="AM541" s="5"/>
      <c r="AN541" s="1"/>
      <c r="AO541" s="5"/>
      <c r="AP541" s="1"/>
      <c r="AQ541" s="5"/>
      <c r="AR541" s="279"/>
      <c r="AS541" s="674"/>
      <c r="AT541" s="902"/>
      <c r="AU541" s="891"/>
      <c r="AV541" s="66"/>
      <c r="AW541" s="11"/>
      <c r="AX541" s="223"/>
      <c r="AY541" s="52"/>
      <c r="AZ541" s="66"/>
      <c r="BA541" s="5"/>
      <c r="BB541" s="5"/>
      <c r="BC541" s="11"/>
      <c r="BD541" s="66"/>
      <c r="BE541" s="1423"/>
      <c r="BF541" s="5"/>
      <c r="BG541" s="5"/>
      <c r="BH541" s="5"/>
      <c r="BI541" s="36"/>
      <c r="BJ541" s="13"/>
      <c r="BK541" s="352"/>
      <c r="BL541" s="1041"/>
      <c r="BM541" s="695"/>
      <c r="BN541" s="695"/>
      <c r="BO541" s="1043"/>
      <c r="BP541" s="696"/>
      <c r="BQ541" s="696"/>
      <c r="BR541" s="914"/>
      <c r="BS541" s="696"/>
      <c r="BT541" s="696"/>
      <c r="BU541" s="696"/>
      <c r="BV541" s="694"/>
      <c r="BW541" s="13"/>
      <c r="BX541" s="158"/>
      <c r="BY541" s="13"/>
      <c r="BZ541" s="13"/>
      <c r="CA541" s="13"/>
      <c r="CB541" s="1222" t="s">
        <v>2094</v>
      </c>
      <c r="CC541" s="1643" t="s">
        <v>4991</v>
      </c>
      <c r="CD541" s="526"/>
      <c r="CE541" s="526"/>
      <c r="CF541" s="526"/>
      <c r="CG541" s="526"/>
      <c r="CH541" s="526"/>
      <c r="CI541" s="526"/>
      <c r="CJ541" s="526"/>
      <c r="CK541" s="15"/>
    </row>
    <row r="542" spans="1:89" ht="60.75" hidden="1" customHeight="1">
      <c r="B542" s="22"/>
      <c r="C542" s="1640">
        <v>45068</v>
      </c>
      <c r="D542" s="1640" t="s">
        <v>4995</v>
      </c>
      <c r="E542" s="911">
        <v>44805</v>
      </c>
      <c r="F542" s="911">
        <v>44805</v>
      </c>
      <c r="G542" s="915">
        <v>44687</v>
      </c>
      <c r="H542" s="1746"/>
      <c r="I542" s="330">
        <v>44750</v>
      </c>
      <c r="J542" s="169">
        <v>2021</v>
      </c>
      <c r="K542" s="1417">
        <v>212016</v>
      </c>
      <c r="L542" s="1417"/>
      <c r="M542" s="170" t="s">
        <v>3236</v>
      </c>
      <c r="N542" s="178" t="s">
        <v>4050</v>
      </c>
      <c r="O542" s="148" t="s">
        <v>4032</v>
      </c>
      <c r="P542" s="1457" t="s">
        <v>4057</v>
      </c>
      <c r="Q542" s="1457" t="s">
        <v>4409</v>
      </c>
      <c r="R542" s="174">
        <v>831652.39</v>
      </c>
      <c r="S542" s="590">
        <v>44378</v>
      </c>
      <c r="T542" s="176">
        <v>44466</v>
      </c>
      <c r="U542" s="177">
        <v>44541</v>
      </c>
      <c r="V542" s="105"/>
      <c r="W542" s="178" t="s">
        <v>1177</v>
      </c>
      <c r="X542" s="170" t="s">
        <v>305</v>
      </c>
      <c r="Y542" s="1040"/>
      <c r="Z542" s="1383"/>
      <c r="AA542" s="255"/>
      <c r="AB542" s="8"/>
      <c r="AC542" s="4"/>
      <c r="AD542" s="4"/>
      <c r="AE542" s="32"/>
      <c r="AF542" s="34"/>
      <c r="AG542" s="112"/>
      <c r="AH542" s="112"/>
      <c r="AI542" s="7"/>
      <c r="AJ542" s="109"/>
      <c r="AK542" s="33"/>
      <c r="AL542" s="1"/>
      <c r="AM542" s="5"/>
      <c r="AN542" s="1"/>
      <c r="AO542" s="5"/>
      <c r="AP542" s="1"/>
      <c r="AQ542" s="5"/>
      <c r="AR542" s="279"/>
      <c r="AS542" s="674"/>
      <c r="AT542" s="902"/>
      <c r="AU542" s="891"/>
      <c r="AV542" s="66"/>
      <c r="AW542" s="11"/>
      <c r="AX542" s="223"/>
      <c r="AY542" s="52"/>
      <c r="AZ542" s="66"/>
      <c r="BA542" s="5"/>
      <c r="BB542" s="5"/>
      <c r="BC542" s="11"/>
      <c r="BD542" s="66"/>
      <c r="BE542" s="1423"/>
      <c r="BF542" s="5"/>
      <c r="BG542" s="5"/>
      <c r="BH542" s="5"/>
      <c r="BI542" s="36"/>
      <c r="BJ542" s="13"/>
      <c r="BK542" s="352"/>
      <c r="BL542" s="1041"/>
      <c r="BM542" s="695"/>
      <c r="BN542" s="695"/>
      <c r="BO542" s="1043"/>
      <c r="BP542" s="696"/>
      <c r="BQ542" s="696"/>
      <c r="BR542" s="914"/>
      <c r="BS542" s="696"/>
      <c r="BT542" s="696"/>
      <c r="BU542" s="696"/>
      <c r="BV542" s="694"/>
      <c r="BW542" s="13"/>
      <c r="BX542" s="158"/>
      <c r="BY542" s="13"/>
      <c r="BZ542" s="13"/>
      <c r="CA542" s="13"/>
      <c r="CB542" s="1222" t="s">
        <v>2094</v>
      </c>
      <c r="CC542" s="38" t="s">
        <v>4992</v>
      </c>
      <c r="CD542" s="526"/>
      <c r="CE542" s="526"/>
      <c r="CF542" s="526"/>
      <c r="CG542" s="526"/>
      <c r="CH542" s="526"/>
      <c r="CI542" s="526"/>
      <c r="CJ542" s="526"/>
      <c r="CK542" s="15"/>
    </row>
    <row r="543" spans="1:89" ht="69" hidden="1" customHeight="1">
      <c r="B543" s="22"/>
      <c r="C543" s="1640">
        <v>45068</v>
      </c>
      <c r="D543" s="1640" t="s">
        <v>4996</v>
      </c>
      <c r="E543" s="911">
        <v>44805</v>
      </c>
      <c r="F543" s="911">
        <v>44805</v>
      </c>
      <c r="G543" s="915">
        <v>44687</v>
      </c>
      <c r="H543" s="1746"/>
      <c r="I543" s="330">
        <v>44750</v>
      </c>
      <c r="J543" s="169">
        <v>2021</v>
      </c>
      <c r="K543" s="1417">
        <v>212017</v>
      </c>
      <c r="L543" s="1417"/>
      <c r="M543" s="170" t="s">
        <v>3236</v>
      </c>
      <c r="N543" s="178" t="s">
        <v>4051</v>
      </c>
      <c r="O543" s="148" t="s">
        <v>4032</v>
      </c>
      <c r="P543" s="1457" t="s">
        <v>4058</v>
      </c>
      <c r="Q543" s="1457" t="s">
        <v>2577</v>
      </c>
      <c r="R543" s="174">
        <v>1965177.84</v>
      </c>
      <c r="S543" s="590">
        <v>44378</v>
      </c>
      <c r="T543" s="176">
        <v>44438</v>
      </c>
      <c r="U543" s="177">
        <v>44492</v>
      </c>
      <c r="V543" s="105"/>
      <c r="W543" s="178" t="s">
        <v>1177</v>
      </c>
      <c r="X543" s="170" t="s">
        <v>305</v>
      </c>
      <c r="Y543" s="1040"/>
      <c r="Z543" s="1383"/>
      <c r="AA543" s="255"/>
      <c r="AB543" s="8"/>
      <c r="AC543" s="4"/>
      <c r="AD543" s="4"/>
      <c r="AE543" s="32"/>
      <c r="AF543" s="34"/>
      <c r="AG543" s="112"/>
      <c r="AH543" s="112"/>
      <c r="AI543" s="7"/>
      <c r="AJ543" s="109"/>
      <c r="AK543" s="33"/>
      <c r="AL543" s="1"/>
      <c r="AM543" s="5"/>
      <c r="AN543" s="1"/>
      <c r="AO543" s="5"/>
      <c r="AP543" s="1"/>
      <c r="AQ543" s="5"/>
      <c r="AR543" s="279"/>
      <c r="AS543" s="674"/>
      <c r="AT543" s="902"/>
      <c r="AU543" s="891"/>
      <c r="AV543" s="66"/>
      <c r="AW543" s="11"/>
      <c r="AX543" s="223"/>
      <c r="AY543" s="52"/>
      <c r="AZ543" s="66"/>
      <c r="BA543" s="5"/>
      <c r="BB543" s="5"/>
      <c r="BC543" s="11"/>
      <c r="BD543" s="66"/>
      <c r="BE543" s="1423"/>
      <c r="BF543" s="5"/>
      <c r="BG543" s="5"/>
      <c r="BH543" s="5"/>
      <c r="BI543" s="36"/>
      <c r="BJ543" s="13"/>
      <c r="BK543" s="352"/>
      <c r="BL543" s="1041"/>
      <c r="BM543" s="695"/>
      <c r="BN543" s="695"/>
      <c r="BO543" s="1043"/>
      <c r="BP543" s="696"/>
      <c r="BQ543" s="696"/>
      <c r="BR543" s="914"/>
      <c r="BS543" s="696"/>
      <c r="BT543" s="696"/>
      <c r="BU543" s="696"/>
      <c r="BV543" s="694"/>
      <c r="BW543" s="13"/>
      <c r="BX543" s="158"/>
      <c r="BY543" s="13"/>
      <c r="BZ543" s="13"/>
      <c r="CA543" s="13"/>
      <c r="CB543" s="1222" t="s">
        <v>2094</v>
      </c>
      <c r="CC543" s="1643" t="s">
        <v>4993</v>
      </c>
      <c r="CD543" s="526"/>
      <c r="CE543" s="526"/>
      <c r="CF543" s="526"/>
      <c r="CG543" s="526"/>
      <c r="CH543" s="526"/>
      <c r="CI543" s="526"/>
      <c r="CJ543" s="526"/>
      <c r="CK543" s="15"/>
    </row>
    <row r="544" spans="1:89" ht="96.75" hidden="1" customHeight="1">
      <c r="B544" s="22"/>
      <c r="C544" s="1640">
        <v>45068</v>
      </c>
      <c r="D544" s="1644">
        <v>6</v>
      </c>
      <c r="E544" s="911">
        <v>44805</v>
      </c>
      <c r="F544" s="911">
        <v>44805</v>
      </c>
      <c r="G544" s="915">
        <v>44687</v>
      </c>
      <c r="H544" s="1746"/>
      <c r="I544" s="330">
        <v>44750</v>
      </c>
      <c r="J544" s="169">
        <v>2021</v>
      </c>
      <c r="K544" s="1417">
        <v>212018</v>
      </c>
      <c r="L544" s="1417"/>
      <c r="M544" s="170" t="s">
        <v>3236</v>
      </c>
      <c r="N544" s="178" t="s">
        <v>4052</v>
      </c>
      <c r="O544" s="172" t="s">
        <v>4032</v>
      </c>
      <c r="P544" s="173" t="s">
        <v>4077</v>
      </c>
      <c r="Q544" s="173" t="s">
        <v>2663</v>
      </c>
      <c r="R544" s="174">
        <v>643795.13</v>
      </c>
      <c r="S544" s="590">
        <v>44378</v>
      </c>
      <c r="T544" s="176">
        <v>44487</v>
      </c>
      <c r="U544" s="177">
        <v>44541</v>
      </c>
      <c r="V544" s="105"/>
      <c r="W544" s="178" t="s">
        <v>1177</v>
      </c>
      <c r="X544" s="170" t="s">
        <v>305</v>
      </c>
      <c r="Y544" s="1040"/>
      <c r="Z544" s="1383"/>
      <c r="AA544" s="255"/>
      <c r="AB544" s="8"/>
      <c r="AC544" s="4"/>
      <c r="AD544" s="4"/>
      <c r="AE544" s="32"/>
      <c r="AF544" s="34"/>
      <c r="AG544" s="112"/>
      <c r="AH544" s="112"/>
      <c r="AI544" s="7"/>
      <c r="AJ544" s="109"/>
      <c r="AK544" s="33"/>
      <c r="AL544" s="1"/>
      <c r="AM544" s="5"/>
      <c r="AN544" s="1"/>
      <c r="AO544" s="5"/>
      <c r="AP544" s="1"/>
      <c r="AQ544" s="5"/>
      <c r="AR544" s="279"/>
      <c r="AS544" s="674"/>
      <c r="AT544" s="902"/>
      <c r="AU544" s="891"/>
      <c r="AV544" s="66"/>
      <c r="AW544" s="11"/>
      <c r="AX544" s="223"/>
      <c r="AY544" s="52"/>
      <c r="AZ544" s="66"/>
      <c r="BA544" s="5"/>
      <c r="BB544" s="5"/>
      <c r="BC544" s="11"/>
      <c r="BD544" s="66"/>
      <c r="BE544" s="1423"/>
      <c r="BF544" s="5"/>
      <c r="BG544" s="5"/>
      <c r="BH544" s="5"/>
      <c r="BI544" s="36"/>
      <c r="BJ544" s="13"/>
      <c r="BK544" s="352"/>
      <c r="BL544" s="1041"/>
      <c r="BM544" s="695"/>
      <c r="BN544" s="695"/>
      <c r="BO544" s="1043"/>
      <c r="BP544" s="696"/>
      <c r="BQ544" s="696"/>
      <c r="BR544" s="914"/>
      <c r="BS544" s="696"/>
      <c r="BT544" s="696"/>
      <c r="BU544" s="696"/>
      <c r="BV544" s="694"/>
      <c r="BW544" s="13"/>
      <c r="BX544" s="158"/>
      <c r="BY544" s="13"/>
      <c r="BZ544" s="13"/>
      <c r="CA544" s="13"/>
      <c r="CB544" s="1222" t="s">
        <v>2094</v>
      </c>
      <c r="CC544" s="38"/>
      <c r="CD544" s="526"/>
      <c r="CE544" s="526"/>
      <c r="CF544" s="526"/>
      <c r="CG544" s="526"/>
      <c r="CH544" s="526"/>
      <c r="CI544" s="526"/>
      <c r="CJ544" s="526"/>
      <c r="CK544" s="15"/>
    </row>
    <row r="545" spans="2:89" ht="107.25" hidden="1" customHeight="1">
      <c r="B545" s="22"/>
      <c r="C545" s="1640">
        <v>45068</v>
      </c>
      <c r="D545" s="1644">
        <v>11</v>
      </c>
      <c r="E545" s="911">
        <v>44805</v>
      </c>
      <c r="F545" s="911">
        <v>44805</v>
      </c>
      <c r="G545" s="915">
        <v>44687</v>
      </c>
      <c r="H545" s="1746"/>
      <c r="I545" s="330">
        <v>44750</v>
      </c>
      <c r="J545" s="169">
        <v>2021</v>
      </c>
      <c r="K545" s="1417">
        <v>212019</v>
      </c>
      <c r="L545" s="1417"/>
      <c r="M545" s="170" t="s">
        <v>3236</v>
      </c>
      <c r="N545" s="178" t="s">
        <v>4053</v>
      </c>
      <c r="O545" s="172" t="s">
        <v>4032</v>
      </c>
      <c r="P545" s="173" t="s">
        <v>4059</v>
      </c>
      <c r="Q545" s="173" t="s">
        <v>2515</v>
      </c>
      <c r="R545" s="174">
        <v>512378.61</v>
      </c>
      <c r="S545" s="590">
        <v>44378</v>
      </c>
      <c r="T545" s="176">
        <v>44513</v>
      </c>
      <c r="U545" s="177">
        <v>44541</v>
      </c>
      <c r="V545" s="105"/>
      <c r="W545" s="178" t="s">
        <v>1177</v>
      </c>
      <c r="X545" s="170" t="s">
        <v>305</v>
      </c>
      <c r="Y545" s="1040"/>
      <c r="Z545" s="1383"/>
      <c r="AA545" s="255"/>
      <c r="AB545" s="8"/>
      <c r="AC545" s="4"/>
      <c r="AD545" s="4"/>
      <c r="AE545" s="32"/>
      <c r="AF545" s="34"/>
      <c r="AG545" s="112"/>
      <c r="AH545" s="112"/>
      <c r="AI545" s="7"/>
      <c r="AJ545" s="109"/>
      <c r="AK545" s="33"/>
      <c r="AL545" s="1"/>
      <c r="AM545" s="5"/>
      <c r="AN545" s="1"/>
      <c r="AO545" s="5"/>
      <c r="AP545" s="1"/>
      <c r="AQ545" s="5"/>
      <c r="AR545" s="279"/>
      <c r="AS545" s="674"/>
      <c r="AT545" s="902"/>
      <c r="AU545" s="891"/>
      <c r="AV545" s="66"/>
      <c r="AW545" s="11"/>
      <c r="AX545" s="223"/>
      <c r="AY545" s="52"/>
      <c r="AZ545" s="66"/>
      <c r="BA545" s="5"/>
      <c r="BB545" s="5"/>
      <c r="BC545" s="11"/>
      <c r="BD545" s="66"/>
      <c r="BE545" s="1423"/>
      <c r="BF545" s="5"/>
      <c r="BG545" s="5"/>
      <c r="BH545" s="5"/>
      <c r="BI545" s="36"/>
      <c r="BJ545" s="13"/>
      <c r="BK545" s="352"/>
      <c r="BL545" s="1041"/>
      <c r="BM545" s="695"/>
      <c r="BN545" s="695"/>
      <c r="BO545" s="1043"/>
      <c r="BP545" s="696"/>
      <c r="BQ545" s="696"/>
      <c r="BR545" s="914"/>
      <c r="BS545" s="696"/>
      <c r="BT545" s="696"/>
      <c r="BU545" s="696"/>
      <c r="BV545" s="694"/>
      <c r="BW545" s="13"/>
      <c r="BX545" s="158"/>
      <c r="BY545" s="13"/>
      <c r="BZ545" s="13"/>
      <c r="CA545" s="13"/>
      <c r="CB545" s="1222" t="s">
        <v>2094</v>
      </c>
      <c r="CC545" s="38"/>
      <c r="CD545" s="526"/>
      <c r="CE545" s="526"/>
      <c r="CF545" s="526"/>
      <c r="CG545" s="526"/>
      <c r="CH545" s="526"/>
      <c r="CI545" s="526"/>
      <c r="CJ545" s="526"/>
      <c r="CK545" s="15"/>
    </row>
    <row r="546" spans="2:89" s="1050" customFormat="1" ht="40.5" hidden="1" customHeight="1">
      <c r="B546" s="1051"/>
      <c r="C546" s="1642"/>
      <c r="D546" s="1642"/>
      <c r="E546" s="1052"/>
      <c r="F546" s="1052"/>
      <c r="G546" s="553"/>
      <c r="H546" s="620"/>
      <c r="I546" s="620"/>
      <c r="J546" s="1053">
        <v>2021</v>
      </c>
      <c r="K546" s="1420">
        <v>212020</v>
      </c>
      <c r="L546" s="1420"/>
      <c r="M546" s="1054"/>
      <c r="N546" s="1055" t="s">
        <v>4054</v>
      </c>
      <c r="O546" s="790" t="s">
        <v>251</v>
      </c>
      <c r="P546" s="1056"/>
      <c r="Q546" s="1056"/>
      <c r="R546" s="1057"/>
      <c r="S546" s="1058"/>
      <c r="T546" s="1059"/>
      <c r="U546" s="1060"/>
      <c r="V546" s="1061"/>
      <c r="W546" s="1055"/>
      <c r="X546" s="1054"/>
      <c r="Y546" s="1087"/>
      <c r="Z546" s="1378"/>
      <c r="AA546" s="308"/>
      <c r="AB546" s="1063"/>
      <c r="AC546" s="1064"/>
      <c r="AD546" s="1064"/>
      <c r="AE546" s="1065"/>
      <c r="AF546" s="1066"/>
      <c r="AG546" s="1067"/>
      <c r="AH546" s="1067"/>
      <c r="AI546" s="1068"/>
      <c r="AJ546" s="1069"/>
      <c r="AK546" s="308"/>
      <c r="AL546" s="1070"/>
      <c r="AM546" s="1071"/>
      <c r="AN546" s="1070"/>
      <c r="AO546" s="1071"/>
      <c r="AP546" s="1070"/>
      <c r="AQ546" s="1071"/>
      <c r="AR546" s="1072"/>
      <c r="AS546" s="1073"/>
      <c r="AT546" s="1074"/>
      <c r="AU546" s="1075"/>
      <c r="AV546" s="1479"/>
      <c r="AW546" s="1077"/>
      <c r="AX546" s="1078"/>
      <c r="AY546" s="1079"/>
      <c r="AZ546" s="1479"/>
      <c r="BA546" s="1071"/>
      <c r="BB546" s="1071"/>
      <c r="BC546" s="1077"/>
      <c r="BD546" s="1479"/>
      <c r="BE546" s="1621"/>
      <c r="BF546" s="1071"/>
      <c r="BG546" s="1071"/>
      <c r="BH546" s="1071"/>
      <c r="BI546" s="1081"/>
      <c r="BJ546" s="1082"/>
      <c r="BK546" s="1816"/>
      <c r="BL546" s="1470"/>
      <c r="BM546" s="1471"/>
      <c r="BN546" s="1471"/>
      <c r="BO546" s="1487"/>
      <c r="BP546" s="1487"/>
      <c r="BQ546" s="1487"/>
      <c r="BR546" s="914"/>
      <c r="BS546" s="1487"/>
      <c r="BT546" s="1487"/>
      <c r="BU546" s="1487"/>
      <c r="BV546" s="1470"/>
      <c r="BW546" s="1082"/>
      <c r="BX546" s="1256"/>
      <c r="BY546" s="1082"/>
      <c r="BZ546" s="1082"/>
      <c r="CA546" s="1082"/>
      <c r="CB546" s="1486" t="s">
        <v>2094</v>
      </c>
      <c r="CC546" s="1085"/>
      <c r="CD546" s="789"/>
      <c r="CE546" s="789"/>
      <c r="CF546" s="789"/>
      <c r="CG546" s="789"/>
      <c r="CH546" s="789"/>
      <c r="CI546" s="789"/>
      <c r="CJ546" s="789"/>
      <c r="CK546" s="1086"/>
    </row>
    <row r="547" spans="2:89" ht="89.25" hidden="1" customHeight="1">
      <c r="B547" s="22"/>
      <c r="C547" s="1639"/>
      <c r="D547" s="1639"/>
      <c r="E547" s="911"/>
      <c r="F547" s="911"/>
      <c r="G547" s="915"/>
      <c r="H547" s="1746"/>
      <c r="I547" s="330"/>
      <c r="J547" s="169">
        <v>2021</v>
      </c>
      <c r="K547" s="1417">
        <v>213001</v>
      </c>
      <c r="L547" s="1417"/>
      <c r="M547" s="170" t="s">
        <v>166</v>
      </c>
      <c r="N547" s="178" t="s">
        <v>3751</v>
      </c>
      <c r="O547" s="172" t="s">
        <v>46</v>
      </c>
      <c r="P547" s="173" t="s">
        <v>3762</v>
      </c>
      <c r="Q547" s="173" t="s">
        <v>2575</v>
      </c>
      <c r="R547" s="174">
        <v>45000</v>
      </c>
      <c r="S547" s="175">
        <v>44204</v>
      </c>
      <c r="T547" s="176">
        <v>44208</v>
      </c>
      <c r="U547" s="177">
        <v>44298</v>
      </c>
      <c r="V547" s="105" t="s">
        <v>68</v>
      </c>
      <c r="W547" s="178" t="s">
        <v>3760</v>
      </c>
      <c r="X547" s="170" t="s">
        <v>305</v>
      </c>
      <c r="Y547" s="200" t="s">
        <v>1177</v>
      </c>
      <c r="Z547" s="368" t="s">
        <v>1177</v>
      </c>
      <c r="AA547" s="33" t="s">
        <v>1428</v>
      </c>
      <c r="AB547" s="8"/>
      <c r="AC547" s="4"/>
      <c r="AD547" s="4"/>
      <c r="AE547" s="32"/>
      <c r="AF547" s="34" t="s">
        <v>68</v>
      </c>
      <c r="AG547" s="112" t="s">
        <v>68</v>
      </c>
      <c r="AH547" s="112" t="s">
        <v>68</v>
      </c>
      <c r="AI547" s="7" t="s">
        <v>68</v>
      </c>
      <c r="AJ547" s="109" t="s">
        <v>68</v>
      </c>
      <c r="AK547" s="33" t="s">
        <v>68</v>
      </c>
      <c r="AL547" s="1" t="s">
        <v>68</v>
      </c>
      <c r="AM547" s="5"/>
      <c r="AN547" s="1" t="s">
        <v>68</v>
      </c>
      <c r="AO547" s="5"/>
      <c r="AP547" s="1" t="s">
        <v>68</v>
      </c>
      <c r="AQ547" s="5"/>
      <c r="AR547" s="279">
        <v>0</v>
      </c>
      <c r="AS547" s="35">
        <v>0</v>
      </c>
      <c r="AT547" s="902"/>
      <c r="AU547" s="891"/>
      <c r="AV547" s="30" t="s">
        <v>1177</v>
      </c>
      <c r="AW547" s="11"/>
      <c r="AX547" s="223"/>
      <c r="AY547" s="52"/>
      <c r="AZ547" s="30" t="s">
        <v>1177</v>
      </c>
      <c r="BA547" s="5"/>
      <c r="BB547" s="5"/>
      <c r="BC547" s="11"/>
      <c r="BD547" s="30" t="s">
        <v>1177</v>
      </c>
      <c r="BE547" s="309"/>
      <c r="BF547" s="5"/>
      <c r="BG547" s="5"/>
      <c r="BH547" s="5"/>
      <c r="BI547" s="36">
        <f t="shared" ref="BI547:BI564" si="18">AS547+AT547</f>
        <v>0</v>
      </c>
      <c r="BJ547" s="62" t="s">
        <v>68</v>
      </c>
      <c r="BK547" s="224"/>
      <c r="BL547" s="1093" t="s">
        <v>1177</v>
      </c>
      <c r="BM547" s="128" t="s">
        <v>1177</v>
      </c>
      <c r="BN547" s="128" t="s">
        <v>1177</v>
      </c>
      <c r="BO547" s="1092" t="s">
        <v>1177</v>
      </c>
      <c r="BP547" s="1092" t="s">
        <v>1177</v>
      </c>
      <c r="BQ547" s="1092" t="s">
        <v>1177</v>
      </c>
      <c r="BR547" s="914" t="s">
        <v>1177</v>
      </c>
      <c r="BS547" s="1092" t="s">
        <v>1177</v>
      </c>
      <c r="BT547" s="1092"/>
      <c r="BU547" s="696"/>
      <c r="BV547" s="694"/>
      <c r="BW547" s="13"/>
      <c r="BX547" s="158"/>
      <c r="BY547" s="13"/>
      <c r="BZ547" s="13"/>
      <c r="CA547" s="13"/>
      <c r="CB547" s="1222" t="s">
        <v>2094</v>
      </c>
      <c r="CC547" s="38"/>
      <c r="CD547" s="526"/>
      <c r="CE547" s="526"/>
      <c r="CF547" s="526"/>
      <c r="CG547" s="526"/>
      <c r="CH547" s="526"/>
      <c r="CI547" s="526"/>
      <c r="CJ547" s="526"/>
      <c r="CK547" s="15"/>
    </row>
    <row r="548" spans="2:89" ht="93" hidden="1" customHeight="1">
      <c r="B548" s="22"/>
      <c r="C548" s="1639"/>
      <c r="D548" s="1639"/>
      <c r="E548" s="911"/>
      <c r="F548" s="911"/>
      <c r="G548" s="915"/>
      <c r="H548" s="1746"/>
      <c r="I548" s="330"/>
      <c r="J548" s="169">
        <v>2021</v>
      </c>
      <c r="K548" s="1417">
        <v>213002</v>
      </c>
      <c r="L548" s="1417"/>
      <c r="M548" s="170" t="s">
        <v>166</v>
      </c>
      <c r="N548" s="178" t="s">
        <v>3752</v>
      </c>
      <c r="O548" s="172" t="s">
        <v>46</v>
      </c>
      <c r="P548" s="173" t="s">
        <v>3761</v>
      </c>
      <c r="Q548" s="173" t="s">
        <v>2575</v>
      </c>
      <c r="R548" s="174">
        <v>64960</v>
      </c>
      <c r="S548" s="175">
        <v>44224</v>
      </c>
      <c r="T548" s="176">
        <v>44228</v>
      </c>
      <c r="U548" s="177">
        <v>44255</v>
      </c>
      <c r="V548" s="105" t="s">
        <v>68</v>
      </c>
      <c r="W548" s="178" t="s">
        <v>2851</v>
      </c>
      <c r="X548" s="170" t="s">
        <v>305</v>
      </c>
      <c r="Y548" s="200" t="s">
        <v>1177</v>
      </c>
      <c r="Z548" s="368" t="s">
        <v>1177</v>
      </c>
      <c r="AA548" s="33" t="s">
        <v>1428</v>
      </c>
      <c r="AB548" s="8"/>
      <c r="AC548" s="4"/>
      <c r="AD548" s="4"/>
      <c r="AE548" s="32"/>
      <c r="AF548" s="34" t="s">
        <v>68</v>
      </c>
      <c r="AG548" s="112" t="s">
        <v>68</v>
      </c>
      <c r="AH548" s="112" t="s">
        <v>68</v>
      </c>
      <c r="AI548" s="7" t="s">
        <v>68</v>
      </c>
      <c r="AJ548" s="109" t="s">
        <v>68</v>
      </c>
      <c r="AK548" s="33" t="s">
        <v>68</v>
      </c>
      <c r="AL548" s="1" t="s">
        <v>68</v>
      </c>
      <c r="AM548" s="5"/>
      <c r="AN548" s="1" t="s">
        <v>68</v>
      </c>
      <c r="AO548" s="5"/>
      <c r="AP548" s="1" t="s">
        <v>68</v>
      </c>
      <c r="AQ548" s="5"/>
      <c r="AR548" s="279">
        <v>0</v>
      </c>
      <c r="AS548" s="35">
        <v>0</v>
      </c>
      <c r="AT548" s="902"/>
      <c r="AU548" s="891"/>
      <c r="AV548" s="30" t="s">
        <v>1177</v>
      </c>
      <c r="AW548" s="11"/>
      <c r="AX548" s="223"/>
      <c r="AY548" s="52"/>
      <c r="AZ548" s="30" t="s">
        <v>1177</v>
      </c>
      <c r="BA548" s="5"/>
      <c r="BB548" s="5"/>
      <c r="BC548" s="11"/>
      <c r="BD548" s="30" t="s">
        <v>1177</v>
      </c>
      <c r="BE548" s="309"/>
      <c r="BF548" s="5"/>
      <c r="BG548" s="5"/>
      <c r="BH548" s="5"/>
      <c r="BI548" s="36">
        <f t="shared" si="18"/>
        <v>0</v>
      </c>
      <c r="BJ548" s="62" t="s">
        <v>68</v>
      </c>
      <c r="BK548" s="224"/>
      <c r="BL548" s="1093" t="s">
        <v>1177</v>
      </c>
      <c r="BM548" s="128" t="s">
        <v>1177</v>
      </c>
      <c r="BN548" s="128" t="s">
        <v>1177</v>
      </c>
      <c r="BO548" s="1092" t="s">
        <v>1177</v>
      </c>
      <c r="BP548" s="1092" t="s">
        <v>1177</v>
      </c>
      <c r="BQ548" s="1092" t="s">
        <v>1177</v>
      </c>
      <c r="BR548" s="914" t="s">
        <v>1177</v>
      </c>
      <c r="BS548" s="1092" t="s">
        <v>1177</v>
      </c>
      <c r="BT548" s="1092"/>
      <c r="BU548" s="696"/>
      <c r="BV548" s="694"/>
      <c r="BW548" s="13"/>
      <c r="BX548" s="158"/>
      <c r="BY548" s="13"/>
      <c r="BZ548" s="13"/>
      <c r="CA548" s="13"/>
      <c r="CB548" s="1222" t="s">
        <v>2094</v>
      </c>
      <c r="CC548" s="38"/>
      <c r="CD548" s="526"/>
      <c r="CE548" s="526"/>
      <c r="CF548" s="526"/>
      <c r="CG548" s="526"/>
      <c r="CH548" s="526"/>
      <c r="CI548" s="526"/>
      <c r="CJ548" s="526"/>
      <c r="CK548" s="15"/>
    </row>
    <row r="549" spans="2:89" ht="69.75" hidden="1" customHeight="1">
      <c r="B549" s="22"/>
      <c r="C549" s="1639"/>
      <c r="D549" s="1639"/>
      <c r="E549" s="911"/>
      <c r="F549" s="911"/>
      <c r="G549" s="915"/>
      <c r="H549" s="1746"/>
      <c r="I549" s="330"/>
      <c r="J549" s="169">
        <v>2021</v>
      </c>
      <c r="K549" s="1417">
        <v>213003</v>
      </c>
      <c r="L549" s="1417"/>
      <c r="M549" s="170" t="s">
        <v>166</v>
      </c>
      <c r="N549" s="178" t="s">
        <v>3753</v>
      </c>
      <c r="O549" s="172" t="s">
        <v>4883</v>
      </c>
      <c r="P549" s="173"/>
      <c r="Q549" s="173"/>
      <c r="R549" s="174"/>
      <c r="S549" s="175"/>
      <c r="T549" s="176"/>
      <c r="U549" s="177"/>
      <c r="V549" s="105" t="s">
        <v>68</v>
      </c>
      <c r="W549" s="178"/>
      <c r="X549" s="920"/>
      <c r="Y549" s="200" t="s">
        <v>1177</v>
      </c>
      <c r="Z549" s="368" t="s">
        <v>1177</v>
      </c>
      <c r="AA549" s="33" t="s">
        <v>1428</v>
      </c>
      <c r="AB549" s="8"/>
      <c r="AC549" s="4"/>
      <c r="AD549" s="4"/>
      <c r="AE549" s="32"/>
      <c r="AF549" s="34" t="s">
        <v>68</v>
      </c>
      <c r="AG549" s="112" t="s">
        <v>68</v>
      </c>
      <c r="AH549" s="112" t="s">
        <v>68</v>
      </c>
      <c r="AI549" s="7" t="s">
        <v>68</v>
      </c>
      <c r="AJ549" s="109" t="s">
        <v>68</v>
      </c>
      <c r="AK549" s="33" t="s">
        <v>68</v>
      </c>
      <c r="AL549" s="1" t="s">
        <v>68</v>
      </c>
      <c r="AM549" s="5"/>
      <c r="AN549" s="1" t="s">
        <v>68</v>
      </c>
      <c r="AO549" s="5"/>
      <c r="AP549" s="1" t="s">
        <v>68</v>
      </c>
      <c r="AQ549" s="5"/>
      <c r="AR549" s="279">
        <v>0</v>
      </c>
      <c r="AS549" s="35">
        <v>0</v>
      </c>
      <c r="AT549" s="902"/>
      <c r="AU549" s="891"/>
      <c r="AV549" s="30" t="s">
        <v>1177</v>
      </c>
      <c r="AW549" s="11"/>
      <c r="AX549" s="223"/>
      <c r="AY549" s="52"/>
      <c r="AZ549" s="30" t="s">
        <v>1177</v>
      </c>
      <c r="BA549" s="5"/>
      <c r="BB549" s="5"/>
      <c r="BC549" s="11"/>
      <c r="BD549" s="30" t="s">
        <v>1177</v>
      </c>
      <c r="BE549" s="309"/>
      <c r="BF549" s="5"/>
      <c r="BG549" s="5"/>
      <c r="BH549" s="5"/>
      <c r="BI549" s="36">
        <f t="shared" si="18"/>
        <v>0</v>
      </c>
      <c r="BJ549" s="62" t="s">
        <v>68</v>
      </c>
      <c r="BK549" s="224"/>
      <c r="BL549" s="1093" t="s">
        <v>1177</v>
      </c>
      <c r="BM549" s="128" t="s">
        <v>1177</v>
      </c>
      <c r="BN549" s="128" t="s">
        <v>1177</v>
      </c>
      <c r="BO549" s="1092" t="s">
        <v>1177</v>
      </c>
      <c r="BP549" s="1092" t="s">
        <v>1177</v>
      </c>
      <c r="BQ549" s="1092" t="s">
        <v>1177</v>
      </c>
      <c r="BR549" s="914" t="s">
        <v>1177</v>
      </c>
      <c r="BS549" s="1092" t="s">
        <v>1177</v>
      </c>
      <c r="BT549" s="1092"/>
      <c r="BU549" s="696"/>
      <c r="BV549" s="694"/>
      <c r="BW549" s="13"/>
      <c r="BX549" s="158"/>
      <c r="BY549" s="13"/>
      <c r="BZ549" s="13"/>
      <c r="CA549" s="13"/>
      <c r="CB549" s="1222" t="s">
        <v>2094</v>
      </c>
      <c r="CC549" s="38"/>
      <c r="CD549" s="526"/>
      <c r="CE549" s="526"/>
      <c r="CF549" s="526"/>
      <c r="CG549" s="526"/>
      <c r="CH549" s="526"/>
      <c r="CI549" s="526"/>
      <c r="CJ549" s="526"/>
      <c r="CK549" s="15"/>
    </row>
    <row r="550" spans="2:89" ht="120" hidden="1" customHeight="1">
      <c r="B550" s="22"/>
      <c r="C550" s="1639"/>
      <c r="D550" s="1639"/>
      <c r="E550" s="911"/>
      <c r="F550" s="911"/>
      <c r="G550" s="915"/>
      <c r="H550" s="1746"/>
      <c r="I550" s="330"/>
      <c r="J550" s="169">
        <v>2021</v>
      </c>
      <c r="K550" s="1417">
        <v>213004</v>
      </c>
      <c r="L550" s="1417"/>
      <c r="M550" s="170" t="s">
        <v>166</v>
      </c>
      <c r="N550" s="178" t="s">
        <v>3754</v>
      </c>
      <c r="O550" s="172" t="s">
        <v>46</v>
      </c>
      <c r="P550" s="173" t="s">
        <v>3764</v>
      </c>
      <c r="Q550" s="173" t="s">
        <v>4410</v>
      </c>
      <c r="R550" s="174">
        <f>500*1.16</f>
        <v>580</v>
      </c>
      <c r="S550" s="175">
        <v>44227</v>
      </c>
      <c r="T550" s="176" t="s">
        <v>68</v>
      </c>
      <c r="U550" s="177" t="s">
        <v>68</v>
      </c>
      <c r="V550" s="105" t="s">
        <v>68</v>
      </c>
      <c r="W550" s="178" t="s">
        <v>739</v>
      </c>
      <c r="X550" s="1045" t="str">
        <f>X530</f>
        <v>LIC. SALVADOR CONTRERAS OLGUÍN</v>
      </c>
      <c r="Y550" s="200" t="s">
        <v>1177</v>
      </c>
      <c r="Z550" s="368" t="s">
        <v>1177</v>
      </c>
      <c r="AA550" s="33" t="s">
        <v>1428</v>
      </c>
      <c r="AB550" s="8"/>
      <c r="AC550" s="4"/>
      <c r="AD550" s="4"/>
      <c r="AE550" s="32"/>
      <c r="AF550" s="34" t="s">
        <v>68</v>
      </c>
      <c r="AG550" s="112" t="s">
        <v>68</v>
      </c>
      <c r="AH550" s="112" t="s">
        <v>68</v>
      </c>
      <c r="AI550" s="7" t="s">
        <v>68</v>
      </c>
      <c r="AJ550" s="109" t="s">
        <v>68</v>
      </c>
      <c r="AK550" s="33" t="s">
        <v>68</v>
      </c>
      <c r="AL550" s="1" t="s">
        <v>68</v>
      </c>
      <c r="AM550" s="5"/>
      <c r="AN550" s="1" t="s">
        <v>68</v>
      </c>
      <c r="AO550" s="5"/>
      <c r="AP550" s="1" t="s">
        <v>68</v>
      </c>
      <c r="AQ550" s="5"/>
      <c r="AR550" s="279">
        <v>0</v>
      </c>
      <c r="AS550" s="35">
        <v>0</v>
      </c>
      <c r="AT550" s="902"/>
      <c r="AU550" s="891"/>
      <c r="AV550" s="30" t="s">
        <v>1177</v>
      </c>
      <c r="AW550" s="11"/>
      <c r="AX550" s="223"/>
      <c r="AY550" s="52"/>
      <c r="AZ550" s="30" t="s">
        <v>1177</v>
      </c>
      <c r="BA550" s="5"/>
      <c r="BB550" s="5"/>
      <c r="BC550" s="11"/>
      <c r="BD550" s="30" t="s">
        <v>1177</v>
      </c>
      <c r="BE550" s="309"/>
      <c r="BF550" s="5"/>
      <c r="BG550" s="5"/>
      <c r="BH550" s="5"/>
      <c r="BI550" s="36">
        <f t="shared" si="18"/>
        <v>0</v>
      </c>
      <c r="BJ550" s="62" t="s">
        <v>68</v>
      </c>
      <c r="BK550" s="224"/>
      <c r="BL550" s="1093" t="s">
        <v>1177</v>
      </c>
      <c r="BM550" s="128" t="s">
        <v>1177</v>
      </c>
      <c r="BN550" s="128" t="s">
        <v>1177</v>
      </c>
      <c r="BO550" s="1092" t="s">
        <v>1177</v>
      </c>
      <c r="BP550" s="1092" t="s">
        <v>1177</v>
      </c>
      <c r="BQ550" s="1092" t="s">
        <v>1177</v>
      </c>
      <c r="BR550" s="914" t="s">
        <v>1177</v>
      </c>
      <c r="BS550" s="1092" t="s">
        <v>1177</v>
      </c>
      <c r="BT550" s="1092"/>
      <c r="BU550" s="696"/>
      <c r="BV550" s="694"/>
      <c r="BW550" s="13"/>
      <c r="BX550" s="158"/>
      <c r="BY550" s="13"/>
      <c r="BZ550" s="13"/>
      <c r="CA550" s="13"/>
      <c r="CB550" s="1222" t="s">
        <v>2094</v>
      </c>
      <c r="CC550" s="38"/>
      <c r="CD550" s="526"/>
      <c r="CE550" s="526"/>
      <c r="CF550" s="526"/>
      <c r="CG550" s="526"/>
      <c r="CH550" s="526"/>
      <c r="CI550" s="526"/>
      <c r="CJ550" s="526"/>
      <c r="CK550" s="15"/>
    </row>
    <row r="551" spans="2:89" ht="117" hidden="1" customHeight="1">
      <c r="B551" s="22"/>
      <c r="C551" s="1639"/>
      <c r="D551" s="1639"/>
      <c r="E551" s="911"/>
      <c r="F551" s="911"/>
      <c r="G551" s="915"/>
      <c r="H551" s="1746"/>
      <c r="I551" s="330"/>
      <c r="J551" s="169">
        <v>2021</v>
      </c>
      <c r="K551" s="1417">
        <v>213005</v>
      </c>
      <c r="L551" s="1417"/>
      <c r="M551" s="170" t="s">
        <v>166</v>
      </c>
      <c r="N551" s="178" t="s">
        <v>3755</v>
      </c>
      <c r="O551" s="172" t="s">
        <v>46</v>
      </c>
      <c r="P551" s="173" t="s">
        <v>3765</v>
      </c>
      <c r="Q551" s="173" t="s">
        <v>4410</v>
      </c>
      <c r="R551" s="174">
        <f>600*1.16</f>
        <v>696</v>
      </c>
      <c r="S551" s="175">
        <v>44227</v>
      </c>
      <c r="T551" s="176" t="s">
        <v>68</v>
      </c>
      <c r="U551" s="177" t="s">
        <v>68</v>
      </c>
      <c r="V551" s="105" t="s">
        <v>68</v>
      </c>
      <c r="W551" s="178" t="s">
        <v>739</v>
      </c>
      <c r="X551" s="170" t="str">
        <f>X550</f>
        <v>LIC. SALVADOR CONTRERAS OLGUÍN</v>
      </c>
      <c r="Y551" s="200" t="s">
        <v>1177</v>
      </c>
      <c r="Z551" s="368" t="s">
        <v>1177</v>
      </c>
      <c r="AA551" s="33" t="s">
        <v>1428</v>
      </c>
      <c r="AB551" s="8"/>
      <c r="AC551" s="4"/>
      <c r="AD551" s="4"/>
      <c r="AE551" s="32"/>
      <c r="AF551" s="34" t="s">
        <v>68</v>
      </c>
      <c r="AG551" s="112" t="s">
        <v>68</v>
      </c>
      <c r="AH551" s="112" t="s">
        <v>68</v>
      </c>
      <c r="AI551" s="7" t="s">
        <v>68</v>
      </c>
      <c r="AJ551" s="109" t="s">
        <v>68</v>
      </c>
      <c r="AK551" s="33" t="s">
        <v>68</v>
      </c>
      <c r="AL551" s="1" t="s">
        <v>68</v>
      </c>
      <c r="AM551" s="5"/>
      <c r="AN551" s="1" t="s">
        <v>68</v>
      </c>
      <c r="AO551" s="5"/>
      <c r="AP551" s="1" t="s">
        <v>68</v>
      </c>
      <c r="AQ551" s="5"/>
      <c r="AR551" s="279">
        <v>0</v>
      </c>
      <c r="AS551" s="35">
        <v>0</v>
      </c>
      <c r="AT551" s="902"/>
      <c r="AU551" s="891"/>
      <c r="AV551" s="30" t="s">
        <v>1177</v>
      </c>
      <c r="AW551" s="11"/>
      <c r="AX551" s="223"/>
      <c r="AY551" s="52"/>
      <c r="AZ551" s="30" t="s">
        <v>1177</v>
      </c>
      <c r="BA551" s="5"/>
      <c r="BB551" s="5"/>
      <c r="BC551" s="11"/>
      <c r="BD551" s="30" t="s">
        <v>1177</v>
      </c>
      <c r="BE551" s="309"/>
      <c r="BF551" s="5"/>
      <c r="BG551" s="5"/>
      <c r="BH551" s="5"/>
      <c r="BI551" s="36">
        <f t="shared" si="18"/>
        <v>0</v>
      </c>
      <c r="BJ551" s="62" t="s">
        <v>68</v>
      </c>
      <c r="BK551" s="224"/>
      <c r="BL551" s="1093" t="s">
        <v>1177</v>
      </c>
      <c r="BM551" s="128" t="s">
        <v>1177</v>
      </c>
      <c r="BN551" s="128" t="s">
        <v>1177</v>
      </c>
      <c r="BO551" s="1092" t="s">
        <v>1177</v>
      </c>
      <c r="BP551" s="1092" t="s">
        <v>1177</v>
      </c>
      <c r="BQ551" s="1092" t="s">
        <v>1177</v>
      </c>
      <c r="BR551" s="914" t="s">
        <v>1177</v>
      </c>
      <c r="BS551" s="1092" t="s">
        <v>1177</v>
      </c>
      <c r="BT551" s="1092"/>
      <c r="BU551" s="696"/>
      <c r="BV551" s="694"/>
      <c r="BW551" s="13"/>
      <c r="BX551" s="158"/>
      <c r="BY551" s="13"/>
      <c r="BZ551" s="13"/>
      <c r="CA551" s="13"/>
      <c r="CB551" s="1222" t="s">
        <v>2094</v>
      </c>
      <c r="CC551" s="38"/>
      <c r="CD551" s="526"/>
      <c r="CE551" s="526"/>
      <c r="CF551" s="526"/>
      <c r="CG551" s="526"/>
      <c r="CH551" s="526"/>
      <c r="CI551" s="526"/>
      <c r="CJ551" s="526"/>
      <c r="CK551" s="15"/>
    </row>
    <row r="552" spans="2:89" ht="94.5" hidden="1" customHeight="1">
      <c r="B552" s="22"/>
      <c r="C552" s="1639"/>
      <c r="D552" s="1639"/>
      <c r="E552" s="911"/>
      <c r="F552" s="911"/>
      <c r="G552" s="915"/>
      <c r="H552" s="1746"/>
      <c r="I552" s="330"/>
      <c r="J552" s="1406">
        <v>2021</v>
      </c>
      <c r="K552" s="1417">
        <v>213006</v>
      </c>
      <c r="L552" s="1417"/>
      <c r="M552" s="170" t="s">
        <v>166</v>
      </c>
      <c r="N552" s="178" t="s">
        <v>3939</v>
      </c>
      <c r="O552" s="172" t="s">
        <v>46</v>
      </c>
      <c r="P552" s="173" t="s">
        <v>3973</v>
      </c>
      <c r="Q552" s="173" t="s">
        <v>2575</v>
      </c>
      <c r="R552" s="174">
        <f>20000*1.16</f>
        <v>23200</v>
      </c>
      <c r="S552" s="175">
        <v>44263</v>
      </c>
      <c r="T552" s="176" t="s">
        <v>68</v>
      </c>
      <c r="U552" s="177" t="s">
        <v>68</v>
      </c>
      <c r="V552" s="105" t="s">
        <v>68</v>
      </c>
      <c r="W552" s="178" t="s">
        <v>3946</v>
      </c>
      <c r="X552" s="170" t="s">
        <v>305</v>
      </c>
      <c r="Y552" s="200" t="s">
        <v>1177</v>
      </c>
      <c r="Z552" s="368" t="s">
        <v>1177</v>
      </c>
      <c r="AA552" s="33" t="s">
        <v>1428</v>
      </c>
      <c r="AB552" s="8"/>
      <c r="AC552" s="4"/>
      <c r="AD552" s="4"/>
      <c r="AE552" s="32"/>
      <c r="AF552" s="34" t="s">
        <v>68</v>
      </c>
      <c r="AG552" s="112" t="s">
        <v>68</v>
      </c>
      <c r="AH552" s="112" t="s">
        <v>68</v>
      </c>
      <c r="AI552" s="7" t="s">
        <v>68</v>
      </c>
      <c r="AJ552" s="109" t="s">
        <v>68</v>
      </c>
      <c r="AK552" s="33" t="s">
        <v>68</v>
      </c>
      <c r="AL552" s="1" t="s">
        <v>68</v>
      </c>
      <c r="AM552" s="5"/>
      <c r="AN552" s="1" t="s">
        <v>68</v>
      </c>
      <c r="AO552" s="5"/>
      <c r="AP552" s="1" t="s">
        <v>68</v>
      </c>
      <c r="AQ552" s="5"/>
      <c r="AR552" s="279">
        <v>0</v>
      </c>
      <c r="AS552" s="35">
        <v>0</v>
      </c>
      <c r="AT552" s="902"/>
      <c r="AU552" s="891"/>
      <c r="AV552" s="30" t="s">
        <v>1177</v>
      </c>
      <c r="AW552" s="11"/>
      <c r="AX552" s="223"/>
      <c r="AY552" s="52"/>
      <c r="AZ552" s="30" t="s">
        <v>1177</v>
      </c>
      <c r="BA552" s="5"/>
      <c r="BB552" s="5"/>
      <c r="BC552" s="11"/>
      <c r="BD552" s="30" t="s">
        <v>1177</v>
      </c>
      <c r="BE552" s="309"/>
      <c r="BF552" s="5"/>
      <c r="BG552" s="5"/>
      <c r="BH552" s="5"/>
      <c r="BI552" s="36">
        <f t="shared" si="18"/>
        <v>0</v>
      </c>
      <c r="BJ552" s="62" t="s">
        <v>68</v>
      </c>
      <c r="BK552" s="224"/>
      <c r="BL552" s="1093" t="s">
        <v>1177</v>
      </c>
      <c r="BM552" s="128" t="s">
        <v>1177</v>
      </c>
      <c r="BN552" s="128" t="s">
        <v>1177</v>
      </c>
      <c r="BO552" s="1092" t="s">
        <v>1177</v>
      </c>
      <c r="BP552" s="1092" t="s">
        <v>1177</v>
      </c>
      <c r="BQ552" s="1092" t="s">
        <v>1177</v>
      </c>
      <c r="BR552" s="914" t="s">
        <v>1177</v>
      </c>
      <c r="BS552" s="1092" t="s">
        <v>1177</v>
      </c>
      <c r="BT552" s="1092"/>
      <c r="BU552" s="696"/>
      <c r="BV552" s="694"/>
      <c r="BW552" s="13"/>
      <c r="BX552" s="158"/>
      <c r="BY552" s="13"/>
      <c r="BZ552" s="13"/>
      <c r="CA552" s="13"/>
      <c r="CB552" s="1222" t="s">
        <v>2094</v>
      </c>
      <c r="CC552" s="38"/>
      <c r="CD552" s="526"/>
      <c r="CE552" s="526"/>
      <c r="CF552" s="526"/>
      <c r="CG552" s="526"/>
      <c r="CH552" s="526"/>
      <c r="CI552" s="526"/>
      <c r="CJ552" s="526"/>
      <c r="CK552" s="15"/>
    </row>
    <row r="553" spans="2:89" ht="90" hidden="1" customHeight="1">
      <c r="B553" s="22"/>
      <c r="C553" s="1639"/>
      <c r="D553" s="1639"/>
      <c r="E553" s="911"/>
      <c r="F553" s="911"/>
      <c r="G553" s="915"/>
      <c r="H553" s="1746"/>
      <c r="I553" s="330"/>
      <c r="J553" s="1406">
        <v>2021</v>
      </c>
      <c r="K553" s="1417">
        <v>213007</v>
      </c>
      <c r="L553" s="1417"/>
      <c r="M553" s="170" t="s">
        <v>166</v>
      </c>
      <c r="N553" s="178" t="s">
        <v>3940</v>
      </c>
      <c r="O553" s="172" t="s">
        <v>46</v>
      </c>
      <c r="P553" s="173" t="s">
        <v>3973</v>
      </c>
      <c r="Q553" s="173" t="s">
        <v>2575</v>
      </c>
      <c r="R553" s="174">
        <f>20000*1.16</f>
        <v>23200</v>
      </c>
      <c r="S553" s="175">
        <v>44263</v>
      </c>
      <c r="T553" s="176" t="s">
        <v>68</v>
      </c>
      <c r="U553" s="177" t="s">
        <v>68</v>
      </c>
      <c r="V553" s="105" t="s">
        <v>68</v>
      </c>
      <c r="W553" s="178" t="s">
        <v>2851</v>
      </c>
      <c r="X553" s="170" t="s">
        <v>305</v>
      </c>
      <c r="Y553" s="200" t="s">
        <v>1177</v>
      </c>
      <c r="Z553" s="368" t="s">
        <v>1177</v>
      </c>
      <c r="AA553" s="33" t="s">
        <v>1428</v>
      </c>
      <c r="AB553" s="8"/>
      <c r="AC553" s="4"/>
      <c r="AD553" s="4"/>
      <c r="AE553" s="32"/>
      <c r="AF553" s="34" t="s">
        <v>68</v>
      </c>
      <c r="AG553" s="112" t="s">
        <v>68</v>
      </c>
      <c r="AH553" s="112" t="s">
        <v>68</v>
      </c>
      <c r="AI553" s="7" t="s">
        <v>68</v>
      </c>
      <c r="AJ553" s="109" t="s">
        <v>68</v>
      </c>
      <c r="AK553" s="33" t="s">
        <v>68</v>
      </c>
      <c r="AL553" s="1" t="s">
        <v>68</v>
      </c>
      <c r="AM553" s="5"/>
      <c r="AN553" s="1" t="s">
        <v>68</v>
      </c>
      <c r="AO553" s="5"/>
      <c r="AP553" s="1" t="s">
        <v>68</v>
      </c>
      <c r="AQ553" s="5"/>
      <c r="AR553" s="279">
        <v>0</v>
      </c>
      <c r="AS553" s="35">
        <v>0</v>
      </c>
      <c r="AT553" s="902"/>
      <c r="AU553" s="891"/>
      <c r="AV553" s="30" t="s">
        <v>1177</v>
      </c>
      <c r="AW553" s="11"/>
      <c r="AX553" s="223"/>
      <c r="AY553" s="52"/>
      <c r="AZ553" s="30" t="s">
        <v>1177</v>
      </c>
      <c r="BA553" s="5"/>
      <c r="BB553" s="5"/>
      <c r="BC553" s="11"/>
      <c r="BD553" s="30" t="s">
        <v>1177</v>
      </c>
      <c r="BE553" s="309"/>
      <c r="BF553" s="5"/>
      <c r="BG553" s="5"/>
      <c r="BH553" s="5"/>
      <c r="BI553" s="36">
        <f t="shared" si="18"/>
        <v>0</v>
      </c>
      <c r="BJ553" s="62" t="s">
        <v>68</v>
      </c>
      <c r="BK553" s="224"/>
      <c r="BL553" s="1093" t="s">
        <v>1177</v>
      </c>
      <c r="BM553" s="128" t="s">
        <v>1177</v>
      </c>
      <c r="BN553" s="128" t="s">
        <v>1177</v>
      </c>
      <c r="BO553" s="1092" t="s">
        <v>1177</v>
      </c>
      <c r="BP553" s="1092" t="s">
        <v>1177</v>
      </c>
      <c r="BQ553" s="1092" t="s">
        <v>1177</v>
      </c>
      <c r="BR553" s="914" t="s">
        <v>1177</v>
      </c>
      <c r="BS553" s="1092" t="s">
        <v>1177</v>
      </c>
      <c r="BT553" s="1092"/>
      <c r="BU553" s="696"/>
      <c r="BV553" s="694"/>
      <c r="BW553" s="13"/>
      <c r="BX553" s="158"/>
      <c r="BY553" s="13"/>
      <c r="BZ553" s="13"/>
      <c r="CA553" s="13"/>
      <c r="CB553" s="1222" t="s">
        <v>2094</v>
      </c>
      <c r="CC553" s="38"/>
      <c r="CD553" s="526"/>
      <c r="CE553" s="526"/>
      <c r="CF553" s="526"/>
      <c r="CG553" s="526"/>
      <c r="CH553" s="526"/>
      <c r="CI553" s="526"/>
      <c r="CJ553" s="526"/>
      <c r="CK553" s="15"/>
    </row>
    <row r="554" spans="2:89" ht="131.25" hidden="1" customHeight="1">
      <c r="B554" s="22"/>
      <c r="C554" s="1639"/>
      <c r="D554" s="1639"/>
      <c r="E554" s="911"/>
      <c r="F554" s="911"/>
      <c r="G554" s="915"/>
      <c r="H554" s="1746"/>
      <c r="I554" s="330"/>
      <c r="J554" s="1406">
        <v>2021</v>
      </c>
      <c r="K554" s="1417">
        <v>213008</v>
      </c>
      <c r="L554" s="1417"/>
      <c r="M554" s="170" t="s">
        <v>166</v>
      </c>
      <c r="N554" s="178" t="s">
        <v>3941</v>
      </c>
      <c r="O554" s="172" t="s">
        <v>46</v>
      </c>
      <c r="P554" s="173" t="s">
        <v>3974</v>
      </c>
      <c r="Q554" s="173" t="s">
        <v>2512</v>
      </c>
      <c r="R554" s="174">
        <f>4040*1.16</f>
        <v>4686.3999999999996</v>
      </c>
      <c r="S554" s="175">
        <v>44364</v>
      </c>
      <c r="T554" s="176" t="s">
        <v>68</v>
      </c>
      <c r="U554" s="177" t="s">
        <v>68</v>
      </c>
      <c r="V554" s="105" t="s">
        <v>68</v>
      </c>
      <c r="W554" s="178" t="s">
        <v>3947</v>
      </c>
      <c r="X554" s="170" t="s">
        <v>305</v>
      </c>
      <c r="Y554" s="200" t="s">
        <v>1177</v>
      </c>
      <c r="Z554" s="368" t="s">
        <v>1177</v>
      </c>
      <c r="AA554" s="33" t="s">
        <v>1428</v>
      </c>
      <c r="AB554" s="8"/>
      <c r="AC554" s="4"/>
      <c r="AD554" s="4"/>
      <c r="AE554" s="32"/>
      <c r="AF554" s="34" t="s">
        <v>68</v>
      </c>
      <c r="AG554" s="112" t="s">
        <v>68</v>
      </c>
      <c r="AH554" s="112" t="s">
        <v>68</v>
      </c>
      <c r="AI554" s="7" t="s">
        <v>68</v>
      </c>
      <c r="AJ554" s="109" t="s">
        <v>68</v>
      </c>
      <c r="AK554" s="33" t="s">
        <v>68</v>
      </c>
      <c r="AL554" s="1" t="s">
        <v>68</v>
      </c>
      <c r="AM554" s="5"/>
      <c r="AN554" s="1" t="s">
        <v>68</v>
      </c>
      <c r="AO554" s="5"/>
      <c r="AP554" s="1" t="s">
        <v>68</v>
      </c>
      <c r="AQ554" s="5"/>
      <c r="AR554" s="279">
        <v>0</v>
      </c>
      <c r="AS554" s="35">
        <v>0</v>
      </c>
      <c r="AT554" s="902"/>
      <c r="AU554" s="891"/>
      <c r="AV554" s="30" t="s">
        <v>1177</v>
      </c>
      <c r="AW554" s="11"/>
      <c r="AX554" s="223"/>
      <c r="AY554" s="52"/>
      <c r="AZ554" s="30" t="s">
        <v>1177</v>
      </c>
      <c r="BA554" s="5"/>
      <c r="BB554" s="5"/>
      <c r="BC554" s="11"/>
      <c r="BD554" s="30" t="s">
        <v>1177</v>
      </c>
      <c r="BE554" s="309"/>
      <c r="BF554" s="5"/>
      <c r="BG554" s="5"/>
      <c r="BH554" s="5"/>
      <c r="BI554" s="36">
        <f t="shared" si="18"/>
        <v>0</v>
      </c>
      <c r="BJ554" s="62" t="s">
        <v>68</v>
      </c>
      <c r="BK554" s="224"/>
      <c r="BL554" s="1093" t="s">
        <v>1177</v>
      </c>
      <c r="BM554" s="128" t="s">
        <v>1177</v>
      </c>
      <c r="BN554" s="128" t="s">
        <v>1177</v>
      </c>
      <c r="BO554" s="1092" t="s">
        <v>1177</v>
      </c>
      <c r="BP554" s="1092" t="s">
        <v>1177</v>
      </c>
      <c r="BQ554" s="1092" t="s">
        <v>1177</v>
      </c>
      <c r="BR554" s="914" t="s">
        <v>1177</v>
      </c>
      <c r="BS554" s="1092" t="s">
        <v>1177</v>
      </c>
      <c r="BT554" s="1092"/>
      <c r="BU554" s="696"/>
      <c r="BV554" s="694"/>
      <c r="BW554" s="13"/>
      <c r="BX554" s="158"/>
      <c r="BY554" s="13"/>
      <c r="BZ554" s="13"/>
      <c r="CA554" s="13"/>
      <c r="CB554" s="1222" t="s">
        <v>2094</v>
      </c>
      <c r="CC554" s="38"/>
      <c r="CD554" s="526"/>
      <c r="CE554" s="526"/>
      <c r="CF554" s="526"/>
      <c r="CG554" s="526"/>
      <c r="CH554" s="526"/>
      <c r="CI554" s="526"/>
      <c r="CJ554" s="526"/>
      <c r="CK554" s="15"/>
    </row>
    <row r="555" spans="2:89" ht="114" hidden="1" customHeight="1">
      <c r="B555" s="22"/>
      <c r="C555" s="1639"/>
      <c r="D555" s="1639"/>
      <c r="E555" s="911"/>
      <c r="F555" s="911"/>
      <c r="G555" s="915"/>
      <c r="H555" s="1746"/>
      <c r="I555" s="330"/>
      <c r="J555" s="1406">
        <v>2021</v>
      </c>
      <c r="K555" s="1417">
        <v>213009</v>
      </c>
      <c r="L555" s="1417"/>
      <c r="M555" s="170" t="s">
        <v>166</v>
      </c>
      <c r="N555" s="178" t="s">
        <v>3942</v>
      </c>
      <c r="O555" s="172" t="s">
        <v>46</v>
      </c>
      <c r="P555" s="173" t="s">
        <v>3945</v>
      </c>
      <c r="Q555" s="173" t="s">
        <v>2512</v>
      </c>
      <c r="R555" s="174">
        <f>478*1.16</f>
        <v>554.48</v>
      </c>
      <c r="S555" s="175">
        <v>44364</v>
      </c>
      <c r="T555" s="176" t="s">
        <v>68</v>
      </c>
      <c r="U555" s="177" t="s">
        <v>68</v>
      </c>
      <c r="V555" s="105" t="s">
        <v>68</v>
      </c>
      <c r="W555" s="178" t="s">
        <v>3947</v>
      </c>
      <c r="X555" s="1045" t="s">
        <v>305</v>
      </c>
      <c r="Y555" s="200" t="s">
        <v>1177</v>
      </c>
      <c r="Z555" s="368" t="s">
        <v>1177</v>
      </c>
      <c r="AA555" s="33" t="s">
        <v>1428</v>
      </c>
      <c r="AB555" s="8"/>
      <c r="AC555" s="4"/>
      <c r="AD555" s="4"/>
      <c r="AE555" s="32"/>
      <c r="AF555" s="34" t="s">
        <v>68</v>
      </c>
      <c r="AG555" s="112" t="s">
        <v>68</v>
      </c>
      <c r="AH555" s="112" t="s">
        <v>68</v>
      </c>
      <c r="AI555" s="7" t="s">
        <v>68</v>
      </c>
      <c r="AJ555" s="109" t="s">
        <v>68</v>
      </c>
      <c r="AK555" s="33" t="s">
        <v>68</v>
      </c>
      <c r="AL555" s="1" t="s">
        <v>68</v>
      </c>
      <c r="AM555" s="5"/>
      <c r="AN555" s="1" t="s">
        <v>68</v>
      </c>
      <c r="AO555" s="5"/>
      <c r="AP555" s="1" t="s">
        <v>68</v>
      </c>
      <c r="AQ555" s="5"/>
      <c r="AR555" s="279">
        <v>0</v>
      </c>
      <c r="AS555" s="35">
        <v>0</v>
      </c>
      <c r="AT555" s="902"/>
      <c r="AU555" s="891"/>
      <c r="AV555" s="30" t="s">
        <v>1177</v>
      </c>
      <c r="AW555" s="11"/>
      <c r="AX555" s="223"/>
      <c r="AY555" s="52"/>
      <c r="AZ555" s="30" t="s">
        <v>1177</v>
      </c>
      <c r="BA555" s="5"/>
      <c r="BB555" s="5"/>
      <c r="BC555" s="11"/>
      <c r="BD555" s="30" t="s">
        <v>1177</v>
      </c>
      <c r="BE555" s="309"/>
      <c r="BF555" s="5"/>
      <c r="BG555" s="5"/>
      <c r="BH555" s="5"/>
      <c r="BI555" s="36">
        <f t="shared" si="18"/>
        <v>0</v>
      </c>
      <c r="BJ555" s="62" t="s">
        <v>68</v>
      </c>
      <c r="BK555" s="224"/>
      <c r="BL555" s="1093" t="s">
        <v>1177</v>
      </c>
      <c r="BM555" s="128" t="s">
        <v>1177</v>
      </c>
      <c r="BN555" s="128" t="s">
        <v>1177</v>
      </c>
      <c r="BO555" s="1092" t="s">
        <v>1177</v>
      </c>
      <c r="BP555" s="1092" t="s">
        <v>1177</v>
      </c>
      <c r="BQ555" s="1092" t="s">
        <v>1177</v>
      </c>
      <c r="BR555" s="914" t="s">
        <v>1177</v>
      </c>
      <c r="BS555" s="1092" t="s">
        <v>1177</v>
      </c>
      <c r="BT555" s="1092"/>
      <c r="BU555" s="696"/>
      <c r="BV555" s="694"/>
      <c r="BW555" s="13"/>
      <c r="BX555" s="158"/>
      <c r="BY555" s="13"/>
      <c r="BZ555" s="13"/>
      <c r="CA555" s="13"/>
      <c r="CB555" s="1222" t="s">
        <v>2094</v>
      </c>
      <c r="CC555" s="38"/>
      <c r="CD555" s="526"/>
      <c r="CE555" s="526"/>
      <c r="CF555" s="526"/>
      <c r="CG555" s="526"/>
      <c r="CH555" s="526"/>
      <c r="CI555" s="526"/>
      <c r="CJ555" s="526"/>
      <c r="CK555" s="15"/>
    </row>
    <row r="556" spans="2:89" ht="101.25" hidden="1" customHeight="1">
      <c r="B556" s="22"/>
      <c r="C556" s="1639"/>
      <c r="D556" s="1639"/>
      <c r="E556" s="911"/>
      <c r="F556" s="911"/>
      <c r="G556" s="915"/>
      <c r="H556" s="1746"/>
      <c r="I556" s="330"/>
      <c r="J556" s="169">
        <v>2021</v>
      </c>
      <c r="K556" s="1417">
        <v>214001</v>
      </c>
      <c r="L556" s="1417"/>
      <c r="M556" s="170" t="s">
        <v>166</v>
      </c>
      <c r="N556" s="178" t="s">
        <v>3746</v>
      </c>
      <c r="O556" s="172" t="s">
        <v>45</v>
      </c>
      <c r="P556" s="173" t="s">
        <v>6767</v>
      </c>
      <c r="Q556" s="173" t="s">
        <v>2577</v>
      </c>
      <c r="R556" s="174">
        <v>11600</v>
      </c>
      <c r="S556" s="175">
        <v>44204</v>
      </c>
      <c r="T556" s="176">
        <v>44207</v>
      </c>
      <c r="U556" s="177">
        <v>44214</v>
      </c>
      <c r="V556" s="105" t="s">
        <v>68</v>
      </c>
      <c r="W556" s="178" t="s">
        <v>3756</v>
      </c>
      <c r="X556" s="170" t="s">
        <v>3757</v>
      </c>
      <c r="Y556" s="200" t="s">
        <v>1177</v>
      </c>
      <c r="Z556" s="368"/>
      <c r="AA556" s="33" t="s">
        <v>1428</v>
      </c>
      <c r="AB556" s="8"/>
      <c r="AC556" s="4"/>
      <c r="AD556" s="4"/>
      <c r="AE556" s="32"/>
      <c r="AF556" s="34" t="s">
        <v>68</v>
      </c>
      <c r="AG556" s="112" t="s">
        <v>68</v>
      </c>
      <c r="AH556" s="112" t="s">
        <v>68</v>
      </c>
      <c r="AI556" s="7" t="s">
        <v>68</v>
      </c>
      <c r="AJ556" s="109" t="s">
        <v>68</v>
      </c>
      <c r="AK556" s="33" t="s">
        <v>68</v>
      </c>
      <c r="AL556" s="1" t="s">
        <v>68</v>
      </c>
      <c r="AM556" s="5"/>
      <c r="AN556" s="1" t="s">
        <v>68</v>
      </c>
      <c r="AO556" s="5"/>
      <c r="AP556" s="1" t="s">
        <v>68</v>
      </c>
      <c r="AQ556" s="5"/>
      <c r="AR556" s="279">
        <v>0</v>
      </c>
      <c r="AS556" s="35">
        <v>0</v>
      </c>
      <c r="AT556" s="902"/>
      <c r="AU556" s="891"/>
      <c r="AV556" s="30" t="s">
        <v>1177</v>
      </c>
      <c r="AW556" s="11"/>
      <c r="AX556" s="223"/>
      <c r="AY556" s="52"/>
      <c r="AZ556" s="30" t="s">
        <v>1177</v>
      </c>
      <c r="BA556" s="5"/>
      <c r="BB556" s="5"/>
      <c r="BC556" s="11"/>
      <c r="BD556" s="30" t="s">
        <v>1177</v>
      </c>
      <c r="BE556" s="309"/>
      <c r="BF556" s="5"/>
      <c r="BG556" s="5"/>
      <c r="BH556" s="5"/>
      <c r="BI556" s="36">
        <f t="shared" si="18"/>
        <v>0</v>
      </c>
      <c r="BJ556" s="62" t="s">
        <v>68</v>
      </c>
      <c r="BK556" s="224"/>
      <c r="BL556" s="1093" t="s">
        <v>1177</v>
      </c>
      <c r="BM556" s="128" t="s">
        <v>1177</v>
      </c>
      <c r="BN556" s="128" t="s">
        <v>1177</v>
      </c>
      <c r="BO556" s="1092" t="s">
        <v>1177</v>
      </c>
      <c r="BP556" s="1092" t="s">
        <v>1177</v>
      </c>
      <c r="BQ556" s="1092" t="s">
        <v>1177</v>
      </c>
      <c r="BR556" s="914" t="s">
        <v>1177</v>
      </c>
      <c r="BS556" s="1092" t="s">
        <v>1177</v>
      </c>
      <c r="BT556" s="1092"/>
      <c r="BU556" s="696"/>
      <c r="BV556" s="694"/>
      <c r="BW556" s="13"/>
      <c r="BX556" s="158"/>
      <c r="BY556" s="13"/>
      <c r="BZ556" s="13"/>
      <c r="CA556" s="13"/>
      <c r="CB556" s="1222" t="s">
        <v>2094</v>
      </c>
      <c r="CC556" s="38"/>
      <c r="CD556" s="526"/>
      <c r="CE556" s="526"/>
      <c r="CF556" s="526"/>
      <c r="CG556" s="526"/>
      <c r="CH556" s="526"/>
      <c r="CI556" s="526"/>
      <c r="CJ556" s="526"/>
      <c r="CK556" s="15"/>
    </row>
    <row r="557" spans="2:89" ht="70.5" hidden="1" customHeight="1">
      <c r="B557" s="22"/>
      <c r="C557" s="1639"/>
      <c r="D557" s="1639"/>
      <c r="E557" s="911"/>
      <c r="F557" s="911"/>
      <c r="G557" s="915"/>
      <c r="H557" s="1746"/>
      <c r="I557" s="330"/>
      <c r="J557" s="169">
        <v>2021</v>
      </c>
      <c r="K557" s="1417">
        <v>214002</v>
      </c>
      <c r="L557" s="1417"/>
      <c r="M557" s="170" t="s">
        <v>166</v>
      </c>
      <c r="N557" s="178" t="s">
        <v>3747</v>
      </c>
      <c r="O557" s="172" t="s">
        <v>4113</v>
      </c>
      <c r="P557" s="173"/>
      <c r="Q557" s="173"/>
      <c r="R557" s="174"/>
      <c r="S557" s="175"/>
      <c r="T557" s="176"/>
      <c r="U557" s="177"/>
      <c r="V557" s="105" t="s">
        <v>68</v>
      </c>
      <c r="W557" s="178"/>
      <c r="X557" s="920"/>
      <c r="Y557" s="200" t="s">
        <v>1177</v>
      </c>
      <c r="Z557" s="368"/>
      <c r="AA557" s="33" t="s">
        <v>1428</v>
      </c>
      <c r="AB557" s="8"/>
      <c r="AC557" s="4"/>
      <c r="AD557" s="4"/>
      <c r="AE557" s="32"/>
      <c r="AF557" s="34" t="s">
        <v>68</v>
      </c>
      <c r="AG557" s="112" t="s">
        <v>68</v>
      </c>
      <c r="AH557" s="112" t="s">
        <v>68</v>
      </c>
      <c r="AI557" s="7" t="s">
        <v>68</v>
      </c>
      <c r="AJ557" s="109" t="s">
        <v>68</v>
      </c>
      <c r="AK557" s="33" t="s">
        <v>68</v>
      </c>
      <c r="AL557" s="1" t="s">
        <v>68</v>
      </c>
      <c r="AM557" s="5"/>
      <c r="AN557" s="1" t="s">
        <v>68</v>
      </c>
      <c r="AO557" s="5"/>
      <c r="AP557" s="1" t="s">
        <v>68</v>
      </c>
      <c r="AQ557" s="5"/>
      <c r="AR557" s="279">
        <v>0</v>
      </c>
      <c r="AS557" s="35">
        <v>0</v>
      </c>
      <c r="AT557" s="902"/>
      <c r="AU557" s="891"/>
      <c r="AV557" s="30" t="s">
        <v>1177</v>
      </c>
      <c r="AW557" s="11"/>
      <c r="AX557" s="223"/>
      <c r="AY557" s="52"/>
      <c r="AZ557" s="30" t="s">
        <v>1177</v>
      </c>
      <c r="BA557" s="5"/>
      <c r="BB557" s="5"/>
      <c r="BC557" s="11"/>
      <c r="BD557" s="30" t="s">
        <v>1177</v>
      </c>
      <c r="BE557" s="309"/>
      <c r="BF557" s="5"/>
      <c r="BG557" s="5"/>
      <c r="BH557" s="5"/>
      <c r="BI557" s="36">
        <f t="shared" si="18"/>
        <v>0</v>
      </c>
      <c r="BJ557" s="62" t="s">
        <v>68</v>
      </c>
      <c r="BK557" s="224"/>
      <c r="BL557" s="1093" t="s">
        <v>1177</v>
      </c>
      <c r="BM557" s="128" t="s">
        <v>1177</v>
      </c>
      <c r="BN557" s="128" t="s">
        <v>1177</v>
      </c>
      <c r="BO557" s="1092" t="s">
        <v>1177</v>
      </c>
      <c r="BP557" s="1092" t="s">
        <v>1177</v>
      </c>
      <c r="BQ557" s="1092" t="s">
        <v>1177</v>
      </c>
      <c r="BR557" s="914" t="s">
        <v>1177</v>
      </c>
      <c r="BS557" s="1092" t="s">
        <v>1177</v>
      </c>
      <c r="BT557" s="1092"/>
      <c r="BU557" s="696"/>
      <c r="BV557" s="694"/>
      <c r="BW557" s="13"/>
      <c r="BX557" s="158"/>
      <c r="BY557" s="13"/>
      <c r="BZ557" s="13"/>
      <c r="CA557" s="13"/>
      <c r="CB557" s="1222" t="s">
        <v>2094</v>
      </c>
      <c r="CC557" s="38"/>
      <c r="CD557" s="526"/>
      <c r="CE557" s="526"/>
      <c r="CF557" s="526"/>
      <c r="CG557" s="526"/>
      <c r="CH557" s="526"/>
      <c r="CI557" s="526"/>
      <c r="CJ557" s="526"/>
      <c r="CK557" s="15"/>
    </row>
    <row r="558" spans="2:89" ht="87.75" hidden="1" customHeight="1">
      <c r="B558" s="22"/>
      <c r="C558" s="1639"/>
      <c r="D558" s="1639"/>
      <c r="E558" s="911"/>
      <c r="F558" s="911"/>
      <c r="G558" s="915"/>
      <c r="H558" s="1746"/>
      <c r="I558" s="330"/>
      <c r="J558" s="169">
        <v>2021</v>
      </c>
      <c r="K558" s="1417">
        <v>214003</v>
      </c>
      <c r="L558" s="1417"/>
      <c r="M558" s="170" t="s">
        <v>166</v>
      </c>
      <c r="N558" s="178" t="s">
        <v>3748</v>
      </c>
      <c r="O558" s="172" t="s">
        <v>45</v>
      </c>
      <c r="P558" s="173" t="s">
        <v>3758</v>
      </c>
      <c r="Q558" s="173" t="s">
        <v>1975</v>
      </c>
      <c r="R558" s="174">
        <v>23200</v>
      </c>
      <c r="S558" s="175">
        <v>44212</v>
      </c>
      <c r="T558" s="176" t="s">
        <v>68</v>
      </c>
      <c r="U558" s="177" t="s">
        <v>68</v>
      </c>
      <c r="V558" s="105" t="s">
        <v>68</v>
      </c>
      <c r="W558" s="178" t="s">
        <v>3759</v>
      </c>
      <c r="X558" s="170" t="s">
        <v>472</v>
      </c>
      <c r="Y558" s="200" t="s">
        <v>1177</v>
      </c>
      <c r="Z558" s="368"/>
      <c r="AA558" s="33" t="s">
        <v>1428</v>
      </c>
      <c r="AB558" s="8"/>
      <c r="AC558" s="4"/>
      <c r="AD558" s="4"/>
      <c r="AE558" s="32"/>
      <c r="AF558" s="34" t="s">
        <v>68</v>
      </c>
      <c r="AG558" s="112" t="s">
        <v>68</v>
      </c>
      <c r="AH558" s="112" t="s">
        <v>68</v>
      </c>
      <c r="AI558" s="7" t="s">
        <v>68</v>
      </c>
      <c r="AJ558" s="109" t="s">
        <v>68</v>
      </c>
      <c r="AK558" s="33" t="s">
        <v>68</v>
      </c>
      <c r="AL558" s="1" t="s">
        <v>68</v>
      </c>
      <c r="AM558" s="5"/>
      <c r="AN558" s="1" t="s">
        <v>68</v>
      </c>
      <c r="AO558" s="5"/>
      <c r="AP558" s="1" t="s">
        <v>68</v>
      </c>
      <c r="AQ558" s="5"/>
      <c r="AR558" s="279">
        <v>0</v>
      </c>
      <c r="AS558" s="35">
        <v>0</v>
      </c>
      <c r="AT558" s="902"/>
      <c r="AU558" s="891"/>
      <c r="AV558" s="30" t="s">
        <v>1177</v>
      </c>
      <c r="AW558" s="11"/>
      <c r="AX558" s="223"/>
      <c r="AY558" s="52"/>
      <c r="AZ558" s="30" t="s">
        <v>1177</v>
      </c>
      <c r="BA558" s="5"/>
      <c r="BB558" s="5"/>
      <c r="BC558" s="11"/>
      <c r="BD558" s="30" t="s">
        <v>1177</v>
      </c>
      <c r="BE558" s="309"/>
      <c r="BF558" s="5"/>
      <c r="BG558" s="5"/>
      <c r="BH558" s="5"/>
      <c r="BI558" s="36">
        <f t="shared" si="18"/>
        <v>0</v>
      </c>
      <c r="BJ558" s="62" t="s">
        <v>68</v>
      </c>
      <c r="BK558" s="224"/>
      <c r="BL558" s="1093" t="s">
        <v>1177</v>
      </c>
      <c r="BM558" s="128" t="s">
        <v>1177</v>
      </c>
      <c r="BN558" s="128" t="s">
        <v>1177</v>
      </c>
      <c r="BO558" s="1092" t="s">
        <v>1177</v>
      </c>
      <c r="BP558" s="1092" t="s">
        <v>1177</v>
      </c>
      <c r="BQ558" s="1092" t="s">
        <v>1177</v>
      </c>
      <c r="BR558" s="914" t="s">
        <v>1177</v>
      </c>
      <c r="BS558" s="1092" t="s">
        <v>1177</v>
      </c>
      <c r="BT558" s="1092"/>
      <c r="BU558" s="696"/>
      <c r="BV558" s="694"/>
      <c r="BW558" s="13"/>
      <c r="BX558" s="158"/>
      <c r="BY558" s="13"/>
      <c r="BZ558" s="13"/>
      <c r="CA558" s="13"/>
      <c r="CB558" s="1222" t="s">
        <v>2094</v>
      </c>
      <c r="CC558" s="38"/>
      <c r="CD558" s="526"/>
      <c r="CE558" s="526"/>
      <c r="CF558" s="526"/>
      <c r="CG558" s="526"/>
      <c r="CH558" s="526"/>
      <c r="CI558" s="526"/>
      <c r="CJ558" s="526"/>
      <c r="CK558" s="15"/>
    </row>
    <row r="559" spans="2:89" ht="34.5" hidden="1" customHeight="1">
      <c r="B559" s="22"/>
      <c r="C559" s="1639"/>
      <c r="D559" s="1639"/>
      <c r="E559" s="911"/>
      <c r="F559" s="911"/>
      <c r="G559" s="915"/>
      <c r="H559" s="1746"/>
      <c r="I559" s="330"/>
      <c r="J559" s="169">
        <v>2021</v>
      </c>
      <c r="K559" s="1417">
        <v>214004</v>
      </c>
      <c r="L559" s="1417"/>
      <c r="M559" s="170" t="s">
        <v>166</v>
      </c>
      <c r="N559" s="178" t="s">
        <v>3749</v>
      </c>
      <c r="O559" s="172" t="s">
        <v>4113</v>
      </c>
      <c r="P559" s="173"/>
      <c r="Q559" s="173"/>
      <c r="R559" s="174"/>
      <c r="S559" s="175"/>
      <c r="T559" s="176"/>
      <c r="U559" s="177"/>
      <c r="V559" s="105" t="s">
        <v>68</v>
      </c>
      <c r="W559" s="178"/>
      <c r="X559" s="920"/>
      <c r="Y559" s="200" t="s">
        <v>1177</v>
      </c>
      <c r="Z559" s="368"/>
      <c r="AA559" s="33" t="s">
        <v>1428</v>
      </c>
      <c r="AB559" s="8"/>
      <c r="AC559" s="4"/>
      <c r="AD559" s="4"/>
      <c r="AE559" s="32"/>
      <c r="AF559" s="34" t="s">
        <v>68</v>
      </c>
      <c r="AG559" s="112" t="s">
        <v>68</v>
      </c>
      <c r="AH559" s="112" t="s">
        <v>68</v>
      </c>
      <c r="AI559" s="7" t="s">
        <v>68</v>
      </c>
      <c r="AJ559" s="109" t="s">
        <v>68</v>
      </c>
      <c r="AK559" s="33" t="s">
        <v>68</v>
      </c>
      <c r="AL559" s="1" t="s">
        <v>68</v>
      </c>
      <c r="AM559" s="5"/>
      <c r="AN559" s="1" t="s">
        <v>68</v>
      </c>
      <c r="AO559" s="5"/>
      <c r="AP559" s="1" t="s">
        <v>68</v>
      </c>
      <c r="AQ559" s="5"/>
      <c r="AR559" s="279">
        <v>0</v>
      </c>
      <c r="AS559" s="35">
        <v>0</v>
      </c>
      <c r="AT559" s="902"/>
      <c r="AU559" s="891"/>
      <c r="AV559" s="30" t="s">
        <v>1177</v>
      </c>
      <c r="AW559" s="11"/>
      <c r="AX559" s="223"/>
      <c r="AY559" s="52"/>
      <c r="AZ559" s="30" t="s">
        <v>1177</v>
      </c>
      <c r="BA559" s="5"/>
      <c r="BB559" s="5"/>
      <c r="BC559" s="11"/>
      <c r="BD559" s="30" t="s">
        <v>1177</v>
      </c>
      <c r="BE559" s="309"/>
      <c r="BF559" s="5"/>
      <c r="BG559" s="5"/>
      <c r="BH559" s="5"/>
      <c r="BI559" s="36">
        <f t="shared" si="18"/>
        <v>0</v>
      </c>
      <c r="BJ559" s="62" t="s">
        <v>68</v>
      </c>
      <c r="BK559" s="224"/>
      <c r="BL559" s="1093" t="s">
        <v>1177</v>
      </c>
      <c r="BM559" s="128" t="s">
        <v>1177</v>
      </c>
      <c r="BN559" s="128" t="s">
        <v>1177</v>
      </c>
      <c r="BO559" s="1092" t="s">
        <v>1177</v>
      </c>
      <c r="BP559" s="1092" t="s">
        <v>1177</v>
      </c>
      <c r="BQ559" s="1092" t="s">
        <v>1177</v>
      </c>
      <c r="BR559" s="914" t="s">
        <v>1177</v>
      </c>
      <c r="BS559" s="1092" t="s">
        <v>1177</v>
      </c>
      <c r="BT559" s="1092"/>
      <c r="BU559" s="696"/>
      <c r="BV559" s="694"/>
      <c r="BW559" s="13"/>
      <c r="BX559" s="158"/>
      <c r="BY559" s="13"/>
      <c r="BZ559" s="13"/>
      <c r="CA559" s="13"/>
      <c r="CB559" s="1222" t="s">
        <v>2094</v>
      </c>
      <c r="CC559" s="38"/>
      <c r="CD559" s="526"/>
      <c r="CE559" s="526"/>
      <c r="CF559" s="526"/>
      <c r="CG559" s="526"/>
      <c r="CH559" s="526"/>
      <c r="CI559" s="526"/>
      <c r="CJ559" s="526"/>
      <c r="CK559" s="15"/>
    </row>
    <row r="560" spans="2:89" ht="184.5" hidden="1" customHeight="1">
      <c r="B560" s="22"/>
      <c r="C560" s="1639"/>
      <c r="D560" s="1639"/>
      <c r="E560" s="911"/>
      <c r="F560" s="911"/>
      <c r="G560" s="915"/>
      <c r="H560" s="1746"/>
      <c r="I560" s="330"/>
      <c r="J560" s="169">
        <v>2021</v>
      </c>
      <c r="K560" s="1417">
        <v>214005</v>
      </c>
      <c r="L560" s="1417"/>
      <c r="M560" s="170" t="s">
        <v>166</v>
      </c>
      <c r="N560" s="178" t="s">
        <v>3750</v>
      </c>
      <c r="O560" s="172" t="s">
        <v>45</v>
      </c>
      <c r="P560" s="173" t="s">
        <v>3957</v>
      </c>
      <c r="Q560" s="173" t="s">
        <v>2512</v>
      </c>
      <c r="R560" s="174">
        <f>14000*1.16</f>
        <v>16239.999999999998</v>
      </c>
      <c r="S560" s="175">
        <v>44400</v>
      </c>
      <c r="T560" s="176"/>
      <c r="U560" s="177"/>
      <c r="V560" s="105" t="s">
        <v>68</v>
      </c>
      <c r="W560" s="178" t="s">
        <v>3956</v>
      </c>
      <c r="X560" s="920"/>
      <c r="Y560" s="200" t="s">
        <v>1177</v>
      </c>
      <c r="Z560" s="368"/>
      <c r="AA560" s="33" t="s">
        <v>1428</v>
      </c>
      <c r="AB560" s="8"/>
      <c r="AC560" s="4"/>
      <c r="AD560" s="4"/>
      <c r="AE560" s="32"/>
      <c r="AF560" s="34" t="s">
        <v>68</v>
      </c>
      <c r="AG560" s="112" t="s">
        <v>68</v>
      </c>
      <c r="AH560" s="112" t="s">
        <v>68</v>
      </c>
      <c r="AI560" s="7" t="s">
        <v>68</v>
      </c>
      <c r="AJ560" s="109" t="s">
        <v>68</v>
      </c>
      <c r="AK560" s="33" t="s">
        <v>68</v>
      </c>
      <c r="AL560" s="1" t="s">
        <v>68</v>
      </c>
      <c r="AM560" s="5"/>
      <c r="AN560" s="1" t="s">
        <v>68</v>
      </c>
      <c r="AO560" s="5"/>
      <c r="AP560" s="1" t="s">
        <v>68</v>
      </c>
      <c r="AQ560" s="5"/>
      <c r="AR560" s="279">
        <v>0</v>
      </c>
      <c r="AS560" s="35">
        <v>0</v>
      </c>
      <c r="AT560" s="902"/>
      <c r="AU560" s="891"/>
      <c r="AV560" s="30" t="s">
        <v>1177</v>
      </c>
      <c r="AW560" s="11"/>
      <c r="AX560" s="223"/>
      <c r="AY560" s="52"/>
      <c r="AZ560" s="30" t="s">
        <v>1177</v>
      </c>
      <c r="BA560" s="5"/>
      <c r="BB560" s="5"/>
      <c r="BC560" s="11"/>
      <c r="BD560" s="30" t="s">
        <v>1177</v>
      </c>
      <c r="BE560" s="309"/>
      <c r="BF560" s="5"/>
      <c r="BG560" s="5"/>
      <c r="BH560" s="5"/>
      <c r="BI560" s="36">
        <f t="shared" si="18"/>
        <v>0</v>
      </c>
      <c r="BJ560" s="62" t="s">
        <v>68</v>
      </c>
      <c r="BK560" s="224"/>
      <c r="BL560" s="1093" t="s">
        <v>1177</v>
      </c>
      <c r="BM560" s="128" t="s">
        <v>1177</v>
      </c>
      <c r="BN560" s="128" t="s">
        <v>1177</v>
      </c>
      <c r="BO560" s="1092" t="s">
        <v>1177</v>
      </c>
      <c r="BP560" s="1092" t="s">
        <v>1177</v>
      </c>
      <c r="BQ560" s="1092" t="s">
        <v>1177</v>
      </c>
      <c r="BR560" s="914" t="s">
        <v>1177</v>
      </c>
      <c r="BS560" s="1092" t="s">
        <v>1177</v>
      </c>
      <c r="BT560" s="1092"/>
      <c r="BU560" s="696"/>
      <c r="BV560" s="694"/>
      <c r="BW560" s="13"/>
      <c r="BX560" s="158"/>
      <c r="BY560" s="13"/>
      <c r="BZ560" s="13"/>
      <c r="CA560" s="13"/>
      <c r="CB560" s="1222" t="s">
        <v>2094</v>
      </c>
      <c r="CC560" s="38"/>
      <c r="CD560" s="526"/>
      <c r="CE560" s="526"/>
      <c r="CF560" s="526"/>
      <c r="CG560" s="526"/>
      <c r="CH560" s="526"/>
      <c r="CI560" s="526"/>
      <c r="CJ560" s="526"/>
      <c r="CK560" s="15"/>
    </row>
    <row r="561" spans="2:89" ht="34.5" hidden="1" customHeight="1">
      <c r="B561" s="22"/>
      <c r="C561" s="1639"/>
      <c r="D561" s="1639"/>
      <c r="E561" s="911"/>
      <c r="F561" s="911"/>
      <c r="G561" s="915"/>
      <c r="H561" s="1746"/>
      <c r="I561" s="330"/>
      <c r="J561" s="169">
        <v>2021</v>
      </c>
      <c r="K561" s="1417">
        <v>214006</v>
      </c>
      <c r="L561" s="1417"/>
      <c r="M561" s="170" t="s">
        <v>166</v>
      </c>
      <c r="N561" s="178" t="s">
        <v>3935</v>
      </c>
      <c r="O561" s="172" t="s">
        <v>4113</v>
      </c>
      <c r="P561" s="173"/>
      <c r="Q561" s="173"/>
      <c r="R561" s="174"/>
      <c r="S561" s="175"/>
      <c r="T561" s="176"/>
      <c r="U561" s="177"/>
      <c r="V561" s="105" t="s">
        <v>68</v>
      </c>
      <c r="W561" s="178"/>
      <c r="X561" s="920"/>
      <c r="Y561" s="200" t="s">
        <v>1177</v>
      </c>
      <c r="Z561" s="368"/>
      <c r="AA561" s="33" t="s">
        <v>1428</v>
      </c>
      <c r="AB561" s="8"/>
      <c r="AC561" s="4"/>
      <c r="AD561" s="4"/>
      <c r="AE561" s="32"/>
      <c r="AF561" s="34" t="s">
        <v>68</v>
      </c>
      <c r="AG561" s="112" t="s">
        <v>68</v>
      </c>
      <c r="AH561" s="112" t="s">
        <v>68</v>
      </c>
      <c r="AI561" s="7" t="s">
        <v>68</v>
      </c>
      <c r="AJ561" s="109" t="s">
        <v>68</v>
      </c>
      <c r="AK561" s="33" t="s">
        <v>68</v>
      </c>
      <c r="AL561" s="1" t="s">
        <v>68</v>
      </c>
      <c r="AM561" s="5"/>
      <c r="AN561" s="1" t="s">
        <v>68</v>
      </c>
      <c r="AO561" s="5"/>
      <c r="AP561" s="1" t="s">
        <v>68</v>
      </c>
      <c r="AQ561" s="5"/>
      <c r="AR561" s="279">
        <v>0</v>
      </c>
      <c r="AS561" s="35">
        <v>0</v>
      </c>
      <c r="AT561" s="902"/>
      <c r="AU561" s="891"/>
      <c r="AV561" s="30" t="s">
        <v>1177</v>
      </c>
      <c r="AW561" s="11"/>
      <c r="AX561" s="223"/>
      <c r="AY561" s="52"/>
      <c r="AZ561" s="30" t="s">
        <v>1177</v>
      </c>
      <c r="BA561" s="5"/>
      <c r="BB561" s="5"/>
      <c r="BC561" s="11"/>
      <c r="BD561" s="30" t="s">
        <v>1177</v>
      </c>
      <c r="BE561" s="309"/>
      <c r="BF561" s="5"/>
      <c r="BG561" s="5"/>
      <c r="BH561" s="5"/>
      <c r="BI561" s="36">
        <f t="shared" si="18"/>
        <v>0</v>
      </c>
      <c r="BJ561" s="62" t="s">
        <v>68</v>
      </c>
      <c r="BK561" s="224"/>
      <c r="BL561" s="1093" t="s">
        <v>1177</v>
      </c>
      <c r="BM561" s="128" t="s">
        <v>1177</v>
      </c>
      <c r="BN561" s="128" t="s">
        <v>1177</v>
      </c>
      <c r="BO561" s="1092" t="s">
        <v>1177</v>
      </c>
      <c r="BP561" s="1092" t="s">
        <v>1177</v>
      </c>
      <c r="BQ561" s="1092" t="s">
        <v>1177</v>
      </c>
      <c r="BR561" s="914" t="s">
        <v>1177</v>
      </c>
      <c r="BS561" s="1092" t="s">
        <v>1177</v>
      </c>
      <c r="BT561" s="1092"/>
      <c r="BU561" s="696"/>
      <c r="BV561" s="694"/>
      <c r="BW561" s="13"/>
      <c r="BX561" s="158"/>
      <c r="BY561" s="13"/>
      <c r="BZ561" s="13"/>
      <c r="CA561" s="13"/>
      <c r="CB561" s="1222" t="s">
        <v>2094</v>
      </c>
      <c r="CC561" s="38"/>
      <c r="CD561" s="526"/>
      <c r="CE561" s="526"/>
      <c r="CF561" s="526"/>
      <c r="CG561" s="526"/>
      <c r="CH561" s="526"/>
      <c r="CI561" s="526"/>
      <c r="CJ561" s="526"/>
      <c r="CK561" s="15"/>
    </row>
    <row r="562" spans="2:89" ht="150" hidden="1" customHeight="1">
      <c r="B562" s="22"/>
      <c r="C562" s="1639"/>
      <c r="D562" s="1639"/>
      <c r="E562" s="911"/>
      <c r="F562" s="911"/>
      <c r="G562" s="915"/>
      <c r="H562" s="1746"/>
      <c r="I562" s="330"/>
      <c r="J562" s="169">
        <v>2021</v>
      </c>
      <c r="K562" s="1417">
        <v>214007</v>
      </c>
      <c r="L562" s="1417"/>
      <c r="M562" s="170" t="s">
        <v>166</v>
      </c>
      <c r="N562" s="178" t="s">
        <v>3936</v>
      </c>
      <c r="O562" s="172" t="s">
        <v>45</v>
      </c>
      <c r="P562" s="173" t="s">
        <v>3959</v>
      </c>
      <c r="Q562" s="173" t="s">
        <v>1975</v>
      </c>
      <c r="R562" s="174">
        <v>16240</v>
      </c>
      <c r="S562" s="175">
        <v>44441</v>
      </c>
      <c r="T562" s="176" t="s">
        <v>68</v>
      </c>
      <c r="U562" s="177" t="s">
        <v>68</v>
      </c>
      <c r="V562" s="105" t="s">
        <v>68</v>
      </c>
      <c r="W562" s="636" t="s">
        <v>3958</v>
      </c>
      <c r="X562" s="920"/>
      <c r="Y562" s="200" t="s">
        <v>1177</v>
      </c>
      <c r="Z562" s="368"/>
      <c r="AA562" s="33" t="s">
        <v>1428</v>
      </c>
      <c r="AB562" s="8"/>
      <c r="AC562" s="4"/>
      <c r="AD562" s="4"/>
      <c r="AE562" s="32"/>
      <c r="AF562" s="34" t="s">
        <v>68</v>
      </c>
      <c r="AG562" s="112" t="s">
        <v>68</v>
      </c>
      <c r="AH562" s="112" t="s">
        <v>68</v>
      </c>
      <c r="AI562" s="7" t="s">
        <v>68</v>
      </c>
      <c r="AJ562" s="109" t="s">
        <v>68</v>
      </c>
      <c r="AK562" s="33" t="s">
        <v>68</v>
      </c>
      <c r="AL562" s="1" t="s">
        <v>68</v>
      </c>
      <c r="AM562" s="5"/>
      <c r="AN562" s="1" t="s">
        <v>68</v>
      </c>
      <c r="AO562" s="5"/>
      <c r="AP562" s="1" t="s">
        <v>68</v>
      </c>
      <c r="AQ562" s="5"/>
      <c r="AR562" s="279">
        <v>0</v>
      </c>
      <c r="AS562" s="35">
        <v>0</v>
      </c>
      <c r="AT562" s="902"/>
      <c r="AU562" s="891"/>
      <c r="AV562" s="30" t="s">
        <v>1177</v>
      </c>
      <c r="AW562" s="11"/>
      <c r="AX562" s="223"/>
      <c r="AY562" s="52"/>
      <c r="AZ562" s="30" t="s">
        <v>1177</v>
      </c>
      <c r="BA562" s="5"/>
      <c r="BB562" s="5"/>
      <c r="BC562" s="11"/>
      <c r="BD562" s="30" t="s">
        <v>1177</v>
      </c>
      <c r="BE562" s="309"/>
      <c r="BF562" s="5"/>
      <c r="BG562" s="5"/>
      <c r="BH562" s="5"/>
      <c r="BI562" s="36">
        <f t="shared" si="18"/>
        <v>0</v>
      </c>
      <c r="BJ562" s="62" t="s">
        <v>68</v>
      </c>
      <c r="BK562" s="224"/>
      <c r="BL562" s="1093" t="s">
        <v>1177</v>
      </c>
      <c r="BM562" s="128" t="s">
        <v>1177</v>
      </c>
      <c r="BN562" s="128" t="s">
        <v>1177</v>
      </c>
      <c r="BO562" s="1092" t="s">
        <v>1177</v>
      </c>
      <c r="BP562" s="1092" t="s">
        <v>1177</v>
      </c>
      <c r="BQ562" s="1092" t="s">
        <v>1177</v>
      </c>
      <c r="BR562" s="914" t="s">
        <v>1177</v>
      </c>
      <c r="BS562" s="1092" t="s">
        <v>1177</v>
      </c>
      <c r="BT562" s="1092"/>
      <c r="BU562" s="696"/>
      <c r="BV562" s="694"/>
      <c r="BW562" s="13"/>
      <c r="BX562" s="158"/>
      <c r="BY562" s="13"/>
      <c r="BZ562" s="13"/>
      <c r="CA562" s="13"/>
      <c r="CB562" s="1222" t="s">
        <v>2094</v>
      </c>
      <c r="CC562" s="38"/>
      <c r="CD562" s="526"/>
      <c r="CE562" s="526"/>
      <c r="CF562" s="526"/>
      <c r="CG562" s="526"/>
      <c r="CH562" s="526"/>
      <c r="CI562" s="526"/>
      <c r="CJ562" s="526"/>
      <c r="CK562" s="15"/>
    </row>
    <row r="563" spans="2:89" ht="269.25" hidden="1" customHeight="1">
      <c r="B563" s="22"/>
      <c r="C563" s="1639"/>
      <c r="D563" s="1639"/>
      <c r="E563" s="911"/>
      <c r="F563" s="911"/>
      <c r="G563" s="915"/>
      <c r="H563" s="1746"/>
      <c r="I563" s="330"/>
      <c r="J563" s="169">
        <v>2021</v>
      </c>
      <c r="K563" s="1417">
        <v>214008</v>
      </c>
      <c r="L563" s="1417"/>
      <c r="M563" s="170" t="s">
        <v>166</v>
      </c>
      <c r="N563" s="178" t="s">
        <v>3937</v>
      </c>
      <c r="O563" s="172" t="s">
        <v>45</v>
      </c>
      <c r="P563" s="173" t="s">
        <v>3971</v>
      </c>
      <c r="Q563" s="173" t="s">
        <v>1975</v>
      </c>
      <c r="R563" s="174">
        <v>226407.64</v>
      </c>
      <c r="S563" s="175">
        <v>44435</v>
      </c>
      <c r="T563" s="176" t="s">
        <v>68</v>
      </c>
      <c r="U563" s="177" t="s">
        <v>68</v>
      </c>
      <c r="V563" s="105" t="s">
        <v>68</v>
      </c>
      <c r="W563" s="636" t="s">
        <v>3960</v>
      </c>
      <c r="X563" s="920"/>
      <c r="Y563" s="200" t="s">
        <v>1177</v>
      </c>
      <c r="Z563" s="368"/>
      <c r="AA563" s="33" t="s">
        <v>1428</v>
      </c>
      <c r="AB563" s="8"/>
      <c r="AC563" s="4"/>
      <c r="AD563" s="4"/>
      <c r="AE563" s="32"/>
      <c r="AF563" s="34" t="s">
        <v>68</v>
      </c>
      <c r="AG563" s="112" t="s">
        <v>68</v>
      </c>
      <c r="AH563" s="112" t="s">
        <v>68</v>
      </c>
      <c r="AI563" s="7" t="s">
        <v>68</v>
      </c>
      <c r="AJ563" s="109" t="s">
        <v>68</v>
      </c>
      <c r="AK563" s="33" t="s">
        <v>68</v>
      </c>
      <c r="AL563" s="1" t="s">
        <v>68</v>
      </c>
      <c r="AM563" s="5"/>
      <c r="AN563" s="1" t="s">
        <v>68</v>
      </c>
      <c r="AO563" s="5"/>
      <c r="AP563" s="1" t="s">
        <v>68</v>
      </c>
      <c r="AQ563" s="5"/>
      <c r="AR563" s="279">
        <v>0</v>
      </c>
      <c r="AS563" s="35">
        <v>0</v>
      </c>
      <c r="AT563" s="902"/>
      <c r="AU563" s="891"/>
      <c r="AV563" s="30" t="s">
        <v>1177</v>
      </c>
      <c r="AW563" s="11"/>
      <c r="AX563" s="223"/>
      <c r="AY563" s="52"/>
      <c r="AZ563" s="30" t="s">
        <v>1177</v>
      </c>
      <c r="BA563" s="5"/>
      <c r="BB563" s="5"/>
      <c r="BC563" s="11"/>
      <c r="BD563" s="30" t="s">
        <v>1177</v>
      </c>
      <c r="BE563" s="309"/>
      <c r="BF563" s="5"/>
      <c r="BG563" s="5"/>
      <c r="BH563" s="5"/>
      <c r="BI563" s="36">
        <f t="shared" si="18"/>
        <v>0</v>
      </c>
      <c r="BJ563" s="62" t="s">
        <v>68</v>
      </c>
      <c r="BK563" s="224"/>
      <c r="BL563" s="1093" t="s">
        <v>1177</v>
      </c>
      <c r="BM563" s="128" t="s">
        <v>1177</v>
      </c>
      <c r="BN563" s="128" t="s">
        <v>1177</v>
      </c>
      <c r="BO563" s="1092" t="s">
        <v>1177</v>
      </c>
      <c r="BP563" s="1092" t="s">
        <v>1177</v>
      </c>
      <c r="BQ563" s="1092" t="s">
        <v>1177</v>
      </c>
      <c r="BR563" s="914" t="s">
        <v>1177</v>
      </c>
      <c r="BS563" s="1092" t="s">
        <v>1177</v>
      </c>
      <c r="BT563" s="1092"/>
      <c r="BU563" s="696"/>
      <c r="BV563" s="694"/>
      <c r="BW563" s="13"/>
      <c r="BX563" s="158"/>
      <c r="BY563" s="13"/>
      <c r="BZ563" s="13"/>
      <c r="CA563" s="13"/>
      <c r="CB563" s="1222" t="s">
        <v>2094</v>
      </c>
      <c r="CC563" s="38"/>
      <c r="CD563" s="526"/>
      <c r="CE563" s="526"/>
      <c r="CF563" s="526"/>
      <c r="CG563" s="526"/>
      <c r="CH563" s="526"/>
      <c r="CI563" s="526"/>
      <c r="CJ563" s="526"/>
      <c r="CK563" s="15"/>
    </row>
    <row r="564" spans="2:89" ht="147.75" hidden="1" customHeight="1">
      <c r="B564" s="22"/>
      <c r="C564" s="1639"/>
      <c r="D564" s="1639"/>
      <c r="E564" s="911"/>
      <c r="F564" s="911"/>
      <c r="G564" s="915"/>
      <c r="H564" s="1746"/>
      <c r="I564" s="330"/>
      <c r="J564" s="169">
        <v>2021</v>
      </c>
      <c r="K564" s="1417">
        <v>214009</v>
      </c>
      <c r="L564" s="1417"/>
      <c r="M564" s="170" t="s">
        <v>166</v>
      </c>
      <c r="N564" s="178" t="s">
        <v>3938</v>
      </c>
      <c r="O564" s="172" t="s">
        <v>45</v>
      </c>
      <c r="P564" s="173" t="s">
        <v>3962</v>
      </c>
      <c r="Q564" s="173" t="s">
        <v>2575</v>
      </c>
      <c r="R564" s="174">
        <v>91300</v>
      </c>
      <c r="S564" s="175">
        <v>44432</v>
      </c>
      <c r="T564" s="176" t="s">
        <v>68</v>
      </c>
      <c r="U564" s="177" t="s">
        <v>68</v>
      </c>
      <c r="V564" s="105" t="s">
        <v>68</v>
      </c>
      <c r="W564" s="636" t="s">
        <v>3961</v>
      </c>
      <c r="X564" s="920"/>
      <c r="Y564" s="200" t="s">
        <v>1177</v>
      </c>
      <c r="Z564" s="368"/>
      <c r="AA564" s="33" t="s">
        <v>1428</v>
      </c>
      <c r="AB564" s="8"/>
      <c r="AC564" s="4"/>
      <c r="AD564" s="4"/>
      <c r="AE564" s="32"/>
      <c r="AF564" s="34" t="s">
        <v>68</v>
      </c>
      <c r="AG564" s="112" t="s">
        <v>68</v>
      </c>
      <c r="AH564" s="112" t="s">
        <v>68</v>
      </c>
      <c r="AI564" s="7" t="s">
        <v>68</v>
      </c>
      <c r="AJ564" s="109" t="s">
        <v>68</v>
      </c>
      <c r="AK564" s="33" t="s">
        <v>68</v>
      </c>
      <c r="AL564" s="1" t="s">
        <v>68</v>
      </c>
      <c r="AM564" s="5"/>
      <c r="AN564" s="1" t="s">
        <v>68</v>
      </c>
      <c r="AO564" s="5"/>
      <c r="AP564" s="1" t="s">
        <v>68</v>
      </c>
      <c r="AQ564" s="5"/>
      <c r="AR564" s="279">
        <v>0</v>
      </c>
      <c r="AS564" s="35">
        <v>0</v>
      </c>
      <c r="AT564" s="902"/>
      <c r="AU564" s="891"/>
      <c r="AV564" s="30" t="s">
        <v>1177</v>
      </c>
      <c r="AW564" s="11"/>
      <c r="AX564" s="223"/>
      <c r="AY564" s="52"/>
      <c r="AZ564" s="30" t="s">
        <v>1177</v>
      </c>
      <c r="BA564" s="5"/>
      <c r="BB564" s="5"/>
      <c r="BC564" s="11"/>
      <c r="BD564" s="30" t="s">
        <v>1177</v>
      </c>
      <c r="BE564" s="309"/>
      <c r="BF564" s="5"/>
      <c r="BG564" s="5"/>
      <c r="BH564" s="5"/>
      <c r="BI564" s="36">
        <f t="shared" si="18"/>
        <v>0</v>
      </c>
      <c r="BJ564" s="62" t="s">
        <v>68</v>
      </c>
      <c r="BK564" s="224"/>
      <c r="BL564" s="1093" t="s">
        <v>1177</v>
      </c>
      <c r="BM564" s="128" t="s">
        <v>1177</v>
      </c>
      <c r="BN564" s="128" t="s">
        <v>1177</v>
      </c>
      <c r="BO564" s="1092" t="s">
        <v>1177</v>
      </c>
      <c r="BP564" s="1092" t="s">
        <v>1177</v>
      </c>
      <c r="BQ564" s="1092" t="s">
        <v>1177</v>
      </c>
      <c r="BR564" s="914" t="s">
        <v>1177</v>
      </c>
      <c r="BS564" s="1092" t="s">
        <v>1177</v>
      </c>
      <c r="BT564" s="1092"/>
      <c r="BU564" s="696"/>
      <c r="BV564" s="694"/>
      <c r="BW564" s="13"/>
      <c r="BX564" s="158"/>
      <c r="BY564" s="13"/>
      <c r="BZ564" s="13"/>
      <c r="CA564" s="13"/>
      <c r="CB564" s="1222" t="s">
        <v>2094</v>
      </c>
      <c r="CC564" s="38"/>
      <c r="CD564" s="526"/>
      <c r="CE564" s="526"/>
      <c r="CF564" s="526"/>
      <c r="CG564" s="526"/>
      <c r="CH564" s="526"/>
      <c r="CI564" s="526"/>
      <c r="CJ564" s="526"/>
      <c r="CK564" s="15"/>
    </row>
    <row r="565" spans="2:89" ht="72" hidden="1" customHeight="1">
      <c r="B565" s="22"/>
      <c r="C565" s="1639"/>
      <c r="D565" s="1639"/>
      <c r="E565" s="911">
        <v>44440</v>
      </c>
      <c r="F565" s="911"/>
      <c r="G565" s="915">
        <v>44358</v>
      </c>
      <c r="H565" s="1746"/>
      <c r="I565" s="330">
        <v>44323</v>
      </c>
      <c r="J565" s="169">
        <v>2021</v>
      </c>
      <c r="K565" s="1417">
        <v>215001</v>
      </c>
      <c r="L565" s="1417"/>
      <c r="M565" s="170" t="s">
        <v>166</v>
      </c>
      <c r="N565" s="178" t="s">
        <v>3446</v>
      </c>
      <c r="O565" s="172" t="s">
        <v>79</v>
      </c>
      <c r="P565" s="173" t="s">
        <v>3460</v>
      </c>
      <c r="Q565" s="173" t="s">
        <v>2577</v>
      </c>
      <c r="R565" s="594">
        <v>1300000</v>
      </c>
      <c r="S565" s="590">
        <v>44208</v>
      </c>
      <c r="T565" s="176">
        <v>44231</v>
      </c>
      <c r="U565" s="177">
        <v>44377</v>
      </c>
      <c r="V565" s="105">
        <v>44207</v>
      </c>
      <c r="W565" s="170" t="s">
        <v>2932</v>
      </c>
      <c r="X565" s="170" t="s">
        <v>3608</v>
      </c>
      <c r="Y565" s="200" t="s">
        <v>1177</v>
      </c>
      <c r="Z565" s="368"/>
      <c r="AA565" s="33" t="s">
        <v>3829</v>
      </c>
      <c r="AB565" s="8">
        <v>44224</v>
      </c>
      <c r="AC565" s="4">
        <v>1300000</v>
      </c>
      <c r="AD565" s="236" t="s">
        <v>3771</v>
      </c>
      <c r="AE565" s="32">
        <v>1300000</v>
      </c>
      <c r="AF565" s="34" t="s">
        <v>68</v>
      </c>
      <c r="AG565" s="112" t="s">
        <v>68</v>
      </c>
      <c r="AH565" s="112" t="s">
        <v>68</v>
      </c>
      <c r="AI565" s="7" t="s">
        <v>68</v>
      </c>
      <c r="AJ565" s="109" t="s">
        <v>68</v>
      </c>
      <c r="AK565" s="33" t="s">
        <v>3555</v>
      </c>
      <c r="AL565" s="1" t="s">
        <v>3772</v>
      </c>
      <c r="AM565" s="5">
        <v>44231</v>
      </c>
      <c r="AN565" s="1" t="s">
        <v>3773</v>
      </c>
      <c r="AO565" s="5">
        <v>44231</v>
      </c>
      <c r="AP565" s="1" t="s">
        <v>83</v>
      </c>
      <c r="AQ565" s="5"/>
      <c r="AR565" s="279">
        <f>325000+130000</f>
        <v>455000</v>
      </c>
      <c r="AS565" s="35">
        <v>0</v>
      </c>
      <c r="AT565" s="895">
        <v>1293027.17</v>
      </c>
      <c r="AU565" s="884">
        <v>1239221.56</v>
      </c>
      <c r="AV565" s="30">
        <v>44231</v>
      </c>
      <c r="AW565" s="11">
        <v>44384</v>
      </c>
      <c r="AX565" s="223" t="s">
        <v>68</v>
      </c>
      <c r="AY565" s="52" t="s">
        <v>68</v>
      </c>
      <c r="AZ565" s="30">
        <v>44348</v>
      </c>
      <c r="BA565" s="5">
        <v>44231</v>
      </c>
      <c r="BB565" s="5">
        <v>44377</v>
      </c>
      <c r="BC565" s="11">
        <v>44323</v>
      </c>
      <c r="BD565" s="30">
        <v>44349</v>
      </c>
      <c r="BE565" s="309"/>
      <c r="BF565" s="5">
        <v>44231</v>
      </c>
      <c r="BG565" s="5">
        <v>44377</v>
      </c>
      <c r="BH565" s="5">
        <v>44323</v>
      </c>
      <c r="BI565" s="36">
        <v>1293027.18</v>
      </c>
      <c r="BJ565" s="377">
        <v>44349</v>
      </c>
      <c r="BK565" s="1819"/>
      <c r="BL565" s="336">
        <v>44348</v>
      </c>
      <c r="BM565" s="71">
        <v>44235</v>
      </c>
      <c r="BN565" s="71">
        <v>44235</v>
      </c>
      <c r="BO565" s="914" t="s">
        <v>68</v>
      </c>
      <c r="BP565" s="71">
        <v>44228</v>
      </c>
      <c r="BQ565" s="71">
        <v>44228</v>
      </c>
      <c r="BR565" s="914">
        <v>44228</v>
      </c>
      <c r="BS565" s="71">
        <v>44327</v>
      </c>
      <c r="BT565" s="71"/>
      <c r="BU565" s="71">
        <v>44286</v>
      </c>
      <c r="BV565" s="694" t="s">
        <v>68</v>
      </c>
      <c r="BW565" s="13"/>
      <c r="BX565" s="1312" t="s">
        <v>3591</v>
      </c>
      <c r="BY565" s="13" t="s">
        <v>1295</v>
      </c>
      <c r="BZ565" s="13" t="s">
        <v>1295</v>
      </c>
      <c r="CA565" s="13" t="s">
        <v>3548</v>
      </c>
      <c r="CB565" s="1222" t="s">
        <v>2094</v>
      </c>
      <c r="CC565" s="586" t="s">
        <v>1143</v>
      </c>
      <c r="CD565" s="526"/>
      <c r="CE565" s="526"/>
      <c r="CF565" s="526"/>
      <c r="CG565" s="526"/>
      <c r="CH565" s="526"/>
      <c r="CI565" s="526"/>
      <c r="CJ565" s="526"/>
      <c r="CK565" s="15"/>
    </row>
    <row r="566" spans="2:89" ht="126" hidden="1" customHeight="1">
      <c r="B566" s="22"/>
      <c r="C566" s="1639"/>
      <c r="D566" s="1639"/>
      <c r="E566" s="911">
        <v>44407</v>
      </c>
      <c r="F566" s="911"/>
      <c r="G566" s="915">
        <v>44762</v>
      </c>
      <c r="H566" s="1746"/>
      <c r="I566" s="330">
        <v>44358</v>
      </c>
      <c r="J566" s="169">
        <v>2021</v>
      </c>
      <c r="K566" s="1417">
        <v>215002</v>
      </c>
      <c r="L566" s="1417"/>
      <c r="M566" s="170" t="s">
        <v>77</v>
      </c>
      <c r="N566" s="178" t="s">
        <v>3447</v>
      </c>
      <c r="O566" s="172" t="s">
        <v>3212</v>
      </c>
      <c r="P566" s="173" t="s">
        <v>3459</v>
      </c>
      <c r="Q566" s="173" t="s">
        <v>2577</v>
      </c>
      <c r="R566" s="174">
        <v>2242164.25</v>
      </c>
      <c r="S566" s="590">
        <v>44210</v>
      </c>
      <c r="T566" s="176">
        <v>44211</v>
      </c>
      <c r="U566" s="177">
        <v>44270</v>
      </c>
      <c r="V566" s="105" t="s">
        <v>1428</v>
      </c>
      <c r="W566" s="178" t="s">
        <v>4219</v>
      </c>
      <c r="X566" s="170" t="s">
        <v>3649</v>
      </c>
      <c r="Y566" s="608">
        <v>44198</v>
      </c>
      <c r="Z566" s="1373" t="s">
        <v>4289</v>
      </c>
      <c r="AA566" s="33" t="s">
        <v>3800</v>
      </c>
      <c r="AB566" s="8">
        <v>44197</v>
      </c>
      <c r="AC566" s="4">
        <v>18585634.399999999</v>
      </c>
      <c r="AD566" s="4"/>
      <c r="AE566" s="32"/>
      <c r="AF566" s="582">
        <v>44198</v>
      </c>
      <c r="AG566" s="180">
        <v>44200</v>
      </c>
      <c r="AH566" s="583">
        <v>44198</v>
      </c>
      <c r="AI566" s="584">
        <v>44203</v>
      </c>
      <c r="AJ566" s="685">
        <v>44209</v>
      </c>
      <c r="AK566" s="115" t="s">
        <v>855</v>
      </c>
      <c r="AL566" s="1" t="s">
        <v>68</v>
      </c>
      <c r="AM566" s="5"/>
      <c r="AN566" s="1">
        <v>21590</v>
      </c>
      <c r="AO566" s="5">
        <v>44211</v>
      </c>
      <c r="AP566" s="1">
        <v>21594</v>
      </c>
      <c r="AQ566" s="5">
        <v>44270</v>
      </c>
      <c r="AR566" s="279">
        <f>260091.05+137964.17</f>
        <v>398055.22</v>
      </c>
      <c r="AS566" s="35">
        <v>0</v>
      </c>
      <c r="AT566" s="895">
        <v>2507056.77</v>
      </c>
      <c r="AU566" s="891"/>
      <c r="AV566" s="66" t="s">
        <v>74</v>
      </c>
      <c r="AW566" s="11"/>
      <c r="AX566" s="223" t="s">
        <v>68</v>
      </c>
      <c r="AY566" s="52" t="s">
        <v>68</v>
      </c>
      <c r="AZ566" s="230">
        <v>44270</v>
      </c>
      <c r="BA566" s="5">
        <v>15</v>
      </c>
      <c r="BB566" s="5">
        <v>44270</v>
      </c>
      <c r="BC566" s="11">
        <v>44270</v>
      </c>
      <c r="BD566" s="230">
        <v>44270</v>
      </c>
      <c r="BE566" s="508"/>
      <c r="BF566" s="5">
        <v>44211</v>
      </c>
      <c r="BG566" s="5">
        <v>44270</v>
      </c>
      <c r="BH566" s="5">
        <v>44270</v>
      </c>
      <c r="BI566" s="36">
        <f>AT566</f>
        <v>2507056.77</v>
      </c>
      <c r="BJ566" s="1395">
        <v>44270</v>
      </c>
      <c r="BK566" s="1821"/>
      <c r="BL566" s="1423" t="s">
        <v>74</v>
      </c>
      <c r="BM566" s="693" t="s">
        <v>74</v>
      </c>
      <c r="BN566" s="71">
        <v>44210</v>
      </c>
      <c r="BO566" s="693" t="s">
        <v>74</v>
      </c>
      <c r="BP566" s="693" t="s">
        <v>74</v>
      </c>
      <c r="BQ566" s="71">
        <v>44203</v>
      </c>
      <c r="BR566" s="914" t="s">
        <v>74</v>
      </c>
      <c r="BS566" s="71">
        <v>44267</v>
      </c>
      <c r="BT566" s="693" t="s">
        <v>74</v>
      </c>
      <c r="BU566" s="71"/>
      <c r="BV566" s="694"/>
      <c r="BW566" s="13"/>
      <c r="BX566" s="1249" t="s">
        <v>3730</v>
      </c>
      <c r="BY566" s="1260" t="s">
        <v>74</v>
      </c>
      <c r="BZ566" s="158" t="s">
        <v>3886</v>
      </c>
      <c r="CA566" s="158" t="s">
        <v>3543</v>
      </c>
      <c r="CB566" s="1222" t="s">
        <v>2094</v>
      </c>
      <c r="CC566" s="38" t="s">
        <v>3887</v>
      </c>
      <c r="CD566" s="526"/>
      <c r="CE566" s="526"/>
      <c r="CF566" s="526"/>
      <c r="CG566" s="526"/>
      <c r="CH566" s="526"/>
      <c r="CI566" s="526"/>
      <c r="CJ566" s="526"/>
      <c r="CK566" s="15"/>
    </row>
    <row r="567" spans="2:89" s="104" customFormat="1" ht="90" hidden="1" customHeight="1">
      <c r="B567" s="81"/>
      <c r="C567" s="1641"/>
      <c r="D567" s="1641"/>
      <c r="E567" s="989"/>
      <c r="F567" s="989"/>
      <c r="G567" s="123"/>
      <c r="H567" s="1796"/>
      <c r="I567" s="620"/>
      <c r="J567" s="990">
        <v>2021</v>
      </c>
      <c r="K567" s="1419">
        <v>215003</v>
      </c>
      <c r="L567" s="1419"/>
      <c r="M567" s="621" t="s">
        <v>166</v>
      </c>
      <c r="N567" s="626" t="s">
        <v>3448</v>
      </c>
      <c r="O567" s="655" t="s">
        <v>251</v>
      </c>
      <c r="P567" s="656" t="s">
        <v>3456</v>
      </c>
      <c r="Q567" s="656"/>
      <c r="R567" s="622">
        <v>195609.22</v>
      </c>
      <c r="S567" s="623">
        <v>44208</v>
      </c>
      <c r="T567" s="624">
        <v>44242</v>
      </c>
      <c r="U567" s="625">
        <v>44270</v>
      </c>
      <c r="V567" s="370">
        <v>44207</v>
      </c>
      <c r="W567" s="621" t="s">
        <v>4040</v>
      </c>
      <c r="X567" s="621" t="s">
        <v>3649</v>
      </c>
      <c r="Y567" s="554" t="s">
        <v>1177</v>
      </c>
      <c r="Z567" s="1363"/>
      <c r="AA567" s="90"/>
      <c r="AB567" s="92"/>
      <c r="AC567" s="86"/>
      <c r="AD567" s="86"/>
      <c r="AE567" s="93"/>
      <c r="AF567" s="94" t="s">
        <v>68</v>
      </c>
      <c r="AG567" s="113" t="s">
        <v>68</v>
      </c>
      <c r="AH567" s="113" t="s">
        <v>68</v>
      </c>
      <c r="AI567" s="95" t="s">
        <v>68</v>
      </c>
      <c r="AJ567" s="110" t="s">
        <v>68</v>
      </c>
      <c r="AK567" s="90"/>
      <c r="AL567" s="96"/>
      <c r="AM567" s="88"/>
      <c r="AN567" s="96"/>
      <c r="AO567" s="88"/>
      <c r="AP567" s="96"/>
      <c r="AQ567" s="88"/>
      <c r="AR567" s="284">
        <v>0</v>
      </c>
      <c r="AS567" s="98">
        <v>0</v>
      </c>
      <c r="AT567" s="898"/>
      <c r="AU567" s="887"/>
      <c r="AV567" s="641" t="s">
        <v>74</v>
      </c>
      <c r="AW567" s="89"/>
      <c r="AX567" s="338" t="s">
        <v>68</v>
      </c>
      <c r="AY567" s="101" t="s">
        <v>68</v>
      </c>
      <c r="AZ567" s="641" t="s">
        <v>74</v>
      </c>
      <c r="BA567" s="88"/>
      <c r="BB567" s="88"/>
      <c r="BC567" s="89"/>
      <c r="BD567" s="641" t="s">
        <v>74</v>
      </c>
      <c r="BE567" s="1628"/>
      <c r="BF567" s="88"/>
      <c r="BG567" s="88"/>
      <c r="BH567" s="88"/>
      <c r="BI567" s="99"/>
      <c r="BJ567" s="1489" t="s">
        <v>74</v>
      </c>
      <c r="BK567" s="1822"/>
      <c r="BL567" s="855"/>
      <c r="BM567" s="856"/>
      <c r="BN567" s="856"/>
      <c r="BO567" s="991"/>
      <c r="BP567" s="991"/>
      <c r="BQ567" s="991"/>
      <c r="BR567" s="914"/>
      <c r="BS567" s="991"/>
      <c r="BT567" s="991"/>
      <c r="BU567" s="991"/>
      <c r="BV567" s="855"/>
      <c r="BW567" s="102"/>
      <c r="BX567" s="1256" t="s">
        <v>3730</v>
      </c>
      <c r="BY567" s="102"/>
      <c r="BZ567" s="102"/>
      <c r="CA567" s="102"/>
      <c r="CB567" s="1403" t="s">
        <v>2094</v>
      </c>
      <c r="CC567" s="857"/>
      <c r="CD567" s="527"/>
      <c r="CE567" s="527"/>
      <c r="CF567" s="527"/>
      <c r="CG567" s="527"/>
      <c r="CH567" s="527"/>
      <c r="CI567" s="527"/>
      <c r="CJ567" s="527"/>
      <c r="CK567" s="627"/>
    </row>
    <row r="568" spans="2:89" ht="114.75" hidden="1" customHeight="1">
      <c r="B568" s="22"/>
      <c r="C568" s="1639"/>
      <c r="D568" s="1639"/>
      <c r="E568" s="911">
        <v>44407</v>
      </c>
      <c r="F568" s="911"/>
      <c r="G568" s="915">
        <v>44762</v>
      </c>
      <c r="H568" s="1746"/>
      <c r="I568" s="330">
        <v>44358</v>
      </c>
      <c r="J568" s="169">
        <v>2021</v>
      </c>
      <c r="K568" s="1417">
        <v>215004</v>
      </c>
      <c r="L568" s="1417"/>
      <c r="M568" s="170" t="s">
        <v>77</v>
      </c>
      <c r="N568" s="178" t="s">
        <v>3449</v>
      </c>
      <c r="O568" s="172" t="s">
        <v>3212</v>
      </c>
      <c r="P568" s="173" t="s">
        <v>3609</v>
      </c>
      <c r="Q568" s="173" t="s">
        <v>2577</v>
      </c>
      <c r="R568" s="174">
        <v>8221905.6500000004</v>
      </c>
      <c r="S568" s="590">
        <v>44210</v>
      </c>
      <c r="T568" s="176">
        <v>44211</v>
      </c>
      <c r="U568" s="177">
        <v>44266</v>
      </c>
      <c r="V568" s="105" t="s">
        <v>1428</v>
      </c>
      <c r="W568" s="178" t="s">
        <v>3469</v>
      </c>
      <c r="X568" s="170" t="s">
        <v>3649</v>
      </c>
      <c r="Y568" s="608">
        <v>44198</v>
      </c>
      <c r="Z568" s="1373" t="s">
        <v>4289</v>
      </c>
      <c r="AA568" s="33" t="s">
        <v>3800</v>
      </c>
      <c r="AB568" s="8">
        <v>44197</v>
      </c>
      <c r="AC568" s="4">
        <v>18585634.399999999</v>
      </c>
      <c r="AD568" s="4"/>
      <c r="AE568" s="32"/>
      <c r="AF568" s="582">
        <v>44198</v>
      </c>
      <c r="AG568" s="583">
        <v>44200</v>
      </c>
      <c r="AH568" s="583">
        <v>44200</v>
      </c>
      <c r="AI568" s="1331" t="s">
        <v>74</v>
      </c>
      <c r="AJ568" s="1332" t="s">
        <v>74</v>
      </c>
      <c r="AK568" s="115" t="s">
        <v>3573</v>
      </c>
      <c r="AL568" s="1" t="s">
        <v>68</v>
      </c>
      <c r="AM568" s="5"/>
      <c r="AN568" s="1">
        <v>2532513</v>
      </c>
      <c r="AO568" s="5">
        <v>44208</v>
      </c>
      <c r="AP568" s="1">
        <v>2556203</v>
      </c>
      <c r="AQ568" s="5">
        <v>44333</v>
      </c>
      <c r="AR568" s="279">
        <f>822190.56*2</f>
        <v>1644381.12</v>
      </c>
      <c r="AS568" s="35">
        <v>0</v>
      </c>
      <c r="AT568" s="895">
        <v>8221897.79</v>
      </c>
      <c r="AU568" s="891"/>
      <c r="AV568" s="66" t="s">
        <v>74</v>
      </c>
      <c r="AW568" s="11"/>
      <c r="AX568" s="223" t="s">
        <v>68</v>
      </c>
      <c r="AY568" s="52" t="s">
        <v>68</v>
      </c>
      <c r="AZ568" s="30">
        <v>44271</v>
      </c>
      <c r="BA568" s="5">
        <v>44211</v>
      </c>
      <c r="BB568" s="5">
        <v>44270</v>
      </c>
      <c r="BC568" s="11"/>
      <c r="BD568" s="30">
        <v>44331</v>
      </c>
      <c r="BE568" s="309"/>
      <c r="BF568" s="5">
        <v>44211</v>
      </c>
      <c r="BG568" s="5">
        <v>44270</v>
      </c>
      <c r="BH568" s="5">
        <v>44270</v>
      </c>
      <c r="BI568" s="129">
        <f>8221897.8+7.24</f>
        <v>8221905.04</v>
      </c>
      <c r="BJ568" s="631">
        <v>44334</v>
      </c>
      <c r="BK568" s="336"/>
      <c r="BL568" s="336">
        <v>44209</v>
      </c>
      <c r="BM568" s="71">
        <v>44203</v>
      </c>
      <c r="BN568" s="693" t="s">
        <v>74</v>
      </c>
      <c r="BO568" s="693" t="s">
        <v>74</v>
      </c>
      <c r="BP568" s="693" t="s">
        <v>74</v>
      </c>
      <c r="BQ568" s="693" t="s">
        <v>74</v>
      </c>
      <c r="BR568" s="914" t="s">
        <v>74</v>
      </c>
      <c r="BS568" s="693" t="s">
        <v>74</v>
      </c>
      <c r="BT568" s="693" t="s">
        <v>74</v>
      </c>
      <c r="BU568" s="1392"/>
      <c r="BV568" s="913"/>
      <c r="BW568" s="13"/>
      <c r="BX568" s="1249" t="s">
        <v>3730</v>
      </c>
      <c r="BY568" s="1260" t="s">
        <v>74</v>
      </c>
      <c r="BZ568" s="158" t="s">
        <v>3886</v>
      </c>
      <c r="CA568" s="158" t="s">
        <v>3543</v>
      </c>
      <c r="CB568" s="1222" t="s">
        <v>2094</v>
      </c>
      <c r="CC568" s="38"/>
      <c r="CD568" s="526"/>
      <c r="CE568" s="526"/>
      <c r="CF568" s="526"/>
      <c r="CG568" s="526"/>
      <c r="CH568" s="526"/>
      <c r="CI568" s="526"/>
      <c r="CJ568" s="526"/>
      <c r="CK568" s="15"/>
    </row>
    <row r="569" spans="2:89" ht="114.75" hidden="1" customHeight="1">
      <c r="B569" s="22"/>
      <c r="C569" s="1639"/>
      <c r="D569" s="1639"/>
      <c r="E569" s="911">
        <v>44440</v>
      </c>
      <c r="F569" s="911"/>
      <c r="G569" s="915"/>
      <c r="H569" s="1746"/>
      <c r="I569" s="330"/>
      <c r="J569" s="169">
        <v>2021</v>
      </c>
      <c r="K569" s="1417">
        <v>215005</v>
      </c>
      <c r="L569" s="1417"/>
      <c r="M569" s="170" t="s">
        <v>166</v>
      </c>
      <c r="N569" s="178" t="s">
        <v>3450</v>
      </c>
      <c r="O569" s="172" t="s">
        <v>79</v>
      </c>
      <c r="P569" s="173" t="s">
        <v>3455</v>
      </c>
      <c r="Q569" s="173" t="s">
        <v>2577</v>
      </c>
      <c r="R569" s="174">
        <v>758856.32</v>
      </c>
      <c r="S569" s="590">
        <v>44208</v>
      </c>
      <c r="T569" s="176">
        <v>44271</v>
      </c>
      <c r="U569" s="177">
        <v>44275</v>
      </c>
      <c r="V569" s="105">
        <v>44207</v>
      </c>
      <c r="W569" s="170" t="s">
        <v>3469</v>
      </c>
      <c r="X569" s="170" t="s">
        <v>3649</v>
      </c>
      <c r="Y569" s="608" t="s">
        <v>1177</v>
      </c>
      <c r="Z569" s="1371"/>
      <c r="AA569" s="33"/>
      <c r="AB569" s="8"/>
      <c r="AC569" s="4"/>
      <c r="AD569" s="4"/>
      <c r="AE569" s="32"/>
      <c r="AF569" s="582" t="s">
        <v>68</v>
      </c>
      <c r="AG569" s="583" t="s">
        <v>68</v>
      </c>
      <c r="AH569" s="583" t="s">
        <v>68</v>
      </c>
      <c r="AI569" s="1331" t="s">
        <v>68</v>
      </c>
      <c r="AJ569" s="1332" t="s">
        <v>68</v>
      </c>
      <c r="AK569" s="115"/>
      <c r="AL569" s="1"/>
      <c r="AM569" s="5"/>
      <c r="AN569" s="1"/>
      <c r="AO569" s="5"/>
      <c r="AP569" s="1"/>
      <c r="AQ569" s="5"/>
      <c r="AR569" s="279">
        <v>0</v>
      </c>
      <c r="AS569" s="35">
        <v>0</v>
      </c>
      <c r="AT569" s="895">
        <v>434553.82</v>
      </c>
      <c r="AU569" s="891"/>
      <c r="AV569" s="66" t="s">
        <v>74</v>
      </c>
      <c r="AW569" s="11"/>
      <c r="AX569" s="223" t="s">
        <v>68</v>
      </c>
      <c r="AY569" s="52" t="s">
        <v>68</v>
      </c>
      <c r="AZ569" s="30" t="s">
        <v>74</v>
      </c>
      <c r="BA569" s="5"/>
      <c r="BB569" s="5"/>
      <c r="BC569" s="11"/>
      <c r="BD569" s="230" t="s">
        <v>74</v>
      </c>
      <c r="BE569" s="508"/>
      <c r="BF569" s="5"/>
      <c r="BG569" s="5"/>
      <c r="BH569" s="5"/>
      <c r="BI569" s="245"/>
      <c r="BJ569" s="239" t="s">
        <v>74</v>
      </c>
      <c r="BK569" s="1401"/>
      <c r="BL569" s="336"/>
      <c r="BM569" s="71"/>
      <c r="BN569" s="693"/>
      <c r="BO569" s="693"/>
      <c r="BP569" s="693"/>
      <c r="BQ569" s="693"/>
      <c r="BR569" s="914"/>
      <c r="BS569" s="693"/>
      <c r="BT569" s="1265"/>
      <c r="BU569" s="1392"/>
      <c r="BV569" s="913"/>
      <c r="BW569" s="13"/>
      <c r="BX569" s="1249" t="s">
        <v>3730</v>
      </c>
      <c r="BY569" s="1260"/>
      <c r="BZ569" s="158"/>
      <c r="CA569" s="158"/>
      <c r="CB569" s="1222" t="s">
        <v>2094</v>
      </c>
      <c r="CC569" s="38"/>
      <c r="CD569" s="526"/>
      <c r="CE569" s="526"/>
      <c r="CF569" s="526"/>
      <c r="CG569" s="526"/>
      <c r="CH569" s="526"/>
      <c r="CI569" s="526"/>
      <c r="CJ569" s="526"/>
      <c r="CK569" s="15"/>
    </row>
    <row r="570" spans="2:89" ht="107.25" hidden="1" customHeight="1">
      <c r="B570" s="22"/>
      <c r="C570" s="1639"/>
      <c r="D570" s="1639"/>
      <c r="E570" s="911">
        <v>44407</v>
      </c>
      <c r="F570" s="911"/>
      <c r="G570" s="915">
        <v>44447</v>
      </c>
      <c r="H570" s="1746"/>
      <c r="I570" s="330">
        <v>44449</v>
      </c>
      <c r="J570" s="169">
        <v>2021</v>
      </c>
      <c r="K570" s="1417">
        <v>215006</v>
      </c>
      <c r="L570" s="1417"/>
      <c r="M570" s="170" t="s">
        <v>77</v>
      </c>
      <c r="N570" s="178" t="s">
        <v>3451</v>
      </c>
      <c r="O570" s="172" t="s">
        <v>79</v>
      </c>
      <c r="P570" s="173" t="s">
        <v>3468</v>
      </c>
      <c r="Q570" s="173" t="s">
        <v>1975</v>
      </c>
      <c r="R570" s="174">
        <f>565911.43+662470.72+151259.58</f>
        <v>1379641.73</v>
      </c>
      <c r="S570" s="590">
        <v>44208</v>
      </c>
      <c r="T570" s="176">
        <v>44211</v>
      </c>
      <c r="U570" s="177">
        <v>44256</v>
      </c>
      <c r="V570" s="105">
        <v>44207</v>
      </c>
      <c r="W570" s="178" t="s">
        <v>3472</v>
      </c>
      <c r="X570" s="170" t="s">
        <v>3650</v>
      </c>
      <c r="Y570" s="608">
        <v>44198</v>
      </c>
      <c r="Z570" s="1371" t="s">
        <v>74</v>
      </c>
      <c r="AA570" s="33" t="s">
        <v>3800</v>
      </c>
      <c r="AB570" s="8">
        <v>44197</v>
      </c>
      <c r="AC570" s="4">
        <v>18585634.399999999</v>
      </c>
      <c r="AD570" s="4"/>
      <c r="AE570" s="32"/>
      <c r="AF570" s="34" t="s">
        <v>68</v>
      </c>
      <c r="AG570" s="112" t="s">
        <v>68</v>
      </c>
      <c r="AH570" s="112" t="s">
        <v>68</v>
      </c>
      <c r="AI570" s="7" t="s">
        <v>68</v>
      </c>
      <c r="AJ570" s="109" t="s">
        <v>68</v>
      </c>
      <c r="AK570" s="33" t="s">
        <v>855</v>
      </c>
      <c r="AL570" s="1" t="s">
        <v>68</v>
      </c>
      <c r="AM570" s="5"/>
      <c r="AN570" s="1">
        <v>21582</v>
      </c>
      <c r="AO570" s="5">
        <v>44211</v>
      </c>
      <c r="AP570" s="1">
        <v>21586</v>
      </c>
      <c r="AQ570" s="5">
        <v>44256</v>
      </c>
      <c r="AR570" s="279">
        <f>137964.17*2</f>
        <v>275928.34000000003</v>
      </c>
      <c r="AS570" s="35">
        <v>0</v>
      </c>
      <c r="AT570" s="895">
        <v>1239899.07</v>
      </c>
      <c r="AU570" s="891"/>
      <c r="AV570" s="70">
        <v>44214</v>
      </c>
      <c r="AW570" s="11">
        <v>44266</v>
      </c>
      <c r="AX570" s="223" t="s">
        <v>68</v>
      </c>
      <c r="AY570" s="52" t="s">
        <v>68</v>
      </c>
      <c r="AZ570" s="30">
        <v>44267</v>
      </c>
      <c r="BA570" s="5">
        <v>44211</v>
      </c>
      <c r="BB570" s="5">
        <v>44270</v>
      </c>
      <c r="BC570" s="11"/>
      <c r="BD570" s="30">
        <v>44270</v>
      </c>
      <c r="BE570" s="309"/>
      <c r="BF570" s="5">
        <v>44211</v>
      </c>
      <c r="BG570" s="5">
        <v>44270</v>
      </c>
      <c r="BH570" s="5">
        <v>44266</v>
      </c>
      <c r="BI570" s="129">
        <f>AT570+AU570</f>
        <v>1239899.07</v>
      </c>
      <c r="BJ570" s="631">
        <v>44271</v>
      </c>
      <c r="BK570" s="336"/>
      <c r="BL570" s="1093" t="s">
        <v>3839</v>
      </c>
      <c r="BM570" s="71">
        <v>44211</v>
      </c>
      <c r="BN570" s="71">
        <v>44211</v>
      </c>
      <c r="BO570" s="693" t="s">
        <v>74</v>
      </c>
      <c r="BP570" s="71">
        <v>44211</v>
      </c>
      <c r="BQ570" s="71">
        <v>44211</v>
      </c>
      <c r="BR570" s="914" t="s">
        <v>74</v>
      </c>
      <c r="BS570" s="71">
        <v>44265</v>
      </c>
      <c r="BT570" s="914"/>
      <c r="BU570" s="1318"/>
      <c r="BV570" s="1357"/>
      <c r="BW570" s="13"/>
      <c r="BX570" s="1249" t="s">
        <v>3730</v>
      </c>
      <c r="BY570" s="1260" t="s">
        <v>74</v>
      </c>
      <c r="BZ570" s="158" t="s">
        <v>551</v>
      </c>
      <c r="CA570" s="158" t="s">
        <v>3543</v>
      </c>
      <c r="CB570" s="1222" t="s">
        <v>2094</v>
      </c>
      <c r="CC570" s="38"/>
      <c r="CD570" s="526"/>
      <c r="CE570" s="526"/>
      <c r="CF570" s="526"/>
      <c r="CG570" s="526"/>
      <c r="CH570" s="526"/>
      <c r="CI570" s="526"/>
      <c r="CJ570" s="526"/>
      <c r="CK570" s="15"/>
    </row>
    <row r="571" spans="2:89" s="104" customFormat="1" ht="78.75" hidden="1" customHeight="1">
      <c r="B571" s="81"/>
      <c r="C571" s="1641"/>
      <c r="D571" s="1641"/>
      <c r="E571" s="989"/>
      <c r="F571" s="989"/>
      <c r="G571" s="123">
        <v>44377</v>
      </c>
      <c r="H571" s="1796"/>
      <c r="I571" s="620"/>
      <c r="J571" s="990">
        <v>2021</v>
      </c>
      <c r="K571" s="1419">
        <v>215007</v>
      </c>
      <c r="L571" s="1419"/>
      <c r="M571" s="621" t="s">
        <v>166</v>
      </c>
      <c r="N571" s="626" t="s">
        <v>3452</v>
      </c>
      <c r="O571" s="655" t="s">
        <v>251</v>
      </c>
      <c r="P571" s="656" t="s">
        <v>3458</v>
      </c>
      <c r="Q571" s="656"/>
      <c r="R571" s="622">
        <v>101577.38</v>
      </c>
      <c r="S571" s="623">
        <v>44208</v>
      </c>
      <c r="T571" s="624">
        <v>44270</v>
      </c>
      <c r="U571" s="625">
        <v>44275</v>
      </c>
      <c r="V571" s="370">
        <v>44207</v>
      </c>
      <c r="W571" s="626" t="s">
        <v>3472</v>
      </c>
      <c r="X571" s="621" t="s">
        <v>3650</v>
      </c>
      <c r="Y571" s="554" t="s">
        <v>1177</v>
      </c>
      <c r="Z571" s="1363"/>
      <c r="AA571" s="90" t="s">
        <v>3800</v>
      </c>
      <c r="AB571" s="92">
        <v>44197</v>
      </c>
      <c r="AC571" s="86">
        <v>18585634.399999999</v>
      </c>
      <c r="AD571" s="86"/>
      <c r="AE571" s="93"/>
      <c r="AF571" s="94" t="s">
        <v>68</v>
      </c>
      <c r="AG571" s="113" t="s">
        <v>68</v>
      </c>
      <c r="AH571" s="113" t="s">
        <v>68</v>
      </c>
      <c r="AI571" s="95" t="s">
        <v>68</v>
      </c>
      <c r="AJ571" s="110" t="s">
        <v>68</v>
      </c>
      <c r="AK571" s="90"/>
      <c r="AL571" s="96"/>
      <c r="AM571" s="88"/>
      <c r="AN571" s="96"/>
      <c r="AO571" s="88"/>
      <c r="AP571" s="96"/>
      <c r="AQ571" s="88"/>
      <c r="AR571" s="284">
        <v>0</v>
      </c>
      <c r="AS571" s="98">
        <v>0</v>
      </c>
      <c r="AT571" s="898"/>
      <c r="AU571" s="887"/>
      <c r="AV571" s="641" t="s">
        <v>74</v>
      </c>
      <c r="AW571" s="89"/>
      <c r="AX571" s="338" t="s">
        <v>68</v>
      </c>
      <c r="AY571" s="101" t="s">
        <v>68</v>
      </c>
      <c r="AZ571" s="641" t="s">
        <v>74</v>
      </c>
      <c r="BA571" s="88"/>
      <c r="BB571" s="88"/>
      <c r="BC571" s="89"/>
      <c r="BD571" s="641" t="s">
        <v>74</v>
      </c>
      <c r="BE571" s="1628"/>
      <c r="BF571" s="88"/>
      <c r="BG571" s="88"/>
      <c r="BH571" s="88"/>
      <c r="BI571" s="99"/>
      <c r="BJ571" s="1489" t="s">
        <v>74</v>
      </c>
      <c r="BK571" s="1822"/>
      <c r="BL571" s="1530" t="s">
        <v>3770</v>
      </c>
      <c r="BM571" s="856"/>
      <c r="BN571" s="856"/>
      <c r="BO571" s="991"/>
      <c r="BP571" s="991"/>
      <c r="BQ571" s="991"/>
      <c r="BR571" s="914"/>
      <c r="BS571" s="991"/>
      <c r="BT571" s="991"/>
      <c r="BU571" s="991"/>
      <c r="BV571" s="855"/>
      <c r="BW571" s="102"/>
      <c r="BX571" s="1256" t="s">
        <v>3730</v>
      </c>
      <c r="BY571" s="102" t="s">
        <v>551</v>
      </c>
      <c r="BZ571" s="102"/>
      <c r="CA571" s="102"/>
      <c r="CB571" s="1403" t="s">
        <v>2094</v>
      </c>
      <c r="CC571" s="857"/>
      <c r="CD571" s="527"/>
      <c r="CE571" s="527"/>
      <c r="CF571" s="527"/>
      <c r="CG571" s="527"/>
      <c r="CH571" s="527"/>
      <c r="CI571" s="527"/>
      <c r="CJ571" s="527"/>
      <c r="CK571" s="627"/>
    </row>
    <row r="572" spans="2:89" ht="138" hidden="1" customHeight="1">
      <c r="B572" s="22"/>
      <c r="C572" s="1639"/>
      <c r="D572" s="1639"/>
      <c r="E572" s="911">
        <v>44407</v>
      </c>
      <c r="F572" s="911"/>
      <c r="G572" s="915">
        <v>44449</v>
      </c>
      <c r="H572" s="1746"/>
      <c r="I572" s="330">
        <v>44449</v>
      </c>
      <c r="J572" s="169">
        <v>2021</v>
      </c>
      <c r="K572" s="1417">
        <v>215008</v>
      </c>
      <c r="L572" s="1417"/>
      <c r="M572" s="170" t="s">
        <v>77</v>
      </c>
      <c r="N572" s="178" t="s">
        <v>3453</v>
      </c>
      <c r="O572" s="172" t="s">
        <v>79</v>
      </c>
      <c r="P572" s="173" t="s">
        <v>3457</v>
      </c>
      <c r="Q572" s="173" t="s">
        <v>1975</v>
      </c>
      <c r="R572" s="174">
        <v>1301387.07</v>
      </c>
      <c r="S572" s="590">
        <v>44200</v>
      </c>
      <c r="T572" s="176">
        <v>44201</v>
      </c>
      <c r="U572" s="177">
        <v>44270</v>
      </c>
      <c r="V572" s="105">
        <v>44197</v>
      </c>
      <c r="W572" s="178" t="s">
        <v>2937</v>
      </c>
      <c r="X572" s="170" t="s">
        <v>3650</v>
      </c>
      <c r="Y572" s="200">
        <v>44198</v>
      </c>
      <c r="Z572" s="1372" t="s">
        <v>4616</v>
      </c>
      <c r="AA572" s="33" t="s">
        <v>3800</v>
      </c>
      <c r="AB572" s="8">
        <v>44197</v>
      </c>
      <c r="AC572" s="4">
        <v>18585634.399999999</v>
      </c>
      <c r="AD572" s="4"/>
      <c r="AE572" s="32"/>
      <c r="AF572" s="34" t="s">
        <v>68</v>
      </c>
      <c r="AG572" s="112" t="s">
        <v>68</v>
      </c>
      <c r="AH572" s="112" t="s">
        <v>68</v>
      </c>
      <c r="AI572" s="7" t="s">
        <v>68</v>
      </c>
      <c r="AJ572" s="109" t="s">
        <v>68</v>
      </c>
      <c r="AK572" s="115" t="s">
        <v>3890</v>
      </c>
      <c r="AL572" s="1" t="s">
        <v>68</v>
      </c>
      <c r="AM572" s="5"/>
      <c r="AN572" s="1">
        <v>2531210</v>
      </c>
      <c r="AO572" s="5">
        <v>44200</v>
      </c>
      <c r="AP572" s="1396" t="s">
        <v>3889</v>
      </c>
      <c r="AQ572" s="5">
        <v>44270</v>
      </c>
      <c r="AR572" s="279">
        <f>130138.71+113472.62</f>
        <v>243611.33000000002</v>
      </c>
      <c r="AS572" s="35">
        <v>0</v>
      </c>
      <c r="AT572" s="895">
        <v>1116853.6100000001</v>
      </c>
      <c r="AU572" s="891"/>
      <c r="AV572" s="66" t="s">
        <v>74</v>
      </c>
      <c r="AW572" s="11"/>
      <c r="AX572" s="223" t="s">
        <v>68</v>
      </c>
      <c r="AY572" s="52" t="s">
        <v>68</v>
      </c>
      <c r="AZ572" s="30">
        <v>44270</v>
      </c>
      <c r="BA572" s="5">
        <v>44201</v>
      </c>
      <c r="BB572" s="5">
        <v>44270</v>
      </c>
      <c r="BC572" s="11">
        <v>44270</v>
      </c>
      <c r="BD572" s="30"/>
      <c r="BE572" s="309"/>
      <c r="BF572" s="5"/>
      <c r="BG572" s="5"/>
      <c r="BH572" s="5"/>
      <c r="BI572" s="36">
        <f>AT572</f>
        <v>1116853.6100000001</v>
      </c>
      <c r="BJ572" s="197" t="s">
        <v>74</v>
      </c>
      <c r="BK572" s="1246"/>
      <c r="BL572" s="1093" t="s">
        <v>3839</v>
      </c>
      <c r="BM572" s="1007"/>
      <c r="BN572" s="1007"/>
      <c r="BO572" s="1043"/>
      <c r="BP572" s="1043"/>
      <c r="BQ572" s="1043"/>
      <c r="BR572" s="914"/>
      <c r="BS572" s="1043"/>
      <c r="BT572" s="1043"/>
      <c r="BU572" s="696"/>
      <c r="BV572" s="694"/>
      <c r="BW572" s="13"/>
      <c r="BX572" s="1249" t="s">
        <v>3730</v>
      </c>
      <c r="BY572" s="1260" t="s">
        <v>74</v>
      </c>
      <c r="BZ572" s="158"/>
      <c r="CA572" s="158"/>
      <c r="CB572" s="1222" t="s">
        <v>2094</v>
      </c>
      <c r="CC572" s="38"/>
      <c r="CD572" s="526"/>
      <c r="CE572" s="526"/>
      <c r="CF572" s="526"/>
      <c r="CG572" s="526"/>
      <c r="CH572" s="526"/>
      <c r="CI572" s="526"/>
      <c r="CJ572" s="526"/>
      <c r="CK572" s="15"/>
    </row>
    <row r="573" spans="2:89" ht="112.5" hidden="1" customHeight="1">
      <c r="B573" s="22"/>
      <c r="C573" s="1639"/>
      <c r="D573" s="1639"/>
      <c r="E573" s="911">
        <v>44440</v>
      </c>
      <c r="F573" s="911"/>
      <c r="G573" s="915">
        <v>44762</v>
      </c>
      <c r="H573" s="1746"/>
      <c r="I573" s="330"/>
      <c r="J573" s="169">
        <v>2021</v>
      </c>
      <c r="K573" s="1417">
        <v>215009</v>
      </c>
      <c r="L573" s="1417"/>
      <c r="M573" s="170" t="s">
        <v>166</v>
      </c>
      <c r="N573" s="178" t="s">
        <v>3454</v>
      </c>
      <c r="O573" s="172" t="s">
        <v>3212</v>
      </c>
      <c r="P573" s="173" t="s">
        <v>3476</v>
      </c>
      <c r="Q573" s="173" t="s">
        <v>2577</v>
      </c>
      <c r="R573" s="594">
        <f>690727.9+887014.29+408294.56+631668.91</f>
        <v>2617705.66</v>
      </c>
      <c r="S573" s="590">
        <v>44208</v>
      </c>
      <c r="T573" s="176">
        <v>44227</v>
      </c>
      <c r="U573" s="177">
        <v>44270</v>
      </c>
      <c r="V573" s="105" t="s">
        <v>1428</v>
      </c>
      <c r="W573" s="178" t="s">
        <v>2937</v>
      </c>
      <c r="X573" s="170" t="s">
        <v>3650</v>
      </c>
      <c r="Y573" s="200" t="s">
        <v>1177</v>
      </c>
      <c r="Z573" s="1373" t="s">
        <v>4289</v>
      </c>
      <c r="AA573" s="33" t="s">
        <v>3800</v>
      </c>
      <c r="AB573" s="8">
        <v>44197</v>
      </c>
      <c r="AC573" s="4">
        <v>18585634.399999999</v>
      </c>
      <c r="AD573" s="4"/>
      <c r="AE573" s="32"/>
      <c r="AF573" s="708">
        <v>44198</v>
      </c>
      <c r="AG573" s="583">
        <v>44200</v>
      </c>
      <c r="AH573" s="583">
        <v>44200</v>
      </c>
      <c r="AI573" s="584">
        <v>44203</v>
      </c>
      <c r="AJ573" s="685">
        <v>44203</v>
      </c>
      <c r="AK573" s="344" t="s">
        <v>876</v>
      </c>
      <c r="AL573" s="1" t="s">
        <v>68</v>
      </c>
      <c r="AM573" s="5"/>
      <c r="AN573" s="1" t="s">
        <v>3888</v>
      </c>
      <c r="AO573" s="5">
        <v>44208</v>
      </c>
      <c r="AP573" s="1139" t="s">
        <v>4452</v>
      </c>
      <c r="AQ573" s="5">
        <v>44277</v>
      </c>
      <c r="AR573" s="279">
        <f>261770.57+148094.37</f>
        <v>409864.94</v>
      </c>
      <c r="AS573" s="35">
        <v>0</v>
      </c>
      <c r="AT573" s="895">
        <v>1480943.65</v>
      </c>
      <c r="AU573" s="891"/>
      <c r="AV573" s="66" t="s">
        <v>74</v>
      </c>
      <c r="AW573" s="59"/>
      <c r="AX573" s="223" t="s">
        <v>68</v>
      </c>
      <c r="AY573" s="52" t="s">
        <v>68</v>
      </c>
      <c r="AZ573" s="30">
        <v>44277</v>
      </c>
      <c r="BA573" s="5">
        <v>44227</v>
      </c>
      <c r="BB573" s="5">
        <v>44270</v>
      </c>
      <c r="BC573" s="11">
        <v>44277</v>
      </c>
      <c r="BD573" s="30">
        <v>44277</v>
      </c>
      <c r="BE573" s="309"/>
      <c r="BF573" s="5">
        <v>44201</v>
      </c>
      <c r="BG573" s="5">
        <v>44270</v>
      </c>
      <c r="BH573" s="5">
        <v>44277</v>
      </c>
      <c r="BI573" s="64">
        <v>1137012.22</v>
      </c>
      <c r="BJ573" s="390">
        <v>44277</v>
      </c>
      <c r="BK573" s="52"/>
      <c r="BL573" s="70">
        <v>44227</v>
      </c>
      <c r="BM573" s="71">
        <v>44227</v>
      </c>
      <c r="BN573" s="71">
        <v>44227</v>
      </c>
      <c r="BO573" s="693" t="s">
        <v>74</v>
      </c>
      <c r="BP573" s="914">
        <v>44211</v>
      </c>
      <c r="BQ573" s="914">
        <v>44201</v>
      </c>
      <c r="BR573" s="914">
        <v>44218</v>
      </c>
      <c r="BS573" s="914">
        <v>44277</v>
      </c>
      <c r="BT573" s="693" t="s">
        <v>74</v>
      </c>
      <c r="BU573" s="696"/>
      <c r="BV573" s="694"/>
      <c r="BW573" s="13"/>
      <c r="BX573" s="1249" t="s">
        <v>3730</v>
      </c>
      <c r="BY573" s="13"/>
      <c r="BZ573" s="13"/>
      <c r="CA573" s="13"/>
      <c r="CB573" s="1222" t="s">
        <v>2094</v>
      </c>
      <c r="CC573" s="38"/>
      <c r="CD573" s="526"/>
      <c r="CE573" s="526"/>
      <c r="CF573" s="526"/>
      <c r="CG573" s="526"/>
      <c r="CH573" s="526"/>
      <c r="CI573" s="526"/>
      <c r="CJ573" s="526"/>
      <c r="CK573" s="15"/>
    </row>
    <row r="574" spans="2:89" ht="108.75" hidden="1" customHeight="1">
      <c r="B574" s="22"/>
      <c r="C574" s="1639"/>
      <c r="D574" s="1639"/>
      <c r="E574" s="911">
        <v>44440</v>
      </c>
      <c r="F574" s="911"/>
      <c r="G574" s="915">
        <v>44468</v>
      </c>
      <c r="H574" s="1746"/>
      <c r="I574" s="330"/>
      <c r="J574" s="169">
        <v>2021</v>
      </c>
      <c r="K574" s="1417">
        <v>215010</v>
      </c>
      <c r="L574" s="1417"/>
      <c r="M574" s="170" t="s">
        <v>867</v>
      </c>
      <c r="N574" s="178" t="s">
        <v>3613</v>
      </c>
      <c r="O574" s="172" t="s">
        <v>3212</v>
      </c>
      <c r="P574" s="173" t="s">
        <v>3731</v>
      </c>
      <c r="Q574" s="173" t="s">
        <v>1975</v>
      </c>
      <c r="R574" s="174">
        <v>4895145.74</v>
      </c>
      <c r="S574" s="590">
        <v>44239</v>
      </c>
      <c r="T574" s="176">
        <v>44242</v>
      </c>
      <c r="U574" s="177">
        <v>44331</v>
      </c>
      <c r="V574" s="105" t="s">
        <v>1428</v>
      </c>
      <c r="W574" s="178" t="s">
        <v>1319</v>
      </c>
      <c r="X574" s="170" t="s">
        <v>213</v>
      </c>
      <c r="Y574" s="461" t="s">
        <v>74</v>
      </c>
      <c r="Z574" s="1373" t="s">
        <v>4289</v>
      </c>
      <c r="AA574" s="33" t="s">
        <v>3803</v>
      </c>
      <c r="AB574" s="8">
        <v>44197</v>
      </c>
      <c r="AC574" s="4">
        <v>5000000</v>
      </c>
      <c r="AD574" s="4"/>
      <c r="AE574" s="32"/>
      <c r="AF574" s="708">
        <v>44225</v>
      </c>
      <c r="AG574" s="1334" t="s">
        <v>74</v>
      </c>
      <c r="AH574" s="180">
        <v>44229</v>
      </c>
      <c r="AI574" s="179">
        <v>44235</v>
      </c>
      <c r="AJ574" s="685">
        <v>44237</v>
      </c>
      <c r="AK574" s="115" t="s">
        <v>1294</v>
      </c>
      <c r="AL574" s="2" t="s">
        <v>3917</v>
      </c>
      <c r="AM574" s="238">
        <v>44267</v>
      </c>
      <c r="AN574" s="2" t="s">
        <v>3918</v>
      </c>
      <c r="AO574" s="238">
        <v>44239</v>
      </c>
      <c r="AP574" s="131" t="s">
        <v>74</v>
      </c>
      <c r="AQ574" s="238"/>
      <c r="AR574" s="279">
        <f>1223786.43+489514.57</f>
        <v>1713301</v>
      </c>
      <c r="AS574" s="35">
        <v>0</v>
      </c>
      <c r="AT574" s="895">
        <v>5000000</v>
      </c>
      <c r="AU574" s="891"/>
      <c r="AV574" s="66" t="s">
        <v>74</v>
      </c>
      <c r="AW574" s="59"/>
      <c r="AX574" s="223" t="s">
        <v>68</v>
      </c>
      <c r="AY574" s="52" t="s">
        <v>68</v>
      </c>
      <c r="AZ574" s="66">
        <v>44426</v>
      </c>
      <c r="BA574" s="5">
        <v>44319</v>
      </c>
      <c r="BB574" s="5">
        <v>44423</v>
      </c>
      <c r="BC574" s="11">
        <v>44423</v>
      </c>
      <c r="BD574" s="66">
        <v>44426</v>
      </c>
      <c r="BE574" s="1423"/>
      <c r="BF574" s="5">
        <v>44319</v>
      </c>
      <c r="BG574" s="5">
        <v>44423</v>
      </c>
      <c r="BH574" s="5">
        <v>44423</v>
      </c>
      <c r="BI574" s="36">
        <v>5000000</v>
      </c>
      <c r="BJ574" s="537">
        <v>44426</v>
      </c>
      <c r="BK574" s="1100"/>
      <c r="BL574" s="1041" t="s">
        <v>4470</v>
      </c>
      <c r="BM574" s="1007"/>
      <c r="BN574" s="1007"/>
      <c r="BO574" s="1043"/>
      <c r="BP574" s="1043"/>
      <c r="BQ574" s="1043"/>
      <c r="BR574" s="914"/>
      <c r="BS574" s="1043"/>
      <c r="BT574" s="1043"/>
      <c r="BU574" s="696"/>
      <c r="BV574" s="694"/>
      <c r="BW574" s="13"/>
      <c r="BX574" s="1249" t="s">
        <v>3730</v>
      </c>
      <c r="BY574" s="13"/>
      <c r="BZ574" s="13"/>
      <c r="CA574" s="13"/>
      <c r="CB574" s="1222" t="s">
        <v>2094</v>
      </c>
      <c r="CC574" s="38"/>
      <c r="CD574" s="526"/>
      <c r="CE574" s="526"/>
      <c r="CF574" s="526"/>
      <c r="CG574" s="526"/>
      <c r="CH574" s="526"/>
      <c r="CI574" s="526"/>
      <c r="CJ574" s="526"/>
      <c r="CK574" s="15"/>
    </row>
    <row r="575" spans="2:89" ht="75.75" hidden="1" customHeight="1">
      <c r="B575" s="22"/>
      <c r="C575" s="1639"/>
      <c r="D575" s="1639"/>
      <c r="E575" s="911">
        <v>44440</v>
      </c>
      <c r="F575" s="911"/>
      <c r="G575" s="915">
        <v>44468</v>
      </c>
      <c r="H575" s="1746"/>
      <c r="I575" s="330"/>
      <c r="J575" s="169">
        <v>2021</v>
      </c>
      <c r="K575" s="1417">
        <v>215011</v>
      </c>
      <c r="L575" s="1417"/>
      <c r="M575" s="170" t="s">
        <v>867</v>
      </c>
      <c r="N575" s="178" t="s">
        <v>3612</v>
      </c>
      <c r="O575" s="172" t="s">
        <v>3212</v>
      </c>
      <c r="P575" s="595" t="s">
        <v>3732</v>
      </c>
      <c r="Q575" s="173" t="s">
        <v>3623</v>
      </c>
      <c r="R575" s="1314">
        <v>3973863.2</v>
      </c>
      <c r="S575" s="589">
        <v>44278</v>
      </c>
      <c r="T575" s="609">
        <v>44280</v>
      </c>
      <c r="U575" s="610">
        <v>44347</v>
      </c>
      <c r="V575" s="68" t="s">
        <v>1428</v>
      </c>
      <c r="W575" s="647" t="s">
        <v>3733</v>
      </c>
      <c r="X575" s="170" t="s">
        <v>3649</v>
      </c>
      <c r="Y575" s="461" t="s">
        <v>74</v>
      </c>
      <c r="Z575" s="1373" t="s">
        <v>4289</v>
      </c>
      <c r="AA575" s="33" t="s">
        <v>3804</v>
      </c>
      <c r="AB575" s="8">
        <v>44197</v>
      </c>
      <c r="AC575" s="4">
        <v>7586594.4000000004</v>
      </c>
      <c r="AD575" s="4"/>
      <c r="AE575" s="32"/>
      <c r="AF575" s="708">
        <v>44225</v>
      </c>
      <c r="AG575" s="180">
        <v>44229</v>
      </c>
      <c r="AH575" s="180">
        <v>44229</v>
      </c>
      <c r="AI575" s="1331" t="s">
        <v>74</v>
      </c>
      <c r="AJ575" s="685">
        <v>44235</v>
      </c>
      <c r="AK575" s="115" t="s">
        <v>3920</v>
      </c>
      <c r="AL575" s="388">
        <v>2575020</v>
      </c>
      <c r="AM575" s="238">
        <v>44333</v>
      </c>
      <c r="AN575" s="2">
        <v>2560229</v>
      </c>
      <c r="AO575" s="238">
        <v>44343</v>
      </c>
      <c r="AP575" s="131">
        <v>2614048</v>
      </c>
      <c r="AQ575" s="238">
        <v>44511</v>
      </c>
      <c r="AR575" s="279">
        <f>392270.12</f>
        <v>392270.12</v>
      </c>
      <c r="AS575" s="35">
        <v>0</v>
      </c>
      <c r="AT575" s="895">
        <v>4000000</v>
      </c>
      <c r="AU575" s="891"/>
      <c r="AV575" s="70">
        <v>44330</v>
      </c>
      <c r="AW575" s="59">
        <v>44370</v>
      </c>
      <c r="AX575" s="223" t="s">
        <v>68</v>
      </c>
      <c r="AY575" s="52" t="s">
        <v>68</v>
      </c>
      <c r="AZ575" s="66">
        <v>44440</v>
      </c>
      <c r="BA575" s="5">
        <v>44333</v>
      </c>
      <c r="BB575" s="5">
        <v>44439</v>
      </c>
      <c r="BC575" s="11">
        <v>44439</v>
      </c>
      <c r="BD575" s="66" t="s">
        <v>74</v>
      </c>
      <c r="BE575" s="1423"/>
      <c r="BF575" s="5"/>
      <c r="BG575" s="5"/>
      <c r="BH575" s="5"/>
      <c r="BI575" s="36"/>
      <c r="BJ575" s="537">
        <v>44440</v>
      </c>
      <c r="BK575" s="1100"/>
      <c r="BL575" s="1389">
        <v>44242</v>
      </c>
      <c r="BM575" s="1007"/>
      <c r="BN575" s="1390">
        <v>44333</v>
      </c>
      <c r="BO575" s="1043"/>
      <c r="BP575" s="1043"/>
      <c r="BQ575" s="1043"/>
      <c r="BR575" s="914"/>
      <c r="BS575" s="1391">
        <v>44440</v>
      </c>
      <c r="BT575" s="1043"/>
      <c r="BU575" s="696"/>
      <c r="BV575" s="694"/>
      <c r="BW575" s="13"/>
      <c r="BX575" s="158"/>
      <c r="BY575" s="13"/>
      <c r="BZ575" s="13"/>
      <c r="CA575" s="13"/>
      <c r="CB575" s="1222" t="s">
        <v>2094</v>
      </c>
      <c r="CC575" s="38" t="s">
        <v>4471</v>
      </c>
      <c r="CD575" s="526"/>
      <c r="CE575" s="526"/>
      <c r="CF575" s="526"/>
      <c r="CG575" s="526"/>
      <c r="CH575" s="526"/>
      <c r="CI575" s="526"/>
      <c r="CJ575" s="526"/>
      <c r="CK575" s="15"/>
    </row>
    <row r="576" spans="2:89" s="1050" customFormat="1" ht="85.5" hidden="1" customHeight="1">
      <c r="B576" s="1051"/>
      <c r="C576" s="1642"/>
      <c r="D576" s="1642"/>
      <c r="E576" s="1052"/>
      <c r="F576" s="1052"/>
      <c r="G576" s="553"/>
      <c r="H576" s="620"/>
      <c r="I576" s="620"/>
      <c r="J576" s="1053">
        <v>2021</v>
      </c>
      <c r="K576" s="1420">
        <v>215012</v>
      </c>
      <c r="L576" s="1420"/>
      <c r="M576" s="1054" t="s">
        <v>166</v>
      </c>
      <c r="N576" s="1055" t="s">
        <v>3601</v>
      </c>
      <c r="O576" s="790" t="s">
        <v>251</v>
      </c>
      <c r="P576" s="1056" t="s">
        <v>3614</v>
      </c>
      <c r="Q576" s="1056"/>
      <c r="R576" s="1057">
        <v>144561.23000000001</v>
      </c>
      <c r="S576" s="1058"/>
      <c r="T576" s="1059">
        <v>44228</v>
      </c>
      <c r="U576" s="1060">
        <v>44255</v>
      </c>
      <c r="V576" s="1061">
        <v>44228</v>
      </c>
      <c r="W576" s="1055" t="s">
        <v>2932</v>
      </c>
      <c r="X576" s="1054"/>
      <c r="Y576" s="1087"/>
      <c r="Z576" s="1378"/>
      <c r="AA576" s="308"/>
      <c r="AB576" s="1063"/>
      <c r="AC576" s="1064"/>
      <c r="AD576" s="1064"/>
      <c r="AE576" s="1065"/>
      <c r="AF576" s="1066" t="s">
        <v>68</v>
      </c>
      <c r="AG576" s="1067" t="s">
        <v>68</v>
      </c>
      <c r="AH576" s="1067" t="s">
        <v>68</v>
      </c>
      <c r="AI576" s="1068" t="s">
        <v>68</v>
      </c>
      <c r="AJ576" s="1069" t="s">
        <v>68</v>
      </c>
      <c r="AK576" s="308"/>
      <c r="AL576" s="1070"/>
      <c r="AM576" s="1071"/>
      <c r="AN576" s="1070"/>
      <c r="AO576" s="1071"/>
      <c r="AP576" s="1070"/>
      <c r="AQ576" s="1071"/>
      <c r="AR576" s="1072"/>
      <c r="AS576" s="1073"/>
      <c r="AT576" s="1074"/>
      <c r="AU576" s="1075"/>
      <c r="AV576" s="1076"/>
      <c r="AW576" s="1077"/>
      <c r="AX576" s="1078" t="s">
        <v>68</v>
      </c>
      <c r="AY576" s="1079" t="s">
        <v>68</v>
      </c>
      <c r="AZ576" s="1076"/>
      <c r="BA576" s="1071"/>
      <c r="BB576" s="1071"/>
      <c r="BC576" s="1077"/>
      <c r="BD576" s="1076"/>
      <c r="BE576" s="1608"/>
      <c r="BF576" s="1071"/>
      <c r="BG576" s="1071"/>
      <c r="BH576" s="1071"/>
      <c r="BI576" s="1081"/>
      <c r="BJ576" s="1082"/>
      <c r="BK576" s="1816"/>
      <c r="BL576" s="1470"/>
      <c r="BM576" s="1471"/>
      <c r="BN576" s="1471"/>
      <c r="BO576" s="1487"/>
      <c r="BP576" s="1487"/>
      <c r="BQ576" s="1487"/>
      <c r="BR576" s="914"/>
      <c r="BS576" s="1487"/>
      <c r="BT576" s="1487"/>
      <c r="BU576" s="1487"/>
      <c r="BV576" s="1470"/>
      <c r="BW576" s="1082"/>
      <c r="BX576" s="1256" t="s">
        <v>3730</v>
      </c>
      <c r="BY576" s="1082"/>
      <c r="BZ576" s="1082"/>
      <c r="CA576" s="1082"/>
      <c r="CB576" s="1486" t="s">
        <v>2094</v>
      </c>
      <c r="CC576" s="1085"/>
      <c r="CD576" s="789"/>
      <c r="CE576" s="789"/>
      <c r="CF576" s="789"/>
      <c r="CG576" s="789"/>
      <c r="CH576" s="789"/>
      <c r="CI576" s="789"/>
      <c r="CJ576" s="789"/>
      <c r="CK576" s="1086"/>
    </row>
    <row r="577" spans="2:89" ht="144.75" hidden="1" customHeight="1">
      <c r="B577" s="22"/>
      <c r="C577" s="1639"/>
      <c r="D577" s="1639"/>
      <c r="E577" s="911">
        <v>44440</v>
      </c>
      <c r="F577" s="911"/>
      <c r="G577" s="915">
        <v>44441</v>
      </c>
      <c r="H577" s="1746"/>
      <c r="I577" s="330">
        <v>44449</v>
      </c>
      <c r="J577" s="169">
        <v>2021</v>
      </c>
      <c r="K577" s="1417">
        <v>215013</v>
      </c>
      <c r="L577" s="1417"/>
      <c r="M577" s="170" t="s">
        <v>166</v>
      </c>
      <c r="N577" s="178" t="s">
        <v>3602</v>
      </c>
      <c r="O577" s="172" t="s">
        <v>79</v>
      </c>
      <c r="P577" s="173" t="s">
        <v>3610</v>
      </c>
      <c r="Q577" s="173" t="s">
        <v>3623</v>
      </c>
      <c r="R577" s="174">
        <v>1127177.8999999999</v>
      </c>
      <c r="S577" s="590">
        <v>44242</v>
      </c>
      <c r="T577" s="176">
        <v>44242</v>
      </c>
      <c r="U577" s="177">
        <v>44332</v>
      </c>
      <c r="V577" s="105">
        <v>44242</v>
      </c>
      <c r="W577" s="178" t="s">
        <v>2849</v>
      </c>
      <c r="X577" s="170" t="s">
        <v>3649</v>
      </c>
      <c r="Y577" s="200" t="s">
        <v>1177</v>
      </c>
      <c r="Z577" s="368"/>
      <c r="AA577" s="33" t="s">
        <v>3827</v>
      </c>
      <c r="AB577" s="8">
        <v>44197</v>
      </c>
      <c r="AC577" s="4">
        <v>7586594.4000000004</v>
      </c>
      <c r="AD577" s="236" t="s">
        <v>3828</v>
      </c>
      <c r="AE577" s="32">
        <v>8000000</v>
      </c>
      <c r="AF577" s="34" t="s">
        <v>68</v>
      </c>
      <c r="AG577" s="112" t="s">
        <v>68</v>
      </c>
      <c r="AH577" s="112" t="s">
        <v>68</v>
      </c>
      <c r="AI577" s="7" t="s">
        <v>68</v>
      </c>
      <c r="AJ577" s="109" t="s">
        <v>68</v>
      </c>
      <c r="AK577" s="33" t="s">
        <v>3555</v>
      </c>
      <c r="AL577" s="1" t="s">
        <v>3881</v>
      </c>
      <c r="AM577" s="5">
        <v>44292</v>
      </c>
      <c r="AN577" s="1" t="s">
        <v>3882</v>
      </c>
      <c r="AO577" s="5">
        <v>44242</v>
      </c>
      <c r="AP577" s="1" t="s">
        <v>83</v>
      </c>
      <c r="AQ577" s="5"/>
      <c r="AR577" s="279">
        <f>381794.47+112717.79</f>
        <v>494512.25999999995</v>
      </c>
      <c r="AS577" s="35">
        <v>0</v>
      </c>
      <c r="AT577" s="895">
        <v>725739.42</v>
      </c>
      <c r="AU577" s="884"/>
      <c r="AV577" s="66" t="s">
        <v>74</v>
      </c>
      <c r="AW577" s="11"/>
      <c r="AX577" s="223" t="s">
        <v>68</v>
      </c>
      <c r="AY577" s="52" t="s">
        <v>68</v>
      </c>
      <c r="AZ577" s="230">
        <v>44337</v>
      </c>
      <c r="BA577" s="5">
        <v>44242</v>
      </c>
      <c r="BB577" s="5">
        <v>44332</v>
      </c>
      <c r="BC577" s="11">
        <v>44331</v>
      </c>
      <c r="BD577" s="230">
        <v>44337</v>
      </c>
      <c r="BE577" s="508"/>
      <c r="BF577" s="5">
        <v>44242</v>
      </c>
      <c r="BG577" s="5">
        <v>44332</v>
      </c>
      <c r="BH577" s="5">
        <v>44331</v>
      </c>
      <c r="BI577" s="36">
        <f>AS577+AT577</f>
        <v>725739.42</v>
      </c>
      <c r="BJ577" s="62">
        <v>44337</v>
      </c>
      <c r="BK577" s="224"/>
      <c r="BL577" s="336">
        <v>44243</v>
      </c>
      <c r="BM577" s="1390"/>
      <c r="BN577" s="1390"/>
      <c r="BO577" s="1391"/>
      <c r="BP577" s="1391"/>
      <c r="BQ577" s="1391"/>
      <c r="BR577" s="914"/>
      <c r="BS577" s="1391"/>
      <c r="BT577" s="1391"/>
      <c r="BU577" s="696"/>
      <c r="BV577" s="694"/>
      <c r="BW577" s="13"/>
      <c r="BX577" s="1249" t="s">
        <v>3730</v>
      </c>
      <c r="BY577" s="13" t="s">
        <v>1295</v>
      </c>
      <c r="BZ577" s="13" t="s">
        <v>1404</v>
      </c>
      <c r="CA577" s="158" t="s">
        <v>3548</v>
      </c>
      <c r="CB577" s="1222" t="s">
        <v>2094</v>
      </c>
      <c r="CC577" s="38"/>
      <c r="CD577" s="526"/>
      <c r="CE577" s="526"/>
      <c r="CF577" s="526"/>
      <c r="CG577" s="526"/>
      <c r="CH577" s="526"/>
      <c r="CI577" s="526"/>
      <c r="CJ577" s="526"/>
      <c r="CK577" s="15"/>
    </row>
    <row r="578" spans="2:89" ht="134.25" hidden="1" customHeight="1">
      <c r="B578" s="22"/>
      <c r="C578" s="1639"/>
      <c r="D578" s="1639"/>
      <c r="E578" s="911">
        <v>44440</v>
      </c>
      <c r="F578" s="911"/>
      <c r="G578" s="915">
        <v>44441</v>
      </c>
      <c r="H578" s="1746"/>
      <c r="I578" s="330">
        <v>44449</v>
      </c>
      <c r="J578" s="169">
        <v>2021</v>
      </c>
      <c r="K578" s="1417">
        <v>215014</v>
      </c>
      <c r="L578" s="1417"/>
      <c r="M578" s="170" t="s">
        <v>166</v>
      </c>
      <c r="N578" s="178" t="s">
        <v>3603</v>
      </c>
      <c r="O578" s="172" t="s">
        <v>79</v>
      </c>
      <c r="P578" s="173" t="s">
        <v>3611</v>
      </c>
      <c r="Q578" s="173" t="s">
        <v>3623</v>
      </c>
      <c r="R578" s="174">
        <v>1311375.01</v>
      </c>
      <c r="S578" s="590">
        <v>44242</v>
      </c>
      <c r="T578" s="176">
        <v>44242</v>
      </c>
      <c r="U578" s="177">
        <v>44332</v>
      </c>
      <c r="V578" s="105">
        <v>44242</v>
      </c>
      <c r="W578" s="178" t="s">
        <v>3885</v>
      </c>
      <c r="X578" s="170" t="s">
        <v>3649</v>
      </c>
      <c r="Y578" s="200" t="s">
        <v>1177</v>
      </c>
      <c r="Z578" s="368"/>
      <c r="AA578" s="33" t="s">
        <v>3827</v>
      </c>
      <c r="AB578" s="8">
        <v>44197</v>
      </c>
      <c r="AC578" s="4">
        <v>7586594.4000000004</v>
      </c>
      <c r="AD578" s="236" t="s">
        <v>3828</v>
      </c>
      <c r="AE578" s="32">
        <v>8000000</v>
      </c>
      <c r="AF578" s="34" t="s">
        <v>68</v>
      </c>
      <c r="AG578" s="112" t="s">
        <v>68</v>
      </c>
      <c r="AH578" s="112" t="s">
        <v>68</v>
      </c>
      <c r="AI578" s="7" t="s">
        <v>68</v>
      </c>
      <c r="AJ578" s="109" t="s">
        <v>68</v>
      </c>
      <c r="AK578" s="33" t="s">
        <v>3874</v>
      </c>
      <c r="AL578" s="2" t="s">
        <v>3875</v>
      </c>
      <c r="AM578" s="5">
        <v>44242</v>
      </c>
      <c r="AN578" s="1" t="s">
        <v>3876</v>
      </c>
      <c r="AO578" s="5">
        <v>44242</v>
      </c>
      <c r="AP578" s="218" t="s">
        <v>74</v>
      </c>
      <c r="AQ578" s="5"/>
      <c r="AR578" s="279">
        <f>327843.75</f>
        <v>327843.75</v>
      </c>
      <c r="AS578" s="35">
        <v>0</v>
      </c>
      <c r="AT578" s="895">
        <v>940185.83</v>
      </c>
      <c r="AU578" s="884"/>
      <c r="AV578" s="66" t="s">
        <v>74</v>
      </c>
      <c r="AW578" s="11"/>
      <c r="AX578" s="223" t="s">
        <v>68</v>
      </c>
      <c r="AY578" s="52" t="s">
        <v>68</v>
      </c>
      <c r="AZ578" s="230">
        <v>44337</v>
      </c>
      <c r="BA578" s="5">
        <v>44242</v>
      </c>
      <c r="BB578" s="5">
        <v>44332</v>
      </c>
      <c r="BC578" s="11">
        <v>44331</v>
      </c>
      <c r="BD578" s="230">
        <v>44337</v>
      </c>
      <c r="BE578" s="508"/>
      <c r="BF578" s="5">
        <v>44242</v>
      </c>
      <c r="BG578" s="5">
        <v>44332</v>
      </c>
      <c r="BH578" s="5">
        <v>44331</v>
      </c>
      <c r="BI578" s="36">
        <f>AS578+AT578</f>
        <v>940185.83</v>
      </c>
      <c r="BJ578" s="62">
        <v>44337</v>
      </c>
      <c r="BK578" s="224"/>
      <c r="BL578" s="1389"/>
      <c r="BM578" s="1390"/>
      <c r="BN578" s="1390"/>
      <c r="BO578" s="1391"/>
      <c r="BP578" s="1391"/>
      <c r="BQ578" s="1391"/>
      <c r="BR578" s="914"/>
      <c r="BS578" s="1391"/>
      <c r="BT578" s="1391"/>
      <c r="BU578" s="696"/>
      <c r="BV578" s="694"/>
      <c r="BW578" s="13"/>
      <c r="BX578" s="1249" t="s">
        <v>3730</v>
      </c>
      <c r="BY578" s="13" t="s">
        <v>1295</v>
      </c>
      <c r="BZ578" s="13" t="s">
        <v>1404</v>
      </c>
      <c r="CA578" s="158" t="s">
        <v>3548</v>
      </c>
      <c r="CB578" s="1222" t="s">
        <v>2094</v>
      </c>
      <c r="CC578" s="38"/>
      <c r="CD578" s="526"/>
      <c r="CE578" s="526"/>
      <c r="CF578" s="526"/>
      <c r="CG578" s="526"/>
      <c r="CH578" s="526"/>
      <c r="CI578" s="526"/>
      <c r="CJ578" s="526"/>
      <c r="CK578" s="15"/>
    </row>
    <row r="579" spans="2:89" ht="69" hidden="1" customHeight="1">
      <c r="B579" s="22"/>
      <c r="C579" s="1639"/>
      <c r="D579" s="1639"/>
      <c r="E579" s="911">
        <v>44423</v>
      </c>
      <c r="F579" s="911"/>
      <c r="G579" s="915">
        <v>44439</v>
      </c>
      <c r="H579" s="1746"/>
      <c r="I579" s="330">
        <v>44445</v>
      </c>
      <c r="J579" s="169">
        <v>2021</v>
      </c>
      <c r="K579" s="1417">
        <v>215015</v>
      </c>
      <c r="L579" s="1417"/>
      <c r="M579" s="170" t="s">
        <v>166</v>
      </c>
      <c r="N579" s="178" t="s">
        <v>3604</v>
      </c>
      <c r="O579" s="172" t="s">
        <v>79</v>
      </c>
      <c r="P579" s="173" t="s">
        <v>3739</v>
      </c>
      <c r="Q579" s="173" t="s">
        <v>2577</v>
      </c>
      <c r="R579" s="174">
        <v>347784.24</v>
      </c>
      <c r="S579" s="590">
        <v>44305</v>
      </c>
      <c r="T579" s="176">
        <v>44378</v>
      </c>
      <c r="U579" s="177">
        <v>44424</v>
      </c>
      <c r="V579" s="105">
        <v>44302</v>
      </c>
      <c r="W579" s="178" t="s">
        <v>3742</v>
      </c>
      <c r="X579" s="170" t="s">
        <v>1107</v>
      </c>
      <c r="Y579" s="200" t="s">
        <v>1177</v>
      </c>
      <c r="Z579" s="368"/>
      <c r="AA579" s="33" t="s">
        <v>3771</v>
      </c>
      <c r="AB579" s="8">
        <v>44197</v>
      </c>
      <c r="AC579" s="4">
        <v>1300000</v>
      </c>
      <c r="AD579" s="4"/>
      <c r="AE579" s="32"/>
      <c r="AF579" s="34" t="s">
        <v>68</v>
      </c>
      <c r="AG579" s="112" t="s">
        <v>68</v>
      </c>
      <c r="AH579" s="112" t="s">
        <v>68</v>
      </c>
      <c r="AI579" s="7" t="s">
        <v>68</v>
      </c>
      <c r="AJ579" s="109" t="s">
        <v>68</v>
      </c>
      <c r="AK579" s="33" t="s">
        <v>3555</v>
      </c>
      <c r="AL579" s="1" t="s">
        <v>3870</v>
      </c>
      <c r="AM579" s="5">
        <v>44391</v>
      </c>
      <c r="AN579" s="1" t="s">
        <v>3871</v>
      </c>
      <c r="AO579" s="5">
        <v>44391</v>
      </c>
      <c r="AP579" s="1" t="s">
        <v>83</v>
      </c>
      <c r="AQ579" s="5"/>
      <c r="AR579" s="279">
        <f>86946.06+34778.42</f>
        <v>121724.48</v>
      </c>
      <c r="AS579" s="35">
        <v>0</v>
      </c>
      <c r="AT579" s="895">
        <v>347784.24</v>
      </c>
      <c r="AU579" s="891"/>
      <c r="AV579" s="30">
        <v>44405</v>
      </c>
      <c r="AW579" s="11">
        <v>44414</v>
      </c>
      <c r="AX579" s="223" t="s">
        <v>68</v>
      </c>
      <c r="AY579" s="52" t="s">
        <v>68</v>
      </c>
      <c r="AZ579" s="30">
        <v>44417</v>
      </c>
      <c r="BA579" s="5">
        <v>44378</v>
      </c>
      <c r="BB579" s="5">
        <v>44424</v>
      </c>
      <c r="BC579" s="11">
        <v>44414</v>
      </c>
      <c r="BD579" s="30">
        <v>44417</v>
      </c>
      <c r="BE579" s="309"/>
      <c r="BF579" s="5">
        <v>44378</v>
      </c>
      <c r="BG579" s="5">
        <v>44424</v>
      </c>
      <c r="BH579" s="5">
        <v>44414</v>
      </c>
      <c r="BI579" s="36">
        <f>AS579+AT579</f>
        <v>347784.24</v>
      </c>
      <c r="BJ579" s="62">
        <v>44417</v>
      </c>
      <c r="BK579" s="224"/>
      <c r="BL579" s="1357">
        <v>44377</v>
      </c>
      <c r="BM579" s="1317">
        <v>44406</v>
      </c>
      <c r="BN579" s="1317">
        <v>44406</v>
      </c>
      <c r="BO579" s="1388"/>
      <c r="BP579" s="1318">
        <v>44378</v>
      </c>
      <c r="BQ579" s="1318">
        <v>44378</v>
      </c>
      <c r="BR579" s="914">
        <v>44378</v>
      </c>
      <c r="BS579" s="1318">
        <v>44414</v>
      </c>
      <c r="BT579" s="1318"/>
      <c r="BU579" s="1387"/>
      <c r="BV579" s="1386"/>
      <c r="BW579" s="13"/>
      <c r="BX579" s="1309" t="s">
        <v>3872</v>
      </c>
      <c r="BY579" s="158" t="s">
        <v>3542</v>
      </c>
      <c r="BZ579" s="158" t="s">
        <v>3542</v>
      </c>
      <c r="CA579" s="158" t="s">
        <v>3548</v>
      </c>
      <c r="CB579" s="1222" t="s">
        <v>2094</v>
      </c>
      <c r="CC579" s="586" t="s">
        <v>1143</v>
      </c>
      <c r="CD579" s="526"/>
      <c r="CE579" s="526"/>
      <c r="CF579" s="526"/>
      <c r="CG579" s="526"/>
      <c r="CH579" s="526"/>
      <c r="CI579" s="526"/>
      <c r="CJ579" s="526"/>
      <c r="CK579" s="15"/>
    </row>
    <row r="580" spans="2:89" ht="85.5" hidden="1" customHeight="1">
      <c r="B580" s="22"/>
      <c r="C580" s="1639"/>
      <c r="D580" s="1639"/>
      <c r="E580" s="911">
        <v>44440</v>
      </c>
      <c r="F580" s="911"/>
      <c r="G580" s="915">
        <v>44701</v>
      </c>
      <c r="H580" s="1746"/>
      <c r="I580" s="330">
        <v>44727</v>
      </c>
      <c r="J580" s="169">
        <v>2021</v>
      </c>
      <c r="K580" s="1417">
        <v>215016</v>
      </c>
      <c r="L580" s="1417"/>
      <c r="M580" s="170" t="s">
        <v>166</v>
      </c>
      <c r="N580" s="178" t="s">
        <v>3605</v>
      </c>
      <c r="O580" s="172" t="s">
        <v>79</v>
      </c>
      <c r="P580" s="173" t="s">
        <v>3741</v>
      </c>
      <c r="Q580" s="173" t="s">
        <v>1975</v>
      </c>
      <c r="R580" s="174">
        <v>1083547.78</v>
      </c>
      <c r="S580" s="590">
        <v>44308</v>
      </c>
      <c r="T580" s="176">
        <v>44322</v>
      </c>
      <c r="U580" s="177">
        <v>44347</v>
      </c>
      <c r="V580" s="105">
        <v>44302</v>
      </c>
      <c r="W580" s="178" t="s">
        <v>3334</v>
      </c>
      <c r="X580" s="170" t="s">
        <v>3860</v>
      </c>
      <c r="Y580" s="200" t="s">
        <v>1177</v>
      </c>
      <c r="Z580" s="1373" t="s">
        <v>4289</v>
      </c>
      <c r="AA580" s="33" t="s">
        <v>4285</v>
      </c>
      <c r="AB580" s="8">
        <v>44336</v>
      </c>
      <c r="AC580" s="4">
        <v>1083547.78</v>
      </c>
      <c r="AD580" s="4"/>
      <c r="AE580" s="32"/>
      <c r="AF580" s="34" t="s">
        <v>68</v>
      </c>
      <c r="AG580" s="112" t="s">
        <v>68</v>
      </c>
      <c r="AH580" s="112" t="s">
        <v>68</v>
      </c>
      <c r="AI580" s="7" t="s">
        <v>68</v>
      </c>
      <c r="AJ580" s="109" t="s">
        <v>68</v>
      </c>
      <c r="AK580" s="33" t="s">
        <v>1270</v>
      </c>
      <c r="AL580" s="2" t="s">
        <v>4286</v>
      </c>
      <c r="AM580" s="238">
        <v>44308</v>
      </c>
      <c r="AN580" s="2" t="s">
        <v>4287</v>
      </c>
      <c r="AO580" s="238">
        <v>44308</v>
      </c>
      <c r="AP580" s="2" t="s">
        <v>4288</v>
      </c>
      <c r="AQ580" s="5">
        <v>44348</v>
      </c>
      <c r="AR580" s="279">
        <f>270886.94+108354.78+108354.78</f>
        <v>487596.5</v>
      </c>
      <c r="AS580" s="35">
        <v>0</v>
      </c>
      <c r="AT580" s="895">
        <v>1083547.77</v>
      </c>
      <c r="AU580" s="891"/>
      <c r="AV580" s="70">
        <v>44322</v>
      </c>
      <c r="AW580" s="11">
        <v>44347</v>
      </c>
      <c r="AX580" s="223" t="s">
        <v>68</v>
      </c>
      <c r="AY580" s="52" t="s">
        <v>68</v>
      </c>
      <c r="AZ580" s="70">
        <v>44317</v>
      </c>
      <c r="BA580" s="71">
        <v>44322</v>
      </c>
      <c r="BB580" s="71">
        <v>44347</v>
      </c>
      <c r="BC580" s="127">
        <v>44347</v>
      </c>
      <c r="BD580" s="70">
        <v>44348</v>
      </c>
      <c r="BE580" s="1614"/>
      <c r="BF580" s="5">
        <v>44322</v>
      </c>
      <c r="BG580" s="5">
        <v>44347</v>
      </c>
      <c r="BH580" s="5">
        <v>44347</v>
      </c>
      <c r="BI580" s="36">
        <f>AS580+AT580</f>
        <v>1083547.77</v>
      </c>
      <c r="BJ580" s="631">
        <v>44348</v>
      </c>
      <c r="BK580" s="336"/>
      <c r="BL580" s="336">
        <v>44320</v>
      </c>
      <c r="BM580" s="71">
        <v>44322</v>
      </c>
      <c r="BN580" s="71">
        <v>44322</v>
      </c>
      <c r="BO580" s="914" t="s">
        <v>1177</v>
      </c>
      <c r="BP580" s="914">
        <v>44322</v>
      </c>
      <c r="BQ580" s="914">
        <v>44322</v>
      </c>
      <c r="BR580" s="914">
        <v>44322</v>
      </c>
      <c r="BS580" s="914">
        <v>44347</v>
      </c>
      <c r="BT580" s="914">
        <v>44347</v>
      </c>
      <c r="BU580" s="914" t="s">
        <v>68</v>
      </c>
      <c r="BV580" s="336" t="s">
        <v>68</v>
      </c>
      <c r="BW580" s="13"/>
      <c r="BX580" s="158"/>
      <c r="BY580" s="13" t="s">
        <v>1295</v>
      </c>
      <c r="BZ580" s="13" t="s">
        <v>1295</v>
      </c>
      <c r="CA580" s="13" t="s">
        <v>3548</v>
      </c>
      <c r="CB580" s="1222" t="s">
        <v>2094</v>
      </c>
      <c r="CC580" s="1538" t="s">
        <v>1143</v>
      </c>
      <c r="CD580" s="526"/>
      <c r="CE580" s="526"/>
      <c r="CF580" s="526"/>
      <c r="CG580" s="526"/>
      <c r="CH580" s="526"/>
      <c r="CI580" s="526"/>
      <c r="CJ580" s="526"/>
      <c r="CK580" s="15"/>
    </row>
    <row r="581" spans="2:89" ht="67.5" hidden="1" customHeight="1">
      <c r="B581" s="22"/>
      <c r="C581" s="1639"/>
      <c r="D581" s="1639"/>
      <c r="E581" s="911">
        <v>44805</v>
      </c>
      <c r="F581" s="911"/>
      <c r="G581" s="915">
        <v>44701</v>
      </c>
      <c r="H581" s="1746"/>
      <c r="I581" s="330">
        <v>44727</v>
      </c>
      <c r="J581" s="169">
        <v>2021</v>
      </c>
      <c r="K581" s="1417">
        <v>215017</v>
      </c>
      <c r="L581" s="1417"/>
      <c r="M581" s="170" t="s">
        <v>166</v>
      </c>
      <c r="N581" s="178" t="s">
        <v>3606</v>
      </c>
      <c r="O581" s="172" t="s">
        <v>79</v>
      </c>
      <c r="P581" s="173" t="s">
        <v>3902</v>
      </c>
      <c r="Q581" s="173" t="s">
        <v>1975</v>
      </c>
      <c r="R581" s="174">
        <v>652301.56999999995</v>
      </c>
      <c r="S581" s="590">
        <v>44440</v>
      </c>
      <c r="T581" s="176">
        <v>44445</v>
      </c>
      <c r="U581" s="177">
        <v>44463</v>
      </c>
      <c r="V581" s="105">
        <v>44438</v>
      </c>
      <c r="W581" s="178" t="s">
        <v>2851</v>
      </c>
      <c r="X581" s="170" t="s">
        <v>3047</v>
      </c>
      <c r="Y581" s="200" t="s">
        <v>1177</v>
      </c>
      <c r="Z581" s="29" t="s">
        <v>4616</v>
      </c>
      <c r="AA581" s="255"/>
      <c r="AB581" s="8"/>
      <c r="AC581" s="4"/>
      <c r="AD581" s="4"/>
      <c r="AE581" s="32"/>
      <c r="AF581" s="34" t="s">
        <v>68</v>
      </c>
      <c r="AG581" s="112" t="s">
        <v>68</v>
      </c>
      <c r="AH581" s="112" t="s">
        <v>68</v>
      </c>
      <c r="AI581" s="7" t="s">
        <v>68</v>
      </c>
      <c r="AJ581" s="109" t="s">
        <v>68</v>
      </c>
      <c r="AK581" s="33" t="s">
        <v>855</v>
      </c>
      <c r="AL581" s="1">
        <v>217492</v>
      </c>
      <c r="AM581" s="5">
        <v>44445</v>
      </c>
      <c r="AN581" s="1">
        <v>217490</v>
      </c>
      <c r="AO581" s="5">
        <v>44445</v>
      </c>
      <c r="AP581" s="1">
        <v>217499</v>
      </c>
      <c r="AQ581" s="5">
        <v>44463</v>
      </c>
      <c r="AR581" s="279">
        <f>163075.39+65230.15+65230.15</f>
        <v>293535.69</v>
      </c>
      <c r="AS581" s="35">
        <v>0</v>
      </c>
      <c r="AT581" s="895">
        <v>793793.33</v>
      </c>
      <c r="AU581" s="884"/>
      <c r="AV581" s="66" t="s">
        <v>74</v>
      </c>
      <c r="AW581" s="11"/>
      <c r="AX581" s="223"/>
      <c r="AY581" s="52"/>
      <c r="AZ581" s="70">
        <v>44466</v>
      </c>
      <c r="BA581" s="71">
        <v>44445</v>
      </c>
      <c r="BB581" s="71">
        <v>44463</v>
      </c>
      <c r="BC581" s="127" t="s">
        <v>68</v>
      </c>
      <c r="BD581" s="70">
        <v>44467</v>
      </c>
      <c r="BE581" s="1614"/>
      <c r="BF581" s="5">
        <v>44445</v>
      </c>
      <c r="BG581" s="5">
        <v>44463</v>
      </c>
      <c r="BH581" s="5">
        <v>44463</v>
      </c>
      <c r="BI581" s="1540">
        <f>AS581+AT581</f>
        <v>793793.33</v>
      </c>
      <c r="BJ581" s="1024">
        <v>44468</v>
      </c>
      <c r="BK581" s="1027"/>
      <c r="BL581" s="694" t="s">
        <v>74</v>
      </c>
      <c r="BM581" s="71">
        <v>44442</v>
      </c>
      <c r="BN581" s="71">
        <v>44442</v>
      </c>
      <c r="BO581" s="1092" t="s">
        <v>1177</v>
      </c>
      <c r="BP581" s="914">
        <v>44442</v>
      </c>
      <c r="BQ581" s="914">
        <v>44442</v>
      </c>
      <c r="BR581" s="914">
        <v>44442</v>
      </c>
      <c r="BS581" s="914">
        <v>44461</v>
      </c>
      <c r="BT581" s="1250" t="s">
        <v>74</v>
      </c>
      <c r="BU581" s="1092"/>
      <c r="BV581" s="1093"/>
      <c r="BW581" s="13"/>
      <c r="BX581" s="158"/>
      <c r="BY581" s="13" t="s">
        <v>1295</v>
      </c>
      <c r="BZ581" s="13" t="s">
        <v>1295</v>
      </c>
      <c r="CA581" s="13" t="s">
        <v>3548</v>
      </c>
      <c r="CB581" s="1222" t="s">
        <v>2094</v>
      </c>
      <c r="CC581" s="38"/>
      <c r="CD581" s="526"/>
      <c r="CE581" s="526"/>
      <c r="CF581" s="526"/>
      <c r="CG581" s="526"/>
      <c r="CH581" s="526"/>
      <c r="CI581" s="526"/>
      <c r="CJ581" s="526"/>
      <c r="CK581" s="15"/>
    </row>
    <row r="582" spans="2:89" ht="108.75" hidden="1" customHeight="1">
      <c r="B582" s="22"/>
      <c r="C582" s="1639"/>
      <c r="D582" s="1639"/>
      <c r="E582" s="911">
        <v>44805</v>
      </c>
      <c r="F582" s="911"/>
      <c r="G582" s="915">
        <v>44708</v>
      </c>
      <c r="H582" s="1746"/>
      <c r="I582" s="330">
        <v>44783</v>
      </c>
      <c r="J582" s="169">
        <v>2021</v>
      </c>
      <c r="K582" s="1417">
        <v>215018</v>
      </c>
      <c r="L582" s="1417"/>
      <c r="M582" s="170" t="s">
        <v>166</v>
      </c>
      <c r="N582" s="178" t="s">
        <v>3607</v>
      </c>
      <c r="O582" s="172" t="s">
        <v>79</v>
      </c>
      <c r="P582" s="173" t="s">
        <v>4301</v>
      </c>
      <c r="Q582" s="173" t="s">
        <v>1975</v>
      </c>
      <c r="R582" s="174">
        <v>1137012.22</v>
      </c>
      <c r="S582" s="1193">
        <v>44454</v>
      </c>
      <c r="T582" s="176">
        <v>44456</v>
      </c>
      <c r="U582" s="177">
        <v>44499</v>
      </c>
      <c r="V582" s="1573">
        <v>44452</v>
      </c>
      <c r="W582" s="178" t="s">
        <v>3903</v>
      </c>
      <c r="X582" s="170" t="s">
        <v>449</v>
      </c>
      <c r="Y582" s="1572">
        <v>44428</v>
      </c>
      <c r="Z582" s="1373" t="s">
        <v>4289</v>
      </c>
      <c r="AA582" s="1570" t="s">
        <v>3800</v>
      </c>
      <c r="AB582" s="8"/>
      <c r="AC582" s="4"/>
      <c r="AD582" s="4"/>
      <c r="AE582" s="32"/>
      <c r="AF582" s="34" t="s">
        <v>68</v>
      </c>
      <c r="AG582" s="112" t="s">
        <v>68</v>
      </c>
      <c r="AH582" s="112" t="s">
        <v>68</v>
      </c>
      <c r="AI582" s="7" t="s">
        <v>68</v>
      </c>
      <c r="AJ582" s="109" t="s">
        <v>68</v>
      </c>
      <c r="AK582" s="255"/>
      <c r="AL582" s="219"/>
      <c r="AM582" s="5"/>
      <c r="AN582" s="219">
        <v>2604606</v>
      </c>
      <c r="AO582" s="5"/>
      <c r="AP582" s="219">
        <v>2630004</v>
      </c>
      <c r="AQ582" s="5"/>
      <c r="AR582" s="279">
        <v>0</v>
      </c>
      <c r="AS582" s="35">
        <v>0</v>
      </c>
      <c r="AT582" s="902"/>
      <c r="AU582" s="891"/>
      <c r="AV582" s="66">
        <v>44456</v>
      </c>
      <c r="AW582" s="11"/>
      <c r="AX582" s="223" t="s">
        <v>68</v>
      </c>
      <c r="AY582" s="52" t="s">
        <v>68</v>
      </c>
      <c r="AZ582" s="66">
        <v>44481</v>
      </c>
      <c r="BA582" s="1576">
        <v>44456</v>
      </c>
      <c r="BB582" s="1576">
        <v>44499</v>
      </c>
      <c r="BC582" s="1576">
        <v>44478</v>
      </c>
      <c r="BD582" s="1575">
        <v>44481</v>
      </c>
      <c r="BE582" s="1629"/>
      <c r="BF582" s="1576">
        <v>44456</v>
      </c>
      <c r="BG582" s="1576">
        <v>44499</v>
      </c>
      <c r="BH582" s="1576">
        <v>44478</v>
      </c>
      <c r="BI582" s="36"/>
      <c r="BJ582" s="1574">
        <v>44481</v>
      </c>
      <c r="BK582" s="1823"/>
      <c r="BL582" s="1041"/>
      <c r="BM582" s="1569">
        <v>44455</v>
      </c>
      <c r="BN582" s="1569">
        <v>44455</v>
      </c>
      <c r="BO582" s="1043"/>
      <c r="BP582" s="1043"/>
      <c r="BQ582" s="1571">
        <v>44447</v>
      </c>
      <c r="BR582" s="914">
        <v>44447</v>
      </c>
      <c r="BS582" s="1571">
        <v>44478</v>
      </c>
      <c r="BT582" s="1571">
        <v>44481</v>
      </c>
      <c r="BU582" s="696"/>
      <c r="BV582" s="694"/>
      <c r="BW582" s="13"/>
      <c r="BX582" s="158"/>
      <c r="BY582" s="13"/>
      <c r="BZ582" s="13"/>
      <c r="CA582" s="13"/>
      <c r="CB582" s="1222" t="s">
        <v>2094</v>
      </c>
      <c r="CC582" s="38"/>
      <c r="CD582" s="526"/>
      <c r="CE582" s="526"/>
      <c r="CF582" s="526"/>
      <c r="CG582" s="526"/>
      <c r="CH582" s="526"/>
      <c r="CI582" s="526"/>
      <c r="CJ582" s="526"/>
      <c r="CK582" s="15"/>
    </row>
    <row r="583" spans="2:89" ht="76.5" hidden="1" customHeight="1">
      <c r="B583" s="22"/>
      <c r="C583" s="1639"/>
      <c r="D583" s="1639"/>
      <c r="E583" s="911">
        <v>44805</v>
      </c>
      <c r="F583" s="911"/>
      <c r="G583" s="915">
        <v>44643</v>
      </c>
      <c r="H583" s="1746"/>
      <c r="I583" s="330"/>
      <c r="J583" s="169">
        <v>2021</v>
      </c>
      <c r="K583" s="1417">
        <v>216001</v>
      </c>
      <c r="L583" s="1417"/>
      <c r="M583" s="170" t="s">
        <v>4033</v>
      </c>
      <c r="N583" s="178" t="s">
        <v>3438</v>
      </c>
      <c r="O583" s="172" t="s">
        <v>4032</v>
      </c>
      <c r="P583" s="173" t="s">
        <v>4034</v>
      </c>
      <c r="Q583" s="173" t="s">
        <v>1975</v>
      </c>
      <c r="R583" s="594">
        <v>100000</v>
      </c>
      <c r="S583" s="590">
        <v>44504</v>
      </c>
      <c r="T583" s="176">
        <v>44508</v>
      </c>
      <c r="U583" s="177">
        <v>44561</v>
      </c>
      <c r="V583" s="105" t="s">
        <v>1428</v>
      </c>
      <c r="W583" s="178" t="s">
        <v>1177</v>
      </c>
      <c r="X583" s="170" t="s">
        <v>213</v>
      </c>
      <c r="Y583" s="200" t="s">
        <v>1428</v>
      </c>
      <c r="Z583" s="1374" t="s">
        <v>74</v>
      </c>
      <c r="AA583" s="33" t="s">
        <v>4505</v>
      </c>
      <c r="AB583" s="8">
        <v>44465</v>
      </c>
      <c r="AC583" s="79">
        <v>100000</v>
      </c>
      <c r="AD583" s="79"/>
      <c r="AE583" s="651"/>
      <c r="AF583" s="582" t="s">
        <v>68</v>
      </c>
      <c r="AG583" s="583" t="s">
        <v>68</v>
      </c>
      <c r="AH583" s="583" t="s">
        <v>68</v>
      </c>
      <c r="AI583" s="584" t="s">
        <v>68</v>
      </c>
      <c r="AJ583" s="581" t="s">
        <v>68</v>
      </c>
      <c r="AK583" s="1729" t="s">
        <v>68</v>
      </c>
      <c r="AL583" s="1634" t="s">
        <v>68</v>
      </c>
      <c r="AM583" s="1656"/>
      <c r="AN583" s="1634" t="s">
        <v>68</v>
      </c>
      <c r="AO583" s="1656"/>
      <c r="AP583" s="1634" t="s">
        <v>68</v>
      </c>
      <c r="AQ583" s="1656"/>
      <c r="AR583" s="1730">
        <v>0</v>
      </c>
      <c r="AS583" s="35">
        <v>0</v>
      </c>
      <c r="AT583" s="895"/>
      <c r="AU583" s="884"/>
      <c r="AV583" s="350" t="s">
        <v>74</v>
      </c>
      <c r="AW583" s="11"/>
      <c r="AX583" s="223"/>
      <c r="AY583" s="52"/>
      <c r="AZ583" s="350" t="s">
        <v>74</v>
      </c>
      <c r="BA583" s="5"/>
      <c r="BB583" s="5"/>
      <c r="BC583" s="11"/>
      <c r="BD583" s="350" t="s">
        <v>74</v>
      </c>
      <c r="BE583" s="1620"/>
      <c r="BF583" s="5"/>
      <c r="BG583" s="5"/>
      <c r="BH583" s="5"/>
      <c r="BI583" s="36"/>
      <c r="BJ583" s="1798" t="s">
        <v>74</v>
      </c>
      <c r="BK583" s="1824"/>
      <c r="BL583" s="694"/>
      <c r="BM583" s="695" t="s">
        <v>68</v>
      </c>
      <c r="BN583" s="695" t="s">
        <v>68</v>
      </c>
      <c r="BO583" s="696"/>
      <c r="BP583" s="696" t="s">
        <v>68</v>
      </c>
      <c r="BQ583" s="696" t="s">
        <v>68</v>
      </c>
      <c r="BR583" s="914" t="s">
        <v>68</v>
      </c>
      <c r="BS583" s="696" t="s">
        <v>68</v>
      </c>
      <c r="BT583" s="1578" t="s">
        <v>68</v>
      </c>
      <c r="BU583" s="696"/>
      <c r="BV583" s="694"/>
      <c r="BW583" s="13"/>
      <c r="BX583" s="158"/>
      <c r="BY583" s="13"/>
      <c r="BZ583" s="13"/>
      <c r="CA583" s="13"/>
      <c r="CB583" s="1222" t="s">
        <v>3944</v>
      </c>
      <c r="CC583" s="38"/>
      <c r="CD583" s="526"/>
      <c r="CE583" s="526"/>
      <c r="CF583" s="526"/>
      <c r="CG583" s="526"/>
      <c r="CH583" s="526"/>
      <c r="CI583" s="526"/>
      <c r="CJ583" s="526"/>
      <c r="CK583" s="15"/>
    </row>
    <row r="584" spans="2:89" ht="76.5" hidden="1" customHeight="1">
      <c r="B584" s="22"/>
      <c r="C584" s="1639">
        <v>45068</v>
      </c>
      <c r="D584" s="1799">
        <v>12</v>
      </c>
      <c r="E584" s="911">
        <v>44805</v>
      </c>
      <c r="F584" s="911"/>
      <c r="G584" s="915">
        <v>44687</v>
      </c>
      <c r="H584" s="1746"/>
      <c r="I584" s="330"/>
      <c r="J584" s="169">
        <v>2021</v>
      </c>
      <c r="K584" s="1417">
        <v>216002</v>
      </c>
      <c r="L584" s="1417"/>
      <c r="M584" s="170" t="s">
        <v>166</v>
      </c>
      <c r="N584" s="178" t="s">
        <v>3439</v>
      </c>
      <c r="O584" s="172" t="s">
        <v>4032</v>
      </c>
      <c r="P584" s="173" t="s">
        <v>4161</v>
      </c>
      <c r="Q584" s="173" t="s">
        <v>1975</v>
      </c>
      <c r="R584" s="594">
        <v>400000</v>
      </c>
      <c r="S584" s="590">
        <v>44560</v>
      </c>
      <c r="T584" s="176">
        <v>44561</v>
      </c>
      <c r="U584" s="177">
        <v>44651</v>
      </c>
      <c r="V584" s="105" t="s">
        <v>1428</v>
      </c>
      <c r="W584" s="178" t="s">
        <v>1177</v>
      </c>
      <c r="X584" s="170" t="s">
        <v>449</v>
      </c>
      <c r="Y584" s="200" t="s">
        <v>1428</v>
      </c>
      <c r="Z584" s="368" t="s">
        <v>4483</v>
      </c>
      <c r="AA584" s="33" t="s">
        <v>3800</v>
      </c>
      <c r="AB584" s="8"/>
      <c r="AC584" s="79"/>
      <c r="AD584" s="79"/>
      <c r="AE584" s="651"/>
      <c r="AF584" s="582" t="s">
        <v>68</v>
      </c>
      <c r="AG584" s="583" t="s">
        <v>68</v>
      </c>
      <c r="AH584" s="583" t="s">
        <v>68</v>
      </c>
      <c r="AI584" s="584" t="s">
        <v>68</v>
      </c>
      <c r="AJ584" s="581" t="s">
        <v>68</v>
      </c>
      <c r="AK584" s="1729" t="s">
        <v>68</v>
      </c>
      <c r="AL584" s="1634" t="s">
        <v>68</v>
      </c>
      <c r="AM584" s="1656"/>
      <c r="AN584" s="1634" t="s">
        <v>68</v>
      </c>
      <c r="AO584" s="1656"/>
      <c r="AP584" s="1634" t="s">
        <v>68</v>
      </c>
      <c r="AQ584" s="1656"/>
      <c r="AR584" s="1730">
        <v>0</v>
      </c>
      <c r="AS584" s="35">
        <v>0</v>
      </c>
      <c r="AT584" s="895"/>
      <c r="AU584" s="884"/>
      <c r="AV584" s="350" t="s">
        <v>74</v>
      </c>
      <c r="AW584" s="11"/>
      <c r="AX584" s="223"/>
      <c r="AY584" s="52"/>
      <c r="AZ584" s="350" t="s">
        <v>74</v>
      </c>
      <c r="BA584" s="5"/>
      <c r="BB584" s="5"/>
      <c r="BC584" s="11"/>
      <c r="BD584" s="350" t="s">
        <v>74</v>
      </c>
      <c r="BE584" s="1620"/>
      <c r="BF584" s="5"/>
      <c r="BG584" s="5"/>
      <c r="BH584" s="5"/>
      <c r="BI584" s="36"/>
      <c r="BJ584" s="1798" t="s">
        <v>74</v>
      </c>
      <c r="BK584" s="1824"/>
      <c r="BL584" s="336">
        <v>44560</v>
      </c>
      <c r="BM584" s="695" t="s">
        <v>68</v>
      </c>
      <c r="BN584" s="695" t="s">
        <v>68</v>
      </c>
      <c r="BO584" s="696"/>
      <c r="BP584" s="696" t="s">
        <v>68</v>
      </c>
      <c r="BQ584" s="696" t="s">
        <v>68</v>
      </c>
      <c r="BR584" s="914" t="s">
        <v>68</v>
      </c>
      <c r="BS584" s="696" t="s">
        <v>68</v>
      </c>
      <c r="BT584" s="1578" t="s">
        <v>68</v>
      </c>
      <c r="BU584" s="696"/>
      <c r="BV584" s="694"/>
      <c r="BW584" s="13"/>
      <c r="BX584" s="158"/>
      <c r="BY584" s="13"/>
      <c r="BZ584" s="13"/>
      <c r="CA584" s="13"/>
      <c r="CB584" s="1222" t="s">
        <v>3944</v>
      </c>
      <c r="CC584" s="38"/>
      <c r="CD584" s="526"/>
      <c r="CE584" s="526"/>
      <c r="CF584" s="526"/>
      <c r="CG584" s="526"/>
      <c r="CH584" s="526"/>
      <c r="CI584" s="526"/>
      <c r="CJ584" s="526"/>
      <c r="CK584" s="15"/>
    </row>
    <row r="585" spans="2:89" ht="72" hidden="1" customHeight="1">
      <c r="B585" s="22"/>
      <c r="C585" s="1639"/>
      <c r="D585" s="1639"/>
      <c r="E585" s="911"/>
      <c r="F585" s="911"/>
      <c r="G585" s="915"/>
      <c r="H585" s="1746"/>
      <c r="I585" s="330"/>
      <c r="J585" s="169">
        <v>2021</v>
      </c>
      <c r="K585" s="1417">
        <v>217001</v>
      </c>
      <c r="L585" s="1417"/>
      <c r="M585" s="170" t="s">
        <v>166</v>
      </c>
      <c r="N585" s="178" t="s">
        <v>3746</v>
      </c>
      <c r="O585" s="172" t="s">
        <v>45</v>
      </c>
      <c r="P585" s="173" t="s">
        <v>4037</v>
      </c>
      <c r="Q585" s="173" t="s">
        <v>1975</v>
      </c>
      <c r="R585" s="594">
        <f>37000*1.16</f>
        <v>42920</v>
      </c>
      <c r="S585" s="590">
        <v>44512</v>
      </c>
      <c r="T585" s="176" t="s">
        <v>68</v>
      </c>
      <c r="U585" s="177" t="s">
        <v>68</v>
      </c>
      <c r="V585" s="676" t="s">
        <v>1428</v>
      </c>
      <c r="W585" s="178" t="s">
        <v>3958</v>
      </c>
      <c r="X585" s="920"/>
      <c r="Y585" s="1040"/>
      <c r="Z585" s="1383"/>
      <c r="AA585" s="255"/>
      <c r="AB585" s="8"/>
      <c r="AC585" s="4"/>
      <c r="AD585" s="4"/>
      <c r="AE585" s="32"/>
      <c r="AF585" s="1393"/>
      <c r="AG585" s="616"/>
      <c r="AH585" s="616"/>
      <c r="AI585" s="1394"/>
      <c r="AJ585" s="1361"/>
      <c r="AK585" s="255"/>
      <c r="AL585" s="219"/>
      <c r="AM585" s="5"/>
      <c r="AN585" s="219"/>
      <c r="AO585" s="5"/>
      <c r="AP585" s="219"/>
      <c r="AQ585" s="5"/>
      <c r="AR585" s="279"/>
      <c r="AS585" s="35"/>
      <c r="AT585" s="902"/>
      <c r="AU585" s="891"/>
      <c r="AV585" s="66"/>
      <c r="AW585" s="11"/>
      <c r="AX585" s="223"/>
      <c r="AY585" s="52"/>
      <c r="AZ585" s="66"/>
      <c r="BA585" s="5"/>
      <c r="BB585" s="5"/>
      <c r="BC585" s="11"/>
      <c r="BD585" s="66"/>
      <c r="BE585" s="1423"/>
      <c r="BF585" s="5"/>
      <c r="BG585" s="5"/>
      <c r="BH585" s="5"/>
      <c r="BI585" s="36"/>
      <c r="BJ585" s="197"/>
      <c r="BK585" s="1246"/>
      <c r="BL585" s="1041"/>
      <c r="BM585" s="1007"/>
      <c r="BN585" s="1007"/>
      <c r="BO585" s="1043"/>
      <c r="BP585" s="1043"/>
      <c r="BQ585" s="1043"/>
      <c r="BR585" s="914"/>
      <c r="BS585" s="1043"/>
      <c r="BT585" s="1043"/>
      <c r="BU585" s="696"/>
      <c r="BV585" s="694"/>
      <c r="BW585" s="13"/>
      <c r="BX585" s="158"/>
      <c r="BY585" s="13"/>
      <c r="BZ585" s="13"/>
      <c r="CA585" s="13"/>
      <c r="CB585" s="1222" t="s">
        <v>3944</v>
      </c>
      <c r="CC585" s="38"/>
      <c r="CD585" s="526"/>
      <c r="CE585" s="526"/>
      <c r="CF585" s="526"/>
      <c r="CG585" s="526"/>
      <c r="CH585" s="526"/>
      <c r="CI585" s="526"/>
      <c r="CJ585" s="526"/>
      <c r="CK585" s="15"/>
    </row>
    <row r="586" spans="2:89" ht="78" hidden="1" customHeight="1">
      <c r="B586" s="22"/>
      <c r="C586" s="1639"/>
      <c r="D586" s="1639"/>
      <c r="E586" s="911"/>
      <c r="F586" s="911"/>
      <c r="G586" s="915"/>
      <c r="H586" s="1746"/>
      <c r="I586" s="330"/>
      <c r="J586" s="169">
        <v>2021</v>
      </c>
      <c r="K586" s="1417">
        <v>217002</v>
      </c>
      <c r="L586" s="1417"/>
      <c r="M586" s="170" t="s">
        <v>166</v>
      </c>
      <c r="N586" s="178" t="s">
        <v>3747</v>
      </c>
      <c r="O586" s="172" t="s">
        <v>45</v>
      </c>
      <c r="P586" s="173" t="s">
        <v>4038</v>
      </c>
      <c r="Q586" s="173" t="s">
        <v>2577</v>
      </c>
      <c r="R586" s="594">
        <f>5000*1.16</f>
        <v>5800</v>
      </c>
      <c r="S586" s="590">
        <v>44512</v>
      </c>
      <c r="T586" s="176" t="s">
        <v>68</v>
      </c>
      <c r="U586" s="177" t="s">
        <v>68</v>
      </c>
      <c r="V586" s="676" t="s">
        <v>1428</v>
      </c>
      <c r="W586" s="178" t="s">
        <v>4218</v>
      </c>
      <c r="X586" s="920"/>
      <c r="Y586" s="1040"/>
      <c r="Z586" s="1383"/>
      <c r="AA586" s="255"/>
      <c r="AB586" s="8"/>
      <c r="AC586" s="4"/>
      <c r="AD586" s="4"/>
      <c r="AE586" s="32"/>
      <c r="AF586" s="1393"/>
      <c r="AG586" s="616"/>
      <c r="AH586" s="616"/>
      <c r="AI586" s="1394"/>
      <c r="AJ586" s="1361"/>
      <c r="AK586" s="255"/>
      <c r="AL586" s="219"/>
      <c r="AM586" s="5"/>
      <c r="AN586" s="219"/>
      <c r="AO586" s="5"/>
      <c r="AP586" s="219"/>
      <c r="AQ586" s="5"/>
      <c r="AR586" s="279"/>
      <c r="AS586" s="35"/>
      <c r="AT586" s="902"/>
      <c r="AU586" s="891"/>
      <c r="AV586" s="66"/>
      <c r="AW586" s="11"/>
      <c r="AX586" s="223"/>
      <c r="AY586" s="52"/>
      <c r="AZ586" s="66"/>
      <c r="BA586" s="5"/>
      <c r="BB586" s="5"/>
      <c r="BC586" s="11"/>
      <c r="BD586" s="66"/>
      <c r="BE586" s="1423"/>
      <c r="BF586" s="5"/>
      <c r="BG586" s="5"/>
      <c r="BH586" s="5"/>
      <c r="BI586" s="36"/>
      <c r="BJ586" s="197"/>
      <c r="BK586" s="1246"/>
      <c r="BL586" s="1041"/>
      <c r="BM586" s="1007"/>
      <c r="BN586" s="1007"/>
      <c r="BO586" s="1043"/>
      <c r="BP586" s="1043"/>
      <c r="BQ586" s="1043"/>
      <c r="BR586" s="914"/>
      <c r="BS586" s="1043"/>
      <c r="BT586" s="1043"/>
      <c r="BU586" s="696"/>
      <c r="BV586" s="694"/>
      <c r="BW586" s="13"/>
      <c r="BX586" s="158"/>
      <c r="BY586" s="13"/>
      <c r="BZ586" s="13"/>
      <c r="CA586" s="13"/>
      <c r="CB586" s="1222" t="s">
        <v>3944</v>
      </c>
      <c r="CC586" s="38"/>
      <c r="CD586" s="526"/>
      <c r="CE586" s="526"/>
      <c r="CF586" s="526"/>
      <c r="CG586" s="526"/>
      <c r="CH586" s="526"/>
      <c r="CI586" s="526"/>
      <c r="CJ586" s="526"/>
      <c r="CK586" s="15"/>
    </row>
    <row r="587" spans="2:89" ht="222" hidden="1" customHeight="1">
      <c r="B587" s="22"/>
      <c r="C587" s="1639"/>
      <c r="D587" s="1639"/>
      <c r="E587" s="911"/>
      <c r="F587" s="911"/>
      <c r="G587" s="915"/>
      <c r="H587" s="1746"/>
      <c r="I587" s="330"/>
      <c r="J587" s="169">
        <v>2021</v>
      </c>
      <c r="K587" s="1417">
        <v>217003</v>
      </c>
      <c r="L587" s="1417"/>
      <c r="M587" s="170" t="s">
        <v>166</v>
      </c>
      <c r="N587" s="178" t="s">
        <v>3748</v>
      </c>
      <c r="O587" s="172" t="s">
        <v>45</v>
      </c>
      <c r="P587" s="173" t="s">
        <v>4039</v>
      </c>
      <c r="Q587" s="173" t="s">
        <v>1975</v>
      </c>
      <c r="R587" s="594">
        <f>10000*1.16*3</f>
        <v>34800</v>
      </c>
      <c r="S587" s="590">
        <v>44515</v>
      </c>
      <c r="T587" s="176" t="s">
        <v>68</v>
      </c>
      <c r="U587" s="177" t="s">
        <v>68</v>
      </c>
      <c r="V587" s="676" t="s">
        <v>1428</v>
      </c>
      <c r="W587" s="178" t="s">
        <v>739</v>
      </c>
      <c r="X587" s="920"/>
      <c r="Y587" s="1040"/>
      <c r="Z587" s="1383"/>
      <c r="AA587" s="255"/>
      <c r="AB587" s="8"/>
      <c r="AC587" s="4"/>
      <c r="AD587" s="4"/>
      <c r="AE587" s="32"/>
      <c r="AF587" s="1393"/>
      <c r="AG587" s="616"/>
      <c r="AH587" s="616"/>
      <c r="AI587" s="1394"/>
      <c r="AJ587" s="1361"/>
      <c r="AK587" s="255"/>
      <c r="AL587" s="219"/>
      <c r="AM587" s="5"/>
      <c r="AN587" s="219"/>
      <c r="AO587" s="5"/>
      <c r="AP587" s="219"/>
      <c r="AQ587" s="5"/>
      <c r="AR587" s="279"/>
      <c r="AS587" s="35"/>
      <c r="AT587" s="902"/>
      <c r="AU587" s="891"/>
      <c r="AV587" s="66"/>
      <c r="AW587" s="11"/>
      <c r="AX587" s="223"/>
      <c r="AY587" s="52"/>
      <c r="AZ587" s="66"/>
      <c r="BA587" s="5"/>
      <c r="BB587" s="5"/>
      <c r="BC587" s="11"/>
      <c r="BD587" s="66"/>
      <c r="BE587" s="1423"/>
      <c r="BF587" s="5"/>
      <c r="BG587" s="5"/>
      <c r="BH587" s="5"/>
      <c r="BI587" s="36"/>
      <c r="BJ587" s="197"/>
      <c r="BK587" s="1246"/>
      <c r="BL587" s="1041"/>
      <c r="BM587" s="1007"/>
      <c r="BN587" s="1007"/>
      <c r="BO587" s="1043"/>
      <c r="BP587" s="1043"/>
      <c r="BQ587" s="1043"/>
      <c r="BR587" s="914"/>
      <c r="BS587" s="1043"/>
      <c r="BT587" s="1043"/>
      <c r="BU587" s="696"/>
      <c r="BV587" s="694"/>
      <c r="BW587" s="13"/>
      <c r="BX587" s="158"/>
      <c r="BY587" s="13"/>
      <c r="BZ587" s="13"/>
      <c r="CA587" s="13"/>
      <c r="CB587" s="1222" t="s">
        <v>3944</v>
      </c>
      <c r="CC587" s="38"/>
      <c r="CD587" s="526"/>
      <c r="CE587" s="526"/>
      <c r="CF587" s="526"/>
      <c r="CG587" s="526"/>
      <c r="CH587" s="526"/>
      <c r="CI587" s="526"/>
      <c r="CJ587" s="526"/>
      <c r="CK587" s="15"/>
    </row>
    <row r="588" spans="2:89" ht="122.25" hidden="1" customHeight="1">
      <c r="B588" s="22"/>
      <c r="C588" s="1639"/>
      <c r="D588" s="1639"/>
      <c r="E588" s="911"/>
      <c r="F588" s="911"/>
      <c r="G588" s="915"/>
      <c r="H588" s="1746"/>
      <c r="I588" s="330"/>
      <c r="J588" s="169">
        <v>2021</v>
      </c>
      <c r="K588" s="1417">
        <v>217004</v>
      </c>
      <c r="L588" s="1417"/>
      <c r="M588" s="170" t="s">
        <v>166</v>
      </c>
      <c r="N588" s="178" t="s">
        <v>3749</v>
      </c>
      <c r="O588" s="172" t="s">
        <v>45</v>
      </c>
      <c r="P588" s="173" t="s">
        <v>4041</v>
      </c>
      <c r="Q588" s="173" t="s">
        <v>1975</v>
      </c>
      <c r="R588" s="594">
        <f>25000*1.16</f>
        <v>28999.999999999996</v>
      </c>
      <c r="S588" s="590">
        <v>44533</v>
      </c>
      <c r="T588" s="176">
        <v>44543</v>
      </c>
      <c r="U588" s="177">
        <v>44546</v>
      </c>
      <c r="V588" s="676" t="s">
        <v>1428</v>
      </c>
      <c r="W588" s="178" t="s">
        <v>3472</v>
      </c>
      <c r="X588" s="920"/>
      <c r="Y588" s="1040"/>
      <c r="Z588" s="1383"/>
      <c r="AA588" s="255"/>
      <c r="AB588" s="8"/>
      <c r="AC588" s="4"/>
      <c r="AD588" s="4"/>
      <c r="AE588" s="32"/>
      <c r="AF588" s="1393"/>
      <c r="AG588" s="616"/>
      <c r="AH588" s="616"/>
      <c r="AI588" s="1394"/>
      <c r="AJ588" s="1361"/>
      <c r="AK588" s="255"/>
      <c r="AL588" s="219"/>
      <c r="AM588" s="5"/>
      <c r="AN588" s="219"/>
      <c r="AO588" s="5"/>
      <c r="AP588" s="219"/>
      <c r="AQ588" s="5"/>
      <c r="AR588" s="279"/>
      <c r="AS588" s="35"/>
      <c r="AT588" s="902"/>
      <c r="AU588" s="891"/>
      <c r="AV588" s="66"/>
      <c r="AW588" s="11"/>
      <c r="AX588" s="223"/>
      <c r="AY588" s="52"/>
      <c r="AZ588" s="66"/>
      <c r="BA588" s="5"/>
      <c r="BB588" s="5"/>
      <c r="BC588" s="11"/>
      <c r="BD588" s="66"/>
      <c r="BE588" s="1423"/>
      <c r="BF588" s="5"/>
      <c r="BG588" s="5"/>
      <c r="BH588" s="5"/>
      <c r="BI588" s="36"/>
      <c r="BJ588" s="197"/>
      <c r="BK588" s="1246"/>
      <c r="BL588" s="1041"/>
      <c r="BM588" s="1007"/>
      <c r="BN588" s="1007"/>
      <c r="BO588" s="1043"/>
      <c r="BP588" s="1043"/>
      <c r="BQ588" s="1043"/>
      <c r="BR588" s="914"/>
      <c r="BS588" s="1043"/>
      <c r="BT588" s="1043"/>
      <c r="BU588" s="696"/>
      <c r="BV588" s="694"/>
      <c r="BW588" s="13"/>
      <c r="BX588" s="158"/>
      <c r="BY588" s="13"/>
      <c r="BZ588" s="13"/>
      <c r="CA588" s="13"/>
      <c r="CB588" s="1222" t="s">
        <v>3944</v>
      </c>
      <c r="CC588" s="38"/>
      <c r="CD588" s="526"/>
      <c r="CE588" s="526"/>
      <c r="CF588" s="526"/>
      <c r="CG588" s="526"/>
      <c r="CH588" s="526"/>
      <c r="CI588" s="526"/>
      <c r="CJ588" s="526"/>
      <c r="CK588" s="15"/>
    </row>
    <row r="589" spans="2:89" s="104" customFormat="1" ht="113.25" hidden="1" customHeight="1">
      <c r="B589" s="81"/>
      <c r="C589" s="1641"/>
      <c r="D589" s="1641"/>
      <c r="E589" s="989"/>
      <c r="F589" s="989"/>
      <c r="G589" s="123"/>
      <c r="H589" s="1796"/>
      <c r="I589" s="620"/>
      <c r="J589" s="990">
        <v>2021</v>
      </c>
      <c r="K589" s="1419">
        <v>218001</v>
      </c>
      <c r="L589" s="1419"/>
      <c r="M589" s="621"/>
      <c r="N589" s="626" t="s">
        <v>3446</v>
      </c>
      <c r="O589" s="655" t="s">
        <v>251</v>
      </c>
      <c r="P589" s="656"/>
      <c r="Q589" s="656"/>
      <c r="R589" s="622"/>
      <c r="S589" s="623"/>
      <c r="T589" s="624"/>
      <c r="U589" s="625"/>
      <c r="V589" s="370"/>
      <c r="W589" s="626" t="s">
        <v>3903</v>
      </c>
      <c r="X589" s="621" t="s">
        <v>449</v>
      </c>
      <c r="Y589" s="554" t="s">
        <v>4481</v>
      </c>
      <c r="Z589" s="1363"/>
      <c r="AA589" s="90"/>
      <c r="AB589" s="92"/>
      <c r="AC589" s="86"/>
      <c r="AD589" s="86"/>
      <c r="AE589" s="93"/>
      <c r="AF589" s="94"/>
      <c r="AG589" s="113"/>
      <c r="AH589" s="113"/>
      <c r="AI589" s="95"/>
      <c r="AJ589" s="110"/>
      <c r="AK589" s="90"/>
      <c r="AL589" s="96"/>
      <c r="AM589" s="88"/>
      <c r="AN589" s="96"/>
      <c r="AO589" s="88"/>
      <c r="AP589" s="96"/>
      <c r="AQ589" s="88"/>
      <c r="AR589" s="284">
        <v>0</v>
      </c>
      <c r="AS589" s="98">
        <v>0</v>
      </c>
      <c r="AT589" s="898"/>
      <c r="AU589" s="887"/>
      <c r="AV589" s="641" t="s">
        <v>74</v>
      </c>
      <c r="AW589" s="89"/>
      <c r="AX589" s="338"/>
      <c r="AY589" s="101"/>
      <c r="AZ589" s="641" t="s">
        <v>74</v>
      </c>
      <c r="BA589" s="88"/>
      <c r="BB589" s="88"/>
      <c r="BC589" s="89"/>
      <c r="BD589" s="641" t="s">
        <v>74</v>
      </c>
      <c r="BE589" s="1628"/>
      <c r="BF589" s="88"/>
      <c r="BG589" s="88"/>
      <c r="BH589" s="88"/>
      <c r="BI589" s="99"/>
      <c r="BJ589" s="1489" t="s">
        <v>74</v>
      </c>
      <c r="BK589" s="1822"/>
      <c r="BL589" s="855"/>
      <c r="BM589" s="856"/>
      <c r="BN589" s="856"/>
      <c r="BO589" s="991"/>
      <c r="BP589" s="991"/>
      <c r="BQ589" s="991"/>
      <c r="BR589" s="914"/>
      <c r="BS589" s="991"/>
      <c r="BT589" s="991"/>
      <c r="BU589" s="991"/>
      <c r="BV589" s="855"/>
      <c r="BW589" s="102"/>
      <c r="BX589" s="830"/>
      <c r="BY589" s="102"/>
      <c r="BZ589" s="102"/>
      <c r="CA589" s="102"/>
      <c r="CB589" s="1403" t="s">
        <v>3944</v>
      </c>
      <c r="CC589" s="857"/>
      <c r="CD589" s="527"/>
      <c r="CE589" s="527"/>
      <c r="CF589" s="527"/>
      <c r="CG589" s="527"/>
      <c r="CH589" s="527"/>
      <c r="CI589" s="527"/>
      <c r="CJ589" s="527"/>
      <c r="CK589" s="627"/>
    </row>
    <row r="590" spans="2:89" ht="78" hidden="1" customHeight="1">
      <c r="B590" s="22"/>
      <c r="C590" s="1639"/>
      <c r="D590" s="1639"/>
      <c r="E590" s="911">
        <v>44805</v>
      </c>
      <c r="F590" s="911"/>
      <c r="G590" s="915">
        <v>44687</v>
      </c>
      <c r="H590" s="1746"/>
      <c r="I590" s="330"/>
      <c r="J590" s="169">
        <v>2021</v>
      </c>
      <c r="K590" s="1417">
        <v>218002</v>
      </c>
      <c r="L590" s="1417"/>
      <c r="M590" s="170" t="s">
        <v>166</v>
      </c>
      <c r="N590" s="178" t="s">
        <v>3447</v>
      </c>
      <c r="O590" s="172" t="s">
        <v>79</v>
      </c>
      <c r="P590" s="173" t="s">
        <v>4036</v>
      </c>
      <c r="Q590" s="173" t="s">
        <v>2515</v>
      </c>
      <c r="R590" s="594">
        <v>715198.43</v>
      </c>
      <c r="S590" s="590">
        <v>44504</v>
      </c>
      <c r="T590" s="176">
        <v>44508</v>
      </c>
      <c r="U590" s="177">
        <v>44548</v>
      </c>
      <c r="V590" s="105">
        <v>44504</v>
      </c>
      <c r="W590" s="178" t="s">
        <v>739</v>
      </c>
      <c r="X590" s="170" t="s">
        <v>449</v>
      </c>
      <c r="Y590" s="200" t="s">
        <v>1428</v>
      </c>
      <c r="Z590" s="1373" t="s">
        <v>4289</v>
      </c>
      <c r="AA590" s="33" t="s">
        <v>4482</v>
      </c>
      <c r="AB590" s="8"/>
      <c r="AC590" s="79">
        <f>450343.61+264854.82</f>
        <v>715198.42999999993</v>
      </c>
      <c r="AD590" s="79"/>
      <c r="AE590" s="651"/>
      <c r="AF590" s="582" t="s">
        <v>68</v>
      </c>
      <c r="AG590" s="583" t="s">
        <v>68</v>
      </c>
      <c r="AH590" s="583" t="s">
        <v>68</v>
      </c>
      <c r="AI590" s="584" t="s">
        <v>68</v>
      </c>
      <c r="AJ590" s="581" t="s">
        <v>68</v>
      </c>
      <c r="AK590" s="33" t="s">
        <v>5670</v>
      </c>
      <c r="AL590" s="1" t="s">
        <v>68</v>
      </c>
      <c r="AM590" s="5"/>
      <c r="AN590" s="1">
        <v>2621271</v>
      </c>
      <c r="AO590" s="5">
        <v>44505</v>
      </c>
      <c r="AP590" s="1">
        <v>2621278</v>
      </c>
      <c r="AQ590" s="5">
        <v>44532</v>
      </c>
      <c r="AR590" s="279">
        <f>71519.84*2</f>
        <v>143039.67999999999</v>
      </c>
      <c r="AS590" s="35">
        <v>0</v>
      </c>
      <c r="AT590" s="895"/>
      <c r="AU590" s="884"/>
      <c r="AV590" s="350" t="s">
        <v>74</v>
      </c>
      <c r="AW590" s="11"/>
      <c r="AX590" s="223"/>
      <c r="AY590" s="52"/>
      <c r="AZ590" s="350" t="s">
        <v>74</v>
      </c>
      <c r="BA590" s="5"/>
      <c r="BB590" s="5"/>
      <c r="BC590" s="11"/>
      <c r="BD590" s="350" t="s">
        <v>74</v>
      </c>
      <c r="BE590" s="1620"/>
      <c r="BF590" s="5"/>
      <c r="BG590" s="5"/>
      <c r="BH590" s="5"/>
      <c r="BI590" s="36"/>
      <c r="BJ590" s="1798" t="s">
        <v>74</v>
      </c>
      <c r="BK590" s="1824"/>
      <c r="BL590" s="336">
        <v>44505</v>
      </c>
      <c r="BM590" s="695"/>
      <c r="BN590" s="695"/>
      <c r="BO590" s="696"/>
      <c r="BP590" s="696"/>
      <c r="BQ590" s="696"/>
      <c r="BR590" s="914"/>
      <c r="BS590" s="696"/>
      <c r="BT590" s="696"/>
      <c r="BU590" s="696"/>
      <c r="BV590" s="694"/>
      <c r="BW590" s="13"/>
      <c r="BX590" s="158"/>
      <c r="BY590" s="13"/>
      <c r="BZ590" s="13"/>
      <c r="CA590" s="13"/>
      <c r="CB590" s="1222" t="s">
        <v>3944</v>
      </c>
      <c r="CC590" s="38"/>
      <c r="CD590" s="526"/>
      <c r="CE590" s="526"/>
      <c r="CF590" s="526"/>
      <c r="CG590" s="526"/>
      <c r="CH590" s="526"/>
      <c r="CI590" s="526"/>
      <c r="CJ590" s="526"/>
      <c r="CK590" s="15"/>
    </row>
    <row r="591" spans="2:89" ht="108.75" hidden="1" customHeight="1">
      <c r="B591" s="22"/>
      <c r="C591" s="1639"/>
      <c r="D591" s="1639"/>
      <c r="E591" s="911">
        <v>44805</v>
      </c>
      <c r="F591" s="911"/>
      <c r="G591" s="915">
        <v>44624</v>
      </c>
      <c r="H591" s="1746"/>
      <c r="I591" s="330">
        <v>44603</v>
      </c>
      <c r="J591" s="169">
        <v>2021</v>
      </c>
      <c r="K591" s="1417">
        <v>218003</v>
      </c>
      <c r="L591" s="1417"/>
      <c r="M591" s="170" t="s">
        <v>77</v>
      </c>
      <c r="N591" s="178" t="s">
        <v>3448</v>
      </c>
      <c r="O591" s="172" t="s">
        <v>79</v>
      </c>
      <c r="P591" s="173" t="s">
        <v>4028</v>
      </c>
      <c r="Q591" s="173" t="s">
        <v>4409</v>
      </c>
      <c r="R591" s="594">
        <v>347130.34</v>
      </c>
      <c r="S591" s="590">
        <v>44522</v>
      </c>
      <c r="T591" s="176">
        <v>44523</v>
      </c>
      <c r="U591" s="177">
        <v>44560</v>
      </c>
      <c r="V591" s="105">
        <v>44518</v>
      </c>
      <c r="W591" s="178" t="s">
        <v>739</v>
      </c>
      <c r="X591" s="170" t="s">
        <v>449</v>
      </c>
      <c r="Y591" s="200">
        <v>44510</v>
      </c>
      <c r="Z591" s="1373" t="s">
        <v>4289</v>
      </c>
      <c r="AA591" s="33" t="s">
        <v>4195</v>
      </c>
      <c r="AB591" s="8">
        <v>44504</v>
      </c>
      <c r="AC591" s="79">
        <v>347130.34</v>
      </c>
      <c r="AD591" s="79"/>
      <c r="AE591" s="651"/>
      <c r="AF591" s="582" t="s">
        <v>68</v>
      </c>
      <c r="AG591" s="583" t="s">
        <v>68</v>
      </c>
      <c r="AH591" s="583" t="s">
        <v>68</v>
      </c>
      <c r="AI591" s="584" t="s">
        <v>68</v>
      </c>
      <c r="AJ591" s="581" t="s">
        <v>68</v>
      </c>
      <c r="AK591" s="33" t="s">
        <v>4196</v>
      </c>
      <c r="AL591" s="1" t="s">
        <v>68</v>
      </c>
      <c r="AM591" s="5"/>
      <c r="AN591" s="1">
        <v>2619220</v>
      </c>
      <c r="AO591" s="5">
        <v>44522</v>
      </c>
      <c r="AP591" s="128">
        <v>2625323</v>
      </c>
      <c r="AQ591" s="5"/>
      <c r="AR591" s="279">
        <f>34713.03</f>
        <v>34713.03</v>
      </c>
      <c r="AS591" s="35">
        <v>0</v>
      </c>
      <c r="AT591" s="895">
        <v>347130.34</v>
      </c>
      <c r="AU591" s="884"/>
      <c r="AV591" s="350" t="s">
        <v>74</v>
      </c>
      <c r="AW591" s="11"/>
      <c r="AX591" s="223" t="s">
        <v>68</v>
      </c>
      <c r="AY591" s="52" t="s">
        <v>68</v>
      </c>
      <c r="AZ591" s="70">
        <v>44540</v>
      </c>
      <c r="BA591" s="71">
        <v>44524</v>
      </c>
      <c r="BB591" s="71">
        <v>44560</v>
      </c>
      <c r="BC591" s="127">
        <v>44539</v>
      </c>
      <c r="BD591" s="70">
        <v>44540</v>
      </c>
      <c r="BE591" s="1614"/>
      <c r="BF591" s="5">
        <v>44524</v>
      </c>
      <c r="BG591" s="5">
        <v>44560</v>
      </c>
      <c r="BH591" s="5">
        <v>44539</v>
      </c>
      <c r="BI591" s="36">
        <f>AT591</f>
        <v>347130.34</v>
      </c>
      <c r="BJ591" s="631">
        <v>44540</v>
      </c>
      <c r="BK591" s="336"/>
      <c r="BL591" s="336">
        <v>44522</v>
      </c>
      <c r="BM591" s="71">
        <v>44516</v>
      </c>
      <c r="BN591" s="71">
        <v>44523</v>
      </c>
      <c r="BO591" s="630" t="s">
        <v>74</v>
      </c>
      <c r="BP591" s="71">
        <v>44516</v>
      </c>
      <c r="BQ591" s="128" t="s">
        <v>4484</v>
      </c>
      <c r="BR591" s="914">
        <v>44516</v>
      </c>
      <c r="BS591" s="71">
        <v>44539</v>
      </c>
      <c r="BT591" s="71">
        <v>44540</v>
      </c>
      <c r="BU591" s="696"/>
      <c r="BV591" s="694"/>
      <c r="BW591" s="13"/>
      <c r="BX591" s="158"/>
      <c r="BY591" s="13"/>
      <c r="BZ591" s="13"/>
      <c r="CA591" s="13"/>
      <c r="CB591" s="1222" t="s">
        <v>3944</v>
      </c>
      <c r="CC591" s="38"/>
      <c r="CD591" s="526"/>
      <c r="CE591" s="526"/>
      <c r="CF591" s="526"/>
      <c r="CG591" s="526"/>
      <c r="CH591" s="526"/>
      <c r="CI591" s="526"/>
      <c r="CJ591" s="526"/>
      <c r="CK591" s="15"/>
    </row>
    <row r="592" spans="2:89" ht="122.25" hidden="1" customHeight="1">
      <c r="B592" s="22"/>
      <c r="C592" s="1639"/>
      <c r="D592" s="1639"/>
      <c r="E592" s="911">
        <v>44805</v>
      </c>
      <c r="F592" s="911"/>
      <c r="G592" s="915">
        <v>44624</v>
      </c>
      <c r="H592" s="1746"/>
      <c r="I592" s="330">
        <v>44603</v>
      </c>
      <c r="J592" s="169">
        <v>2021</v>
      </c>
      <c r="K592" s="1417">
        <v>218004</v>
      </c>
      <c r="L592" s="1417"/>
      <c r="M592" s="170" t="s">
        <v>77</v>
      </c>
      <c r="N592" s="178" t="s">
        <v>3449</v>
      </c>
      <c r="O592" s="172" t="s">
        <v>79</v>
      </c>
      <c r="P592" s="173" t="s">
        <v>4029</v>
      </c>
      <c r="Q592" s="173" t="s">
        <v>4409</v>
      </c>
      <c r="R592" s="594">
        <v>791064.19</v>
      </c>
      <c r="S592" s="590">
        <v>44522</v>
      </c>
      <c r="T592" s="176">
        <v>44523</v>
      </c>
      <c r="U592" s="177">
        <v>44530</v>
      </c>
      <c r="V592" s="105">
        <v>44518</v>
      </c>
      <c r="W592" s="178" t="s">
        <v>739</v>
      </c>
      <c r="X592" s="170" t="s">
        <v>449</v>
      </c>
      <c r="Y592" s="200">
        <v>44510</v>
      </c>
      <c r="Z592" s="1373" t="s">
        <v>4289</v>
      </c>
      <c r="AA592" s="33" t="s">
        <v>3828</v>
      </c>
      <c r="AB592" s="8">
        <v>44504</v>
      </c>
      <c r="AC592" s="79">
        <v>791064.19</v>
      </c>
      <c r="AD592" s="79"/>
      <c r="AE592" s="651"/>
      <c r="AF592" s="582" t="s">
        <v>68</v>
      </c>
      <c r="AG592" s="583" t="s">
        <v>68</v>
      </c>
      <c r="AH592" s="583" t="s">
        <v>68</v>
      </c>
      <c r="AI592" s="584" t="s">
        <v>68</v>
      </c>
      <c r="AJ592" s="581" t="s">
        <v>68</v>
      </c>
      <c r="AK592" s="33" t="s">
        <v>4196</v>
      </c>
      <c r="AL592" s="1" t="s">
        <v>68</v>
      </c>
      <c r="AM592" s="5"/>
      <c r="AN592" s="1">
        <v>2619217</v>
      </c>
      <c r="AO592" s="5">
        <v>44522</v>
      </c>
      <c r="AP592" s="128">
        <v>2625308</v>
      </c>
      <c r="AQ592" s="5"/>
      <c r="AR592" s="279">
        <f>79106.41</f>
        <v>79106.41</v>
      </c>
      <c r="AS592" s="35">
        <v>0</v>
      </c>
      <c r="AT592" s="895">
        <v>791064.19</v>
      </c>
      <c r="AU592" s="884"/>
      <c r="AV592" s="350" t="s">
        <v>74</v>
      </c>
      <c r="AW592" s="11"/>
      <c r="AX592" s="223" t="s">
        <v>68</v>
      </c>
      <c r="AY592" s="52" t="s">
        <v>68</v>
      </c>
      <c r="AZ592" s="70">
        <v>44540</v>
      </c>
      <c r="BA592" s="5">
        <v>44523</v>
      </c>
      <c r="BB592" s="5">
        <v>44560</v>
      </c>
      <c r="BC592" s="11">
        <v>44540</v>
      </c>
      <c r="BD592" s="70">
        <v>44540</v>
      </c>
      <c r="BE592" s="1614"/>
      <c r="BF592" s="5">
        <v>44523</v>
      </c>
      <c r="BG592" s="5">
        <v>44560</v>
      </c>
      <c r="BH592" s="5">
        <v>44540</v>
      </c>
      <c r="BI592" s="36">
        <f>AT592</f>
        <v>791064.19</v>
      </c>
      <c r="BJ592" s="631">
        <v>44540</v>
      </c>
      <c r="BK592" s="336"/>
      <c r="BL592" s="336">
        <v>44522</v>
      </c>
      <c r="BM592" s="71">
        <v>44516</v>
      </c>
      <c r="BN592" s="71">
        <v>44522</v>
      </c>
      <c r="BO592" s="630" t="s">
        <v>74</v>
      </c>
      <c r="BP592" s="71">
        <v>44516</v>
      </c>
      <c r="BQ592" s="71">
        <v>44516</v>
      </c>
      <c r="BR592" s="914">
        <v>44516</v>
      </c>
      <c r="BS592" s="71">
        <v>44539</v>
      </c>
      <c r="BT592" s="71">
        <v>44540</v>
      </c>
      <c r="BU592" s="696"/>
      <c r="BV592" s="694"/>
      <c r="BW592" s="13"/>
      <c r="BX592" s="158"/>
      <c r="BY592" s="13"/>
      <c r="BZ592" s="13"/>
      <c r="CA592" s="13"/>
      <c r="CB592" s="1222" t="s">
        <v>3944</v>
      </c>
      <c r="CC592" s="38"/>
      <c r="CD592" s="526"/>
      <c r="CE592" s="526"/>
      <c r="CF592" s="526"/>
      <c r="CG592" s="526"/>
      <c r="CH592" s="526"/>
      <c r="CI592" s="526"/>
      <c r="CJ592" s="526"/>
      <c r="CK592" s="15"/>
    </row>
    <row r="593" spans="1:89" ht="76.5" hidden="1" customHeight="1">
      <c r="B593" s="22"/>
      <c r="C593" s="1639"/>
      <c r="D593" s="1639"/>
      <c r="E593" s="911">
        <v>44805</v>
      </c>
      <c r="F593" s="911"/>
      <c r="G593" s="915">
        <v>44701</v>
      </c>
      <c r="H593" s="1746"/>
      <c r="I593" s="330">
        <v>37298</v>
      </c>
      <c r="J593" s="169">
        <v>2021</v>
      </c>
      <c r="K593" s="1417">
        <v>218005</v>
      </c>
      <c r="L593" s="1417"/>
      <c r="M593" s="170" t="s">
        <v>77</v>
      </c>
      <c r="N593" s="178" t="s">
        <v>3450</v>
      </c>
      <c r="O593" s="172" t="s">
        <v>79</v>
      </c>
      <c r="P593" s="173" t="s">
        <v>4030</v>
      </c>
      <c r="Q593" s="173" t="s">
        <v>1975</v>
      </c>
      <c r="R593" s="594">
        <v>100144.26</v>
      </c>
      <c r="S593" s="590">
        <v>44522</v>
      </c>
      <c r="T593" s="176">
        <v>44524</v>
      </c>
      <c r="U593" s="177">
        <v>44558</v>
      </c>
      <c r="V593" s="105">
        <v>44522</v>
      </c>
      <c r="W593" s="178" t="s">
        <v>3312</v>
      </c>
      <c r="X593" s="170" t="s">
        <v>449</v>
      </c>
      <c r="Y593" s="200">
        <v>44522</v>
      </c>
      <c r="Z593" s="1373" t="s">
        <v>4289</v>
      </c>
      <c r="AA593" s="33" t="s">
        <v>4198</v>
      </c>
      <c r="AB593" s="8">
        <v>44520</v>
      </c>
      <c r="AC593" s="79">
        <v>100144.26</v>
      </c>
      <c r="AD593" s="79"/>
      <c r="AE593" s="651"/>
      <c r="AF593" s="582" t="s">
        <v>68</v>
      </c>
      <c r="AG593" s="583" t="s">
        <v>68</v>
      </c>
      <c r="AH593" s="583" t="s">
        <v>68</v>
      </c>
      <c r="AI593" s="584" t="s">
        <v>68</v>
      </c>
      <c r="AJ593" s="581" t="s">
        <v>68</v>
      </c>
      <c r="AK593" s="33" t="s">
        <v>1011</v>
      </c>
      <c r="AL593" s="1" t="s">
        <v>68</v>
      </c>
      <c r="AM593" s="5"/>
      <c r="AN593" s="2" t="s">
        <v>4199</v>
      </c>
      <c r="AO593" s="5">
        <v>44524</v>
      </c>
      <c r="AP593" s="2" t="s">
        <v>4200</v>
      </c>
      <c r="AQ593" s="5">
        <v>44536</v>
      </c>
      <c r="AR593" s="279">
        <f>10014.43*2</f>
        <v>20028.86</v>
      </c>
      <c r="AS593" s="35">
        <v>0</v>
      </c>
      <c r="AT593" s="895">
        <v>100144.26</v>
      </c>
      <c r="AU593" s="884"/>
      <c r="AV593" s="350" t="s">
        <v>74</v>
      </c>
      <c r="AW593" s="11"/>
      <c r="AX593" s="223" t="s">
        <v>68</v>
      </c>
      <c r="AY593" s="52" t="s">
        <v>68</v>
      </c>
      <c r="AZ593" s="70">
        <v>44536</v>
      </c>
      <c r="BA593" s="71">
        <v>44524</v>
      </c>
      <c r="BB593" s="71">
        <v>44558</v>
      </c>
      <c r="BC593" s="127">
        <v>44536</v>
      </c>
      <c r="BD593" s="70">
        <v>44537</v>
      </c>
      <c r="BE593" s="1614"/>
      <c r="BF593" s="71">
        <v>44524</v>
      </c>
      <c r="BG593" s="71">
        <v>44558</v>
      </c>
      <c r="BH593" s="71">
        <v>44536</v>
      </c>
      <c r="BI593" s="129">
        <f>AT593</f>
        <v>100144.26</v>
      </c>
      <c r="BJ593" s="631">
        <v>44537</v>
      </c>
      <c r="BK593" s="336"/>
      <c r="BL593" s="336">
        <v>44506</v>
      </c>
      <c r="BM593" s="630" t="s">
        <v>74</v>
      </c>
      <c r="BN593" s="71">
        <v>44523</v>
      </c>
      <c r="BO593" s="630" t="s">
        <v>74</v>
      </c>
      <c r="BP593" s="630" t="s">
        <v>74</v>
      </c>
      <c r="BQ593" s="630" t="s">
        <v>74</v>
      </c>
      <c r="BR593" s="914" t="s">
        <v>74</v>
      </c>
      <c r="BS593" s="630" t="s">
        <v>74</v>
      </c>
      <c r="BT593" s="630" t="s">
        <v>74</v>
      </c>
      <c r="BU593" s="696"/>
      <c r="BV593" s="694"/>
      <c r="BW593" s="13"/>
      <c r="BX593" s="158"/>
      <c r="BY593" s="13"/>
      <c r="BZ593" s="13"/>
      <c r="CA593" s="13"/>
      <c r="CB593" s="1222" t="s">
        <v>3944</v>
      </c>
      <c r="CC593" s="38"/>
      <c r="CD593" s="526"/>
      <c r="CE593" s="526"/>
      <c r="CF593" s="526"/>
      <c r="CG593" s="526"/>
      <c r="CH593" s="526"/>
      <c r="CI593" s="526"/>
      <c r="CJ593" s="526"/>
      <c r="CK593" s="15"/>
    </row>
    <row r="594" spans="1:89" ht="81" hidden="1" customHeight="1">
      <c r="B594" s="22"/>
      <c r="C594" s="1639"/>
      <c r="D594" s="1639"/>
      <c r="E594" s="911">
        <v>44805</v>
      </c>
      <c r="F594" s="911"/>
      <c r="G594" s="915">
        <v>44595</v>
      </c>
      <c r="H594" s="1746"/>
      <c r="I594" s="330">
        <v>44603</v>
      </c>
      <c r="J594" s="169">
        <v>2021</v>
      </c>
      <c r="K594" s="1417">
        <v>218006</v>
      </c>
      <c r="L594" s="1417"/>
      <c r="M594" s="170" t="s">
        <v>77</v>
      </c>
      <c r="N594" s="178" t="s">
        <v>3451</v>
      </c>
      <c r="O594" s="172" t="s">
        <v>79</v>
      </c>
      <c r="P594" s="173" t="s">
        <v>4031</v>
      </c>
      <c r="Q594" s="173" t="s">
        <v>4409</v>
      </c>
      <c r="R594" s="594">
        <v>252763.45</v>
      </c>
      <c r="S594" s="590">
        <v>44522</v>
      </c>
      <c r="T594" s="176">
        <v>44523</v>
      </c>
      <c r="U594" s="177">
        <v>44559</v>
      </c>
      <c r="V594" s="105">
        <v>44522</v>
      </c>
      <c r="W594" s="178" t="s">
        <v>739</v>
      </c>
      <c r="X594" s="170" t="s">
        <v>449</v>
      </c>
      <c r="Y594" s="200">
        <v>44510</v>
      </c>
      <c r="Z594" s="1373" t="s">
        <v>4289</v>
      </c>
      <c r="AA594" s="33" t="s">
        <v>4197</v>
      </c>
      <c r="AB594" s="8">
        <v>44520</v>
      </c>
      <c r="AC594" s="79">
        <v>252763.45</v>
      </c>
      <c r="AD594" s="79"/>
      <c r="AE594" s="651"/>
      <c r="AF594" s="582" t="s">
        <v>68</v>
      </c>
      <c r="AG594" s="583" t="s">
        <v>68</v>
      </c>
      <c r="AH594" s="583" t="s">
        <v>68</v>
      </c>
      <c r="AI594" s="584" t="s">
        <v>68</v>
      </c>
      <c r="AJ594" s="581" t="s">
        <v>68</v>
      </c>
      <c r="AK594" s="33" t="s">
        <v>4196</v>
      </c>
      <c r="AL594" s="1" t="s">
        <v>68</v>
      </c>
      <c r="AM594" s="5"/>
      <c r="AN594" s="1">
        <v>2619219</v>
      </c>
      <c r="AO594" s="5">
        <v>44522</v>
      </c>
      <c r="AP594" s="1">
        <v>2630048</v>
      </c>
      <c r="AQ594" s="5">
        <v>44552</v>
      </c>
      <c r="AR594" s="279">
        <f>25276.34*2</f>
        <v>50552.68</v>
      </c>
      <c r="AS594" s="35">
        <v>0</v>
      </c>
      <c r="AT594" s="895">
        <v>252763.45</v>
      </c>
      <c r="AU594" s="884"/>
      <c r="AV594" s="350" t="s">
        <v>74</v>
      </c>
      <c r="AW594" s="11"/>
      <c r="AX594" s="223" t="s">
        <v>68</v>
      </c>
      <c r="AY594" s="52" t="s">
        <v>68</v>
      </c>
      <c r="AZ594" s="70">
        <v>44552</v>
      </c>
      <c r="BA594" s="71">
        <v>44536</v>
      </c>
      <c r="BB594" s="71">
        <v>44559</v>
      </c>
      <c r="BC594" s="127">
        <v>44552</v>
      </c>
      <c r="BD594" s="70">
        <v>44552</v>
      </c>
      <c r="BE594" s="1614"/>
      <c r="BF594" s="5">
        <v>44536</v>
      </c>
      <c r="BG594" s="5">
        <v>44559</v>
      </c>
      <c r="BH594" s="5">
        <v>44552</v>
      </c>
      <c r="BI594" s="36">
        <f>AT594</f>
        <v>252763.45</v>
      </c>
      <c r="BJ594" s="631">
        <v>44552</v>
      </c>
      <c r="BK594" s="336"/>
      <c r="BL594" s="336">
        <v>44522</v>
      </c>
      <c r="BM594" s="71">
        <v>44533</v>
      </c>
      <c r="BN594" s="71">
        <v>44536</v>
      </c>
      <c r="BO594" s="630" t="s">
        <v>74</v>
      </c>
      <c r="BP594" s="71">
        <v>44516</v>
      </c>
      <c r="BQ594" s="71">
        <v>44516</v>
      </c>
      <c r="BR594" s="914">
        <v>44516</v>
      </c>
      <c r="BS594" s="71">
        <v>44551</v>
      </c>
      <c r="BT594" s="71">
        <v>44552</v>
      </c>
      <c r="BU594" s="696"/>
      <c r="BV594" s="694"/>
      <c r="BW594" s="13"/>
      <c r="BX594" s="158"/>
      <c r="BY594" s="13"/>
      <c r="BZ594" s="13"/>
      <c r="CA594" s="13"/>
      <c r="CB594" s="1222" t="s">
        <v>3944</v>
      </c>
      <c r="CC594" s="38"/>
      <c r="CD594" s="526"/>
      <c r="CE594" s="526"/>
      <c r="CF594" s="526"/>
      <c r="CG594" s="526"/>
      <c r="CH594" s="526"/>
      <c r="CI594" s="526"/>
      <c r="CJ594" s="526"/>
      <c r="CK594" s="15"/>
    </row>
    <row r="595" spans="1:89" ht="87.75" hidden="1" customHeight="1">
      <c r="B595" s="22"/>
      <c r="C595" s="1639"/>
      <c r="D595" s="1639"/>
      <c r="E595" s="911">
        <v>44805</v>
      </c>
      <c r="F595" s="911"/>
      <c r="G595" s="915">
        <v>44701</v>
      </c>
      <c r="H595" s="1746"/>
      <c r="I595" s="330">
        <v>44659</v>
      </c>
      <c r="J595" s="169">
        <v>2021</v>
      </c>
      <c r="K595" s="1417">
        <v>218007</v>
      </c>
      <c r="L595" s="1417"/>
      <c r="M595" s="170" t="s">
        <v>166</v>
      </c>
      <c r="N595" s="178" t="s">
        <v>3452</v>
      </c>
      <c r="O595" s="172" t="s">
        <v>79</v>
      </c>
      <c r="P595" s="173" t="s">
        <v>4035</v>
      </c>
      <c r="Q595" s="173" t="s">
        <v>2538</v>
      </c>
      <c r="R595" s="594">
        <v>360015.52</v>
      </c>
      <c r="S595" s="590">
        <v>44560</v>
      </c>
      <c r="T595" s="176">
        <v>44560</v>
      </c>
      <c r="U595" s="177">
        <v>44569</v>
      </c>
      <c r="V595" s="105">
        <v>44560</v>
      </c>
      <c r="W595" s="178" t="s">
        <v>739</v>
      </c>
      <c r="X595" s="170" t="s">
        <v>70</v>
      </c>
      <c r="Y595" s="200" t="s">
        <v>1428</v>
      </c>
      <c r="Z595" s="1373" t="s">
        <v>4616</v>
      </c>
      <c r="AA595" s="33" t="s">
        <v>4281</v>
      </c>
      <c r="AB595" s="8">
        <v>44560</v>
      </c>
      <c r="AC595" s="79">
        <v>360015.52</v>
      </c>
      <c r="AD595" s="79"/>
      <c r="AE595" s="651"/>
      <c r="AF595" s="582" t="s">
        <v>68</v>
      </c>
      <c r="AG595" s="583" t="s">
        <v>68</v>
      </c>
      <c r="AH595" s="583" t="s">
        <v>68</v>
      </c>
      <c r="AI595" s="584" t="s">
        <v>68</v>
      </c>
      <c r="AJ595" s="581" t="s">
        <v>68</v>
      </c>
      <c r="AK595" s="33" t="s">
        <v>4196</v>
      </c>
      <c r="AL595" s="1" t="s">
        <v>68</v>
      </c>
      <c r="AM595" s="5"/>
      <c r="AN595" s="1">
        <v>2640178</v>
      </c>
      <c r="AO595" s="5">
        <v>44560</v>
      </c>
      <c r="AP595" s="1">
        <v>2640179</v>
      </c>
      <c r="AQ595" s="5">
        <v>44588</v>
      </c>
      <c r="AR595" s="279">
        <f>36001.55*2</f>
        <v>72003.100000000006</v>
      </c>
      <c r="AS595" s="35">
        <v>0</v>
      </c>
      <c r="AT595" s="895">
        <v>347130.35</v>
      </c>
      <c r="AU595" s="884"/>
      <c r="AV595" s="350" t="s">
        <v>74</v>
      </c>
      <c r="AW595" s="11"/>
      <c r="AX595" s="223"/>
      <c r="AY595" s="52"/>
      <c r="AZ595" s="70">
        <v>44571</v>
      </c>
      <c r="BA595" s="71">
        <v>44560</v>
      </c>
      <c r="BB595" s="71">
        <v>44571</v>
      </c>
      <c r="BC595" s="127">
        <v>44571</v>
      </c>
      <c r="BD595" s="70">
        <v>44571</v>
      </c>
      <c r="BE595" s="1614"/>
      <c r="BF595" s="71">
        <v>44560</v>
      </c>
      <c r="BG595" s="71">
        <v>44571</v>
      </c>
      <c r="BH595" s="71">
        <v>44571</v>
      </c>
      <c r="BI595" s="129">
        <f>AT595</f>
        <v>347130.35</v>
      </c>
      <c r="BJ595" s="1801">
        <v>44571</v>
      </c>
      <c r="BK595" s="1825"/>
      <c r="BL595" s="336">
        <v>44560</v>
      </c>
      <c r="BM595" s="695"/>
      <c r="BN595" s="71">
        <v>44559</v>
      </c>
      <c r="BO595" s="696"/>
      <c r="BP595" s="696"/>
      <c r="BQ595" s="696"/>
      <c r="BR595" s="914"/>
      <c r="BS595" s="696"/>
      <c r="BT595" s="696"/>
      <c r="BU595" s="696"/>
      <c r="BV595" s="694"/>
      <c r="BW595" s="13"/>
      <c r="BX595" s="158"/>
      <c r="BY595" s="13"/>
      <c r="BZ595" s="13"/>
      <c r="CA595" s="13"/>
      <c r="CB595" s="1222" t="s">
        <v>3944</v>
      </c>
      <c r="CC595" s="38"/>
      <c r="CD595" s="526"/>
      <c r="CE595" s="526"/>
      <c r="CF595" s="526"/>
      <c r="CG595" s="526"/>
      <c r="CH595" s="526"/>
      <c r="CI595" s="526"/>
      <c r="CJ595" s="526"/>
      <c r="CK595" s="15"/>
    </row>
    <row r="596" spans="1:89" ht="87.75" hidden="1" customHeight="1">
      <c r="A596" s="1438">
        <v>0</v>
      </c>
      <c r="B596" s="22"/>
      <c r="C596" s="1639"/>
      <c r="D596" s="1639"/>
      <c r="E596" s="911">
        <v>44805</v>
      </c>
      <c r="F596" s="911">
        <v>44774</v>
      </c>
      <c r="G596" s="915">
        <v>45072</v>
      </c>
      <c r="H596" s="1746"/>
      <c r="I596" s="330">
        <v>45084</v>
      </c>
      <c r="J596" s="169">
        <v>2022</v>
      </c>
      <c r="K596" s="1417">
        <v>221001</v>
      </c>
      <c r="L596" s="1417"/>
      <c r="M596" s="170" t="s">
        <v>166</v>
      </c>
      <c r="N596" s="178" t="s">
        <v>4307</v>
      </c>
      <c r="O596" s="172" t="s">
        <v>4032</v>
      </c>
      <c r="P596" s="173" t="s">
        <v>4504</v>
      </c>
      <c r="Q596" s="173" t="s">
        <v>68</v>
      </c>
      <c r="R596" s="594">
        <v>70000</v>
      </c>
      <c r="S596" s="590">
        <v>44693</v>
      </c>
      <c r="T596" s="176">
        <v>44697</v>
      </c>
      <c r="U596" s="177">
        <v>44728</v>
      </c>
      <c r="V596" s="105" t="s">
        <v>1428</v>
      </c>
      <c r="W596" s="178" t="s">
        <v>1177</v>
      </c>
      <c r="X596" s="170" t="s">
        <v>213</v>
      </c>
      <c r="Y596" s="200" t="s">
        <v>1428</v>
      </c>
      <c r="Z596" s="368" t="s">
        <v>5003</v>
      </c>
      <c r="AA596" s="33" t="s">
        <v>4383</v>
      </c>
      <c r="AB596" s="8">
        <v>44692</v>
      </c>
      <c r="AC596" s="79">
        <v>70000</v>
      </c>
      <c r="AD596" s="79"/>
      <c r="AE596" s="651"/>
      <c r="AF596" s="582" t="s">
        <v>68</v>
      </c>
      <c r="AG596" s="583" t="s">
        <v>68</v>
      </c>
      <c r="AH596" s="583" t="s">
        <v>68</v>
      </c>
      <c r="AI596" s="584" t="s">
        <v>68</v>
      </c>
      <c r="AJ596" s="581" t="s">
        <v>68</v>
      </c>
      <c r="AK596" s="1729" t="s">
        <v>68</v>
      </c>
      <c r="AL596" s="1634" t="s">
        <v>68</v>
      </c>
      <c r="AM596" s="1656"/>
      <c r="AN596" s="1634" t="s">
        <v>68</v>
      </c>
      <c r="AO596" s="1656"/>
      <c r="AP596" s="1634" t="s">
        <v>68</v>
      </c>
      <c r="AQ596" s="1656"/>
      <c r="AR596" s="1730">
        <v>0</v>
      </c>
      <c r="AS596" s="35">
        <v>0</v>
      </c>
      <c r="AT596" s="895">
        <v>15106.08</v>
      </c>
      <c r="AU596" s="884">
        <v>15106.04</v>
      </c>
      <c r="AV596" s="350" t="s">
        <v>74</v>
      </c>
      <c r="AW596" s="11"/>
      <c r="AX596" s="223"/>
      <c r="AY596" s="52"/>
      <c r="AZ596" s="350" t="s">
        <v>74</v>
      </c>
      <c r="BA596" s="5"/>
      <c r="BB596" s="5"/>
      <c r="BC596" s="11"/>
      <c r="BD596" s="350" t="s">
        <v>74</v>
      </c>
      <c r="BE596" s="1616" t="str">
        <f>N596</f>
        <v>DOP/AD/001/2022</v>
      </c>
      <c r="BF596" s="5"/>
      <c r="BG596" s="5"/>
      <c r="BH596" s="5"/>
      <c r="BI596" s="36">
        <f>AS596+AT596</f>
        <v>15106.08</v>
      </c>
      <c r="BJ596" s="1802" t="s">
        <v>68</v>
      </c>
      <c r="BK596" s="694"/>
      <c r="BL596" s="694"/>
      <c r="BM596" s="695" t="s">
        <v>68</v>
      </c>
      <c r="BN596" s="695" t="s">
        <v>68</v>
      </c>
      <c r="BO596" s="696"/>
      <c r="BP596" s="696" t="s">
        <v>68</v>
      </c>
      <c r="BQ596" s="696" t="s">
        <v>68</v>
      </c>
      <c r="BR596" s="914" t="s">
        <v>68</v>
      </c>
      <c r="BS596" s="696" t="s">
        <v>68</v>
      </c>
      <c r="BT596" s="696" t="s">
        <v>68</v>
      </c>
      <c r="BU596" s="1092">
        <v>0</v>
      </c>
      <c r="BV596" s="1093">
        <v>0</v>
      </c>
      <c r="BW596" s="13"/>
      <c r="BX596" s="158"/>
      <c r="BY596" s="13"/>
      <c r="BZ596" s="13"/>
      <c r="CA596" s="13"/>
      <c r="CB596" s="1222" t="s">
        <v>3944</v>
      </c>
      <c r="CC596" s="38"/>
      <c r="CD596" s="526"/>
      <c r="CE596" s="526"/>
      <c r="CF596" s="526"/>
      <c r="CG596" s="526"/>
      <c r="CH596" s="526"/>
      <c r="CI596" s="526"/>
      <c r="CJ596" s="526"/>
      <c r="CK596" s="15"/>
    </row>
    <row r="597" spans="1:89" ht="87.75" hidden="1" customHeight="1">
      <c r="B597" s="22"/>
      <c r="C597" s="1639"/>
      <c r="D597" s="1639"/>
      <c r="E597" s="911">
        <v>44805</v>
      </c>
      <c r="F597" s="1568">
        <v>44774</v>
      </c>
      <c r="G597" s="915">
        <v>44889</v>
      </c>
      <c r="H597" s="1746"/>
      <c r="I597" s="330">
        <v>45084</v>
      </c>
      <c r="J597" s="169">
        <v>2022</v>
      </c>
      <c r="K597" s="1417">
        <v>221001</v>
      </c>
      <c r="L597" s="1417"/>
      <c r="M597" s="170" t="s">
        <v>77</v>
      </c>
      <c r="N597" s="178" t="s">
        <v>4308</v>
      </c>
      <c r="O597" s="172" t="s">
        <v>4032</v>
      </c>
      <c r="P597" s="173" t="s">
        <v>4358</v>
      </c>
      <c r="Q597" s="173" t="s">
        <v>3623</v>
      </c>
      <c r="R597" s="174">
        <v>60152.28</v>
      </c>
      <c r="S597" s="590">
        <v>44707</v>
      </c>
      <c r="T597" s="176">
        <v>44718</v>
      </c>
      <c r="U597" s="177">
        <v>44726</v>
      </c>
      <c r="V597" s="105" t="s">
        <v>1428</v>
      </c>
      <c r="W597" s="178" t="s">
        <v>1177</v>
      </c>
      <c r="X597" s="170" t="s">
        <v>1107</v>
      </c>
      <c r="Y597" s="200">
        <v>44711</v>
      </c>
      <c r="Z597" s="368" t="s">
        <v>5003</v>
      </c>
      <c r="AA597" s="33" t="s">
        <v>4385</v>
      </c>
      <c r="AB597" s="8">
        <v>44704</v>
      </c>
      <c r="AC597" s="4">
        <v>61641.91</v>
      </c>
      <c r="AD597" s="4"/>
      <c r="AE597" s="32"/>
      <c r="AF597" s="582" t="s">
        <v>68</v>
      </c>
      <c r="AG597" s="583" t="s">
        <v>68</v>
      </c>
      <c r="AH597" s="583" t="s">
        <v>68</v>
      </c>
      <c r="AI597" s="584" t="s">
        <v>68</v>
      </c>
      <c r="AJ597" s="581" t="s">
        <v>68</v>
      </c>
      <c r="AK597" s="33" t="s">
        <v>68</v>
      </c>
      <c r="AL597" s="1" t="s">
        <v>68</v>
      </c>
      <c r="AM597" s="5"/>
      <c r="AN597" s="1" t="s">
        <v>68</v>
      </c>
      <c r="AO597" s="5"/>
      <c r="AP597" s="1" t="s">
        <v>68</v>
      </c>
      <c r="AQ597" s="5"/>
      <c r="AR597" s="279">
        <v>0</v>
      </c>
      <c r="AS597" s="35">
        <v>29316.07</v>
      </c>
      <c r="AT597" s="895">
        <v>33640.46</v>
      </c>
      <c r="AU597" s="891"/>
      <c r="AV597" s="70">
        <v>44718</v>
      </c>
      <c r="AW597" s="11">
        <v>44726</v>
      </c>
      <c r="AX597" s="223"/>
      <c r="AY597" s="52"/>
      <c r="AZ597" s="70">
        <v>44727</v>
      </c>
      <c r="BA597" s="5">
        <v>44718</v>
      </c>
      <c r="BB597" s="5">
        <v>44726</v>
      </c>
      <c r="BC597" s="11"/>
      <c r="BD597" s="70">
        <v>44728</v>
      </c>
      <c r="BE597" s="1616" t="str">
        <f>N597</f>
        <v>DOP/AD/002/2022</v>
      </c>
      <c r="BF597" s="5">
        <v>44718</v>
      </c>
      <c r="BG597" s="5">
        <v>44726</v>
      </c>
      <c r="BH597" s="5">
        <v>44726</v>
      </c>
      <c r="BI597" s="245">
        <f>AS597+AT597+295.69</f>
        <v>63252.22</v>
      </c>
      <c r="BJ597" s="1546" t="s">
        <v>68</v>
      </c>
      <c r="BK597" s="1826"/>
      <c r="BL597" s="336">
        <v>44711</v>
      </c>
      <c r="BM597" s="695" t="s">
        <v>68</v>
      </c>
      <c r="BN597" s="695" t="s">
        <v>68</v>
      </c>
      <c r="BO597" s="1043"/>
      <c r="BP597" s="696" t="s">
        <v>68</v>
      </c>
      <c r="BQ597" s="696" t="s">
        <v>68</v>
      </c>
      <c r="BR597" s="914" t="s">
        <v>68</v>
      </c>
      <c r="BS597" s="696" t="s">
        <v>68</v>
      </c>
      <c r="BT597" s="696" t="s">
        <v>68</v>
      </c>
      <c r="BU597" s="1092">
        <v>0</v>
      </c>
      <c r="BV597" s="1093">
        <v>0</v>
      </c>
      <c r="BW597" s="13"/>
      <c r="BX597" s="158"/>
      <c r="BY597" s="13"/>
      <c r="BZ597" s="13"/>
      <c r="CA597" s="13"/>
      <c r="CB597" s="1222" t="s">
        <v>3944</v>
      </c>
      <c r="CC597" s="586" t="s">
        <v>1143</v>
      </c>
      <c r="CD597" s="526"/>
      <c r="CE597" s="526"/>
      <c r="CF597" s="526"/>
      <c r="CG597" s="526"/>
      <c r="CH597" s="526"/>
      <c r="CI597" s="526"/>
      <c r="CJ597" s="526"/>
      <c r="CK597" s="15"/>
    </row>
    <row r="598" spans="1:89" ht="99.75" hidden="1" customHeight="1">
      <c r="B598" s="22"/>
      <c r="C598" s="1639"/>
      <c r="D598" s="1639"/>
      <c r="E598" s="911">
        <v>44805</v>
      </c>
      <c r="F598" s="911"/>
      <c r="G598" s="915">
        <v>45072</v>
      </c>
      <c r="H598" s="1746"/>
      <c r="I598" s="330">
        <v>45084</v>
      </c>
      <c r="J598" s="169">
        <v>2022</v>
      </c>
      <c r="K598" s="1417">
        <v>221003</v>
      </c>
      <c r="L598" s="1417"/>
      <c r="M598" s="170" t="s">
        <v>166</v>
      </c>
      <c r="N598" s="178" t="s">
        <v>4309</v>
      </c>
      <c r="O598" s="172" t="s">
        <v>4032</v>
      </c>
      <c r="P598" s="173" t="s">
        <v>4485</v>
      </c>
      <c r="Q598" s="173" t="s">
        <v>4409</v>
      </c>
      <c r="R598" s="594">
        <v>81200</v>
      </c>
      <c r="S598" s="590">
        <v>44777</v>
      </c>
      <c r="T598" s="176">
        <v>44781</v>
      </c>
      <c r="U598" s="177">
        <v>44799</v>
      </c>
      <c r="V598" s="105" t="s">
        <v>1428</v>
      </c>
      <c r="W598" s="178" t="s">
        <v>1177</v>
      </c>
      <c r="X598" s="170" t="s">
        <v>1107</v>
      </c>
      <c r="Y598" s="200" t="s">
        <v>1428</v>
      </c>
      <c r="Z598" s="368" t="s">
        <v>68</v>
      </c>
      <c r="AA598" s="1099" t="s">
        <v>74</v>
      </c>
      <c r="AB598" s="8"/>
      <c r="AC598" s="79"/>
      <c r="AD598" s="79"/>
      <c r="AE598" s="651"/>
      <c r="AF598" s="582" t="s">
        <v>68</v>
      </c>
      <c r="AG598" s="583" t="s">
        <v>68</v>
      </c>
      <c r="AH598" s="583" t="s">
        <v>68</v>
      </c>
      <c r="AI598" s="584" t="s">
        <v>68</v>
      </c>
      <c r="AJ598" s="581" t="s">
        <v>68</v>
      </c>
      <c r="AK598" s="1729" t="s">
        <v>68</v>
      </c>
      <c r="AL598" s="1634" t="s">
        <v>68</v>
      </c>
      <c r="AM598" s="1656"/>
      <c r="AN598" s="1634" t="s">
        <v>68</v>
      </c>
      <c r="AO598" s="1656"/>
      <c r="AP598" s="1634" t="s">
        <v>68</v>
      </c>
      <c r="AQ598" s="1656"/>
      <c r="AR598" s="1730">
        <v>0</v>
      </c>
      <c r="AS598" s="35">
        <v>28140</v>
      </c>
      <c r="AT598" s="895">
        <v>56972.38</v>
      </c>
      <c r="AU598" s="884"/>
      <c r="AV598" s="350" t="s">
        <v>74</v>
      </c>
      <c r="AW598" s="11"/>
      <c r="AX598" s="223"/>
      <c r="AY598" s="52"/>
      <c r="AZ598" s="70">
        <v>44802</v>
      </c>
      <c r="BA598" s="71">
        <v>44781</v>
      </c>
      <c r="BB598" s="71">
        <v>44799</v>
      </c>
      <c r="BC598" s="127">
        <v>44799</v>
      </c>
      <c r="BD598" s="70">
        <v>44649</v>
      </c>
      <c r="BE598" s="1616" t="str">
        <f>N598</f>
        <v>DOP/AD/003/2022</v>
      </c>
      <c r="BF598" s="5">
        <v>44781</v>
      </c>
      <c r="BG598" s="5">
        <v>44799</v>
      </c>
      <c r="BH598" s="5">
        <v>44799</v>
      </c>
      <c r="BI598" s="36">
        <f>AS598+AT598</f>
        <v>85112.38</v>
      </c>
      <c r="BJ598" s="1802" t="s">
        <v>68</v>
      </c>
      <c r="BK598" s="694"/>
      <c r="BL598" s="336">
        <v>44784</v>
      </c>
      <c r="BM598" s="695" t="s">
        <v>68</v>
      </c>
      <c r="BN598" s="695" t="s">
        <v>68</v>
      </c>
      <c r="BO598" s="696"/>
      <c r="BP598" s="696" t="s">
        <v>68</v>
      </c>
      <c r="BQ598" s="696" t="s">
        <v>68</v>
      </c>
      <c r="BR598" s="914" t="s">
        <v>68</v>
      </c>
      <c r="BS598" s="696" t="s">
        <v>68</v>
      </c>
      <c r="BT598" s="696" t="s">
        <v>68</v>
      </c>
      <c r="BU598" s="1092">
        <v>0</v>
      </c>
      <c r="BV598" s="1093">
        <v>0</v>
      </c>
      <c r="BW598" s="13"/>
      <c r="BX598" s="158"/>
      <c r="BY598" s="13"/>
      <c r="BZ598" s="13"/>
      <c r="CA598" s="13"/>
      <c r="CB598" s="1222" t="s">
        <v>3944</v>
      </c>
      <c r="CC598" s="586"/>
      <c r="CD598" s="526"/>
      <c r="CE598" s="526"/>
      <c r="CF598" s="526"/>
      <c r="CG598" s="526"/>
      <c r="CH598" s="526"/>
      <c r="CI598" s="526"/>
      <c r="CJ598" s="526"/>
      <c r="CK598" s="15"/>
    </row>
    <row r="599" spans="1:89" ht="87.75" hidden="1" customHeight="1">
      <c r="B599" s="22"/>
      <c r="C599" s="1639"/>
      <c r="D599" s="1639"/>
      <c r="E599" s="911">
        <v>44805</v>
      </c>
      <c r="F599" s="911"/>
      <c r="G599" s="915">
        <v>45076</v>
      </c>
      <c r="H599" s="1746"/>
      <c r="I599" s="330">
        <v>45084</v>
      </c>
      <c r="J599" s="169">
        <v>2022</v>
      </c>
      <c r="K599" s="1417">
        <v>221004</v>
      </c>
      <c r="L599" s="1417"/>
      <c r="M599" s="170" t="s">
        <v>166</v>
      </c>
      <c r="N599" s="178" t="s">
        <v>4997</v>
      </c>
      <c r="O599" s="172" t="s">
        <v>4032</v>
      </c>
      <c r="P599" s="173" t="s">
        <v>5002</v>
      </c>
      <c r="Q599" s="173" t="s">
        <v>2577</v>
      </c>
      <c r="R599" s="594">
        <v>330190.86</v>
      </c>
      <c r="S599" s="590">
        <v>44595</v>
      </c>
      <c r="T599" s="176">
        <v>44599</v>
      </c>
      <c r="U599" s="177">
        <v>44617</v>
      </c>
      <c r="V599" s="105" t="s">
        <v>1428</v>
      </c>
      <c r="W599" s="178" t="s">
        <v>1177</v>
      </c>
      <c r="X599" s="170" t="s">
        <v>70</v>
      </c>
      <c r="Y599" s="200" t="s">
        <v>1428</v>
      </c>
      <c r="Z599" s="1374"/>
      <c r="AA599" s="1099" t="s">
        <v>74</v>
      </c>
      <c r="AB599" s="8"/>
      <c r="AC599" s="79"/>
      <c r="AD599" s="79"/>
      <c r="AE599" s="651"/>
      <c r="AF599" s="582" t="s">
        <v>68</v>
      </c>
      <c r="AG599" s="583" t="s">
        <v>68</v>
      </c>
      <c r="AH599" s="583" t="s">
        <v>68</v>
      </c>
      <c r="AI599" s="584" t="s">
        <v>68</v>
      </c>
      <c r="AJ599" s="581" t="s">
        <v>68</v>
      </c>
      <c r="AK599" s="1729" t="s">
        <v>68</v>
      </c>
      <c r="AL599" s="1634" t="s">
        <v>68</v>
      </c>
      <c r="AM599" s="1656"/>
      <c r="AN599" s="1634" t="s">
        <v>68</v>
      </c>
      <c r="AO599" s="1656"/>
      <c r="AP599" s="1634" t="s">
        <v>68</v>
      </c>
      <c r="AQ599" s="1656"/>
      <c r="AR599" s="1730">
        <v>0</v>
      </c>
      <c r="AS599" s="35">
        <v>30441</v>
      </c>
      <c r="AT599" s="895">
        <v>299750.75</v>
      </c>
      <c r="AU599" s="884"/>
      <c r="AV599" s="350" t="s">
        <v>74</v>
      </c>
      <c r="AW599" s="11"/>
      <c r="AX599" s="223"/>
      <c r="AY599" s="52"/>
      <c r="AZ599" s="70">
        <v>44649</v>
      </c>
      <c r="BA599" s="5">
        <v>44599</v>
      </c>
      <c r="BB599" s="5">
        <v>44617</v>
      </c>
      <c r="BC599" s="11">
        <v>44617</v>
      </c>
      <c r="BD599" s="70">
        <v>44620</v>
      </c>
      <c r="BE599" s="1616" t="str">
        <f>N599</f>
        <v>DOP/AD/001-A/2022</v>
      </c>
      <c r="BF599" s="5">
        <v>44599</v>
      </c>
      <c r="BG599" s="5">
        <v>44617</v>
      </c>
      <c r="BH599" s="5">
        <v>44617</v>
      </c>
      <c r="BI599" s="36">
        <f>AS599+AT599</f>
        <v>330191.75</v>
      </c>
      <c r="BJ599" s="1802" t="s">
        <v>68</v>
      </c>
      <c r="BK599" s="694"/>
      <c r="BL599" s="336">
        <v>44595</v>
      </c>
      <c r="BM599" s="695" t="s">
        <v>68</v>
      </c>
      <c r="BN599" s="695" t="s">
        <v>68</v>
      </c>
      <c r="BO599" s="696"/>
      <c r="BP599" s="696" t="s">
        <v>68</v>
      </c>
      <c r="BQ599" s="696" t="s">
        <v>68</v>
      </c>
      <c r="BR599" s="914" t="s">
        <v>68</v>
      </c>
      <c r="BS599" s="696" t="s">
        <v>68</v>
      </c>
      <c r="BT599" s="696" t="s">
        <v>68</v>
      </c>
      <c r="BU599" s="1092">
        <v>0</v>
      </c>
      <c r="BV599" s="1093">
        <v>0</v>
      </c>
      <c r="BW599" s="13"/>
      <c r="BX599" s="158"/>
      <c r="BY599" s="13"/>
      <c r="BZ599" s="13"/>
      <c r="CA599" s="13"/>
      <c r="CB599" s="1222" t="s">
        <v>3944</v>
      </c>
      <c r="CC599" s="38"/>
      <c r="CD599" s="526"/>
      <c r="CE599" s="526"/>
      <c r="CF599" s="526"/>
      <c r="CG599" s="526"/>
      <c r="CH599" s="526"/>
      <c r="CI599" s="526"/>
      <c r="CJ599" s="526"/>
      <c r="CK599" s="15"/>
    </row>
    <row r="600" spans="1:89" ht="87.75" hidden="1" customHeight="1">
      <c r="B600" s="22"/>
      <c r="C600" s="1639"/>
      <c r="D600" s="1639"/>
      <c r="E600" s="911">
        <v>45170</v>
      </c>
      <c r="F600" s="911"/>
      <c r="G600" s="915">
        <v>45072</v>
      </c>
      <c r="H600" s="1746"/>
      <c r="I600" s="330">
        <v>45084</v>
      </c>
      <c r="J600" s="169">
        <v>2022</v>
      </c>
      <c r="K600" s="1417">
        <v>221005</v>
      </c>
      <c r="L600" s="1417"/>
      <c r="M600" s="170" t="s">
        <v>166</v>
      </c>
      <c r="N600" s="178" t="s">
        <v>4310</v>
      </c>
      <c r="O600" s="172" t="s">
        <v>4032</v>
      </c>
      <c r="P600" s="173" t="s">
        <v>4582</v>
      </c>
      <c r="Q600" s="173" t="s">
        <v>4824</v>
      </c>
      <c r="R600" s="594">
        <v>86073.66</v>
      </c>
      <c r="S600" s="590">
        <v>44875</v>
      </c>
      <c r="T600" s="176">
        <v>44886</v>
      </c>
      <c r="U600" s="177">
        <v>44893</v>
      </c>
      <c r="V600" s="105" t="s">
        <v>1428</v>
      </c>
      <c r="W600" s="178" t="s">
        <v>1177</v>
      </c>
      <c r="X600" s="170" t="s">
        <v>70</v>
      </c>
      <c r="Y600" s="200" t="s">
        <v>1428</v>
      </c>
      <c r="Z600" s="368" t="s">
        <v>68</v>
      </c>
      <c r="AA600" s="33" t="s">
        <v>5004</v>
      </c>
      <c r="AB600" s="8">
        <v>44596</v>
      </c>
      <c r="AC600" s="79">
        <v>1500000</v>
      </c>
      <c r="AD600" s="79"/>
      <c r="AE600" s="651"/>
      <c r="AF600" s="582" t="s">
        <v>68</v>
      </c>
      <c r="AG600" s="583" t="s">
        <v>68</v>
      </c>
      <c r="AH600" s="583" t="s">
        <v>68</v>
      </c>
      <c r="AI600" s="584" t="s">
        <v>68</v>
      </c>
      <c r="AJ600" s="581" t="s">
        <v>68</v>
      </c>
      <c r="AK600" s="1729" t="s">
        <v>68</v>
      </c>
      <c r="AL600" s="1634" t="s">
        <v>68</v>
      </c>
      <c r="AM600" s="1656"/>
      <c r="AN600" s="1634" t="s">
        <v>68</v>
      </c>
      <c r="AO600" s="1656"/>
      <c r="AP600" s="1634" t="s">
        <v>68</v>
      </c>
      <c r="AQ600" s="1656"/>
      <c r="AR600" s="1730">
        <v>0</v>
      </c>
      <c r="AS600" s="35">
        <v>8265.2999999999993</v>
      </c>
      <c r="AT600" s="895">
        <v>26874.38</v>
      </c>
      <c r="AU600" s="884"/>
      <c r="AV600" s="350" t="s">
        <v>74</v>
      </c>
      <c r="AW600" s="11"/>
      <c r="AX600" s="223"/>
      <c r="AY600" s="52"/>
      <c r="AZ600" s="70">
        <v>44900</v>
      </c>
      <c r="BA600" s="5">
        <v>44886</v>
      </c>
      <c r="BB600" s="5">
        <v>44893</v>
      </c>
      <c r="BC600" s="11">
        <v>44898</v>
      </c>
      <c r="BD600" s="70">
        <v>44900</v>
      </c>
      <c r="BE600" s="1616" t="str">
        <f t="shared" ref="BE600:BE605" si="19">N600</f>
        <v>DOP/AD/005/2022</v>
      </c>
      <c r="BF600" s="5">
        <v>44886</v>
      </c>
      <c r="BG600" s="5">
        <v>44893</v>
      </c>
      <c r="BH600" s="5">
        <v>44898</v>
      </c>
      <c r="BI600" s="36">
        <f t="shared" ref="BI600:BI605" si="20">AS600+AT600</f>
        <v>35139.68</v>
      </c>
      <c r="BJ600" s="1802" t="s">
        <v>68</v>
      </c>
      <c r="BK600" s="694"/>
      <c r="BL600" s="336">
        <v>44875</v>
      </c>
      <c r="BM600" s="695" t="s">
        <v>68</v>
      </c>
      <c r="BN600" s="695" t="s">
        <v>68</v>
      </c>
      <c r="BO600" s="696"/>
      <c r="BP600" s="696" t="s">
        <v>68</v>
      </c>
      <c r="BQ600" s="696" t="s">
        <v>68</v>
      </c>
      <c r="BR600" s="914" t="s">
        <v>68</v>
      </c>
      <c r="BS600" s="696" t="s">
        <v>68</v>
      </c>
      <c r="BT600" s="696" t="s">
        <v>68</v>
      </c>
      <c r="BU600" s="1092">
        <v>0</v>
      </c>
      <c r="BV600" s="1093">
        <v>0</v>
      </c>
      <c r="BW600" s="13"/>
      <c r="BX600" s="158"/>
      <c r="BY600" s="13"/>
      <c r="BZ600" s="13"/>
      <c r="CA600" s="13"/>
      <c r="CB600" s="1222" t="s">
        <v>3944</v>
      </c>
      <c r="CC600" s="38"/>
      <c r="CD600" s="526"/>
      <c r="CE600" s="526"/>
      <c r="CF600" s="526"/>
      <c r="CG600" s="526"/>
      <c r="CH600" s="526"/>
      <c r="CI600" s="526"/>
      <c r="CJ600" s="526"/>
      <c r="CK600" s="15"/>
    </row>
    <row r="601" spans="1:89" ht="87.75" hidden="1" customHeight="1">
      <c r="B601" s="22"/>
      <c r="C601" s="1639"/>
      <c r="D601" s="1639"/>
      <c r="E601" s="911">
        <v>45170</v>
      </c>
      <c r="F601" s="911"/>
      <c r="G601" s="915">
        <v>45072</v>
      </c>
      <c r="H601" s="1746"/>
      <c r="I601" s="330">
        <v>45084</v>
      </c>
      <c r="J601" s="169">
        <v>2022</v>
      </c>
      <c r="K601" s="1417">
        <v>221006</v>
      </c>
      <c r="L601" s="1417"/>
      <c r="M601" s="170" t="s">
        <v>166</v>
      </c>
      <c r="N601" s="178" t="s">
        <v>4311</v>
      </c>
      <c r="O601" s="172" t="s">
        <v>4032</v>
      </c>
      <c r="P601" s="173" t="s">
        <v>4583</v>
      </c>
      <c r="Q601" s="173" t="s">
        <v>4824</v>
      </c>
      <c r="R601" s="594">
        <v>109829.72</v>
      </c>
      <c r="S601" s="590">
        <v>44875</v>
      </c>
      <c r="T601" s="176">
        <v>44879</v>
      </c>
      <c r="U601" s="177">
        <v>44886</v>
      </c>
      <c r="V601" s="105" t="s">
        <v>1428</v>
      </c>
      <c r="W601" s="178" t="s">
        <v>1177</v>
      </c>
      <c r="X601" s="170" t="s">
        <v>70</v>
      </c>
      <c r="Y601" s="200" t="s">
        <v>1428</v>
      </c>
      <c r="Z601" s="368" t="s">
        <v>68</v>
      </c>
      <c r="AA601" s="33" t="s">
        <v>5004</v>
      </c>
      <c r="AB601" s="8">
        <v>44596</v>
      </c>
      <c r="AC601" s="79">
        <v>1500000</v>
      </c>
      <c r="AD601" s="79"/>
      <c r="AE601" s="651"/>
      <c r="AF601" s="582" t="s">
        <v>68</v>
      </c>
      <c r="AG601" s="583" t="s">
        <v>68</v>
      </c>
      <c r="AH601" s="583" t="s">
        <v>68</v>
      </c>
      <c r="AI601" s="584" t="s">
        <v>68</v>
      </c>
      <c r="AJ601" s="581" t="s">
        <v>68</v>
      </c>
      <c r="AK601" s="1729" t="s">
        <v>68</v>
      </c>
      <c r="AL601" s="1634" t="s">
        <v>68</v>
      </c>
      <c r="AM601" s="1656"/>
      <c r="AN601" s="1634" t="s">
        <v>68</v>
      </c>
      <c r="AO601" s="1656"/>
      <c r="AP601" s="1634" t="s">
        <v>68</v>
      </c>
      <c r="AQ601" s="1656"/>
      <c r="AR601" s="1730">
        <v>0</v>
      </c>
      <c r="AS601" s="35">
        <v>24128.15</v>
      </c>
      <c r="AT601" s="895">
        <v>47080.97</v>
      </c>
      <c r="AU601" s="884"/>
      <c r="AV601" s="350" t="s">
        <v>74</v>
      </c>
      <c r="AW601" s="11"/>
      <c r="AX601" s="223"/>
      <c r="AY601" s="52"/>
      <c r="AZ601" s="70">
        <v>44893</v>
      </c>
      <c r="BA601" s="5">
        <v>44879</v>
      </c>
      <c r="BB601" s="5">
        <v>44886</v>
      </c>
      <c r="BC601" s="11">
        <v>45254</v>
      </c>
      <c r="BD601" s="70">
        <v>44900</v>
      </c>
      <c r="BE601" s="1616" t="str">
        <f t="shared" si="19"/>
        <v>DOP/AD/006/2022</v>
      </c>
      <c r="BF601" s="5">
        <v>44879</v>
      </c>
      <c r="BG601" s="5">
        <v>44886</v>
      </c>
      <c r="BH601" s="5">
        <v>44889</v>
      </c>
      <c r="BI601" s="36">
        <f t="shared" si="20"/>
        <v>71209.119999999995</v>
      </c>
      <c r="BJ601" s="1802" t="s">
        <v>68</v>
      </c>
      <c r="BK601" s="694"/>
      <c r="BL601" s="336">
        <v>44875</v>
      </c>
      <c r="BM601" s="695" t="s">
        <v>68</v>
      </c>
      <c r="BN601" s="695" t="s">
        <v>68</v>
      </c>
      <c r="BO601" s="696"/>
      <c r="BP601" s="696" t="s">
        <v>68</v>
      </c>
      <c r="BQ601" s="696" t="s">
        <v>68</v>
      </c>
      <c r="BR601" s="914" t="s">
        <v>68</v>
      </c>
      <c r="BS601" s="696" t="s">
        <v>68</v>
      </c>
      <c r="BT601" s="696" t="s">
        <v>68</v>
      </c>
      <c r="BU601" s="1092">
        <v>0</v>
      </c>
      <c r="BV601" s="1093">
        <v>0</v>
      </c>
      <c r="BW601" s="13"/>
      <c r="BX601" s="158"/>
      <c r="BY601" s="13"/>
      <c r="BZ601" s="13"/>
      <c r="CA601" s="13"/>
      <c r="CB601" s="1222" t="s">
        <v>3944</v>
      </c>
      <c r="CC601" s="38"/>
      <c r="CD601" s="526"/>
      <c r="CE601" s="526"/>
      <c r="CF601" s="526"/>
      <c r="CG601" s="526"/>
      <c r="CH601" s="526"/>
      <c r="CI601" s="526"/>
      <c r="CJ601" s="526"/>
      <c r="CK601" s="15"/>
    </row>
    <row r="602" spans="1:89" ht="87.75" hidden="1" customHeight="1">
      <c r="B602" s="22"/>
      <c r="C602" s="1640">
        <v>45068</v>
      </c>
      <c r="D602" s="1644">
        <v>9</v>
      </c>
      <c r="E602" s="911"/>
      <c r="F602" s="911"/>
      <c r="G602" s="915"/>
      <c r="H602" s="1746"/>
      <c r="I602" s="330"/>
      <c r="J602" s="169">
        <v>2022</v>
      </c>
      <c r="K602" s="1417">
        <v>221006.1</v>
      </c>
      <c r="L602" s="1417"/>
      <c r="M602" s="170" t="s">
        <v>166</v>
      </c>
      <c r="N602" s="178" t="s">
        <v>4736</v>
      </c>
      <c r="O602" s="172" t="s">
        <v>4736</v>
      </c>
      <c r="P602" s="173" t="s">
        <v>4998</v>
      </c>
      <c r="Q602" s="173" t="s">
        <v>1975</v>
      </c>
      <c r="R602" s="1651"/>
      <c r="S602" s="590" t="s">
        <v>1177</v>
      </c>
      <c r="T602" s="176">
        <v>44562</v>
      </c>
      <c r="U602" s="177">
        <v>44926</v>
      </c>
      <c r="V602" s="105" t="s">
        <v>1428</v>
      </c>
      <c r="W602" s="178" t="s">
        <v>1177</v>
      </c>
      <c r="X602" s="170" t="s">
        <v>449</v>
      </c>
      <c r="Y602" s="200" t="s">
        <v>1428</v>
      </c>
      <c r="Z602" s="368" t="s">
        <v>5003</v>
      </c>
      <c r="AA602" s="255"/>
      <c r="AB602" s="8"/>
      <c r="AC602" s="79"/>
      <c r="AD602" s="79"/>
      <c r="AE602" s="651"/>
      <c r="AF602" s="582" t="s">
        <v>68</v>
      </c>
      <c r="AG602" s="583" t="s">
        <v>68</v>
      </c>
      <c r="AH602" s="583" t="s">
        <v>68</v>
      </c>
      <c r="AI602" s="584" t="s">
        <v>68</v>
      </c>
      <c r="AJ602" s="581" t="s">
        <v>68</v>
      </c>
      <c r="AK602" s="33" t="s">
        <v>68</v>
      </c>
      <c r="AL602" s="1" t="s">
        <v>68</v>
      </c>
      <c r="AM602" s="5"/>
      <c r="AN602" s="1" t="s">
        <v>68</v>
      </c>
      <c r="AO602" s="5"/>
      <c r="AP602" s="1" t="s">
        <v>68</v>
      </c>
      <c r="AQ602" s="5"/>
      <c r="AR602" s="279">
        <v>0</v>
      </c>
      <c r="AS602" s="674"/>
      <c r="AT602" s="902"/>
      <c r="AU602" s="891"/>
      <c r="AV602" s="1652"/>
      <c r="AW602" s="1653"/>
      <c r="AX602" s="1654"/>
      <c r="AY602" s="1655"/>
      <c r="AZ602" s="1652"/>
      <c r="BA602" s="1656"/>
      <c r="BB602" s="1656"/>
      <c r="BC602" s="1653"/>
      <c r="BD602" s="1652"/>
      <c r="BE602" s="1657" t="str">
        <f t="shared" si="19"/>
        <v>MANTENIMIENTOS</v>
      </c>
      <c r="BF602" s="1656"/>
      <c r="BG602" s="1656"/>
      <c r="BH602" s="1656"/>
      <c r="BI602" s="1658">
        <f t="shared" si="20"/>
        <v>0</v>
      </c>
      <c r="BJ602" s="1659" t="s">
        <v>68</v>
      </c>
      <c r="BK602" s="1660"/>
      <c r="BL602" s="1660"/>
      <c r="BM602" s="1661" t="s">
        <v>68</v>
      </c>
      <c r="BN602" s="1661" t="s">
        <v>68</v>
      </c>
      <c r="BO602" s="1662"/>
      <c r="BP602" s="1662" t="s">
        <v>68</v>
      </c>
      <c r="BQ602" s="1662" t="s">
        <v>68</v>
      </c>
      <c r="BR602" s="1663" t="s">
        <v>68</v>
      </c>
      <c r="BS602" s="1662" t="s">
        <v>68</v>
      </c>
      <c r="BT602" s="1662" t="s">
        <v>68</v>
      </c>
      <c r="BU602" s="1664">
        <v>0</v>
      </c>
      <c r="BV602" s="1665">
        <v>0</v>
      </c>
      <c r="BW602" s="13"/>
      <c r="BX602" s="158"/>
      <c r="BY602" s="13"/>
      <c r="BZ602" s="13"/>
      <c r="CA602" s="13"/>
      <c r="CB602" s="1222" t="s">
        <v>3944</v>
      </c>
      <c r="CC602" s="38"/>
      <c r="CD602" s="526"/>
      <c r="CE602" s="526"/>
      <c r="CF602" s="526"/>
      <c r="CG602" s="526"/>
      <c r="CH602" s="526"/>
      <c r="CI602" s="526"/>
      <c r="CJ602" s="526"/>
      <c r="CK602" s="15"/>
    </row>
    <row r="603" spans="1:89" ht="87.75" hidden="1" customHeight="1">
      <c r="B603" s="22"/>
      <c r="C603" s="1639"/>
      <c r="D603" s="1639"/>
      <c r="E603" s="911">
        <v>45170</v>
      </c>
      <c r="F603" s="911"/>
      <c r="G603" s="915">
        <v>45073</v>
      </c>
      <c r="H603" s="1746"/>
      <c r="I603" s="330">
        <v>45084</v>
      </c>
      <c r="J603" s="169">
        <v>2022</v>
      </c>
      <c r="K603" s="1417">
        <v>221007</v>
      </c>
      <c r="L603" s="1417"/>
      <c r="M603" s="170" t="s">
        <v>166</v>
      </c>
      <c r="N603" s="178" t="s">
        <v>4999</v>
      </c>
      <c r="O603" s="172" t="s">
        <v>4032</v>
      </c>
      <c r="P603" s="173" t="s">
        <v>5000</v>
      </c>
      <c r="Q603" s="173" t="s">
        <v>2663</v>
      </c>
      <c r="R603" s="594">
        <v>297707.86</v>
      </c>
      <c r="S603" s="590">
        <v>44875</v>
      </c>
      <c r="T603" s="176">
        <v>44880</v>
      </c>
      <c r="U603" s="177">
        <v>44926</v>
      </c>
      <c r="V603" s="105" t="s">
        <v>1428</v>
      </c>
      <c r="W603" s="178" t="s">
        <v>1177</v>
      </c>
      <c r="X603" s="170" t="s">
        <v>213</v>
      </c>
      <c r="Y603" s="200" t="s">
        <v>1428</v>
      </c>
      <c r="Z603" s="368" t="s">
        <v>68</v>
      </c>
      <c r="AA603" s="33" t="s">
        <v>5001</v>
      </c>
      <c r="AB603" s="8">
        <v>44704</v>
      </c>
      <c r="AC603" s="79">
        <v>240885.59</v>
      </c>
      <c r="AD603" s="79"/>
      <c r="AE603" s="651"/>
      <c r="AF603" s="582" t="s">
        <v>68</v>
      </c>
      <c r="AG603" s="583" t="s">
        <v>68</v>
      </c>
      <c r="AH603" s="583" t="s">
        <v>68</v>
      </c>
      <c r="AI603" s="584" t="s">
        <v>68</v>
      </c>
      <c r="AJ603" s="581" t="s">
        <v>68</v>
      </c>
      <c r="AK603" s="1729" t="s">
        <v>68</v>
      </c>
      <c r="AL603" s="1634" t="s">
        <v>68</v>
      </c>
      <c r="AM603" s="1656"/>
      <c r="AN603" s="1634" t="s">
        <v>68</v>
      </c>
      <c r="AO603" s="1656"/>
      <c r="AP603" s="1634" t="s">
        <v>68</v>
      </c>
      <c r="AQ603" s="1656"/>
      <c r="AR603" s="1730">
        <v>0</v>
      </c>
      <c r="AS603" s="35">
        <v>21787.55</v>
      </c>
      <c r="AT603" s="895">
        <v>33503.32</v>
      </c>
      <c r="AU603" s="884"/>
      <c r="AV603" s="350" t="s">
        <v>74</v>
      </c>
      <c r="AW603" s="11"/>
      <c r="AX603" s="223"/>
      <c r="AY603" s="52"/>
      <c r="AZ603" s="350" t="s">
        <v>74</v>
      </c>
      <c r="BA603" s="5"/>
      <c r="BB603" s="5"/>
      <c r="BC603" s="11"/>
      <c r="BD603" s="70">
        <v>44602</v>
      </c>
      <c r="BE603" s="1616" t="str">
        <f t="shared" si="19"/>
        <v>DOP/AD/007/2022</v>
      </c>
      <c r="BF603" s="5"/>
      <c r="BG603" s="5"/>
      <c r="BH603" s="5"/>
      <c r="BI603" s="36">
        <f t="shared" si="20"/>
        <v>55290.869999999995</v>
      </c>
      <c r="BJ603" s="1802" t="s">
        <v>68</v>
      </c>
      <c r="BK603" s="694"/>
      <c r="BL603" s="336">
        <v>44879</v>
      </c>
      <c r="BM603" s="695" t="s">
        <v>68</v>
      </c>
      <c r="BN603" s="695" t="s">
        <v>68</v>
      </c>
      <c r="BO603" s="696"/>
      <c r="BP603" s="696" t="s">
        <v>68</v>
      </c>
      <c r="BQ603" s="696" t="s">
        <v>68</v>
      </c>
      <c r="BR603" s="914" t="s">
        <v>68</v>
      </c>
      <c r="BS603" s="696" t="s">
        <v>68</v>
      </c>
      <c r="BT603" s="696" t="s">
        <v>68</v>
      </c>
      <c r="BU603" s="1092">
        <v>0</v>
      </c>
      <c r="BV603" s="1093">
        <v>0</v>
      </c>
      <c r="BW603" s="13"/>
      <c r="BX603" s="158"/>
      <c r="BY603" s="13"/>
      <c r="BZ603" s="13"/>
      <c r="CA603" s="13"/>
      <c r="CB603" s="1222" t="s">
        <v>3944</v>
      </c>
      <c r="CC603" s="38" t="s">
        <v>5005</v>
      </c>
      <c r="CD603" s="526"/>
      <c r="CE603" s="526"/>
      <c r="CF603" s="526"/>
      <c r="CG603" s="526"/>
      <c r="CH603" s="526"/>
      <c r="CI603" s="526"/>
      <c r="CJ603" s="526"/>
      <c r="CK603" s="15"/>
    </row>
    <row r="604" spans="1:89" ht="87.75" hidden="1" customHeight="1">
      <c r="B604" s="22"/>
      <c r="C604" s="1639"/>
      <c r="D604" s="1639"/>
      <c r="E604" s="911">
        <v>44805</v>
      </c>
      <c r="F604" s="911"/>
      <c r="G604" s="915"/>
      <c r="H604" s="1746"/>
      <c r="I604" s="330"/>
      <c r="J604" s="169">
        <v>2022</v>
      </c>
      <c r="K604" s="1417">
        <v>221008</v>
      </c>
      <c r="L604" s="1417"/>
      <c r="M604" s="170" t="s">
        <v>166</v>
      </c>
      <c r="N604" s="178" t="s">
        <v>5488</v>
      </c>
      <c r="O604" s="172" t="s">
        <v>4032</v>
      </c>
      <c r="P604" s="173" t="s">
        <v>5489</v>
      </c>
      <c r="Q604" s="173" t="s">
        <v>1975</v>
      </c>
      <c r="R604" s="594">
        <v>800000</v>
      </c>
      <c r="S604" s="590">
        <v>44620</v>
      </c>
      <c r="T604" s="176">
        <v>44624</v>
      </c>
      <c r="U604" s="177">
        <v>44773</v>
      </c>
      <c r="V604" s="105" t="s">
        <v>1428</v>
      </c>
      <c r="W604" s="178" t="s">
        <v>1177</v>
      </c>
      <c r="X604" s="170" t="s">
        <v>449</v>
      </c>
      <c r="Y604" s="200" t="s">
        <v>1428</v>
      </c>
      <c r="Z604" s="1374"/>
      <c r="AA604" s="33" t="s">
        <v>5891</v>
      </c>
      <c r="AB604" s="8">
        <v>44890</v>
      </c>
      <c r="AC604" s="79">
        <v>650000</v>
      </c>
      <c r="AD604" s="79"/>
      <c r="AE604" s="651"/>
      <c r="AF604" s="582" t="s">
        <v>68</v>
      </c>
      <c r="AG604" s="583" t="s">
        <v>68</v>
      </c>
      <c r="AH604" s="583" t="s">
        <v>68</v>
      </c>
      <c r="AI604" s="584" t="s">
        <v>68</v>
      </c>
      <c r="AJ604" s="581" t="s">
        <v>68</v>
      </c>
      <c r="AK604" s="1729" t="s">
        <v>68</v>
      </c>
      <c r="AL604" s="1634" t="s">
        <v>68</v>
      </c>
      <c r="AM604" s="1656"/>
      <c r="AN604" s="1634" t="s">
        <v>68</v>
      </c>
      <c r="AO604" s="1656"/>
      <c r="AP604" s="1634" t="s">
        <v>68</v>
      </c>
      <c r="AQ604" s="1656"/>
      <c r="AR604" s="1730">
        <v>0</v>
      </c>
      <c r="AS604" s="35">
        <v>267695.8</v>
      </c>
      <c r="AT604" s="895">
        <v>352038.78</v>
      </c>
      <c r="AU604" s="884"/>
      <c r="AV604" s="350" t="s">
        <v>74</v>
      </c>
      <c r="AW604" s="11"/>
      <c r="AX604" s="223"/>
      <c r="AY604" s="52"/>
      <c r="AZ604" s="350" t="s">
        <v>74</v>
      </c>
      <c r="BA604" s="5"/>
      <c r="BB604" s="5"/>
      <c r="BC604" s="11"/>
      <c r="BD604" s="350" t="s">
        <v>74</v>
      </c>
      <c r="BE604" s="1616" t="str">
        <f t="shared" si="19"/>
        <v>DOP/AD/001-B/2022</v>
      </c>
      <c r="BF604" s="5"/>
      <c r="BG604" s="5"/>
      <c r="BH604" s="5"/>
      <c r="BI604" s="36">
        <f t="shared" si="20"/>
        <v>619734.58000000007</v>
      </c>
      <c r="BJ604" s="1802" t="s">
        <v>68</v>
      </c>
      <c r="BK604" s="694"/>
      <c r="BL604" s="694"/>
      <c r="BM604" s="695" t="s">
        <v>68</v>
      </c>
      <c r="BN604" s="695" t="s">
        <v>68</v>
      </c>
      <c r="BO604" s="696"/>
      <c r="BP604" s="696" t="s">
        <v>68</v>
      </c>
      <c r="BQ604" s="696" t="s">
        <v>68</v>
      </c>
      <c r="BR604" s="914" t="s">
        <v>68</v>
      </c>
      <c r="BS604" s="696" t="s">
        <v>68</v>
      </c>
      <c r="BT604" s="696" t="s">
        <v>68</v>
      </c>
      <c r="BU604" s="1092">
        <v>0</v>
      </c>
      <c r="BV604" s="1093">
        <v>0</v>
      </c>
      <c r="BW604" s="13"/>
      <c r="BX604" s="158"/>
      <c r="BY604" s="13"/>
      <c r="BZ604" s="13"/>
      <c r="CA604" s="13"/>
      <c r="CB604" s="1222" t="s">
        <v>3944</v>
      </c>
      <c r="CC604" s="38"/>
      <c r="CD604" s="526"/>
      <c r="CE604" s="526"/>
      <c r="CF604" s="526"/>
      <c r="CG604" s="526"/>
      <c r="CH604" s="526"/>
      <c r="CI604" s="526"/>
      <c r="CJ604" s="526"/>
      <c r="CK604" s="15"/>
    </row>
    <row r="605" spans="1:89" ht="87.75" hidden="1" customHeight="1">
      <c r="B605" s="22"/>
      <c r="C605" s="1639"/>
      <c r="D605" s="1639"/>
      <c r="E605" s="911"/>
      <c r="F605" s="911"/>
      <c r="G605" s="915"/>
      <c r="H605" s="1746"/>
      <c r="I605" s="330"/>
      <c r="J605" s="169">
        <v>2022</v>
      </c>
      <c r="K605" s="1417">
        <v>221010</v>
      </c>
      <c r="L605" s="1417"/>
      <c r="M605" s="170"/>
      <c r="N605" s="178" t="s">
        <v>4312</v>
      </c>
      <c r="O605" s="790" t="s">
        <v>251</v>
      </c>
      <c r="P605" s="1191" t="s">
        <v>68</v>
      </c>
      <c r="Q605" s="1191"/>
      <c r="R605" s="174" t="s">
        <v>5886</v>
      </c>
      <c r="S605" s="1193"/>
      <c r="T605" s="176"/>
      <c r="U605" s="177"/>
      <c r="V605" s="105" t="s">
        <v>1428</v>
      </c>
      <c r="W605" s="178" t="s">
        <v>1177</v>
      </c>
      <c r="X605" s="920"/>
      <c r="Y605" s="1040"/>
      <c r="Z605" s="1383"/>
      <c r="AA605" s="255"/>
      <c r="AB605" s="8"/>
      <c r="AC605" s="4"/>
      <c r="AD605" s="4"/>
      <c r="AE605" s="32"/>
      <c r="AF605" s="582" t="s">
        <v>68</v>
      </c>
      <c r="AG605" s="583" t="s">
        <v>68</v>
      </c>
      <c r="AH605" s="583" t="s">
        <v>68</v>
      </c>
      <c r="AI605" s="584" t="s">
        <v>68</v>
      </c>
      <c r="AJ605" s="581" t="s">
        <v>68</v>
      </c>
      <c r="AK605" s="33" t="s">
        <v>68</v>
      </c>
      <c r="AL605" s="1" t="s">
        <v>68</v>
      </c>
      <c r="AM605" s="5"/>
      <c r="AN605" s="1" t="s">
        <v>68</v>
      </c>
      <c r="AO605" s="5"/>
      <c r="AP605" s="1" t="s">
        <v>68</v>
      </c>
      <c r="AQ605" s="5"/>
      <c r="AR605" s="279">
        <v>0</v>
      </c>
      <c r="AS605" s="674"/>
      <c r="AT605" s="902"/>
      <c r="AU605" s="891"/>
      <c r="AV605" s="66" t="s">
        <v>74</v>
      </c>
      <c r="AW605" s="11"/>
      <c r="AX605" s="223"/>
      <c r="AY605" s="52"/>
      <c r="AZ605" s="66" t="s">
        <v>74</v>
      </c>
      <c r="BA605" s="5"/>
      <c r="BB605" s="5"/>
      <c r="BC605" s="11"/>
      <c r="BD605" s="66" t="s">
        <v>74</v>
      </c>
      <c r="BE605" s="1616" t="str">
        <f t="shared" si="19"/>
        <v>DOP/AD/010/2022</v>
      </c>
      <c r="BF605" s="5"/>
      <c r="BG605" s="5"/>
      <c r="BH605" s="5"/>
      <c r="BI605" s="64">
        <f t="shared" si="20"/>
        <v>0</v>
      </c>
      <c r="BJ605" s="1546" t="s">
        <v>68</v>
      </c>
      <c r="BK605" s="1826"/>
      <c r="BL605" s="1041"/>
      <c r="BM605" s="695" t="s">
        <v>68</v>
      </c>
      <c r="BN605" s="695" t="s">
        <v>68</v>
      </c>
      <c r="BO605" s="1043"/>
      <c r="BP605" s="696" t="s">
        <v>68</v>
      </c>
      <c r="BQ605" s="696" t="s">
        <v>68</v>
      </c>
      <c r="BR605" s="914" t="s">
        <v>68</v>
      </c>
      <c r="BS605" s="696" t="s">
        <v>68</v>
      </c>
      <c r="BT605" s="696" t="s">
        <v>68</v>
      </c>
      <c r="BU605" s="1092">
        <v>0</v>
      </c>
      <c r="BV605" s="1093">
        <v>0</v>
      </c>
      <c r="BW605" s="13"/>
      <c r="BX605" s="158"/>
      <c r="BY605" s="13"/>
      <c r="BZ605" s="13"/>
      <c r="CA605" s="13"/>
      <c r="CB605" s="1222" t="s">
        <v>3944</v>
      </c>
      <c r="CC605" s="38"/>
      <c r="CD605" s="526"/>
      <c r="CE605" s="526"/>
      <c r="CF605" s="526"/>
      <c r="CG605" s="526"/>
      <c r="CH605" s="526"/>
      <c r="CI605" s="526"/>
      <c r="CJ605" s="526"/>
      <c r="CK605" s="15"/>
    </row>
    <row r="606" spans="1:89" ht="90.75" hidden="1" customHeight="1">
      <c r="B606" s="22"/>
      <c r="C606" s="1639"/>
      <c r="D606" s="1639"/>
      <c r="E606" s="911"/>
      <c r="F606" s="911"/>
      <c r="G606" s="915"/>
      <c r="H606" s="1746"/>
      <c r="I606" s="330"/>
      <c r="J606" s="169">
        <v>2022</v>
      </c>
      <c r="K606" s="1417">
        <v>222001</v>
      </c>
      <c r="L606" s="1417"/>
      <c r="M606" s="170" t="s">
        <v>166</v>
      </c>
      <c r="N606" s="178" t="s">
        <v>4313</v>
      </c>
      <c r="O606" s="172" t="s">
        <v>4306</v>
      </c>
      <c r="P606" s="173" t="s">
        <v>4359</v>
      </c>
      <c r="Q606" s="173" t="s">
        <v>4382</v>
      </c>
      <c r="R606" s="594">
        <f>17400*4</f>
        <v>69600</v>
      </c>
      <c r="S606" s="590">
        <v>44572</v>
      </c>
      <c r="T606" s="176">
        <v>44578</v>
      </c>
      <c r="U606" s="177">
        <v>44581</v>
      </c>
      <c r="V606" s="105" t="s">
        <v>68</v>
      </c>
      <c r="W606" s="178" t="s">
        <v>4360</v>
      </c>
      <c r="X606" s="170" t="s">
        <v>3047</v>
      </c>
      <c r="Y606" s="200" t="s">
        <v>68</v>
      </c>
      <c r="Z606" s="368" t="s">
        <v>68</v>
      </c>
      <c r="AA606" s="255"/>
      <c r="AB606" s="8"/>
      <c r="AC606" s="4"/>
      <c r="AD606" s="4"/>
      <c r="AE606" s="32"/>
      <c r="AF606" s="582" t="s">
        <v>68</v>
      </c>
      <c r="AG606" s="583" t="s">
        <v>68</v>
      </c>
      <c r="AH606" s="583" t="s">
        <v>68</v>
      </c>
      <c r="AI606" s="584" t="s">
        <v>68</v>
      </c>
      <c r="AJ606" s="581" t="s">
        <v>68</v>
      </c>
      <c r="AK606" s="33" t="s">
        <v>68</v>
      </c>
      <c r="AL606" s="1" t="s">
        <v>68</v>
      </c>
      <c r="AM606" s="5"/>
      <c r="AN606" s="1" t="s">
        <v>68</v>
      </c>
      <c r="AO606" s="5"/>
      <c r="AP606" s="1" t="s">
        <v>68</v>
      </c>
      <c r="AQ606" s="5"/>
      <c r="AR606" s="279">
        <v>0</v>
      </c>
      <c r="AS606" s="35">
        <v>0</v>
      </c>
      <c r="AT606" s="902"/>
      <c r="AU606" s="891"/>
      <c r="AV606" s="350" t="s">
        <v>68</v>
      </c>
      <c r="AW606" s="11"/>
      <c r="AX606" s="223" t="s">
        <v>68</v>
      </c>
      <c r="AY606" s="52" t="s">
        <v>68</v>
      </c>
      <c r="AZ606" s="350" t="s">
        <v>68</v>
      </c>
      <c r="BA606" s="5"/>
      <c r="BB606" s="5"/>
      <c r="BC606" s="11"/>
      <c r="BD606" s="30" t="s">
        <v>68</v>
      </c>
      <c r="BE606" s="309"/>
      <c r="BF606" s="5"/>
      <c r="BG606" s="5"/>
      <c r="BH606" s="5"/>
      <c r="BI606" s="36"/>
      <c r="BJ606" s="1546" t="s">
        <v>68</v>
      </c>
      <c r="BK606" s="1826"/>
      <c r="BL606" s="694" t="s">
        <v>68</v>
      </c>
      <c r="BM606" s="695" t="s">
        <v>68</v>
      </c>
      <c r="BN606" s="695" t="s">
        <v>68</v>
      </c>
      <c r="BO606" s="696" t="s">
        <v>68</v>
      </c>
      <c r="BP606" s="696" t="s">
        <v>68</v>
      </c>
      <c r="BQ606" s="696" t="s">
        <v>68</v>
      </c>
      <c r="BR606" s="914" t="s">
        <v>68</v>
      </c>
      <c r="BS606" s="696" t="s">
        <v>68</v>
      </c>
      <c r="BT606" s="696" t="s">
        <v>68</v>
      </c>
      <c r="BU606" s="696"/>
      <c r="BV606" s="694"/>
      <c r="BW606" s="13"/>
      <c r="BX606" s="158"/>
      <c r="BY606" s="13"/>
      <c r="BZ606" s="13"/>
      <c r="CA606" s="13"/>
      <c r="CB606" s="1222" t="s">
        <v>3944</v>
      </c>
      <c r="CC606" s="38"/>
      <c r="CD606" s="526"/>
      <c r="CE606" s="526"/>
      <c r="CF606" s="526"/>
      <c r="CG606" s="526"/>
      <c r="CH606" s="526"/>
      <c r="CI606" s="526"/>
      <c r="CJ606" s="526"/>
      <c r="CK606" s="15"/>
    </row>
    <row r="607" spans="1:89" s="104" customFormat="1" ht="87.75" hidden="1" customHeight="1">
      <c r="B607" s="81"/>
      <c r="C607" s="1641"/>
      <c r="D607" s="1641"/>
      <c r="E607" s="989"/>
      <c r="F607" s="989"/>
      <c r="G607" s="123"/>
      <c r="H607" s="1796"/>
      <c r="I607" s="620"/>
      <c r="J607" s="990">
        <v>2022</v>
      </c>
      <c r="K607" s="1419">
        <v>222002</v>
      </c>
      <c r="L607" s="1419"/>
      <c r="M607" s="621" t="s">
        <v>166</v>
      </c>
      <c r="N607" s="626" t="s">
        <v>4314</v>
      </c>
      <c r="O607" s="655" t="s">
        <v>4113</v>
      </c>
      <c r="P607" s="656" t="s">
        <v>4361</v>
      </c>
      <c r="Q607" s="656" t="s">
        <v>4382</v>
      </c>
      <c r="R607" s="622">
        <v>12000</v>
      </c>
      <c r="S607" s="623">
        <v>44575</v>
      </c>
      <c r="T607" s="624">
        <v>44578</v>
      </c>
      <c r="U607" s="625">
        <v>44582</v>
      </c>
      <c r="V607" s="370" t="s">
        <v>68</v>
      </c>
      <c r="W607" s="626" t="s">
        <v>5679</v>
      </c>
      <c r="X607" s="621" t="s">
        <v>3047</v>
      </c>
      <c r="Y607" s="554" t="s">
        <v>68</v>
      </c>
      <c r="Z607" s="1363" t="s">
        <v>68</v>
      </c>
      <c r="AA607" s="90"/>
      <c r="AB607" s="92"/>
      <c r="AC607" s="86"/>
      <c r="AD607" s="86"/>
      <c r="AE607" s="93"/>
      <c r="AF607" s="94" t="s">
        <v>68</v>
      </c>
      <c r="AG607" s="113" t="s">
        <v>68</v>
      </c>
      <c r="AH607" s="113" t="s">
        <v>68</v>
      </c>
      <c r="AI607" s="95" t="s">
        <v>68</v>
      </c>
      <c r="AJ607" s="110" t="s">
        <v>68</v>
      </c>
      <c r="AK607" s="90" t="s">
        <v>68</v>
      </c>
      <c r="AL607" s="96" t="s">
        <v>68</v>
      </c>
      <c r="AM607" s="88"/>
      <c r="AN607" s="96" t="s">
        <v>68</v>
      </c>
      <c r="AO607" s="88"/>
      <c r="AP607" s="96" t="s">
        <v>68</v>
      </c>
      <c r="AQ607" s="88"/>
      <c r="AR607" s="284">
        <v>0</v>
      </c>
      <c r="AS607" s="98">
        <v>0</v>
      </c>
      <c r="AT607" s="898"/>
      <c r="AU607" s="887"/>
      <c r="AV607" s="641" t="s">
        <v>68</v>
      </c>
      <c r="AW607" s="89"/>
      <c r="AX607" s="338" t="s">
        <v>68</v>
      </c>
      <c r="AY607" s="101" t="s">
        <v>68</v>
      </c>
      <c r="AZ607" s="641" t="s">
        <v>68</v>
      </c>
      <c r="BA607" s="88"/>
      <c r="BB607" s="88"/>
      <c r="BC607" s="89"/>
      <c r="BD607" s="641" t="s">
        <v>74</v>
      </c>
      <c r="BE607" s="1628"/>
      <c r="BF607" s="88"/>
      <c r="BG607" s="88"/>
      <c r="BH607" s="88"/>
      <c r="BI607" s="99"/>
      <c r="BJ607" s="1552" t="s">
        <v>68</v>
      </c>
      <c r="BK607" s="855"/>
      <c r="BL607" s="855" t="s">
        <v>68</v>
      </c>
      <c r="BM607" s="856" t="s">
        <v>68</v>
      </c>
      <c r="BN607" s="856" t="s">
        <v>68</v>
      </c>
      <c r="BO607" s="991" t="s">
        <v>68</v>
      </c>
      <c r="BP607" s="991" t="s">
        <v>68</v>
      </c>
      <c r="BQ607" s="991" t="s">
        <v>68</v>
      </c>
      <c r="BR607" s="914" t="s">
        <v>68</v>
      </c>
      <c r="BS607" s="991" t="s">
        <v>68</v>
      </c>
      <c r="BT607" s="991" t="s">
        <v>68</v>
      </c>
      <c r="BU607" s="991"/>
      <c r="BV607" s="855"/>
      <c r="BW607" s="102"/>
      <c r="BX607" s="830"/>
      <c r="BY607" s="102"/>
      <c r="BZ607" s="102"/>
      <c r="CA607" s="102"/>
      <c r="CB607" s="1403" t="s">
        <v>3944</v>
      </c>
      <c r="CC607" s="857"/>
      <c r="CD607" s="527"/>
      <c r="CE607" s="527"/>
      <c r="CF607" s="527"/>
      <c r="CG607" s="527"/>
      <c r="CH607" s="527"/>
      <c r="CI607" s="527"/>
      <c r="CJ607" s="527"/>
      <c r="CK607" s="627"/>
    </row>
    <row r="608" spans="1:89" ht="182.25" hidden="1" customHeight="1">
      <c r="B608" s="22"/>
      <c r="C608" s="1639"/>
      <c r="D608" s="1639"/>
      <c r="E608" s="911"/>
      <c r="F608" s="911"/>
      <c r="G608" s="915"/>
      <c r="H608" s="1746"/>
      <c r="I608" s="330"/>
      <c r="J608" s="169">
        <v>2022</v>
      </c>
      <c r="K608" s="1417">
        <v>222003</v>
      </c>
      <c r="L608" s="1417"/>
      <c r="M608" s="170" t="s">
        <v>166</v>
      </c>
      <c r="N608" s="178" t="s">
        <v>4315</v>
      </c>
      <c r="O608" s="172" t="s">
        <v>4306</v>
      </c>
      <c r="P608" s="173" t="s">
        <v>4367</v>
      </c>
      <c r="Q608" s="451" t="s">
        <v>1975</v>
      </c>
      <c r="R608" s="594" t="s">
        <v>4435</v>
      </c>
      <c r="S608" s="590">
        <v>44592</v>
      </c>
      <c r="T608" s="176">
        <v>44593</v>
      </c>
      <c r="U608" s="177">
        <v>44607</v>
      </c>
      <c r="V608" s="105" t="s">
        <v>68</v>
      </c>
      <c r="W608" s="178" t="s">
        <v>4368</v>
      </c>
      <c r="X608" s="920"/>
      <c r="Y608" s="200" t="s">
        <v>68</v>
      </c>
      <c r="Z608" s="368" t="s">
        <v>68</v>
      </c>
      <c r="AA608" s="255"/>
      <c r="AB608" s="8"/>
      <c r="AC608" s="4"/>
      <c r="AD608" s="4"/>
      <c r="AE608" s="32"/>
      <c r="AF608" s="582" t="s">
        <v>68</v>
      </c>
      <c r="AG608" s="583" t="s">
        <v>68</v>
      </c>
      <c r="AH608" s="583" t="s">
        <v>68</v>
      </c>
      <c r="AI608" s="584" t="s">
        <v>68</v>
      </c>
      <c r="AJ608" s="581" t="s">
        <v>68</v>
      </c>
      <c r="AK608" s="33" t="s">
        <v>68</v>
      </c>
      <c r="AL608" s="1" t="s">
        <v>68</v>
      </c>
      <c r="AM608" s="5"/>
      <c r="AN608" s="1" t="s">
        <v>68</v>
      </c>
      <c r="AO608" s="5"/>
      <c r="AP608" s="1" t="s">
        <v>68</v>
      </c>
      <c r="AQ608" s="5"/>
      <c r="AR608" s="279">
        <v>0</v>
      </c>
      <c r="AS608" s="35">
        <v>0</v>
      </c>
      <c r="AT608" s="902"/>
      <c r="AU608" s="891"/>
      <c r="AV608" s="350" t="s">
        <v>68</v>
      </c>
      <c r="AW608" s="11"/>
      <c r="AX608" s="223" t="s">
        <v>68</v>
      </c>
      <c r="AY608" s="52" t="s">
        <v>68</v>
      </c>
      <c r="AZ608" s="350" t="s">
        <v>68</v>
      </c>
      <c r="BA608" s="5"/>
      <c r="BB608" s="5"/>
      <c r="BC608" s="11"/>
      <c r="BD608" s="30" t="s">
        <v>68</v>
      </c>
      <c r="BE608" s="309"/>
      <c r="BF608" s="5"/>
      <c r="BG608" s="5"/>
      <c r="BH608" s="5"/>
      <c r="BI608" s="36"/>
      <c r="BJ608" s="1546" t="s">
        <v>68</v>
      </c>
      <c r="BK608" s="1826"/>
      <c r="BL608" s="694" t="s">
        <v>68</v>
      </c>
      <c r="BM608" s="695" t="s">
        <v>68</v>
      </c>
      <c r="BN608" s="695" t="s">
        <v>68</v>
      </c>
      <c r="BO608" s="696" t="s">
        <v>68</v>
      </c>
      <c r="BP608" s="696" t="s">
        <v>68</v>
      </c>
      <c r="BQ608" s="696" t="s">
        <v>68</v>
      </c>
      <c r="BR608" s="914" t="s">
        <v>68</v>
      </c>
      <c r="BS608" s="696" t="s">
        <v>68</v>
      </c>
      <c r="BT608" s="696" t="s">
        <v>68</v>
      </c>
      <c r="BU608" s="696"/>
      <c r="BV608" s="694"/>
      <c r="BW608" s="13"/>
      <c r="BX608" s="158"/>
      <c r="BY608" s="13"/>
      <c r="BZ608" s="13"/>
      <c r="CA608" s="13"/>
      <c r="CB608" s="1222" t="s">
        <v>3944</v>
      </c>
      <c r="CC608" s="38"/>
      <c r="CD608" s="526"/>
      <c r="CE608" s="526"/>
      <c r="CF608" s="526"/>
      <c r="CG608" s="526"/>
      <c r="CH608" s="526"/>
      <c r="CI608" s="526"/>
      <c r="CJ608" s="526"/>
      <c r="CK608" s="15"/>
    </row>
    <row r="609" spans="2:89" ht="97.5" hidden="1" customHeight="1">
      <c r="B609" s="22"/>
      <c r="C609" s="1639"/>
      <c r="D609" s="1639"/>
      <c r="E609" s="911"/>
      <c r="F609" s="911"/>
      <c r="G609" s="915"/>
      <c r="H609" s="1746"/>
      <c r="I609" s="330"/>
      <c r="J609" s="169">
        <v>2022</v>
      </c>
      <c r="K609" s="1417">
        <v>222004</v>
      </c>
      <c r="L609" s="1417"/>
      <c r="M609" s="170" t="s">
        <v>166</v>
      </c>
      <c r="N609" s="178" t="s">
        <v>4316</v>
      </c>
      <c r="O609" s="172" t="s">
        <v>4306</v>
      </c>
      <c r="P609" s="173" t="s">
        <v>4369</v>
      </c>
      <c r="Q609" s="451" t="s">
        <v>1975</v>
      </c>
      <c r="R609" s="594">
        <f>8620.69*1.16</f>
        <v>10000.000400000001</v>
      </c>
      <c r="S609" s="590">
        <v>44634</v>
      </c>
      <c r="T609" s="176" t="s">
        <v>68</v>
      </c>
      <c r="U609" s="177" t="s">
        <v>68</v>
      </c>
      <c r="V609" s="105" t="s">
        <v>68</v>
      </c>
      <c r="W609" s="178" t="s">
        <v>739</v>
      </c>
      <c r="X609" s="170" t="s">
        <v>472</v>
      </c>
      <c r="Y609" s="200" t="s">
        <v>68</v>
      </c>
      <c r="Z609" s="368" t="s">
        <v>68</v>
      </c>
      <c r="AA609" s="255"/>
      <c r="AB609" s="8"/>
      <c r="AC609" s="4"/>
      <c r="AD609" s="4"/>
      <c r="AE609" s="32"/>
      <c r="AF609" s="582" t="s">
        <v>68</v>
      </c>
      <c r="AG609" s="583" t="s">
        <v>68</v>
      </c>
      <c r="AH609" s="583" t="s">
        <v>68</v>
      </c>
      <c r="AI609" s="584" t="s">
        <v>68</v>
      </c>
      <c r="AJ609" s="581" t="s">
        <v>68</v>
      </c>
      <c r="AK609" s="33" t="s">
        <v>68</v>
      </c>
      <c r="AL609" s="1" t="s">
        <v>68</v>
      </c>
      <c r="AM609" s="5"/>
      <c r="AN609" s="1" t="s">
        <v>68</v>
      </c>
      <c r="AO609" s="5"/>
      <c r="AP609" s="1" t="s">
        <v>68</v>
      </c>
      <c r="AQ609" s="5"/>
      <c r="AR609" s="279">
        <v>0</v>
      </c>
      <c r="AS609" s="35">
        <v>0</v>
      </c>
      <c r="AT609" s="902"/>
      <c r="AU609" s="891"/>
      <c r="AV609" s="350" t="s">
        <v>68</v>
      </c>
      <c r="AW609" s="11"/>
      <c r="AX609" s="223" t="s">
        <v>68</v>
      </c>
      <c r="AY609" s="52" t="s">
        <v>68</v>
      </c>
      <c r="AZ609" s="350" t="s">
        <v>68</v>
      </c>
      <c r="BA609" s="5"/>
      <c r="BB609" s="5"/>
      <c r="BC609" s="11"/>
      <c r="BD609" s="30" t="s">
        <v>68</v>
      </c>
      <c r="BE609" s="309"/>
      <c r="BF609" s="5"/>
      <c r="BG609" s="5"/>
      <c r="BH609" s="5"/>
      <c r="BI609" s="36"/>
      <c r="BJ609" s="1546" t="s">
        <v>68</v>
      </c>
      <c r="BK609" s="1826"/>
      <c r="BL609" s="694" t="s">
        <v>68</v>
      </c>
      <c r="BM609" s="695" t="s">
        <v>68</v>
      </c>
      <c r="BN609" s="695" t="s">
        <v>68</v>
      </c>
      <c r="BO609" s="696" t="s">
        <v>68</v>
      </c>
      <c r="BP609" s="696" t="s">
        <v>68</v>
      </c>
      <c r="BQ609" s="696" t="s">
        <v>68</v>
      </c>
      <c r="BR609" s="914" t="s">
        <v>68</v>
      </c>
      <c r="BS609" s="696" t="s">
        <v>68</v>
      </c>
      <c r="BT609" s="696" t="s">
        <v>68</v>
      </c>
      <c r="BU609" s="696"/>
      <c r="BV609" s="694"/>
      <c r="BW609" s="13"/>
      <c r="BX609" s="158"/>
      <c r="BY609" s="13"/>
      <c r="BZ609" s="13"/>
      <c r="CA609" s="13"/>
      <c r="CB609" s="1222" t="s">
        <v>3944</v>
      </c>
      <c r="CC609" s="38"/>
      <c r="CD609" s="526"/>
      <c r="CE609" s="526"/>
      <c r="CF609" s="526"/>
      <c r="CG609" s="526"/>
      <c r="CH609" s="526"/>
      <c r="CI609" s="526"/>
      <c r="CJ609" s="526"/>
      <c r="CK609" s="15"/>
    </row>
    <row r="610" spans="2:89" ht="87.75" hidden="1" customHeight="1">
      <c r="B610" s="22"/>
      <c r="C610" s="1639"/>
      <c r="D610" s="1639"/>
      <c r="E610" s="911"/>
      <c r="F610" s="911"/>
      <c r="G610" s="915"/>
      <c r="H610" s="1746"/>
      <c r="I610" s="330"/>
      <c r="J610" s="169">
        <v>2022</v>
      </c>
      <c r="K610" s="1417">
        <v>222005</v>
      </c>
      <c r="L610" s="1417"/>
      <c r="M610" s="170" t="s">
        <v>166</v>
      </c>
      <c r="N610" s="178" t="s">
        <v>4317</v>
      </c>
      <c r="O610" s="790" t="s">
        <v>251</v>
      </c>
      <c r="P610" s="1191" t="s">
        <v>68</v>
      </c>
      <c r="Q610" s="1191"/>
      <c r="R610" s="594"/>
      <c r="S610" s="590"/>
      <c r="T610" s="176"/>
      <c r="U610" s="177"/>
      <c r="V610" s="105" t="s">
        <v>68</v>
      </c>
      <c r="W610" s="1042" t="s">
        <v>68</v>
      </c>
      <c r="X610" s="920"/>
      <c r="Y610" s="200" t="s">
        <v>68</v>
      </c>
      <c r="Z610" s="368" t="s">
        <v>68</v>
      </c>
      <c r="AA610" s="255"/>
      <c r="AB610" s="8"/>
      <c r="AC610" s="4"/>
      <c r="AD610" s="4"/>
      <c r="AE610" s="32"/>
      <c r="AF610" s="582" t="s">
        <v>68</v>
      </c>
      <c r="AG610" s="583" t="s">
        <v>68</v>
      </c>
      <c r="AH610" s="583" t="s">
        <v>68</v>
      </c>
      <c r="AI610" s="584" t="s">
        <v>68</v>
      </c>
      <c r="AJ610" s="581" t="s">
        <v>68</v>
      </c>
      <c r="AK610" s="33" t="s">
        <v>68</v>
      </c>
      <c r="AL610" s="1" t="s">
        <v>68</v>
      </c>
      <c r="AM610" s="5"/>
      <c r="AN610" s="1" t="s">
        <v>68</v>
      </c>
      <c r="AO610" s="5"/>
      <c r="AP610" s="1" t="s">
        <v>68</v>
      </c>
      <c r="AQ610" s="5"/>
      <c r="AR610" s="279">
        <v>0</v>
      </c>
      <c r="AS610" s="35">
        <v>0</v>
      </c>
      <c r="AT610" s="902"/>
      <c r="AU610" s="891"/>
      <c r="AV610" s="350" t="s">
        <v>68</v>
      </c>
      <c r="AW610" s="11"/>
      <c r="AX610" s="223" t="s">
        <v>68</v>
      </c>
      <c r="AY610" s="52" t="s">
        <v>68</v>
      </c>
      <c r="AZ610" s="350" t="s">
        <v>68</v>
      </c>
      <c r="BA610" s="5"/>
      <c r="BB610" s="5"/>
      <c r="BC610" s="11"/>
      <c r="BD610" s="66" t="s">
        <v>74</v>
      </c>
      <c r="BE610" s="1423"/>
      <c r="BF610" s="5"/>
      <c r="BG610" s="5"/>
      <c r="BH610" s="5"/>
      <c r="BI610" s="36"/>
      <c r="BJ610" s="1546" t="s">
        <v>68</v>
      </c>
      <c r="BK610" s="1826"/>
      <c r="BL610" s="694" t="s">
        <v>68</v>
      </c>
      <c r="BM610" s="695" t="s">
        <v>68</v>
      </c>
      <c r="BN610" s="695" t="s">
        <v>68</v>
      </c>
      <c r="BO610" s="696" t="s">
        <v>68</v>
      </c>
      <c r="BP610" s="696" t="s">
        <v>68</v>
      </c>
      <c r="BQ610" s="696" t="s">
        <v>68</v>
      </c>
      <c r="BR610" s="914" t="s">
        <v>68</v>
      </c>
      <c r="BS610" s="696" t="s">
        <v>68</v>
      </c>
      <c r="BT610" s="696" t="s">
        <v>68</v>
      </c>
      <c r="BU610" s="696"/>
      <c r="BV610" s="694"/>
      <c r="BW610" s="13"/>
      <c r="BX610" s="158"/>
      <c r="BY610" s="13"/>
      <c r="BZ610" s="13"/>
      <c r="CA610" s="13"/>
      <c r="CB610" s="1222" t="s">
        <v>3944</v>
      </c>
      <c r="CC610" s="38"/>
      <c r="CD610" s="526"/>
      <c r="CE610" s="526"/>
      <c r="CF610" s="526"/>
      <c r="CG610" s="526"/>
      <c r="CH610" s="526"/>
      <c r="CI610" s="526"/>
      <c r="CJ610" s="526"/>
      <c r="CK610" s="15"/>
    </row>
    <row r="611" spans="2:89" ht="87.75" hidden="1" customHeight="1">
      <c r="B611" s="22"/>
      <c r="C611" s="1639"/>
      <c r="D611" s="1639"/>
      <c r="E611" s="911"/>
      <c r="F611" s="911"/>
      <c r="G611" s="915"/>
      <c r="H611" s="1746"/>
      <c r="I611" s="330"/>
      <c r="J611" s="169">
        <v>2022</v>
      </c>
      <c r="K611" s="1417">
        <v>222006</v>
      </c>
      <c r="L611" s="1417"/>
      <c r="M611" s="170" t="s">
        <v>166</v>
      </c>
      <c r="N611" s="178" t="s">
        <v>4318</v>
      </c>
      <c r="O611" s="172" t="s">
        <v>4306</v>
      </c>
      <c r="P611" s="173" t="s">
        <v>4370</v>
      </c>
      <c r="Q611" s="451" t="s">
        <v>1975</v>
      </c>
      <c r="R611" s="594">
        <f>8620.69*1.16</f>
        <v>10000.000400000001</v>
      </c>
      <c r="S611" s="590">
        <v>44634</v>
      </c>
      <c r="T611" s="176" t="s">
        <v>68</v>
      </c>
      <c r="U611" s="177" t="s">
        <v>68</v>
      </c>
      <c r="V611" s="105" t="s">
        <v>68</v>
      </c>
      <c r="W611" s="178" t="s">
        <v>739</v>
      </c>
      <c r="X611" s="170" t="s">
        <v>472</v>
      </c>
      <c r="Y611" s="200" t="s">
        <v>68</v>
      </c>
      <c r="Z611" s="368" t="s">
        <v>68</v>
      </c>
      <c r="AA611" s="255"/>
      <c r="AB611" s="8"/>
      <c r="AC611" s="4"/>
      <c r="AD611" s="4"/>
      <c r="AE611" s="32"/>
      <c r="AF611" s="582" t="s">
        <v>68</v>
      </c>
      <c r="AG611" s="583" t="s">
        <v>68</v>
      </c>
      <c r="AH611" s="583" t="s">
        <v>68</v>
      </c>
      <c r="AI611" s="584" t="s">
        <v>68</v>
      </c>
      <c r="AJ611" s="581" t="s">
        <v>68</v>
      </c>
      <c r="AK611" s="33" t="s">
        <v>68</v>
      </c>
      <c r="AL611" s="1" t="s">
        <v>68</v>
      </c>
      <c r="AM611" s="5"/>
      <c r="AN611" s="1" t="s">
        <v>68</v>
      </c>
      <c r="AO611" s="5"/>
      <c r="AP611" s="1" t="s">
        <v>68</v>
      </c>
      <c r="AQ611" s="5"/>
      <c r="AR611" s="279">
        <v>0</v>
      </c>
      <c r="AS611" s="35">
        <v>0</v>
      </c>
      <c r="AT611" s="902"/>
      <c r="AU611" s="891"/>
      <c r="AV611" s="350" t="s">
        <v>68</v>
      </c>
      <c r="AW611" s="11"/>
      <c r="AX611" s="223" t="s">
        <v>68</v>
      </c>
      <c r="AY611" s="52" t="s">
        <v>68</v>
      </c>
      <c r="AZ611" s="350" t="s">
        <v>68</v>
      </c>
      <c r="BA611" s="5"/>
      <c r="BB611" s="5"/>
      <c r="BC611" s="11"/>
      <c r="BD611" s="30" t="s">
        <v>68</v>
      </c>
      <c r="BE611" s="309"/>
      <c r="BF611" s="5"/>
      <c r="BG611" s="5"/>
      <c r="BH611" s="5"/>
      <c r="BI611" s="36"/>
      <c r="BJ611" s="1546" t="s">
        <v>68</v>
      </c>
      <c r="BK611" s="1826"/>
      <c r="BL611" s="694" t="s">
        <v>68</v>
      </c>
      <c r="BM611" s="695" t="s">
        <v>68</v>
      </c>
      <c r="BN611" s="695" t="s">
        <v>68</v>
      </c>
      <c r="BO611" s="696" t="s">
        <v>68</v>
      </c>
      <c r="BP611" s="696" t="s">
        <v>68</v>
      </c>
      <c r="BQ611" s="696" t="s">
        <v>68</v>
      </c>
      <c r="BR611" s="914" t="s">
        <v>68</v>
      </c>
      <c r="BS611" s="696" t="s">
        <v>68</v>
      </c>
      <c r="BT611" s="696" t="s">
        <v>68</v>
      </c>
      <c r="BU611" s="696"/>
      <c r="BV611" s="694"/>
      <c r="BW611" s="13"/>
      <c r="BX611" s="158"/>
      <c r="BY611" s="13"/>
      <c r="BZ611" s="13"/>
      <c r="CA611" s="13"/>
      <c r="CB611" s="1222" t="s">
        <v>3944</v>
      </c>
      <c r="CC611" s="38"/>
      <c r="CD611" s="526"/>
      <c r="CE611" s="526"/>
      <c r="CF611" s="526"/>
      <c r="CG611" s="526"/>
      <c r="CH611" s="526"/>
      <c r="CI611" s="526"/>
      <c r="CJ611" s="526"/>
      <c r="CK611" s="15"/>
    </row>
    <row r="612" spans="2:89" ht="87.75" hidden="1" customHeight="1">
      <c r="B612" s="22"/>
      <c r="C612" s="1639"/>
      <c r="D612" s="1639"/>
      <c r="E612" s="911"/>
      <c r="F612" s="911"/>
      <c r="G612" s="915"/>
      <c r="H612" s="1746"/>
      <c r="I612" s="330"/>
      <c r="J612" s="169">
        <v>2022</v>
      </c>
      <c r="K612" s="1417">
        <v>222007</v>
      </c>
      <c r="L612" s="1417"/>
      <c r="M612" s="170" t="s">
        <v>166</v>
      </c>
      <c r="N612" s="178" t="s">
        <v>4319</v>
      </c>
      <c r="O612" s="790" t="s">
        <v>251</v>
      </c>
      <c r="P612" s="1191" t="s">
        <v>68</v>
      </c>
      <c r="Q612" s="1191"/>
      <c r="R612" s="594"/>
      <c r="S612" s="590"/>
      <c r="T612" s="176"/>
      <c r="U612" s="177"/>
      <c r="V612" s="105" t="s">
        <v>68</v>
      </c>
      <c r="W612" s="1042" t="s">
        <v>68</v>
      </c>
      <c r="X612" s="920"/>
      <c r="Y612" s="200" t="s">
        <v>68</v>
      </c>
      <c r="Z612" s="368" t="s">
        <v>68</v>
      </c>
      <c r="AA612" s="255"/>
      <c r="AB612" s="8"/>
      <c r="AC612" s="4"/>
      <c r="AD612" s="4"/>
      <c r="AE612" s="32"/>
      <c r="AF612" s="582" t="s">
        <v>68</v>
      </c>
      <c r="AG612" s="583" t="s">
        <v>68</v>
      </c>
      <c r="AH612" s="583" t="s">
        <v>68</v>
      </c>
      <c r="AI612" s="584" t="s">
        <v>68</v>
      </c>
      <c r="AJ612" s="581" t="s">
        <v>68</v>
      </c>
      <c r="AK612" s="33" t="s">
        <v>68</v>
      </c>
      <c r="AL612" s="1" t="s">
        <v>68</v>
      </c>
      <c r="AM612" s="5"/>
      <c r="AN612" s="1" t="s">
        <v>68</v>
      </c>
      <c r="AO612" s="5"/>
      <c r="AP612" s="1" t="s">
        <v>68</v>
      </c>
      <c r="AQ612" s="5"/>
      <c r="AR612" s="279">
        <v>0</v>
      </c>
      <c r="AS612" s="35">
        <v>0</v>
      </c>
      <c r="AT612" s="902"/>
      <c r="AU612" s="891"/>
      <c r="AV612" s="350" t="s">
        <v>68</v>
      </c>
      <c r="AW612" s="11"/>
      <c r="AX612" s="223" t="s">
        <v>68</v>
      </c>
      <c r="AY612" s="52" t="s">
        <v>68</v>
      </c>
      <c r="AZ612" s="350" t="s">
        <v>68</v>
      </c>
      <c r="BA612" s="5"/>
      <c r="BB612" s="5"/>
      <c r="BC612" s="11"/>
      <c r="BD612" s="66" t="s">
        <v>74</v>
      </c>
      <c r="BE612" s="1423"/>
      <c r="BF612" s="5"/>
      <c r="BG612" s="5"/>
      <c r="BH612" s="5"/>
      <c r="BI612" s="36"/>
      <c r="BJ612" s="1546" t="s">
        <v>68</v>
      </c>
      <c r="BK612" s="1826"/>
      <c r="BL612" s="694" t="s">
        <v>68</v>
      </c>
      <c r="BM612" s="695" t="s">
        <v>68</v>
      </c>
      <c r="BN612" s="695" t="s">
        <v>68</v>
      </c>
      <c r="BO612" s="696" t="s">
        <v>68</v>
      </c>
      <c r="BP612" s="696" t="s">
        <v>68</v>
      </c>
      <c r="BQ612" s="696" t="s">
        <v>68</v>
      </c>
      <c r="BR612" s="914" t="s">
        <v>68</v>
      </c>
      <c r="BS612" s="696" t="s">
        <v>68</v>
      </c>
      <c r="BT612" s="696" t="s">
        <v>68</v>
      </c>
      <c r="BU612" s="696"/>
      <c r="BV612" s="694"/>
      <c r="BW612" s="13"/>
      <c r="BX612" s="158"/>
      <c r="BY612" s="13"/>
      <c r="BZ612" s="13"/>
      <c r="CA612" s="13"/>
      <c r="CB612" s="1222" t="s">
        <v>3944</v>
      </c>
      <c r="CC612" s="38"/>
      <c r="CD612" s="526"/>
      <c r="CE612" s="526"/>
      <c r="CF612" s="526"/>
      <c r="CG612" s="526"/>
      <c r="CH612" s="526"/>
      <c r="CI612" s="526"/>
      <c r="CJ612" s="526"/>
      <c r="CK612" s="15"/>
    </row>
    <row r="613" spans="2:89" ht="87.75" hidden="1" customHeight="1">
      <c r="B613" s="22"/>
      <c r="C613" s="1639"/>
      <c r="D613" s="1639"/>
      <c r="E613" s="911"/>
      <c r="F613" s="911"/>
      <c r="G613" s="915"/>
      <c r="H613" s="1746"/>
      <c r="I613" s="330"/>
      <c r="J613" s="169">
        <v>2022</v>
      </c>
      <c r="K613" s="1417">
        <v>222008</v>
      </c>
      <c r="L613" s="1417"/>
      <c r="M613" s="170" t="s">
        <v>166</v>
      </c>
      <c r="N613" s="178" t="s">
        <v>4320</v>
      </c>
      <c r="O613" s="172" t="s">
        <v>4306</v>
      </c>
      <c r="P613" s="173" t="s">
        <v>4371</v>
      </c>
      <c r="Q613" s="451" t="s">
        <v>4409</v>
      </c>
      <c r="R613" s="594">
        <f>6034.5*1.16</f>
        <v>7000.0199999999995</v>
      </c>
      <c r="S613" s="590">
        <v>44634</v>
      </c>
      <c r="T613" s="176" t="s">
        <v>68</v>
      </c>
      <c r="U613" s="177" t="s">
        <v>68</v>
      </c>
      <c r="V613" s="105" t="s">
        <v>68</v>
      </c>
      <c r="W613" s="178" t="s">
        <v>739</v>
      </c>
      <c r="X613" s="170" t="s">
        <v>472</v>
      </c>
      <c r="Y613" s="200" t="s">
        <v>68</v>
      </c>
      <c r="Z613" s="368" t="s">
        <v>68</v>
      </c>
      <c r="AA613" s="255"/>
      <c r="AB613" s="8"/>
      <c r="AC613" s="4"/>
      <c r="AD613" s="4"/>
      <c r="AE613" s="32"/>
      <c r="AF613" s="582" t="s">
        <v>68</v>
      </c>
      <c r="AG613" s="583" t="s">
        <v>68</v>
      </c>
      <c r="AH613" s="583" t="s">
        <v>68</v>
      </c>
      <c r="AI613" s="584" t="s">
        <v>68</v>
      </c>
      <c r="AJ613" s="581" t="s">
        <v>68</v>
      </c>
      <c r="AK613" s="33" t="s">
        <v>68</v>
      </c>
      <c r="AL613" s="1" t="s">
        <v>68</v>
      </c>
      <c r="AM613" s="5"/>
      <c r="AN613" s="1" t="s">
        <v>68</v>
      </c>
      <c r="AO613" s="5"/>
      <c r="AP613" s="1" t="s">
        <v>68</v>
      </c>
      <c r="AQ613" s="5"/>
      <c r="AR613" s="279">
        <v>0</v>
      </c>
      <c r="AS613" s="35">
        <v>0</v>
      </c>
      <c r="AT613" s="902"/>
      <c r="AU613" s="891"/>
      <c r="AV613" s="350" t="s">
        <v>68</v>
      </c>
      <c r="AW613" s="11"/>
      <c r="AX613" s="223" t="s">
        <v>68</v>
      </c>
      <c r="AY613" s="52" t="s">
        <v>68</v>
      </c>
      <c r="AZ613" s="350" t="s">
        <v>68</v>
      </c>
      <c r="BA613" s="5"/>
      <c r="BB613" s="5"/>
      <c r="BC613" s="11"/>
      <c r="BD613" s="30" t="s">
        <v>68</v>
      </c>
      <c r="BE613" s="309"/>
      <c r="BF613" s="5"/>
      <c r="BG613" s="5"/>
      <c r="BH613" s="5"/>
      <c r="BI613" s="36"/>
      <c r="BJ613" s="1546" t="s">
        <v>68</v>
      </c>
      <c r="BK613" s="1826"/>
      <c r="BL613" s="694" t="s">
        <v>68</v>
      </c>
      <c r="BM613" s="695" t="s">
        <v>68</v>
      </c>
      <c r="BN613" s="695" t="s">
        <v>68</v>
      </c>
      <c r="BO613" s="696" t="s">
        <v>68</v>
      </c>
      <c r="BP613" s="696" t="s">
        <v>68</v>
      </c>
      <c r="BQ613" s="696" t="s">
        <v>68</v>
      </c>
      <c r="BR613" s="914" t="s">
        <v>68</v>
      </c>
      <c r="BS613" s="696" t="s">
        <v>68</v>
      </c>
      <c r="BT613" s="696" t="s">
        <v>68</v>
      </c>
      <c r="BU613" s="696"/>
      <c r="BV613" s="694"/>
      <c r="BW613" s="13"/>
      <c r="BX613" s="158"/>
      <c r="BY613" s="13"/>
      <c r="BZ613" s="13"/>
      <c r="CA613" s="13"/>
      <c r="CB613" s="1222" t="s">
        <v>3944</v>
      </c>
      <c r="CC613" s="38"/>
      <c r="CD613" s="526"/>
      <c r="CE613" s="526"/>
      <c r="CF613" s="526"/>
      <c r="CG613" s="526"/>
      <c r="CH613" s="526"/>
      <c r="CI613" s="526"/>
      <c r="CJ613" s="526"/>
      <c r="CK613" s="15"/>
    </row>
    <row r="614" spans="2:89" ht="87.75" hidden="1" customHeight="1">
      <c r="B614" s="22"/>
      <c r="C614" s="1639"/>
      <c r="D614" s="1639"/>
      <c r="E614" s="911"/>
      <c r="F614" s="911"/>
      <c r="G614" s="915"/>
      <c r="H614" s="1746"/>
      <c r="I614" s="330"/>
      <c r="J614" s="169">
        <v>2022</v>
      </c>
      <c r="K614" s="1417">
        <v>222009</v>
      </c>
      <c r="L614" s="1417"/>
      <c r="M614" s="170" t="s">
        <v>166</v>
      </c>
      <c r="N614" s="178" t="s">
        <v>4321</v>
      </c>
      <c r="O614" s="172" t="s">
        <v>4306</v>
      </c>
      <c r="P614" s="173" t="s">
        <v>4372</v>
      </c>
      <c r="Q614" s="451" t="s">
        <v>3623</v>
      </c>
      <c r="R614" s="594">
        <f>13500*1.16</f>
        <v>15659.999999999998</v>
      </c>
      <c r="S614" s="590">
        <v>44635</v>
      </c>
      <c r="T614" s="176" t="s">
        <v>68</v>
      </c>
      <c r="U614" s="177" t="s">
        <v>68</v>
      </c>
      <c r="V614" s="105" t="s">
        <v>68</v>
      </c>
      <c r="W614" s="178" t="s">
        <v>3958</v>
      </c>
      <c r="X614" s="170" t="s">
        <v>472</v>
      </c>
      <c r="Y614" s="200" t="s">
        <v>68</v>
      </c>
      <c r="Z614" s="368" t="s">
        <v>68</v>
      </c>
      <c r="AA614" s="255"/>
      <c r="AB614" s="8"/>
      <c r="AC614" s="4"/>
      <c r="AD614" s="4"/>
      <c r="AE614" s="32"/>
      <c r="AF614" s="582" t="s">
        <v>68</v>
      </c>
      <c r="AG614" s="583" t="s">
        <v>68</v>
      </c>
      <c r="AH614" s="583" t="s">
        <v>68</v>
      </c>
      <c r="AI614" s="584" t="s">
        <v>68</v>
      </c>
      <c r="AJ614" s="581" t="s">
        <v>68</v>
      </c>
      <c r="AK614" s="33" t="s">
        <v>68</v>
      </c>
      <c r="AL614" s="1" t="s">
        <v>68</v>
      </c>
      <c r="AM614" s="5"/>
      <c r="AN614" s="1" t="s">
        <v>68</v>
      </c>
      <c r="AO614" s="5"/>
      <c r="AP614" s="1" t="s">
        <v>68</v>
      </c>
      <c r="AQ614" s="5"/>
      <c r="AR614" s="279">
        <v>0</v>
      </c>
      <c r="AS614" s="35">
        <v>0</v>
      </c>
      <c r="AT614" s="902"/>
      <c r="AU614" s="891"/>
      <c r="AV614" s="350" t="s">
        <v>68</v>
      </c>
      <c r="AW614" s="11"/>
      <c r="AX614" s="223" t="s">
        <v>68</v>
      </c>
      <c r="AY614" s="52" t="s">
        <v>68</v>
      </c>
      <c r="AZ614" s="350" t="s">
        <v>68</v>
      </c>
      <c r="BA614" s="5"/>
      <c r="BB614" s="5"/>
      <c r="BC614" s="11"/>
      <c r="BD614" s="30" t="s">
        <v>68</v>
      </c>
      <c r="BE614" s="309"/>
      <c r="BF614" s="5"/>
      <c r="BG614" s="5"/>
      <c r="BH614" s="5"/>
      <c r="BI614" s="36"/>
      <c r="BJ614" s="1546" t="s">
        <v>68</v>
      </c>
      <c r="BK614" s="1826"/>
      <c r="BL614" s="694" t="s">
        <v>68</v>
      </c>
      <c r="BM614" s="695" t="s">
        <v>68</v>
      </c>
      <c r="BN614" s="695" t="s">
        <v>68</v>
      </c>
      <c r="BO614" s="696" t="s">
        <v>68</v>
      </c>
      <c r="BP614" s="696" t="s">
        <v>68</v>
      </c>
      <c r="BQ614" s="696" t="s">
        <v>68</v>
      </c>
      <c r="BR614" s="914" t="s">
        <v>68</v>
      </c>
      <c r="BS614" s="696" t="s">
        <v>68</v>
      </c>
      <c r="BT614" s="696" t="s">
        <v>68</v>
      </c>
      <c r="BU614" s="696"/>
      <c r="BV614" s="694"/>
      <c r="BW614" s="13"/>
      <c r="BX614" s="158"/>
      <c r="BY614" s="13"/>
      <c r="BZ614" s="13"/>
      <c r="CA614" s="13"/>
      <c r="CB614" s="1222" t="s">
        <v>3944</v>
      </c>
      <c r="CC614" s="38"/>
      <c r="CD614" s="526"/>
      <c r="CE614" s="526"/>
      <c r="CF614" s="526"/>
      <c r="CG614" s="526"/>
      <c r="CH614" s="526"/>
      <c r="CI614" s="526"/>
      <c r="CJ614" s="526"/>
      <c r="CK614" s="15"/>
    </row>
    <row r="615" spans="2:89" ht="87.75" hidden="1" customHeight="1">
      <c r="B615" s="22"/>
      <c r="C615" s="1639"/>
      <c r="D615" s="1639"/>
      <c r="E615" s="911"/>
      <c r="F615" s="911"/>
      <c r="G615" s="915"/>
      <c r="H615" s="1746"/>
      <c r="I615" s="330"/>
      <c r="J615" s="169">
        <v>2022</v>
      </c>
      <c r="K615" s="1417">
        <v>222010</v>
      </c>
      <c r="L615" s="1417"/>
      <c r="M615" s="170" t="s">
        <v>166</v>
      </c>
      <c r="N615" s="178" t="s">
        <v>4322</v>
      </c>
      <c r="O615" s="172" t="s">
        <v>4306</v>
      </c>
      <c r="P615" s="173" t="s">
        <v>4373</v>
      </c>
      <c r="Q615" s="451" t="s">
        <v>2538</v>
      </c>
      <c r="R615" s="594">
        <v>4000</v>
      </c>
      <c r="S615" s="590">
        <v>44658</v>
      </c>
      <c r="T615" s="176">
        <v>44660</v>
      </c>
      <c r="U615" s="177">
        <v>44660</v>
      </c>
      <c r="V615" s="105" t="s">
        <v>68</v>
      </c>
      <c r="W615" s="178" t="s">
        <v>5679</v>
      </c>
      <c r="X615" s="170" t="s">
        <v>472</v>
      </c>
      <c r="Y615" s="200" t="s">
        <v>68</v>
      </c>
      <c r="Z615" s="368" t="s">
        <v>68</v>
      </c>
      <c r="AA615" s="255"/>
      <c r="AB615" s="8"/>
      <c r="AC615" s="4"/>
      <c r="AD615" s="4"/>
      <c r="AE615" s="32"/>
      <c r="AF615" s="582" t="s">
        <v>68</v>
      </c>
      <c r="AG615" s="583" t="s">
        <v>68</v>
      </c>
      <c r="AH615" s="583" t="s">
        <v>68</v>
      </c>
      <c r="AI615" s="584" t="s">
        <v>68</v>
      </c>
      <c r="AJ615" s="581" t="s">
        <v>68</v>
      </c>
      <c r="AK615" s="33" t="s">
        <v>68</v>
      </c>
      <c r="AL615" s="1" t="s">
        <v>68</v>
      </c>
      <c r="AM615" s="5"/>
      <c r="AN615" s="1" t="s">
        <v>68</v>
      </c>
      <c r="AO615" s="5"/>
      <c r="AP615" s="1" t="s">
        <v>68</v>
      </c>
      <c r="AQ615" s="5"/>
      <c r="AR615" s="279">
        <v>0</v>
      </c>
      <c r="AS615" s="35">
        <v>0</v>
      </c>
      <c r="AT615" s="902"/>
      <c r="AU615" s="891"/>
      <c r="AV615" s="350" t="s">
        <v>68</v>
      </c>
      <c r="AW615" s="11"/>
      <c r="AX615" s="223" t="s">
        <v>68</v>
      </c>
      <c r="AY615" s="52" t="s">
        <v>68</v>
      </c>
      <c r="AZ615" s="350" t="s">
        <v>68</v>
      </c>
      <c r="BA615" s="5"/>
      <c r="BB615" s="5"/>
      <c r="BC615" s="11"/>
      <c r="BD615" s="30" t="s">
        <v>68</v>
      </c>
      <c r="BE615" s="309"/>
      <c r="BF615" s="5"/>
      <c r="BG615" s="5"/>
      <c r="BH615" s="5"/>
      <c r="BI615" s="36"/>
      <c r="BJ615" s="1546" t="s">
        <v>68</v>
      </c>
      <c r="BK615" s="1826"/>
      <c r="BL615" s="694" t="s">
        <v>68</v>
      </c>
      <c r="BM615" s="695" t="s">
        <v>68</v>
      </c>
      <c r="BN615" s="695" t="s">
        <v>68</v>
      </c>
      <c r="BO615" s="696" t="s">
        <v>68</v>
      </c>
      <c r="BP615" s="696" t="s">
        <v>68</v>
      </c>
      <c r="BQ615" s="696" t="s">
        <v>68</v>
      </c>
      <c r="BR615" s="914" t="s">
        <v>68</v>
      </c>
      <c r="BS615" s="696" t="s">
        <v>68</v>
      </c>
      <c r="BT615" s="696" t="s">
        <v>68</v>
      </c>
      <c r="BU615" s="696"/>
      <c r="BV615" s="694"/>
      <c r="BW615" s="13"/>
      <c r="BX615" s="158"/>
      <c r="BY615" s="13"/>
      <c r="BZ615" s="13"/>
      <c r="CA615" s="13"/>
      <c r="CB615" s="1222" t="s">
        <v>3944</v>
      </c>
      <c r="CC615" s="38"/>
      <c r="CD615" s="526"/>
      <c r="CE615" s="526"/>
      <c r="CF615" s="526"/>
      <c r="CG615" s="526"/>
      <c r="CH615" s="526"/>
      <c r="CI615" s="526"/>
      <c r="CJ615" s="526"/>
      <c r="CK615" s="15"/>
    </row>
    <row r="616" spans="2:89" ht="87.75" hidden="1" customHeight="1">
      <c r="B616" s="22"/>
      <c r="C616" s="1639"/>
      <c r="D616" s="1639"/>
      <c r="E616" s="911"/>
      <c r="F616" s="911"/>
      <c r="G616" s="915"/>
      <c r="H616" s="1746"/>
      <c r="I616" s="330"/>
      <c r="J616" s="169">
        <v>2022</v>
      </c>
      <c r="K616" s="1417">
        <v>222011</v>
      </c>
      <c r="L616" s="1417"/>
      <c r="M616" s="170" t="s">
        <v>166</v>
      </c>
      <c r="N616" s="178" t="s">
        <v>4323</v>
      </c>
      <c r="O616" s="172" t="s">
        <v>4306</v>
      </c>
      <c r="P616" s="173" t="s">
        <v>4374</v>
      </c>
      <c r="Q616" s="451" t="s">
        <v>2538</v>
      </c>
      <c r="R616" s="594">
        <f>15000*1.16</f>
        <v>17400</v>
      </c>
      <c r="S616" s="590">
        <v>44690</v>
      </c>
      <c r="T616" s="176">
        <v>44693</v>
      </c>
      <c r="U616" s="177">
        <v>44695</v>
      </c>
      <c r="V616" s="105" t="s">
        <v>68</v>
      </c>
      <c r="W616" s="178" t="s">
        <v>3756</v>
      </c>
      <c r="X616" s="170" t="s">
        <v>472</v>
      </c>
      <c r="Y616" s="200" t="s">
        <v>68</v>
      </c>
      <c r="Z616" s="368" t="s">
        <v>68</v>
      </c>
      <c r="AA616" s="255"/>
      <c r="AB616" s="8"/>
      <c r="AC616" s="4"/>
      <c r="AD616" s="4"/>
      <c r="AE616" s="32"/>
      <c r="AF616" s="582" t="s">
        <v>68</v>
      </c>
      <c r="AG616" s="583" t="s">
        <v>68</v>
      </c>
      <c r="AH616" s="583" t="s">
        <v>68</v>
      </c>
      <c r="AI616" s="584" t="s">
        <v>68</v>
      </c>
      <c r="AJ616" s="581" t="s">
        <v>68</v>
      </c>
      <c r="AK616" s="33" t="s">
        <v>68</v>
      </c>
      <c r="AL616" s="1" t="s">
        <v>68</v>
      </c>
      <c r="AM616" s="5"/>
      <c r="AN616" s="1" t="s">
        <v>68</v>
      </c>
      <c r="AO616" s="5"/>
      <c r="AP616" s="1" t="s">
        <v>68</v>
      </c>
      <c r="AQ616" s="5"/>
      <c r="AR616" s="279">
        <v>0</v>
      </c>
      <c r="AS616" s="35">
        <v>0</v>
      </c>
      <c r="AT616" s="902"/>
      <c r="AU616" s="891"/>
      <c r="AV616" s="350" t="s">
        <v>68</v>
      </c>
      <c r="AW616" s="11"/>
      <c r="AX616" s="223" t="s">
        <v>68</v>
      </c>
      <c r="AY616" s="52" t="s">
        <v>68</v>
      </c>
      <c r="AZ616" s="350" t="s">
        <v>68</v>
      </c>
      <c r="BA616" s="5"/>
      <c r="BB616" s="5"/>
      <c r="BC616" s="11"/>
      <c r="BD616" s="30" t="s">
        <v>68</v>
      </c>
      <c r="BE616" s="309"/>
      <c r="BF616" s="5"/>
      <c r="BG616" s="5"/>
      <c r="BH616" s="5"/>
      <c r="BI616" s="36"/>
      <c r="BJ616" s="1546" t="s">
        <v>68</v>
      </c>
      <c r="BK616" s="1826"/>
      <c r="BL616" s="694" t="s">
        <v>68</v>
      </c>
      <c r="BM616" s="695" t="s">
        <v>68</v>
      </c>
      <c r="BN616" s="695" t="s">
        <v>68</v>
      </c>
      <c r="BO616" s="696" t="s">
        <v>68</v>
      </c>
      <c r="BP616" s="696" t="s">
        <v>68</v>
      </c>
      <c r="BQ616" s="696" t="s">
        <v>68</v>
      </c>
      <c r="BR616" s="914" t="s">
        <v>68</v>
      </c>
      <c r="BS616" s="696" t="s">
        <v>68</v>
      </c>
      <c r="BT616" s="696" t="s">
        <v>68</v>
      </c>
      <c r="BU616" s="696"/>
      <c r="BV616" s="694"/>
      <c r="BW616" s="13"/>
      <c r="BX616" s="158"/>
      <c r="BY616" s="13"/>
      <c r="BZ616" s="13"/>
      <c r="CA616" s="13"/>
      <c r="CB616" s="1222" t="s">
        <v>3944</v>
      </c>
      <c r="CC616" s="38"/>
      <c r="CD616" s="526"/>
      <c r="CE616" s="526"/>
      <c r="CF616" s="526"/>
      <c r="CG616" s="526"/>
      <c r="CH616" s="526"/>
      <c r="CI616" s="526"/>
      <c r="CJ616" s="526"/>
      <c r="CK616" s="15"/>
    </row>
    <row r="617" spans="2:89" ht="117.75" hidden="1" customHeight="1">
      <c r="B617" s="22"/>
      <c r="C617" s="1639"/>
      <c r="D617" s="1639"/>
      <c r="E617" s="911"/>
      <c r="F617" s="911"/>
      <c r="G617" s="915"/>
      <c r="H617" s="1746"/>
      <c r="I617" s="330"/>
      <c r="J617" s="169">
        <v>2022</v>
      </c>
      <c r="K617" s="1417">
        <v>222012</v>
      </c>
      <c r="L617" s="1417"/>
      <c r="M617" s="170" t="s">
        <v>166</v>
      </c>
      <c r="N617" s="178" t="s">
        <v>4324</v>
      </c>
      <c r="O617" s="172" t="s">
        <v>4306</v>
      </c>
      <c r="P617" s="173" t="s">
        <v>4375</v>
      </c>
      <c r="Q617" s="451" t="s">
        <v>1975</v>
      </c>
      <c r="R617" s="594">
        <f>(9450*1.16)*3</f>
        <v>32886</v>
      </c>
      <c r="S617" s="590">
        <v>44662</v>
      </c>
      <c r="T617" s="176" t="s">
        <v>68</v>
      </c>
      <c r="U617" s="177" t="s">
        <v>68</v>
      </c>
      <c r="V617" s="105" t="s">
        <v>68</v>
      </c>
      <c r="W617" s="178" t="s">
        <v>3958</v>
      </c>
      <c r="X617" s="170" t="s">
        <v>472</v>
      </c>
      <c r="Y617" s="200" t="s">
        <v>68</v>
      </c>
      <c r="Z617" s="368" t="s">
        <v>68</v>
      </c>
      <c r="AA617" s="255"/>
      <c r="AB617" s="8"/>
      <c r="AC617" s="4"/>
      <c r="AD617" s="4"/>
      <c r="AE617" s="32"/>
      <c r="AF617" s="582" t="s">
        <v>68</v>
      </c>
      <c r="AG617" s="583" t="s">
        <v>68</v>
      </c>
      <c r="AH617" s="583" t="s">
        <v>68</v>
      </c>
      <c r="AI617" s="584" t="s">
        <v>68</v>
      </c>
      <c r="AJ617" s="581" t="s">
        <v>68</v>
      </c>
      <c r="AK617" s="33" t="s">
        <v>68</v>
      </c>
      <c r="AL617" s="1" t="s">
        <v>68</v>
      </c>
      <c r="AM617" s="5"/>
      <c r="AN617" s="1" t="s">
        <v>68</v>
      </c>
      <c r="AO617" s="5"/>
      <c r="AP617" s="1" t="s">
        <v>68</v>
      </c>
      <c r="AQ617" s="5"/>
      <c r="AR617" s="279">
        <v>0</v>
      </c>
      <c r="AS617" s="35">
        <v>0</v>
      </c>
      <c r="AT617" s="902"/>
      <c r="AU617" s="891"/>
      <c r="AV617" s="350" t="s">
        <v>68</v>
      </c>
      <c r="AW617" s="11"/>
      <c r="AX617" s="223" t="s">
        <v>68</v>
      </c>
      <c r="AY617" s="52" t="s">
        <v>68</v>
      </c>
      <c r="AZ617" s="350" t="s">
        <v>68</v>
      </c>
      <c r="BA617" s="5"/>
      <c r="BB617" s="5"/>
      <c r="BC617" s="11"/>
      <c r="BD617" s="30" t="s">
        <v>68</v>
      </c>
      <c r="BE617" s="309"/>
      <c r="BF617" s="5"/>
      <c r="BG617" s="5"/>
      <c r="BH617" s="5"/>
      <c r="BI617" s="36"/>
      <c r="BJ617" s="1546" t="s">
        <v>68</v>
      </c>
      <c r="BK617" s="1826"/>
      <c r="BL617" s="694" t="s">
        <v>68</v>
      </c>
      <c r="BM617" s="695" t="s">
        <v>68</v>
      </c>
      <c r="BN617" s="695" t="s">
        <v>68</v>
      </c>
      <c r="BO617" s="696" t="s">
        <v>68</v>
      </c>
      <c r="BP617" s="696" t="s">
        <v>68</v>
      </c>
      <c r="BQ617" s="696" t="s">
        <v>68</v>
      </c>
      <c r="BR617" s="914" t="s">
        <v>68</v>
      </c>
      <c r="BS617" s="696" t="s">
        <v>68</v>
      </c>
      <c r="BT617" s="696" t="s">
        <v>68</v>
      </c>
      <c r="BU617" s="696"/>
      <c r="BV617" s="694"/>
      <c r="BW617" s="13"/>
      <c r="BX617" s="158"/>
      <c r="BY617" s="13"/>
      <c r="BZ617" s="13"/>
      <c r="CA617" s="13"/>
      <c r="CB617" s="1222" t="s">
        <v>3944</v>
      </c>
      <c r="CC617" s="38"/>
      <c r="CD617" s="526"/>
      <c r="CE617" s="526"/>
      <c r="CF617" s="526"/>
      <c r="CG617" s="526"/>
      <c r="CH617" s="526"/>
      <c r="CI617" s="526"/>
      <c r="CJ617" s="526"/>
      <c r="CK617" s="15"/>
    </row>
    <row r="618" spans="2:89" ht="162" hidden="1" customHeight="1">
      <c r="B618" s="22"/>
      <c r="C618" s="1639"/>
      <c r="D618" s="1639"/>
      <c r="E618" s="911"/>
      <c r="F618" s="911"/>
      <c r="G618" s="915"/>
      <c r="H618" s="1746"/>
      <c r="I618" s="330"/>
      <c r="J618" s="169">
        <v>2022</v>
      </c>
      <c r="K618" s="1417">
        <v>222013</v>
      </c>
      <c r="L618" s="1417"/>
      <c r="M618" s="170" t="s">
        <v>166</v>
      </c>
      <c r="N618" s="178" t="s">
        <v>4325</v>
      </c>
      <c r="O618" s="172" t="s">
        <v>4306</v>
      </c>
      <c r="P618" s="173" t="s">
        <v>4376</v>
      </c>
      <c r="Q618" s="451" t="s">
        <v>4410</v>
      </c>
      <c r="R618" s="594">
        <f>15750*1.16</f>
        <v>18270</v>
      </c>
      <c r="S618" s="590">
        <v>44690</v>
      </c>
      <c r="T618" s="176" t="s">
        <v>68</v>
      </c>
      <c r="U618" s="177" t="s">
        <v>68</v>
      </c>
      <c r="V618" s="105" t="s">
        <v>68</v>
      </c>
      <c r="W618" s="178" t="s">
        <v>3958</v>
      </c>
      <c r="X618" s="170" t="s">
        <v>472</v>
      </c>
      <c r="Y618" s="200" t="s">
        <v>68</v>
      </c>
      <c r="Z618" s="368" t="s">
        <v>68</v>
      </c>
      <c r="AA618" s="255"/>
      <c r="AB618" s="8"/>
      <c r="AC618" s="4"/>
      <c r="AD618" s="4"/>
      <c r="AE618" s="32"/>
      <c r="AF618" s="582" t="s">
        <v>68</v>
      </c>
      <c r="AG618" s="583" t="s">
        <v>68</v>
      </c>
      <c r="AH618" s="583" t="s">
        <v>68</v>
      </c>
      <c r="AI618" s="584" t="s">
        <v>68</v>
      </c>
      <c r="AJ618" s="581" t="s">
        <v>68</v>
      </c>
      <c r="AK618" s="33" t="s">
        <v>68</v>
      </c>
      <c r="AL618" s="1" t="s">
        <v>68</v>
      </c>
      <c r="AM618" s="5"/>
      <c r="AN618" s="1" t="s">
        <v>68</v>
      </c>
      <c r="AO618" s="5"/>
      <c r="AP618" s="1" t="s">
        <v>68</v>
      </c>
      <c r="AQ618" s="5"/>
      <c r="AR618" s="279">
        <v>0</v>
      </c>
      <c r="AS618" s="35">
        <v>0</v>
      </c>
      <c r="AT618" s="902"/>
      <c r="AU618" s="891"/>
      <c r="AV618" s="350" t="s">
        <v>68</v>
      </c>
      <c r="AW618" s="11"/>
      <c r="AX618" s="223" t="s">
        <v>68</v>
      </c>
      <c r="AY618" s="52" t="s">
        <v>68</v>
      </c>
      <c r="AZ618" s="350" t="s">
        <v>68</v>
      </c>
      <c r="BA618" s="5"/>
      <c r="BB618" s="5"/>
      <c r="BC618" s="11"/>
      <c r="BD618" s="30" t="s">
        <v>68</v>
      </c>
      <c r="BE618" s="309"/>
      <c r="BF618" s="5"/>
      <c r="BG618" s="5"/>
      <c r="BH618" s="5"/>
      <c r="BI618" s="36"/>
      <c r="BJ618" s="1546" t="s">
        <v>68</v>
      </c>
      <c r="BK618" s="1826"/>
      <c r="BL618" s="694" t="s">
        <v>68</v>
      </c>
      <c r="BM618" s="695" t="s">
        <v>68</v>
      </c>
      <c r="BN618" s="695" t="s">
        <v>68</v>
      </c>
      <c r="BO618" s="696" t="s">
        <v>68</v>
      </c>
      <c r="BP618" s="696" t="s">
        <v>68</v>
      </c>
      <c r="BQ618" s="696" t="s">
        <v>68</v>
      </c>
      <c r="BR618" s="914" t="s">
        <v>68</v>
      </c>
      <c r="BS618" s="696" t="s">
        <v>68</v>
      </c>
      <c r="BT618" s="696" t="s">
        <v>68</v>
      </c>
      <c r="BU618" s="696"/>
      <c r="BV618" s="694"/>
      <c r="BW618" s="13"/>
      <c r="BX618" s="158"/>
      <c r="BY618" s="13"/>
      <c r="BZ618" s="13"/>
      <c r="CA618" s="13"/>
      <c r="CB618" s="1222" t="s">
        <v>3944</v>
      </c>
      <c r="CC618" s="38"/>
      <c r="CD618" s="526"/>
      <c r="CE618" s="526"/>
      <c r="CF618" s="526"/>
      <c r="CG618" s="526"/>
      <c r="CH618" s="526"/>
      <c r="CI618" s="526"/>
      <c r="CJ618" s="526"/>
      <c r="CK618" s="15"/>
    </row>
    <row r="619" spans="2:89" ht="134.25" hidden="1" customHeight="1">
      <c r="B619" s="22"/>
      <c r="C619" s="1639"/>
      <c r="D619" s="1639"/>
      <c r="E619" s="911"/>
      <c r="F619" s="911"/>
      <c r="G619" s="915"/>
      <c r="H619" s="1746"/>
      <c r="I619" s="330"/>
      <c r="J619" s="169">
        <v>2022</v>
      </c>
      <c r="K619" s="1417">
        <v>222014</v>
      </c>
      <c r="L619" s="1417"/>
      <c r="M619" s="170" t="s">
        <v>166</v>
      </c>
      <c r="N619" s="178" t="s">
        <v>4326</v>
      </c>
      <c r="O619" s="172" t="s">
        <v>4306</v>
      </c>
      <c r="P619" s="173" t="s">
        <v>4411</v>
      </c>
      <c r="Q619" s="451" t="s">
        <v>2538</v>
      </c>
      <c r="R619" s="594">
        <v>3500</v>
      </c>
      <c r="S619" s="590">
        <v>44714</v>
      </c>
      <c r="T619" s="176">
        <v>44716</v>
      </c>
      <c r="U619" s="177">
        <v>44716</v>
      </c>
      <c r="V619" s="105" t="s">
        <v>68</v>
      </c>
      <c r="W619" s="178" t="s">
        <v>5679</v>
      </c>
      <c r="X619" s="170" t="s">
        <v>472</v>
      </c>
      <c r="Y619" s="200" t="s">
        <v>68</v>
      </c>
      <c r="Z619" s="368" t="s">
        <v>68</v>
      </c>
      <c r="AA619" s="255"/>
      <c r="AB619" s="8"/>
      <c r="AC619" s="4"/>
      <c r="AD619" s="4"/>
      <c r="AE619" s="32"/>
      <c r="AF619" s="582" t="s">
        <v>68</v>
      </c>
      <c r="AG619" s="583" t="s">
        <v>68</v>
      </c>
      <c r="AH619" s="583" t="s">
        <v>68</v>
      </c>
      <c r="AI619" s="584" t="s">
        <v>68</v>
      </c>
      <c r="AJ619" s="581" t="s">
        <v>68</v>
      </c>
      <c r="AK619" s="33" t="s">
        <v>68</v>
      </c>
      <c r="AL619" s="1" t="s">
        <v>68</v>
      </c>
      <c r="AM619" s="5"/>
      <c r="AN619" s="1" t="s">
        <v>68</v>
      </c>
      <c r="AO619" s="5"/>
      <c r="AP619" s="1" t="s">
        <v>68</v>
      </c>
      <c r="AQ619" s="5"/>
      <c r="AR619" s="279">
        <v>0</v>
      </c>
      <c r="AS619" s="35">
        <v>0</v>
      </c>
      <c r="AT619" s="902"/>
      <c r="AU619" s="891"/>
      <c r="AV619" s="350" t="s">
        <v>68</v>
      </c>
      <c r="AW619" s="11"/>
      <c r="AX619" s="223" t="s">
        <v>68</v>
      </c>
      <c r="AY619" s="52" t="s">
        <v>68</v>
      </c>
      <c r="AZ619" s="350" t="s">
        <v>68</v>
      </c>
      <c r="BA619" s="5"/>
      <c r="BB619" s="5"/>
      <c r="BC619" s="11"/>
      <c r="BD619" s="30" t="s">
        <v>68</v>
      </c>
      <c r="BE619" s="309"/>
      <c r="BF619" s="5"/>
      <c r="BG619" s="5"/>
      <c r="BH619" s="5"/>
      <c r="BI619" s="36"/>
      <c r="BJ619" s="1546" t="s">
        <v>68</v>
      </c>
      <c r="BK619" s="1826"/>
      <c r="BL619" s="694" t="s">
        <v>68</v>
      </c>
      <c r="BM619" s="695" t="s">
        <v>68</v>
      </c>
      <c r="BN619" s="695" t="s">
        <v>68</v>
      </c>
      <c r="BO619" s="696" t="s">
        <v>68</v>
      </c>
      <c r="BP619" s="696" t="s">
        <v>68</v>
      </c>
      <c r="BQ619" s="696" t="s">
        <v>68</v>
      </c>
      <c r="BR619" s="914" t="s">
        <v>68</v>
      </c>
      <c r="BS619" s="696" t="s">
        <v>68</v>
      </c>
      <c r="BT619" s="696" t="s">
        <v>68</v>
      </c>
      <c r="BU619" s="696"/>
      <c r="BV619" s="694"/>
      <c r="BW619" s="13"/>
      <c r="BX619" s="158"/>
      <c r="BY619" s="13"/>
      <c r="BZ619" s="13"/>
      <c r="CA619" s="13"/>
      <c r="CB619" s="1222" t="s">
        <v>3944</v>
      </c>
      <c r="CC619" s="38"/>
      <c r="CD619" s="526"/>
      <c r="CE619" s="526"/>
      <c r="CF619" s="526"/>
      <c r="CG619" s="526"/>
      <c r="CH619" s="526"/>
      <c r="CI619" s="526"/>
      <c r="CJ619" s="526"/>
      <c r="CK619" s="15"/>
    </row>
    <row r="620" spans="2:89" ht="87.75" hidden="1" customHeight="1">
      <c r="B620" s="22"/>
      <c r="C620" s="1639"/>
      <c r="D620" s="1639"/>
      <c r="E620" s="911"/>
      <c r="F620" s="911"/>
      <c r="G620" s="915"/>
      <c r="H620" s="1746"/>
      <c r="I620" s="330"/>
      <c r="J620" s="169">
        <v>2022</v>
      </c>
      <c r="K620" s="1417">
        <v>222015</v>
      </c>
      <c r="L620" s="1417"/>
      <c r="M620" s="170" t="s">
        <v>166</v>
      </c>
      <c r="N620" s="178" t="s">
        <v>4327</v>
      </c>
      <c r="O620" s="790" t="s">
        <v>251</v>
      </c>
      <c r="P620" s="1191" t="s">
        <v>68</v>
      </c>
      <c r="Q620" s="1191"/>
      <c r="R620" s="594"/>
      <c r="S620" s="590"/>
      <c r="T620" s="176"/>
      <c r="U620" s="177"/>
      <c r="V620" s="105" t="s">
        <v>68</v>
      </c>
      <c r="W620" s="1042" t="s">
        <v>68</v>
      </c>
      <c r="X620" s="920"/>
      <c r="Y620" s="200" t="s">
        <v>68</v>
      </c>
      <c r="Z620" s="368" t="s">
        <v>68</v>
      </c>
      <c r="AA620" s="255"/>
      <c r="AB620" s="8"/>
      <c r="AC620" s="4"/>
      <c r="AD620" s="4"/>
      <c r="AE620" s="32"/>
      <c r="AF620" s="582" t="s">
        <v>68</v>
      </c>
      <c r="AG620" s="583" t="s">
        <v>68</v>
      </c>
      <c r="AH620" s="583" t="s">
        <v>68</v>
      </c>
      <c r="AI620" s="584" t="s">
        <v>68</v>
      </c>
      <c r="AJ620" s="581" t="s">
        <v>68</v>
      </c>
      <c r="AK620" s="33" t="s">
        <v>68</v>
      </c>
      <c r="AL620" s="1" t="s">
        <v>68</v>
      </c>
      <c r="AM620" s="5"/>
      <c r="AN620" s="1" t="s">
        <v>68</v>
      </c>
      <c r="AO620" s="5"/>
      <c r="AP620" s="1" t="s">
        <v>68</v>
      </c>
      <c r="AQ620" s="5"/>
      <c r="AR620" s="279">
        <v>0</v>
      </c>
      <c r="AS620" s="35">
        <v>0</v>
      </c>
      <c r="AT620" s="902"/>
      <c r="AU620" s="891"/>
      <c r="AV620" s="350" t="s">
        <v>68</v>
      </c>
      <c r="AW620" s="11"/>
      <c r="AX620" s="223" t="s">
        <v>68</v>
      </c>
      <c r="AY620" s="52" t="s">
        <v>68</v>
      </c>
      <c r="AZ620" s="350" t="s">
        <v>68</v>
      </c>
      <c r="BA620" s="5"/>
      <c r="BB620" s="5"/>
      <c r="BC620" s="11"/>
      <c r="BD620" s="66" t="s">
        <v>74</v>
      </c>
      <c r="BE620" s="1423"/>
      <c r="BF620" s="5"/>
      <c r="BG620" s="5"/>
      <c r="BH620" s="5"/>
      <c r="BI620" s="36"/>
      <c r="BJ620" s="1546" t="s">
        <v>68</v>
      </c>
      <c r="BK620" s="1826"/>
      <c r="BL620" s="694" t="s">
        <v>68</v>
      </c>
      <c r="BM620" s="695" t="s">
        <v>68</v>
      </c>
      <c r="BN620" s="695" t="s">
        <v>68</v>
      </c>
      <c r="BO620" s="696" t="s">
        <v>68</v>
      </c>
      <c r="BP620" s="696" t="s">
        <v>68</v>
      </c>
      <c r="BQ620" s="696" t="s">
        <v>68</v>
      </c>
      <c r="BR620" s="914" t="s">
        <v>68</v>
      </c>
      <c r="BS620" s="696" t="s">
        <v>68</v>
      </c>
      <c r="BT620" s="696" t="s">
        <v>68</v>
      </c>
      <c r="BU620" s="696"/>
      <c r="BV620" s="694"/>
      <c r="BW620" s="13"/>
      <c r="BX620" s="158"/>
      <c r="BY620" s="13"/>
      <c r="BZ620" s="13"/>
      <c r="CA620" s="13"/>
      <c r="CB620" s="1222" t="s">
        <v>3944</v>
      </c>
      <c r="CC620" s="38"/>
      <c r="CD620" s="526"/>
      <c r="CE620" s="526"/>
      <c r="CF620" s="526"/>
      <c r="CG620" s="526"/>
      <c r="CH620" s="526"/>
      <c r="CI620" s="526"/>
      <c r="CJ620" s="526"/>
      <c r="CK620" s="15"/>
    </row>
    <row r="621" spans="2:89" ht="87.75" hidden="1" customHeight="1">
      <c r="B621" s="22"/>
      <c r="C621" s="1639"/>
      <c r="D621" s="1639"/>
      <c r="E621" s="911"/>
      <c r="F621" s="911"/>
      <c r="G621" s="915"/>
      <c r="H621" s="1746"/>
      <c r="I621" s="330"/>
      <c r="J621" s="169">
        <v>2022</v>
      </c>
      <c r="K621" s="1417">
        <v>222016</v>
      </c>
      <c r="L621" s="1417"/>
      <c r="M621" s="170" t="s">
        <v>166</v>
      </c>
      <c r="N621" s="178" t="s">
        <v>4328</v>
      </c>
      <c r="O621" s="790" t="s">
        <v>251</v>
      </c>
      <c r="P621" s="1191" t="s">
        <v>68</v>
      </c>
      <c r="Q621" s="1191"/>
      <c r="R621" s="594"/>
      <c r="S621" s="590"/>
      <c r="T621" s="176"/>
      <c r="U621" s="177"/>
      <c r="V621" s="105" t="s">
        <v>68</v>
      </c>
      <c r="W621" s="1042" t="s">
        <v>68</v>
      </c>
      <c r="X621" s="920"/>
      <c r="Y621" s="200" t="s">
        <v>68</v>
      </c>
      <c r="Z621" s="368" t="s">
        <v>68</v>
      </c>
      <c r="AA621" s="255"/>
      <c r="AB621" s="8"/>
      <c r="AC621" s="4"/>
      <c r="AD621" s="4"/>
      <c r="AE621" s="32"/>
      <c r="AF621" s="582" t="s">
        <v>68</v>
      </c>
      <c r="AG621" s="583" t="s">
        <v>68</v>
      </c>
      <c r="AH621" s="583" t="s">
        <v>68</v>
      </c>
      <c r="AI621" s="584" t="s">
        <v>68</v>
      </c>
      <c r="AJ621" s="581" t="s">
        <v>68</v>
      </c>
      <c r="AK621" s="33" t="s">
        <v>68</v>
      </c>
      <c r="AL621" s="1" t="s">
        <v>68</v>
      </c>
      <c r="AM621" s="5"/>
      <c r="AN621" s="1" t="s">
        <v>68</v>
      </c>
      <c r="AO621" s="5"/>
      <c r="AP621" s="1" t="s">
        <v>68</v>
      </c>
      <c r="AQ621" s="5"/>
      <c r="AR621" s="279">
        <v>0</v>
      </c>
      <c r="AS621" s="35">
        <v>0</v>
      </c>
      <c r="AT621" s="902"/>
      <c r="AU621" s="891"/>
      <c r="AV621" s="350" t="s">
        <v>68</v>
      </c>
      <c r="AW621" s="11"/>
      <c r="AX621" s="223" t="s">
        <v>68</v>
      </c>
      <c r="AY621" s="52" t="s">
        <v>68</v>
      </c>
      <c r="AZ621" s="350" t="s">
        <v>68</v>
      </c>
      <c r="BA621" s="5"/>
      <c r="BB621" s="5"/>
      <c r="BC621" s="11"/>
      <c r="BD621" s="66" t="s">
        <v>74</v>
      </c>
      <c r="BE621" s="1423"/>
      <c r="BF621" s="5"/>
      <c r="BG621" s="5"/>
      <c r="BH621" s="5"/>
      <c r="BI621" s="36"/>
      <c r="BJ621" s="1546" t="s">
        <v>68</v>
      </c>
      <c r="BK621" s="1826"/>
      <c r="BL621" s="694" t="s">
        <v>68</v>
      </c>
      <c r="BM621" s="695" t="s">
        <v>68</v>
      </c>
      <c r="BN621" s="695" t="s">
        <v>68</v>
      </c>
      <c r="BO621" s="696" t="s">
        <v>68</v>
      </c>
      <c r="BP621" s="696" t="s">
        <v>68</v>
      </c>
      <c r="BQ621" s="696" t="s">
        <v>68</v>
      </c>
      <c r="BR621" s="914" t="s">
        <v>68</v>
      </c>
      <c r="BS621" s="696" t="s">
        <v>68</v>
      </c>
      <c r="BT621" s="696" t="s">
        <v>68</v>
      </c>
      <c r="BU621" s="696"/>
      <c r="BV621" s="694"/>
      <c r="BW621" s="13"/>
      <c r="BX621" s="158"/>
      <c r="BY621" s="13"/>
      <c r="BZ621" s="13"/>
      <c r="CA621" s="13"/>
      <c r="CB621" s="1222" t="s">
        <v>3944</v>
      </c>
      <c r="CC621" s="38"/>
      <c r="CD621" s="526"/>
      <c r="CE621" s="526"/>
      <c r="CF621" s="526"/>
      <c r="CG621" s="526"/>
      <c r="CH621" s="526"/>
      <c r="CI621" s="526"/>
      <c r="CJ621" s="526"/>
      <c r="CK621" s="15"/>
    </row>
    <row r="622" spans="2:89" ht="87.75" hidden="1" customHeight="1">
      <c r="B622" s="22"/>
      <c r="C622" s="1639"/>
      <c r="D622" s="1639"/>
      <c r="E622" s="911"/>
      <c r="F622" s="911"/>
      <c r="G622" s="915"/>
      <c r="H622" s="1746"/>
      <c r="I622" s="330"/>
      <c r="J622" s="169">
        <v>2022</v>
      </c>
      <c r="K622" s="1417">
        <v>222017</v>
      </c>
      <c r="L622" s="1417"/>
      <c r="M622" s="170" t="s">
        <v>166</v>
      </c>
      <c r="N622" s="178" t="s">
        <v>4329</v>
      </c>
      <c r="O622" s="790" t="s">
        <v>251</v>
      </c>
      <c r="P622" s="1191" t="s">
        <v>68</v>
      </c>
      <c r="Q622" s="1191"/>
      <c r="R622" s="594"/>
      <c r="S622" s="590"/>
      <c r="T622" s="176"/>
      <c r="U622" s="177"/>
      <c r="V622" s="105" t="s">
        <v>68</v>
      </c>
      <c r="W622" s="1042" t="s">
        <v>68</v>
      </c>
      <c r="X622" s="920"/>
      <c r="Y622" s="200" t="s">
        <v>68</v>
      </c>
      <c r="Z622" s="368" t="s">
        <v>68</v>
      </c>
      <c r="AA622" s="255"/>
      <c r="AB622" s="8"/>
      <c r="AC622" s="4"/>
      <c r="AD622" s="4"/>
      <c r="AE622" s="32"/>
      <c r="AF622" s="582" t="s">
        <v>68</v>
      </c>
      <c r="AG622" s="583" t="s">
        <v>68</v>
      </c>
      <c r="AH622" s="583" t="s">
        <v>68</v>
      </c>
      <c r="AI622" s="584" t="s">
        <v>68</v>
      </c>
      <c r="AJ622" s="581" t="s">
        <v>68</v>
      </c>
      <c r="AK622" s="33" t="s">
        <v>68</v>
      </c>
      <c r="AL622" s="1" t="s">
        <v>68</v>
      </c>
      <c r="AM622" s="5"/>
      <c r="AN622" s="1" t="s">
        <v>68</v>
      </c>
      <c r="AO622" s="5"/>
      <c r="AP622" s="1" t="s">
        <v>68</v>
      </c>
      <c r="AQ622" s="5"/>
      <c r="AR622" s="279">
        <v>0</v>
      </c>
      <c r="AS622" s="35">
        <v>0</v>
      </c>
      <c r="AT622" s="902"/>
      <c r="AU622" s="891"/>
      <c r="AV622" s="350" t="s">
        <v>68</v>
      </c>
      <c r="AW622" s="11"/>
      <c r="AX622" s="223" t="s">
        <v>68</v>
      </c>
      <c r="AY622" s="52" t="s">
        <v>68</v>
      </c>
      <c r="AZ622" s="350" t="s">
        <v>68</v>
      </c>
      <c r="BA622" s="5"/>
      <c r="BB622" s="5"/>
      <c r="BC622" s="11"/>
      <c r="BD622" s="66" t="s">
        <v>74</v>
      </c>
      <c r="BE622" s="1423"/>
      <c r="BF622" s="5"/>
      <c r="BG622" s="5"/>
      <c r="BH622" s="5"/>
      <c r="BI622" s="36"/>
      <c r="BJ622" s="1546" t="s">
        <v>68</v>
      </c>
      <c r="BK622" s="1826"/>
      <c r="BL622" s="694" t="s">
        <v>68</v>
      </c>
      <c r="BM622" s="695" t="s">
        <v>68</v>
      </c>
      <c r="BN622" s="695" t="s">
        <v>68</v>
      </c>
      <c r="BO622" s="696" t="s">
        <v>68</v>
      </c>
      <c r="BP622" s="696" t="s">
        <v>68</v>
      </c>
      <c r="BQ622" s="696" t="s">
        <v>68</v>
      </c>
      <c r="BR622" s="914" t="s">
        <v>68</v>
      </c>
      <c r="BS622" s="696" t="s">
        <v>68</v>
      </c>
      <c r="BT622" s="696" t="s">
        <v>68</v>
      </c>
      <c r="BU622" s="696"/>
      <c r="BV622" s="694"/>
      <c r="BW622" s="13"/>
      <c r="BX622" s="158"/>
      <c r="BY622" s="13"/>
      <c r="BZ622" s="13"/>
      <c r="CA622" s="13"/>
      <c r="CB622" s="1222" t="s">
        <v>3944</v>
      </c>
      <c r="CC622" s="38"/>
      <c r="CD622" s="526"/>
      <c r="CE622" s="526"/>
      <c r="CF622" s="526"/>
      <c r="CG622" s="526"/>
      <c r="CH622" s="526"/>
      <c r="CI622" s="526"/>
      <c r="CJ622" s="526"/>
      <c r="CK622" s="15"/>
    </row>
    <row r="623" spans="2:89" ht="87.75" hidden="1" customHeight="1">
      <c r="B623" s="22"/>
      <c r="C623" s="1639"/>
      <c r="D623" s="1639"/>
      <c r="E623" s="911"/>
      <c r="F623" s="911"/>
      <c r="G623" s="915"/>
      <c r="H623" s="1746"/>
      <c r="I623" s="330"/>
      <c r="J623" s="169">
        <v>2022</v>
      </c>
      <c r="K623" s="1417">
        <v>222018</v>
      </c>
      <c r="L623" s="1417"/>
      <c r="M623" s="170" t="s">
        <v>166</v>
      </c>
      <c r="N623" s="178" t="s">
        <v>4330</v>
      </c>
      <c r="O623" s="790" t="s">
        <v>251</v>
      </c>
      <c r="P623" s="1191" t="s">
        <v>68</v>
      </c>
      <c r="Q623" s="1191"/>
      <c r="R623" s="594"/>
      <c r="S623" s="590"/>
      <c r="T623" s="176"/>
      <c r="U623" s="177"/>
      <c r="V623" s="105" t="s">
        <v>68</v>
      </c>
      <c r="W623" s="1042" t="s">
        <v>68</v>
      </c>
      <c r="X623" s="920"/>
      <c r="Y623" s="200" t="s">
        <v>68</v>
      </c>
      <c r="Z623" s="368" t="s">
        <v>68</v>
      </c>
      <c r="AA623" s="255"/>
      <c r="AB623" s="8"/>
      <c r="AC623" s="4"/>
      <c r="AD623" s="4"/>
      <c r="AE623" s="32"/>
      <c r="AF623" s="582" t="s">
        <v>68</v>
      </c>
      <c r="AG623" s="583" t="s">
        <v>68</v>
      </c>
      <c r="AH623" s="583" t="s">
        <v>68</v>
      </c>
      <c r="AI623" s="584" t="s">
        <v>68</v>
      </c>
      <c r="AJ623" s="581" t="s">
        <v>68</v>
      </c>
      <c r="AK623" s="33" t="s">
        <v>68</v>
      </c>
      <c r="AL623" s="1" t="s">
        <v>68</v>
      </c>
      <c r="AM623" s="5"/>
      <c r="AN623" s="1" t="s">
        <v>68</v>
      </c>
      <c r="AO623" s="5"/>
      <c r="AP623" s="1" t="s">
        <v>68</v>
      </c>
      <c r="AQ623" s="5"/>
      <c r="AR623" s="279">
        <v>0</v>
      </c>
      <c r="AS623" s="35">
        <v>0</v>
      </c>
      <c r="AT623" s="902"/>
      <c r="AU623" s="891"/>
      <c r="AV623" s="350" t="s">
        <v>68</v>
      </c>
      <c r="AW623" s="11"/>
      <c r="AX623" s="223" t="s">
        <v>68</v>
      </c>
      <c r="AY623" s="52" t="s">
        <v>68</v>
      </c>
      <c r="AZ623" s="350" t="s">
        <v>68</v>
      </c>
      <c r="BA623" s="5"/>
      <c r="BB623" s="5"/>
      <c r="BC623" s="11"/>
      <c r="BD623" s="66" t="s">
        <v>74</v>
      </c>
      <c r="BE623" s="1423"/>
      <c r="BF623" s="5"/>
      <c r="BG623" s="5"/>
      <c r="BH623" s="5"/>
      <c r="BI623" s="36"/>
      <c r="BJ623" s="1546" t="s">
        <v>68</v>
      </c>
      <c r="BK623" s="1826"/>
      <c r="BL623" s="694" t="s">
        <v>68</v>
      </c>
      <c r="BM623" s="695" t="s">
        <v>68</v>
      </c>
      <c r="BN623" s="695" t="s">
        <v>68</v>
      </c>
      <c r="BO623" s="696" t="s">
        <v>68</v>
      </c>
      <c r="BP623" s="696" t="s">
        <v>68</v>
      </c>
      <c r="BQ623" s="696" t="s">
        <v>68</v>
      </c>
      <c r="BR623" s="914" t="s">
        <v>68</v>
      </c>
      <c r="BS623" s="696" t="s">
        <v>68</v>
      </c>
      <c r="BT623" s="696" t="s">
        <v>68</v>
      </c>
      <c r="BU623" s="696"/>
      <c r="BV623" s="694"/>
      <c r="BW623" s="13"/>
      <c r="BX623" s="158"/>
      <c r="BY623" s="13"/>
      <c r="BZ623" s="13"/>
      <c r="CA623" s="13"/>
      <c r="CB623" s="1222" t="s">
        <v>3944</v>
      </c>
      <c r="CC623" s="38"/>
      <c r="CD623" s="526"/>
      <c r="CE623" s="526"/>
      <c r="CF623" s="526"/>
      <c r="CG623" s="526"/>
      <c r="CH623" s="526"/>
      <c r="CI623" s="526"/>
      <c r="CJ623" s="526"/>
      <c r="CK623" s="15"/>
    </row>
    <row r="624" spans="2:89" ht="87.75" hidden="1" customHeight="1">
      <c r="B624" s="22"/>
      <c r="C624" s="1639"/>
      <c r="D624" s="1639"/>
      <c r="E624" s="911"/>
      <c r="F624" s="911"/>
      <c r="G624" s="915"/>
      <c r="H624" s="1746"/>
      <c r="I624" s="330"/>
      <c r="J624" s="169">
        <v>2022</v>
      </c>
      <c r="K624" s="1417">
        <v>222019</v>
      </c>
      <c r="L624" s="1417"/>
      <c r="M624" s="170" t="s">
        <v>166</v>
      </c>
      <c r="N624" s="178" t="s">
        <v>4331</v>
      </c>
      <c r="O624" s="790" t="s">
        <v>251</v>
      </c>
      <c r="P624" s="1191" t="s">
        <v>68</v>
      </c>
      <c r="Q624" s="1191"/>
      <c r="R624" s="594"/>
      <c r="S624" s="590"/>
      <c r="T624" s="176"/>
      <c r="U624" s="177"/>
      <c r="V624" s="105" t="s">
        <v>68</v>
      </c>
      <c r="W624" s="1042" t="s">
        <v>68</v>
      </c>
      <c r="X624" s="920"/>
      <c r="Y624" s="200" t="s">
        <v>68</v>
      </c>
      <c r="Z624" s="368" t="s">
        <v>68</v>
      </c>
      <c r="AA624" s="255"/>
      <c r="AB624" s="8"/>
      <c r="AC624" s="4"/>
      <c r="AD624" s="4"/>
      <c r="AE624" s="32"/>
      <c r="AF624" s="582" t="s">
        <v>68</v>
      </c>
      <c r="AG624" s="583" t="s">
        <v>68</v>
      </c>
      <c r="AH624" s="583" t="s">
        <v>68</v>
      </c>
      <c r="AI624" s="584" t="s">
        <v>68</v>
      </c>
      <c r="AJ624" s="581" t="s">
        <v>68</v>
      </c>
      <c r="AK624" s="33" t="s">
        <v>68</v>
      </c>
      <c r="AL624" s="1" t="s">
        <v>68</v>
      </c>
      <c r="AM624" s="5"/>
      <c r="AN624" s="1" t="s">
        <v>68</v>
      </c>
      <c r="AO624" s="5"/>
      <c r="AP624" s="1" t="s">
        <v>68</v>
      </c>
      <c r="AQ624" s="5"/>
      <c r="AR624" s="279">
        <v>0</v>
      </c>
      <c r="AS624" s="35">
        <v>0</v>
      </c>
      <c r="AT624" s="902"/>
      <c r="AU624" s="891"/>
      <c r="AV624" s="350" t="s">
        <v>68</v>
      </c>
      <c r="AW624" s="11"/>
      <c r="AX624" s="223" t="s">
        <v>68</v>
      </c>
      <c r="AY624" s="52" t="s">
        <v>68</v>
      </c>
      <c r="AZ624" s="350" t="s">
        <v>68</v>
      </c>
      <c r="BA624" s="5"/>
      <c r="BB624" s="5"/>
      <c r="BC624" s="11"/>
      <c r="BD624" s="66" t="s">
        <v>74</v>
      </c>
      <c r="BE624" s="1423"/>
      <c r="BF624" s="5"/>
      <c r="BG624" s="5"/>
      <c r="BH624" s="5"/>
      <c r="BI624" s="36"/>
      <c r="BJ624" s="1546" t="s">
        <v>68</v>
      </c>
      <c r="BK624" s="1826"/>
      <c r="BL624" s="694" t="s">
        <v>68</v>
      </c>
      <c r="BM624" s="695" t="s">
        <v>68</v>
      </c>
      <c r="BN624" s="695" t="s">
        <v>68</v>
      </c>
      <c r="BO624" s="696" t="s">
        <v>68</v>
      </c>
      <c r="BP624" s="696" t="s">
        <v>68</v>
      </c>
      <c r="BQ624" s="696" t="s">
        <v>68</v>
      </c>
      <c r="BR624" s="914" t="s">
        <v>68</v>
      </c>
      <c r="BS624" s="696" t="s">
        <v>68</v>
      </c>
      <c r="BT624" s="696" t="s">
        <v>68</v>
      </c>
      <c r="BU624" s="696"/>
      <c r="BV624" s="694"/>
      <c r="BW624" s="13"/>
      <c r="BX624" s="158"/>
      <c r="BY624" s="13"/>
      <c r="BZ624" s="13"/>
      <c r="CA624" s="13"/>
      <c r="CB624" s="1222" t="s">
        <v>3944</v>
      </c>
      <c r="CC624" s="38"/>
      <c r="CD624" s="526"/>
      <c r="CE624" s="526"/>
      <c r="CF624" s="526"/>
      <c r="CG624" s="526"/>
      <c r="CH624" s="526"/>
      <c r="CI624" s="526"/>
      <c r="CJ624" s="526"/>
      <c r="CK624" s="15"/>
    </row>
    <row r="625" spans="2:89" ht="87.75" hidden="1" customHeight="1">
      <c r="B625" s="22"/>
      <c r="C625" s="1639"/>
      <c r="D625" s="1639"/>
      <c r="E625" s="911"/>
      <c r="F625" s="911"/>
      <c r="G625" s="915"/>
      <c r="H625" s="1746"/>
      <c r="I625" s="330"/>
      <c r="J625" s="169">
        <v>2022</v>
      </c>
      <c r="K625" s="1417">
        <v>222020</v>
      </c>
      <c r="L625" s="1417"/>
      <c r="M625" s="170" t="s">
        <v>166</v>
      </c>
      <c r="N625" s="178" t="s">
        <v>4332</v>
      </c>
      <c r="O625" s="790" t="s">
        <v>251</v>
      </c>
      <c r="P625" s="1191" t="s">
        <v>68</v>
      </c>
      <c r="Q625" s="1191"/>
      <c r="R625" s="594"/>
      <c r="S625" s="590"/>
      <c r="T625" s="176"/>
      <c r="U625" s="177"/>
      <c r="V625" s="105" t="s">
        <v>68</v>
      </c>
      <c r="W625" s="1042" t="s">
        <v>68</v>
      </c>
      <c r="X625" s="920"/>
      <c r="Y625" s="200" t="s">
        <v>68</v>
      </c>
      <c r="Z625" s="368" t="s">
        <v>68</v>
      </c>
      <c r="AA625" s="255"/>
      <c r="AB625" s="8"/>
      <c r="AC625" s="4"/>
      <c r="AD625" s="4"/>
      <c r="AE625" s="32"/>
      <c r="AF625" s="582" t="s">
        <v>68</v>
      </c>
      <c r="AG625" s="583" t="s">
        <v>68</v>
      </c>
      <c r="AH625" s="583" t="s">
        <v>68</v>
      </c>
      <c r="AI625" s="584" t="s">
        <v>68</v>
      </c>
      <c r="AJ625" s="581" t="s">
        <v>68</v>
      </c>
      <c r="AK625" s="33" t="s">
        <v>68</v>
      </c>
      <c r="AL625" s="1" t="s">
        <v>68</v>
      </c>
      <c r="AM625" s="5"/>
      <c r="AN625" s="1" t="s">
        <v>68</v>
      </c>
      <c r="AO625" s="5"/>
      <c r="AP625" s="1" t="s">
        <v>68</v>
      </c>
      <c r="AQ625" s="5"/>
      <c r="AR625" s="279">
        <v>0</v>
      </c>
      <c r="AS625" s="35">
        <v>0</v>
      </c>
      <c r="AT625" s="902"/>
      <c r="AU625" s="891"/>
      <c r="AV625" s="350" t="s">
        <v>68</v>
      </c>
      <c r="AW625" s="11"/>
      <c r="AX625" s="223" t="s">
        <v>68</v>
      </c>
      <c r="AY625" s="52" t="s">
        <v>68</v>
      </c>
      <c r="AZ625" s="350" t="s">
        <v>68</v>
      </c>
      <c r="BA625" s="5"/>
      <c r="BB625" s="5"/>
      <c r="BC625" s="11"/>
      <c r="BD625" s="66" t="s">
        <v>74</v>
      </c>
      <c r="BE625" s="1423"/>
      <c r="BF625" s="5"/>
      <c r="BG625" s="5"/>
      <c r="BH625" s="5"/>
      <c r="BI625" s="36"/>
      <c r="BJ625" s="1546" t="s">
        <v>68</v>
      </c>
      <c r="BK625" s="1827"/>
      <c r="BL625" s="1422"/>
      <c r="BM625" s="1007"/>
      <c r="BN625" s="1007"/>
      <c r="BO625" s="1043"/>
      <c r="BP625" s="1043"/>
      <c r="BQ625" s="1043"/>
      <c r="BR625" s="914"/>
      <c r="BS625" s="1043"/>
      <c r="BT625" s="1043"/>
      <c r="BU625" s="696"/>
      <c r="BV625" s="694"/>
      <c r="BW625" s="13"/>
      <c r="BX625" s="158"/>
      <c r="BY625" s="13"/>
      <c r="BZ625" s="13"/>
      <c r="CA625" s="13"/>
      <c r="CB625" s="1222" t="s">
        <v>3944</v>
      </c>
      <c r="CC625" s="38"/>
      <c r="CD625" s="526"/>
      <c r="CE625" s="526"/>
      <c r="CF625" s="526"/>
      <c r="CG625" s="526"/>
      <c r="CH625" s="526"/>
      <c r="CI625" s="526"/>
      <c r="CJ625" s="526"/>
      <c r="CK625" s="15"/>
    </row>
    <row r="626" spans="2:89" ht="119.25" hidden="1" customHeight="1">
      <c r="B626" s="22"/>
      <c r="C626" s="1639"/>
      <c r="D626" s="1639"/>
      <c r="E626" s="911"/>
      <c r="F626" s="911"/>
      <c r="G626" s="915"/>
      <c r="H626" s="1746"/>
      <c r="I626" s="330"/>
      <c r="J626" s="169">
        <v>2022</v>
      </c>
      <c r="K626" s="1417">
        <v>223001</v>
      </c>
      <c r="L626" s="1417"/>
      <c r="M626" s="170" t="s">
        <v>166</v>
      </c>
      <c r="N626" s="178" t="s">
        <v>4333</v>
      </c>
      <c r="O626" s="172" t="s">
        <v>46</v>
      </c>
      <c r="P626" s="173" t="s">
        <v>4377</v>
      </c>
      <c r="Q626" s="173" t="s">
        <v>2512</v>
      </c>
      <c r="R626" s="594">
        <f>1500*1.16</f>
        <v>1739.9999999999998</v>
      </c>
      <c r="S626" s="590">
        <v>44655</v>
      </c>
      <c r="T626" s="176">
        <v>44658</v>
      </c>
      <c r="U626" s="177">
        <v>44662</v>
      </c>
      <c r="V626" s="105" t="s">
        <v>68</v>
      </c>
      <c r="W626" s="178" t="s">
        <v>1319</v>
      </c>
      <c r="X626" s="170" t="s">
        <v>70</v>
      </c>
      <c r="Y626" s="200" t="s">
        <v>68</v>
      </c>
      <c r="Z626" s="368" t="s">
        <v>68</v>
      </c>
      <c r="AA626" s="33" t="s">
        <v>68</v>
      </c>
      <c r="AB626" s="8"/>
      <c r="AC626" s="4"/>
      <c r="AD626" s="4"/>
      <c r="AE626" s="32"/>
      <c r="AF626" s="582" t="s">
        <v>68</v>
      </c>
      <c r="AG626" s="583" t="s">
        <v>68</v>
      </c>
      <c r="AH626" s="583" t="s">
        <v>68</v>
      </c>
      <c r="AI626" s="584" t="s">
        <v>68</v>
      </c>
      <c r="AJ626" s="581" t="s">
        <v>68</v>
      </c>
      <c r="AK626" s="33" t="s">
        <v>68</v>
      </c>
      <c r="AL626" s="1" t="s">
        <v>68</v>
      </c>
      <c r="AM626" s="5"/>
      <c r="AN626" s="1" t="s">
        <v>68</v>
      </c>
      <c r="AO626" s="5"/>
      <c r="AP626" s="1" t="s">
        <v>68</v>
      </c>
      <c r="AQ626" s="5"/>
      <c r="AR626" s="279">
        <v>0</v>
      </c>
      <c r="AS626" s="35">
        <v>0</v>
      </c>
      <c r="AT626" s="902"/>
      <c r="AU626" s="891"/>
      <c r="AV626" s="350" t="s">
        <v>68</v>
      </c>
      <c r="AW626" s="11"/>
      <c r="AX626" s="223" t="s">
        <v>68</v>
      </c>
      <c r="AY626" s="52" t="s">
        <v>68</v>
      </c>
      <c r="AZ626" s="350" t="s">
        <v>68</v>
      </c>
      <c r="BA626" s="5"/>
      <c r="BB626" s="5"/>
      <c r="BC626" s="11"/>
      <c r="BD626" s="30" t="s">
        <v>68</v>
      </c>
      <c r="BE626" s="309" t="s">
        <v>68</v>
      </c>
      <c r="BF626" s="5"/>
      <c r="BG626" s="5"/>
      <c r="BH626" s="5"/>
      <c r="BI626" s="36"/>
      <c r="BJ626" s="1546" t="s">
        <v>68</v>
      </c>
      <c r="BK626" s="1827"/>
      <c r="BL626" s="1547" t="s">
        <v>68</v>
      </c>
      <c r="BM626" s="695" t="s">
        <v>68</v>
      </c>
      <c r="BN626" s="695" t="s">
        <v>68</v>
      </c>
      <c r="BO626" s="696" t="s">
        <v>68</v>
      </c>
      <c r="BP626" s="696" t="s">
        <v>68</v>
      </c>
      <c r="BQ626" s="696" t="s">
        <v>68</v>
      </c>
      <c r="BR626" s="914" t="s">
        <v>68</v>
      </c>
      <c r="BS626" s="696" t="s">
        <v>68</v>
      </c>
      <c r="BT626" s="696" t="s">
        <v>68</v>
      </c>
      <c r="BU626" s="696"/>
      <c r="BV626" s="694"/>
      <c r="BW626" s="13"/>
      <c r="BX626" s="158"/>
      <c r="BY626" s="13"/>
      <c r="BZ626" s="13"/>
      <c r="CA626" s="13"/>
      <c r="CB626" s="1222" t="s">
        <v>3944</v>
      </c>
      <c r="CC626" s="38" t="s">
        <v>4379</v>
      </c>
      <c r="CD626" s="526"/>
      <c r="CE626" s="526"/>
      <c r="CF626" s="526"/>
      <c r="CG626" s="526"/>
      <c r="CH626" s="526"/>
      <c r="CI626" s="526"/>
      <c r="CJ626" s="526"/>
      <c r="CK626" s="15"/>
    </row>
    <row r="627" spans="2:89" ht="106.5" hidden="1" customHeight="1">
      <c r="B627" s="22"/>
      <c r="C627" s="1639"/>
      <c r="D627" s="1639"/>
      <c r="E627" s="911"/>
      <c r="F627" s="911"/>
      <c r="G627" s="915"/>
      <c r="H627" s="1746"/>
      <c r="I627" s="330"/>
      <c r="J627" s="169">
        <v>2022</v>
      </c>
      <c r="K627" s="1417">
        <v>223002</v>
      </c>
      <c r="L627" s="1417"/>
      <c r="M627" s="170" t="s">
        <v>166</v>
      </c>
      <c r="N627" s="178" t="s">
        <v>4334</v>
      </c>
      <c r="O627" s="172" t="s">
        <v>46</v>
      </c>
      <c r="P627" s="173" t="s">
        <v>4378</v>
      </c>
      <c r="Q627" s="173" t="s">
        <v>2648</v>
      </c>
      <c r="R627" s="594">
        <f>550*1.16</f>
        <v>638</v>
      </c>
      <c r="S627" s="590">
        <v>44594</v>
      </c>
      <c r="T627" s="176" t="s">
        <v>68</v>
      </c>
      <c r="U627" s="177" t="s">
        <v>68</v>
      </c>
      <c r="V627" s="105" t="s">
        <v>68</v>
      </c>
      <c r="W627" s="178" t="s">
        <v>4362</v>
      </c>
      <c r="X627" s="170" t="s">
        <v>70</v>
      </c>
      <c r="Y627" s="200" t="s">
        <v>68</v>
      </c>
      <c r="Z627" s="368" t="s">
        <v>68</v>
      </c>
      <c r="AA627" s="33" t="s">
        <v>68</v>
      </c>
      <c r="AB627" s="8"/>
      <c r="AC627" s="4"/>
      <c r="AD627" s="4"/>
      <c r="AE627" s="32"/>
      <c r="AF627" s="582" t="s">
        <v>68</v>
      </c>
      <c r="AG627" s="583" t="s">
        <v>68</v>
      </c>
      <c r="AH627" s="583" t="s">
        <v>68</v>
      </c>
      <c r="AI627" s="584" t="s">
        <v>68</v>
      </c>
      <c r="AJ627" s="581" t="s">
        <v>68</v>
      </c>
      <c r="AK627" s="33" t="s">
        <v>68</v>
      </c>
      <c r="AL627" s="1" t="s">
        <v>68</v>
      </c>
      <c r="AM627" s="5"/>
      <c r="AN627" s="1" t="s">
        <v>68</v>
      </c>
      <c r="AO627" s="5"/>
      <c r="AP627" s="1" t="s">
        <v>68</v>
      </c>
      <c r="AQ627" s="5"/>
      <c r="AR627" s="279">
        <v>0</v>
      </c>
      <c r="AS627" s="35">
        <v>0</v>
      </c>
      <c r="AT627" s="902"/>
      <c r="AU627" s="891"/>
      <c r="AV627" s="350" t="s">
        <v>68</v>
      </c>
      <c r="AW627" s="11"/>
      <c r="AX627" s="223" t="s">
        <v>68</v>
      </c>
      <c r="AY627" s="52" t="s">
        <v>68</v>
      </c>
      <c r="AZ627" s="350" t="s">
        <v>68</v>
      </c>
      <c r="BA627" s="5"/>
      <c r="BB627" s="5"/>
      <c r="BC627" s="11"/>
      <c r="BD627" s="30" t="s">
        <v>68</v>
      </c>
      <c r="BE627" s="309" t="s">
        <v>68</v>
      </c>
      <c r="BF627" s="5"/>
      <c r="BG627" s="5"/>
      <c r="BH627" s="5"/>
      <c r="BI627" s="36"/>
      <c r="BJ627" s="1546" t="s">
        <v>68</v>
      </c>
      <c r="BK627" s="1827"/>
      <c r="BL627" s="1547" t="s">
        <v>68</v>
      </c>
      <c r="BM627" s="695" t="s">
        <v>68</v>
      </c>
      <c r="BN627" s="695" t="s">
        <v>68</v>
      </c>
      <c r="BO627" s="696" t="s">
        <v>68</v>
      </c>
      <c r="BP627" s="696" t="s">
        <v>68</v>
      </c>
      <c r="BQ627" s="696" t="s">
        <v>68</v>
      </c>
      <c r="BR627" s="914" t="s">
        <v>68</v>
      </c>
      <c r="BS627" s="696" t="s">
        <v>68</v>
      </c>
      <c r="BT627" s="696" t="s">
        <v>68</v>
      </c>
      <c r="BU627" s="696"/>
      <c r="BV627" s="694"/>
      <c r="BW627" s="13"/>
      <c r="BX627" s="158"/>
      <c r="BY627" s="13"/>
      <c r="BZ627" s="13"/>
      <c r="CA627" s="13"/>
      <c r="CB627" s="1222" t="s">
        <v>3944</v>
      </c>
      <c r="CC627" s="38" t="s">
        <v>4380</v>
      </c>
      <c r="CD627" s="526"/>
      <c r="CE627" s="526"/>
      <c r="CF627" s="526"/>
      <c r="CG627" s="526"/>
      <c r="CH627" s="526"/>
      <c r="CI627" s="526"/>
      <c r="CJ627" s="526"/>
      <c r="CK627" s="15"/>
    </row>
    <row r="628" spans="2:89" ht="114.75" hidden="1" customHeight="1">
      <c r="B628" s="22"/>
      <c r="C628" s="1639"/>
      <c r="D628" s="1639"/>
      <c r="E628" s="911"/>
      <c r="F628" s="911"/>
      <c r="G628" s="915"/>
      <c r="H628" s="1746"/>
      <c r="I628" s="330"/>
      <c r="J628" s="169">
        <v>2022</v>
      </c>
      <c r="K628" s="1417">
        <v>223003</v>
      </c>
      <c r="L628" s="1417"/>
      <c r="M628" s="170" t="s">
        <v>166</v>
      </c>
      <c r="N628" s="178" t="s">
        <v>4335</v>
      </c>
      <c r="O628" s="172" t="s">
        <v>46</v>
      </c>
      <c r="P628" s="173" t="s">
        <v>4377</v>
      </c>
      <c r="Q628" s="173" t="s">
        <v>2512</v>
      </c>
      <c r="R628" s="594">
        <f>1500*1.16</f>
        <v>1739.9999999999998</v>
      </c>
      <c r="S628" s="590">
        <v>44673</v>
      </c>
      <c r="T628" s="176">
        <v>44677</v>
      </c>
      <c r="U628" s="177">
        <v>44707</v>
      </c>
      <c r="V628" s="105" t="s">
        <v>68</v>
      </c>
      <c r="W628" s="178" t="s">
        <v>1319</v>
      </c>
      <c r="X628" s="170" t="s">
        <v>70</v>
      </c>
      <c r="Y628" s="200" t="s">
        <v>68</v>
      </c>
      <c r="Z628" s="368" t="s">
        <v>68</v>
      </c>
      <c r="AA628" s="33" t="s">
        <v>68</v>
      </c>
      <c r="AB628" s="8"/>
      <c r="AC628" s="4"/>
      <c r="AD628" s="4"/>
      <c r="AE628" s="32"/>
      <c r="AF628" s="582" t="s">
        <v>68</v>
      </c>
      <c r="AG628" s="583" t="s">
        <v>68</v>
      </c>
      <c r="AH628" s="583" t="s">
        <v>68</v>
      </c>
      <c r="AI628" s="584" t="s">
        <v>68</v>
      </c>
      <c r="AJ628" s="581" t="s">
        <v>68</v>
      </c>
      <c r="AK628" s="33" t="s">
        <v>68</v>
      </c>
      <c r="AL628" s="1" t="s">
        <v>68</v>
      </c>
      <c r="AM628" s="5"/>
      <c r="AN628" s="1" t="s">
        <v>68</v>
      </c>
      <c r="AO628" s="5"/>
      <c r="AP628" s="1" t="s">
        <v>68</v>
      </c>
      <c r="AQ628" s="5"/>
      <c r="AR628" s="279">
        <v>0</v>
      </c>
      <c r="AS628" s="35">
        <v>0</v>
      </c>
      <c r="AT628" s="902"/>
      <c r="AU628" s="891"/>
      <c r="AV628" s="350" t="s">
        <v>68</v>
      </c>
      <c r="AW628" s="11"/>
      <c r="AX628" s="223" t="s">
        <v>68</v>
      </c>
      <c r="AY628" s="52" t="s">
        <v>68</v>
      </c>
      <c r="AZ628" s="350" t="s">
        <v>68</v>
      </c>
      <c r="BA628" s="5"/>
      <c r="BB628" s="5"/>
      <c r="BC628" s="11"/>
      <c r="BD628" s="30" t="s">
        <v>68</v>
      </c>
      <c r="BE628" s="309" t="s">
        <v>68</v>
      </c>
      <c r="BF628" s="5"/>
      <c r="BG628" s="5"/>
      <c r="BH628" s="5"/>
      <c r="BI628" s="36"/>
      <c r="BJ628" s="1546" t="s">
        <v>68</v>
      </c>
      <c r="BK628" s="1827"/>
      <c r="BL628" s="1547" t="s">
        <v>68</v>
      </c>
      <c r="BM628" s="695" t="s">
        <v>68</v>
      </c>
      <c r="BN628" s="695" t="s">
        <v>68</v>
      </c>
      <c r="BO628" s="696" t="s">
        <v>68</v>
      </c>
      <c r="BP628" s="696" t="s">
        <v>68</v>
      </c>
      <c r="BQ628" s="696" t="s">
        <v>68</v>
      </c>
      <c r="BR628" s="914" t="s">
        <v>68</v>
      </c>
      <c r="BS628" s="696" t="s">
        <v>68</v>
      </c>
      <c r="BT628" s="696" t="s">
        <v>68</v>
      </c>
      <c r="BU628" s="696"/>
      <c r="BV628" s="694"/>
      <c r="BW628" s="13"/>
      <c r="BX628" s="158"/>
      <c r="BY628" s="13"/>
      <c r="BZ628" s="13"/>
      <c r="CA628" s="13"/>
      <c r="CB628" s="1222" t="s">
        <v>3944</v>
      </c>
      <c r="CC628" s="38"/>
      <c r="CD628" s="526"/>
      <c r="CE628" s="526"/>
      <c r="CF628" s="526"/>
      <c r="CG628" s="526"/>
      <c r="CH628" s="526"/>
      <c r="CI628" s="526"/>
      <c r="CJ628" s="526"/>
      <c r="CK628" s="15"/>
    </row>
    <row r="629" spans="2:89" ht="111" hidden="1" customHeight="1">
      <c r="B629" s="22"/>
      <c r="C629" s="1639"/>
      <c r="D629" s="1639"/>
      <c r="E629" s="911"/>
      <c r="F629" s="911"/>
      <c r="G629" s="915"/>
      <c r="H629" s="1746"/>
      <c r="I629" s="330"/>
      <c r="J629" s="169">
        <v>2022</v>
      </c>
      <c r="K629" s="1417">
        <v>223004</v>
      </c>
      <c r="L629" s="1417"/>
      <c r="M629" s="170" t="s">
        <v>166</v>
      </c>
      <c r="N629" s="178" t="s">
        <v>4336</v>
      </c>
      <c r="O629" s="172" t="s">
        <v>46</v>
      </c>
      <c r="P629" s="173" t="s">
        <v>4832</v>
      </c>
      <c r="Q629" s="173" t="s">
        <v>2512</v>
      </c>
      <c r="R629" s="594">
        <f>986.97*1.16</f>
        <v>1144.8851999999999</v>
      </c>
      <c r="S629" s="590">
        <v>44594</v>
      </c>
      <c r="T629" s="176" t="s">
        <v>68</v>
      </c>
      <c r="U629" s="177" t="s">
        <v>68</v>
      </c>
      <c r="V629" s="105" t="s">
        <v>68</v>
      </c>
      <c r="W629" s="178" t="s">
        <v>739</v>
      </c>
      <c r="X629" s="170" t="s">
        <v>70</v>
      </c>
      <c r="Y629" s="200" t="s">
        <v>68</v>
      </c>
      <c r="Z629" s="368" t="s">
        <v>68</v>
      </c>
      <c r="AA629" s="33" t="s">
        <v>68</v>
      </c>
      <c r="AB629" s="8"/>
      <c r="AC629" s="4"/>
      <c r="AD629" s="4"/>
      <c r="AE629" s="32"/>
      <c r="AF629" s="582" t="s">
        <v>68</v>
      </c>
      <c r="AG629" s="583" t="s">
        <v>68</v>
      </c>
      <c r="AH629" s="583" t="s">
        <v>68</v>
      </c>
      <c r="AI629" s="584" t="s">
        <v>68</v>
      </c>
      <c r="AJ629" s="581" t="s">
        <v>68</v>
      </c>
      <c r="AK629" s="33" t="s">
        <v>68</v>
      </c>
      <c r="AL629" s="1" t="s">
        <v>68</v>
      </c>
      <c r="AM629" s="5"/>
      <c r="AN629" s="1" t="s">
        <v>68</v>
      </c>
      <c r="AO629" s="5"/>
      <c r="AP629" s="1" t="s">
        <v>68</v>
      </c>
      <c r="AQ629" s="5"/>
      <c r="AR629" s="279">
        <v>0</v>
      </c>
      <c r="AS629" s="35">
        <v>0</v>
      </c>
      <c r="AT629" s="902"/>
      <c r="AU629" s="891"/>
      <c r="AV629" s="350" t="s">
        <v>68</v>
      </c>
      <c r="AW629" s="11"/>
      <c r="AX629" s="223" t="s">
        <v>68</v>
      </c>
      <c r="AY629" s="52" t="s">
        <v>68</v>
      </c>
      <c r="AZ629" s="350" t="s">
        <v>68</v>
      </c>
      <c r="BA629" s="5"/>
      <c r="BB629" s="5"/>
      <c r="BC629" s="11"/>
      <c r="BD629" s="30" t="s">
        <v>68</v>
      </c>
      <c r="BE629" s="309" t="s">
        <v>68</v>
      </c>
      <c r="BF629" s="5"/>
      <c r="BG629" s="5"/>
      <c r="BH629" s="5"/>
      <c r="BI629" s="36"/>
      <c r="BJ629" s="1546" t="s">
        <v>68</v>
      </c>
      <c r="BK629" s="1827"/>
      <c r="BL629" s="1547" t="s">
        <v>68</v>
      </c>
      <c r="BM629" s="695" t="s">
        <v>68</v>
      </c>
      <c r="BN629" s="695" t="s">
        <v>68</v>
      </c>
      <c r="BO629" s="696" t="s">
        <v>68</v>
      </c>
      <c r="BP629" s="696" t="s">
        <v>68</v>
      </c>
      <c r="BQ629" s="696" t="s">
        <v>68</v>
      </c>
      <c r="BR629" s="914" t="s">
        <v>68</v>
      </c>
      <c r="BS629" s="696" t="s">
        <v>68</v>
      </c>
      <c r="BT629" s="696" t="s">
        <v>68</v>
      </c>
      <c r="BU629" s="696"/>
      <c r="BV629" s="694"/>
      <c r="BW629" s="13"/>
      <c r="BX629" s="158"/>
      <c r="BY629" s="13"/>
      <c r="BZ629" s="13"/>
      <c r="CA629" s="13"/>
      <c r="CB629" s="1222" t="s">
        <v>3944</v>
      </c>
      <c r="CC629" s="38"/>
      <c r="CD629" s="526"/>
      <c r="CE629" s="526"/>
      <c r="CF629" s="526"/>
      <c r="CG629" s="526"/>
      <c r="CH629" s="526"/>
      <c r="CI629" s="526"/>
      <c r="CJ629" s="526"/>
      <c r="CK629" s="15"/>
    </row>
    <row r="630" spans="2:89" ht="105.75" hidden="1" customHeight="1">
      <c r="B630" s="22"/>
      <c r="C630" s="1639"/>
      <c r="D630" s="1639"/>
      <c r="E630" s="911"/>
      <c r="F630" s="911"/>
      <c r="G630" s="915"/>
      <c r="H630" s="1746"/>
      <c r="I630" s="330"/>
      <c r="J630" s="169">
        <v>2022</v>
      </c>
      <c r="K630" s="1417">
        <v>223005</v>
      </c>
      <c r="L630" s="1417"/>
      <c r="M630" s="170" t="s">
        <v>166</v>
      </c>
      <c r="N630" s="178" t="s">
        <v>4337</v>
      </c>
      <c r="O630" s="172" t="s">
        <v>46</v>
      </c>
      <c r="P630" s="173" t="s">
        <v>4833</v>
      </c>
      <c r="Q630" s="173" t="s">
        <v>2512</v>
      </c>
      <c r="R630" s="594">
        <f>1595.59*1.16</f>
        <v>1850.8843999999997</v>
      </c>
      <c r="S630" s="590">
        <v>44641</v>
      </c>
      <c r="T630" s="176" t="s">
        <v>68</v>
      </c>
      <c r="U630" s="177" t="s">
        <v>68</v>
      </c>
      <c r="V630" s="105" t="s">
        <v>68</v>
      </c>
      <c r="W630" s="178" t="s">
        <v>739</v>
      </c>
      <c r="X630" s="170" t="s">
        <v>70</v>
      </c>
      <c r="Y630" s="200" t="s">
        <v>68</v>
      </c>
      <c r="Z630" s="368" t="s">
        <v>68</v>
      </c>
      <c r="AA630" s="33" t="s">
        <v>68</v>
      </c>
      <c r="AB630" s="8"/>
      <c r="AC630" s="4"/>
      <c r="AD630" s="4"/>
      <c r="AE630" s="32"/>
      <c r="AF630" s="582" t="s">
        <v>68</v>
      </c>
      <c r="AG630" s="583" t="s">
        <v>68</v>
      </c>
      <c r="AH630" s="583" t="s">
        <v>68</v>
      </c>
      <c r="AI630" s="584" t="s">
        <v>68</v>
      </c>
      <c r="AJ630" s="581" t="s">
        <v>68</v>
      </c>
      <c r="AK630" s="33" t="s">
        <v>68</v>
      </c>
      <c r="AL630" s="1" t="s">
        <v>68</v>
      </c>
      <c r="AM630" s="5"/>
      <c r="AN630" s="1" t="s">
        <v>68</v>
      </c>
      <c r="AO630" s="5"/>
      <c r="AP630" s="1" t="s">
        <v>68</v>
      </c>
      <c r="AQ630" s="5"/>
      <c r="AR630" s="279">
        <v>0</v>
      </c>
      <c r="AS630" s="35">
        <v>0</v>
      </c>
      <c r="AT630" s="902"/>
      <c r="AU630" s="891"/>
      <c r="AV630" s="350" t="s">
        <v>68</v>
      </c>
      <c r="AW630" s="11"/>
      <c r="AX630" s="223" t="s">
        <v>68</v>
      </c>
      <c r="AY630" s="52" t="s">
        <v>68</v>
      </c>
      <c r="AZ630" s="350" t="s">
        <v>68</v>
      </c>
      <c r="BA630" s="5"/>
      <c r="BB630" s="5"/>
      <c r="BC630" s="11"/>
      <c r="BD630" s="30" t="s">
        <v>68</v>
      </c>
      <c r="BE630" s="309" t="s">
        <v>68</v>
      </c>
      <c r="BF630" s="5"/>
      <c r="BG630" s="5"/>
      <c r="BH630" s="5"/>
      <c r="BI630" s="36"/>
      <c r="BJ630" s="1546" t="s">
        <v>68</v>
      </c>
      <c r="BK630" s="1827"/>
      <c r="BL630" s="1547" t="s">
        <v>68</v>
      </c>
      <c r="BM630" s="695" t="s">
        <v>68</v>
      </c>
      <c r="BN630" s="695" t="s">
        <v>68</v>
      </c>
      <c r="BO630" s="696" t="s">
        <v>68</v>
      </c>
      <c r="BP630" s="696" t="s">
        <v>68</v>
      </c>
      <c r="BQ630" s="696" t="s">
        <v>68</v>
      </c>
      <c r="BR630" s="914" t="s">
        <v>68</v>
      </c>
      <c r="BS630" s="696" t="s">
        <v>68</v>
      </c>
      <c r="BT630" s="696" t="s">
        <v>68</v>
      </c>
      <c r="BU630" s="696"/>
      <c r="BV630" s="694"/>
      <c r="BW630" s="13"/>
      <c r="BX630" s="158"/>
      <c r="BY630" s="13"/>
      <c r="BZ630" s="13"/>
      <c r="CA630" s="13"/>
      <c r="CB630" s="1222" t="s">
        <v>3944</v>
      </c>
      <c r="CC630" s="38"/>
      <c r="CD630" s="526"/>
      <c r="CE630" s="526"/>
      <c r="CF630" s="526"/>
      <c r="CG630" s="526"/>
      <c r="CH630" s="526"/>
      <c r="CI630" s="526"/>
      <c r="CJ630" s="526"/>
      <c r="CK630" s="15"/>
    </row>
    <row r="631" spans="2:89" ht="131.25" hidden="1" customHeight="1">
      <c r="B631" s="22"/>
      <c r="C631" s="1639"/>
      <c r="D631" s="1639"/>
      <c r="E631" s="911"/>
      <c r="F631" s="911"/>
      <c r="G631" s="915"/>
      <c r="H631" s="1746"/>
      <c r="I631" s="330"/>
      <c r="J631" s="169">
        <v>2022</v>
      </c>
      <c r="K631" s="1417">
        <v>223006</v>
      </c>
      <c r="L631" s="1417"/>
      <c r="M631" s="170" t="s">
        <v>166</v>
      </c>
      <c r="N631" s="178" t="s">
        <v>4338</v>
      </c>
      <c r="O631" s="172" t="s">
        <v>46</v>
      </c>
      <c r="P631" s="173" t="s">
        <v>4834</v>
      </c>
      <c r="Q631" s="173" t="s">
        <v>2577</v>
      </c>
      <c r="R631" s="594">
        <f>736.85*1.16</f>
        <v>854.74599999999998</v>
      </c>
      <c r="S631" s="590">
        <v>44642</v>
      </c>
      <c r="T631" s="176">
        <v>44642</v>
      </c>
      <c r="U631" s="177">
        <v>44926</v>
      </c>
      <c r="V631" s="105" t="s">
        <v>68</v>
      </c>
      <c r="W631" s="178" t="s">
        <v>739</v>
      </c>
      <c r="X631" s="170" t="s">
        <v>70</v>
      </c>
      <c r="Y631" s="200" t="s">
        <v>68</v>
      </c>
      <c r="Z631" s="368" t="s">
        <v>68</v>
      </c>
      <c r="AA631" s="33" t="s">
        <v>68</v>
      </c>
      <c r="AB631" s="8"/>
      <c r="AC631" s="4"/>
      <c r="AD631" s="4"/>
      <c r="AE631" s="32"/>
      <c r="AF631" s="582" t="s">
        <v>68</v>
      </c>
      <c r="AG631" s="583" t="s">
        <v>68</v>
      </c>
      <c r="AH631" s="583" t="s">
        <v>68</v>
      </c>
      <c r="AI631" s="584" t="s">
        <v>68</v>
      </c>
      <c r="AJ631" s="581" t="s">
        <v>68</v>
      </c>
      <c r="AK631" s="33" t="s">
        <v>68</v>
      </c>
      <c r="AL631" s="1" t="s">
        <v>68</v>
      </c>
      <c r="AM631" s="5"/>
      <c r="AN631" s="1" t="s">
        <v>68</v>
      </c>
      <c r="AO631" s="5"/>
      <c r="AP631" s="1" t="s">
        <v>68</v>
      </c>
      <c r="AQ631" s="5"/>
      <c r="AR631" s="279">
        <v>0</v>
      </c>
      <c r="AS631" s="35">
        <v>0</v>
      </c>
      <c r="AT631" s="902"/>
      <c r="AU631" s="891"/>
      <c r="AV631" s="350" t="s">
        <v>68</v>
      </c>
      <c r="AW631" s="11"/>
      <c r="AX631" s="223" t="s">
        <v>68</v>
      </c>
      <c r="AY631" s="52" t="s">
        <v>68</v>
      </c>
      <c r="AZ631" s="350" t="s">
        <v>68</v>
      </c>
      <c r="BA631" s="5"/>
      <c r="BB631" s="5"/>
      <c r="BC631" s="11"/>
      <c r="BD631" s="30" t="s">
        <v>68</v>
      </c>
      <c r="BE631" s="309" t="s">
        <v>68</v>
      </c>
      <c r="BF631" s="5"/>
      <c r="BG631" s="5"/>
      <c r="BH631" s="5"/>
      <c r="BI631" s="36"/>
      <c r="BJ631" s="1546" t="s">
        <v>68</v>
      </c>
      <c r="BK631" s="1827"/>
      <c r="BL631" s="1547" t="s">
        <v>68</v>
      </c>
      <c r="BM631" s="695" t="s">
        <v>68</v>
      </c>
      <c r="BN631" s="695" t="s">
        <v>68</v>
      </c>
      <c r="BO631" s="696" t="s">
        <v>68</v>
      </c>
      <c r="BP631" s="696" t="s">
        <v>68</v>
      </c>
      <c r="BQ631" s="696" t="s">
        <v>68</v>
      </c>
      <c r="BR631" s="914" t="s">
        <v>68</v>
      </c>
      <c r="BS631" s="696" t="s">
        <v>68</v>
      </c>
      <c r="BT631" s="696" t="s">
        <v>68</v>
      </c>
      <c r="BU631" s="696"/>
      <c r="BV631" s="694"/>
      <c r="BW631" s="13"/>
      <c r="BX631" s="158"/>
      <c r="BY631" s="13"/>
      <c r="BZ631" s="13"/>
      <c r="CA631" s="13"/>
      <c r="CB631" s="1222" t="s">
        <v>3944</v>
      </c>
      <c r="CC631" s="38"/>
      <c r="CD631" s="526"/>
      <c r="CE631" s="526"/>
      <c r="CF631" s="526"/>
      <c r="CG631" s="526"/>
      <c r="CH631" s="526"/>
      <c r="CI631" s="526"/>
      <c r="CJ631" s="526"/>
      <c r="CK631" s="15"/>
    </row>
    <row r="632" spans="2:89" ht="138" hidden="1" customHeight="1">
      <c r="B632" s="22"/>
      <c r="C632" s="1639"/>
      <c r="D632" s="1639"/>
      <c r="E632" s="911"/>
      <c r="F632" s="911"/>
      <c r="G632" s="915"/>
      <c r="H632" s="1746"/>
      <c r="I632" s="330"/>
      <c r="J632" s="169">
        <v>2022</v>
      </c>
      <c r="K632" s="1417">
        <v>223007</v>
      </c>
      <c r="L632" s="1417"/>
      <c r="M632" s="170" t="s">
        <v>166</v>
      </c>
      <c r="N632" s="178" t="s">
        <v>4339</v>
      </c>
      <c r="O632" s="172" t="s">
        <v>46</v>
      </c>
      <c r="P632" s="173" t="s">
        <v>4835</v>
      </c>
      <c r="Q632" s="173" t="s">
        <v>2577</v>
      </c>
      <c r="R632" s="594">
        <f>705.4*1.16</f>
        <v>818.2639999999999</v>
      </c>
      <c r="S632" s="590">
        <v>44648</v>
      </c>
      <c r="T632" s="176">
        <v>44648</v>
      </c>
      <c r="U632" s="177">
        <v>44926</v>
      </c>
      <c r="V632" s="105" t="s">
        <v>68</v>
      </c>
      <c r="W632" s="178" t="s">
        <v>739</v>
      </c>
      <c r="X632" s="170" t="s">
        <v>70</v>
      </c>
      <c r="Y632" s="200" t="s">
        <v>68</v>
      </c>
      <c r="Z632" s="368" t="s">
        <v>68</v>
      </c>
      <c r="AA632" s="33" t="s">
        <v>68</v>
      </c>
      <c r="AB632" s="8"/>
      <c r="AC632" s="4"/>
      <c r="AD632" s="4"/>
      <c r="AE632" s="32"/>
      <c r="AF632" s="582" t="s">
        <v>68</v>
      </c>
      <c r="AG632" s="583" t="s">
        <v>68</v>
      </c>
      <c r="AH632" s="583" t="s">
        <v>68</v>
      </c>
      <c r="AI632" s="584" t="s">
        <v>68</v>
      </c>
      <c r="AJ632" s="581" t="s">
        <v>68</v>
      </c>
      <c r="AK632" s="33" t="s">
        <v>68</v>
      </c>
      <c r="AL632" s="1" t="s">
        <v>68</v>
      </c>
      <c r="AM632" s="5"/>
      <c r="AN632" s="1" t="s">
        <v>68</v>
      </c>
      <c r="AO632" s="5"/>
      <c r="AP632" s="1" t="s">
        <v>68</v>
      </c>
      <c r="AQ632" s="5"/>
      <c r="AR632" s="279">
        <v>0</v>
      </c>
      <c r="AS632" s="35">
        <v>0</v>
      </c>
      <c r="AT632" s="902"/>
      <c r="AU632" s="891"/>
      <c r="AV632" s="350" t="s">
        <v>68</v>
      </c>
      <c r="AW632" s="11"/>
      <c r="AX632" s="223" t="s">
        <v>68</v>
      </c>
      <c r="AY632" s="52" t="s">
        <v>68</v>
      </c>
      <c r="AZ632" s="350" t="s">
        <v>68</v>
      </c>
      <c r="BA632" s="5"/>
      <c r="BB632" s="5"/>
      <c r="BC632" s="11"/>
      <c r="BD632" s="30" t="s">
        <v>68</v>
      </c>
      <c r="BE632" s="309" t="s">
        <v>68</v>
      </c>
      <c r="BF632" s="5"/>
      <c r="BG632" s="5"/>
      <c r="BH632" s="5"/>
      <c r="BI632" s="36"/>
      <c r="BJ632" s="1546" t="s">
        <v>68</v>
      </c>
      <c r="BK632" s="1827"/>
      <c r="BL632" s="1547" t="s">
        <v>68</v>
      </c>
      <c r="BM632" s="695" t="s">
        <v>68</v>
      </c>
      <c r="BN632" s="695" t="s">
        <v>68</v>
      </c>
      <c r="BO632" s="696" t="s">
        <v>68</v>
      </c>
      <c r="BP632" s="696" t="s">
        <v>68</v>
      </c>
      <c r="BQ632" s="696" t="s">
        <v>68</v>
      </c>
      <c r="BR632" s="914" t="s">
        <v>68</v>
      </c>
      <c r="BS632" s="696" t="s">
        <v>68</v>
      </c>
      <c r="BT632" s="696" t="s">
        <v>68</v>
      </c>
      <c r="BU632" s="696"/>
      <c r="BV632" s="694"/>
      <c r="BW632" s="13"/>
      <c r="BX632" s="158"/>
      <c r="BY632" s="13"/>
      <c r="BZ632" s="13"/>
      <c r="CA632" s="13"/>
      <c r="CB632" s="1222" t="s">
        <v>3944</v>
      </c>
      <c r="CC632" s="38"/>
      <c r="CD632" s="526"/>
      <c r="CE632" s="526"/>
      <c r="CF632" s="526"/>
      <c r="CG632" s="526"/>
      <c r="CH632" s="526"/>
      <c r="CI632" s="526"/>
      <c r="CJ632" s="526"/>
      <c r="CK632" s="15"/>
    </row>
    <row r="633" spans="2:89" ht="135.75" hidden="1" customHeight="1">
      <c r="B633" s="22"/>
      <c r="C633" s="1639"/>
      <c r="D633" s="1639"/>
      <c r="E633" s="911"/>
      <c r="F633" s="911"/>
      <c r="G633" s="915"/>
      <c r="H633" s="1746"/>
      <c r="I633" s="330"/>
      <c r="J633" s="169">
        <v>2022</v>
      </c>
      <c r="K633" s="1417">
        <v>223008</v>
      </c>
      <c r="L633" s="1417"/>
      <c r="M633" s="170" t="s">
        <v>166</v>
      </c>
      <c r="N633" s="178" t="s">
        <v>4340</v>
      </c>
      <c r="O633" s="172" t="s">
        <v>46</v>
      </c>
      <c r="P633" s="173" t="s">
        <v>4836</v>
      </c>
      <c r="Q633" s="173" t="s">
        <v>2577</v>
      </c>
      <c r="R633" s="594">
        <f>324.58*1.16</f>
        <v>376.51279999999997</v>
      </c>
      <c r="S633" s="590">
        <v>44642</v>
      </c>
      <c r="T633" s="176">
        <v>44642</v>
      </c>
      <c r="U633" s="177">
        <v>44926</v>
      </c>
      <c r="V633" s="105" t="s">
        <v>68</v>
      </c>
      <c r="W633" s="178" t="s">
        <v>739</v>
      </c>
      <c r="X633" s="170" t="s">
        <v>70</v>
      </c>
      <c r="Y633" s="200" t="s">
        <v>68</v>
      </c>
      <c r="Z633" s="368" t="s">
        <v>68</v>
      </c>
      <c r="AA633" s="33" t="s">
        <v>68</v>
      </c>
      <c r="AB633" s="8"/>
      <c r="AC633" s="4"/>
      <c r="AD633" s="4"/>
      <c r="AE633" s="32"/>
      <c r="AF633" s="582" t="s">
        <v>68</v>
      </c>
      <c r="AG633" s="583" t="s">
        <v>68</v>
      </c>
      <c r="AH633" s="583" t="s">
        <v>68</v>
      </c>
      <c r="AI633" s="584" t="s">
        <v>68</v>
      </c>
      <c r="AJ633" s="581" t="s">
        <v>68</v>
      </c>
      <c r="AK633" s="33" t="s">
        <v>68</v>
      </c>
      <c r="AL633" s="1" t="s">
        <v>68</v>
      </c>
      <c r="AM633" s="5"/>
      <c r="AN633" s="1" t="s">
        <v>68</v>
      </c>
      <c r="AO633" s="5"/>
      <c r="AP633" s="1" t="s">
        <v>68</v>
      </c>
      <c r="AQ633" s="5"/>
      <c r="AR633" s="279">
        <v>0</v>
      </c>
      <c r="AS633" s="35">
        <v>0</v>
      </c>
      <c r="AT633" s="902"/>
      <c r="AU633" s="891"/>
      <c r="AV633" s="350" t="s">
        <v>68</v>
      </c>
      <c r="AW633" s="11"/>
      <c r="AX633" s="223" t="s">
        <v>68</v>
      </c>
      <c r="AY633" s="52" t="s">
        <v>68</v>
      </c>
      <c r="AZ633" s="350" t="s">
        <v>68</v>
      </c>
      <c r="BA633" s="5"/>
      <c r="BB633" s="5"/>
      <c r="BC633" s="11"/>
      <c r="BD633" s="30" t="s">
        <v>68</v>
      </c>
      <c r="BE633" s="309" t="s">
        <v>68</v>
      </c>
      <c r="BF633" s="5"/>
      <c r="BG633" s="5"/>
      <c r="BH633" s="5"/>
      <c r="BI633" s="36"/>
      <c r="BJ633" s="1546" t="s">
        <v>68</v>
      </c>
      <c r="BK633" s="1827"/>
      <c r="BL633" s="1547" t="s">
        <v>68</v>
      </c>
      <c r="BM633" s="695" t="s">
        <v>68</v>
      </c>
      <c r="BN633" s="695" t="s">
        <v>68</v>
      </c>
      <c r="BO633" s="696" t="s">
        <v>68</v>
      </c>
      <c r="BP633" s="696" t="s">
        <v>68</v>
      </c>
      <c r="BQ633" s="696" t="s">
        <v>68</v>
      </c>
      <c r="BR633" s="914" t="s">
        <v>68</v>
      </c>
      <c r="BS633" s="696" t="s">
        <v>68</v>
      </c>
      <c r="BT633" s="696" t="s">
        <v>68</v>
      </c>
      <c r="BU633" s="696"/>
      <c r="BV633" s="694"/>
      <c r="BW633" s="13"/>
      <c r="BX633" s="158"/>
      <c r="BY633" s="13"/>
      <c r="BZ633" s="13"/>
      <c r="CA633" s="13"/>
      <c r="CB633" s="1222" t="s">
        <v>3944</v>
      </c>
      <c r="CC633" s="38"/>
      <c r="CD633" s="526"/>
      <c r="CE633" s="526"/>
      <c r="CF633" s="526"/>
      <c r="CG633" s="526"/>
      <c r="CH633" s="526"/>
      <c r="CI633" s="526"/>
      <c r="CJ633" s="526"/>
      <c r="CK633" s="15"/>
    </row>
    <row r="634" spans="2:89" ht="87.75" hidden="1" customHeight="1">
      <c r="B634" s="22"/>
      <c r="C634" s="1639"/>
      <c r="D634" s="1639"/>
      <c r="E634" s="911"/>
      <c r="F634" s="911"/>
      <c r="G634" s="915"/>
      <c r="H634" s="1746"/>
      <c r="I634" s="330"/>
      <c r="J634" s="169">
        <v>2022</v>
      </c>
      <c r="K634" s="1417">
        <v>223009</v>
      </c>
      <c r="L634" s="1417"/>
      <c r="M634" s="170"/>
      <c r="N634" s="178" t="s">
        <v>4341</v>
      </c>
      <c r="O634" s="790" t="s">
        <v>251</v>
      </c>
      <c r="P634" s="1191" t="s">
        <v>68</v>
      </c>
      <c r="Q634" s="1191"/>
      <c r="R634" s="174"/>
      <c r="S634" s="1193"/>
      <c r="T634" s="176"/>
      <c r="U634" s="177"/>
      <c r="V634" s="105" t="s">
        <v>68</v>
      </c>
      <c r="W634" s="1042" t="s">
        <v>68</v>
      </c>
      <c r="X634" s="920"/>
      <c r="Y634" s="200" t="s">
        <v>68</v>
      </c>
      <c r="Z634" s="368" t="s">
        <v>68</v>
      </c>
      <c r="AA634" s="33" t="s">
        <v>68</v>
      </c>
      <c r="AB634" s="8"/>
      <c r="AC634" s="4"/>
      <c r="AD634" s="4"/>
      <c r="AE634" s="32"/>
      <c r="AF634" s="582" t="s">
        <v>68</v>
      </c>
      <c r="AG634" s="583" t="s">
        <v>68</v>
      </c>
      <c r="AH634" s="583" t="s">
        <v>68</v>
      </c>
      <c r="AI634" s="584" t="s">
        <v>68</v>
      </c>
      <c r="AJ634" s="581" t="s">
        <v>68</v>
      </c>
      <c r="AK634" s="33" t="s">
        <v>68</v>
      </c>
      <c r="AL634" s="1" t="s">
        <v>68</v>
      </c>
      <c r="AM634" s="5"/>
      <c r="AN634" s="1" t="s">
        <v>68</v>
      </c>
      <c r="AO634" s="5"/>
      <c r="AP634" s="1" t="s">
        <v>68</v>
      </c>
      <c r="AQ634" s="5"/>
      <c r="AR634" s="279">
        <v>0</v>
      </c>
      <c r="AS634" s="35">
        <v>0</v>
      </c>
      <c r="AT634" s="902"/>
      <c r="AU634" s="891"/>
      <c r="AV634" s="350" t="s">
        <v>68</v>
      </c>
      <c r="AW634" s="11"/>
      <c r="AX634" s="223" t="s">
        <v>68</v>
      </c>
      <c r="AY634" s="52" t="s">
        <v>68</v>
      </c>
      <c r="AZ634" s="350" t="s">
        <v>68</v>
      </c>
      <c r="BA634" s="5"/>
      <c r="BB634" s="5"/>
      <c r="BC634" s="11"/>
      <c r="BD634" s="66" t="s">
        <v>74</v>
      </c>
      <c r="BE634" s="1423"/>
      <c r="BF634" s="5"/>
      <c r="BG634" s="5"/>
      <c r="BH634" s="5"/>
      <c r="BI634" s="36"/>
      <c r="BJ634" s="1546" t="s">
        <v>68</v>
      </c>
      <c r="BK634" s="1827"/>
      <c r="BL634" s="1547" t="s">
        <v>68</v>
      </c>
      <c r="BM634" s="695" t="s">
        <v>68</v>
      </c>
      <c r="BN634" s="695" t="s">
        <v>68</v>
      </c>
      <c r="BO634" s="696" t="s">
        <v>68</v>
      </c>
      <c r="BP634" s="696" t="s">
        <v>68</v>
      </c>
      <c r="BQ634" s="696" t="s">
        <v>68</v>
      </c>
      <c r="BR634" s="914" t="s">
        <v>68</v>
      </c>
      <c r="BS634" s="696" t="s">
        <v>68</v>
      </c>
      <c r="BT634" s="696" t="s">
        <v>68</v>
      </c>
      <c r="BU634" s="696"/>
      <c r="BV634" s="694"/>
      <c r="BW634" s="13"/>
      <c r="BX634" s="158"/>
      <c r="BY634" s="13"/>
      <c r="BZ634" s="13"/>
      <c r="CA634" s="13"/>
      <c r="CB634" s="1222" t="s">
        <v>3944</v>
      </c>
      <c r="CC634" s="38"/>
      <c r="CD634" s="526"/>
      <c r="CE634" s="526"/>
      <c r="CF634" s="526"/>
      <c r="CG634" s="526"/>
      <c r="CH634" s="526"/>
      <c r="CI634" s="526"/>
      <c r="CJ634" s="526"/>
      <c r="CK634" s="15"/>
    </row>
    <row r="635" spans="2:89" ht="87.75" hidden="1" customHeight="1">
      <c r="B635" s="22"/>
      <c r="C635" s="1639"/>
      <c r="D635" s="1639"/>
      <c r="E635" s="911"/>
      <c r="F635" s="911"/>
      <c r="G635" s="915"/>
      <c r="H635" s="1746"/>
      <c r="I635" s="330"/>
      <c r="J635" s="169">
        <v>2022</v>
      </c>
      <c r="K635" s="1417">
        <v>223010</v>
      </c>
      <c r="L635" s="1417"/>
      <c r="M635" s="170"/>
      <c r="N635" s="178" t="s">
        <v>4342</v>
      </c>
      <c r="O635" s="790" t="s">
        <v>251</v>
      </c>
      <c r="P635" s="1191" t="s">
        <v>68</v>
      </c>
      <c r="Q635" s="1191"/>
      <c r="R635" s="174"/>
      <c r="S635" s="1193"/>
      <c r="T635" s="176"/>
      <c r="U635" s="177"/>
      <c r="V635" s="105" t="s">
        <v>68</v>
      </c>
      <c r="W635" s="1042" t="s">
        <v>68</v>
      </c>
      <c r="X635" s="920"/>
      <c r="Y635" s="200" t="s">
        <v>68</v>
      </c>
      <c r="Z635" s="368" t="s">
        <v>68</v>
      </c>
      <c r="AA635" s="33" t="s">
        <v>68</v>
      </c>
      <c r="AB635" s="8"/>
      <c r="AC635" s="4"/>
      <c r="AD635" s="4"/>
      <c r="AE635" s="32"/>
      <c r="AF635" s="582" t="s">
        <v>68</v>
      </c>
      <c r="AG635" s="583" t="s">
        <v>68</v>
      </c>
      <c r="AH635" s="583" t="s">
        <v>68</v>
      </c>
      <c r="AI635" s="584" t="s">
        <v>68</v>
      </c>
      <c r="AJ635" s="581" t="s">
        <v>68</v>
      </c>
      <c r="AK635" s="33" t="s">
        <v>68</v>
      </c>
      <c r="AL635" s="1" t="s">
        <v>68</v>
      </c>
      <c r="AM635" s="5"/>
      <c r="AN635" s="1" t="s">
        <v>68</v>
      </c>
      <c r="AO635" s="5"/>
      <c r="AP635" s="1" t="s">
        <v>68</v>
      </c>
      <c r="AQ635" s="5"/>
      <c r="AR635" s="279">
        <v>0</v>
      </c>
      <c r="AS635" s="35">
        <v>0</v>
      </c>
      <c r="AT635" s="902"/>
      <c r="AU635" s="891"/>
      <c r="AV635" s="350" t="s">
        <v>68</v>
      </c>
      <c r="AW635" s="11"/>
      <c r="AX635" s="223" t="s">
        <v>68</v>
      </c>
      <c r="AY635" s="52" t="s">
        <v>68</v>
      </c>
      <c r="AZ635" s="350" t="s">
        <v>68</v>
      </c>
      <c r="BA635" s="5"/>
      <c r="BB635" s="5"/>
      <c r="BC635" s="11"/>
      <c r="BD635" s="66" t="s">
        <v>74</v>
      </c>
      <c r="BE635" s="1423"/>
      <c r="BF635" s="5"/>
      <c r="BG635" s="5"/>
      <c r="BH635" s="5"/>
      <c r="BI635" s="36"/>
      <c r="BJ635" s="1546" t="s">
        <v>68</v>
      </c>
      <c r="BK635" s="1827"/>
      <c r="BL635" s="1547" t="s">
        <v>68</v>
      </c>
      <c r="BM635" s="695" t="s">
        <v>68</v>
      </c>
      <c r="BN635" s="695" t="s">
        <v>68</v>
      </c>
      <c r="BO635" s="696" t="s">
        <v>68</v>
      </c>
      <c r="BP635" s="696" t="s">
        <v>68</v>
      </c>
      <c r="BQ635" s="696" t="s">
        <v>68</v>
      </c>
      <c r="BR635" s="914" t="s">
        <v>68</v>
      </c>
      <c r="BS635" s="696" t="s">
        <v>68</v>
      </c>
      <c r="BT635" s="696" t="s">
        <v>68</v>
      </c>
      <c r="BU635" s="696"/>
      <c r="BV635" s="694"/>
      <c r="BW635" s="13"/>
      <c r="BX635" s="158"/>
      <c r="BY635" s="13"/>
      <c r="BZ635" s="13"/>
      <c r="CA635" s="13"/>
      <c r="CB635" s="1222" t="s">
        <v>3944</v>
      </c>
      <c r="CC635" s="38"/>
      <c r="CD635" s="526"/>
      <c r="CE635" s="526"/>
      <c r="CF635" s="526"/>
      <c r="CG635" s="526"/>
      <c r="CH635" s="526"/>
      <c r="CI635" s="526"/>
      <c r="CJ635" s="526"/>
      <c r="CK635" s="15"/>
    </row>
    <row r="636" spans="2:89" ht="87.75" hidden="1" customHeight="1">
      <c r="B636" s="22" t="s">
        <v>4440</v>
      </c>
      <c r="C636" s="1639"/>
      <c r="D636" s="1639"/>
      <c r="E636" s="911">
        <v>44805</v>
      </c>
      <c r="F636" s="911">
        <v>44613</v>
      </c>
      <c r="G636" s="915">
        <v>44929</v>
      </c>
      <c r="H636" s="1746"/>
      <c r="I636" s="330">
        <v>44750</v>
      </c>
      <c r="J636" s="169">
        <v>2022</v>
      </c>
      <c r="K636" s="1417">
        <v>224001</v>
      </c>
      <c r="L636" s="1417"/>
      <c r="M636" s="170" t="s">
        <v>77</v>
      </c>
      <c r="N636" s="178" t="s">
        <v>4343</v>
      </c>
      <c r="O636" s="172" t="s">
        <v>79</v>
      </c>
      <c r="P636" s="173" t="s">
        <v>5790</v>
      </c>
      <c r="Q636" s="173" t="s">
        <v>2512</v>
      </c>
      <c r="R636" s="594">
        <v>98067.87</v>
      </c>
      <c r="S636" s="590">
        <v>44628</v>
      </c>
      <c r="T636" s="176">
        <v>44634</v>
      </c>
      <c r="U636" s="177">
        <v>44639</v>
      </c>
      <c r="V636" s="105">
        <v>44627</v>
      </c>
      <c r="W636" s="178" t="s">
        <v>3472</v>
      </c>
      <c r="X636" s="170" t="s">
        <v>70</v>
      </c>
      <c r="Y636" s="200">
        <v>44627</v>
      </c>
      <c r="Z636" s="368" t="s">
        <v>5003</v>
      </c>
      <c r="AA636" s="33" t="s">
        <v>4387</v>
      </c>
      <c r="AB636" s="8">
        <v>44606</v>
      </c>
      <c r="AC636" s="79">
        <v>98067.87</v>
      </c>
      <c r="AD636" s="79"/>
      <c r="AE636" s="651"/>
      <c r="AF636" s="582" t="s">
        <v>68</v>
      </c>
      <c r="AG636" s="583" t="s">
        <v>68</v>
      </c>
      <c r="AH636" s="583" t="s">
        <v>68</v>
      </c>
      <c r="AI636" s="584" t="s">
        <v>68</v>
      </c>
      <c r="AJ636" s="581" t="s">
        <v>68</v>
      </c>
      <c r="AK636" s="33" t="s">
        <v>1289</v>
      </c>
      <c r="AL636" s="1" t="s">
        <v>68</v>
      </c>
      <c r="AM636" s="5"/>
      <c r="AN636" s="1">
        <v>22120</v>
      </c>
      <c r="AO636" s="5">
        <v>44634</v>
      </c>
      <c r="AP636" s="1">
        <v>22122</v>
      </c>
      <c r="AQ636" s="5">
        <v>44639</v>
      </c>
      <c r="AR636" s="279">
        <f>9806.78*2</f>
        <v>19613.560000000001</v>
      </c>
      <c r="AS636" s="35">
        <v>0</v>
      </c>
      <c r="AT636" s="895">
        <v>97999</v>
      </c>
      <c r="AU636" s="884"/>
      <c r="AV636" s="350" t="s">
        <v>74</v>
      </c>
      <c r="AW636" s="11"/>
      <c r="AX636" s="223" t="s">
        <v>68</v>
      </c>
      <c r="AY636" s="52" t="s">
        <v>68</v>
      </c>
      <c r="AZ636" s="70">
        <v>44642</v>
      </c>
      <c r="BA636" s="71">
        <v>44634</v>
      </c>
      <c r="BB636" s="71">
        <v>44639</v>
      </c>
      <c r="BC636" s="127"/>
      <c r="BD636" s="70">
        <v>44642</v>
      </c>
      <c r="BE636" s="1616" t="str">
        <f t="shared" ref="BE636:BE651" si="21">N636</f>
        <v>GMJ 001 C-OP/2022</v>
      </c>
      <c r="BF636" s="71">
        <v>44634</v>
      </c>
      <c r="BG636" s="71">
        <v>44639</v>
      </c>
      <c r="BH636" s="71">
        <v>44639</v>
      </c>
      <c r="BI636" s="36">
        <f>AS636+AT636</f>
        <v>97999</v>
      </c>
      <c r="BJ636" s="68">
        <v>44643</v>
      </c>
      <c r="BK636" s="68"/>
      <c r="BL636" s="1803">
        <v>44628</v>
      </c>
      <c r="BM636" s="71">
        <v>44631</v>
      </c>
      <c r="BN636" s="71">
        <v>44631</v>
      </c>
      <c r="BO636" s="696"/>
      <c r="BP636" s="914">
        <v>44631</v>
      </c>
      <c r="BQ636" s="914">
        <v>44631</v>
      </c>
      <c r="BR636" s="914">
        <v>44631</v>
      </c>
      <c r="BS636" s="914">
        <v>44638</v>
      </c>
      <c r="BT636" s="914">
        <v>44722</v>
      </c>
      <c r="BU636" s="1092">
        <v>0</v>
      </c>
      <c r="BV636" s="1093">
        <v>0</v>
      </c>
      <c r="BW636" s="13"/>
      <c r="BX636" s="158"/>
      <c r="BY636" s="13"/>
      <c r="BZ636" s="13"/>
      <c r="CA636" s="13"/>
      <c r="CB636" s="1222" t="s">
        <v>3944</v>
      </c>
      <c r="CC636" s="38"/>
      <c r="CD636" s="526"/>
      <c r="CE636" s="526"/>
      <c r="CF636" s="526"/>
      <c r="CG636" s="526"/>
      <c r="CH636" s="526"/>
      <c r="CI636" s="526"/>
      <c r="CJ636" s="526"/>
      <c r="CK636" s="15"/>
    </row>
    <row r="637" spans="2:89" ht="87.75" hidden="1" customHeight="1">
      <c r="B637" s="22" t="s">
        <v>4440</v>
      </c>
      <c r="C637" s="1639"/>
      <c r="D637" s="1639"/>
      <c r="E637" s="911">
        <v>44805</v>
      </c>
      <c r="F637" s="911">
        <v>44613</v>
      </c>
      <c r="G637" s="915">
        <v>44896</v>
      </c>
      <c r="H637" s="1746"/>
      <c r="I637" s="330">
        <v>44750</v>
      </c>
      <c r="J637" s="169">
        <v>2022</v>
      </c>
      <c r="K637" s="1417">
        <v>224002</v>
      </c>
      <c r="L637" s="1417"/>
      <c r="M637" s="170" t="s">
        <v>77</v>
      </c>
      <c r="N637" s="178" t="s">
        <v>4344</v>
      </c>
      <c r="O637" s="172" t="s">
        <v>79</v>
      </c>
      <c r="P637" s="173" t="s">
        <v>4814</v>
      </c>
      <c r="Q637" s="173" t="s">
        <v>2512</v>
      </c>
      <c r="R637" s="594">
        <v>160513.82999999999</v>
      </c>
      <c r="S637" s="590">
        <v>44628</v>
      </c>
      <c r="T637" s="176">
        <v>44634</v>
      </c>
      <c r="U637" s="177">
        <v>44653</v>
      </c>
      <c r="V637" s="105">
        <v>44627</v>
      </c>
      <c r="W637" s="178" t="s">
        <v>4362</v>
      </c>
      <c r="X637" s="170" t="s">
        <v>70</v>
      </c>
      <c r="Y637" s="200">
        <v>44627</v>
      </c>
      <c r="Z637" s="368" t="s">
        <v>5003</v>
      </c>
      <c r="AA637" s="33" t="s">
        <v>4388</v>
      </c>
      <c r="AB637" s="8">
        <v>44617</v>
      </c>
      <c r="AC637" s="79">
        <v>160513.82999999999</v>
      </c>
      <c r="AD637" s="79"/>
      <c r="AE637" s="651"/>
      <c r="AF637" s="582" t="s">
        <v>68</v>
      </c>
      <c r="AG637" s="583" t="s">
        <v>68</v>
      </c>
      <c r="AH637" s="583" t="s">
        <v>68</v>
      </c>
      <c r="AI637" s="584" t="s">
        <v>68</v>
      </c>
      <c r="AJ637" s="581" t="s">
        <v>68</v>
      </c>
      <c r="AK637" s="33" t="s">
        <v>1342</v>
      </c>
      <c r="AL637" s="1" t="s">
        <v>68</v>
      </c>
      <c r="AM637" s="5"/>
      <c r="AN637" s="2" t="s">
        <v>4535</v>
      </c>
      <c r="AO637" s="5">
        <v>44673</v>
      </c>
      <c r="AP637" s="2" t="s">
        <v>4536</v>
      </c>
      <c r="AQ637" s="5">
        <v>44673</v>
      </c>
      <c r="AR637" s="279">
        <f>16051.38*2</f>
        <v>32102.76</v>
      </c>
      <c r="AS637" s="35">
        <v>0</v>
      </c>
      <c r="AT637" s="895">
        <v>160825.43</v>
      </c>
      <c r="AU637" s="884"/>
      <c r="AV637" s="350" t="s">
        <v>74</v>
      </c>
      <c r="AW637" s="11"/>
      <c r="AX637" s="223" t="s">
        <v>68</v>
      </c>
      <c r="AY637" s="52" t="s">
        <v>68</v>
      </c>
      <c r="AZ637" s="70">
        <v>44655</v>
      </c>
      <c r="BA637" s="5">
        <v>44634</v>
      </c>
      <c r="BB637" s="5">
        <v>44653</v>
      </c>
      <c r="BC637" s="11"/>
      <c r="BD637" s="70">
        <v>44673</v>
      </c>
      <c r="BE637" s="1616" t="str">
        <f t="shared" si="21"/>
        <v>GMJ 002 C-OP/2022</v>
      </c>
      <c r="BF637" s="5">
        <v>44634</v>
      </c>
      <c r="BG637" s="5">
        <v>44653</v>
      </c>
      <c r="BH637" s="5">
        <v>44653</v>
      </c>
      <c r="BI637" s="36">
        <f>AS637+AT637</f>
        <v>160825.43</v>
      </c>
      <c r="BJ637" s="68">
        <v>44673</v>
      </c>
      <c r="BK637" s="342"/>
      <c r="BL637" s="71">
        <v>44628</v>
      </c>
      <c r="BM637" s="71">
        <v>44629</v>
      </c>
      <c r="BN637" s="71">
        <v>44634</v>
      </c>
      <c r="BO637" s="696"/>
      <c r="BP637" s="914">
        <v>44624</v>
      </c>
      <c r="BQ637" s="914">
        <v>44624</v>
      </c>
      <c r="BR637" s="914">
        <v>44624</v>
      </c>
      <c r="BS637" s="914">
        <v>44666</v>
      </c>
      <c r="BT637" s="914">
        <v>44666</v>
      </c>
      <c r="BU637" s="1092">
        <v>1</v>
      </c>
      <c r="BV637" s="1093">
        <v>0</v>
      </c>
      <c r="BW637" s="13"/>
      <c r="BX637" s="158"/>
      <c r="BY637" s="13"/>
      <c r="BZ637" s="13"/>
      <c r="CA637" s="13"/>
      <c r="CB637" s="1222" t="s">
        <v>3944</v>
      </c>
      <c r="CC637" s="38"/>
      <c r="CD637" s="526"/>
      <c r="CE637" s="526"/>
      <c r="CF637" s="526"/>
      <c r="CG637" s="526"/>
      <c r="CH637" s="526"/>
      <c r="CI637" s="526"/>
      <c r="CJ637" s="526"/>
      <c r="CK637" s="15"/>
    </row>
    <row r="638" spans="2:89" ht="87.75" hidden="1" customHeight="1">
      <c r="B638" s="22" t="s">
        <v>4440</v>
      </c>
      <c r="C638" s="1639"/>
      <c r="D638" s="1639"/>
      <c r="E638" s="911">
        <v>44805</v>
      </c>
      <c r="F638" s="911">
        <v>44613</v>
      </c>
      <c r="G638" s="915">
        <v>45063</v>
      </c>
      <c r="H638" s="1746"/>
      <c r="I638" s="330">
        <v>44783</v>
      </c>
      <c r="J638" s="169">
        <v>2022</v>
      </c>
      <c r="K638" s="1417">
        <v>224003</v>
      </c>
      <c r="L638" s="1417"/>
      <c r="M638" s="170" t="s">
        <v>77</v>
      </c>
      <c r="N638" s="178" t="s">
        <v>4345</v>
      </c>
      <c r="O638" s="172" t="s">
        <v>79</v>
      </c>
      <c r="P638" s="173" t="s">
        <v>4363</v>
      </c>
      <c r="Q638" s="173" t="s">
        <v>2512</v>
      </c>
      <c r="R638" s="594">
        <v>236056.39</v>
      </c>
      <c r="S638" s="590">
        <v>44628</v>
      </c>
      <c r="T638" s="176">
        <v>44634</v>
      </c>
      <c r="U638" s="177">
        <v>44653</v>
      </c>
      <c r="V638" s="105">
        <v>44627</v>
      </c>
      <c r="W638" s="178" t="s">
        <v>4362</v>
      </c>
      <c r="X638" s="170" t="s">
        <v>70</v>
      </c>
      <c r="Y638" s="200">
        <v>44627</v>
      </c>
      <c r="Z638" s="368" t="s">
        <v>5003</v>
      </c>
      <c r="AA638" s="33" t="s">
        <v>4389</v>
      </c>
      <c r="AB638" s="8">
        <v>44606</v>
      </c>
      <c r="AC638" s="79">
        <v>236056.39</v>
      </c>
      <c r="AD638" s="79"/>
      <c r="AE638" s="651"/>
      <c r="AF638" s="582" t="s">
        <v>68</v>
      </c>
      <c r="AG638" s="583" t="s">
        <v>68</v>
      </c>
      <c r="AH638" s="583" t="s">
        <v>68</v>
      </c>
      <c r="AI638" s="584" t="s">
        <v>68</v>
      </c>
      <c r="AJ638" s="581" t="s">
        <v>68</v>
      </c>
      <c r="AK638" s="33" t="s">
        <v>1342</v>
      </c>
      <c r="AL638" s="1" t="s">
        <v>68</v>
      </c>
      <c r="AM638" s="5"/>
      <c r="AN638" s="2" t="s">
        <v>4537</v>
      </c>
      <c r="AO638" s="5">
        <v>44673</v>
      </c>
      <c r="AP638" s="1804" t="s">
        <v>74</v>
      </c>
      <c r="AQ638" s="5"/>
      <c r="AR638" s="279">
        <f>23605.64</f>
        <v>23605.64</v>
      </c>
      <c r="AS638" s="35">
        <v>0</v>
      </c>
      <c r="AT638" s="895">
        <v>295070.46000000002</v>
      </c>
      <c r="AU638" s="884"/>
      <c r="AV638" s="350" t="s">
        <v>74</v>
      </c>
      <c r="AW638" s="11"/>
      <c r="AX638" s="223" t="s">
        <v>68</v>
      </c>
      <c r="AY638" s="52" t="s">
        <v>68</v>
      </c>
      <c r="AZ638" s="70">
        <v>44666</v>
      </c>
      <c r="BA638" s="71">
        <v>44634</v>
      </c>
      <c r="BB638" s="71">
        <v>44666</v>
      </c>
      <c r="BC638" s="127"/>
      <c r="BD638" s="70">
        <v>44670</v>
      </c>
      <c r="BE638" s="1616" t="str">
        <f t="shared" si="21"/>
        <v>GMJ 003 C-OP/2022</v>
      </c>
      <c r="BF638" s="5">
        <v>44634</v>
      </c>
      <c r="BG638" s="5">
        <v>44653</v>
      </c>
      <c r="BH638" s="5">
        <v>44666</v>
      </c>
      <c r="BI638" s="36">
        <f>AS638+AT638</f>
        <v>295070.46000000002</v>
      </c>
      <c r="BJ638" s="68">
        <v>44674</v>
      </c>
      <c r="BK638" s="342"/>
      <c r="BL638" s="71">
        <v>44628</v>
      </c>
      <c r="BM638" s="71">
        <v>44629</v>
      </c>
      <c r="BN638" s="71">
        <v>44634</v>
      </c>
      <c r="BO638" s="696"/>
      <c r="BP638" s="914">
        <v>44629</v>
      </c>
      <c r="BQ638" s="914">
        <v>44629</v>
      </c>
      <c r="BR638" s="914">
        <v>44629</v>
      </c>
      <c r="BS638" s="914">
        <v>44666</v>
      </c>
      <c r="BT638" s="914">
        <v>44666</v>
      </c>
      <c r="BU638" s="1092">
        <v>1</v>
      </c>
      <c r="BV638" s="1093">
        <v>0</v>
      </c>
      <c r="BW638" s="13"/>
      <c r="BX638" s="158"/>
      <c r="BY638" s="13"/>
      <c r="BZ638" s="13"/>
      <c r="CA638" s="13"/>
      <c r="CB638" s="1222" t="s">
        <v>3944</v>
      </c>
      <c r="CC638" s="38"/>
      <c r="CD638" s="526"/>
      <c r="CE638" s="526"/>
      <c r="CF638" s="526"/>
      <c r="CG638" s="526"/>
      <c r="CH638" s="526"/>
      <c r="CI638" s="526"/>
      <c r="CJ638" s="526"/>
      <c r="CK638" s="15"/>
    </row>
    <row r="639" spans="2:89" ht="187.5" hidden="1" customHeight="1">
      <c r="B639" s="22"/>
      <c r="C639" s="1639"/>
      <c r="D639" s="1639"/>
      <c r="E639" s="911">
        <v>44805</v>
      </c>
      <c r="F639" s="1568">
        <v>44774</v>
      </c>
      <c r="G639" s="915">
        <v>45076</v>
      </c>
      <c r="H639" s="1746"/>
      <c r="I639" s="330">
        <v>44902</v>
      </c>
      <c r="J639" s="169">
        <v>2022</v>
      </c>
      <c r="K639" s="1417">
        <v>224004</v>
      </c>
      <c r="L639" s="1417"/>
      <c r="M639" s="170" t="s">
        <v>77</v>
      </c>
      <c r="N639" s="178" t="s">
        <v>4346</v>
      </c>
      <c r="O639" s="172" t="s">
        <v>79</v>
      </c>
      <c r="P639" s="173" t="s">
        <v>4364</v>
      </c>
      <c r="Q639" s="173" t="s">
        <v>4823</v>
      </c>
      <c r="R639" s="174">
        <v>2031883.8</v>
      </c>
      <c r="S639" s="542">
        <v>44690</v>
      </c>
      <c r="T639" s="176">
        <v>44692</v>
      </c>
      <c r="U639" s="177">
        <v>44765</v>
      </c>
      <c r="V639" s="981">
        <v>44687</v>
      </c>
      <c r="W639" s="178" t="s">
        <v>4365</v>
      </c>
      <c r="X639" s="170" t="s">
        <v>449</v>
      </c>
      <c r="Y639" s="1094">
        <v>44685</v>
      </c>
      <c r="Z639" s="368" t="s">
        <v>5003</v>
      </c>
      <c r="AA639" s="241" t="s">
        <v>4390</v>
      </c>
      <c r="AB639" s="8">
        <v>44617</v>
      </c>
      <c r="AC639" s="4">
        <v>2500000</v>
      </c>
      <c r="AD639" s="236" t="s">
        <v>4391</v>
      </c>
      <c r="AE639" s="32">
        <v>2500000</v>
      </c>
      <c r="AF639" s="1548" t="s">
        <v>68</v>
      </c>
      <c r="AG639" s="1549" t="s">
        <v>68</v>
      </c>
      <c r="AH639" s="1549" t="s">
        <v>68</v>
      </c>
      <c r="AI639" s="1550" t="s">
        <v>68</v>
      </c>
      <c r="AJ639" s="406" t="s">
        <v>68</v>
      </c>
      <c r="AK639" s="241" t="s">
        <v>1270</v>
      </c>
      <c r="AL639" s="388" t="s">
        <v>4538</v>
      </c>
      <c r="AM639" s="1579">
        <v>44694</v>
      </c>
      <c r="AN639" s="388" t="s">
        <v>4539</v>
      </c>
      <c r="AO639" s="1579">
        <v>44694</v>
      </c>
      <c r="AP639" s="388" t="s">
        <v>4540</v>
      </c>
      <c r="AQ639" s="5">
        <v>44742</v>
      </c>
      <c r="AR639" s="279">
        <f>507970.95+203188.38+203188.38</f>
        <v>914347.71000000008</v>
      </c>
      <c r="AS639" s="1026">
        <v>0</v>
      </c>
      <c r="AT639" s="895">
        <v>2069216.72</v>
      </c>
      <c r="AU639" s="891"/>
      <c r="AV639" s="70">
        <v>44698</v>
      </c>
      <c r="AW639" s="11">
        <v>44741</v>
      </c>
      <c r="AX639" s="223" t="s">
        <v>68</v>
      </c>
      <c r="AY639" s="52" t="s">
        <v>68</v>
      </c>
      <c r="AZ639" s="70">
        <v>44742</v>
      </c>
      <c r="BA639" s="5">
        <v>44697</v>
      </c>
      <c r="BB639" s="5">
        <v>44765</v>
      </c>
      <c r="BC639" s="11">
        <v>44741</v>
      </c>
      <c r="BD639" s="324">
        <v>44742</v>
      </c>
      <c r="BE639" s="1616" t="str">
        <f t="shared" si="21"/>
        <v>GMJ 004 C-OP/2022</v>
      </c>
      <c r="BF639" s="5">
        <v>44697</v>
      </c>
      <c r="BG639" s="5">
        <v>44765</v>
      </c>
      <c r="BH639" s="5">
        <v>44741</v>
      </c>
      <c r="BI639" s="36">
        <f>AS639+AT639-0.01</f>
        <v>2069216.71</v>
      </c>
      <c r="BJ639" s="68">
        <v>44742</v>
      </c>
      <c r="BK639" s="68"/>
      <c r="BL639" s="324">
        <v>44694</v>
      </c>
      <c r="BM639" s="71">
        <v>44692</v>
      </c>
      <c r="BN639" s="71">
        <v>44692</v>
      </c>
      <c r="BO639" s="1265"/>
      <c r="BP639" s="914">
        <v>44692</v>
      </c>
      <c r="BQ639" s="914">
        <v>44692</v>
      </c>
      <c r="BR639" s="914">
        <v>44692</v>
      </c>
      <c r="BS639" s="914">
        <v>44741</v>
      </c>
      <c r="BT639" s="914">
        <v>44742</v>
      </c>
      <c r="BU639" s="1645">
        <v>2</v>
      </c>
      <c r="BV639" s="1647">
        <v>0</v>
      </c>
      <c r="BW639" s="13"/>
      <c r="BX639" s="158"/>
      <c r="BY639" s="13"/>
      <c r="BZ639" s="13"/>
      <c r="CA639" s="13"/>
      <c r="CB639" s="1222" t="s">
        <v>3944</v>
      </c>
      <c r="CC639" s="1646" t="s">
        <v>1143</v>
      </c>
      <c r="CD639" s="526"/>
      <c r="CE639" s="526"/>
      <c r="CF639" s="526"/>
      <c r="CG639" s="526"/>
      <c r="CH639" s="526"/>
      <c r="CI639" s="526"/>
      <c r="CJ639" s="526"/>
      <c r="CK639" s="15"/>
    </row>
    <row r="640" spans="2:89" ht="87.75" hidden="1" customHeight="1">
      <c r="B640" s="22"/>
      <c r="C640" s="1640">
        <v>45068</v>
      </c>
      <c r="D640" s="1644">
        <v>5</v>
      </c>
      <c r="E640" s="911">
        <v>44805</v>
      </c>
      <c r="F640" s="1568">
        <v>44774</v>
      </c>
      <c r="G640" s="915">
        <v>45076</v>
      </c>
      <c r="H640" s="1746"/>
      <c r="I640" s="330">
        <v>44902</v>
      </c>
      <c r="J640" s="169">
        <v>2022</v>
      </c>
      <c r="K640" s="1417">
        <v>224005</v>
      </c>
      <c r="L640" s="1417"/>
      <c r="M640" s="170" t="s">
        <v>166</v>
      </c>
      <c r="N640" s="178" t="s">
        <v>4347</v>
      </c>
      <c r="O640" s="172" t="s">
        <v>79</v>
      </c>
      <c r="P640" s="173" t="s">
        <v>4366</v>
      </c>
      <c r="Q640" s="451" t="s">
        <v>2577</v>
      </c>
      <c r="R640" s="174">
        <v>793754.52</v>
      </c>
      <c r="S640" s="542">
        <v>44704</v>
      </c>
      <c r="T640" s="176">
        <v>44705</v>
      </c>
      <c r="U640" s="177">
        <v>44712</v>
      </c>
      <c r="V640" s="981">
        <v>44704</v>
      </c>
      <c r="W640" s="178" t="s">
        <v>3469</v>
      </c>
      <c r="X640" s="170" t="s">
        <v>70</v>
      </c>
      <c r="Y640" s="1094" t="s">
        <v>1428</v>
      </c>
      <c r="Z640" s="368" t="s">
        <v>1177</v>
      </c>
      <c r="AA640" s="241" t="s">
        <v>4392</v>
      </c>
      <c r="AB640" s="8">
        <v>44704</v>
      </c>
      <c r="AC640" s="4">
        <v>793754.52</v>
      </c>
      <c r="AD640" s="4"/>
      <c r="AE640" s="32"/>
      <c r="AF640" s="1548" t="s">
        <v>68</v>
      </c>
      <c r="AG640" s="1549" t="s">
        <v>68</v>
      </c>
      <c r="AH640" s="1549" t="s">
        <v>68</v>
      </c>
      <c r="AI640" s="1550" t="s">
        <v>68</v>
      </c>
      <c r="AJ640" s="406" t="s">
        <v>68</v>
      </c>
      <c r="AK640" s="241" t="s">
        <v>1270</v>
      </c>
      <c r="AL640" s="242" t="s">
        <v>68</v>
      </c>
      <c r="AM640" s="58"/>
      <c r="AN640" s="388" t="s">
        <v>4541</v>
      </c>
      <c r="AO640" s="5">
        <v>44704</v>
      </c>
      <c r="AP640" s="242" t="s">
        <v>83</v>
      </c>
      <c r="AQ640" s="5"/>
      <c r="AR640" s="279">
        <f>79375.45</f>
        <v>79375.45</v>
      </c>
      <c r="AS640" s="1026">
        <v>0</v>
      </c>
      <c r="AT640" s="895">
        <v>793754.52</v>
      </c>
      <c r="AU640" s="891"/>
      <c r="AV640" s="324">
        <v>44705</v>
      </c>
      <c r="AW640" s="11">
        <v>44711</v>
      </c>
      <c r="AX640" s="223" t="s">
        <v>68</v>
      </c>
      <c r="AY640" s="52" t="s">
        <v>68</v>
      </c>
      <c r="AZ640" s="324">
        <v>44713</v>
      </c>
      <c r="BA640" s="5">
        <v>44705</v>
      </c>
      <c r="BB640" s="5">
        <v>44712</v>
      </c>
      <c r="BC640" s="11">
        <v>44712</v>
      </c>
      <c r="BD640" s="324">
        <v>44714</v>
      </c>
      <c r="BE640" s="1616" t="str">
        <f t="shared" si="21"/>
        <v>GMJ 005 C-OP/2022</v>
      </c>
      <c r="BF640" s="5"/>
      <c r="BG640" s="5">
        <v>44712</v>
      </c>
      <c r="BH640" s="5">
        <v>44712</v>
      </c>
      <c r="BI640" s="245">
        <f>AS640+AT640-109483.38</f>
        <v>684271.14</v>
      </c>
      <c r="BJ640" s="346">
        <v>44714</v>
      </c>
      <c r="BK640" s="346"/>
      <c r="BL640" s="324">
        <v>44705</v>
      </c>
      <c r="BM640" s="325">
        <v>44705</v>
      </c>
      <c r="BN640" s="325">
        <v>44705</v>
      </c>
      <c r="BO640" s="1391"/>
      <c r="BP640" s="1091">
        <v>44704</v>
      </c>
      <c r="BQ640" s="1091">
        <v>44704</v>
      </c>
      <c r="BR640" s="914">
        <v>44704</v>
      </c>
      <c r="BS640" s="1091">
        <v>44712</v>
      </c>
      <c r="BT640" s="914">
        <v>44717</v>
      </c>
      <c r="BU640" s="1645">
        <v>0</v>
      </c>
      <c r="BV640" s="1647">
        <v>0</v>
      </c>
      <c r="BW640" s="13"/>
      <c r="BX640" s="158"/>
      <c r="BY640" s="13"/>
      <c r="BZ640" s="13"/>
      <c r="CA640" s="13"/>
      <c r="CB640" s="1222" t="s">
        <v>3944</v>
      </c>
      <c r="CC640" s="1646" t="s">
        <v>1143</v>
      </c>
      <c r="CD640" s="526"/>
      <c r="CE640" s="526"/>
      <c r="CF640" s="526"/>
      <c r="CG640" s="526"/>
      <c r="CH640" s="526"/>
      <c r="CI640" s="526"/>
      <c r="CJ640" s="526"/>
      <c r="CK640" s="15"/>
    </row>
    <row r="641" spans="2:89" ht="87.75" hidden="1" customHeight="1">
      <c r="B641" s="22"/>
      <c r="C641" s="1639"/>
      <c r="D641" s="1639"/>
      <c r="E641" s="911">
        <v>44805</v>
      </c>
      <c r="F641" s="1568">
        <v>44774</v>
      </c>
      <c r="G641" s="915">
        <v>45076</v>
      </c>
      <c r="H641" s="1746"/>
      <c r="I641" s="330">
        <v>44902</v>
      </c>
      <c r="J641" s="169">
        <v>2022</v>
      </c>
      <c r="K641" s="1417">
        <v>224006</v>
      </c>
      <c r="L641" s="1417"/>
      <c r="M641" s="170" t="s">
        <v>77</v>
      </c>
      <c r="N641" s="178" t="s">
        <v>4348</v>
      </c>
      <c r="O641" s="172" t="s">
        <v>79</v>
      </c>
      <c r="P641" s="173" t="s">
        <v>4441</v>
      </c>
      <c r="Q641" s="451" t="s">
        <v>2577</v>
      </c>
      <c r="R641" s="174">
        <v>579637.71</v>
      </c>
      <c r="S641" s="542">
        <v>44704</v>
      </c>
      <c r="T641" s="176">
        <v>44712</v>
      </c>
      <c r="U641" s="177">
        <v>44722</v>
      </c>
      <c r="V641" s="981">
        <v>44704</v>
      </c>
      <c r="W641" s="178" t="s">
        <v>3469</v>
      </c>
      <c r="X641" s="170" t="s">
        <v>70</v>
      </c>
      <c r="Y641" s="1094">
        <v>44704</v>
      </c>
      <c r="Z641" s="368" t="s">
        <v>5020</v>
      </c>
      <c r="AA641" s="241" t="s">
        <v>4393</v>
      </c>
      <c r="AB641" s="8">
        <v>44704</v>
      </c>
      <c r="AC641" s="4">
        <v>579637.71</v>
      </c>
      <c r="AD641" s="4"/>
      <c r="AE641" s="32"/>
      <c r="AF641" s="1548" t="s">
        <v>68</v>
      </c>
      <c r="AG641" s="1549" t="s">
        <v>68</v>
      </c>
      <c r="AH641" s="1549" t="s">
        <v>68</v>
      </c>
      <c r="AI641" s="1550" t="s">
        <v>68</v>
      </c>
      <c r="AJ641" s="406" t="s">
        <v>68</v>
      </c>
      <c r="AK641" s="241" t="s">
        <v>1270</v>
      </c>
      <c r="AL641" s="242" t="s">
        <v>68</v>
      </c>
      <c r="AM641" s="58"/>
      <c r="AN641" s="242" t="s">
        <v>4542</v>
      </c>
      <c r="AO641" s="5">
        <v>44704</v>
      </c>
      <c r="AP641" s="242" t="s">
        <v>83</v>
      </c>
      <c r="AQ641" s="5"/>
      <c r="AR641" s="279">
        <v>57963.77</v>
      </c>
      <c r="AS641" s="1026">
        <v>0</v>
      </c>
      <c r="AT641" s="895">
        <v>579645.42000000004</v>
      </c>
      <c r="AU641" s="891"/>
      <c r="AV641" s="324">
        <v>44712</v>
      </c>
      <c r="AW641" s="11">
        <v>44721</v>
      </c>
      <c r="AX641" s="223" t="s">
        <v>68</v>
      </c>
      <c r="AY641" s="52" t="s">
        <v>68</v>
      </c>
      <c r="AZ641" s="324">
        <v>44725</v>
      </c>
      <c r="BA641" s="5">
        <v>44712</v>
      </c>
      <c r="BB641" s="5">
        <v>44722</v>
      </c>
      <c r="BC641" s="11">
        <v>44722</v>
      </c>
      <c r="BD641" s="324">
        <v>44726</v>
      </c>
      <c r="BE641" s="1616" t="str">
        <f t="shared" si="21"/>
        <v>GMJ 006 C-OP/2022</v>
      </c>
      <c r="BF641" s="5">
        <v>44712</v>
      </c>
      <c r="BG641" s="5">
        <v>44722</v>
      </c>
      <c r="BH641" s="5">
        <v>44722</v>
      </c>
      <c r="BI641" s="36">
        <f>AS641+AT641</f>
        <v>579645.42000000004</v>
      </c>
      <c r="BJ641" s="346">
        <v>44726</v>
      </c>
      <c r="BK641" s="346"/>
      <c r="BL641" s="324">
        <v>44705</v>
      </c>
      <c r="BM641" s="325">
        <v>44712</v>
      </c>
      <c r="BN641" s="325">
        <v>44712</v>
      </c>
      <c r="BO641" s="1391"/>
      <c r="BP641" s="1091">
        <v>44704</v>
      </c>
      <c r="BQ641" s="1091">
        <v>44704</v>
      </c>
      <c r="BR641" s="914">
        <v>44704</v>
      </c>
      <c r="BS641" s="1091">
        <v>44722</v>
      </c>
      <c r="BT641" s="1648">
        <v>44725</v>
      </c>
      <c r="BU641" s="1645">
        <v>0</v>
      </c>
      <c r="BV641" s="1647">
        <v>0</v>
      </c>
      <c r="BW641" s="13"/>
      <c r="BX641" s="158"/>
      <c r="BY641" s="13"/>
      <c r="BZ641" s="13"/>
      <c r="CA641" s="13"/>
      <c r="CB641" s="1222" t="s">
        <v>3944</v>
      </c>
      <c r="CC641" s="1646" t="s">
        <v>1143</v>
      </c>
      <c r="CD641" s="526"/>
      <c r="CE641" s="526"/>
      <c r="CF641" s="526"/>
      <c r="CG641" s="526"/>
      <c r="CH641" s="526"/>
      <c r="CI641" s="526"/>
      <c r="CJ641" s="526"/>
      <c r="CK641" s="15"/>
    </row>
    <row r="642" spans="2:89" ht="87.75" hidden="1" customHeight="1">
      <c r="B642" s="22"/>
      <c r="C642" s="1639"/>
      <c r="D642" s="1639"/>
      <c r="E642" s="911">
        <v>44805</v>
      </c>
      <c r="F642" s="911">
        <v>44719</v>
      </c>
      <c r="G642" s="915">
        <v>44897</v>
      </c>
      <c r="H642" s="1746"/>
      <c r="I642" s="330">
        <v>44783</v>
      </c>
      <c r="J642" s="169">
        <v>2022</v>
      </c>
      <c r="K642" s="1417">
        <v>224007</v>
      </c>
      <c r="L642" s="1417"/>
      <c r="M642" s="170" t="s">
        <v>77</v>
      </c>
      <c r="N642" s="178" t="s">
        <v>4349</v>
      </c>
      <c r="O642" s="172" t="s">
        <v>79</v>
      </c>
      <c r="P642" s="173" t="s">
        <v>4448</v>
      </c>
      <c r="Q642" s="173" t="s">
        <v>4409</v>
      </c>
      <c r="R642" s="594">
        <v>627108.43000000005</v>
      </c>
      <c r="S642" s="590">
        <v>44704</v>
      </c>
      <c r="T642" s="176">
        <v>44705</v>
      </c>
      <c r="U642" s="177">
        <v>44742</v>
      </c>
      <c r="V642" s="105">
        <v>44704</v>
      </c>
      <c r="W642" s="178" t="s">
        <v>4447</v>
      </c>
      <c r="X642" s="170" t="s">
        <v>70</v>
      </c>
      <c r="Y642" s="200">
        <v>44698</v>
      </c>
      <c r="Z642" s="368" t="s">
        <v>5003</v>
      </c>
      <c r="AA642" s="33" t="s">
        <v>4521</v>
      </c>
      <c r="AB642" s="8">
        <v>44704</v>
      </c>
      <c r="AC642" s="79">
        <f>323656.01+174955.33+128498.09</f>
        <v>627109.42999999993</v>
      </c>
      <c r="AD642" s="79"/>
      <c r="AE642" s="651"/>
      <c r="AF642" s="582" t="s">
        <v>68</v>
      </c>
      <c r="AG642" s="583" t="s">
        <v>68</v>
      </c>
      <c r="AH642" s="583" t="s">
        <v>68</v>
      </c>
      <c r="AI642" s="584" t="s">
        <v>68</v>
      </c>
      <c r="AJ642" s="581" t="s">
        <v>68</v>
      </c>
      <c r="AK642" s="33" t="s">
        <v>1011</v>
      </c>
      <c r="AL642" s="1" t="s">
        <v>68</v>
      </c>
      <c r="AM642" s="5"/>
      <c r="AN642" s="2" t="s">
        <v>4522</v>
      </c>
      <c r="AO642" s="5">
        <v>44705</v>
      </c>
      <c r="AP642" s="2" t="s">
        <v>4523</v>
      </c>
      <c r="AQ642" s="5">
        <v>44741</v>
      </c>
      <c r="AR642" s="279">
        <f>62710.84*2</f>
        <v>125421.68</v>
      </c>
      <c r="AS642" s="35">
        <v>0</v>
      </c>
      <c r="AT642" s="895">
        <v>694906.61</v>
      </c>
      <c r="AU642" s="884"/>
      <c r="AV642" s="350" t="s">
        <v>74</v>
      </c>
      <c r="AW642" s="11"/>
      <c r="AX642" s="223" t="s">
        <v>68</v>
      </c>
      <c r="AY642" s="52" t="s">
        <v>68</v>
      </c>
      <c r="AZ642" s="70">
        <v>44741</v>
      </c>
      <c r="BA642" s="5">
        <v>44705</v>
      </c>
      <c r="BB642" s="5">
        <v>44742</v>
      </c>
      <c r="BC642" s="11">
        <v>44740</v>
      </c>
      <c r="BD642" s="70">
        <v>44741</v>
      </c>
      <c r="BE642" s="1616" t="str">
        <f t="shared" si="21"/>
        <v>GMJ 007 C-OP/2022</v>
      </c>
      <c r="BF642" s="5">
        <v>44705</v>
      </c>
      <c r="BG642" s="5">
        <v>44742</v>
      </c>
      <c r="BH642" s="5">
        <v>44740</v>
      </c>
      <c r="BI642" s="36">
        <f>AS642+AT642</f>
        <v>694906.61</v>
      </c>
      <c r="BJ642" s="68">
        <v>44741</v>
      </c>
      <c r="BK642" s="68"/>
      <c r="BL642" s="70">
        <v>44705</v>
      </c>
      <c r="BM642" s="1805" t="s">
        <v>74</v>
      </c>
      <c r="BN642" s="71">
        <v>44704</v>
      </c>
      <c r="BO642" s="1806"/>
      <c r="BP642" s="914">
        <v>44700</v>
      </c>
      <c r="BQ642" s="914">
        <v>44700</v>
      </c>
      <c r="BR642" s="914">
        <v>44700</v>
      </c>
      <c r="BS642" s="914">
        <v>44740</v>
      </c>
      <c r="BT642" s="914">
        <v>44741</v>
      </c>
      <c r="BU642" s="1645">
        <v>2</v>
      </c>
      <c r="BV642" s="1647">
        <v>0</v>
      </c>
      <c r="BW642" s="13"/>
      <c r="BX642" s="158"/>
      <c r="BY642" s="13"/>
      <c r="BZ642" s="13"/>
      <c r="CA642" s="13"/>
      <c r="CB642" s="1222" t="s">
        <v>3944</v>
      </c>
      <c r="CC642" s="38"/>
      <c r="CD642" s="526"/>
      <c r="CE642" s="526"/>
      <c r="CF642" s="526"/>
      <c r="CG642" s="526"/>
      <c r="CH642" s="526"/>
      <c r="CI642" s="526"/>
      <c r="CJ642" s="526"/>
      <c r="CK642" s="15"/>
    </row>
    <row r="643" spans="2:89" ht="99.75" hidden="1" customHeight="1">
      <c r="B643" s="22"/>
      <c r="C643" s="1639"/>
      <c r="D643" s="1639"/>
      <c r="E643" s="911">
        <v>44805</v>
      </c>
      <c r="F643" s="1568">
        <v>44802</v>
      </c>
      <c r="G643" s="915">
        <v>45076</v>
      </c>
      <c r="H643" s="1746"/>
      <c r="I643" s="330">
        <v>44783</v>
      </c>
      <c r="J643" s="169">
        <v>2022</v>
      </c>
      <c r="K643" s="1417">
        <v>224008</v>
      </c>
      <c r="L643" s="1417"/>
      <c r="M643" s="170" t="s">
        <v>77</v>
      </c>
      <c r="N643" s="178" t="s">
        <v>4350</v>
      </c>
      <c r="O643" s="172" t="s">
        <v>79</v>
      </c>
      <c r="P643" s="173" t="s">
        <v>4449</v>
      </c>
      <c r="Q643" s="173" t="s">
        <v>4409</v>
      </c>
      <c r="R643" s="174">
        <v>168470.35</v>
      </c>
      <c r="S643" s="542">
        <v>44707</v>
      </c>
      <c r="T643" s="176">
        <v>44711</v>
      </c>
      <c r="U643" s="177">
        <v>44722</v>
      </c>
      <c r="V643" s="981">
        <v>44706</v>
      </c>
      <c r="W643" s="178" t="s">
        <v>3472</v>
      </c>
      <c r="X643" s="170" t="s">
        <v>70</v>
      </c>
      <c r="Y643" s="1094">
        <v>44690</v>
      </c>
      <c r="Z643" s="368" t="s">
        <v>5003</v>
      </c>
      <c r="AA643" s="241" t="s">
        <v>4524</v>
      </c>
      <c r="AB643" s="8">
        <v>44704</v>
      </c>
      <c r="AC643" s="4">
        <f>94882.19+92961.59</f>
        <v>187843.78</v>
      </c>
      <c r="AD643" s="4"/>
      <c r="AE643" s="32"/>
      <c r="AF643" s="1548" t="s">
        <v>68</v>
      </c>
      <c r="AG643" s="1549" t="s">
        <v>68</v>
      </c>
      <c r="AH643" s="1549" t="s">
        <v>68</v>
      </c>
      <c r="AI643" s="1550" t="s">
        <v>68</v>
      </c>
      <c r="AJ643" s="406" t="s">
        <v>68</v>
      </c>
      <c r="AK643" s="241" t="s">
        <v>855</v>
      </c>
      <c r="AL643" s="242" t="s">
        <v>68</v>
      </c>
      <c r="AM643" s="58"/>
      <c r="AN643" s="242">
        <v>22043</v>
      </c>
      <c r="AO643" s="58">
        <v>44711</v>
      </c>
      <c r="AP643" s="242">
        <v>20044</v>
      </c>
      <c r="AQ643" s="5">
        <v>44722</v>
      </c>
      <c r="AR643" s="279">
        <f>16847.03*2</f>
        <v>33694.06</v>
      </c>
      <c r="AS643" s="1026">
        <v>0</v>
      </c>
      <c r="AT643" s="895">
        <v>183498.77</v>
      </c>
      <c r="AU643" s="891"/>
      <c r="AV643" s="324">
        <v>44711</v>
      </c>
      <c r="AW643" s="11">
        <v>44722</v>
      </c>
      <c r="AX643" s="223" t="s">
        <v>68</v>
      </c>
      <c r="AY643" s="52" t="s">
        <v>68</v>
      </c>
      <c r="AZ643" s="324">
        <v>44722</v>
      </c>
      <c r="BA643" s="5">
        <v>44711</v>
      </c>
      <c r="BB643" s="5">
        <v>44722</v>
      </c>
      <c r="BC643" s="11"/>
      <c r="BD643" s="324">
        <v>44725</v>
      </c>
      <c r="BE643" s="1616" t="str">
        <f t="shared" si="21"/>
        <v>GMJ 008 C-OP/2022</v>
      </c>
      <c r="BF643" s="5">
        <v>44711</v>
      </c>
      <c r="BG643" s="5">
        <v>44722</v>
      </c>
      <c r="BH643" s="5">
        <v>44722</v>
      </c>
      <c r="BI643" s="36">
        <f>73401.12+110097.64</f>
        <v>183498.76</v>
      </c>
      <c r="BJ643" s="346">
        <v>44726</v>
      </c>
      <c r="BK643" s="346"/>
      <c r="BL643" s="324">
        <v>44708</v>
      </c>
      <c r="BM643" s="325">
        <v>44711</v>
      </c>
      <c r="BN643" s="325">
        <v>44711</v>
      </c>
      <c r="BO643" s="1391"/>
      <c r="BP643" s="1091">
        <v>44711</v>
      </c>
      <c r="BQ643" s="1091">
        <v>44711</v>
      </c>
      <c r="BR643" s="914">
        <v>44720</v>
      </c>
      <c r="BS643" s="1091">
        <v>44720</v>
      </c>
      <c r="BT643" s="914">
        <v>44723</v>
      </c>
      <c r="BU643" s="1645">
        <v>2</v>
      </c>
      <c r="BV643" s="1647">
        <v>0</v>
      </c>
      <c r="BW643" s="13"/>
      <c r="BX643" s="158"/>
      <c r="BY643" s="13"/>
      <c r="BZ643" s="13"/>
      <c r="CA643" s="13"/>
      <c r="CB643" s="1222" t="s">
        <v>3944</v>
      </c>
      <c r="CC643" s="1646" t="s">
        <v>1143</v>
      </c>
      <c r="CD643" s="526"/>
      <c r="CE643" s="526"/>
      <c r="CF643" s="526"/>
      <c r="CG643" s="526"/>
      <c r="CH643" s="526"/>
      <c r="CI643" s="526"/>
      <c r="CJ643" s="526"/>
      <c r="CK643" s="15"/>
    </row>
    <row r="644" spans="2:89" ht="87.75" hidden="1" customHeight="1">
      <c r="B644" s="22"/>
      <c r="C644" s="1639"/>
      <c r="D644" s="1639"/>
      <c r="E644" s="911">
        <v>44805</v>
      </c>
      <c r="F644" s="911">
        <v>44802</v>
      </c>
      <c r="G644" s="915">
        <v>45075</v>
      </c>
      <c r="H644" s="1746"/>
      <c r="I644" s="330">
        <v>44816</v>
      </c>
      <c r="J644" s="169">
        <v>2022</v>
      </c>
      <c r="K644" s="1417">
        <v>224009</v>
      </c>
      <c r="L644" s="1417"/>
      <c r="M644" s="170" t="s">
        <v>77</v>
      </c>
      <c r="N644" s="178" t="s">
        <v>4351</v>
      </c>
      <c r="O644" s="172" t="s">
        <v>79</v>
      </c>
      <c r="P644" s="173" t="s">
        <v>4451</v>
      </c>
      <c r="Q644" s="173" t="s">
        <v>2538</v>
      </c>
      <c r="R644" s="594">
        <v>809084.8</v>
      </c>
      <c r="S644" s="590">
        <v>44736</v>
      </c>
      <c r="T644" s="176">
        <v>44760</v>
      </c>
      <c r="U644" s="177">
        <v>44804</v>
      </c>
      <c r="V644" s="105">
        <v>44789</v>
      </c>
      <c r="W644" s="178" t="s">
        <v>4450</v>
      </c>
      <c r="X644" s="170" t="s">
        <v>70</v>
      </c>
      <c r="Y644" s="200">
        <v>44788</v>
      </c>
      <c r="Z644" s="368" t="s">
        <v>4616</v>
      </c>
      <c r="AA644" s="33" t="s">
        <v>4525</v>
      </c>
      <c r="AB644" s="8">
        <v>44664</v>
      </c>
      <c r="AC644" s="79">
        <v>729486</v>
      </c>
      <c r="AD644" s="79"/>
      <c r="AE644" s="651"/>
      <c r="AF644" s="582" t="s">
        <v>68</v>
      </c>
      <c r="AG644" s="583" t="s">
        <v>68</v>
      </c>
      <c r="AH644" s="583" t="s">
        <v>68</v>
      </c>
      <c r="AI644" s="584" t="s">
        <v>68</v>
      </c>
      <c r="AJ644" s="581" t="s">
        <v>68</v>
      </c>
      <c r="AK644" s="33" t="s">
        <v>3573</v>
      </c>
      <c r="AL644" s="1" t="s">
        <v>68</v>
      </c>
      <c r="AM644" s="5"/>
      <c r="AN644" s="1">
        <v>2702065</v>
      </c>
      <c r="AO644" s="5">
        <v>44796</v>
      </c>
      <c r="AP644" s="1804" t="s">
        <v>74</v>
      </c>
      <c r="AQ644" s="5"/>
      <c r="AR644" s="279">
        <v>80908.479999999996</v>
      </c>
      <c r="AS644" s="35">
        <v>0</v>
      </c>
      <c r="AT644" s="895">
        <v>817756.14</v>
      </c>
      <c r="AU644" s="884"/>
      <c r="AV644" s="350" t="s">
        <v>74</v>
      </c>
      <c r="AW644" s="11"/>
      <c r="AX644" s="223" t="s">
        <v>68</v>
      </c>
      <c r="AY644" s="52" t="s">
        <v>68</v>
      </c>
      <c r="AZ644" s="70">
        <v>44833</v>
      </c>
      <c r="BA644" s="5">
        <v>44795</v>
      </c>
      <c r="BB644" s="5">
        <v>44833</v>
      </c>
      <c r="BC644" s="11">
        <v>44833</v>
      </c>
      <c r="BD644" s="350" t="s">
        <v>74</v>
      </c>
      <c r="BE644" s="1616" t="str">
        <f t="shared" si="21"/>
        <v>GMJ 009 C-OP/2022</v>
      </c>
      <c r="BF644" s="5"/>
      <c r="BG644" s="5"/>
      <c r="BH644" s="5"/>
      <c r="BI644" s="36"/>
      <c r="BJ644" s="1807" t="s">
        <v>74</v>
      </c>
      <c r="BK644" s="1807"/>
      <c r="BL644" s="70">
        <v>44792</v>
      </c>
      <c r="BM644" s="1805" t="s">
        <v>74</v>
      </c>
      <c r="BN644" s="1805" t="s">
        <v>74</v>
      </c>
      <c r="BO644" s="1392"/>
      <c r="BP644" s="914">
        <v>44809</v>
      </c>
      <c r="BQ644" s="1806" t="s">
        <v>74</v>
      </c>
      <c r="BR644" s="914">
        <v>44818</v>
      </c>
      <c r="BS644" s="914">
        <v>44833</v>
      </c>
      <c r="BT644" s="914">
        <v>44727</v>
      </c>
      <c r="BU644" s="1645">
        <v>0</v>
      </c>
      <c r="BV644" s="1647">
        <v>0</v>
      </c>
      <c r="BW644" s="13"/>
      <c r="BX644" s="158"/>
      <c r="BY644" s="13"/>
      <c r="BZ644" s="13"/>
      <c r="CA644" s="13"/>
      <c r="CB644" s="1222" t="s">
        <v>3944</v>
      </c>
      <c r="CC644" s="38"/>
      <c r="CD644" s="526"/>
      <c r="CE644" s="526"/>
      <c r="CF644" s="526"/>
      <c r="CG644" s="526"/>
      <c r="CH644" s="526"/>
      <c r="CI644" s="526"/>
      <c r="CJ644" s="526"/>
      <c r="CK644" s="15"/>
    </row>
    <row r="645" spans="2:89" ht="102.75" hidden="1" customHeight="1">
      <c r="B645" s="22"/>
      <c r="C645" s="1639"/>
      <c r="D645" s="1799"/>
      <c r="E645" s="911">
        <v>44805</v>
      </c>
      <c r="F645" s="911">
        <v>44768</v>
      </c>
      <c r="G645" s="915">
        <v>45085</v>
      </c>
      <c r="H645" s="1746"/>
      <c r="I645" s="330">
        <v>44902</v>
      </c>
      <c r="J645" s="169">
        <v>2022</v>
      </c>
      <c r="K645" s="1417">
        <v>224010</v>
      </c>
      <c r="L645" s="1417"/>
      <c r="M645" s="170" t="s">
        <v>77</v>
      </c>
      <c r="N645" s="178" t="s">
        <v>4352</v>
      </c>
      <c r="O645" s="172" t="s">
        <v>79</v>
      </c>
      <c r="P645" s="173" t="s">
        <v>4472</v>
      </c>
      <c r="Q645" s="173" t="s">
        <v>1975</v>
      </c>
      <c r="R645" s="594">
        <v>1697255.04</v>
      </c>
      <c r="S645" s="590">
        <v>44763</v>
      </c>
      <c r="T645" s="176">
        <v>44767</v>
      </c>
      <c r="U645" s="177">
        <v>44814</v>
      </c>
      <c r="V645" s="105">
        <v>44762</v>
      </c>
      <c r="W645" s="178" t="s">
        <v>739</v>
      </c>
      <c r="X645" s="170" t="s">
        <v>70</v>
      </c>
      <c r="Y645" s="200">
        <v>44757</v>
      </c>
      <c r="Z645" s="1374" t="s">
        <v>74</v>
      </c>
      <c r="AA645" s="33" t="s">
        <v>4526</v>
      </c>
      <c r="AB645" s="8">
        <v>44704</v>
      </c>
      <c r="AC645" s="79">
        <v>1519708.04</v>
      </c>
      <c r="AD645" s="79"/>
      <c r="AE645" s="651"/>
      <c r="AF645" s="582" t="s">
        <v>68</v>
      </c>
      <c r="AG645" s="583" t="s">
        <v>68</v>
      </c>
      <c r="AH645" s="583" t="s">
        <v>68</v>
      </c>
      <c r="AI645" s="584" t="s">
        <v>68</v>
      </c>
      <c r="AJ645" s="581" t="s">
        <v>68</v>
      </c>
      <c r="AK645" s="33" t="s">
        <v>4553</v>
      </c>
      <c r="AL645" s="1">
        <v>2694556</v>
      </c>
      <c r="AM645" s="5">
        <v>44763</v>
      </c>
      <c r="AN645" s="1">
        <v>2694557</v>
      </c>
      <c r="AO645" s="5">
        <v>44763</v>
      </c>
      <c r="AP645" s="1">
        <v>2721155</v>
      </c>
      <c r="AQ645" s="5">
        <v>44817</v>
      </c>
      <c r="AR645" s="279">
        <f>509176.51+169725.5+169725.5</f>
        <v>848627.51</v>
      </c>
      <c r="AS645" s="35">
        <v>0</v>
      </c>
      <c r="AT645" s="895">
        <v>1697255.04</v>
      </c>
      <c r="AU645" s="884"/>
      <c r="AV645" s="70">
        <v>44767</v>
      </c>
      <c r="AW645" s="11">
        <v>44798</v>
      </c>
      <c r="AX645" s="223" t="s">
        <v>68</v>
      </c>
      <c r="AY645" s="52" t="s">
        <v>68</v>
      </c>
      <c r="AZ645" s="70">
        <v>44816</v>
      </c>
      <c r="BA645" s="5">
        <v>44767</v>
      </c>
      <c r="BB645" s="5">
        <v>44814</v>
      </c>
      <c r="BC645" s="11">
        <v>44814</v>
      </c>
      <c r="BD645" s="70">
        <v>44818</v>
      </c>
      <c r="BE645" s="1616" t="str">
        <f t="shared" si="21"/>
        <v>GMJ 010 C-OP/2022</v>
      </c>
      <c r="BF645" s="5">
        <v>44767</v>
      </c>
      <c r="BG645" s="5">
        <v>44814</v>
      </c>
      <c r="BH645" s="5">
        <v>44814</v>
      </c>
      <c r="BI645" s="36">
        <f>1697255.04</f>
        <v>1697255.04</v>
      </c>
      <c r="BJ645" s="68">
        <v>44818</v>
      </c>
      <c r="BK645" s="68"/>
      <c r="BL645" s="70">
        <v>44764</v>
      </c>
      <c r="BM645" s="71">
        <v>44766</v>
      </c>
      <c r="BN645" s="71">
        <v>44766</v>
      </c>
      <c r="BO645" s="1392"/>
      <c r="BP645" s="914">
        <v>44763</v>
      </c>
      <c r="BQ645" s="914">
        <v>44812</v>
      </c>
      <c r="BR645" s="914">
        <v>44763</v>
      </c>
      <c r="BS645" s="914">
        <v>44814</v>
      </c>
      <c r="BT645" s="914">
        <v>44907</v>
      </c>
      <c r="BU645" s="1645">
        <v>1</v>
      </c>
      <c r="BV645" s="1647">
        <v>0</v>
      </c>
      <c r="BW645" s="13"/>
      <c r="BX645" s="158"/>
      <c r="BY645" s="13"/>
      <c r="BZ645" s="13"/>
      <c r="CA645" s="13"/>
      <c r="CB645" s="1222" t="s">
        <v>3944</v>
      </c>
      <c r="CC645" s="38"/>
      <c r="CD645" s="526"/>
      <c r="CE645" s="526"/>
      <c r="CF645" s="526"/>
      <c r="CG645" s="526"/>
      <c r="CH645" s="526"/>
      <c r="CI645" s="526"/>
      <c r="CJ645" s="526"/>
      <c r="CK645" s="15"/>
    </row>
    <row r="646" spans="2:89" ht="101.25" hidden="1" customHeight="1">
      <c r="B646" s="22"/>
      <c r="C646" s="1639">
        <v>45068</v>
      </c>
      <c r="D646" s="1799">
        <v>3</v>
      </c>
      <c r="E646" s="911">
        <v>44805</v>
      </c>
      <c r="F646" s="911">
        <v>44802</v>
      </c>
      <c r="G646" s="915">
        <v>45078</v>
      </c>
      <c r="H646" s="1746"/>
      <c r="I646" s="330">
        <v>44902</v>
      </c>
      <c r="J646" s="169">
        <v>2022</v>
      </c>
      <c r="K646" s="1417">
        <v>224011</v>
      </c>
      <c r="L646" s="1417"/>
      <c r="M646" s="170" t="s">
        <v>166</v>
      </c>
      <c r="N646" s="178" t="s">
        <v>4353</v>
      </c>
      <c r="O646" s="172" t="s">
        <v>79</v>
      </c>
      <c r="P646" s="173" t="s">
        <v>4480</v>
      </c>
      <c r="Q646" s="173" t="s">
        <v>1975</v>
      </c>
      <c r="R646" s="594">
        <v>1343062.53</v>
      </c>
      <c r="S646" s="590">
        <v>44767</v>
      </c>
      <c r="T646" s="176">
        <v>44770</v>
      </c>
      <c r="U646" s="177">
        <v>44814</v>
      </c>
      <c r="V646" s="105">
        <v>44764</v>
      </c>
      <c r="W646" s="178" t="s">
        <v>739</v>
      </c>
      <c r="X646" s="170" t="s">
        <v>449</v>
      </c>
      <c r="Y646" s="200" t="s">
        <v>1428</v>
      </c>
      <c r="Z646" s="368" t="s">
        <v>5020</v>
      </c>
      <c r="AA646" s="33" t="s">
        <v>4527</v>
      </c>
      <c r="AB646" s="8">
        <v>44729</v>
      </c>
      <c r="AC646" s="79">
        <v>1053007.45</v>
      </c>
      <c r="AD646" s="79"/>
      <c r="AE646" s="651"/>
      <c r="AF646" s="582" t="s">
        <v>68</v>
      </c>
      <c r="AG646" s="583" t="s">
        <v>68</v>
      </c>
      <c r="AH646" s="583" t="s">
        <v>68</v>
      </c>
      <c r="AI646" s="584" t="s">
        <v>68</v>
      </c>
      <c r="AJ646" s="581" t="s">
        <v>68</v>
      </c>
      <c r="AK646" s="33" t="s">
        <v>4196</v>
      </c>
      <c r="AL646" s="1">
        <v>2694589</v>
      </c>
      <c r="AM646" s="5">
        <v>44770</v>
      </c>
      <c r="AN646" s="1">
        <v>2694591</v>
      </c>
      <c r="AO646" s="5">
        <v>44767</v>
      </c>
      <c r="AP646" s="1">
        <v>2721252</v>
      </c>
      <c r="AQ646" s="5">
        <v>44802</v>
      </c>
      <c r="AR646" s="279">
        <f>402918.75+134306.25+134306.25</f>
        <v>671531.25</v>
      </c>
      <c r="AS646" s="35">
        <v>0</v>
      </c>
      <c r="AT646" s="895">
        <v>1343062.54</v>
      </c>
      <c r="AU646" s="884"/>
      <c r="AV646" s="70">
        <v>44769</v>
      </c>
      <c r="AW646" s="11">
        <v>44800</v>
      </c>
      <c r="AX646" s="223" t="s">
        <v>68</v>
      </c>
      <c r="AY646" s="52" t="s">
        <v>68</v>
      </c>
      <c r="AZ646" s="70">
        <v>44802</v>
      </c>
      <c r="BA646" s="71">
        <v>44769</v>
      </c>
      <c r="BB646" s="71">
        <v>44814</v>
      </c>
      <c r="BC646" s="127">
        <v>44800</v>
      </c>
      <c r="BD646" s="70">
        <v>44802</v>
      </c>
      <c r="BE646" s="1616" t="str">
        <f t="shared" si="21"/>
        <v>GMJ 011 C-OP/2022</v>
      </c>
      <c r="BF646" s="5">
        <v>44769</v>
      </c>
      <c r="BG646" s="5">
        <v>44814</v>
      </c>
      <c r="BH646" s="5">
        <v>44831</v>
      </c>
      <c r="BI646" s="36">
        <f>AS646+AT646-0.01</f>
        <v>1343062.53</v>
      </c>
      <c r="BJ646" s="1807" t="s">
        <v>74</v>
      </c>
      <c r="BK646" s="1807"/>
      <c r="BL646" s="70">
        <v>44768</v>
      </c>
      <c r="BM646" s="71">
        <v>44768</v>
      </c>
      <c r="BN646" s="71">
        <v>44768</v>
      </c>
      <c r="BO646" s="1392"/>
      <c r="BP646" s="914">
        <v>44762</v>
      </c>
      <c r="BQ646" s="914">
        <v>44768</v>
      </c>
      <c r="BR646" s="914">
        <v>44762</v>
      </c>
      <c r="BS646" s="914">
        <v>44800</v>
      </c>
      <c r="BT646" s="914">
        <v>44802</v>
      </c>
      <c r="BU646" s="1645">
        <v>0</v>
      </c>
      <c r="BV646" s="1647">
        <v>0</v>
      </c>
      <c r="BW646" s="13"/>
      <c r="BX646" s="158"/>
      <c r="BY646" s="13"/>
      <c r="BZ646" s="13"/>
      <c r="CA646" s="13"/>
      <c r="CB646" s="1222" t="s">
        <v>3944</v>
      </c>
      <c r="CC646" s="38"/>
      <c r="CD646" s="526"/>
      <c r="CE646" s="526"/>
      <c r="CF646" s="526"/>
      <c r="CG646" s="526"/>
      <c r="CH646" s="526"/>
      <c r="CI646" s="526"/>
      <c r="CJ646" s="526"/>
      <c r="CK646" s="15"/>
    </row>
    <row r="647" spans="2:89" ht="71.25" hidden="1" customHeight="1">
      <c r="B647" s="22"/>
      <c r="C647" s="1639"/>
      <c r="D647" s="1639"/>
      <c r="E647" s="911">
        <v>45170</v>
      </c>
      <c r="F647" s="911"/>
      <c r="G647" s="915">
        <v>45076</v>
      </c>
      <c r="H647" s="1746"/>
      <c r="I647" s="330">
        <v>44902</v>
      </c>
      <c r="J647" s="169">
        <v>2022</v>
      </c>
      <c r="K647" s="1417">
        <v>224012</v>
      </c>
      <c r="L647" s="1417"/>
      <c r="M647" s="170" t="s">
        <v>166</v>
      </c>
      <c r="N647" s="178" t="s">
        <v>4354</v>
      </c>
      <c r="O647" s="172" t="s">
        <v>79</v>
      </c>
      <c r="P647" s="173" t="s">
        <v>4486</v>
      </c>
      <c r="Q647" s="173" t="s">
        <v>1975</v>
      </c>
      <c r="R647" s="594">
        <v>85733.34</v>
      </c>
      <c r="S647" s="590">
        <v>44816</v>
      </c>
      <c r="T647" s="176">
        <v>44817</v>
      </c>
      <c r="U647" s="177">
        <v>44834</v>
      </c>
      <c r="V647" s="105">
        <v>44813</v>
      </c>
      <c r="W647" s="178" t="s">
        <v>4447</v>
      </c>
      <c r="X647" s="170" t="s">
        <v>449</v>
      </c>
      <c r="Y647" s="200" t="s">
        <v>1428</v>
      </c>
      <c r="Z647" s="368" t="s">
        <v>5020</v>
      </c>
      <c r="AA647" s="33" t="s">
        <v>4528</v>
      </c>
      <c r="AB647" s="8">
        <v>44813</v>
      </c>
      <c r="AC647" s="79">
        <v>85733.34</v>
      </c>
      <c r="AD647" s="79"/>
      <c r="AE647" s="651"/>
      <c r="AF647" s="582" t="s">
        <v>68</v>
      </c>
      <c r="AG647" s="583" t="s">
        <v>68</v>
      </c>
      <c r="AH647" s="583" t="s">
        <v>68</v>
      </c>
      <c r="AI647" s="584" t="s">
        <v>68</v>
      </c>
      <c r="AJ647" s="581" t="s">
        <v>68</v>
      </c>
      <c r="AK647" s="33"/>
      <c r="AL647" s="1"/>
      <c r="AM647" s="5"/>
      <c r="AN647" s="1804" t="s">
        <v>74</v>
      </c>
      <c r="AO647" s="5"/>
      <c r="AP647" s="1804" t="s">
        <v>74</v>
      </c>
      <c r="AQ647" s="5"/>
      <c r="AR647" s="279">
        <v>0</v>
      </c>
      <c r="AS647" s="35">
        <v>0</v>
      </c>
      <c r="AT647" s="895"/>
      <c r="AU647" s="884"/>
      <c r="AV647" s="70">
        <v>44819</v>
      </c>
      <c r="AW647" s="11">
        <v>44828</v>
      </c>
      <c r="AX647" s="223" t="s">
        <v>68</v>
      </c>
      <c r="AY647" s="52" t="s">
        <v>68</v>
      </c>
      <c r="AZ647" s="350" t="s">
        <v>74</v>
      </c>
      <c r="BA647" s="5"/>
      <c r="BB647" s="5"/>
      <c r="BC647" s="11"/>
      <c r="BD647" s="350" t="s">
        <v>74</v>
      </c>
      <c r="BE647" s="1616" t="str">
        <f t="shared" si="21"/>
        <v>GMJ 012 C-OP/2022</v>
      </c>
      <c r="BF647" s="5"/>
      <c r="BG647" s="5"/>
      <c r="BH647" s="5"/>
      <c r="BI647" s="36">
        <f>AS647+AT647</f>
        <v>0</v>
      </c>
      <c r="BJ647" s="1807" t="s">
        <v>74</v>
      </c>
      <c r="BK647" s="1807"/>
      <c r="BL647" s="70">
        <v>44816</v>
      </c>
      <c r="BM647" s="71">
        <v>44813</v>
      </c>
      <c r="BN647" s="71">
        <v>44816</v>
      </c>
      <c r="BO647" s="1806"/>
      <c r="BP647" s="914">
        <v>44813</v>
      </c>
      <c r="BQ647" s="914">
        <v>44813</v>
      </c>
      <c r="BR647" s="914">
        <v>44813</v>
      </c>
      <c r="BS647" s="914">
        <v>44828</v>
      </c>
      <c r="BT647" s="914">
        <v>44830</v>
      </c>
      <c r="BU647" s="1645"/>
      <c r="BV647" s="1647"/>
      <c r="BW647" s="13"/>
      <c r="BX647" s="158"/>
      <c r="BY647" s="13"/>
      <c r="BZ647" s="13"/>
      <c r="CA647" s="13"/>
      <c r="CB647" s="1222" t="s">
        <v>3944</v>
      </c>
      <c r="CC647" s="38"/>
      <c r="CD647" s="526"/>
      <c r="CE647" s="526"/>
      <c r="CF647" s="526"/>
      <c r="CG647" s="526"/>
      <c r="CH647" s="526"/>
      <c r="CI647" s="526"/>
      <c r="CJ647" s="526"/>
      <c r="CK647" s="15"/>
    </row>
    <row r="648" spans="2:89" ht="158.25" hidden="1" customHeight="1">
      <c r="B648" s="22"/>
      <c r="C648" s="1639"/>
      <c r="D648" s="1639"/>
      <c r="E648" s="911">
        <v>45170</v>
      </c>
      <c r="F648" s="911"/>
      <c r="G648" s="915">
        <v>45076</v>
      </c>
      <c r="H648" s="1746"/>
      <c r="I648" s="330">
        <v>44904</v>
      </c>
      <c r="J648" s="169">
        <v>2022</v>
      </c>
      <c r="K648" s="1417">
        <v>224013</v>
      </c>
      <c r="L648" s="1417"/>
      <c r="M648" s="170" t="s">
        <v>77</v>
      </c>
      <c r="N648" s="178" t="s">
        <v>4487</v>
      </c>
      <c r="O648" s="172" t="s">
        <v>3212</v>
      </c>
      <c r="P648" s="173" t="s">
        <v>5961</v>
      </c>
      <c r="Q648" s="173" t="s">
        <v>1975</v>
      </c>
      <c r="R648" s="594">
        <v>4165845.27</v>
      </c>
      <c r="S648" s="590">
        <v>44810</v>
      </c>
      <c r="T648" s="176">
        <v>44812</v>
      </c>
      <c r="U648" s="177">
        <v>44834</v>
      </c>
      <c r="V648" s="105" t="s">
        <v>1428</v>
      </c>
      <c r="W648" s="178" t="s">
        <v>4488</v>
      </c>
      <c r="X648" s="170" t="s">
        <v>70</v>
      </c>
      <c r="Y648" s="1650">
        <v>44805</v>
      </c>
      <c r="Z648" s="368" t="s">
        <v>5021</v>
      </c>
      <c r="AA648" s="33" t="s">
        <v>4554</v>
      </c>
      <c r="AB648" s="8">
        <v>44813</v>
      </c>
      <c r="AC648" s="79">
        <v>4164845.27</v>
      </c>
      <c r="AD648" s="79"/>
      <c r="AE648" s="651"/>
      <c r="AF648" s="708">
        <v>44796</v>
      </c>
      <c r="AG648" s="180">
        <v>44798</v>
      </c>
      <c r="AH648" s="180">
        <v>44799</v>
      </c>
      <c r="AI648" s="179">
        <v>44804</v>
      </c>
      <c r="AJ648" s="685">
        <v>44796</v>
      </c>
      <c r="AK648" s="33" t="s">
        <v>4555</v>
      </c>
      <c r="AL648" s="1">
        <v>2180241</v>
      </c>
      <c r="AM648" s="5">
        <v>44810</v>
      </c>
      <c r="AN648" s="1">
        <v>2180237</v>
      </c>
      <c r="AO648" s="5">
        <v>44810</v>
      </c>
      <c r="AP648" s="1">
        <v>2193114</v>
      </c>
      <c r="AQ648" s="5">
        <v>44848</v>
      </c>
      <c r="AR648" s="279">
        <f>1249753.58+416584.53+449151.07</f>
        <v>2115489.1800000002</v>
      </c>
      <c r="AS648" s="35">
        <v>0</v>
      </c>
      <c r="AT648" s="895">
        <v>4491510.7300000004</v>
      </c>
      <c r="AU648" s="884"/>
      <c r="AV648" s="70">
        <v>44812</v>
      </c>
      <c r="AW648" s="11">
        <v>44844</v>
      </c>
      <c r="AX648" s="223" t="s">
        <v>68</v>
      </c>
      <c r="AY648" s="52" t="s">
        <v>68</v>
      </c>
      <c r="AZ648" s="70">
        <v>44848</v>
      </c>
      <c r="BA648" s="71">
        <v>44812</v>
      </c>
      <c r="BB648" s="71">
        <v>44834</v>
      </c>
      <c r="BC648" s="127">
        <v>44848</v>
      </c>
      <c r="BD648" s="70">
        <v>44848</v>
      </c>
      <c r="BE648" s="1616" t="s">
        <v>5022</v>
      </c>
      <c r="BF648" s="5">
        <v>44812</v>
      </c>
      <c r="BG648" s="5">
        <v>44834</v>
      </c>
      <c r="BH648" s="5">
        <v>44848</v>
      </c>
      <c r="BI648" s="36">
        <f>AS648+AT648+0.01</f>
        <v>4491510.74</v>
      </c>
      <c r="BJ648" s="68">
        <v>44848</v>
      </c>
      <c r="BK648" s="68"/>
      <c r="BL648" s="70">
        <v>44811</v>
      </c>
      <c r="BM648" s="71">
        <v>44811</v>
      </c>
      <c r="BN648" s="71">
        <v>44811</v>
      </c>
      <c r="BO648" s="1392"/>
      <c r="BP648" s="1806" t="s">
        <v>74</v>
      </c>
      <c r="BQ648" s="914">
        <v>44804</v>
      </c>
      <c r="BR648" s="914">
        <v>44804</v>
      </c>
      <c r="BS648" s="914">
        <v>44848</v>
      </c>
      <c r="BT648" s="914">
        <v>44848</v>
      </c>
      <c r="BU648" s="1645">
        <v>2</v>
      </c>
      <c r="BV648" s="1647">
        <v>2</v>
      </c>
      <c r="BW648" s="13"/>
      <c r="BX648" s="158"/>
      <c r="BY648" s="13"/>
      <c r="BZ648" s="13"/>
      <c r="CA648" s="13"/>
      <c r="CB648" s="1222" t="s">
        <v>3944</v>
      </c>
      <c r="CC648" s="38"/>
      <c r="CD648" s="526"/>
      <c r="CE648" s="526"/>
      <c r="CF648" s="526"/>
      <c r="CG648" s="526"/>
      <c r="CH648" s="526"/>
      <c r="CI648" s="526"/>
      <c r="CJ648" s="526"/>
      <c r="CK648" s="15"/>
    </row>
    <row r="649" spans="2:89" ht="118.5" hidden="1" customHeight="1">
      <c r="B649" s="22"/>
      <c r="C649" s="1639"/>
      <c r="D649" s="1639"/>
      <c r="E649" s="911">
        <v>45170</v>
      </c>
      <c r="F649" s="911"/>
      <c r="G649" s="915">
        <v>45076</v>
      </c>
      <c r="H649" s="1746"/>
      <c r="I649" s="330">
        <v>45084</v>
      </c>
      <c r="J649" s="169">
        <v>2022</v>
      </c>
      <c r="K649" s="1417">
        <v>224014</v>
      </c>
      <c r="L649" s="1417"/>
      <c r="M649" s="170" t="s">
        <v>77</v>
      </c>
      <c r="N649" s="178" t="s">
        <v>4518</v>
      </c>
      <c r="O649" s="172" t="s">
        <v>3212</v>
      </c>
      <c r="P649" s="173" t="s">
        <v>4515</v>
      </c>
      <c r="Q649" s="173" t="s">
        <v>4409</v>
      </c>
      <c r="R649" s="594">
        <v>4216204.78</v>
      </c>
      <c r="S649" s="590">
        <v>44839</v>
      </c>
      <c r="T649" s="176">
        <v>44847</v>
      </c>
      <c r="U649" s="177">
        <v>44895</v>
      </c>
      <c r="V649" s="105" t="s">
        <v>1428</v>
      </c>
      <c r="W649" s="178" t="s">
        <v>225</v>
      </c>
      <c r="X649" s="170" t="s">
        <v>449</v>
      </c>
      <c r="Y649" s="200">
        <v>44841</v>
      </c>
      <c r="Z649" s="368" t="s">
        <v>5003</v>
      </c>
      <c r="AA649" s="33" t="s">
        <v>4529</v>
      </c>
      <c r="AB649" s="8">
        <v>44692</v>
      </c>
      <c r="AC649" s="79">
        <v>4500000</v>
      </c>
      <c r="AD649" s="79"/>
      <c r="AE649" s="651"/>
      <c r="AF649" s="708">
        <v>44830</v>
      </c>
      <c r="AG649" s="180">
        <v>44832</v>
      </c>
      <c r="AH649" s="180">
        <v>44832</v>
      </c>
      <c r="AI649" s="179">
        <v>44837</v>
      </c>
      <c r="AJ649" s="685">
        <v>44839</v>
      </c>
      <c r="AK649" s="33" t="s">
        <v>5023</v>
      </c>
      <c r="AL649" s="1" t="s">
        <v>5024</v>
      </c>
      <c r="AM649" s="5">
        <v>44839</v>
      </c>
      <c r="AN649" s="1" t="s">
        <v>5025</v>
      </c>
      <c r="AO649" s="5">
        <v>44839</v>
      </c>
      <c r="AP649" s="1" t="s">
        <v>5026</v>
      </c>
      <c r="AQ649" s="5">
        <v>44895</v>
      </c>
      <c r="AR649" s="279">
        <f>1264861.34+421620.47+542686.5</f>
        <v>2229168.31</v>
      </c>
      <c r="AS649" s="35">
        <v>0</v>
      </c>
      <c r="AT649" s="895">
        <v>5426864.9299999997</v>
      </c>
      <c r="AU649" s="884"/>
      <c r="AV649" s="70">
        <v>44861</v>
      </c>
      <c r="AW649" s="11">
        <v>44924</v>
      </c>
      <c r="AX649" s="223" t="s">
        <v>68</v>
      </c>
      <c r="AY649" s="52" t="s">
        <v>68</v>
      </c>
      <c r="AZ649" s="70">
        <v>44925</v>
      </c>
      <c r="BA649" s="5">
        <v>44861</v>
      </c>
      <c r="BB649" s="5">
        <v>44895</v>
      </c>
      <c r="BC649" s="11">
        <v>44925</v>
      </c>
      <c r="BD649" s="70">
        <v>44925</v>
      </c>
      <c r="BE649" s="1616" t="s">
        <v>5027</v>
      </c>
      <c r="BF649" s="5">
        <v>44861</v>
      </c>
      <c r="BG649" s="5">
        <v>44895</v>
      </c>
      <c r="BH649" s="5">
        <v>44925</v>
      </c>
      <c r="BI649" s="36">
        <f>AS649+AT649+0.1</f>
        <v>5426865.0299999993</v>
      </c>
      <c r="BJ649" s="68">
        <v>44925</v>
      </c>
      <c r="BK649" s="68"/>
      <c r="BL649" s="70">
        <v>44844</v>
      </c>
      <c r="BM649" s="71">
        <v>44860</v>
      </c>
      <c r="BN649" s="71">
        <v>44860</v>
      </c>
      <c r="BO649" s="1392"/>
      <c r="BP649" s="914">
        <v>44860</v>
      </c>
      <c r="BQ649" s="914">
        <v>44860</v>
      </c>
      <c r="BR649" s="914">
        <v>44860</v>
      </c>
      <c r="BS649" s="914">
        <v>44924</v>
      </c>
      <c r="BT649" s="914">
        <v>44925</v>
      </c>
      <c r="BU649" s="1645">
        <v>5</v>
      </c>
      <c r="BV649" s="1647">
        <v>0</v>
      </c>
      <c r="BW649" s="13"/>
      <c r="BX649" s="158"/>
      <c r="BY649" s="13"/>
      <c r="BZ649" s="13"/>
      <c r="CA649" s="13"/>
      <c r="CB649" s="1222" t="s">
        <v>3944</v>
      </c>
      <c r="CC649" s="38"/>
      <c r="CD649" s="526"/>
      <c r="CE649" s="526"/>
      <c r="CF649" s="526"/>
      <c r="CG649" s="526"/>
      <c r="CH649" s="526"/>
      <c r="CI649" s="526"/>
      <c r="CJ649" s="526"/>
      <c r="CK649" s="15"/>
    </row>
    <row r="650" spans="2:89" ht="101.25" hidden="1" customHeight="1">
      <c r="B650" s="22"/>
      <c r="C650" s="1639">
        <v>45068</v>
      </c>
      <c r="D650" s="1799">
        <v>4</v>
      </c>
      <c r="E650" s="911">
        <v>45170</v>
      </c>
      <c r="F650" s="911"/>
      <c r="G650" s="915">
        <v>45071</v>
      </c>
      <c r="H650" s="1746"/>
      <c r="I650" s="330">
        <v>45084</v>
      </c>
      <c r="J650" s="169">
        <v>2022</v>
      </c>
      <c r="K650" s="1417">
        <v>224015</v>
      </c>
      <c r="L650" s="1417"/>
      <c r="M650" s="170" t="s">
        <v>166</v>
      </c>
      <c r="N650" s="178" t="s">
        <v>4519</v>
      </c>
      <c r="O650" s="172" t="s">
        <v>3212</v>
      </c>
      <c r="P650" s="173" t="s">
        <v>4514</v>
      </c>
      <c r="Q650" s="173" t="s">
        <v>2538</v>
      </c>
      <c r="R650" s="594">
        <v>3845696.93</v>
      </c>
      <c r="S650" s="590">
        <v>44839</v>
      </c>
      <c r="T650" s="176">
        <v>44847</v>
      </c>
      <c r="U650" s="177">
        <v>44895</v>
      </c>
      <c r="V650" s="105" t="s">
        <v>1428</v>
      </c>
      <c r="W650" s="178" t="s">
        <v>2851</v>
      </c>
      <c r="X650" s="170" t="s">
        <v>449</v>
      </c>
      <c r="Y650" s="200" t="s">
        <v>1428</v>
      </c>
      <c r="Z650" s="368"/>
      <c r="AA650" s="33" t="s">
        <v>4530</v>
      </c>
      <c r="AB650" s="8">
        <v>44862</v>
      </c>
      <c r="AC650" s="79">
        <v>3845696.93</v>
      </c>
      <c r="AD650" s="79"/>
      <c r="AE650" s="651"/>
      <c r="AF650" s="708">
        <v>44830</v>
      </c>
      <c r="AG650" s="180">
        <v>44832</v>
      </c>
      <c r="AH650" s="180">
        <v>44832</v>
      </c>
      <c r="AI650" s="179">
        <v>44837</v>
      </c>
      <c r="AJ650" s="685">
        <v>44839</v>
      </c>
      <c r="AK650" s="33" t="s">
        <v>5028</v>
      </c>
      <c r="AL650" s="1">
        <v>224657</v>
      </c>
      <c r="AM650" s="5">
        <v>44847</v>
      </c>
      <c r="AN650" s="1">
        <v>224658</v>
      </c>
      <c r="AO650" s="5">
        <v>44847</v>
      </c>
      <c r="AP650" s="1">
        <v>224659</v>
      </c>
      <c r="AQ650" s="5">
        <v>44895</v>
      </c>
      <c r="AR650" s="279">
        <f>1153709.08+384569.69+384569.69</f>
        <v>1922848.46</v>
      </c>
      <c r="AS650" s="35">
        <v>0</v>
      </c>
      <c r="AT650" s="895"/>
      <c r="AU650" s="884"/>
      <c r="AV650" s="70">
        <v>44847</v>
      </c>
      <c r="AW650" s="11">
        <v>44912</v>
      </c>
      <c r="AX650" s="223" t="s">
        <v>68</v>
      </c>
      <c r="AY650" s="52" t="s">
        <v>68</v>
      </c>
      <c r="AZ650" s="70">
        <v>44922</v>
      </c>
      <c r="BA650" s="71">
        <v>44847</v>
      </c>
      <c r="BB650" s="71">
        <v>44926</v>
      </c>
      <c r="BC650" s="127"/>
      <c r="BD650" s="70">
        <v>44923</v>
      </c>
      <c r="BE650" s="1616" t="str">
        <f t="shared" si="21"/>
        <v>PROGRAMA CUENTA CORRIENTE-OP-CSS-015/2022</v>
      </c>
      <c r="BF650" s="5">
        <v>44847</v>
      </c>
      <c r="BG650" s="5">
        <v>44885</v>
      </c>
      <c r="BH650" s="5">
        <v>44921</v>
      </c>
      <c r="BI650" s="36">
        <v>4054886.62</v>
      </c>
      <c r="BJ650" s="68">
        <v>44924</v>
      </c>
      <c r="BK650" s="68"/>
      <c r="BL650" s="70">
        <v>44844</v>
      </c>
      <c r="BM650" s="71">
        <v>44846</v>
      </c>
      <c r="BN650" s="71">
        <v>44846</v>
      </c>
      <c r="BO650" s="1392"/>
      <c r="BP650" s="914">
        <v>44846</v>
      </c>
      <c r="BQ650" s="914">
        <v>44846</v>
      </c>
      <c r="BR650" s="914">
        <v>44846</v>
      </c>
      <c r="BS650" s="914">
        <v>44914</v>
      </c>
      <c r="BT650" s="1392"/>
      <c r="BU650" s="1645">
        <v>1</v>
      </c>
      <c r="BV650" s="1647">
        <v>0</v>
      </c>
      <c r="BW650" s="13"/>
      <c r="BX650" s="158"/>
      <c r="BY650" s="13"/>
      <c r="BZ650" s="13"/>
      <c r="CA650" s="13"/>
      <c r="CB650" s="1222" t="s">
        <v>3944</v>
      </c>
      <c r="CC650" s="38"/>
      <c r="CD650" s="526"/>
      <c r="CE650" s="526"/>
      <c r="CF650" s="526"/>
      <c r="CG650" s="526"/>
      <c r="CH650" s="526"/>
      <c r="CI650" s="526"/>
      <c r="CJ650" s="526"/>
      <c r="CK650" s="15"/>
    </row>
    <row r="651" spans="2:89" ht="99.75" hidden="1" customHeight="1">
      <c r="B651" s="22"/>
      <c r="C651" s="1639"/>
      <c r="D651" s="1639"/>
      <c r="E651" s="911">
        <v>44805</v>
      </c>
      <c r="F651" s="911"/>
      <c r="G651" s="915">
        <v>45070</v>
      </c>
      <c r="H651" s="1746"/>
      <c r="I651" s="330">
        <v>44902</v>
      </c>
      <c r="J651" s="169">
        <v>2022</v>
      </c>
      <c r="K651" s="1417">
        <v>224016</v>
      </c>
      <c r="L651" s="1417"/>
      <c r="M651" s="170" t="s">
        <v>77</v>
      </c>
      <c r="N651" s="178" t="s">
        <v>4355</v>
      </c>
      <c r="O651" s="172" t="s">
        <v>79</v>
      </c>
      <c r="P651" s="173" t="s">
        <v>4509</v>
      </c>
      <c r="Q651" s="173" t="s">
        <v>2577</v>
      </c>
      <c r="R651" s="594">
        <v>645484.5</v>
      </c>
      <c r="S651" s="590">
        <v>44851</v>
      </c>
      <c r="T651" s="176">
        <v>44865</v>
      </c>
      <c r="U651" s="177">
        <v>44883</v>
      </c>
      <c r="V651" s="105">
        <v>44848</v>
      </c>
      <c r="W651" s="178" t="s">
        <v>2849</v>
      </c>
      <c r="X651" s="170" t="s">
        <v>70</v>
      </c>
      <c r="Y651" s="200">
        <v>44823</v>
      </c>
      <c r="Z651" s="368" t="s">
        <v>5029</v>
      </c>
      <c r="AA651" s="33" t="s">
        <v>4531</v>
      </c>
      <c r="AB651" s="8">
        <v>44847</v>
      </c>
      <c r="AC651" s="79">
        <v>645484.5</v>
      </c>
      <c r="AD651" s="79"/>
      <c r="AE651" s="651"/>
      <c r="AF651" s="582" t="s">
        <v>68</v>
      </c>
      <c r="AG651" s="583" t="s">
        <v>68</v>
      </c>
      <c r="AH651" s="583" t="s">
        <v>68</v>
      </c>
      <c r="AI651" s="584" t="s">
        <v>68</v>
      </c>
      <c r="AJ651" s="581" t="s">
        <v>68</v>
      </c>
      <c r="AK651" s="115" t="s">
        <v>3555</v>
      </c>
      <c r="AL651" s="128" t="s">
        <v>4556</v>
      </c>
      <c r="AM651" s="71">
        <v>44868</v>
      </c>
      <c r="AN651" s="128" t="s">
        <v>4557</v>
      </c>
      <c r="AO651" s="71">
        <v>44865</v>
      </c>
      <c r="AP651" s="128" t="s">
        <v>4989</v>
      </c>
      <c r="AQ651" s="5">
        <v>44886</v>
      </c>
      <c r="AR651" s="279">
        <f>193645.35+64548.45+87841.72</f>
        <v>346035.52</v>
      </c>
      <c r="AS651" s="35">
        <v>0</v>
      </c>
      <c r="AT651" s="895">
        <v>721865.14</v>
      </c>
      <c r="AU651" s="884"/>
      <c r="AV651" s="350" t="s">
        <v>74</v>
      </c>
      <c r="AW651" s="11"/>
      <c r="AX651" s="223" t="s">
        <v>68</v>
      </c>
      <c r="AY651" s="52" t="s">
        <v>68</v>
      </c>
      <c r="AZ651" s="70">
        <v>44886</v>
      </c>
      <c r="BA651" s="71">
        <v>44865</v>
      </c>
      <c r="BB651" s="71">
        <v>44883</v>
      </c>
      <c r="BC651" s="127">
        <v>44883</v>
      </c>
      <c r="BD651" s="70">
        <v>44891</v>
      </c>
      <c r="BE651" s="1616" t="str">
        <f t="shared" si="21"/>
        <v>GMJ 016 C-OP/2022</v>
      </c>
      <c r="BF651" s="71">
        <v>44865</v>
      </c>
      <c r="BG651" s="71">
        <v>44883</v>
      </c>
      <c r="BH651" s="71">
        <v>44883</v>
      </c>
      <c r="BI651" s="129">
        <v>721865.15</v>
      </c>
      <c r="BJ651" s="68">
        <v>44891</v>
      </c>
      <c r="BK651" s="68"/>
      <c r="BL651" s="70">
        <v>44855</v>
      </c>
      <c r="BM651" s="71">
        <v>44865</v>
      </c>
      <c r="BN651" s="71">
        <v>44865</v>
      </c>
      <c r="BO651" s="1392"/>
      <c r="BP651" s="914">
        <v>44865</v>
      </c>
      <c r="BQ651" s="914">
        <v>44865</v>
      </c>
      <c r="BR651" s="914">
        <v>44865</v>
      </c>
      <c r="BS651" s="914">
        <v>44883</v>
      </c>
      <c r="BT651" s="914">
        <v>44890</v>
      </c>
      <c r="BU651" s="1645">
        <v>3</v>
      </c>
      <c r="BV651" s="1647">
        <v>0</v>
      </c>
      <c r="BW651" s="13"/>
      <c r="BX651" s="158"/>
      <c r="BY651" s="13"/>
      <c r="BZ651" s="13"/>
      <c r="CA651" s="13"/>
      <c r="CB651" s="1222" t="s">
        <v>3944</v>
      </c>
      <c r="CC651" s="38"/>
      <c r="CD651" s="526"/>
      <c r="CE651" s="526"/>
      <c r="CF651" s="526"/>
      <c r="CG651" s="526"/>
      <c r="CH651" s="526"/>
      <c r="CI651" s="526"/>
      <c r="CJ651" s="526"/>
      <c r="CK651" s="15"/>
    </row>
    <row r="652" spans="2:89" ht="101.25" hidden="1" customHeight="1">
      <c r="B652" s="22"/>
      <c r="C652" s="1639"/>
      <c r="D652" s="1639"/>
      <c r="E652" s="911">
        <v>45170</v>
      </c>
      <c r="F652" s="911"/>
      <c r="G652" s="915">
        <v>45075</v>
      </c>
      <c r="H652" s="1746"/>
      <c r="I652" s="330">
        <v>45084</v>
      </c>
      <c r="J652" s="169">
        <v>2022</v>
      </c>
      <c r="K652" s="1417">
        <v>224017</v>
      </c>
      <c r="L652" s="1417"/>
      <c r="M652" s="170" t="s">
        <v>77</v>
      </c>
      <c r="N652" s="178" t="s">
        <v>4516</v>
      </c>
      <c r="O652" s="172" t="s">
        <v>3212</v>
      </c>
      <c r="P652" s="173" t="s">
        <v>4510</v>
      </c>
      <c r="Q652" s="173" t="s">
        <v>1975</v>
      </c>
      <c r="R652" s="594">
        <v>2479806.63</v>
      </c>
      <c r="S652" s="590">
        <v>44859</v>
      </c>
      <c r="T652" s="176">
        <v>44862</v>
      </c>
      <c r="U652" s="177">
        <v>44898</v>
      </c>
      <c r="V652" s="105" t="s">
        <v>1428</v>
      </c>
      <c r="W652" s="178" t="s">
        <v>4511</v>
      </c>
      <c r="X652" s="170" t="s">
        <v>70</v>
      </c>
      <c r="Y652" s="200">
        <v>44855</v>
      </c>
      <c r="Z652" s="368" t="s">
        <v>5029</v>
      </c>
      <c r="AA652" s="33" t="s">
        <v>4532</v>
      </c>
      <c r="AB652" s="8">
        <v>44847</v>
      </c>
      <c r="AC652" s="79">
        <v>2410639.29</v>
      </c>
      <c r="AD652" s="79"/>
      <c r="AE652" s="651"/>
      <c r="AF652" s="708">
        <v>44848</v>
      </c>
      <c r="AG652" s="180">
        <v>44851</v>
      </c>
      <c r="AH652" s="180">
        <v>44851</v>
      </c>
      <c r="AI652" s="179">
        <v>44855</v>
      </c>
      <c r="AJ652" s="685">
        <v>44858</v>
      </c>
      <c r="AK652" s="33" t="s">
        <v>5030</v>
      </c>
      <c r="AL652" s="2" t="s">
        <v>5031</v>
      </c>
      <c r="AM652" s="238">
        <v>44860</v>
      </c>
      <c r="AN652" s="2" t="s">
        <v>5032</v>
      </c>
      <c r="AO652" s="5">
        <v>44860</v>
      </c>
      <c r="AP652" s="1804" t="s">
        <v>74</v>
      </c>
      <c r="AQ652" s="5"/>
      <c r="AR652" s="279">
        <f>743941.99+247980.66</f>
        <v>991922.65</v>
      </c>
      <c r="AS652" s="35">
        <v>0</v>
      </c>
      <c r="AT652" s="895">
        <v>2386238.9700000002</v>
      </c>
      <c r="AU652" s="884"/>
      <c r="AV652" s="350" t="s">
        <v>74</v>
      </c>
      <c r="AW652" s="11"/>
      <c r="AX652" s="223" t="s">
        <v>68</v>
      </c>
      <c r="AY652" s="52" t="s">
        <v>68</v>
      </c>
      <c r="AZ652" s="70">
        <v>44900</v>
      </c>
      <c r="BA652" s="5">
        <v>44862</v>
      </c>
      <c r="BB652" s="5">
        <v>44898</v>
      </c>
      <c r="BC652" s="11">
        <v>44898</v>
      </c>
      <c r="BD652" s="70">
        <v>44901</v>
      </c>
      <c r="BE652" s="1616" t="str">
        <f>N652</f>
        <v>FAIS-RAMO/33-OP-CSS-017/2022</v>
      </c>
      <c r="BF652" s="5">
        <v>44862</v>
      </c>
      <c r="BG652" s="5">
        <v>44898</v>
      </c>
      <c r="BH652" s="5">
        <v>44898</v>
      </c>
      <c r="BI652" s="36">
        <f>AS652+AT652+0.03</f>
        <v>2386239</v>
      </c>
      <c r="BJ652" s="68">
        <v>44901</v>
      </c>
      <c r="BK652" s="68"/>
      <c r="BL652" s="70">
        <v>44859</v>
      </c>
      <c r="BM652" s="71">
        <v>44861</v>
      </c>
      <c r="BN652" s="71">
        <v>44861</v>
      </c>
      <c r="BO652" s="1392"/>
      <c r="BP652" s="914">
        <v>44861</v>
      </c>
      <c r="BQ652" s="914">
        <v>44861</v>
      </c>
      <c r="BR652" s="914">
        <v>44861</v>
      </c>
      <c r="BS652" s="914">
        <v>44839</v>
      </c>
      <c r="BT652" s="1806" t="s">
        <v>74</v>
      </c>
      <c r="BU652" s="1645">
        <v>0</v>
      </c>
      <c r="BV652" s="1647">
        <v>0</v>
      </c>
      <c r="BW652" s="13"/>
      <c r="BX652" s="158"/>
      <c r="BY652" s="13"/>
      <c r="BZ652" s="13"/>
      <c r="CA652" s="13"/>
      <c r="CB652" s="1222" t="s">
        <v>3944</v>
      </c>
      <c r="CC652" s="38"/>
      <c r="CD652" s="526"/>
      <c r="CE652" s="526"/>
      <c r="CF652" s="526"/>
      <c r="CG652" s="526"/>
      <c r="CH652" s="526"/>
      <c r="CI652" s="526"/>
      <c r="CJ652" s="526"/>
      <c r="CK652" s="15"/>
    </row>
    <row r="653" spans="2:89" ht="141" hidden="1" customHeight="1">
      <c r="B653" s="22"/>
      <c r="C653" s="1639"/>
      <c r="D653" s="1639"/>
      <c r="E653" s="911">
        <v>45170</v>
      </c>
      <c r="F653" s="911"/>
      <c r="G653" s="915">
        <v>45065</v>
      </c>
      <c r="H653" s="1746"/>
      <c r="I653" s="330">
        <v>44904</v>
      </c>
      <c r="J653" s="169">
        <v>2022</v>
      </c>
      <c r="K653" s="1417">
        <v>224018</v>
      </c>
      <c r="L653" s="1417"/>
      <c r="M653" s="170" t="s">
        <v>77</v>
      </c>
      <c r="N653" s="178" t="s">
        <v>4517</v>
      </c>
      <c r="O653" s="172" t="s">
        <v>3212</v>
      </c>
      <c r="P653" s="173" t="s">
        <v>4512</v>
      </c>
      <c r="Q653" s="173" t="s">
        <v>1975</v>
      </c>
      <c r="R653" s="594">
        <v>2218847.77</v>
      </c>
      <c r="S653" s="590">
        <v>44859</v>
      </c>
      <c r="T653" s="176">
        <v>44862</v>
      </c>
      <c r="U653" s="177">
        <v>44898</v>
      </c>
      <c r="V653" s="105" t="s">
        <v>1428</v>
      </c>
      <c r="W653" s="178" t="s">
        <v>4513</v>
      </c>
      <c r="X653" s="170" t="s">
        <v>70</v>
      </c>
      <c r="Y653" s="1650">
        <v>44858</v>
      </c>
      <c r="Z653" s="368" t="s">
        <v>4990</v>
      </c>
      <c r="AA653" s="33" t="s">
        <v>4533</v>
      </c>
      <c r="AB653" s="8">
        <v>44847</v>
      </c>
      <c r="AC653" s="79">
        <v>2365630.4500000002</v>
      </c>
      <c r="AD653" s="79"/>
      <c r="AE653" s="651"/>
      <c r="AF653" s="708">
        <v>44848</v>
      </c>
      <c r="AG653" s="180">
        <v>44851</v>
      </c>
      <c r="AH653" s="180">
        <v>44851</v>
      </c>
      <c r="AI653" s="179">
        <v>44855</v>
      </c>
      <c r="AJ653" s="685">
        <v>44858</v>
      </c>
      <c r="AK653" s="115" t="s">
        <v>4553</v>
      </c>
      <c r="AL653" s="128">
        <v>2725985</v>
      </c>
      <c r="AM653" s="71">
        <v>44862</v>
      </c>
      <c r="AN653" s="128">
        <v>2725364</v>
      </c>
      <c r="AO653" s="5">
        <v>44862</v>
      </c>
      <c r="AP653" s="1">
        <v>2744209</v>
      </c>
      <c r="AQ653" s="5">
        <v>44910</v>
      </c>
      <c r="AR653" s="279">
        <f>665654.33+221884.77+173300.46</f>
        <v>1060839.56</v>
      </c>
      <c r="AS653" s="35">
        <v>0</v>
      </c>
      <c r="AT653" s="895">
        <v>2402556.7200000002</v>
      </c>
      <c r="AU653" s="884"/>
      <c r="AV653" s="350" t="s">
        <v>74</v>
      </c>
      <c r="AW653" s="11"/>
      <c r="AX653" s="223" t="s">
        <v>68</v>
      </c>
      <c r="AY653" s="52" t="s">
        <v>68</v>
      </c>
      <c r="AZ653" s="1808">
        <v>44895</v>
      </c>
      <c r="BA653" s="5">
        <v>44862</v>
      </c>
      <c r="BB653" s="5">
        <v>44898</v>
      </c>
      <c r="BC653" s="11">
        <v>44898</v>
      </c>
      <c r="BD653" s="1808">
        <v>44895</v>
      </c>
      <c r="BE653" s="1616" t="str">
        <f>N653</f>
        <v>FAIS-RAMO/33-OP-CSS-018/2022</v>
      </c>
      <c r="BF653" s="5">
        <v>44862</v>
      </c>
      <c r="BG653" s="5">
        <v>44898</v>
      </c>
      <c r="BH653" s="5">
        <v>44898</v>
      </c>
      <c r="BI653" s="36">
        <f>AS653+AT653</f>
        <v>2402556.7200000002</v>
      </c>
      <c r="BJ653" s="1797">
        <v>44896</v>
      </c>
      <c r="BK653" s="1797"/>
      <c r="BL653" s="70">
        <v>44859</v>
      </c>
      <c r="BM653" s="71">
        <v>44862</v>
      </c>
      <c r="BN653" s="71">
        <v>44862</v>
      </c>
      <c r="BO653" s="1392"/>
      <c r="BP653" s="1806" t="s">
        <v>74</v>
      </c>
      <c r="BQ653" s="1806" t="s">
        <v>74</v>
      </c>
      <c r="BR653" s="1806" t="s">
        <v>74</v>
      </c>
      <c r="BS653" s="914">
        <v>44894</v>
      </c>
      <c r="BT653" s="1806" t="s">
        <v>74</v>
      </c>
      <c r="BU653" s="1645">
        <v>0</v>
      </c>
      <c r="BV653" s="1647">
        <v>0</v>
      </c>
      <c r="BW653" s="13"/>
      <c r="BX653" s="158"/>
      <c r="BY653" s="13"/>
      <c r="BZ653" s="13"/>
      <c r="CA653" s="13"/>
      <c r="CB653" s="1222" t="s">
        <v>3944</v>
      </c>
      <c r="CC653" s="38"/>
      <c r="CD653" s="526"/>
      <c r="CE653" s="526"/>
      <c r="CF653" s="526"/>
      <c r="CG653" s="526"/>
      <c r="CH653" s="526"/>
      <c r="CI653" s="526"/>
      <c r="CJ653" s="526"/>
      <c r="CK653" s="15"/>
    </row>
    <row r="654" spans="2:89" ht="87.75" hidden="1" customHeight="1">
      <c r="B654" s="22"/>
      <c r="C654" s="1639"/>
      <c r="D654" s="1639"/>
      <c r="E654" s="911">
        <v>45170</v>
      </c>
      <c r="F654" s="911"/>
      <c r="G654" s="915">
        <v>45076</v>
      </c>
      <c r="H654" s="1746"/>
      <c r="I654" s="330">
        <v>45084</v>
      </c>
      <c r="J654" s="169">
        <v>2022</v>
      </c>
      <c r="K654" s="1417">
        <v>224019</v>
      </c>
      <c r="L654" s="1417"/>
      <c r="M654" s="170" t="s">
        <v>77</v>
      </c>
      <c r="N654" s="178" t="s">
        <v>4356</v>
      </c>
      <c r="O654" s="172" t="s">
        <v>79</v>
      </c>
      <c r="P654" s="173" t="s">
        <v>4520</v>
      </c>
      <c r="Q654" s="173" t="s">
        <v>4409</v>
      </c>
      <c r="R654" s="594">
        <v>762057.5</v>
      </c>
      <c r="S654" s="590">
        <v>44872</v>
      </c>
      <c r="T654" s="176">
        <v>44889</v>
      </c>
      <c r="U654" s="177">
        <v>44900</v>
      </c>
      <c r="V654" s="105">
        <v>44869</v>
      </c>
      <c r="W654" s="178" t="s">
        <v>4447</v>
      </c>
      <c r="X654" s="170" t="s">
        <v>70</v>
      </c>
      <c r="Y654" s="200">
        <v>44841</v>
      </c>
      <c r="Z654" s="368" t="s">
        <v>5003</v>
      </c>
      <c r="AA654" s="33" t="s">
        <v>4534</v>
      </c>
      <c r="AB654" s="8">
        <v>44847</v>
      </c>
      <c r="AC654" s="79">
        <v>1358473.54</v>
      </c>
      <c r="AD654" s="79"/>
      <c r="AE654" s="651"/>
      <c r="AF654" s="582" t="s">
        <v>68</v>
      </c>
      <c r="AG654" s="583" t="s">
        <v>68</v>
      </c>
      <c r="AH654" s="583" t="s">
        <v>68</v>
      </c>
      <c r="AI654" s="584" t="s">
        <v>68</v>
      </c>
      <c r="AJ654" s="581" t="s">
        <v>68</v>
      </c>
      <c r="AK654" s="33" t="s">
        <v>1342</v>
      </c>
      <c r="AL654" s="2" t="s">
        <v>5033</v>
      </c>
      <c r="AM654" s="238">
        <v>44887</v>
      </c>
      <c r="AN654" s="2" t="s">
        <v>5034</v>
      </c>
      <c r="AO654" s="238">
        <v>44887</v>
      </c>
      <c r="AP654" s="2" t="s">
        <v>5035</v>
      </c>
      <c r="AQ654" s="5">
        <v>44887</v>
      </c>
      <c r="AR654" s="279">
        <f>228617.25+76205.75+76205.75</f>
        <v>381028.75</v>
      </c>
      <c r="AS654" s="35">
        <v>0</v>
      </c>
      <c r="AT654" s="895">
        <v>745412.8</v>
      </c>
      <c r="AU654" s="884"/>
      <c r="AV654" s="350" t="s">
        <v>74</v>
      </c>
      <c r="AW654" s="11"/>
      <c r="AX654" s="223" t="s">
        <v>68</v>
      </c>
      <c r="AY654" s="52" t="s">
        <v>68</v>
      </c>
      <c r="AZ654" s="70">
        <v>44902</v>
      </c>
      <c r="BA654" s="71">
        <v>44889</v>
      </c>
      <c r="BB654" s="71">
        <v>44900</v>
      </c>
      <c r="BC654" s="127">
        <v>44900</v>
      </c>
      <c r="BD654" s="70">
        <v>44902</v>
      </c>
      <c r="BE654" s="1616" t="s">
        <v>5036</v>
      </c>
      <c r="BF654" s="5">
        <v>44889</v>
      </c>
      <c r="BG654" s="5">
        <v>44900</v>
      </c>
      <c r="BH654" s="5">
        <v>44900</v>
      </c>
      <c r="BI654" s="36">
        <f>AS654+AT654-0.2</f>
        <v>745412.60000000009</v>
      </c>
      <c r="BJ654" s="68">
        <v>44902</v>
      </c>
      <c r="BK654" s="68"/>
      <c r="BL654" s="70">
        <v>44874</v>
      </c>
      <c r="BM654" s="71">
        <v>44889</v>
      </c>
      <c r="BN654" s="71">
        <v>44889</v>
      </c>
      <c r="BO654" s="1392"/>
      <c r="BP654" s="914">
        <v>44869</v>
      </c>
      <c r="BQ654" s="914">
        <v>44869</v>
      </c>
      <c r="BR654" s="914">
        <v>44869</v>
      </c>
      <c r="BS654" s="914">
        <v>44900</v>
      </c>
      <c r="BT654" s="1806" t="s">
        <v>74</v>
      </c>
      <c r="BU654" s="1645">
        <v>0</v>
      </c>
      <c r="BV654" s="1647">
        <v>0</v>
      </c>
      <c r="BW654" s="13"/>
      <c r="BX654" s="158"/>
      <c r="BY654" s="13"/>
      <c r="BZ654" s="13"/>
      <c r="CA654" s="13"/>
      <c r="CB654" s="1222" t="s">
        <v>3944</v>
      </c>
      <c r="CC654" s="38"/>
      <c r="CD654" s="526"/>
      <c r="CE654" s="526"/>
      <c r="CF654" s="526"/>
      <c r="CG654" s="526"/>
      <c r="CH654" s="526"/>
      <c r="CI654" s="526"/>
      <c r="CJ654" s="526"/>
      <c r="CK654" s="15"/>
    </row>
    <row r="655" spans="2:89" s="104" customFormat="1" ht="87.75" hidden="1" customHeight="1">
      <c r="B655" s="81"/>
      <c r="C655" s="1641"/>
      <c r="D655" s="1641"/>
      <c r="E655" s="989"/>
      <c r="F655" s="989"/>
      <c r="G655" s="123"/>
      <c r="H655" s="1796"/>
      <c r="I655" s="620"/>
      <c r="J655" s="990">
        <v>2022</v>
      </c>
      <c r="K655" s="1417">
        <v>224020</v>
      </c>
      <c r="L655" s="1417"/>
      <c r="M655" s="621"/>
      <c r="N655" s="626" t="s">
        <v>4357</v>
      </c>
      <c r="O655" s="790" t="s">
        <v>251</v>
      </c>
      <c r="P655" s="656"/>
      <c r="Q655" s="656"/>
      <c r="R655" s="622"/>
      <c r="S655" s="623"/>
      <c r="T655" s="624"/>
      <c r="U655" s="625"/>
      <c r="V655" s="370"/>
      <c r="W655" s="626"/>
      <c r="X655" s="621"/>
      <c r="Y655" s="554"/>
      <c r="Z655" s="1363"/>
      <c r="AA655" s="90"/>
      <c r="AB655" s="92"/>
      <c r="AC655" s="86"/>
      <c r="AD655" s="86"/>
      <c r="AE655" s="93"/>
      <c r="AF655" s="94"/>
      <c r="AG655" s="113"/>
      <c r="AH655" s="113"/>
      <c r="AI655" s="95"/>
      <c r="AJ655" s="110"/>
      <c r="AK655" s="90"/>
      <c r="AL655" s="96"/>
      <c r="AM655" s="88"/>
      <c r="AN655" s="96"/>
      <c r="AO655" s="88"/>
      <c r="AP655" s="96"/>
      <c r="AQ655" s="88"/>
      <c r="AR655" s="284">
        <v>0</v>
      </c>
      <c r="AS655" s="98">
        <v>0</v>
      </c>
      <c r="AT655" s="898"/>
      <c r="AU655" s="887"/>
      <c r="AV655" s="641" t="s">
        <v>74</v>
      </c>
      <c r="AW655" s="89"/>
      <c r="AX655" s="338" t="s">
        <v>68</v>
      </c>
      <c r="AY655" s="101" t="s">
        <v>68</v>
      </c>
      <c r="AZ655" s="641" t="s">
        <v>74</v>
      </c>
      <c r="BA655" s="88"/>
      <c r="BB655" s="88"/>
      <c r="BC655" s="89"/>
      <c r="BD655" s="641" t="s">
        <v>74</v>
      </c>
      <c r="BE655" s="1628"/>
      <c r="BF655" s="88"/>
      <c r="BG655" s="88"/>
      <c r="BH655" s="88"/>
      <c r="BI655" s="99"/>
      <c r="BJ655" s="1693" t="s">
        <v>74</v>
      </c>
      <c r="BK655" s="1693"/>
      <c r="BL655" s="1694"/>
      <c r="BM655" s="1695"/>
      <c r="BN655" s="1695"/>
      <c r="BO655" s="1696"/>
      <c r="BP655" s="1696"/>
      <c r="BQ655" s="1696"/>
      <c r="BR655" s="1696"/>
      <c r="BS655" s="1696"/>
      <c r="BT655" s="1696"/>
      <c r="BU655" s="1696"/>
      <c r="BV655" s="1697"/>
      <c r="BW655" s="102"/>
      <c r="BX655" s="830"/>
      <c r="BY655" s="102"/>
      <c r="BZ655" s="102"/>
      <c r="CA655" s="102"/>
      <c r="CB655" s="1403" t="s">
        <v>3944</v>
      </c>
      <c r="CC655" s="857"/>
      <c r="CD655" s="527"/>
      <c r="CE655" s="527"/>
      <c r="CF655" s="527"/>
      <c r="CG655" s="527"/>
      <c r="CH655" s="527"/>
      <c r="CI655" s="527"/>
      <c r="CJ655" s="527"/>
      <c r="CK655" s="627"/>
    </row>
    <row r="656" spans="2:89" ht="91.5" hidden="1" customHeight="1">
      <c r="B656" s="22"/>
      <c r="C656" s="1639"/>
      <c r="D656" s="1639"/>
      <c r="E656" s="911"/>
      <c r="F656" s="911"/>
      <c r="G656" s="915"/>
      <c r="H656" s="1746"/>
      <c r="I656" s="330"/>
      <c r="J656" s="169">
        <v>2022</v>
      </c>
      <c r="K656" s="1417">
        <v>225003</v>
      </c>
      <c r="L656" s="1417"/>
      <c r="M656" s="170" t="s">
        <v>4869</v>
      </c>
      <c r="N656" s="178" t="s">
        <v>4870</v>
      </c>
      <c r="O656" s="172" t="s">
        <v>467</v>
      </c>
      <c r="P656" s="173" t="s">
        <v>4872</v>
      </c>
      <c r="Q656" s="173" t="s">
        <v>1975</v>
      </c>
      <c r="R656" s="174">
        <v>4000000</v>
      </c>
      <c r="S656" s="175">
        <v>44848</v>
      </c>
      <c r="T656" s="176">
        <v>45213</v>
      </c>
      <c r="U656" s="177">
        <v>45565</v>
      </c>
      <c r="V656" s="105" t="s">
        <v>1428</v>
      </c>
      <c r="W656" s="178" t="s">
        <v>68</v>
      </c>
      <c r="X656" s="170" t="s">
        <v>68</v>
      </c>
      <c r="Y656" s="200" t="s">
        <v>68</v>
      </c>
      <c r="Z656" s="368" t="s">
        <v>68</v>
      </c>
      <c r="AA656" s="33"/>
      <c r="AB656" s="8"/>
      <c r="AC656" s="4"/>
      <c r="AD656" s="4"/>
      <c r="AE656" s="32"/>
      <c r="AF656" s="34" t="s">
        <v>68</v>
      </c>
      <c r="AG656" s="112" t="s">
        <v>68</v>
      </c>
      <c r="AH656" s="112" t="s">
        <v>68</v>
      </c>
      <c r="AI656" s="7" t="s">
        <v>68</v>
      </c>
      <c r="AJ656" s="109" t="s">
        <v>68</v>
      </c>
      <c r="AK656" s="33" t="s">
        <v>68</v>
      </c>
      <c r="AL656" s="1" t="s">
        <v>68</v>
      </c>
      <c r="AM656" s="5"/>
      <c r="AN656" s="1" t="s">
        <v>68</v>
      </c>
      <c r="AO656" s="5"/>
      <c r="AP656" s="1" t="s">
        <v>68</v>
      </c>
      <c r="AQ656" s="5"/>
      <c r="AR656" s="279"/>
      <c r="AS656" s="35">
        <v>0</v>
      </c>
      <c r="AT656" s="895">
        <v>0</v>
      </c>
      <c r="AU656" s="884">
        <v>0</v>
      </c>
      <c r="AV656" s="30" t="s">
        <v>68</v>
      </c>
      <c r="AW656" s="11" t="s">
        <v>68</v>
      </c>
      <c r="AX656" s="223" t="s">
        <v>68</v>
      </c>
      <c r="AY656" s="52" t="s">
        <v>68</v>
      </c>
      <c r="AZ656" s="30" t="s">
        <v>68</v>
      </c>
      <c r="BA656" s="5"/>
      <c r="BB656" s="5"/>
      <c r="BC656" s="11"/>
      <c r="BD656" s="30" t="s">
        <v>68</v>
      </c>
      <c r="BE656" s="309" t="s">
        <v>68</v>
      </c>
      <c r="BF656" s="5"/>
      <c r="BG656" s="5"/>
      <c r="BH656" s="5"/>
      <c r="BI656" s="36"/>
      <c r="BJ656" s="13" t="s">
        <v>68</v>
      </c>
      <c r="BK656" s="352"/>
      <c r="BL656" s="913" t="s">
        <v>68</v>
      </c>
      <c r="BM656" s="912" t="s">
        <v>68</v>
      </c>
      <c r="BN656" s="912" t="s">
        <v>68</v>
      </c>
      <c r="BO656" s="1392" t="s">
        <v>68</v>
      </c>
      <c r="BP656" s="1392" t="s">
        <v>68</v>
      </c>
      <c r="BQ656" s="1392" t="s">
        <v>68</v>
      </c>
      <c r="BR656" s="1392" t="s">
        <v>68</v>
      </c>
      <c r="BS656" s="1392" t="s">
        <v>68</v>
      </c>
      <c r="BT656" s="1392" t="s">
        <v>68</v>
      </c>
      <c r="BU656" s="1392" t="s">
        <v>68</v>
      </c>
      <c r="BV656" s="913" t="s">
        <v>68</v>
      </c>
      <c r="BW656" s="13"/>
      <c r="BX656" s="22"/>
      <c r="BY656" s="22"/>
      <c r="BZ656" s="22"/>
      <c r="CA656" s="22"/>
      <c r="CB656" s="1222" t="s">
        <v>3944</v>
      </c>
      <c r="CC656" s="859"/>
      <c r="CD656" s="526"/>
      <c r="CE656" s="526"/>
      <c r="CF656" s="526"/>
      <c r="CG656" s="526"/>
      <c r="CH656" s="526"/>
      <c r="CI656" s="526"/>
      <c r="CJ656" s="526"/>
      <c r="CK656" s="15"/>
    </row>
    <row r="657" spans="2:89" ht="87" hidden="1" customHeight="1">
      <c r="B657" s="22"/>
      <c r="C657" s="1639"/>
      <c r="D657" s="1639"/>
      <c r="E657" s="911"/>
      <c r="F657" s="911"/>
      <c r="G657" s="915"/>
      <c r="H657" s="1746"/>
      <c r="I657" s="330"/>
      <c r="J657" s="169">
        <v>2022</v>
      </c>
      <c r="K657" s="1417">
        <v>225004</v>
      </c>
      <c r="L657" s="1417"/>
      <c r="M657" s="170" t="s">
        <v>4869</v>
      </c>
      <c r="N657" s="178" t="s">
        <v>4871</v>
      </c>
      <c r="O657" s="172" t="s">
        <v>467</v>
      </c>
      <c r="P657" s="173" t="s">
        <v>4873</v>
      </c>
      <c r="Q657" s="173" t="s">
        <v>4823</v>
      </c>
      <c r="R657" s="174">
        <v>4000000</v>
      </c>
      <c r="S657" s="175">
        <v>44848</v>
      </c>
      <c r="T657" s="176">
        <v>44848</v>
      </c>
      <c r="U657" s="177">
        <v>45565</v>
      </c>
      <c r="V657" s="105" t="s">
        <v>1428</v>
      </c>
      <c r="W657" s="178" t="s">
        <v>68</v>
      </c>
      <c r="X657" s="170" t="s">
        <v>68</v>
      </c>
      <c r="Y657" s="200" t="s">
        <v>68</v>
      </c>
      <c r="Z657" s="368" t="s">
        <v>68</v>
      </c>
      <c r="AA657" s="33"/>
      <c r="AB657" s="8"/>
      <c r="AC657" s="4"/>
      <c r="AD657" s="4"/>
      <c r="AE657" s="32"/>
      <c r="AF657" s="34" t="s">
        <v>68</v>
      </c>
      <c r="AG657" s="112" t="s">
        <v>68</v>
      </c>
      <c r="AH657" s="112" t="s">
        <v>68</v>
      </c>
      <c r="AI657" s="7" t="s">
        <v>68</v>
      </c>
      <c r="AJ657" s="109" t="s">
        <v>68</v>
      </c>
      <c r="AK657" s="33" t="s">
        <v>68</v>
      </c>
      <c r="AL657" s="1" t="s">
        <v>68</v>
      </c>
      <c r="AM657" s="5"/>
      <c r="AN657" s="1" t="s">
        <v>68</v>
      </c>
      <c r="AO657" s="5"/>
      <c r="AP657" s="1" t="s">
        <v>68</v>
      </c>
      <c r="AQ657" s="5"/>
      <c r="AR657" s="279"/>
      <c r="AS657" s="35">
        <v>0</v>
      </c>
      <c r="AT657" s="895">
        <v>0</v>
      </c>
      <c r="AU657" s="884">
        <v>0</v>
      </c>
      <c r="AV657" s="30" t="s">
        <v>68</v>
      </c>
      <c r="AW657" s="11" t="s">
        <v>68</v>
      </c>
      <c r="AX657" s="223" t="s">
        <v>68</v>
      </c>
      <c r="AY657" s="52" t="s">
        <v>68</v>
      </c>
      <c r="AZ657" s="30" t="s">
        <v>68</v>
      </c>
      <c r="BA657" s="5"/>
      <c r="BB657" s="5"/>
      <c r="BC657" s="11"/>
      <c r="BD657" s="30" t="s">
        <v>68</v>
      </c>
      <c r="BE657" s="309" t="s">
        <v>68</v>
      </c>
      <c r="BF657" s="5"/>
      <c r="BG657" s="5"/>
      <c r="BH657" s="5"/>
      <c r="BI657" s="36"/>
      <c r="BJ657" s="13" t="s">
        <v>68</v>
      </c>
      <c r="BK657" s="352"/>
      <c r="BL657" s="913" t="s">
        <v>68</v>
      </c>
      <c r="BM657" s="912" t="s">
        <v>68</v>
      </c>
      <c r="BN657" s="912" t="s">
        <v>68</v>
      </c>
      <c r="BO657" s="1392" t="s">
        <v>68</v>
      </c>
      <c r="BP657" s="1392" t="s">
        <v>68</v>
      </c>
      <c r="BQ657" s="1392" t="s">
        <v>68</v>
      </c>
      <c r="BR657" s="1392" t="s">
        <v>68</v>
      </c>
      <c r="BS657" s="1392" t="s">
        <v>68</v>
      </c>
      <c r="BT657" s="1392" t="s">
        <v>68</v>
      </c>
      <c r="BU657" s="1392" t="s">
        <v>68</v>
      </c>
      <c r="BV657" s="913" t="s">
        <v>68</v>
      </c>
      <c r="BW657" s="13"/>
      <c r="BX657" s="22"/>
      <c r="BY657" s="22"/>
      <c r="BZ657" s="22"/>
      <c r="CA657" s="22"/>
      <c r="CB657" s="1222" t="s">
        <v>3944</v>
      </c>
      <c r="CC657" s="859"/>
      <c r="CD657" s="526"/>
      <c r="CE657" s="526"/>
      <c r="CF657" s="526"/>
      <c r="CG657" s="526"/>
      <c r="CH657" s="526"/>
      <c r="CI657" s="526"/>
      <c r="CJ657" s="526"/>
      <c r="CK657" s="15"/>
    </row>
    <row r="658" spans="2:89" ht="81" hidden="1" customHeight="1">
      <c r="B658" s="22"/>
      <c r="C658" s="122">
        <v>45446</v>
      </c>
      <c r="D658" s="22">
        <v>1</v>
      </c>
      <c r="E658" s="911"/>
      <c r="F658" s="911"/>
      <c r="G658" s="915"/>
      <c r="H658" s="1746" t="s">
        <v>6311</v>
      </c>
      <c r="I658" s="330">
        <v>45302</v>
      </c>
      <c r="J658" s="169">
        <v>2023</v>
      </c>
      <c r="K658" s="1417">
        <v>231014</v>
      </c>
      <c r="L658" s="1417"/>
      <c r="M658" s="170" t="s">
        <v>867</v>
      </c>
      <c r="N658" s="178" t="s">
        <v>5644</v>
      </c>
      <c r="O658" s="172" t="s">
        <v>467</v>
      </c>
      <c r="P658" s="173" t="s">
        <v>5645</v>
      </c>
      <c r="Q658" s="173" t="s">
        <v>4409</v>
      </c>
      <c r="R658" s="174">
        <v>5000000</v>
      </c>
      <c r="S658" s="175">
        <v>45086</v>
      </c>
      <c r="T658" s="176">
        <v>45086</v>
      </c>
      <c r="U658" s="177">
        <v>45291</v>
      </c>
      <c r="V658" s="1742" t="s">
        <v>1428</v>
      </c>
      <c r="W658" s="1740"/>
      <c r="X658" s="1741"/>
      <c r="Y658" s="1723" t="s">
        <v>68</v>
      </c>
      <c r="Z658" s="1724" t="s">
        <v>68</v>
      </c>
      <c r="AA658" s="33"/>
      <c r="AB658" s="8"/>
      <c r="AC658" s="4"/>
      <c r="AD658" s="4"/>
      <c r="AE658" s="32"/>
      <c r="AF658" s="1725" t="s">
        <v>68</v>
      </c>
      <c r="AG658" s="1726" t="s">
        <v>68</v>
      </c>
      <c r="AH658" s="1726" t="s">
        <v>68</v>
      </c>
      <c r="AI658" s="1727" t="s">
        <v>68</v>
      </c>
      <c r="AJ658" s="1728" t="s">
        <v>68</v>
      </c>
      <c r="AK658" s="1729" t="s">
        <v>68</v>
      </c>
      <c r="AL658" s="1634" t="s">
        <v>68</v>
      </c>
      <c r="AM658" s="1656"/>
      <c r="AN658" s="1634" t="s">
        <v>68</v>
      </c>
      <c r="AO658" s="1656"/>
      <c r="AP658" s="1634" t="s">
        <v>68</v>
      </c>
      <c r="AQ658" s="1656"/>
      <c r="AR658" s="1730"/>
      <c r="AS658" s="1731">
        <v>0</v>
      </c>
      <c r="AT658" s="1732">
        <v>0</v>
      </c>
      <c r="AU658" s="1733">
        <v>0</v>
      </c>
      <c r="AV658" s="1734" t="s">
        <v>68</v>
      </c>
      <c r="AW658" s="1653" t="s">
        <v>68</v>
      </c>
      <c r="AX658" s="1654" t="s">
        <v>68</v>
      </c>
      <c r="AY658" s="1655" t="s">
        <v>68</v>
      </c>
      <c r="AZ658" s="1734" t="s">
        <v>68</v>
      </c>
      <c r="BA658" s="1656"/>
      <c r="BB658" s="1656"/>
      <c r="BC658" s="1653"/>
      <c r="BD658" s="1734" t="s">
        <v>68</v>
      </c>
      <c r="BE658" s="1735" t="s">
        <v>68</v>
      </c>
      <c r="BF658" s="1656"/>
      <c r="BG658" s="1656"/>
      <c r="BH658" s="1656"/>
      <c r="BI658" s="1658"/>
      <c r="BJ658" s="1736" t="s">
        <v>68</v>
      </c>
      <c r="BK658" s="1117"/>
      <c r="BL658" s="1737" t="s">
        <v>68</v>
      </c>
      <c r="BM658" s="1738" t="s">
        <v>68</v>
      </c>
      <c r="BN658" s="1738" t="s">
        <v>68</v>
      </c>
      <c r="BO658" s="1739" t="s">
        <v>68</v>
      </c>
      <c r="BP658" s="1739" t="s">
        <v>68</v>
      </c>
      <c r="BQ658" s="1739" t="s">
        <v>68</v>
      </c>
      <c r="BR658" s="1739" t="s">
        <v>68</v>
      </c>
      <c r="BS658" s="1739" t="s">
        <v>68</v>
      </c>
      <c r="BT658" s="1739" t="s">
        <v>68</v>
      </c>
      <c r="BU658" s="1739" t="s">
        <v>68</v>
      </c>
      <c r="BV658" s="1737" t="s">
        <v>68</v>
      </c>
      <c r="BW658" s="13"/>
      <c r="BX658" s="22"/>
      <c r="BY658" s="22"/>
      <c r="BZ658" s="22"/>
      <c r="CA658" s="22"/>
      <c r="CB658" s="1222" t="s">
        <v>3944</v>
      </c>
      <c r="CC658" s="859"/>
      <c r="CD658" s="526"/>
      <c r="CE658" s="526"/>
      <c r="CF658" s="526"/>
      <c r="CG658" s="526"/>
      <c r="CH658" s="526"/>
      <c r="CI658" s="526"/>
      <c r="CJ658" s="526"/>
      <c r="CK658" s="15"/>
    </row>
    <row r="659" spans="2:89" ht="84" hidden="1" customHeight="1">
      <c r="B659" s="22"/>
      <c r="C659" s="122"/>
      <c r="D659" s="22"/>
      <c r="E659" s="911"/>
      <c r="F659" s="911"/>
      <c r="G659" s="915"/>
      <c r="H659" s="1746" t="s">
        <v>6311</v>
      </c>
      <c r="I659" s="330"/>
      <c r="J659" s="169">
        <v>2023</v>
      </c>
      <c r="K659" s="1417">
        <v>231021</v>
      </c>
      <c r="L659" s="1417"/>
      <c r="M659" s="170" t="s">
        <v>4869</v>
      </c>
      <c r="N659" s="178" t="s">
        <v>5646</v>
      </c>
      <c r="O659" s="172" t="s">
        <v>467</v>
      </c>
      <c r="P659" s="173" t="s">
        <v>5647</v>
      </c>
      <c r="Q659" s="173" t="s">
        <v>4409</v>
      </c>
      <c r="R659" s="174">
        <v>4000000</v>
      </c>
      <c r="S659" s="175">
        <v>45153</v>
      </c>
      <c r="T659" s="176">
        <v>45153</v>
      </c>
      <c r="U659" s="177">
        <v>45565</v>
      </c>
      <c r="V659" s="1742" t="s">
        <v>1428</v>
      </c>
      <c r="W659" s="1740"/>
      <c r="X659" s="1741"/>
      <c r="Y659" s="1723" t="s">
        <v>68</v>
      </c>
      <c r="Z659" s="1724" t="s">
        <v>68</v>
      </c>
      <c r="AA659" s="33"/>
      <c r="AB659" s="8"/>
      <c r="AC659" s="4"/>
      <c r="AD659" s="4"/>
      <c r="AE659" s="32"/>
      <c r="AF659" s="1725" t="s">
        <v>68</v>
      </c>
      <c r="AG659" s="1726" t="s">
        <v>68</v>
      </c>
      <c r="AH659" s="1726" t="s">
        <v>68</v>
      </c>
      <c r="AI659" s="1727" t="s">
        <v>68</v>
      </c>
      <c r="AJ659" s="1728" t="s">
        <v>68</v>
      </c>
      <c r="AK659" s="1729" t="s">
        <v>68</v>
      </c>
      <c r="AL659" s="1634" t="s">
        <v>68</v>
      </c>
      <c r="AM659" s="1656"/>
      <c r="AN659" s="1634" t="s">
        <v>68</v>
      </c>
      <c r="AO659" s="1656"/>
      <c r="AP659" s="1634" t="s">
        <v>68</v>
      </c>
      <c r="AQ659" s="1656"/>
      <c r="AR659" s="1730"/>
      <c r="AS659" s="1731">
        <v>0</v>
      </c>
      <c r="AT659" s="1732">
        <v>0</v>
      </c>
      <c r="AU659" s="1733">
        <v>0</v>
      </c>
      <c r="AV659" s="1734" t="s">
        <v>68</v>
      </c>
      <c r="AW659" s="1653" t="s">
        <v>68</v>
      </c>
      <c r="AX659" s="1654" t="s">
        <v>68</v>
      </c>
      <c r="AY659" s="1655" t="s">
        <v>68</v>
      </c>
      <c r="AZ659" s="1734" t="s">
        <v>68</v>
      </c>
      <c r="BA659" s="1656"/>
      <c r="BB659" s="1656"/>
      <c r="BC659" s="1653"/>
      <c r="BD659" s="1734" t="s">
        <v>68</v>
      </c>
      <c r="BE659" s="1735" t="s">
        <v>68</v>
      </c>
      <c r="BF659" s="1656"/>
      <c r="BG659" s="1656"/>
      <c r="BH659" s="1656"/>
      <c r="BI659" s="1658"/>
      <c r="BJ659" s="1736" t="s">
        <v>68</v>
      </c>
      <c r="BK659" s="1117"/>
      <c r="BL659" s="1737" t="s">
        <v>68</v>
      </c>
      <c r="BM659" s="1738" t="s">
        <v>68</v>
      </c>
      <c r="BN659" s="1738" t="s">
        <v>68</v>
      </c>
      <c r="BO659" s="1739" t="s">
        <v>68</v>
      </c>
      <c r="BP659" s="1739" t="s">
        <v>68</v>
      </c>
      <c r="BQ659" s="1739" t="s">
        <v>68</v>
      </c>
      <c r="BR659" s="1739" t="s">
        <v>68</v>
      </c>
      <c r="BS659" s="1739" t="s">
        <v>68</v>
      </c>
      <c r="BT659" s="1739" t="s">
        <v>68</v>
      </c>
      <c r="BU659" s="1739" t="s">
        <v>68</v>
      </c>
      <c r="BV659" s="1737" t="s">
        <v>68</v>
      </c>
      <c r="BW659" s="13"/>
      <c r="BX659" s="22"/>
      <c r="BY659" s="22"/>
      <c r="BZ659" s="22"/>
      <c r="CA659" s="22"/>
      <c r="CB659" s="1222" t="s">
        <v>3944</v>
      </c>
      <c r="CC659" s="859"/>
      <c r="CD659" s="526"/>
      <c r="CE659" s="526"/>
      <c r="CF659" s="526"/>
      <c r="CG659" s="526"/>
      <c r="CH659" s="526"/>
      <c r="CI659" s="526"/>
      <c r="CJ659" s="526"/>
      <c r="CK659" s="15"/>
    </row>
    <row r="660" spans="2:89" ht="75.75" hidden="1" customHeight="1">
      <c r="B660" s="22"/>
      <c r="C660" s="122"/>
      <c r="D660" s="22"/>
      <c r="E660" s="911"/>
      <c r="F660" s="911"/>
      <c r="G660" s="915"/>
      <c r="H660" s="1746" t="s">
        <v>6311</v>
      </c>
      <c r="I660" s="330"/>
      <c r="J660" s="169">
        <v>2023</v>
      </c>
      <c r="K660" s="1417">
        <v>231022</v>
      </c>
      <c r="L660" s="1417"/>
      <c r="M660" s="170" t="s">
        <v>4869</v>
      </c>
      <c r="N660" s="178" t="s">
        <v>5648</v>
      </c>
      <c r="O660" s="172" t="s">
        <v>467</v>
      </c>
      <c r="P660" s="173" t="s">
        <v>5649</v>
      </c>
      <c r="Q660" s="173" t="s">
        <v>1975</v>
      </c>
      <c r="R660" s="174">
        <v>4000000</v>
      </c>
      <c r="S660" s="175">
        <v>45153</v>
      </c>
      <c r="T660" s="176">
        <v>45153</v>
      </c>
      <c r="U660" s="177">
        <v>45565</v>
      </c>
      <c r="V660" s="1742" t="s">
        <v>1428</v>
      </c>
      <c r="W660" s="1740"/>
      <c r="X660" s="1741"/>
      <c r="Y660" s="1723" t="s">
        <v>68</v>
      </c>
      <c r="Z660" s="1724" t="s">
        <v>68</v>
      </c>
      <c r="AA660" s="33"/>
      <c r="AB660" s="8"/>
      <c r="AC660" s="4"/>
      <c r="AD660" s="4"/>
      <c r="AE660" s="32"/>
      <c r="AF660" s="1725" t="s">
        <v>68</v>
      </c>
      <c r="AG660" s="1726" t="s">
        <v>68</v>
      </c>
      <c r="AH660" s="1726" t="s">
        <v>68</v>
      </c>
      <c r="AI660" s="1727" t="s">
        <v>68</v>
      </c>
      <c r="AJ660" s="1728" t="s">
        <v>68</v>
      </c>
      <c r="AK660" s="1729" t="s">
        <v>68</v>
      </c>
      <c r="AL660" s="1634" t="s">
        <v>68</v>
      </c>
      <c r="AM660" s="1656"/>
      <c r="AN660" s="1634" t="s">
        <v>68</v>
      </c>
      <c r="AO660" s="1656"/>
      <c r="AP660" s="1634" t="s">
        <v>68</v>
      </c>
      <c r="AQ660" s="1656"/>
      <c r="AR660" s="1730"/>
      <c r="AS660" s="1731">
        <v>0</v>
      </c>
      <c r="AT660" s="1732">
        <v>0</v>
      </c>
      <c r="AU660" s="1733">
        <v>0</v>
      </c>
      <c r="AV660" s="1734" t="s">
        <v>68</v>
      </c>
      <c r="AW660" s="1653" t="s">
        <v>68</v>
      </c>
      <c r="AX660" s="1654" t="s">
        <v>68</v>
      </c>
      <c r="AY660" s="1655" t="s">
        <v>68</v>
      </c>
      <c r="AZ660" s="1734" t="s">
        <v>68</v>
      </c>
      <c r="BA660" s="1656"/>
      <c r="BB660" s="1656"/>
      <c r="BC660" s="1653"/>
      <c r="BD660" s="1734" t="s">
        <v>68</v>
      </c>
      <c r="BE660" s="1735" t="s">
        <v>68</v>
      </c>
      <c r="BF660" s="1656"/>
      <c r="BG660" s="1656"/>
      <c r="BH660" s="1656"/>
      <c r="BI660" s="1658"/>
      <c r="BJ660" s="1736" t="s">
        <v>68</v>
      </c>
      <c r="BK660" s="1117"/>
      <c r="BL660" s="1737" t="s">
        <v>68</v>
      </c>
      <c r="BM660" s="1738" t="s">
        <v>68</v>
      </c>
      <c r="BN660" s="1738" t="s">
        <v>68</v>
      </c>
      <c r="BO660" s="1739" t="s">
        <v>68</v>
      </c>
      <c r="BP660" s="1739" t="s">
        <v>68</v>
      </c>
      <c r="BQ660" s="1739" t="s">
        <v>68</v>
      </c>
      <c r="BR660" s="1739" t="s">
        <v>68</v>
      </c>
      <c r="BS660" s="1739" t="s">
        <v>68</v>
      </c>
      <c r="BT660" s="1739" t="s">
        <v>68</v>
      </c>
      <c r="BU660" s="1739" t="s">
        <v>68</v>
      </c>
      <c r="BV660" s="1737" t="s">
        <v>68</v>
      </c>
      <c r="BW660" s="13"/>
      <c r="BX660" s="22"/>
      <c r="BY660" s="22"/>
      <c r="BZ660" s="22"/>
      <c r="CA660" s="22"/>
      <c r="CB660" s="1222" t="s">
        <v>3944</v>
      </c>
      <c r="CC660" s="859"/>
      <c r="CD660" s="526"/>
      <c r="CE660" s="526"/>
      <c r="CF660" s="526"/>
      <c r="CG660" s="526"/>
      <c r="CH660" s="526"/>
      <c r="CI660" s="526"/>
      <c r="CJ660" s="526"/>
      <c r="CK660" s="15"/>
    </row>
    <row r="661" spans="2:89" ht="134.25" hidden="1" customHeight="1">
      <c r="B661" s="22"/>
      <c r="C661" s="122"/>
      <c r="D661" s="22"/>
      <c r="E661" s="911"/>
      <c r="F661" s="911"/>
      <c r="G661" s="915"/>
      <c r="H661" s="1746" t="s">
        <v>6311</v>
      </c>
      <c r="I661" s="330">
        <v>44999</v>
      </c>
      <c r="J661" s="169">
        <v>2023</v>
      </c>
      <c r="K661" s="1417">
        <v>232001</v>
      </c>
      <c r="L661" s="1417"/>
      <c r="M661" s="170" t="s">
        <v>166</v>
      </c>
      <c r="N661" s="178" t="s">
        <v>4839</v>
      </c>
      <c r="O661" s="172" t="s">
        <v>45</v>
      </c>
      <c r="P661" s="173" t="s">
        <v>4849</v>
      </c>
      <c r="Q661" s="173" t="s">
        <v>4409</v>
      </c>
      <c r="R661" s="174">
        <f>15000*1.16</f>
        <v>17400</v>
      </c>
      <c r="S661" s="175">
        <v>44928</v>
      </c>
      <c r="T661" s="176">
        <v>44929</v>
      </c>
      <c r="U661" s="177">
        <v>44931</v>
      </c>
      <c r="V661" s="105" t="s">
        <v>68</v>
      </c>
      <c r="W661" s="178" t="s">
        <v>4360</v>
      </c>
      <c r="X661" s="170" t="s">
        <v>472</v>
      </c>
      <c r="Y661" s="1723" t="s">
        <v>68</v>
      </c>
      <c r="Z661" s="1724" t="s">
        <v>68</v>
      </c>
      <c r="AA661" s="33"/>
      <c r="AB661" s="8"/>
      <c r="AC661" s="4"/>
      <c r="AD661" s="4"/>
      <c r="AE661" s="32"/>
      <c r="AF661" s="1725" t="s">
        <v>68</v>
      </c>
      <c r="AG661" s="1726" t="s">
        <v>68</v>
      </c>
      <c r="AH661" s="1726" t="s">
        <v>68</v>
      </c>
      <c r="AI661" s="1727" t="s">
        <v>68</v>
      </c>
      <c r="AJ661" s="1728" t="s">
        <v>68</v>
      </c>
      <c r="AK661" s="1729" t="s">
        <v>68</v>
      </c>
      <c r="AL661" s="1634" t="s">
        <v>68</v>
      </c>
      <c r="AM661" s="1656"/>
      <c r="AN661" s="1634" t="s">
        <v>68</v>
      </c>
      <c r="AO661" s="1656"/>
      <c r="AP661" s="1634" t="s">
        <v>68</v>
      </c>
      <c r="AQ661" s="1656"/>
      <c r="AR661" s="1730"/>
      <c r="AS661" s="1731">
        <v>0</v>
      </c>
      <c r="AT661" s="1732">
        <v>0</v>
      </c>
      <c r="AU661" s="1733">
        <v>0</v>
      </c>
      <c r="AV661" s="1734" t="s">
        <v>68</v>
      </c>
      <c r="AW661" s="1653" t="s">
        <v>68</v>
      </c>
      <c r="AX661" s="1654" t="s">
        <v>68</v>
      </c>
      <c r="AY661" s="1655" t="s">
        <v>68</v>
      </c>
      <c r="AZ661" s="30" t="s">
        <v>68</v>
      </c>
      <c r="BA661" s="5"/>
      <c r="BB661" s="5"/>
      <c r="BC661" s="11"/>
      <c r="BD661" s="30" t="s">
        <v>68</v>
      </c>
      <c r="BE661" s="309"/>
      <c r="BF661" s="5"/>
      <c r="BG661" s="5"/>
      <c r="BH661" s="5"/>
      <c r="BI661" s="36"/>
      <c r="BJ661" s="1736" t="s">
        <v>68</v>
      </c>
      <c r="BK661" s="1117"/>
      <c r="BL661" s="1737" t="s">
        <v>68</v>
      </c>
      <c r="BM661" s="1738" t="s">
        <v>68</v>
      </c>
      <c r="BN661" s="1738" t="s">
        <v>68</v>
      </c>
      <c r="BO661" s="1739" t="s">
        <v>68</v>
      </c>
      <c r="BP661" s="1739" t="s">
        <v>68</v>
      </c>
      <c r="BQ661" s="1739" t="s">
        <v>68</v>
      </c>
      <c r="BR661" s="1739" t="s">
        <v>68</v>
      </c>
      <c r="BS661" s="1739" t="s">
        <v>68</v>
      </c>
      <c r="BT661" s="1739" t="s">
        <v>68</v>
      </c>
      <c r="BU661" s="1739" t="s">
        <v>68</v>
      </c>
      <c r="BV661" s="1737" t="s">
        <v>68</v>
      </c>
      <c r="BW661" s="13"/>
      <c r="BX661" s="22"/>
      <c r="BY661" s="22"/>
      <c r="BZ661" s="22"/>
      <c r="CA661" s="22"/>
      <c r="CB661" s="1222" t="s">
        <v>3944</v>
      </c>
      <c r="CC661" s="859"/>
      <c r="CD661" s="526"/>
      <c r="CE661" s="526"/>
      <c r="CF661" s="526"/>
      <c r="CG661" s="526"/>
      <c r="CH661" s="526"/>
      <c r="CI661" s="526"/>
      <c r="CJ661" s="526"/>
      <c r="CK661" s="15"/>
    </row>
    <row r="662" spans="2:89" ht="130.5" hidden="1" customHeight="1">
      <c r="B662" s="22"/>
      <c r="C662" s="122"/>
      <c r="D662" s="22"/>
      <c r="E662" s="911"/>
      <c r="F662" s="911"/>
      <c r="G662" s="915"/>
      <c r="H662" s="1746" t="s">
        <v>6311</v>
      </c>
      <c r="I662" s="330">
        <v>44999</v>
      </c>
      <c r="J662" s="169">
        <v>2023</v>
      </c>
      <c r="K662" s="1417">
        <v>232002</v>
      </c>
      <c r="L662" s="1417"/>
      <c r="M662" s="170" t="s">
        <v>166</v>
      </c>
      <c r="N662" s="178" t="s">
        <v>4840</v>
      </c>
      <c r="O662" s="172" t="s">
        <v>45</v>
      </c>
      <c r="P662" s="173" t="s">
        <v>4850</v>
      </c>
      <c r="Q662" s="173" t="s">
        <v>4824</v>
      </c>
      <c r="R662" s="174">
        <f>15000*1.16</f>
        <v>17400</v>
      </c>
      <c r="S662" s="175">
        <v>44928</v>
      </c>
      <c r="T662" s="176">
        <v>44931</v>
      </c>
      <c r="U662" s="177">
        <v>44932</v>
      </c>
      <c r="V662" s="105" t="s">
        <v>68</v>
      </c>
      <c r="W662" s="178" t="s">
        <v>4360</v>
      </c>
      <c r="X662" s="170" t="s">
        <v>472</v>
      </c>
      <c r="Y662" s="1723" t="s">
        <v>68</v>
      </c>
      <c r="Z662" s="1724" t="s">
        <v>68</v>
      </c>
      <c r="AA662" s="33"/>
      <c r="AB662" s="8"/>
      <c r="AC662" s="4"/>
      <c r="AD662" s="4"/>
      <c r="AE662" s="32"/>
      <c r="AF662" s="1725" t="s">
        <v>68</v>
      </c>
      <c r="AG662" s="1726" t="s">
        <v>68</v>
      </c>
      <c r="AH662" s="1726" t="s">
        <v>68</v>
      </c>
      <c r="AI662" s="1727" t="s">
        <v>68</v>
      </c>
      <c r="AJ662" s="1728" t="s">
        <v>68</v>
      </c>
      <c r="AK662" s="1729" t="s">
        <v>68</v>
      </c>
      <c r="AL662" s="1634" t="s">
        <v>68</v>
      </c>
      <c r="AM662" s="1656"/>
      <c r="AN662" s="1634" t="s">
        <v>68</v>
      </c>
      <c r="AO662" s="1656"/>
      <c r="AP662" s="1634" t="s">
        <v>68</v>
      </c>
      <c r="AQ662" s="1656"/>
      <c r="AR662" s="1730"/>
      <c r="AS662" s="1731">
        <v>0</v>
      </c>
      <c r="AT662" s="1732">
        <v>0</v>
      </c>
      <c r="AU662" s="1733">
        <v>0</v>
      </c>
      <c r="AV662" s="1734" t="s">
        <v>68</v>
      </c>
      <c r="AW662" s="1653" t="s">
        <v>68</v>
      </c>
      <c r="AX662" s="1654" t="s">
        <v>68</v>
      </c>
      <c r="AY662" s="1655" t="s">
        <v>68</v>
      </c>
      <c r="AZ662" s="30" t="s">
        <v>68</v>
      </c>
      <c r="BA662" s="5"/>
      <c r="BB662" s="5"/>
      <c r="BC662" s="11"/>
      <c r="BD662" s="30" t="s">
        <v>68</v>
      </c>
      <c r="BE662" s="309"/>
      <c r="BF662" s="5"/>
      <c r="BG662" s="5"/>
      <c r="BH662" s="5"/>
      <c r="BI662" s="36"/>
      <c r="BJ662" s="1736" t="s">
        <v>68</v>
      </c>
      <c r="BK662" s="1117"/>
      <c r="BL662" s="1737" t="s">
        <v>68</v>
      </c>
      <c r="BM662" s="1738" t="s">
        <v>68</v>
      </c>
      <c r="BN662" s="1738" t="s">
        <v>68</v>
      </c>
      <c r="BO662" s="1739" t="s">
        <v>68</v>
      </c>
      <c r="BP662" s="1739" t="s">
        <v>68</v>
      </c>
      <c r="BQ662" s="1739" t="s">
        <v>68</v>
      </c>
      <c r="BR662" s="1739" t="s">
        <v>68</v>
      </c>
      <c r="BS662" s="1739" t="s">
        <v>68</v>
      </c>
      <c r="BT662" s="1739" t="s">
        <v>68</v>
      </c>
      <c r="BU662" s="1739" t="s">
        <v>68</v>
      </c>
      <c r="BV662" s="1737" t="s">
        <v>68</v>
      </c>
      <c r="BW662" s="13"/>
      <c r="BX662" s="22"/>
      <c r="BY662" s="22"/>
      <c r="BZ662" s="22"/>
      <c r="CA662" s="22"/>
      <c r="CB662" s="1222" t="s">
        <v>3944</v>
      </c>
      <c r="CC662" s="859"/>
      <c r="CD662" s="526"/>
      <c r="CE662" s="526"/>
      <c r="CF662" s="526"/>
      <c r="CG662" s="526"/>
      <c r="CH662" s="526"/>
      <c r="CI662" s="526"/>
      <c r="CJ662" s="526"/>
      <c r="CK662" s="15"/>
    </row>
    <row r="663" spans="2:89" ht="123" hidden="1" customHeight="1">
      <c r="B663" s="22"/>
      <c r="C663" s="122"/>
      <c r="D663" s="22"/>
      <c r="E663" s="911"/>
      <c r="F663" s="911"/>
      <c r="G663" s="915"/>
      <c r="H663" s="1746" t="s">
        <v>6311</v>
      </c>
      <c r="I663" s="330">
        <v>44999</v>
      </c>
      <c r="J663" s="169">
        <v>2023</v>
      </c>
      <c r="K663" s="1417">
        <v>232003</v>
      </c>
      <c r="L663" s="1417"/>
      <c r="M663" s="170" t="s">
        <v>166</v>
      </c>
      <c r="N663" s="178" t="s">
        <v>4841</v>
      </c>
      <c r="O663" s="172" t="s">
        <v>45</v>
      </c>
      <c r="P663" s="173" t="s">
        <v>4851</v>
      </c>
      <c r="Q663" s="173" t="s">
        <v>4824</v>
      </c>
      <c r="R663" s="174">
        <f>15000*1.16</f>
        <v>17400</v>
      </c>
      <c r="S663" s="175">
        <v>44928</v>
      </c>
      <c r="T663" s="176">
        <v>44928</v>
      </c>
      <c r="U663" s="177">
        <v>44957</v>
      </c>
      <c r="V663" s="105" t="s">
        <v>68</v>
      </c>
      <c r="W663" s="178" t="s">
        <v>4360</v>
      </c>
      <c r="X663" s="170" t="s">
        <v>472</v>
      </c>
      <c r="Y663" s="1723" t="s">
        <v>68</v>
      </c>
      <c r="Z663" s="1724" t="s">
        <v>68</v>
      </c>
      <c r="AA663" s="33"/>
      <c r="AB663" s="8"/>
      <c r="AC663" s="4"/>
      <c r="AD663" s="4"/>
      <c r="AE663" s="32"/>
      <c r="AF663" s="1725" t="s">
        <v>68</v>
      </c>
      <c r="AG663" s="1726" t="s">
        <v>68</v>
      </c>
      <c r="AH663" s="1726" t="s">
        <v>68</v>
      </c>
      <c r="AI663" s="1727" t="s">
        <v>68</v>
      </c>
      <c r="AJ663" s="1728" t="s">
        <v>68</v>
      </c>
      <c r="AK663" s="1729" t="s">
        <v>68</v>
      </c>
      <c r="AL663" s="1634" t="s">
        <v>68</v>
      </c>
      <c r="AM663" s="1656"/>
      <c r="AN663" s="1634" t="s">
        <v>68</v>
      </c>
      <c r="AO663" s="1656"/>
      <c r="AP663" s="1634" t="s">
        <v>68</v>
      </c>
      <c r="AQ663" s="1656"/>
      <c r="AR663" s="1730"/>
      <c r="AS663" s="1731">
        <v>0</v>
      </c>
      <c r="AT663" s="1732">
        <v>0</v>
      </c>
      <c r="AU663" s="1733">
        <v>0</v>
      </c>
      <c r="AV663" s="1734" t="s">
        <v>68</v>
      </c>
      <c r="AW663" s="1653" t="s">
        <v>68</v>
      </c>
      <c r="AX663" s="1654" t="s">
        <v>68</v>
      </c>
      <c r="AY663" s="1655" t="s">
        <v>68</v>
      </c>
      <c r="AZ663" s="30" t="s">
        <v>68</v>
      </c>
      <c r="BA663" s="5"/>
      <c r="BB663" s="5"/>
      <c r="BC663" s="11"/>
      <c r="BD663" s="30" t="s">
        <v>68</v>
      </c>
      <c r="BE663" s="309"/>
      <c r="BF663" s="5"/>
      <c r="BG663" s="5"/>
      <c r="BH663" s="5"/>
      <c r="BI663" s="36"/>
      <c r="BJ663" s="1736" t="s">
        <v>68</v>
      </c>
      <c r="BK663" s="1117"/>
      <c r="BL663" s="1737" t="s">
        <v>68</v>
      </c>
      <c r="BM663" s="1738" t="s">
        <v>68</v>
      </c>
      <c r="BN663" s="1738" t="s">
        <v>68</v>
      </c>
      <c r="BO663" s="1739" t="s">
        <v>68</v>
      </c>
      <c r="BP663" s="1739" t="s">
        <v>68</v>
      </c>
      <c r="BQ663" s="1739" t="s">
        <v>68</v>
      </c>
      <c r="BR663" s="1739" t="s">
        <v>68</v>
      </c>
      <c r="BS663" s="1739" t="s">
        <v>68</v>
      </c>
      <c r="BT663" s="1739" t="s">
        <v>68</v>
      </c>
      <c r="BU663" s="1739" t="s">
        <v>68</v>
      </c>
      <c r="BV663" s="1737" t="s">
        <v>68</v>
      </c>
      <c r="BW663" s="13"/>
      <c r="BX663" s="22"/>
      <c r="BY663" s="22"/>
      <c r="BZ663" s="22"/>
      <c r="CA663" s="22"/>
      <c r="CB663" s="1222" t="s">
        <v>3944</v>
      </c>
      <c r="CC663" s="859"/>
      <c r="CD663" s="526"/>
      <c r="CE663" s="526"/>
      <c r="CF663" s="526"/>
      <c r="CG663" s="526"/>
      <c r="CH663" s="526"/>
      <c r="CI663" s="526"/>
      <c r="CJ663" s="526"/>
      <c r="CK663" s="15"/>
    </row>
    <row r="664" spans="2:89" ht="99" hidden="1" customHeight="1">
      <c r="B664" s="22"/>
      <c r="C664" s="122"/>
      <c r="D664" s="22"/>
      <c r="E664" s="911"/>
      <c r="F664" s="911"/>
      <c r="G664" s="915"/>
      <c r="H664" s="1746" t="s">
        <v>6311</v>
      </c>
      <c r="I664" s="330">
        <v>44999</v>
      </c>
      <c r="J664" s="169">
        <v>2023</v>
      </c>
      <c r="K664" s="1417">
        <v>232004</v>
      </c>
      <c r="L664" s="1417"/>
      <c r="M664" s="170" t="s">
        <v>166</v>
      </c>
      <c r="N664" s="178" t="s">
        <v>4842</v>
      </c>
      <c r="O664" s="172" t="s">
        <v>45</v>
      </c>
      <c r="P664" s="173" t="s">
        <v>4852</v>
      </c>
      <c r="Q664" s="173" t="s">
        <v>1975</v>
      </c>
      <c r="R664" s="174">
        <f>22000*1.16</f>
        <v>25520</v>
      </c>
      <c r="S664" s="175">
        <v>44953</v>
      </c>
      <c r="T664" s="176">
        <v>44958</v>
      </c>
      <c r="U664" s="177">
        <v>44960</v>
      </c>
      <c r="V664" s="105" t="s">
        <v>68</v>
      </c>
      <c r="W664" s="178" t="s">
        <v>739</v>
      </c>
      <c r="X664" s="170" t="s">
        <v>472</v>
      </c>
      <c r="Y664" s="1723" t="s">
        <v>68</v>
      </c>
      <c r="Z664" s="1724" t="s">
        <v>68</v>
      </c>
      <c r="AA664" s="33"/>
      <c r="AB664" s="8"/>
      <c r="AC664" s="4"/>
      <c r="AD664" s="4"/>
      <c r="AE664" s="32"/>
      <c r="AF664" s="1725" t="s">
        <v>68</v>
      </c>
      <c r="AG664" s="1726" t="s">
        <v>68</v>
      </c>
      <c r="AH664" s="1726" t="s">
        <v>68</v>
      </c>
      <c r="AI664" s="1727" t="s">
        <v>68</v>
      </c>
      <c r="AJ664" s="1728" t="s">
        <v>68</v>
      </c>
      <c r="AK664" s="1729" t="s">
        <v>68</v>
      </c>
      <c r="AL664" s="1634" t="s">
        <v>68</v>
      </c>
      <c r="AM664" s="1656"/>
      <c r="AN664" s="1634" t="s">
        <v>68</v>
      </c>
      <c r="AO664" s="1656"/>
      <c r="AP664" s="1634" t="s">
        <v>68</v>
      </c>
      <c r="AQ664" s="1656"/>
      <c r="AR664" s="1730"/>
      <c r="AS664" s="1731">
        <v>0</v>
      </c>
      <c r="AT664" s="1732">
        <v>0</v>
      </c>
      <c r="AU664" s="1733">
        <v>0</v>
      </c>
      <c r="AV664" s="1734" t="s">
        <v>68</v>
      </c>
      <c r="AW664" s="1653" t="s">
        <v>68</v>
      </c>
      <c r="AX664" s="1654" t="s">
        <v>68</v>
      </c>
      <c r="AY664" s="1655" t="s">
        <v>68</v>
      </c>
      <c r="AZ664" s="30" t="s">
        <v>68</v>
      </c>
      <c r="BA664" s="5"/>
      <c r="BB664" s="5"/>
      <c r="BC664" s="11"/>
      <c r="BD664" s="30" t="s">
        <v>68</v>
      </c>
      <c r="BE664" s="309"/>
      <c r="BF664" s="5"/>
      <c r="BG664" s="5"/>
      <c r="BH664" s="5"/>
      <c r="BI664" s="36"/>
      <c r="BJ664" s="1736" t="s">
        <v>68</v>
      </c>
      <c r="BK664" s="1117"/>
      <c r="BL664" s="1737" t="s">
        <v>68</v>
      </c>
      <c r="BM664" s="1738" t="s">
        <v>68</v>
      </c>
      <c r="BN664" s="1738" t="s">
        <v>68</v>
      </c>
      <c r="BO664" s="1739" t="s">
        <v>68</v>
      </c>
      <c r="BP664" s="1739" t="s">
        <v>68</v>
      </c>
      <c r="BQ664" s="1739" t="s">
        <v>68</v>
      </c>
      <c r="BR664" s="1739" t="s">
        <v>68</v>
      </c>
      <c r="BS664" s="1739" t="s">
        <v>68</v>
      </c>
      <c r="BT664" s="1739" t="s">
        <v>68</v>
      </c>
      <c r="BU664" s="1739" t="s">
        <v>68</v>
      </c>
      <c r="BV664" s="1737" t="s">
        <v>68</v>
      </c>
      <c r="BW664" s="13"/>
      <c r="BX664" s="22"/>
      <c r="BY664" s="22"/>
      <c r="BZ664" s="22"/>
      <c r="CA664" s="22"/>
      <c r="CB664" s="1222" t="s">
        <v>3944</v>
      </c>
      <c r="CC664" s="859"/>
      <c r="CD664" s="526"/>
      <c r="CE664" s="526"/>
      <c r="CF664" s="526"/>
      <c r="CG664" s="526"/>
      <c r="CH664" s="526"/>
      <c r="CI664" s="526"/>
      <c r="CJ664" s="526"/>
      <c r="CK664" s="15"/>
    </row>
    <row r="665" spans="2:89" ht="104.25" hidden="1" customHeight="1">
      <c r="B665" s="22"/>
      <c r="C665" s="122"/>
      <c r="D665" s="22"/>
      <c r="E665" s="911"/>
      <c r="F665" s="911"/>
      <c r="G665" s="915"/>
      <c r="H665" s="1746" t="s">
        <v>6311</v>
      </c>
      <c r="I665" s="330">
        <v>44999</v>
      </c>
      <c r="J665" s="169">
        <v>2023</v>
      </c>
      <c r="K665" s="1417">
        <v>232005</v>
      </c>
      <c r="L665" s="1417"/>
      <c r="M665" s="170" t="s">
        <v>166</v>
      </c>
      <c r="N665" s="178" t="s">
        <v>4843</v>
      </c>
      <c r="O665" s="172" t="s">
        <v>45</v>
      </c>
      <c r="P665" s="173" t="s">
        <v>4853</v>
      </c>
      <c r="Q665" s="173" t="s">
        <v>1975</v>
      </c>
      <c r="R665" s="174">
        <f>15000*1.16</f>
        <v>17400</v>
      </c>
      <c r="S665" s="175">
        <v>44953</v>
      </c>
      <c r="T665" s="176">
        <v>44960</v>
      </c>
      <c r="U665" s="177">
        <v>44962</v>
      </c>
      <c r="V665" s="105" t="s">
        <v>68</v>
      </c>
      <c r="W665" s="178" t="s">
        <v>739</v>
      </c>
      <c r="X665" s="170" t="s">
        <v>472</v>
      </c>
      <c r="Y665" s="1723" t="s">
        <v>68</v>
      </c>
      <c r="Z665" s="1724" t="s">
        <v>68</v>
      </c>
      <c r="AA665" s="33"/>
      <c r="AB665" s="8"/>
      <c r="AC665" s="4"/>
      <c r="AD665" s="4"/>
      <c r="AE665" s="32"/>
      <c r="AF665" s="1725" t="s">
        <v>68</v>
      </c>
      <c r="AG665" s="1726" t="s">
        <v>68</v>
      </c>
      <c r="AH665" s="1726" t="s">
        <v>68</v>
      </c>
      <c r="AI665" s="1727" t="s">
        <v>68</v>
      </c>
      <c r="AJ665" s="1728" t="s">
        <v>68</v>
      </c>
      <c r="AK665" s="1729" t="s">
        <v>68</v>
      </c>
      <c r="AL665" s="1634" t="s">
        <v>68</v>
      </c>
      <c r="AM665" s="1656"/>
      <c r="AN665" s="1634" t="s">
        <v>68</v>
      </c>
      <c r="AO665" s="1656"/>
      <c r="AP665" s="1634" t="s">
        <v>68</v>
      </c>
      <c r="AQ665" s="1656"/>
      <c r="AR665" s="1730"/>
      <c r="AS665" s="1731">
        <v>0</v>
      </c>
      <c r="AT665" s="1732">
        <v>0</v>
      </c>
      <c r="AU665" s="1733">
        <v>0</v>
      </c>
      <c r="AV665" s="1734" t="s">
        <v>68</v>
      </c>
      <c r="AW665" s="1653" t="s">
        <v>68</v>
      </c>
      <c r="AX665" s="1654" t="s">
        <v>68</v>
      </c>
      <c r="AY665" s="1655" t="s">
        <v>68</v>
      </c>
      <c r="AZ665" s="30" t="s">
        <v>68</v>
      </c>
      <c r="BA665" s="5"/>
      <c r="BB665" s="5"/>
      <c r="BC665" s="11"/>
      <c r="BD665" s="30" t="s">
        <v>68</v>
      </c>
      <c r="BE665" s="309"/>
      <c r="BF665" s="5"/>
      <c r="BG665" s="5"/>
      <c r="BH665" s="5"/>
      <c r="BI665" s="36"/>
      <c r="BJ665" s="1736" t="s">
        <v>68</v>
      </c>
      <c r="BK665" s="1117"/>
      <c r="BL665" s="1737" t="s">
        <v>68</v>
      </c>
      <c r="BM665" s="1738" t="s">
        <v>68</v>
      </c>
      <c r="BN665" s="1738" t="s">
        <v>68</v>
      </c>
      <c r="BO665" s="1739" t="s">
        <v>68</v>
      </c>
      <c r="BP665" s="1739" t="s">
        <v>68</v>
      </c>
      <c r="BQ665" s="1739" t="s">
        <v>68</v>
      </c>
      <c r="BR665" s="1739" t="s">
        <v>68</v>
      </c>
      <c r="BS665" s="1739" t="s">
        <v>68</v>
      </c>
      <c r="BT665" s="1739" t="s">
        <v>68</v>
      </c>
      <c r="BU665" s="1739" t="s">
        <v>68</v>
      </c>
      <c r="BV665" s="1737" t="s">
        <v>68</v>
      </c>
      <c r="BW665" s="13"/>
      <c r="BX665" s="22"/>
      <c r="BY665" s="22"/>
      <c r="BZ665" s="22"/>
      <c r="CA665" s="22"/>
      <c r="CB665" s="1222" t="s">
        <v>3944</v>
      </c>
      <c r="CC665" s="859"/>
      <c r="CD665" s="526"/>
      <c r="CE665" s="526"/>
      <c r="CF665" s="526"/>
      <c r="CG665" s="526"/>
      <c r="CH665" s="526"/>
      <c r="CI665" s="526"/>
      <c r="CJ665" s="526"/>
      <c r="CK665" s="15"/>
    </row>
    <row r="666" spans="2:89" ht="133.5" hidden="1" customHeight="1">
      <c r="B666" s="22"/>
      <c r="C666" s="122"/>
      <c r="D666" s="22"/>
      <c r="E666" s="911"/>
      <c r="F666" s="911"/>
      <c r="G666" s="915"/>
      <c r="H666" s="1746" t="s">
        <v>6311</v>
      </c>
      <c r="I666" s="330"/>
      <c r="J666" s="169">
        <v>2023</v>
      </c>
      <c r="K666" s="1417">
        <v>232006</v>
      </c>
      <c r="L666" s="1417"/>
      <c r="M666" s="170" t="s">
        <v>166</v>
      </c>
      <c r="N666" s="178" t="s">
        <v>4844</v>
      </c>
      <c r="O666" s="172" t="s">
        <v>45</v>
      </c>
      <c r="P666" s="173" t="s">
        <v>5561</v>
      </c>
      <c r="Q666" s="173" t="s">
        <v>2577</v>
      </c>
      <c r="R666" s="174">
        <v>3500</v>
      </c>
      <c r="S666" s="175">
        <v>44929</v>
      </c>
      <c r="T666" s="176">
        <v>44931</v>
      </c>
      <c r="U666" s="177">
        <v>44931</v>
      </c>
      <c r="V666" s="105" t="s">
        <v>68</v>
      </c>
      <c r="W666" s="178" t="s">
        <v>5679</v>
      </c>
      <c r="X666" s="170" t="s">
        <v>472</v>
      </c>
      <c r="Y666" s="1723" t="s">
        <v>68</v>
      </c>
      <c r="Z666" s="1724" t="s">
        <v>68</v>
      </c>
      <c r="AA666" s="33"/>
      <c r="AB666" s="8"/>
      <c r="AC666" s="4"/>
      <c r="AD666" s="4"/>
      <c r="AE666" s="32"/>
      <c r="AF666" s="1725" t="s">
        <v>68</v>
      </c>
      <c r="AG666" s="1726" t="s">
        <v>68</v>
      </c>
      <c r="AH666" s="1726" t="s">
        <v>68</v>
      </c>
      <c r="AI666" s="1727" t="s">
        <v>68</v>
      </c>
      <c r="AJ666" s="1728" t="s">
        <v>68</v>
      </c>
      <c r="AK666" s="1729" t="s">
        <v>68</v>
      </c>
      <c r="AL666" s="1634" t="s">
        <v>68</v>
      </c>
      <c r="AM666" s="1656"/>
      <c r="AN666" s="1634" t="s">
        <v>68</v>
      </c>
      <c r="AO666" s="1656"/>
      <c r="AP666" s="1634" t="s">
        <v>68</v>
      </c>
      <c r="AQ666" s="1656"/>
      <c r="AR666" s="1730"/>
      <c r="AS666" s="1731">
        <v>0</v>
      </c>
      <c r="AT666" s="1732">
        <v>0</v>
      </c>
      <c r="AU666" s="1733">
        <v>0</v>
      </c>
      <c r="AV666" s="1734" t="s">
        <v>68</v>
      </c>
      <c r="AW666" s="1653" t="s">
        <v>68</v>
      </c>
      <c r="AX666" s="1654" t="s">
        <v>68</v>
      </c>
      <c r="AY666" s="1655" t="s">
        <v>68</v>
      </c>
      <c r="AZ666" s="30" t="s">
        <v>68</v>
      </c>
      <c r="BA666" s="5"/>
      <c r="BB666" s="5"/>
      <c r="BC666" s="11"/>
      <c r="BD666" s="30" t="s">
        <v>68</v>
      </c>
      <c r="BE666" s="309"/>
      <c r="BF666" s="5"/>
      <c r="BG666" s="5"/>
      <c r="BH666" s="5"/>
      <c r="BI666" s="36"/>
      <c r="BJ666" s="1736" t="s">
        <v>68</v>
      </c>
      <c r="BK666" s="1117"/>
      <c r="BL666" s="1737" t="s">
        <v>68</v>
      </c>
      <c r="BM666" s="1738" t="s">
        <v>68</v>
      </c>
      <c r="BN666" s="1738" t="s">
        <v>68</v>
      </c>
      <c r="BO666" s="1739" t="s">
        <v>68</v>
      </c>
      <c r="BP666" s="1739" t="s">
        <v>68</v>
      </c>
      <c r="BQ666" s="1739" t="s">
        <v>68</v>
      </c>
      <c r="BR666" s="1739" t="s">
        <v>68</v>
      </c>
      <c r="BS666" s="1739" t="s">
        <v>68</v>
      </c>
      <c r="BT666" s="1739" t="s">
        <v>68</v>
      </c>
      <c r="BU666" s="1739" t="s">
        <v>68</v>
      </c>
      <c r="BV666" s="1737" t="s">
        <v>68</v>
      </c>
      <c r="BW666" s="13"/>
      <c r="BX666" s="22"/>
      <c r="BY666" s="22"/>
      <c r="BZ666" s="22"/>
      <c r="CA666" s="22"/>
      <c r="CB666" s="1222" t="s">
        <v>3944</v>
      </c>
      <c r="CC666" s="859"/>
      <c r="CD666" s="526"/>
      <c r="CE666" s="526"/>
      <c r="CF666" s="526"/>
      <c r="CG666" s="526"/>
      <c r="CH666" s="526"/>
      <c r="CI666" s="526"/>
      <c r="CJ666" s="526"/>
      <c r="CK666" s="15"/>
    </row>
    <row r="667" spans="2:89" ht="129" hidden="1" customHeight="1">
      <c r="B667" s="22"/>
      <c r="C667" s="122"/>
      <c r="D667" s="22"/>
      <c r="E667" s="911"/>
      <c r="F667" s="911"/>
      <c r="G667" s="915"/>
      <c r="H667" s="1746" t="s">
        <v>6311</v>
      </c>
      <c r="I667" s="330"/>
      <c r="J667" s="169">
        <v>2023</v>
      </c>
      <c r="K667" s="1417">
        <v>232007</v>
      </c>
      <c r="L667" s="1417"/>
      <c r="M667" s="170" t="s">
        <v>166</v>
      </c>
      <c r="N667" s="178" t="s">
        <v>4845</v>
      </c>
      <c r="O667" s="172" t="s">
        <v>45</v>
      </c>
      <c r="P667" s="173" t="s">
        <v>5562</v>
      </c>
      <c r="Q667" s="173" t="s">
        <v>4409</v>
      </c>
      <c r="R667" s="174">
        <v>3500</v>
      </c>
      <c r="S667" s="175">
        <v>44970</v>
      </c>
      <c r="T667" s="176">
        <v>44972</v>
      </c>
      <c r="U667" s="177">
        <v>44972</v>
      </c>
      <c r="V667" s="105" t="s">
        <v>68</v>
      </c>
      <c r="W667" s="178" t="s">
        <v>5679</v>
      </c>
      <c r="X667" s="170" t="s">
        <v>472</v>
      </c>
      <c r="Y667" s="1723" t="s">
        <v>68</v>
      </c>
      <c r="Z667" s="1724" t="s">
        <v>68</v>
      </c>
      <c r="AA667" s="33"/>
      <c r="AB667" s="8"/>
      <c r="AC667" s="4"/>
      <c r="AD667" s="4"/>
      <c r="AE667" s="32"/>
      <c r="AF667" s="1725" t="s">
        <v>68</v>
      </c>
      <c r="AG667" s="1726" t="s">
        <v>68</v>
      </c>
      <c r="AH667" s="1726" t="s">
        <v>68</v>
      </c>
      <c r="AI667" s="1727" t="s">
        <v>68</v>
      </c>
      <c r="AJ667" s="1728" t="s">
        <v>68</v>
      </c>
      <c r="AK667" s="1729" t="s">
        <v>68</v>
      </c>
      <c r="AL667" s="1634" t="s">
        <v>68</v>
      </c>
      <c r="AM667" s="1656"/>
      <c r="AN667" s="1634" t="s">
        <v>68</v>
      </c>
      <c r="AO667" s="1656"/>
      <c r="AP667" s="1634" t="s">
        <v>68</v>
      </c>
      <c r="AQ667" s="1656"/>
      <c r="AR667" s="1730"/>
      <c r="AS667" s="1731">
        <v>0</v>
      </c>
      <c r="AT667" s="1732">
        <v>0</v>
      </c>
      <c r="AU667" s="1733">
        <v>0</v>
      </c>
      <c r="AV667" s="1734" t="s">
        <v>68</v>
      </c>
      <c r="AW667" s="1653" t="s">
        <v>68</v>
      </c>
      <c r="AX667" s="1654" t="s">
        <v>68</v>
      </c>
      <c r="AY667" s="1655" t="s">
        <v>68</v>
      </c>
      <c r="AZ667" s="30" t="s">
        <v>68</v>
      </c>
      <c r="BA667" s="5"/>
      <c r="BB667" s="5"/>
      <c r="BC667" s="11"/>
      <c r="BD667" s="30" t="s">
        <v>68</v>
      </c>
      <c r="BE667" s="309"/>
      <c r="BF667" s="5"/>
      <c r="BG667" s="5"/>
      <c r="BH667" s="5"/>
      <c r="BI667" s="36"/>
      <c r="BJ667" s="1736" t="s">
        <v>68</v>
      </c>
      <c r="BK667" s="1117"/>
      <c r="BL667" s="1737" t="s">
        <v>68</v>
      </c>
      <c r="BM667" s="1738" t="s">
        <v>68</v>
      </c>
      <c r="BN667" s="1738" t="s">
        <v>68</v>
      </c>
      <c r="BO667" s="1739" t="s">
        <v>68</v>
      </c>
      <c r="BP667" s="1739" t="s">
        <v>68</v>
      </c>
      <c r="BQ667" s="1739" t="s">
        <v>68</v>
      </c>
      <c r="BR667" s="1739" t="s">
        <v>68</v>
      </c>
      <c r="BS667" s="1739" t="s">
        <v>68</v>
      </c>
      <c r="BT667" s="1739" t="s">
        <v>68</v>
      </c>
      <c r="BU667" s="1739" t="s">
        <v>68</v>
      </c>
      <c r="BV667" s="1737" t="s">
        <v>68</v>
      </c>
      <c r="BW667" s="13"/>
      <c r="BX667" s="22"/>
      <c r="BY667" s="22"/>
      <c r="BZ667" s="22"/>
      <c r="CA667" s="22"/>
      <c r="CB667" s="1222" t="s">
        <v>3944</v>
      </c>
      <c r="CC667" s="859"/>
      <c r="CD667" s="526"/>
      <c r="CE667" s="526"/>
      <c r="CF667" s="526"/>
      <c r="CG667" s="526"/>
      <c r="CH667" s="526"/>
      <c r="CI667" s="526"/>
      <c r="CJ667" s="526"/>
      <c r="CK667" s="15"/>
    </row>
    <row r="668" spans="2:89" ht="165.75" hidden="1" customHeight="1">
      <c r="B668" s="22"/>
      <c r="C668" s="122"/>
      <c r="D668" s="22"/>
      <c r="E668" s="911"/>
      <c r="F668" s="911"/>
      <c r="G668" s="915"/>
      <c r="H668" s="1746" t="s">
        <v>6311</v>
      </c>
      <c r="I668" s="330"/>
      <c r="J668" s="169">
        <v>2023</v>
      </c>
      <c r="K668" s="1417">
        <v>232008</v>
      </c>
      <c r="L668" s="1417"/>
      <c r="M668" s="170" t="s">
        <v>166</v>
      </c>
      <c r="N668" s="178" t="s">
        <v>4846</v>
      </c>
      <c r="O668" s="172" t="s">
        <v>45</v>
      </c>
      <c r="P668" s="173" t="s">
        <v>5563</v>
      </c>
      <c r="Q668" s="173" t="s">
        <v>1975</v>
      </c>
      <c r="R668" s="174">
        <f>19200*1.16</f>
        <v>22272</v>
      </c>
      <c r="S668" s="590">
        <v>44978</v>
      </c>
      <c r="T668" s="176">
        <v>44979</v>
      </c>
      <c r="U668" s="177">
        <v>44979</v>
      </c>
      <c r="V668" s="105" t="s">
        <v>68</v>
      </c>
      <c r="W668" s="178" t="s">
        <v>3958</v>
      </c>
      <c r="X668" s="170" t="s">
        <v>472</v>
      </c>
      <c r="Y668" s="1723" t="s">
        <v>68</v>
      </c>
      <c r="Z668" s="1724" t="s">
        <v>68</v>
      </c>
      <c r="AA668" s="33"/>
      <c r="AB668" s="8"/>
      <c r="AC668" s="4"/>
      <c r="AD668" s="4"/>
      <c r="AE668" s="32"/>
      <c r="AF668" s="1725" t="s">
        <v>68</v>
      </c>
      <c r="AG668" s="1726" t="s">
        <v>68</v>
      </c>
      <c r="AH668" s="1726" t="s">
        <v>68</v>
      </c>
      <c r="AI668" s="1727" t="s">
        <v>68</v>
      </c>
      <c r="AJ668" s="1728" t="s">
        <v>68</v>
      </c>
      <c r="AK668" s="1729" t="s">
        <v>68</v>
      </c>
      <c r="AL668" s="1634" t="s">
        <v>68</v>
      </c>
      <c r="AM668" s="1656"/>
      <c r="AN668" s="1634" t="s">
        <v>68</v>
      </c>
      <c r="AO668" s="1656"/>
      <c r="AP668" s="1634" t="s">
        <v>68</v>
      </c>
      <c r="AQ668" s="1656"/>
      <c r="AR668" s="1730"/>
      <c r="AS668" s="1731">
        <v>0</v>
      </c>
      <c r="AT668" s="1732">
        <v>0</v>
      </c>
      <c r="AU668" s="1733">
        <v>0</v>
      </c>
      <c r="AV668" s="1734" t="s">
        <v>68</v>
      </c>
      <c r="AW668" s="1653" t="s">
        <v>68</v>
      </c>
      <c r="AX668" s="1654" t="s">
        <v>68</v>
      </c>
      <c r="AY668" s="1655" t="s">
        <v>68</v>
      </c>
      <c r="AZ668" s="30" t="s">
        <v>68</v>
      </c>
      <c r="BA668" s="5"/>
      <c r="BB668" s="5"/>
      <c r="BC668" s="11"/>
      <c r="BD668" s="30" t="s">
        <v>68</v>
      </c>
      <c r="BE668" s="309"/>
      <c r="BF668" s="5"/>
      <c r="BG668" s="5"/>
      <c r="BH668" s="5"/>
      <c r="BI668" s="36"/>
      <c r="BJ668" s="1736" t="s">
        <v>68</v>
      </c>
      <c r="BK668" s="1117"/>
      <c r="BL668" s="1737" t="s">
        <v>68</v>
      </c>
      <c r="BM668" s="1738" t="s">
        <v>68</v>
      </c>
      <c r="BN668" s="1738" t="s">
        <v>68</v>
      </c>
      <c r="BO668" s="1739" t="s">
        <v>68</v>
      </c>
      <c r="BP668" s="1739" t="s">
        <v>68</v>
      </c>
      <c r="BQ668" s="1739" t="s">
        <v>68</v>
      </c>
      <c r="BR668" s="1739" t="s">
        <v>68</v>
      </c>
      <c r="BS668" s="1739" t="s">
        <v>68</v>
      </c>
      <c r="BT668" s="1739" t="s">
        <v>68</v>
      </c>
      <c r="BU668" s="1739" t="s">
        <v>68</v>
      </c>
      <c r="BV668" s="1737" t="s">
        <v>68</v>
      </c>
      <c r="BW668" s="13"/>
      <c r="BX668" s="22"/>
      <c r="BY668" s="22"/>
      <c r="BZ668" s="22"/>
      <c r="CA668" s="22"/>
      <c r="CB668" s="1222" t="s">
        <v>3944</v>
      </c>
      <c r="CC668" s="859"/>
      <c r="CD668" s="526"/>
      <c r="CE668" s="526"/>
      <c r="CF668" s="526"/>
      <c r="CG668" s="526"/>
      <c r="CH668" s="526"/>
      <c r="CI668" s="526"/>
      <c r="CJ668" s="526"/>
      <c r="CK668" s="15"/>
    </row>
    <row r="669" spans="2:89" ht="207" hidden="1" customHeight="1">
      <c r="B669" s="22"/>
      <c r="C669" s="122"/>
      <c r="D669" s="22"/>
      <c r="E669" s="911"/>
      <c r="F669" s="911"/>
      <c r="G669" s="915"/>
      <c r="H669" s="1746" t="s">
        <v>6311</v>
      </c>
      <c r="I669" s="330"/>
      <c r="J669" s="169">
        <v>2023</v>
      </c>
      <c r="K669" s="1417">
        <v>232009</v>
      </c>
      <c r="L669" s="1417"/>
      <c r="M669" s="170" t="s">
        <v>166</v>
      </c>
      <c r="N669" s="178" t="s">
        <v>4847</v>
      </c>
      <c r="O669" s="172" t="s">
        <v>45</v>
      </c>
      <c r="P669" s="173" t="s">
        <v>5564</v>
      </c>
      <c r="Q669" s="173" t="s">
        <v>4409</v>
      </c>
      <c r="R669" s="174">
        <f>18000*1.16</f>
        <v>20880</v>
      </c>
      <c r="S669" s="590">
        <v>45007</v>
      </c>
      <c r="T669" s="176">
        <v>45009</v>
      </c>
      <c r="U669" s="177">
        <v>45016</v>
      </c>
      <c r="V669" s="105" t="s">
        <v>68</v>
      </c>
      <c r="W669" s="178" t="s">
        <v>3958</v>
      </c>
      <c r="X669" s="170" t="s">
        <v>472</v>
      </c>
      <c r="Y669" s="1723" t="s">
        <v>68</v>
      </c>
      <c r="Z669" s="1724" t="s">
        <v>68</v>
      </c>
      <c r="AA669" s="33"/>
      <c r="AB669" s="8"/>
      <c r="AC669" s="4"/>
      <c r="AD669" s="4"/>
      <c r="AE669" s="32"/>
      <c r="AF669" s="1725" t="s">
        <v>68</v>
      </c>
      <c r="AG669" s="1726" t="s">
        <v>68</v>
      </c>
      <c r="AH669" s="1726" t="s">
        <v>68</v>
      </c>
      <c r="AI669" s="1727" t="s">
        <v>68</v>
      </c>
      <c r="AJ669" s="1728" t="s">
        <v>68</v>
      </c>
      <c r="AK669" s="1729" t="s">
        <v>68</v>
      </c>
      <c r="AL669" s="1634" t="s">
        <v>68</v>
      </c>
      <c r="AM669" s="1656"/>
      <c r="AN669" s="1634" t="s">
        <v>68</v>
      </c>
      <c r="AO669" s="1656"/>
      <c r="AP669" s="1634" t="s">
        <v>68</v>
      </c>
      <c r="AQ669" s="1656"/>
      <c r="AR669" s="1730"/>
      <c r="AS669" s="1731">
        <v>0</v>
      </c>
      <c r="AT669" s="1732">
        <v>0</v>
      </c>
      <c r="AU669" s="1733">
        <v>0</v>
      </c>
      <c r="AV669" s="1734" t="s">
        <v>68</v>
      </c>
      <c r="AW669" s="1653" t="s">
        <v>68</v>
      </c>
      <c r="AX669" s="1654" t="s">
        <v>68</v>
      </c>
      <c r="AY669" s="1655" t="s">
        <v>68</v>
      </c>
      <c r="AZ669" s="30" t="s">
        <v>68</v>
      </c>
      <c r="BA669" s="5"/>
      <c r="BB669" s="5"/>
      <c r="BC669" s="11"/>
      <c r="BD669" s="30" t="s">
        <v>68</v>
      </c>
      <c r="BE669" s="309"/>
      <c r="BF669" s="5"/>
      <c r="BG669" s="5"/>
      <c r="BH669" s="5"/>
      <c r="BI669" s="36"/>
      <c r="BJ669" s="1736" t="s">
        <v>68</v>
      </c>
      <c r="BK669" s="1117"/>
      <c r="BL669" s="1737" t="s">
        <v>68</v>
      </c>
      <c r="BM669" s="1738" t="s">
        <v>68</v>
      </c>
      <c r="BN669" s="1738" t="s">
        <v>68</v>
      </c>
      <c r="BO669" s="1739" t="s">
        <v>68</v>
      </c>
      <c r="BP669" s="1739" t="s">
        <v>68</v>
      </c>
      <c r="BQ669" s="1739" t="s">
        <v>68</v>
      </c>
      <c r="BR669" s="1739" t="s">
        <v>68</v>
      </c>
      <c r="BS669" s="1739" t="s">
        <v>68</v>
      </c>
      <c r="BT669" s="1739" t="s">
        <v>68</v>
      </c>
      <c r="BU669" s="1739" t="s">
        <v>68</v>
      </c>
      <c r="BV669" s="1737" t="s">
        <v>68</v>
      </c>
      <c r="BW669" s="13"/>
      <c r="BX669" s="22"/>
      <c r="BY669" s="22"/>
      <c r="BZ669" s="22"/>
      <c r="CA669" s="22"/>
      <c r="CB669" s="1222" t="s">
        <v>3944</v>
      </c>
      <c r="CC669" s="859"/>
      <c r="CD669" s="526"/>
      <c r="CE669" s="526"/>
      <c r="CF669" s="526"/>
      <c r="CG669" s="526"/>
      <c r="CH669" s="526"/>
      <c r="CI669" s="526"/>
      <c r="CJ669" s="526"/>
      <c r="CK669" s="15"/>
    </row>
    <row r="670" spans="2:89" ht="183" hidden="1" customHeight="1">
      <c r="B670" s="22"/>
      <c r="C670" s="122"/>
      <c r="D670" s="22"/>
      <c r="E670" s="911"/>
      <c r="F670" s="911"/>
      <c r="G670" s="915"/>
      <c r="H670" s="1746" t="s">
        <v>6311</v>
      </c>
      <c r="I670" s="330"/>
      <c r="J670" s="169">
        <v>2023</v>
      </c>
      <c r="K670" s="1417">
        <v>232010</v>
      </c>
      <c r="L670" s="1417"/>
      <c r="M670" s="170" t="s">
        <v>166</v>
      </c>
      <c r="N670" s="178" t="s">
        <v>4848</v>
      </c>
      <c r="O670" s="172" t="s">
        <v>45</v>
      </c>
      <c r="P670" s="173" t="s">
        <v>5565</v>
      </c>
      <c r="Q670" s="173" t="s">
        <v>4409</v>
      </c>
      <c r="R670" s="174">
        <f>24000*1.16</f>
        <v>27839.999999999996</v>
      </c>
      <c r="S670" s="590">
        <v>45009</v>
      </c>
      <c r="T670" s="176">
        <v>45013</v>
      </c>
      <c r="U670" s="177">
        <v>45016</v>
      </c>
      <c r="V670" s="105" t="s">
        <v>68</v>
      </c>
      <c r="W670" s="178" t="s">
        <v>3958</v>
      </c>
      <c r="X670" s="170" t="s">
        <v>472</v>
      </c>
      <c r="Y670" s="1723" t="s">
        <v>68</v>
      </c>
      <c r="Z670" s="1724" t="s">
        <v>68</v>
      </c>
      <c r="AA670" s="33"/>
      <c r="AB670" s="8"/>
      <c r="AC670" s="4"/>
      <c r="AD670" s="4"/>
      <c r="AE670" s="32"/>
      <c r="AF670" s="1725" t="s">
        <v>68</v>
      </c>
      <c r="AG670" s="1726" t="s">
        <v>68</v>
      </c>
      <c r="AH670" s="1726" t="s">
        <v>68</v>
      </c>
      <c r="AI670" s="1727" t="s">
        <v>68</v>
      </c>
      <c r="AJ670" s="1728" t="s">
        <v>68</v>
      </c>
      <c r="AK670" s="1729" t="s">
        <v>68</v>
      </c>
      <c r="AL670" s="1634" t="s">
        <v>68</v>
      </c>
      <c r="AM670" s="1656"/>
      <c r="AN670" s="1634" t="s">
        <v>68</v>
      </c>
      <c r="AO670" s="1656"/>
      <c r="AP670" s="1634" t="s">
        <v>68</v>
      </c>
      <c r="AQ670" s="1656"/>
      <c r="AR670" s="1730"/>
      <c r="AS670" s="1731">
        <v>0</v>
      </c>
      <c r="AT670" s="1732">
        <v>0</v>
      </c>
      <c r="AU670" s="1733">
        <v>0</v>
      </c>
      <c r="AV670" s="1734" t="s">
        <v>68</v>
      </c>
      <c r="AW670" s="1653" t="s">
        <v>68</v>
      </c>
      <c r="AX670" s="1654" t="s">
        <v>68</v>
      </c>
      <c r="AY670" s="1655" t="s">
        <v>68</v>
      </c>
      <c r="AZ670" s="30" t="s">
        <v>68</v>
      </c>
      <c r="BA670" s="5"/>
      <c r="BB670" s="5"/>
      <c r="BC670" s="11"/>
      <c r="BD670" s="30" t="s">
        <v>68</v>
      </c>
      <c r="BE670" s="309"/>
      <c r="BF670" s="5"/>
      <c r="BG670" s="5"/>
      <c r="BH670" s="5"/>
      <c r="BI670" s="36"/>
      <c r="BJ670" s="1736" t="s">
        <v>68</v>
      </c>
      <c r="BK670" s="1117"/>
      <c r="BL670" s="1737" t="s">
        <v>68</v>
      </c>
      <c r="BM670" s="1738" t="s">
        <v>68</v>
      </c>
      <c r="BN670" s="1738" t="s">
        <v>68</v>
      </c>
      <c r="BO670" s="1739" t="s">
        <v>68</v>
      </c>
      <c r="BP670" s="1739" t="s">
        <v>68</v>
      </c>
      <c r="BQ670" s="1739" t="s">
        <v>68</v>
      </c>
      <c r="BR670" s="1739" t="s">
        <v>68</v>
      </c>
      <c r="BS670" s="1739" t="s">
        <v>68</v>
      </c>
      <c r="BT670" s="1739" t="s">
        <v>68</v>
      </c>
      <c r="BU670" s="1739" t="s">
        <v>68</v>
      </c>
      <c r="BV670" s="1737" t="s">
        <v>68</v>
      </c>
      <c r="BW670" s="13"/>
      <c r="BX670" s="22"/>
      <c r="BY670" s="22"/>
      <c r="BZ670" s="22"/>
      <c r="CA670" s="22"/>
      <c r="CB670" s="1222" t="s">
        <v>3944</v>
      </c>
      <c r="CC670" s="859"/>
      <c r="CD670" s="526"/>
      <c r="CE670" s="526"/>
      <c r="CF670" s="526"/>
      <c r="CG670" s="526"/>
      <c r="CH670" s="526"/>
      <c r="CI670" s="526"/>
      <c r="CJ670" s="526"/>
      <c r="CK670" s="15"/>
    </row>
    <row r="671" spans="2:89" ht="111" hidden="1" customHeight="1">
      <c r="B671" s="22"/>
      <c r="C671" s="122"/>
      <c r="D671" s="22"/>
      <c r="E671" s="911"/>
      <c r="F671" s="911"/>
      <c r="G671" s="915"/>
      <c r="H671" s="1746" t="s">
        <v>6311</v>
      </c>
      <c r="I671" s="330"/>
      <c r="J671" s="169">
        <v>2023</v>
      </c>
      <c r="K671" s="1417">
        <v>232011</v>
      </c>
      <c r="L671" s="1417"/>
      <c r="M671" s="170" t="s">
        <v>166</v>
      </c>
      <c r="N671" s="178" t="s">
        <v>5530</v>
      </c>
      <c r="O671" s="172" t="s">
        <v>45</v>
      </c>
      <c r="P671" s="173" t="s">
        <v>5566</v>
      </c>
      <c r="Q671" s="173" t="s">
        <v>4824</v>
      </c>
      <c r="R671" s="174">
        <f>16000*1.16</f>
        <v>18560</v>
      </c>
      <c r="S671" s="590">
        <v>44988</v>
      </c>
      <c r="T671" s="176">
        <v>44991</v>
      </c>
      <c r="U671" s="177">
        <v>44995</v>
      </c>
      <c r="V671" s="105" t="s">
        <v>68</v>
      </c>
      <c r="W671" s="178" t="s">
        <v>5567</v>
      </c>
      <c r="X671" s="170" t="s">
        <v>472</v>
      </c>
      <c r="Y671" s="1723" t="s">
        <v>68</v>
      </c>
      <c r="Z671" s="1724" t="s">
        <v>68</v>
      </c>
      <c r="AA671" s="33"/>
      <c r="AB671" s="8"/>
      <c r="AC671" s="4"/>
      <c r="AD671" s="4"/>
      <c r="AE671" s="32"/>
      <c r="AF671" s="1725" t="s">
        <v>68</v>
      </c>
      <c r="AG671" s="1726" t="s">
        <v>68</v>
      </c>
      <c r="AH671" s="1726" t="s">
        <v>68</v>
      </c>
      <c r="AI671" s="1727" t="s">
        <v>68</v>
      </c>
      <c r="AJ671" s="1728" t="s">
        <v>68</v>
      </c>
      <c r="AK671" s="1729" t="s">
        <v>68</v>
      </c>
      <c r="AL671" s="1634" t="s">
        <v>68</v>
      </c>
      <c r="AM671" s="1656"/>
      <c r="AN671" s="1634" t="s">
        <v>68</v>
      </c>
      <c r="AO671" s="1656"/>
      <c r="AP671" s="1634" t="s">
        <v>68</v>
      </c>
      <c r="AQ671" s="1656"/>
      <c r="AR671" s="1730"/>
      <c r="AS671" s="1731">
        <v>0</v>
      </c>
      <c r="AT671" s="1732">
        <v>0</v>
      </c>
      <c r="AU671" s="1733">
        <v>0</v>
      </c>
      <c r="AV671" s="1734" t="s">
        <v>68</v>
      </c>
      <c r="AW671" s="1653" t="s">
        <v>68</v>
      </c>
      <c r="AX671" s="1654" t="s">
        <v>68</v>
      </c>
      <c r="AY671" s="1655" t="s">
        <v>68</v>
      </c>
      <c r="AZ671" s="30" t="s">
        <v>68</v>
      </c>
      <c r="BA671" s="5"/>
      <c r="BB671" s="5"/>
      <c r="BC671" s="11"/>
      <c r="BD671" s="30" t="s">
        <v>68</v>
      </c>
      <c r="BE671" s="309"/>
      <c r="BF671" s="5"/>
      <c r="BG671" s="5"/>
      <c r="BH671" s="5"/>
      <c r="BI671" s="36"/>
      <c r="BJ671" s="1736" t="s">
        <v>68</v>
      </c>
      <c r="BK671" s="1117"/>
      <c r="BL671" s="1737" t="s">
        <v>68</v>
      </c>
      <c r="BM671" s="1738" t="s">
        <v>68</v>
      </c>
      <c r="BN671" s="1738" t="s">
        <v>68</v>
      </c>
      <c r="BO671" s="1739" t="s">
        <v>68</v>
      </c>
      <c r="BP671" s="1739" t="s">
        <v>68</v>
      </c>
      <c r="BQ671" s="1739" t="s">
        <v>68</v>
      </c>
      <c r="BR671" s="1739" t="s">
        <v>68</v>
      </c>
      <c r="BS671" s="1739" t="s">
        <v>68</v>
      </c>
      <c r="BT671" s="1739" t="s">
        <v>68</v>
      </c>
      <c r="BU671" s="1739" t="s">
        <v>68</v>
      </c>
      <c r="BV671" s="1737" t="s">
        <v>68</v>
      </c>
      <c r="BW671" s="13"/>
      <c r="BX671" s="22"/>
      <c r="BY671" s="22"/>
      <c r="BZ671" s="22"/>
      <c r="CA671" s="22"/>
      <c r="CB671" s="1222" t="s">
        <v>3944</v>
      </c>
      <c r="CC671" s="859"/>
      <c r="CD671" s="526"/>
      <c r="CE671" s="526"/>
      <c r="CF671" s="526"/>
      <c r="CG671" s="526"/>
      <c r="CH671" s="526"/>
      <c r="CI671" s="526"/>
      <c r="CJ671" s="526"/>
      <c r="CK671" s="15"/>
    </row>
    <row r="672" spans="2:89" ht="112.5" hidden="1" customHeight="1">
      <c r="B672" s="22"/>
      <c r="C672" s="122"/>
      <c r="D672" s="22"/>
      <c r="E672" s="911"/>
      <c r="F672" s="911"/>
      <c r="G672" s="915"/>
      <c r="H672" s="1746" t="s">
        <v>6311</v>
      </c>
      <c r="I672" s="330"/>
      <c r="J672" s="169">
        <v>2023</v>
      </c>
      <c r="K672" s="1417">
        <v>232012</v>
      </c>
      <c r="L672" s="1417"/>
      <c r="M672" s="170" t="s">
        <v>166</v>
      </c>
      <c r="N672" s="178" t="s">
        <v>5531</v>
      </c>
      <c r="O672" s="172" t="s">
        <v>45</v>
      </c>
      <c r="P672" s="173" t="s">
        <v>5568</v>
      </c>
      <c r="Q672" s="173" t="s">
        <v>4409</v>
      </c>
      <c r="R672" s="174">
        <f>16000*1.16</f>
        <v>18560</v>
      </c>
      <c r="S672" s="590">
        <v>44995</v>
      </c>
      <c r="T672" s="176">
        <v>44998</v>
      </c>
      <c r="U672" s="177">
        <v>45002</v>
      </c>
      <c r="V672" s="105" t="s">
        <v>68</v>
      </c>
      <c r="W672" s="178" t="s">
        <v>5567</v>
      </c>
      <c r="X672" s="170" t="s">
        <v>472</v>
      </c>
      <c r="Y672" s="1723" t="s">
        <v>68</v>
      </c>
      <c r="Z672" s="1724" t="s">
        <v>68</v>
      </c>
      <c r="AA672" s="33"/>
      <c r="AB672" s="8"/>
      <c r="AC672" s="4"/>
      <c r="AD672" s="4"/>
      <c r="AE672" s="32"/>
      <c r="AF672" s="1725" t="s">
        <v>68</v>
      </c>
      <c r="AG672" s="1726" t="s">
        <v>68</v>
      </c>
      <c r="AH672" s="1726" t="s">
        <v>68</v>
      </c>
      <c r="AI672" s="1727" t="s">
        <v>68</v>
      </c>
      <c r="AJ672" s="1728" t="s">
        <v>68</v>
      </c>
      <c r="AK672" s="1729" t="s">
        <v>68</v>
      </c>
      <c r="AL672" s="1634" t="s">
        <v>68</v>
      </c>
      <c r="AM672" s="1656"/>
      <c r="AN672" s="1634" t="s">
        <v>68</v>
      </c>
      <c r="AO672" s="1656"/>
      <c r="AP672" s="1634" t="s">
        <v>68</v>
      </c>
      <c r="AQ672" s="1656"/>
      <c r="AR672" s="1730"/>
      <c r="AS672" s="1731">
        <v>0</v>
      </c>
      <c r="AT672" s="1732">
        <v>0</v>
      </c>
      <c r="AU672" s="1733">
        <v>0</v>
      </c>
      <c r="AV672" s="1734" t="s">
        <v>68</v>
      </c>
      <c r="AW672" s="1653" t="s">
        <v>68</v>
      </c>
      <c r="AX672" s="1654" t="s">
        <v>68</v>
      </c>
      <c r="AY672" s="1655" t="s">
        <v>68</v>
      </c>
      <c r="AZ672" s="30" t="s">
        <v>68</v>
      </c>
      <c r="BA672" s="5"/>
      <c r="BB672" s="5"/>
      <c r="BC672" s="11"/>
      <c r="BD672" s="30" t="s">
        <v>68</v>
      </c>
      <c r="BE672" s="309"/>
      <c r="BF672" s="5"/>
      <c r="BG672" s="5"/>
      <c r="BH672" s="5"/>
      <c r="BI672" s="36"/>
      <c r="BJ672" s="1736" t="s">
        <v>68</v>
      </c>
      <c r="BK672" s="1117"/>
      <c r="BL672" s="1737" t="s">
        <v>68</v>
      </c>
      <c r="BM672" s="1738" t="s">
        <v>68</v>
      </c>
      <c r="BN672" s="1738" t="s">
        <v>68</v>
      </c>
      <c r="BO672" s="1739" t="s">
        <v>68</v>
      </c>
      <c r="BP672" s="1739" t="s">
        <v>68</v>
      </c>
      <c r="BQ672" s="1739" t="s">
        <v>68</v>
      </c>
      <c r="BR672" s="1739" t="s">
        <v>68</v>
      </c>
      <c r="BS672" s="1739" t="s">
        <v>68</v>
      </c>
      <c r="BT672" s="1739" t="s">
        <v>68</v>
      </c>
      <c r="BU672" s="1739" t="s">
        <v>68</v>
      </c>
      <c r="BV672" s="1737" t="s">
        <v>68</v>
      </c>
      <c r="BW672" s="13"/>
      <c r="BX672" s="22"/>
      <c r="BY672" s="22"/>
      <c r="BZ672" s="22"/>
      <c r="CA672" s="22"/>
      <c r="CB672" s="1222" t="s">
        <v>3944</v>
      </c>
      <c r="CC672" s="859"/>
      <c r="CD672" s="526"/>
      <c r="CE672" s="526"/>
      <c r="CF672" s="526"/>
      <c r="CG672" s="526"/>
      <c r="CH672" s="526"/>
      <c r="CI672" s="526"/>
      <c r="CJ672" s="526"/>
      <c r="CK672" s="15"/>
    </row>
    <row r="673" spans="2:89" ht="99.75" hidden="1" customHeight="1">
      <c r="B673" s="22"/>
      <c r="C673" s="122"/>
      <c r="D673" s="22"/>
      <c r="E673" s="911"/>
      <c r="F673" s="911"/>
      <c r="G673" s="915"/>
      <c r="H673" s="1746" t="s">
        <v>6311</v>
      </c>
      <c r="I673" s="330"/>
      <c r="J673" s="169">
        <v>2023</v>
      </c>
      <c r="K673" s="1417">
        <v>232013</v>
      </c>
      <c r="L673" s="1417"/>
      <c r="M673" s="170" t="s">
        <v>166</v>
      </c>
      <c r="N673" s="178" t="s">
        <v>5532</v>
      </c>
      <c r="O673" s="172" t="s">
        <v>45</v>
      </c>
      <c r="P673" s="173" t="s">
        <v>5569</v>
      </c>
      <c r="Q673" s="173" t="s">
        <v>1975</v>
      </c>
      <c r="R673" s="174">
        <f>16000*1.16</f>
        <v>18560</v>
      </c>
      <c r="S673" s="590">
        <v>45002</v>
      </c>
      <c r="T673" s="176">
        <v>45005</v>
      </c>
      <c r="U673" s="177">
        <v>45009</v>
      </c>
      <c r="V673" s="105" t="s">
        <v>68</v>
      </c>
      <c r="W673" s="178" t="s">
        <v>5567</v>
      </c>
      <c r="X673" s="170" t="s">
        <v>472</v>
      </c>
      <c r="Y673" s="1723" t="s">
        <v>68</v>
      </c>
      <c r="Z673" s="1724" t="s">
        <v>68</v>
      </c>
      <c r="AA673" s="33"/>
      <c r="AB673" s="8"/>
      <c r="AC673" s="4"/>
      <c r="AD673" s="4"/>
      <c r="AE673" s="32"/>
      <c r="AF673" s="1725" t="s">
        <v>68</v>
      </c>
      <c r="AG673" s="1726" t="s">
        <v>68</v>
      </c>
      <c r="AH673" s="1726" t="s">
        <v>68</v>
      </c>
      <c r="AI673" s="1727" t="s">
        <v>68</v>
      </c>
      <c r="AJ673" s="1728" t="s">
        <v>68</v>
      </c>
      <c r="AK673" s="1729" t="s">
        <v>68</v>
      </c>
      <c r="AL673" s="1634" t="s">
        <v>68</v>
      </c>
      <c r="AM673" s="1656"/>
      <c r="AN673" s="1634" t="s">
        <v>68</v>
      </c>
      <c r="AO673" s="1656"/>
      <c r="AP673" s="1634" t="s">
        <v>68</v>
      </c>
      <c r="AQ673" s="1656"/>
      <c r="AR673" s="1730"/>
      <c r="AS673" s="1731">
        <v>0</v>
      </c>
      <c r="AT673" s="1732">
        <v>0</v>
      </c>
      <c r="AU673" s="1733">
        <v>0</v>
      </c>
      <c r="AV673" s="1734" t="s">
        <v>68</v>
      </c>
      <c r="AW673" s="1653" t="s">
        <v>68</v>
      </c>
      <c r="AX673" s="1654" t="s">
        <v>68</v>
      </c>
      <c r="AY673" s="1655" t="s">
        <v>68</v>
      </c>
      <c r="AZ673" s="30" t="s">
        <v>68</v>
      </c>
      <c r="BA673" s="5"/>
      <c r="BB673" s="5"/>
      <c r="BC673" s="11"/>
      <c r="BD673" s="30" t="s">
        <v>68</v>
      </c>
      <c r="BE673" s="309"/>
      <c r="BF673" s="5"/>
      <c r="BG673" s="5"/>
      <c r="BH673" s="5"/>
      <c r="BI673" s="36"/>
      <c r="BJ673" s="1736" t="s">
        <v>68</v>
      </c>
      <c r="BK673" s="1117"/>
      <c r="BL673" s="1737" t="s">
        <v>68</v>
      </c>
      <c r="BM673" s="1738" t="s">
        <v>68</v>
      </c>
      <c r="BN673" s="1738" t="s">
        <v>68</v>
      </c>
      <c r="BO673" s="1739" t="s">
        <v>68</v>
      </c>
      <c r="BP673" s="1739" t="s">
        <v>68</v>
      </c>
      <c r="BQ673" s="1739" t="s">
        <v>68</v>
      </c>
      <c r="BR673" s="1739" t="s">
        <v>68</v>
      </c>
      <c r="BS673" s="1739" t="s">
        <v>68</v>
      </c>
      <c r="BT673" s="1739" t="s">
        <v>68</v>
      </c>
      <c r="BU673" s="1739" t="s">
        <v>68</v>
      </c>
      <c r="BV673" s="1737" t="s">
        <v>68</v>
      </c>
      <c r="BW673" s="13"/>
      <c r="BX673" s="22"/>
      <c r="BY673" s="22"/>
      <c r="BZ673" s="22"/>
      <c r="CA673" s="22"/>
      <c r="CB673" s="1222" t="s">
        <v>3944</v>
      </c>
      <c r="CC673" s="859"/>
      <c r="CD673" s="526"/>
      <c r="CE673" s="526"/>
      <c r="CF673" s="526"/>
      <c r="CG673" s="526"/>
      <c r="CH673" s="526"/>
      <c r="CI673" s="526"/>
      <c r="CJ673" s="526"/>
      <c r="CK673" s="15"/>
    </row>
    <row r="674" spans="2:89" ht="113.25" hidden="1" customHeight="1">
      <c r="B674" s="22"/>
      <c r="C674" s="122"/>
      <c r="D674" s="22"/>
      <c r="E674" s="911"/>
      <c r="F674" s="911"/>
      <c r="G674" s="915"/>
      <c r="H674" s="1746" t="s">
        <v>6311</v>
      </c>
      <c r="I674" s="330"/>
      <c r="J674" s="169">
        <v>2023</v>
      </c>
      <c r="K674" s="1417">
        <v>232014</v>
      </c>
      <c r="L674" s="1417"/>
      <c r="M674" s="170" t="s">
        <v>166</v>
      </c>
      <c r="N674" s="178" t="s">
        <v>5533</v>
      </c>
      <c r="O674" s="172" t="s">
        <v>45</v>
      </c>
      <c r="P674" s="173" t="s">
        <v>5570</v>
      </c>
      <c r="Q674" s="173" t="s">
        <v>4409</v>
      </c>
      <c r="R674" s="174">
        <f>16000*1.16</f>
        <v>18560</v>
      </c>
      <c r="S674" s="590">
        <v>45001</v>
      </c>
      <c r="T674" s="176">
        <v>45005</v>
      </c>
      <c r="U674" s="177">
        <v>45009</v>
      </c>
      <c r="V674" s="105" t="s">
        <v>68</v>
      </c>
      <c r="W674" s="178" t="s">
        <v>5567</v>
      </c>
      <c r="X674" s="170" t="s">
        <v>472</v>
      </c>
      <c r="Y674" s="1723" t="s">
        <v>68</v>
      </c>
      <c r="Z674" s="1724" t="s">
        <v>68</v>
      </c>
      <c r="AA674" s="33"/>
      <c r="AB674" s="8"/>
      <c r="AC674" s="4"/>
      <c r="AD674" s="4"/>
      <c r="AE674" s="32"/>
      <c r="AF674" s="1725" t="s">
        <v>68</v>
      </c>
      <c r="AG674" s="1726" t="s">
        <v>68</v>
      </c>
      <c r="AH674" s="1726" t="s">
        <v>68</v>
      </c>
      <c r="AI674" s="1727" t="s">
        <v>68</v>
      </c>
      <c r="AJ674" s="1728" t="s">
        <v>68</v>
      </c>
      <c r="AK674" s="1729" t="s">
        <v>68</v>
      </c>
      <c r="AL674" s="1634" t="s">
        <v>68</v>
      </c>
      <c r="AM674" s="1656"/>
      <c r="AN674" s="1634" t="s">
        <v>68</v>
      </c>
      <c r="AO674" s="1656"/>
      <c r="AP674" s="1634" t="s">
        <v>68</v>
      </c>
      <c r="AQ674" s="1656"/>
      <c r="AR674" s="1730"/>
      <c r="AS674" s="1731">
        <v>0</v>
      </c>
      <c r="AT674" s="1732">
        <v>0</v>
      </c>
      <c r="AU674" s="1733">
        <v>0</v>
      </c>
      <c r="AV674" s="1734" t="s">
        <v>68</v>
      </c>
      <c r="AW674" s="1653" t="s">
        <v>68</v>
      </c>
      <c r="AX674" s="1654" t="s">
        <v>68</v>
      </c>
      <c r="AY674" s="1655" t="s">
        <v>68</v>
      </c>
      <c r="AZ674" s="30" t="s">
        <v>68</v>
      </c>
      <c r="BA674" s="5"/>
      <c r="BB674" s="5"/>
      <c r="BC674" s="11"/>
      <c r="BD674" s="30" t="s">
        <v>68</v>
      </c>
      <c r="BE674" s="309"/>
      <c r="BF674" s="5"/>
      <c r="BG674" s="5"/>
      <c r="BH674" s="5"/>
      <c r="BI674" s="36"/>
      <c r="BJ674" s="1736" t="s">
        <v>68</v>
      </c>
      <c r="BK674" s="1117"/>
      <c r="BL674" s="1737" t="s">
        <v>68</v>
      </c>
      <c r="BM674" s="1738" t="s">
        <v>68</v>
      </c>
      <c r="BN674" s="1738" t="s">
        <v>68</v>
      </c>
      <c r="BO674" s="1739" t="s">
        <v>68</v>
      </c>
      <c r="BP674" s="1739" t="s">
        <v>68</v>
      </c>
      <c r="BQ674" s="1739" t="s">
        <v>68</v>
      </c>
      <c r="BR674" s="1739" t="s">
        <v>68</v>
      </c>
      <c r="BS674" s="1739" t="s">
        <v>68</v>
      </c>
      <c r="BT674" s="1739" t="s">
        <v>68</v>
      </c>
      <c r="BU674" s="1739" t="s">
        <v>68</v>
      </c>
      <c r="BV674" s="1737" t="s">
        <v>68</v>
      </c>
      <c r="BW674" s="13"/>
      <c r="BX674" s="22"/>
      <c r="BY674" s="22"/>
      <c r="BZ674" s="22"/>
      <c r="CA674" s="22"/>
      <c r="CB674" s="1222" t="s">
        <v>3944</v>
      </c>
      <c r="CC674" s="859"/>
      <c r="CD674" s="526"/>
      <c r="CE674" s="526"/>
      <c r="CF674" s="526"/>
      <c r="CG674" s="526"/>
      <c r="CH674" s="526"/>
      <c r="CI674" s="526"/>
      <c r="CJ674" s="526"/>
      <c r="CK674" s="15"/>
    </row>
    <row r="675" spans="2:89" ht="86.25" hidden="1" customHeight="1">
      <c r="B675" s="22"/>
      <c r="C675" s="122"/>
      <c r="D675" s="22"/>
      <c r="E675" s="911"/>
      <c r="F675" s="911"/>
      <c r="G675" s="915"/>
      <c r="H675" s="1746" t="s">
        <v>6311</v>
      </c>
      <c r="I675" s="330"/>
      <c r="J675" s="169">
        <v>2023</v>
      </c>
      <c r="K675" s="1417">
        <v>232015</v>
      </c>
      <c r="L675" s="1417"/>
      <c r="M675" s="170" t="s">
        <v>166</v>
      </c>
      <c r="N675" s="178" t="s">
        <v>5534</v>
      </c>
      <c r="O675" s="172" t="s">
        <v>45</v>
      </c>
      <c r="P675" s="173" t="s">
        <v>5571</v>
      </c>
      <c r="Q675" s="173" t="s">
        <v>4410</v>
      </c>
      <c r="R675" s="174">
        <f>10000*1.16</f>
        <v>11600</v>
      </c>
      <c r="S675" s="590">
        <v>45005</v>
      </c>
      <c r="T675" s="176">
        <v>45012</v>
      </c>
      <c r="U675" s="177">
        <v>45016</v>
      </c>
      <c r="V675" s="105" t="s">
        <v>68</v>
      </c>
      <c r="W675" s="178" t="s">
        <v>739</v>
      </c>
      <c r="X675" s="170" t="s">
        <v>472</v>
      </c>
      <c r="Y675" s="1723" t="s">
        <v>68</v>
      </c>
      <c r="Z675" s="1724" t="s">
        <v>68</v>
      </c>
      <c r="AA675" s="33"/>
      <c r="AB675" s="8"/>
      <c r="AC675" s="4"/>
      <c r="AD675" s="4"/>
      <c r="AE675" s="32"/>
      <c r="AF675" s="1725" t="s">
        <v>68</v>
      </c>
      <c r="AG675" s="1726" t="s">
        <v>68</v>
      </c>
      <c r="AH675" s="1726" t="s">
        <v>68</v>
      </c>
      <c r="AI675" s="1727" t="s">
        <v>68</v>
      </c>
      <c r="AJ675" s="1728" t="s">
        <v>68</v>
      </c>
      <c r="AK675" s="1729" t="s">
        <v>68</v>
      </c>
      <c r="AL675" s="1634" t="s">
        <v>68</v>
      </c>
      <c r="AM675" s="1656"/>
      <c r="AN675" s="1634" t="s">
        <v>68</v>
      </c>
      <c r="AO675" s="1656"/>
      <c r="AP675" s="1634" t="s">
        <v>68</v>
      </c>
      <c r="AQ675" s="1656"/>
      <c r="AR675" s="1730"/>
      <c r="AS675" s="1731">
        <v>0</v>
      </c>
      <c r="AT675" s="1732">
        <v>0</v>
      </c>
      <c r="AU675" s="1733">
        <v>0</v>
      </c>
      <c r="AV675" s="1734" t="s">
        <v>68</v>
      </c>
      <c r="AW675" s="1653" t="s">
        <v>68</v>
      </c>
      <c r="AX675" s="1654" t="s">
        <v>68</v>
      </c>
      <c r="AY675" s="1655" t="s">
        <v>68</v>
      </c>
      <c r="AZ675" s="30" t="s">
        <v>68</v>
      </c>
      <c r="BA675" s="5"/>
      <c r="BB675" s="5"/>
      <c r="BC675" s="11"/>
      <c r="BD675" s="30" t="s">
        <v>68</v>
      </c>
      <c r="BE675" s="309"/>
      <c r="BF675" s="5"/>
      <c r="BG675" s="5"/>
      <c r="BH675" s="5"/>
      <c r="BI675" s="36"/>
      <c r="BJ675" s="1736" t="s">
        <v>68</v>
      </c>
      <c r="BK675" s="1117"/>
      <c r="BL675" s="1737" t="s">
        <v>68</v>
      </c>
      <c r="BM675" s="1738" t="s">
        <v>68</v>
      </c>
      <c r="BN675" s="1738" t="s">
        <v>68</v>
      </c>
      <c r="BO675" s="1739" t="s">
        <v>68</v>
      </c>
      <c r="BP675" s="1739" t="s">
        <v>68</v>
      </c>
      <c r="BQ675" s="1739" t="s">
        <v>68</v>
      </c>
      <c r="BR675" s="1739" t="s">
        <v>68</v>
      </c>
      <c r="BS675" s="1739" t="s">
        <v>68</v>
      </c>
      <c r="BT675" s="1739" t="s">
        <v>68</v>
      </c>
      <c r="BU675" s="1739" t="s">
        <v>68</v>
      </c>
      <c r="BV675" s="1737" t="s">
        <v>68</v>
      </c>
      <c r="BW675" s="13"/>
      <c r="BX675" s="22"/>
      <c r="BY675" s="22"/>
      <c r="BZ675" s="22"/>
      <c r="CA675" s="22"/>
      <c r="CB675" s="1222" t="s">
        <v>3944</v>
      </c>
      <c r="CC675" s="859"/>
      <c r="CD675" s="526"/>
      <c r="CE675" s="526"/>
      <c r="CF675" s="526"/>
      <c r="CG675" s="526"/>
      <c r="CH675" s="526"/>
      <c r="CI675" s="526"/>
      <c r="CJ675" s="526"/>
      <c r="CK675" s="15"/>
    </row>
    <row r="676" spans="2:89" ht="136.5" hidden="1" customHeight="1">
      <c r="B676" s="22"/>
      <c r="C676" s="122"/>
      <c r="D676" s="22"/>
      <c r="E676" s="911"/>
      <c r="F676" s="911"/>
      <c r="G676" s="915"/>
      <c r="H676" s="1746" t="s">
        <v>6311</v>
      </c>
      <c r="I676" s="330"/>
      <c r="J676" s="169">
        <v>2023</v>
      </c>
      <c r="K676" s="1417">
        <v>232016</v>
      </c>
      <c r="L676" s="1417"/>
      <c r="M676" s="170" t="s">
        <v>166</v>
      </c>
      <c r="N676" s="178" t="s">
        <v>5535</v>
      </c>
      <c r="O676" s="172" t="s">
        <v>45</v>
      </c>
      <c r="P676" s="173" t="s">
        <v>5573</v>
      </c>
      <c r="Q676" s="257" t="s">
        <v>2614</v>
      </c>
      <c r="R676" s="1772">
        <f>27000*1.16</f>
        <v>31319.999999999996</v>
      </c>
      <c r="S676" s="590">
        <v>45029</v>
      </c>
      <c r="T676" s="176">
        <v>45033</v>
      </c>
      <c r="U676" s="177">
        <v>45037</v>
      </c>
      <c r="V676" s="105" t="s">
        <v>68</v>
      </c>
      <c r="W676" s="178" t="s">
        <v>739</v>
      </c>
      <c r="X676" s="170" t="s">
        <v>472</v>
      </c>
      <c r="Y676" s="1723" t="s">
        <v>68</v>
      </c>
      <c r="Z676" s="1724" t="s">
        <v>68</v>
      </c>
      <c r="AA676" s="33"/>
      <c r="AB676" s="8"/>
      <c r="AC676" s="4"/>
      <c r="AD676" s="4"/>
      <c r="AE676" s="32"/>
      <c r="AF676" s="1725" t="s">
        <v>68</v>
      </c>
      <c r="AG676" s="1726" t="s">
        <v>68</v>
      </c>
      <c r="AH676" s="1726" t="s">
        <v>68</v>
      </c>
      <c r="AI676" s="1727" t="s">
        <v>68</v>
      </c>
      <c r="AJ676" s="1728" t="s">
        <v>68</v>
      </c>
      <c r="AK676" s="1729" t="s">
        <v>68</v>
      </c>
      <c r="AL676" s="1634" t="s">
        <v>68</v>
      </c>
      <c r="AM676" s="1656"/>
      <c r="AN676" s="1634" t="s">
        <v>68</v>
      </c>
      <c r="AO676" s="1656"/>
      <c r="AP676" s="1634" t="s">
        <v>68</v>
      </c>
      <c r="AQ676" s="1656"/>
      <c r="AR676" s="1730"/>
      <c r="AS676" s="1731">
        <v>0</v>
      </c>
      <c r="AT676" s="1732">
        <v>0</v>
      </c>
      <c r="AU676" s="1733">
        <v>0</v>
      </c>
      <c r="AV676" s="1734" t="s">
        <v>68</v>
      </c>
      <c r="AW676" s="1653" t="s">
        <v>68</v>
      </c>
      <c r="AX676" s="1654" t="s">
        <v>68</v>
      </c>
      <c r="AY676" s="1655" t="s">
        <v>68</v>
      </c>
      <c r="AZ676" s="30" t="s">
        <v>68</v>
      </c>
      <c r="BA676" s="5"/>
      <c r="BB676" s="5"/>
      <c r="BC676" s="11"/>
      <c r="BD676" s="30" t="s">
        <v>68</v>
      </c>
      <c r="BE676" s="309"/>
      <c r="BF676" s="5"/>
      <c r="BG676" s="5"/>
      <c r="BH676" s="5"/>
      <c r="BI676" s="36"/>
      <c r="BJ676" s="1736" t="s">
        <v>68</v>
      </c>
      <c r="BK676" s="1117"/>
      <c r="BL676" s="1737" t="s">
        <v>68</v>
      </c>
      <c r="BM676" s="1738" t="s">
        <v>68</v>
      </c>
      <c r="BN676" s="1738" t="s">
        <v>68</v>
      </c>
      <c r="BO676" s="1739" t="s">
        <v>68</v>
      </c>
      <c r="BP676" s="1739" t="s">
        <v>68</v>
      </c>
      <c r="BQ676" s="1739" t="s">
        <v>68</v>
      </c>
      <c r="BR676" s="1739" t="s">
        <v>68</v>
      </c>
      <c r="BS676" s="1739" t="s">
        <v>68</v>
      </c>
      <c r="BT676" s="1739" t="s">
        <v>68</v>
      </c>
      <c r="BU676" s="1739" t="s">
        <v>68</v>
      </c>
      <c r="BV676" s="1737" t="s">
        <v>68</v>
      </c>
      <c r="BW676" s="13"/>
      <c r="BX676" s="22"/>
      <c r="BY676" s="22"/>
      <c r="BZ676" s="22"/>
      <c r="CA676" s="22"/>
      <c r="CB676" s="1222" t="s">
        <v>3944</v>
      </c>
      <c r="CC676" s="859"/>
      <c r="CD676" s="526"/>
      <c r="CE676" s="526"/>
      <c r="CF676" s="526"/>
      <c r="CG676" s="526"/>
      <c r="CH676" s="526"/>
      <c r="CI676" s="526"/>
      <c r="CJ676" s="526"/>
      <c r="CK676" s="15"/>
    </row>
    <row r="677" spans="2:89" ht="130.5" hidden="1" customHeight="1">
      <c r="B677" s="22"/>
      <c r="C677" s="122">
        <v>45446</v>
      </c>
      <c r="D677" s="22"/>
      <c r="E677" s="911"/>
      <c r="F677" s="911"/>
      <c r="G677" s="915"/>
      <c r="H677" s="1746" t="s">
        <v>6311</v>
      </c>
      <c r="I677" s="330"/>
      <c r="J677" s="169">
        <v>2023</v>
      </c>
      <c r="K677" s="1417">
        <v>232017</v>
      </c>
      <c r="L677" s="1417"/>
      <c r="M677" s="170" t="s">
        <v>166</v>
      </c>
      <c r="N677" s="178" t="s">
        <v>5536</v>
      </c>
      <c r="O677" s="172" t="s">
        <v>45</v>
      </c>
      <c r="P677" s="173" t="s">
        <v>5574</v>
      </c>
      <c r="Q677" s="173" t="s">
        <v>1975</v>
      </c>
      <c r="R677" s="174">
        <f>20000*1.16</f>
        <v>23200</v>
      </c>
      <c r="S677" s="590">
        <v>45065</v>
      </c>
      <c r="T677" s="176">
        <v>45068</v>
      </c>
      <c r="U677" s="177">
        <v>45070</v>
      </c>
      <c r="V677" s="105" t="s">
        <v>68</v>
      </c>
      <c r="W677" s="178" t="s">
        <v>2986</v>
      </c>
      <c r="X677" s="170" t="s">
        <v>472</v>
      </c>
      <c r="Y677" s="1723" t="s">
        <v>68</v>
      </c>
      <c r="Z677" s="1724" t="s">
        <v>68</v>
      </c>
      <c r="AA677" s="33"/>
      <c r="AB677" s="8"/>
      <c r="AC677" s="4"/>
      <c r="AD677" s="4"/>
      <c r="AE677" s="32"/>
      <c r="AF677" s="1725" t="s">
        <v>68</v>
      </c>
      <c r="AG677" s="1726" t="s">
        <v>68</v>
      </c>
      <c r="AH677" s="1726" t="s">
        <v>68</v>
      </c>
      <c r="AI677" s="1727" t="s">
        <v>68</v>
      </c>
      <c r="AJ677" s="1728" t="s">
        <v>68</v>
      </c>
      <c r="AK677" s="1729" t="s">
        <v>68</v>
      </c>
      <c r="AL677" s="1634" t="s">
        <v>68</v>
      </c>
      <c r="AM677" s="1656"/>
      <c r="AN677" s="1634" t="s">
        <v>68</v>
      </c>
      <c r="AO677" s="1656"/>
      <c r="AP677" s="1634" t="s">
        <v>68</v>
      </c>
      <c r="AQ677" s="1656"/>
      <c r="AR677" s="1730"/>
      <c r="AS677" s="1731">
        <v>0</v>
      </c>
      <c r="AT677" s="1732">
        <v>0</v>
      </c>
      <c r="AU677" s="1733">
        <v>0</v>
      </c>
      <c r="AV677" s="1734" t="s">
        <v>68</v>
      </c>
      <c r="AW677" s="1653" t="s">
        <v>68</v>
      </c>
      <c r="AX677" s="1654" t="s">
        <v>68</v>
      </c>
      <c r="AY677" s="1655" t="s">
        <v>68</v>
      </c>
      <c r="AZ677" s="30" t="s">
        <v>68</v>
      </c>
      <c r="BA677" s="5"/>
      <c r="BB677" s="5"/>
      <c r="BC677" s="11"/>
      <c r="BD677" s="30" t="s">
        <v>68</v>
      </c>
      <c r="BE677" s="309"/>
      <c r="BF677" s="5"/>
      <c r="BG677" s="5"/>
      <c r="BH677" s="5"/>
      <c r="BI677" s="36"/>
      <c r="BJ677" s="1736" t="s">
        <v>68</v>
      </c>
      <c r="BK677" s="1117"/>
      <c r="BL677" s="1737" t="s">
        <v>68</v>
      </c>
      <c r="BM677" s="1738" t="s">
        <v>68</v>
      </c>
      <c r="BN677" s="1738" t="s">
        <v>68</v>
      </c>
      <c r="BO677" s="1739" t="s">
        <v>68</v>
      </c>
      <c r="BP677" s="1739" t="s">
        <v>68</v>
      </c>
      <c r="BQ677" s="1739" t="s">
        <v>68</v>
      </c>
      <c r="BR677" s="1739" t="s">
        <v>68</v>
      </c>
      <c r="BS677" s="1739" t="s">
        <v>68</v>
      </c>
      <c r="BT677" s="1739" t="s">
        <v>68</v>
      </c>
      <c r="BU677" s="1739" t="s">
        <v>68</v>
      </c>
      <c r="BV677" s="1737" t="s">
        <v>68</v>
      </c>
      <c r="BW677" s="13"/>
      <c r="BX677" s="22"/>
      <c r="BY677" s="22"/>
      <c r="BZ677" s="22"/>
      <c r="CA677" s="22"/>
      <c r="CB677" s="1222" t="s">
        <v>3944</v>
      </c>
      <c r="CC677" s="859"/>
      <c r="CD677" s="526"/>
      <c r="CE677" s="526"/>
      <c r="CF677" s="526"/>
      <c r="CG677" s="526"/>
      <c r="CH677" s="526"/>
      <c r="CI677" s="526"/>
      <c r="CJ677" s="526"/>
      <c r="CK677" s="15"/>
    </row>
    <row r="678" spans="2:89" ht="131.25" hidden="1" customHeight="1">
      <c r="B678" s="22"/>
      <c r="C678" s="122"/>
      <c r="D678" s="22"/>
      <c r="E678" s="911"/>
      <c r="F678" s="911"/>
      <c r="G678" s="915"/>
      <c r="H678" s="1746" t="s">
        <v>6311</v>
      </c>
      <c r="I678" s="330"/>
      <c r="J678" s="169">
        <v>2023</v>
      </c>
      <c r="K678" s="1417">
        <v>232018</v>
      </c>
      <c r="L678" s="1417"/>
      <c r="M678" s="170" t="s">
        <v>166</v>
      </c>
      <c r="N678" s="178" t="s">
        <v>5537</v>
      </c>
      <c r="O678" s="172" t="s">
        <v>45</v>
      </c>
      <c r="P678" s="173" t="s">
        <v>5575</v>
      </c>
      <c r="Q678" s="173" t="s">
        <v>1975</v>
      </c>
      <c r="R678" s="174">
        <f>20000*1.16</f>
        <v>23200</v>
      </c>
      <c r="S678" s="590">
        <v>45069</v>
      </c>
      <c r="T678" s="176">
        <v>45071</v>
      </c>
      <c r="U678" s="177">
        <v>45072</v>
      </c>
      <c r="V678" s="105" t="s">
        <v>68</v>
      </c>
      <c r="W678" s="178" t="s">
        <v>2986</v>
      </c>
      <c r="X678" s="170" t="s">
        <v>472</v>
      </c>
      <c r="Y678" s="1723" t="s">
        <v>68</v>
      </c>
      <c r="Z678" s="1724" t="s">
        <v>68</v>
      </c>
      <c r="AA678" s="33"/>
      <c r="AB678" s="8"/>
      <c r="AC678" s="4"/>
      <c r="AD678" s="4"/>
      <c r="AE678" s="32"/>
      <c r="AF678" s="1725" t="s">
        <v>68</v>
      </c>
      <c r="AG678" s="1726" t="s">
        <v>68</v>
      </c>
      <c r="AH678" s="1726" t="s">
        <v>68</v>
      </c>
      <c r="AI678" s="1727" t="s">
        <v>68</v>
      </c>
      <c r="AJ678" s="1728" t="s">
        <v>68</v>
      </c>
      <c r="AK678" s="1729" t="s">
        <v>68</v>
      </c>
      <c r="AL678" s="1634" t="s">
        <v>68</v>
      </c>
      <c r="AM678" s="1656"/>
      <c r="AN678" s="1634" t="s">
        <v>68</v>
      </c>
      <c r="AO678" s="1656"/>
      <c r="AP678" s="1634" t="s">
        <v>68</v>
      </c>
      <c r="AQ678" s="1656"/>
      <c r="AR678" s="1730"/>
      <c r="AS678" s="1731">
        <v>0</v>
      </c>
      <c r="AT678" s="1732">
        <v>0</v>
      </c>
      <c r="AU678" s="1733">
        <v>0</v>
      </c>
      <c r="AV678" s="1734" t="s">
        <v>68</v>
      </c>
      <c r="AW678" s="1653" t="s">
        <v>68</v>
      </c>
      <c r="AX678" s="1654" t="s">
        <v>68</v>
      </c>
      <c r="AY678" s="1655" t="s">
        <v>68</v>
      </c>
      <c r="AZ678" s="30" t="s">
        <v>68</v>
      </c>
      <c r="BA678" s="5"/>
      <c r="BB678" s="5"/>
      <c r="BC678" s="11"/>
      <c r="BD678" s="30" t="s">
        <v>68</v>
      </c>
      <c r="BE678" s="309"/>
      <c r="BF678" s="5"/>
      <c r="BG678" s="5"/>
      <c r="BH678" s="5"/>
      <c r="BI678" s="36"/>
      <c r="BJ678" s="1736" t="s">
        <v>68</v>
      </c>
      <c r="BK678" s="1117"/>
      <c r="BL678" s="1737" t="s">
        <v>68</v>
      </c>
      <c r="BM678" s="1738" t="s">
        <v>68</v>
      </c>
      <c r="BN678" s="1738" t="s">
        <v>68</v>
      </c>
      <c r="BO678" s="1739" t="s">
        <v>68</v>
      </c>
      <c r="BP678" s="1739" t="s">
        <v>68</v>
      </c>
      <c r="BQ678" s="1739" t="s">
        <v>68</v>
      </c>
      <c r="BR678" s="1739" t="s">
        <v>68</v>
      </c>
      <c r="BS678" s="1739" t="s">
        <v>68</v>
      </c>
      <c r="BT678" s="1739" t="s">
        <v>68</v>
      </c>
      <c r="BU678" s="1739" t="s">
        <v>68</v>
      </c>
      <c r="BV678" s="1737" t="s">
        <v>68</v>
      </c>
      <c r="BW678" s="13"/>
      <c r="BX678" s="22"/>
      <c r="BY678" s="22"/>
      <c r="BZ678" s="22"/>
      <c r="CA678" s="22"/>
      <c r="CB678" s="1222" t="s">
        <v>3944</v>
      </c>
      <c r="CC678" s="859"/>
      <c r="CD678" s="526"/>
      <c r="CE678" s="526"/>
      <c r="CF678" s="526"/>
      <c r="CG678" s="526"/>
      <c r="CH678" s="526"/>
      <c r="CI678" s="526"/>
      <c r="CJ678" s="526"/>
      <c r="CK678" s="15"/>
    </row>
    <row r="679" spans="2:89" ht="93.75" hidden="1" customHeight="1">
      <c r="B679" s="22"/>
      <c r="C679" s="122"/>
      <c r="D679" s="22"/>
      <c r="E679" s="911"/>
      <c r="F679" s="911"/>
      <c r="G679" s="915"/>
      <c r="H679" s="1746" t="s">
        <v>6311</v>
      </c>
      <c r="I679" s="330"/>
      <c r="J679" s="169">
        <v>2023</v>
      </c>
      <c r="K679" s="1417">
        <v>232019</v>
      </c>
      <c r="L679" s="1417"/>
      <c r="M679" s="170" t="s">
        <v>166</v>
      </c>
      <c r="N679" s="178" t="s">
        <v>5538</v>
      </c>
      <c r="O679" s="172" t="s">
        <v>45</v>
      </c>
      <c r="P679" s="173" t="s">
        <v>5576</v>
      </c>
      <c r="Q679" s="173" t="s">
        <v>1975</v>
      </c>
      <c r="R679" s="174">
        <f>5172.41*1.16</f>
        <v>5999.9955999999993</v>
      </c>
      <c r="S679" s="590">
        <v>45099</v>
      </c>
      <c r="T679" s="176">
        <v>45099</v>
      </c>
      <c r="U679" s="177">
        <v>45103</v>
      </c>
      <c r="V679" s="105" t="s">
        <v>68</v>
      </c>
      <c r="W679" s="178" t="s">
        <v>191</v>
      </c>
      <c r="X679" s="170" t="s">
        <v>472</v>
      </c>
      <c r="Y679" s="1723" t="s">
        <v>68</v>
      </c>
      <c r="Z679" s="1724" t="s">
        <v>68</v>
      </c>
      <c r="AA679" s="33"/>
      <c r="AB679" s="8"/>
      <c r="AC679" s="4"/>
      <c r="AD679" s="4"/>
      <c r="AE679" s="32"/>
      <c r="AF679" s="1725" t="s">
        <v>68</v>
      </c>
      <c r="AG679" s="1726" t="s">
        <v>68</v>
      </c>
      <c r="AH679" s="1726" t="s">
        <v>68</v>
      </c>
      <c r="AI679" s="1727" t="s">
        <v>68</v>
      </c>
      <c r="AJ679" s="1728" t="s">
        <v>68</v>
      </c>
      <c r="AK679" s="1729" t="s">
        <v>68</v>
      </c>
      <c r="AL679" s="1634" t="s">
        <v>68</v>
      </c>
      <c r="AM679" s="1656"/>
      <c r="AN679" s="1634" t="s">
        <v>68</v>
      </c>
      <c r="AO679" s="1656"/>
      <c r="AP679" s="1634" t="s">
        <v>68</v>
      </c>
      <c r="AQ679" s="1656"/>
      <c r="AR679" s="1730"/>
      <c r="AS679" s="1731">
        <v>0</v>
      </c>
      <c r="AT679" s="1732">
        <v>0</v>
      </c>
      <c r="AU679" s="1733">
        <v>0</v>
      </c>
      <c r="AV679" s="1734" t="s">
        <v>68</v>
      </c>
      <c r="AW679" s="1653" t="s">
        <v>68</v>
      </c>
      <c r="AX679" s="1654" t="s">
        <v>68</v>
      </c>
      <c r="AY679" s="1655" t="s">
        <v>68</v>
      </c>
      <c r="AZ679" s="30" t="s">
        <v>68</v>
      </c>
      <c r="BA679" s="5"/>
      <c r="BB679" s="5"/>
      <c r="BC679" s="11"/>
      <c r="BD679" s="30" t="s">
        <v>68</v>
      </c>
      <c r="BE679" s="309"/>
      <c r="BF679" s="5"/>
      <c r="BG679" s="5"/>
      <c r="BH679" s="5"/>
      <c r="BI679" s="36"/>
      <c r="BJ679" s="1736" t="s">
        <v>68</v>
      </c>
      <c r="BK679" s="1117"/>
      <c r="BL679" s="1737" t="s">
        <v>68</v>
      </c>
      <c r="BM679" s="1738" t="s">
        <v>68</v>
      </c>
      <c r="BN679" s="1738" t="s">
        <v>68</v>
      </c>
      <c r="BO679" s="1739" t="s">
        <v>68</v>
      </c>
      <c r="BP679" s="1739" t="s">
        <v>68</v>
      </c>
      <c r="BQ679" s="1739" t="s">
        <v>68</v>
      </c>
      <c r="BR679" s="1739" t="s">
        <v>68</v>
      </c>
      <c r="BS679" s="1739" t="s">
        <v>68</v>
      </c>
      <c r="BT679" s="1739" t="s">
        <v>68</v>
      </c>
      <c r="BU679" s="1739" t="s">
        <v>68</v>
      </c>
      <c r="BV679" s="1737" t="s">
        <v>68</v>
      </c>
      <c r="BW679" s="13"/>
      <c r="BX679" s="22"/>
      <c r="BY679" s="22"/>
      <c r="BZ679" s="22"/>
      <c r="CA679" s="22"/>
      <c r="CB679" s="1222" t="s">
        <v>3944</v>
      </c>
      <c r="CC679" s="859"/>
      <c r="CD679" s="526"/>
      <c r="CE679" s="526"/>
      <c r="CF679" s="526"/>
      <c r="CG679" s="526"/>
      <c r="CH679" s="526"/>
      <c r="CI679" s="526"/>
      <c r="CJ679" s="526"/>
      <c r="CK679" s="15"/>
    </row>
    <row r="680" spans="2:89" ht="105" hidden="1" customHeight="1">
      <c r="B680" s="22"/>
      <c r="C680" s="122"/>
      <c r="D680" s="22"/>
      <c r="E680" s="911"/>
      <c r="F680" s="911"/>
      <c r="G680" s="915"/>
      <c r="H680" s="1746" t="s">
        <v>6311</v>
      </c>
      <c r="I680" s="330"/>
      <c r="J680" s="169">
        <v>2023</v>
      </c>
      <c r="K680" s="1417">
        <v>232020</v>
      </c>
      <c r="L680" s="1417"/>
      <c r="M680" s="170" t="s">
        <v>166</v>
      </c>
      <c r="N680" s="178" t="s">
        <v>5539</v>
      </c>
      <c r="O680" s="172" t="s">
        <v>45</v>
      </c>
      <c r="P680" s="173" t="s">
        <v>5572</v>
      </c>
      <c r="Q680" s="173" t="s">
        <v>2575</v>
      </c>
      <c r="R680" s="174">
        <f>83144.46*1.16</f>
        <v>96447.573600000003</v>
      </c>
      <c r="S680" s="590">
        <v>45118</v>
      </c>
      <c r="T680" s="176">
        <v>45120</v>
      </c>
      <c r="U680" s="177">
        <v>45129</v>
      </c>
      <c r="V680" s="105" t="s">
        <v>68</v>
      </c>
      <c r="W680" s="178" t="s">
        <v>191</v>
      </c>
      <c r="X680" s="170" t="s">
        <v>472</v>
      </c>
      <c r="Y680" s="1723" t="s">
        <v>68</v>
      </c>
      <c r="Z680" s="1724" t="s">
        <v>68</v>
      </c>
      <c r="AA680" s="33"/>
      <c r="AB680" s="8"/>
      <c r="AC680" s="4"/>
      <c r="AD680" s="4"/>
      <c r="AE680" s="32"/>
      <c r="AF680" s="1725" t="s">
        <v>68</v>
      </c>
      <c r="AG680" s="1726" t="s">
        <v>68</v>
      </c>
      <c r="AH680" s="1726" t="s">
        <v>68</v>
      </c>
      <c r="AI680" s="1727" t="s">
        <v>68</v>
      </c>
      <c r="AJ680" s="1728" t="s">
        <v>68</v>
      </c>
      <c r="AK680" s="1729" t="s">
        <v>68</v>
      </c>
      <c r="AL680" s="1634" t="s">
        <v>68</v>
      </c>
      <c r="AM680" s="1656"/>
      <c r="AN680" s="1634" t="s">
        <v>68</v>
      </c>
      <c r="AO680" s="1656"/>
      <c r="AP680" s="1634" t="s">
        <v>68</v>
      </c>
      <c r="AQ680" s="1656"/>
      <c r="AR680" s="1730"/>
      <c r="AS680" s="1731">
        <v>0</v>
      </c>
      <c r="AT680" s="1732">
        <v>0</v>
      </c>
      <c r="AU680" s="1733">
        <v>0</v>
      </c>
      <c r="AV680" s="1734" t="s">
        <v>68</v>
      </c>
      <c r="AW680" s="1653" t="s">
        <v>68</v>
      </c>
      <c r="AX680" s="1654" t="s">
        <v>68</v>
      </c>
      <c r="AY680" s="1655" t="s">
        <v>68</v>
      </c>
      <c r="AZ680" s="30" t="s">
        <v>68</v>
      </c>
      <c r="BA680" s="5"/>
      <c r="BB680" s="5"/>
      <c r="BC680" s="11"/>
      <c r="BD680" s="30" t="s">
        <v>68</v>
      </c>
      <c r="BE680" s="309"/>
      <c r="BF680" s="5"/>
      <c r="BG680" s="5"/>
      <c r="BH680" s="5"/>
      <c r="BI680" s="36"/>
      <c r="BJ680" s="1736" t="s">
        <v>68</v>
      </c>
      <c r="BK680" s="1117"/>
      <c r="BL680" s="1737" t="s">
        <v>68</v>
      </c>
      <c r="BM680" s="1738" t="s">
        <v>68</v>
      </c>
      <c r="BN680" s="1738" t="s">
        <v>68</v>
      </c>
      <c r="BO680" s="1739" t="s">
        <v>68</v>
      </c>
      <c r="BP680" s="1739" t="s">
        <v>68</v>
      </c>
      <c r="BQ680" s="1739" t="s">
        <v>68</v>
      </c>
      <c r="BR680" s="1739" t="s">
        <v>68</v>
      </c>
      <c r="BS680" s="1739" t="s">
        <v>68</v>
      </c>
      <c r="BT680" s="1739" t="s">
        <v>68</v>
      </c>
      <c r="BU680" s="1739" t="s">
        <v>68</v>
      </c>
      <c r="BV680" s="1737" t="s">
        <v>68</v>
      </c>
      <c r="BW680" s="13"/>
      <c r="BX680" s="22"/>
      <c r="BY680" s="22"/>
      <c r="BZ680" s="22"/>
      <c r="CA680" s="22"/>
      <c r="CB680" s="1222" t="s">
        <v>3944</v>
      </c>
      <c r="CC680" s="859"/>
      <c r="CD680" s="526"/>
      <c r="CE680" s="526"/>
      <c r="CF680" s="526"/>
      <c r="CG680" s="526"/>
      <c r="CH680" s="526"/>
      <c r="CI680" s="526"/>
      <c r="CJ680" s="526"/>
      <c r="CK680" s="15"/>
    </row>
    <row r="681" spans="2:89" ht="208.5" hidden="1" customHeight="1">
      <c r="B681" s="22"/>
      <c r="C681" s="122"/>
      <c r="D681" s="22"/>
      <c r="E681" s="911"/>
      <c r="F681" s="911"/>
      <c r="G681" s="915"/>
      <c r="H681" s="1746" t="s">
        <v>6311</v>
      </c>
      <c r="I681" s="330"/>
      <c r="J681" s="169">
        <v>2023</v>
      </c>
      <c r="K681" s="1417">
        <v>232021</v>
      </c>
      <c r="L681" s="1417"/>
      <c r="M681" s="170" t="s">
        <v>166</v>
      </c>
      <c r="N681" s="178" t="s">
        <v>5540</v>
      </c>
      <c r="O681" s="172" t="s">
        <v>45</v>
      </c>
      <c r="P681" s="173" t="s">
        <v>5577</v>
      </c>
      <c r="Q681" s="173" t="s">
        <v>2575</v>
      </c>
      <c r="R681" s="174">
        <f>15000*1.16</f>
        <v>17400</v>
      </c>
      <c r="S681" s="590">
        <v>45131</v>
      </c>
      <c r="T681" s="176">
        <v>45138</v>
      </c>
      <c r="U681" s="177">
        <v>45187</v>
      </c>
      <c r="V681" s="105" t="s">
        <v>68</v>
      </c>
      <c r="W681" s="178" t="s">
        <v>4450</v>
      </c>
      <c r="X681" s="170" t="s">
        <v>472</v>
      </c>
      <c r="Y681" s="1723" t="s">
        <v>68</v>
      </c>
      <c r="Z681" s="1724" t="s">
        <v>68</v>
      </c>
      <c r="AA681" s="33"/>
      <c r="AB681" s="8"/>
      <c r="AC681" s="4"/>
      <c r="AD681" s="4"/>
      <c r="AE681" s="32"/>
      <c r="AF681" s="1725" t="s">
        <v>68</v>
      </c>
      <c r="AG681" s="1726" t="s">
        <v>68</v>
      </c>
      <c r="AH681" s="1726" t="s">
        <v>68</v>
      </c>
      <c r="AI681" s="1727" t="s">
        <v>68</v>
      </c>
      <c r="AJ681" s="1728" t="s">
        <v>68</v>
      </c>
      <c r="AK681" s="1729" t="s">
        <v>68</v>
      </c>
      <c r="AL681" s="1634" t="s">
        <v>68</v>
      </c>
      <c r="AM681" s="1656"/>
      <c r="AN681" s="1634" t="s">
        <v>68</v>
      </c>
      <c r="AO681" s="1656"/>
      <c r="AP681" s="1634" t="s">
        <v>68</v>
      </c>
      <c r="AQ681" s="1656"/>
      <c r="AR681" s="1730"/>
      <c r="AS681" s="1731">
        <v>0</v>
      </c>
      <c r="AT681" s="1732">
        <v>0</v>
      </c>
      <c r="AU681" s="1733">
        <v>0</v>
      </c>
      <c r="AV681" s="1734" t="s">
        <v>68</v>
      </c>
      <c r="AW681" s="1653" t="s">
        <v>68</v>
      </c>
      <c r="AX681" s="1654" t="s">
        <v>68</v>
      </c>
      <c r="AY681" s="1655" t="s">
        <v>68</v>
      </c>
      <c r="AZ681" s="30" t="s">
        <v>68</v>
      </c>
      <c r="BA681" s="5"/>
      <c r="BB681" s="5"/>
      <c r="BC681" s="11"/>
      <c r="BD681" s="30" t="s">
        <v>68</v>
      </c>
      <c r="BE681" s="309"/>
      <c r="BF681" s="5"/>
      <c r="BG681" s="5"/>
      <c r="BH681" s="5"/>
      <c r="BI681" s="36"/>
      <c r="BJ681" s="1736" t="s">
        <v>68</v>
      </c>
      <c r="BK681" s="1117"/>
      <c r="BL681" s="1737" t="s">
        <v>68</v>
      </c>
      <c r="BM681" s="1738" t="s">
        <v>68</v>
      </c>
      <c r="BN681" s="1738" t="s">
        <v>68</v>
      </c>
      <c r="BO681" s="1739" t="s">
        <v>68</v>
      </c>
      <c r="BP681" s="1739" t="s">
        <v>68</v>
      </c>
      <c r="BQ681" s="1739" t="s">
        <v>68</v>
      </c>
      <c r="BR681" s="1739" t="s">
        <v>68</v>
      </c>
      <c r="BS681" s="1739" t="s">
        <v>68</v>
      </c>
      <c r="BT681" s="1739" t="s">
        <v>68</v>
      </c>
      <c r="BU681" s="1739" t="s">
        <v>68</v>
      </c>
      <c r="BV681" s="1737" t="s">
        <v>68</v>
      </c>
      <c r="BW681" s="13"/>
      <c r="BX681" s="22"/>
      <c r="BY681" s="22"/>
      <c r="BZ681" s="22"/>
      <c r="CA681" s="22"/>
      <c r="CB681" s="1222" t="s">
        <v>3944</v>
      </c>
      <c r="CC681" s="859"/>
      <c r="CD681" s="526"/>
      <c r="CE681" s="526"/>
      <c r="CF681" s="526"/>
      <c r="CG681" s="526"/>
      <c r="CH681" s="526"/>
      <c r="CI681" s="526"/>
      <c r="CJ681" s="526"/>
      <c r="CK681" s="15"/>
    </row>
    <row r="682" spans="2:89" ht="98.25" hidden="1" customHeight="1">
      <c r="B682" s="22"/>
      <c r="C682" s="122"/>
      <c r="D682" s="22"/>
      <c r="E682" s="911"/>
      <c r="F682" s="911"/>
      <c r="G682" s="915"/>
      <c r="H682" s="1746" t="s">
        <v>6311</v>
      </c>
      <c r="I682" s="330"/>
      <c r="J682" s="169">
        <v>2023</v>
      </c>
      <c r="K682" s="1417">
        <v>232022</v>
      </c>
      <c r="L682" s="1417"/>
      <c r="M682" s="170" t="s">
        <v>166</v>
      </c>
      <c r="N682" s="178" t="s">
        <v>5541</v>
      </c>
      <c r="O682" s="172" t="s">
        <v>45</v>
      </c>
      <c r="P682" s="173" t="s">
        <v>5578</v>
      </c>
      <c r="Q682" s="173" t="s">
        <v>2538</v>
      </c>
      <c r="R682" s="174">
        <f>63525.18*1.16</f>
        <v>73689.208799999993</v>
      </c>
      <c r="S682" s="590">
        <v>45133</v>
      </c>
      <c r="T682" s="176">
        <v>45141</v>
      </c>
      <c r="U682" s="177">
        <v>45155</v>
      </c>
      <c r="V682" s="105" t="s">
        <v>68</v>
      </c>
      <c r="W682" s="178" t="s">
        <v>4450</v>
      </c>
      <c r="X682" s="170" t="s">
        <v>472</v>
      </c>
      <c r="Y682" s="1723" t="s">
        <v>68</v>
      </c>
      <c r="Z682" s="1724" t="s">
        <v>68</v>
      </c>
      <c r="AA682" s="33"/>
      <c r="AB682" s="8"/>
      <c r="AC682" s="4"/>
      <c r="AD682" s="4"/>
      <c r="AE682" s="32"/>
      <c r="AF682" s="1725" t="s">
        <v>68</v>
      </c>
      <c r="AG682" s="1726" t="s">
        <v>68</v>
      </c>
      <c r="AH682" s="1726" t="s">
        <v>68</v>
      </c>
      <c r="AI682" s="1727" t="s">
        <v>68</v>
      </c>
      <c r="AJ682" s="1728" t="s">
        <v>68</v>
      </c>
      <c r="AK682" s="1729" t="s">
        <v>68</v>
      </c>
      <c r="AL682" s="1634" t="s">
        <v>68</v>
      </c>
      <c r="AM682" s="1656"/>
      <c r="AN682" s="1634" t="s">
        <v>68</v>
      </c>
      <c r="AO682" s="1656"/>
      <c r="AP682" s="1634" t="s">
        <v>68</v>
      </c>
      <c r="AQ682" s="1656"/>
      <c r="AR682" s="1730"/>
      <c r="AS682" s="1731">
        <v>0</v>
      </c>
      <c r="AT682" s="1732">
        <v>0</v>
      </c>
      <c r="AU682" s="1733">
        <v>0</v>
      </c>
      <c r="AV682" s="1734" t="s">
        <v>68</v>
      </c>
      <c r="AW682" s="1653" t="s">
        <v>68</v>
      </c>
      <c r="AX682" s="1654" t="s">
        <v>68</v>
      </c>
      <c r="AY682" s="1655" t="s">
        <v>68</v>
      </c>
      <c r="AZ682" s="30" t="s">
        <v>68</v>
      </c>
      <c r="BA682" s="5"/>
      <c r="BB682" s="5"/>
      <c r="BC682" s="11"/>
      <c r="BD682" s="30" t="s">
        <v>68</v>
      </c>
      <c r="BE682" s="309"/>
      <c r="BF682" s="5"/>
      <c r="BG682" s="5"/>
      <c r="BH682" s="5"/>
      <c r="BI682" s="36"/>
      <c r="BJ682" s="1736" t="s">
        <v>68</v>
      </c>
      <c r="BK682" s="1117"/>
      <c r="BL682" s="1737" t="s">
        <v>68</v>
      </c>
      <c r="BM682" s="1738" t="s">
        <v>68</v>
      </c>
      <c r="BN682" s="1738" t="s">
        <v>68</v>
      </c>
      <c r="BO682" s="1739" t="s">
        <v>68</v>
      </c>
      <c r="BP682" s="1739" t="s">
        <v>68</v>
      </c>
      <c r="BQ682" s="1739" t="s">
        <v>68</v>
      </c>
      <c r="BR682" s="1739" t="s">
        <v>68</v>
      </c>
      <c r="BS682" s="1739" t="s">
        <v>68</v>
      </c>
      <c r="BT682" s="1739" t="s">
        <v>68</v>
      </c>
      <c r="BU682" s="1739" t="s">
        <v>68</v>
      </c>
      <c r="BV682" s="1737" t="s">
        <v>68</v>
      </c>
      <c r="BW682" s="13"/>
      <c r="BX682" s="22"/>
      <c r="BY682" s="22"/>
      <c r="BZ682" s="22"/>
      <c r="CA682" s="22"/>
      <c r="CB682" s="1222" t="s">
        <v>3944</v>
      </c>
      <c r="CC682" s="859"/>
      <c r="CD682" s="526"/>
      <c r="CE682" s="526"/>
      <c r="CF682" s="526"/>
      <c r="CG682" s="526"/>
      <c r="CH682" s="526"/>
      <c r="CI682" s="526"/>
      <c r="CJ682" s="526"/>
      <c r="CK682" s="15"/>
    </row>
    <row r="683" spans="2:89" ht="124.5" hidden="1" customHeight="1">
      <c r="B683" s="22"/>
      <c r="C683" s="122"/>
      <c r="D683" s="22"/>
      <c r="E683" s="911"/>
      <c r="F683" s="911"/>
      <c r="G683" s="915"/>
      <c r="H683" s="1746" t="s">
        <v>6311</v>
      </c>
      <c r="I683" s="330"/>
      <c r="J683" s="169">
        <v>2023</v>
      </c>
      <c r="K683" s="1417">
        <v>232023</v>
      </c>
      <c r="L683" s="1417"/>
      <c r="M683" s="170" t="s">
        <v>166</v>
      </c>
      <c r="N683" s="178" t="s">
        <v>5542</v>
      </c>
      <c r="O683" s="172" t="s">
        <v>45</v>
      </c>
      <c r="P683" s="173" t="s">
        <v>5579</v>
      </c>
      <c r="Q683" s="173" t="s">
        <v>2575</v>
      </c>
      <c r="R683" s="174">
        <f>139537.27*1.16</f>
        <v>161863.23319999999</v>
      </c>
      <c r="S683" s="590">
        <v>45148</v>
      </c>
      <c r="T683" s="176">
        <v>45152</v>
      </c>
      <c r="U683" s="177">
        <v>45163</v>
      </c>
      <c r="V683" s="105" t="s">
        <v>68</v>
      </c>
      <c r="W683" s="178" t="s">
        <v>4450</v>
      </c>
      <c r="X683" s="170" t="s">
        <v>472</v>
      </c>
      <c r="Y683" s="1723" t="s">
        <v>68</v>
      </c>
      <c r="Z683" s="1724" t="s">
        <v>68</v>
      </c>
      <c r="AA683" s="33"/>
      <c r="AB683" s="8"/>
      <c r="AC683" s="4"/>
      <c r="AD683" s="4"/>
      <c r="AE683" s="32"/>
      <c r="AF683" s="1725" t="s">
        <v>68</v>
      </c>
      <c r="AG683" s="1726" t="s">
        <v>68</v>
      </c>
      <c r="AH683" s="1726" t="s">
        <v>68</v>
      </c>
      <c r="AI683" s="1727" t="s">
        <v>68</v>
      </c>
      <c r="AJ683" s="1728" t="s">
        <v>68</v>
      </c>
      <c r="AK683" s="1729" t="s">
        <v>68</v>
      </c>
      <c r="AL683" s="1634" t="s">
        <v>68</v>
      </c>
      <c r="AM683" s="1656"/>
      <c r="AN683" s="1634" t="s">
        <v>68</v>
      </c>
      <c r="AO683" s="1656"/>
      <c r="AP683" s="1634" t="s">
        <v>68</v>
      </c>
      <c r="AQ683" s="1656"/>
      <c r="AR683" s="1730"/>
      <c r="AS683" s="1731">
        <v>0</v>
      </c>
      <c r="AT683" s="1732">
        <v>0</v>
      </c>
      <c r="AU683" s="1733">
        <v>0</v>
      </c>
      <c r="AV683" s="1734" t="s">
        <v>68</v>
      </c>
      <c r="AW683" s="1653" t="s">
        <v>68</v>
      </c>
      <c r="AX683" s="1654" t="s">
        <v>68</v>
      </c>
      <c r="AY683" s="1655" t="s">
        <v>68</v>
      </c>
      <c r="AZ683" s="30" t="s">
        <v>68</v>
      </c>
      <c r="BA683" s="5"/>
      <c r="BB683" s="5"/>
      <c r="BC683" s="11"/>
      <c r="BD683" s="30" t="s">
        <v>68</v>
      </c>
      <c r="BE683" s="309"/>
      <c r="BF683" s="5"/>
      <c r="BG683" s="5"/>
      <c r="BH683" s="5"/>
      <c r="BI683" s="36"/>
      <c r="BJ683" s="1736" t="s">
        <v>68</v>
      </c>
      <c r="BK683" s="1117"/>
      <c r="BL683" s="1737" t="s">
        <v>68</v>
      </c>
      <c r="BM683" s="1738" t="s">
        <v>68</v>
      </c>
      <c r="BN683" s="1738" t="s">
        <v>68</v>
      </c>
      <c r="BO683" s="1739" t="s">
        <v>68</v>
      </c>
      <c r="BP683" s="1739" t="s">
        <v>68</v>
      </c>
      <c r="BQ683" s="1739" t="s">
        <v>68</v>
      </c>
      <c r="BR683" s="1739" t="s">
        <v>68</v>
      </c>
      <c r="BS683" s="1739" t="s">
        <v>68</v>
      </c>
      <c r="BT683" s="1739" t="s">
        <v>68</v>
      </c>
      <c r="BU683" s="1739" t="s">
        <v>68</v>
      </c>
      <c r="BV683" s="1737" t="s">
        <v>68</v>
      </c>
      <c r="BW683" s="13"/>
      <c r="BX683" s="22"/>
      <c r="BY683" s="22"/>
      <c r="BZ683" s="22"/>
      <c r="CA683" s="22"/>
      <c r="CB683" s="1222" t="s">
        <v>3944</v>
      </c>
      <c r="CC683" s="859"/>
      <c r="CD683" s="526"/>
      <c r="CE683" s="526"/>
      <c r="CF683" s="526"/>
      <c r="CG683" s="526"/>
      <c r="CH683" s="526"/>
      <c r="CI683" s="526"/>
      <c r="CJ683" s="526"/>
      <c r="CK683" s="15"/>
    </row>
    <row r="684" spans="2:89" ht="138" hidden="1" customHeight="1">
      <c r="B684" s="22"/>
      <c r="C684" s="122"/>
      <c r="D684" s="22"/>
      <c r="E684" s="911"/>
      <c r="F684" s="911"/>
      <c r="G684" s="915"/>
      <c r="H684" s="1746" t="s">
        <v>6311</v>
      </c>
      <c r="I684" s="330"/>
      <c r="J684" s="169">
        <v>2023</v>
      </c>
      <c r="K684" s="1417">
        <v>232024</v>
      </c>
      <c r="L684" s="1417"/>
      <c r="M684" s="170" t="s">
        <v>166</v>
      </c>
      <c r="N684" s="178" t="s">
        <v>5543</v>
      </c>
      <c r="O684" s="172" t="s">
        <v>45</v>
      </c>
      <c r="P684" s="173" t="s">
        <v>5580</v>
      </c>
      <c r="Q684" s="173" t="s">
        <v>1975</v>
      </c>
      <c r="R684" s="174">
        <f>30000*1.16</f>
        <v>34800</v>
      </c>
      <c r="S684" s="590">
        <v>45140</v>
      </c>
      <c r="T684" s="176">
        <v>45141</v>
      </c>
      <c r="U684" s="177">
        <v>45143</v>
      </c>
      <c r="V684" s="105" t="s">
        <v>68</v>
      </c>
      <c r="W684" s="178" t="s">
        <v>191</v>
      </c>
      <c r="X684" s="170" t="s">
        <v>472</v>
      </c>
      <c r="Y684" s="1723" t="s">
        <v>68</v>
      </c>
      <c r="Z684" s="1724" t="s">
        <v>68</v>
      </c>
      <c r="AA684" s="33"/>
      <c r="AB684" s="8"/>
      <c r="AC684" s="4"/>
      <c r="AD684" s="4"/>
      <c r="AE684" s="32"/>
      <c r="AF684" s="1725" t="s">
        <v>68</v>
      </c>
      <c r="AG684" s="1726" t="s">
        <v>68</v>
      </c>
      <c r="AH684" s="1726" t="s">
        <v>68</v>
      </c>
      <c r="AI684" s="1727" t="s">
        <v>68</v>
      </c>
      <c r="AJ684" s="1728" t="s">
        <v>68</v>
      </c>
      <c r="AK684" s="1729" t="s">
        <v>68</v>
      </c>
      <c r="AL684" s="1634" t="s">
        <v>68</v>
      </c>
      <c r="AM684" s="1656"/>
      <c r="AN684" s="1634" t="s">
        <v>68</v>
      </c>
      <c r="AO684" s="1656"/>
      <c r="AP684" s="1634" t="s">
        <v>68</v>
      </c>
      <c r="AQ684" s="1656"/>
      <c r="AR684" s="1730"/>
      <c r="AS684" s="1731">
        <v>0</v>
      </c>
      <c r="AT684" s="1732">
        <v>0</v>
      </c>
      <c r="AU684" s="1733">
        <v>0</v>
      </c>
      <c r="AV684" s="1734" t="s">
        <v>68</v>
      </c>
      <c r="AW684" s="1653" t="s">
        <v>68</v>
      </c>
      <c r="AX684" s="1654" t="s">
        <v>68</v>
      </c>
      <c r="AY684" s="1655" t="s">
        <v>68</v>
      </c>
      <c r="AZ684" s="30" t="s">
        <v>68</v>
      </c>
      <c r="BA684" s="5"/>
      <c r="BB684" s="5"/>
      <c r="BC684" s="11"/>
      <c r="BD684" s="30" t="s">
        <v>68</v>
      </c>
      <c r="BE684" s="309"/>
      <c r="BF684" s="5"/>
      <c r="BG684" s="5"/>
      <c r="BH684" s="5"/>
      <c r="BI684" s="36"/>
      <c r="BJ684" s="1736" t="s">
        <v>68</v>
      </c>
      <c r="BK684" s="1117"/>
      <c r="BL684" s="1737" t="s">
        <v>68</v>
      </c>
      <c r="BM684" s="1738" t="s">
        <v>68</v>
      </c>
      <c r="BN684" s="1738" t="s">
        <v>68</v>
      </c>
      <c r="BO684" s="1739" t="s">
        <v>68</v>
      </c>
      <c r="BP684" s="1739" t="s">
        <v>68</v>
      </c>
      <c r="BQ684" s="1739" t="s">
        <v>68</v>
      </c>
      <c r="BR684" s="1739" t="s">
        <v>68</v>
      </c>
      <c r="BS684" s="1739" t="s">
        <v>68</v>
      </c>
      <c r="BT684" s="1739" t="s">
        <v>68</v>
      </c>
      <c r="BU684" s="1739" t="s">
        <v>68</v>
      </c>
      <c r="BV684" s="1737" t="s">
        <v>68</v>
      </c>
      <c r="BW684" s="13"/>
      <c r="BX684" s="22"/>
      <c r="BY684" s="22"/>
      <c r="BZ684" s="22"/>
      <c r="CA684" s="22"/>
      <c r="CB684" s="1222" t="s">
        <v>3944</v>
      </c>
      <c r="CC684" s="859"/>
      <c r="CD684" s="526"/>
      <c r="CE684" s="526"/>
      <c r="CF684" s="526"/>
      <c r="CG684" s="526"/>
      <c r="CH684" s="526"/>
      <c r="CI684" s="526"/>
      <c r="CJ684" s="526"/>
      <c r="CK684" s="15"/>
    </row>
    <row r="685" spans="2:89" ht="155.25" hidden="1" customHeight="1">
      <c r="B685" s="22"/>
      <c r="C685" s="122"/>
      <c r="D685" s="22"/>
      <c r="E685" s="911"/>
      <c r="F685" s="911"/>
      <c r="G685" s="915"/>
      <c r="H685" s="1746" t="s">
        <v>6311</v>
      </c>
      <c r="I685" s="330"/>
      <c r="J685" s="169">
        <v>2023</v>
      </c>
      <c r="K685" s="1417">
        <v>232025</v>
      </c>
      <c r="L685" s="1417"/>
      <c r="M685" s="170" t="s">
        <v>166</v>
      </c>
      <c r="N685" s="178" t="s">
        <v>5544</v>
      </c>
      <c r="O685" s="172" t="s">
        <v>45</v>
      </c>
      <c r="P685" s="173" t="s">
        <v>5581</v>
      </c>
      <c r="Q685" s="173" t="s">
        <v>1975</v>
      </c>
      <c r="R685" s="174">
        <f>47010*1.16</f>
        <v>54531.6</v>
      </c>
      <c r="S685" s="590">
        <v>45140</v>
      </c>
      <c r="T685" s="176">
        <v>45152</v>
      </c>
      <c r="U685" s="177">
        <v>45155</v>
      </c>
      <c r="V685" s="105" t="s">
        <v>68</v>
      </c>
      <c r="W685" s="178" t="s">
        <v>191</v>
      </c>
      <c r="X685" s="170" t="s">
        <v>472</v>
      </c>
      <c r="Y685" s="1723" t="s">
        <v>68</v>
      </c>
      <c r="Z685" s="1724" t="s">
        <v>68</v>
      </c>
      <c r="AA685" s="33"/>
      <c r="AB685" s="8"/>
      <c r="AC685" s="4"/>
      <c r="AD685" s="4"/>
      <c r="AE685" s="32"/>
      <c r="AF685" s="1725" t="s">
        <v>68</v>
      </c>
      <c r="AG685" s="1726" t="s">
        <v>68</v>
      </c>
      <c r="AH685" s="1726" t="s">
        <v>68</v>
      </c>
      <c r="AI685" s="1727" t="s">
        <v>68</v>
      </c>
      <c r="AJ685" s="1728" t="s">
        <v>68</v>
      </c>
      <c r="AK685" s="1729" t="s">
        <v>68</v>
      </c>
      <c r="AL685" s="1634" t="s">
        <v>68</v>
      </c>
      <c r="AM685" s="1656"/>
      <c r="AN685" s="1634" t="s">
        <v>68</v>
      </c>
      <c r="AO685" s="1656"/>
      <c r="AP685" s="1634" t="s">
        <v>68</v>
      </c>
      <c r="AQ685" s="1656"/>
      <c r="AR685" s="1730"/>
      <c r="AS685" s="1731">
        <v>0</v>
      </c>
      <c r="AT685" s="1732">
        <v>0</v>
      </c>
      <c r="AU685" s="1733">
        <v>0</v>
      </c>
      <c r="AV685" s="1734" t="s">
        <v>68</v>
      </c>
      <c r="AW685" s="1653" t="s">
        <v>68</v>
      </c>
      <c r="AX685" s="1654" t="s">
        <v>68</v>
      </c>
      <c r="AY685" s="1655" t="s">
        <v>68</v>
      </c>
      <c r="AZ685" s="30" t="s">
        <v>68</v>
      </c>
      <c r="BA685" s="5"/>
      <c r="BB685" s="5"/>
      <c r="BC685" s="11"/>
      <c r="BD685" s="30" t="s">
        <v>68</v>
      </c>
      <c r="BE685" s="309"/>
      <c r="BF685" s="5"/>
      <c r="BG685" s="5"/>
      <c r="BH685" s="5"/>
      <c r="BI685" s="36"/>
      <c r="BJ685" s="1736" t="s">
        <v>68</v>
      </c>
      <c r="BK685" s="1117"/>
      <c r="BL685" s="1737" t="s">
        <v>68</v>
      </c>
      <c r="BM685" s="1738" t="s">
        <v>68</v>
      </c>
      <c r="BN685" s="1738" t="s">
        <v>68</v>
      </c>
      <c r="BO685" s="1739" t="s">
        <v>68</v>
      </c>
      <c r="BP685" s="1739" t="s">
        <v>68</v>
      </c>
      <c r="BQ685" s="1739" t="s">
        <v>68</v>
      </c>
      <c r="BR685" s="1739" t="s">
        <v>68</v>
      </c>
      <c r="BS685" s="1739" t="s">
        <v>68</v>
      </c>
      <c r="BT685" s="1739" t="s">
        <v>68</v>
      </c>
      <c r="BU685" s="1739" t="s">
        <v>68</v>
      </c>
      <c r="BV685" s="1737" t="s">
        <v>68</v>
      </c>
      <c r="BW685" s="13"/>
      <c r="BX685" s="22"/>
      <c r="BY685" s="22"/>
      <c r="BZ685" s="22"/>
      <c r="CA685" s="22"/>
      <c r="CB685" s="1222" t="s">
        <v>3944</v>
      </c>
      <c r="CC685" s="859"/>
      <c r="CD685" s="526"/>
      <c r="CE685" s="526"/>
      <c r="CF685" s="526"/>
      <c r="CG685" s="526"/>
      <c r="CH685" s="526"/>
      <c r="CI685" s="526"/>
      <c r="CJ685" s="526"/>
      <c r="CK685" s="15"/>
    </row>
    <row r="686" spans="2:89" ht="143.25" hidden="1" customHeight="1">
      <c r="B686" s="22"/>
      <c r="C686" s="122"/>
      <c r="D686" s="22"/>
      <c r="E686" s="911"/>
      <c r="F686" s="911"/>
      <c r="G686" s="915"/>
      <c r="H686" s="1746" t="s">
        <v>6311</v>
      </c>
      <c r="I686" s="330"/>
      <c r="J686" s="169">
        <v>2023</v>
      </c>
      <c r="K686" s="1417">
        <v>232026</v>
      </c>
      <c r="L686" s="1417"/>
      <c r="M686" s="170" t="s">
        <v>166</v>
      </c>
      <c r="N686" s="178" t="s">
        <v>5545</v>
      </c>
      <c r="O686" s="172" t="s">
        <v>45</v>
      </c>
      <c r="P686" s="173" t="s">
        <v>5582</v>
      </c>
      <c r="Q686" s="173" t="s">
        <v>1975</v>
      </c>
      <c r="R686" s="174">
        <f>30000*1.16</f>
        <v>34800</v>
      </c>
      <c r="S686" s="590">
        <v>45140</v>
      </c>
      <c r="T686" s="176">
        <v>45144</v>
      </c>
      <c r="U686" s="177">
        <v>45146</v>
      </c>
      <c r="V686" s="105" t="s">
        <v>68</v>
      </c>
      <c r="W686" s="178" t="s">
        <v>191</v>
      </c>
      <c r="X686" s="170" t="s">
        <v>472</v>
      </c>
      <c r="Y686" s="1723" t="s">
        <v>68</v>
      </c>
      <c r="Z686" s="1724" t="s">
        <v>68</v>
      </c>
      <c r="AA686" s="33"/>
      <c r="AB686" s="8"/>
      <c r="AC686" s="4"/>
      <c r="AD686" s="4"/>
      <c r="AE686" s="32"/>
      <c r="AF686" s="1725" t="s">
        <v>68</v>
      </c>
      <c r="AG686" s="1726" t="s">
        <v>68</v>
      </c>
      <c r="AH686" s="1726" t="s">
        <v>68</v>
      </c>
      <c r="AI686" s="1727" t="s">
        <v>68</v>
      </c>
      <c r="AJ686" s="1728" t="s">
        <v>68</v>
      </c>
      <c r="AK686" s="1729" t="s">
        <v>68</v>
      </c>
      <c r="AL686" s="1634" t="s">
        <v>68</v>
      </c>
      <c r="AM686" s="1656"/>
      <c r="AN686" s="1634" t="s">
        <v>68</v>
      </c>
      <c r="AO686" s="1656"/>
      <c r="AP686" s="1634" t="s">
        <v>68</v>
      </c>
      <c r="AQ686" s="1656"/>
      <c r="AR686" s="1730"/>
      <c r="AS686" s="1731">
        <v>0</v>
      </c>
      <c r="AT686" s="1732">
        <v>0</v>
      </c>
      <c r="AU686" s="1733">
        <v>0</v>
      </c>
      <c r="AV686" s="1734" t="s">
        <v>68</v>
      </c>
      <c r="AW686" s="1653" t="s">
        <v>68</v>
      </c>
      <c r="AX686" s="1654" t="s">
        <v>68</v>
      </c>
      <c r="AY686" s="1655" t="s">
        <v>68</v>
      </c>
      <c r="AZ686" s="30" t="s">
        <v>68</v>
      </c>
      <c r="BA686" s="5"/>
      <c r="BB686" s="5"/>
      <c r="BC686" s="11"/>
      <c r="BD686" s="30" t="s">
        <v>68</v>
      </c>
      <c r="BE686" s="309"/>
      <c r="BF686" s="5"/>
      <c r="BG686" s="5"/>
      <c r="BH686" s="5"/>
      <c r="BI686" s="36"/>
      <c r="BJ686" s="1736" t="s">
        <v>68</v>
      </c>
      <c r="BK686" s="1117"/>
      <c r="BL686" s="1737" t="s">
        <v>68</v>
      </c>
      <c r="BM686" s="1738" t="s">
        <v>68</v>
      </c>
      <c r="BN686" s="1738" t="s">
        <v>68</v>
      </c>
      <c r="BO686" s="1739" t="s">
        <v>68</v>
      </c>
      <c r="BP686" s="1739" t="s">
        <v>68</v>
      </c>
      <c r="BQ686" s="1739" t="s">
        <v>68</v>
      </c>
      <c r="BR686" s="1739" t="s">
        <v>68</v>
      </c>
      <c r="BS686" s="1739" t="s">
        <v>68</v>
      </c>
      <c r="BT686" s="1739" t="s">
        <v>68</v>
      </c>
      <c r="BU686" s="1739" t="s">
        <v>68</v>
      </c>
      <c r="BV686" s="1737" t="s">
        <v>68</v>
      </c>
      <c r="BW686" s="13"/>
      <c r="BX686" s="22"/>
      <c r="BY686" s="22"/>
      <c r="BZ686" s="22"/>
      <c r="CA686" s="22"/>
      <c r="CB686" s="1222" t="s">
        <v>3944</v>
      </c>
      <c r="CC686" s="859"/>
      <c r="CD686" s="526"/>
      <c r="CE686" s="526"/>
      <c r="CF686" s="526"/>
      <c r="CG686" s="526"/>
      <c r="CH686" s="526"/>
      <c r="CI686" s="526"/>
      <c r="CJ686" s="526"/>
      <c r="CK686" s="15"/>
    </row>
    <row r="687" spans="2:89" ht="133.5" hidden="1" customHeight="1">
      <c r="B687" s="22"/>
      <c r="C687" s="122"/>
      <c r="D687" s="22"/>
      <c r="E687" s="911"/>
      <c r="F687" s="911"/>
      <c r="G687" s="915"/>
      <c r="H687" s="1746" t="s">
        <v>6311</v>
      </c>
      <c r="I687" s="330"/>
      <c r="J687" s="169">
        <v>2023</v>
      </c>
      <c r="K687" s="1417">
        <v>232027</v>
      </c>
      <c r="L687" s="1417"/>
      <c r="M687" s="170" t="s">
        <v>166</v>
      </c>
      <c r="N687" s="178" t="s">
        <v>5546</v>
      </c>
      <c r="O687" s="172" t="s">
        <v>45</v>
      </c>
      <c r="P687" s="173" t="s">
        <v>5936</v>
      </c>
      <c r="Q687" s="173" t="s">
        <v>4409</v>
      </c>
      <c r="R687" s="174">
        <v>3500</v>
      </c>
      <c r="S687" s="175">
        <v>45140</v>
      </c>
      <c r="T687" s="176">
        <v>45142</v>
      </c>
      <c r="U687" s="177">
        <v>45142</v>
      </c>
      <c r="V687" s="105" t="s">
        <v>68</v>
      </c>
      <c r="W687" s="178" t="s">
        <v>5679</v>
      </c>
      <c r="X687" s="170" t="s">
        <v>472</v>
      </c>
      <c r="Y687" s="1723" t="s">
        <v>68</v>
      </c>
      <c r="Z687" s="1724" t="s">
        <v>68</v>
      </c>
      <c r="AA687" s="33"/>
      <c r="AB687" s="8"/>
      <c r="AC687" s="4"/>
      <c r="AD687" s="4"/>
      <c r="AE687" s="32"/>
      <c r="AF687" s="1725" t="s">
        <v>68</v>
      </c>
      <c r="AG687" s="1726" t="s">
        <v>68</v>
      </c>
      <c r="AH687" s="1726" t="s">
        <v>68</v>
      </c>
      <c r="AI687" s="1727" t="s">
        <v>68</v>
      </c>
      <c r="AJ687" s="1728" t="s">
        <v>68</v>
      </c>
      <c r="AK687" s="1729" t="s">
        <v>68</v>
      </c>
      <c r="AL687" s="1634" t="s">
        <v>68</v>
      </c>
      <c r="AM687" s="1656"/>
      <c r="AN687" s="1634" t="s">
        <v>68</v>
      </c>
      <c r="AO687" s="1656"/>
      <c r="AP687" s="1634" t="s">
        <v>68</v>
      </c>
      <c r="AQ687" s="1656"/>
      <c r="AR687" s="1730"/>
      <c r="AS687" s="1731">
        <v>0</v>
      </c>
      <c r="AT687" s="1732">
        <v>0</v>
      </c>
      <c r="AU687" s="1733">
        <v>0</v>
      </c>
      <c r="AV687" s="1734" t="s">
        <v>68</v>
      </c>
      <c r="AW687" s="1653" t="s">
        <v>68</v>
      </c>
      <c r="AX687" s="1654" t="s">
        <v>68</v>
      </c>
      <c r="AY687" s="1655" t="s">
        <v>68</v>
      </c>
      <c r="AZ687" s="30" t="s">
        <v>68</v>
      </c>
      <c r="BA687" s="5"/>
      <c r="BB687" s="5"/>
      <c r="BC687" s="11"/>
      <c r="BD687" s="30" t="s">
        <v>68</v>
      </c>
      <c r="BE687" s="309"/>
      <c r="BF687" s="5"/>
      <c r="BG687" s="5"/>
      <c r="BH687" s="5"/>
      <c r="BI687" s="36"/>
      <c r="BJ687" s="1736" t="s">
        <v>68</v>
      </c>
      <c r="BK687" s="1117"/>
      <c r="BL687" s="1737" t="s">
        <v>68</v>
      </c>
      <c r="BM687" s="1738" t="s">
        <v>68</v>
      </c>
      <c r="BN687" s="1738" t="s">
        <v>68</v>
      </c>
      <c r="BO687" s="1739" t="s">
        <v>68</v>
      </c>
      <c r="BP687" s="1739" t="s">
        <v>68</v>
      </c>
      <c r="BQ687" s="1739" t="s">
        <v>68</v>
      </c>
      <c r="BR687" s="1739" t="s">
        <v>68</v>
      </c>
      <c r="BS687" s="1739" t="s">
        <v>68</v>
      </c>
      <c r="BT687" s="1739" t="s">
        <v>68</v>
      </c>
      <c r="BU687" s="1739" t="s">
        <v>68</v>
      </c>
      <c r="BV687" s="1737" t="s">
        <v>68</v>
      </c>
      <c r="BW687" s="13"/>
      <c r="BX687" s="22"/>
      <c r="BY687" s="22"/>
      <c r="BZ687" s="22"/>
      <c r="CA687" s="22"/>
      <c r="CB687" s="1222" t="s">
        <v>3944</v>
      </c>
      <c r="CC687" s="859"/>
      <c r="CD687" s="526"/>
      <c r="CE687" s="526"/>
      <c r="CF687" s="526"/>
      <c r="CG687" s="526"/>
      <c r="CH687" s="526"/>
      <c r="CI687" s="526"/>
      <c r="CJ687" s="526"/>
      <c r="CK687" s="15"/>
    </row>
    <row r="688" spans="2:89" ht="147.75" hidden="1" customHeight="1">
      <c r="B688" s="22"/>
      <c r="C688" s="122"/>
      <c r="D688" s="22"/>
      <c r="E688" s="911"/>
      <c r="F688" s="911"/>
      <c r="G688" s="915"/>
      <c r="H688" s="1746" t="s">
        <v>6311</v>
      </c>
      <c r="I688" s="330"/>
      <c r="J688" s="169">
        <v>2023</v>
      </c>
      <c r="K688" s="1417">
        <v>232028</v>
      </c>
      <c r="L688" s="1417"/>
      <c r="M688" s="170" t="s">
        <v>166</v>
      </c>
      <c r="N688" s="178" t="s">
        <v>5547</v>
      </c>
      <c r="O688" s="172" t="s">
        <v>45</v>
      </c>
      <c r="P688" s="173" t="s">
        <v>5937</v>
      </c>
      <c r="Q688" s="173" t="s">
        <v>4409</v>
      </c>
      <c r="R688" s="174">
        <v>3500</v>
      </c>
      <c r="S688" s="175">
        <v>45140</v>
      </c>
      <c r="T688" s="176">
        <v>45143</v>
      </c>
      <c r="U688" s="177">
        <v>45143</v>
      </c>
      <c r="V688" s="105" t="s">
        <v>68</v>
      </c>
      <c r="W688" s="178" t="s">
        <v>5679</v>
      </c>
      <c r="X688" s="170" t="s">
        <v>472</v>
      </c>
      <c r="Y688" s="1723" t="s">
        <v>68</v>
      </c>
      <c r="Z688" s="1724" t="s">
        <v>68</v>
      </c>
      <c r="AA688" s="33"/>
      <c r="AB688" s="8"/>
      <c r="AC688" s="4"/>
      <c r="AD688" s="4"/>
      <c r="AE688" s="32"/>
      <c r="AF688" s="1725" t="s">
        <v>68</v>
      </c>
      <c r="AG688" s="1726" t="s">
        <v>68</v>
      </c>
      <c r="AH688" s="1726" t="s">
        <v>68</v>
      </c>
      <c r="AI688" s="1727" t="s">
        <v>68</v>
      </c>
      <c r="AJ688" s="1728" t="s">
        <v>68</v>
      </c>
      <c r="AK688" s="1729" t="s">
        <v>68</v>
      </c>
      <c r="AL688" s="1634" t="s">
        <v>68</v>
      </c>
      <c r="AM688" s="1656"/>
      <c r="AN688" s="1634" t="s">
        <v>68</v>
      </c>
      <c r="AO688" s="1656"/>
      <c r="AP688" s="1634" t="s">
        <v>68</v>
      </c>
      <c r="AQ688" s="1656"/>
      <c r="AR688" s="1730"/>
      <c r="AS688" s="1731">
        <v>0</v>
      </c>
      <c r="AT688" s="1732">
        <v>0</v>
      </c>
      <c r="AU688" s="1733">
        <v>0</v>
      </c>
      <c r="AV688" s="1734" t="s">
        <v>68</v>
      </c>
      <c r="AW688" s="1653" t="s">
        <v>68</v>
      </c>
      <c r="AX688" s="1654" t="s">
        <v>68</v>
      </c>
      <c r="AY688" s="1655" t="s">
        <v>68</v>
      </c>
      <c r="AZ688" s="30" t="s">
        <v>68</v>
      </c>
      <c r="BA688" s="5"/>
      <c r="BB688" s="5"/>
      <c r="BC688" s="11"/>
      <c r="BD688" s="30" t="s">
        <v>68</v>
      </c>
      <c r="BE688" s="309"/>
      <c r="BF688" s="5"/>
      <c r="BG688" s="5"/>
      <c r="BH688" s="5"/>
      <c r="BI688" s="36"/>
      <c r="BJ688" s="1736" t="s">
        <v>68</v>
      </c>
      <c r="BK688" s="1117"/>
      <c r="BL688" s="1737" t="s">
        <v>68</v>
      </c>
      <c r="BM688" s="1738" t="s">
        <v>68</v>
      </c>
      <c r="BN688" s="1738" t="s">
        <v>68</v>
      </c>
      <c r="BO688" s="1739" t="s">
        <v>68</v>
      </c>
      <c r="BP688" s="1739" t="s">
        <v>68</v>
      </c>
      <c r="BQ688" s="1739" t="s">
        <v>68</v>
      </c>
      <c r="BR688" s="1739" t="s">
        <v>68</v>
      </c>
      <c r="BS688" s="1739" t="s">
        <v>68</v>
      </c>
      <c r="BT688" s="1739" t="s">
        <v>68</v>
      </c>
      <c r="BU688" s="1739" t="s">
        <v>68</v>
      </c>
      <c r="BV688" s="1737" t="s">
        <v>68</v>
      </c>
      <c r="BW688" s="13"/>
      <c r="BX688" s="22"/>
      <c r="BY688" s="22"/>
      <c r="BZ688" s="22"/>
      <c r="CA688" s="22"/>
      <c r="CB688" s="1222" t="s">
        <v>3944</v>
      </c>
      <c r="CC688" s="859"/>
      <c r="CD688" s="526"/>
      <c r="CE688" s="526"/>
      <c r="CF688" s="526"/>
      <c r="CG688" s="526"/>
      <c r="CH688" s="526"/>
      <c r="CI688" s="526"/>
      <c r="CJ688" s="526"/>
      <c r="CK688" s="15"/>
    </row>
    <row r="689" spans="2:89" ht="128.25" hidden="1" customHeight="1">
      <c r="B689" s="22"/>
      <c r="C689" s="122"/>
      <c r="D689" s="22"/>
      <c r="E689" s="911"/>
      <c r="F689" s="911"/>
      <c r="G689" s="915"/>
      <c r="H689" s="1746" t="s">
        <v>6311</v>
      </c>
      <c r="I689" s="330"/>
      <c r="J689" s="169">
        <v>2023</v>
      </c>
      <c r="K689" s="1417">
        <v>232029</v>
      </c>
      <c r="L689" s="1417"/>
      <c r="M689" s="170" t="s">
        <v>166</v>
      </c>
      <c r="N689" s="178" t="s">
        <v>5548</v>
      </c>
      <c r="O689" s="172" t="s">
        <v>45</v>
      </c>
      <c r="P689" s="173" t="s">
        <v>5938</v>
      </c>
      <c r="Q689" s="173" t="s">
        <v>1975</v>
      </c>
      <c r="R689" s="174">
        <v>3500</v>
      </c>
      <c r="S689" s="175">
        <v>45140</v>
      </c>
      <c r="T689" s="176">
        <v>45145</v>
      </c>
      <c r="U689" s="177">
        <v>45145</v>
      </c>
      <c r="V689" s="105" t="s">
        <v>68</v>
      </c>
      <c r="W689" s="178" t="s">
        <v>5679</v>
      </c>
      <c r="X689" s="170" t="s">
        <v>472</v>
      </c>
      <c r="Y689" s="1723" t="s">
        <v>68</v>
      </c>
      <c r="Z689" s="1724" t="s">
        <v>68</v>
      </c>
      <c r="AA689" s="33"/>
      <c r="AB689" s="8"/>
      <c r="AC689" s="4"/>
      <c r="AD689" s="4"/>
      <c r="AE689" s="32"/>
      <c r="AF689" s="1725" t="s">
        <v>68</v>
      </c>
      <c r="AG689" s="1726" t="s">
        <v>68</v>
      </c>
      <c r="AH689" s="1726" t="s">
        <v>68</v>
      </c>
      <c r="AI689" s="1727" t="s">
        <v>68</v>
      </c>
      <c r="AJ689" s="1728" t="s">
        <v>68</v>
      </c>
      <c r="AK689" s="1729" t="s">
        <v>68</v>
      </c>
      <c r="AL689" s="1634" t="s">
        <v>68</v>
      </c>
      <c r="AM689" s="1656"/>
      <c r="AN689" s="1634" t="s">
        <v>68</v>
      </c>
      <c r="AO689" s="1656"/>
      <c r="AP689" s="1634" t="s">
        <v>68</v>
      </c>
      <c r="AQ689" s="1656"/>
      <c r="AR689" s="1730"/>
      <c r="AS689" s="1731">
        <v>0</v>
      </c>
      <c r="AT689" s="1732">
        <v>0</v>
      </c>
      <c r="AU689" s="1733">
        <v>0</v>
      </c>
      <c r="AV689" s="1734" t="s">
        <v>68</v>
      </c>
      <c r="AW689" s="1653" t="s">
        <v>68</v>
      </c>
      <c r="AX689" s="1654" t="s">
        <v>68</v>
      </c>
      <c r="AY689" s="1655" t="s">
        <v>68</v>
      </c>
      <c r="AZ689" s="30" t="s">
        <v>68</v>
      </c>
      <c r="BA689" s="5"/>
      <c r="BB689" s="5"/>
      <c r="BC689" s="11"/>
      <c r="BD689" s="30" t="s">
        <v>68</v>
      </c>
      <c r="BE689" s="309"/>
      <c r="BF689" s="5"/>
      <c r="BG689" s="5"/>
      <c r="BH689" s="5"/>
      <c r="BI689" s="36"/>
      <c r="BJ689" s="1736" t="s">
        <v>68</v>
      </c>
      <c r="BK689" s="1117"/>
      <c r="BL689" s="1737" t="s">
        <v>68</v>
      </c>
      <c r="BM689" s="1738" t="s">
        <v>68</v>
      </c>
      <c r="BN689" s="1738" t="s">
        <v>68</v>
      </c>
      <c r="BO689" s="1739" t="s">
        <v>68</v>
      </c>
      <c r="BP689" s="1739" t="s">
        <v>68</v>
      </c>
      <c r="BQ689" s="1739" t="s">
        <v>68</v>
      </c>
      <c r="BR689" s="1739" t="s">
        <v>68</v>
      </c>
      <c r="BS689" s="1739" t="s">
        <v>68</v>
      </c>
      <c r="BT689" s="1739" t="s">
        <v>68</v>
      </c>
      <c r="BU689" s="1739" t="s">
        <v>68</v>
      </c>
      <c r="BV689" s="1737" t="s">
        <v>68</v>
      </c>
      <c r="BW689" s="13"/>
      <c r="BX689" s="22"/>
      <c r="BY689" s="22"/>
      <c r="BZ689" s="22"/>
      <c r="CA689" s="22"/>
      <c r="CB689" s="1222" t="s">
        <v>3944</v>
      </c>
      <c r="CC689" s="859"/>
      <c r="CD689" s="526"/>
      <c r="CE689" s="526"/>
      <c r="CF689" s="526"/>
      <c r="CG689" s="526"/>
      <c r="CH689" s="526"/>
      <c r="CI689" s="526"/>
      <c r="CJ689" s="526"/>
      <c r="CK689" s="15"/>
    </row>
    <row r="690" spans="2:89" ht="137.25" hidden="1" customHeight="1">
      <c r="B690" s="22"/>
      <c r="C690" s="122"/>
      <c r="D690" s="22"/>
      <c r="E690" s="911"/>
      <c r="F690" s="911"/>
      <c r="G690" s="915"/>
      <c r="H690" s="1746" t="s">
        <v>6311</v>
      </c>
      <c r="I690" s="330"/>
      <c r="J690" s="169">
        <v>2023</v>
      </c>
      <c r="K690" s="1417">
        <v>232030</v>
      </c>
      <c r="L690" s="1417"/>
      <c r="M690" s="170" t="s">
        <v>166</v>
      </c>
      <c r="N690" s="178" t="s">
        <v>5549</v>
      </c>
      <c r="O690" s="172" t="s">
        <v>45</v>
      </c>
      <c r="P690" s="173" t="s">
        <v>5939</v>
      </c>
      <c r="Q690" s="173" t="s">
        <v>4409</v>
      </c>
      <c r="R690" s="174">
        <f>43525.52*1.16</f>
        <v>50489.60319999999</v>
      </c>
      <c r="S690" s="175">
        <v>45168</v>
      </c>
      <c r="T690" s="176">
        <v>45175</v>
      </c>
      <c r="U690" s="177">
        <v>45184</v>
      </c>
      <c r="V690" s="105" t="s">
        <v>68</v>
      </c>
      <c r="W690" s="178" t="s">
        <v>4450</v>
      </c>
      <c r="X690" s="170" t="s">
        <v>472</v>
      </c>
      <c r="Y690" s="1723" t="s">
        <v>68</v>
      </c>
      <c r="Z690" s="1724" t="s">
        <v>68</v>
      </c>
      <c r="AA690" s="33"/>
      <c r="AB690" s="8"/>
      <c r="AC690" s="4"/>
      <c r="AD690" s="4"/>
      <c r="AE690" s="32"/>
      <c r="AF690" s="1725" t="s">
        <v>68</v>
      </c>
      <c r="AG690" s="1726" t="s">
        <v>68</v>
      </c>
      <c r="AH690" s="1726" t="s">
        <v>68</v>
      </c>
      <c r="AI690" s="1727" t="s">
        <v>68</v>
      </c>
      <c r="AJ690" s="1728" t="s">
        <v>68</v>
      </c>
      <c r="AK690" s="1729" t="s">
        <v>68</v>
      </c>
      <c r="AL690" s="1634" t="s">
        <v>68</v>
      </c>
      <c r="AM690" s="1656"/>
      <c r="AN690" s="1634" t="s">
        <v>68</v>
      </c>
      <c r="AO690" s="1656"/>
      <c r="AP690" s="1634" t="s">
        <v>68</v>
      </c>
      <c r="AQ690" s="1656"/>
      <c r="AR690" s="1730"/>
      <c r="AS690" s="1731">
        <v>0</v>
      </c>
      <c r="AT690" s="1732">
        <v>0</v>
      </c>
      <c r="AU690" s="1733">
        <v>0</v>
      </c>
      <c r="AV690" s="1734" t="s">
        <v>68</v>
      </c>
      <c r="AW690" s="1653" t="s">
        <v>68</v>
      </c>
      <c r="AX690" s="1654" t="s">
        <v>68</v>
      </c>
      <c r="AY690" s="1655" t="s">
        <v>68</v>
      </c>
      <c r="AZ690" s="30" t="s">
        <v>68</v>
      </c>
      <c r="BA690" s="5"/>
      <c r="BB690" s="5"/>
      <c r="BC690" s="11"/>
      <c r="BD690" s="30" t="s">
        <v>68</v>
      </c>
      <c r="BE690" s="309"/>
      <c r="BF690" s="5"/>
      <c r="BG690" s="5"/>
      <c r="BH690" s="5"/>
      <c r="BI690" s="36"/>
      <c r="BJ690" s="1736" t="s">
        <v>68</v>
      </c>
      <c r="BK690" s="1117"/>
      <c r="BL690" s="1737" t="s">
        <v>68</v>
      </c>
      <c r="BM690" s="1738" t="s">
        <v>68</v>
      </c>
      <c r="BN690" s="1738" t="s">
        <v>68</v>
      </c>
      <c r="BO690" s="1739" t="s">
        <v>68</v>
      </c>
      <c r="BP690" s="1739" t="s">
        <v>68</v>
      </c>
      <c r="BQ690" s="1739" t="s">
        <v>68</v>
      </c>
      <c r="BR690" s="1739" t="s">
        <v>68</v>
      </c>
      <c r="BS690" s="1739" t="s">
        <v>68</v>
      </c>
      <c r="BT690" s="1739" t="s">
        <v>68</v>
      </c>
      <c r="BU690" s="1739" t="s">
        <v>68</v>
      </c>
      <c r="BV690" s="1737" t="s">
        <v>68</v>
      </c>
      <c r="BW690" s="13"/>
      <c r="BX690" s="22"/>
      <c r="BY690" s="22"/>
      <c r="BZ690" s="22"/>
      <c r="CA690" s="22"/>
      <c r="CB690" s="1222" t="s">
        <v>3944</v>
      </c>
      <c r="CC690" s="859"/>
      <c r="CD690" s="526"/>
      <c r="CE690" s="526"/>
      <c r="CF690" s="526"/>
      <c r="CG690" s="526"/>
      <c r="CH690" s="526"/>
      <c r="CI690" s="526"/>
      <c r="CJ690" s="526"/>
      <c r="CK690" s="15"/>
    </row>
    <row r="691" spans="2:89" ht="132.75" hidden="1" customHeight="1">
      <c r="B691" s="22"/>
      <c r="C691" s="122"/>
      <c r="D691" s="22"/>
      <c r="E691" s="911"/>
      <c r="F691" s="911"/>
      <c r="G691" s="915"/>
      <c r="H691" s="1746" t="s">
        <v>6311</v>
      </c>
      <c r="I691" s="330"/>
      <c r="J691" s="169">
        <v>2023</v>
      </c>
      <c r="K691" s="1417">
        <v>232031</v>
      </c>
      <c r="L691" s="1417"/>
      <c r="M691" s="170" t="s">
        <v>166</v>
      </c>
      <c r="N691" s="178" t="s">
        <v>5907</v>
      </c>
      <c r="O691" s="172" t="s">
        <v>45</v>
      </c>
      <c r="P691" s="173" t="s">
        <v>5940</v>
      </c>
      <c r="Q691" s="173" t="s">
        <v>4409</v>
      </c>
      <c r="R691" s="174">
        <v>142089.26999999999</v>
      </c>
      <c r="S691" s="175">
        <v>45168</v>
      </c>
      <c r="T691" s="176">
        <v>45180</v>
      </c>
      <c r="U691" s="177">
        <v>45197</v>
      </c>
      <c r="V691" s="105" t="s">
        <v>68</v>
      </c>
      <c r="W691" s="178" t="s">
        <v>4450</v>
      </c>
      <c r="X691" s="170" t="s">
        <v>472</v>
      </c>
      <c r="Y691" s="1723" t="s">
        <v>68</v>
      </c>
      <c r="Z691" s="1724" t="s">
        <v>68</v>
      </c>
      <c r="AA691" s="33"/>
      <c r="AB691" s="8"/>
      <c r="AC691" s="4"/>
      <c r="AD691" s="4"/>
      <c r="AE691" s="32"/>
      <c r="AF691" s="1725" t="s">
        <v>68</v>
      </c>
      <c r="AG691" s="1726" t="s">
        <v>68</v>
      </c>
      <c r="AH691" s="1726" t="s">
        <v>68</v>
      </c>
      <c r="AI691" s="1727" t="s">
        <v>68</v>
      </c>
      <c r="AJ691" s="1728" t="s">
        <v>68</v>
      </c>
      <c r="AK691" s="1729" t="s">
        <v>68</v>
      </c>
      <c r="AL691" s="1634" t="s">
        <v>68</v>
      </c>
      <c r="AM691" s="1656"/>
      <c r="AN691" s="1634" t="s">
        <v>68</v>
      </c>
      <c r="AO691" s="1656"/>
      <c r="AP691" s="1634" t="s">
        <v>68</v>
      </c>
      <c r="AQ691" s="1656"/>
      <c r="AR691" s="1730"/>
      <c r="AS691" s="1731">
        <v>0</v>
      </c>
      <c r="AT691" s="1732">
        <v>0</v>
      </c>
      <c r="AU691" s="1733">
        <v>0</v>
      </c>
      <c r="AV691" s="1734" t="s">
        <v>68</v>
      </c>
      <c r="AW691" s="1653" t="s">
        <v>68</v>
      </c>
      <c r="AX691" s="1654" t="s">
        <v>68</v>
      </c>
      <c r="AY691" s="1655" t="s">
        <v>68</v>
      </c>
      <c r="AZ691" s="30" t="s">
        <v>68</v>
      </c>
      <c r="BA691" s="5"/>
      <c r="BB691" s="5"/>
      <c r="BC691" s="11"/>
      <c r="BD691" s="30" t="s">
        <v>68</v>
      </c>
      <c r="BE691" s="309"/>
      <c r="BF691" s="5"/>
      <c r="BG691" s="5"/>
      <c r="BH691" s="5"/>
      <c r="BI691" s="36"/>
      <c r="BJ691" s="1736" t="s">
        <v>68</v>
      </c>
      <c r="BK691" s="1117"/>
      <c r="BL691" s="1737" t="s">
        <v>68</v>
      </c>
      <c r="BM691" s="1738" t="s">
        <v>68</v>
      </c>
      <c r="BN691" s="1738" t="s">
        <v>68</v>
      </c>
      <c r="BO691" s="1739" t="s">
        <v>68</v>
      </c>
      <c r="BP691" s="1739" t="s">
        <v>68</v>
      </c>
      <c r="BQ691" s="1739" t="s">
        <v>68</v>
      </c>
      <c r="BR691" s="1739" t="s">
        <v>68</v>
      </c>
      <c r="BS691" s="1739" t="s">
        <v>68</v>
      </c>
      <c r="BT691" s="1739" t="s">
        <v>68</v>
      </c>
      <c r="BU691" s="1739" t="s">
        <v>68</v>
      </c>
      <c r="BV691" s="1737" t="s">
        <v>68</v>
      </c>
      <c r="BW691" s="13"/>
      <c r="BX691" s="22"/>
      <c r="BY691" s="22"/>
      <c r="BZ691" s="22"/>
      <c r="CA691" s="22"/>
      <c r="CB691" s="1222" t="s">
        <v>3944</v>
      </c>
      <c r="CC691" s="859"/>
      <c r="CD691" s="526"/>
      <c r="CE691" s="526"/>
      <c r="CF691" s="526"/>
      <c r="CG691" s="526"/>
      <c r="CH691" s="526"/>
      <c r="CI691" s="526"/>
      <c r="CJ691" s="526"/>
      <c r="CK691" s="15"/>
    </row>
    <row r="692" spans="2:89" ht="116.25" hidden="1" customHeight="1">
      <c r="B692" s="22"/>
      <c r="C692" s="122"/>
      <c r="D692" s="22"/>
      <c r="E692" s="911"/>
      <c r="F692" s="911"/>
      <c r="G692" s="915"/>
      <c r="H692" s="1746" t="s">
        <v>6311</v>
      </c>
      <c r="I692" s="330"/>
      <c r="J692" s="169">
        <v>2023</v>
      </c>
      <c r="K692" s="1417">
        <v>232032</v>
      </c>
      <c r="L692" s="1417"/>
      <c r="M692" s="170" t="s">
        <v>166</v>
      </c>
      <c r="N692" s="178" t="s">
        <v>5908</v>
      </c>
      <c r="O692" s="172" t="s">
        <v>45</v>
      </c>
      <c r="P692" s="173" t="s">
        <v>5941</v>
      </c>
      <c r="Q692" s="173" t="s">
        <v>2577</v>
      </c>
      <c r="R692" s="174">
        <f>8500*1.16</f>
        <v>9860</v>
      </c>
      <c r="S692" s="175">
        <v>45173</v>
      </c>
      <c r="T692" s="176">
        <v>45175</v>
      </c>
      <c r="U692" s="177">
        <v>45177</v>
      </c>
      <c r="V692" s="105" t="s">
        <v>68</v>
      </c>
      <c r="W692" s="178" t="s">
        <v>5942</v>
      </c>
      <c r="X692" s="170" t="s">
        <v>472</v>
      </c>
      <c r="Y692" s="1723" t="s">
        <v>68</v>
      </c>
      <c r="Z692" s="1724" t="s">
        <v>68</v>
      </c>
      <c r="AA692" s="33"/>
      <c r="AB692" s="8"/>
      <c r="AC692" s="4"/>
      <c r="AD692" s="4"/>
      <c r="AE692" s="32"/>
      <c r="AF692" s="1725" t="s">
        <v>68</v>
      </c>
      <c r="AG692" s="1726" t="s">
        <v>68</v>
      </c>
      <c r="AH692" s="1726" t="s">
        <v>68</v>
      </c>
      <c r="AI692" s="1727" t="s">
        <v>68</v>
      </c>
      <c r="AJ692" s="1728" t="s">
        <v>68</v>
      </c>
      <c r="AK692" s="1729" t="s">
        <v>68</v>
      </c>
      <c r="AL692" s="1634" t="s">
        <v>68</v>
      </c>
      <c r="AM692" s="1656"/>
      <c r="AN692" s="1634" t="s">
        <v>68</v>
      </c>
      <c r="AO692" s="1656"/>
      <c r="AP692" s="1634" t="s">
        <v>68</v>
      </c>
      <c r="AQ692" s="1656"/>
      <c r="AR692" s="1730"/>
      <c r="AS692" s="1731">
        <v>0</v>
      </c>
      <c r="AT692" s="1732">
        <v>0</v>
      </c>
      <c r="AU692" s="1733">
        <v>0</v>
      </c>
      <c r="AV692" s="1734" t="s">
        <v>68</v>
      </c>
      <c r="AW692" s="1653" t="s">
        <v>68</v>
      </c>
      <c r="AX692" s="1654" t="s">
        <v>68</v>
      </c>
      <c r="AY692" s="1655" t="s">
        <v>68</v>
      </c>
      <c r="AZ692" s="30" t="s">
        <v>68</v>
      </c>
      <c r="BA692" s="5"/>
      <c r="BB692" s="5"/>
      <c r="BC692" s="11"/>
      <c r="BD692" s="30" t="s">
        <v>68</v>
      </c>
      <c r="BE692" s="309"/>
      <c r="BF692" s="5"/>
      <c r="BG692" s="5"/>
      <c r="BH692" s="5"/>
      <c r="BI692" s="36"/>
      <c r="BJ692" s="1736" t="s">
        <v>68</v>
      </c>
      <c r="BK692" s="1117"/>
      <c r="BL692" s="1737" t="s">
        <v>68</v>
      </c>
      <c r="BM692" s="1738" t="s">
        <v>68</v>
      </c>
      <c r="BN692" s="1738" t="s">
        <v>68</v>
      </c>
      <c r="BO692" s="1739" t="s">
        <v>68</v>
      </c>
      <c r="BP692" s="1739" t="s">
        <v>68</v>
      </c>
      <c r="BQ692" s="1739" t="s">
        <v>68</v>
      </c>
      <c r="BR692" s="1739" t="s">
        <v>68</v>
      </c>
      <c r="BS692" s="1739" t="s">
        <v>68</v>
      </c>
      <c r="BT692" s="1739" t="s">
        <v>68</v>
      </c>
      <c r="BU692" s="1739" t="s">
        <v>68</v>
      </c>
      <c r="BV692" s="1737" t="s">
        <v>68</v>
      </c>
      <c r="BW692" s="13"/>
      <c r="BX692" s="22"/>
      <c r="BY692" s="22"/>
      <c r="BZ692" s="22"/>
      <c r="CA692" s="22"/>
      <c r="CB692" s="1222" t="s">
        <v>3944</v>
      </c>
      <c r="CC692" s="859"/>
      <c r="CD692" s="526"/>
      <c r="CE692" s="526"/>
      <c r="CF692" s="526"/>
      <c r="CG692" s="526"/>
      <c r="CH692" s="526"/>
      <c r="CI692" s="526"/>
      <c r="CJ692" s="526"/>
      <c r="CK692" s="15"/>
    </row>
    <row r="693" spans="2:89" ht="231.75" hidden="1" customHeight="1">
      <c r="B693" s="22"/>
      <c r="C693" s="122"/>
      <c r="D693" s="22"/>
      <c r="E693" s="911"/>
      <c r="F693" s="911"/>
      <c r="G693" s="915"/>
      <c r="H693" s="1746" t="s">
        <v>6311</v>
      </c>
      <c r="I693" s="330"/>
      <c r="J693" s="169">
        <v>2023</v>
      </c>
      <c r="K693" s="1417">
        <v>232033</v>
      </c>
      <c r="L693" s="1417"/>
      <c r="M693" s="170" t="s">
        <v>166</v>
      </c>
      <c r="N693" s="178" t="s">
        <v>5909</v>
      </c>
      <c r="O693" s="172" t="s">
        <v>45</v>
      </c>
      <c r="P693" s="1461" t="s">
        <v>5943</v>
      </c>
      <c r="Q693" s="173" t="s">
        <v>2663</v>
      </c>
      <c r="R693" s="174">
        <f>15000*1.16*2</f>
        <v>34800</v>
      </c>
      <c r="S693" s="175">
        <v>45190</v>
      </c>
      <c r="T693" s="176">
        <v>45194</v>
      </c>
      <c r="U693" s="177">
        <v>45195</v>
      </c>
      <c r="V693" s="105" t="s">
        <v>68</v>
      </c>
      <c r="W693" s="178" t="s">
        <v>3958</v>
      </c>
      <c r="X693" s="170" t="s">
        <v>472</v>
      </c>
      <c r="Y693" s="1723" t="s">
        <v>68</v>
      </c>
      <c r="Z693" s="1724" t="s">
        <v>68</v>
      </c>
      <c r="AA693" s="33"/>
      <c r="AB693" s="8"/>
      <c r="AC693" s="4"/>
      <c r="AD693" s="4"/>
      <c r="AE693" s="32"/>
      <c r="AF693" s="1725" t="s">
        <v>68</v>
      </c>
      <c r="AG693" s="1726" t="s">
        <v>68</v>
      </c>
      <c r="AH693" s="1726" t="s">
        <v>68</v>
      </c>
      <c r="AI693" s="1727" t="s">
        <v>68</v>
      </c>
      <c r="AJ693" s="1728" t="s">
        <v>68</v>
      </c>
      <c r="AK693" s="1729" t="s">
        <v>68</v>
      </c>
      <c r="AL693" s="1634" t="s">
        <v>68</v>
      </c>
      <c r="AM693" s="1656"/>
      <c r="AN693" s="1634" t="s">
        <v>68</v>
      </c>
      <c r="AO693" s="1656"/>
      <c r="AP693" s="1634" t="s">
        <v>68</v>
      </c>
      <c r="AQ693" s="1656"/>
      <c r="AR693" s="1730"/>
      <c r="AS693" s="1731">
        <v>0</v>
      </c>
      <c r="AT693" s="1732">
        <v>0</v>
      </c>
      <c r="AU693" s="1733">
        <v>0</v>
      </c>
      <c r="AV693" s="1734" t="s">
        <v>68</v>
      </c>
      <c r="AW693" s="1653" t="s">
        <v>68</v>
      </c>
      <c r="AX693" s="1654" t="s">
        <v>68</v>
      </c>
      <c r="AY693" s="1655" t="s">
        <v>68</v>
      </c>
      <c r="AZ693" s="30" t="s">
        <v>68</v>
      </c>
      <c r="BA693" s="5"/>
      <c r="BB693" s="5"/>
      <c r="BC693" s="11"/>
      <c r="BD693" s="30" t="s">
        <v>68</v>
      </c>
      <c r="BE693" s="309"/>
      <c r="BF693" s="5"/>
      <c r="BG693" s="5"/>
      <c r="BH693" s="5"/>
      <c r="BI693" s="36"/>
      <c r="BJ693" s="1736" t="s">
        <v>68</v>
      </c>
      <c r="BK693" s="1117"/>
      <c r="BL693" s="1737" t="s">
        <v>68</v>
      </c>
      <c r="BM693" s="1738" t="s">
        <v>68</v>
      </c>
      <c r="BN693" s="1738" t="s">
        <v>68</v>
      </c>
      <c r="BO693" s="1739" t="s">
        <v>68</v>
      </c>
      <c r="BP693" s="1739" t="s">
        <v>68</v>
      </c>
      <c r="BQ693" s="1739" t="s">
        <v>68</v>
      </c>
      <c r="BR693" s="1739" t="s">
        <v>68</v>
      </c>
      <c r="BS693" s="1739" t="s">
        <v>68</v>
      </c>
      <c r="BT693" s="1739" t="s">
        <v>68</v>
      </c>
      <c r="BU693" s="1739" t="s">
        <v>68</v>
      </c>
      <c r="BV693" s="1737" t="s">
        <v>68</v>
      </c>
      <c r="BW693" s="13"/>
      <c r="BX693" s="22"/>
      <c r="BY693" s="22"/>
      <c r="BZ693" s="22"/>
      <c r="CA693" s="22"/>
      <c r="CB693" s="1222" t="s">
        <v>3944</v>
      </c>
      <c r="CC693" s="859"/>
      <c r="CD693" s="526"/>
      <c r="CE693" s="526"/>
      <c r="CF693" s="526"/>
      <c r="CG693" s="526"/>
      <c r="CH693" s="526"/>
      <c r="CI693" s="526"/>
      <c r="CJ693" s="526"/>
      <c r="CK693" s="15"/>
    </row>
    <row r="694" spans="2:89" ht="106.5" hidden="1" customHeight="1">
      <c r="B694" s="22"/>
      <c r="C694" s="122"/>
      <c r="D694" s="22"/>
      <c r="E694" s="911"/>
      <c r="F694" s="911"/>
      <c r="G694" s="915"/>
      <c r="H694" s="1746" t="s">
        <v>6311</v>
      </c>
      <c r="I694" s="330"/>
      <c r="J694" s="169">
        <v>2023</v>
      </c>
      <c r="K694" s="1417">
        <v>232034</v>
      </c>
      <c r="L694" s="1417"/>
      <c r="M694" s="170" t="s">
        <v>166</v>
      </c>
      <c r="N694" s="178" t="s">
        <v>5910</v>
      </c>
      <c r="O694" s="172" t="s">
        <v>45</v>
      </c>
      <c r="P694" s="1461" t="s">
        <v>5944</v>
      </c>
      <c r="Q694" s="173" t="s">
        <v>1975</v>
      </c>
      <c r="R694" s="174">
        <f>46800*1.16</f>
        <v>54287.999999999993</v>
      </c>
      <c r="S694" s="175">
        <v>45209</v>
      </c>
      <c r="T694" s="176">
        <v>45210</v>
      </c>
      <c r="U694" s="177">
        <v>45243</v>
      </c>
      <c r="V694" s="105" t="s">
        <v>68</v>
      </c>
      <c r="W694" s="178" t="s">
        <v>5942</v>
      </c>
      <c r="X694" s="170" t="s">
        <v>472</v>
      </c>
      <c r="Y694" s="1723" t="s">
        <v>68</v>
      </c>
      <c r="Z694" s="1724" t="s">
        <v>68</v>
      </c>
      <c r="AA694" s="33"/>
      <c r="AB694" s="8"/>
      <c r="AC694" s="4"/>
      <c r="AD694" s="4"/>
      <c r="AE694" s="32"/>
      <c r="AF694" s="1725" t="s">
        <v>68</v>
      </c>
      <c r="AG694" s="1726" t="s">
        <v>68</v>
      </c>
      <c r="AH694" s="1726" t="s">
        <v>68</v>
      </c>
      <c r="AI694" s="1727" t="s">
        <v>68</v>
      </c>
      <c r="AJ694" s="1728" t="s">
        <v>68</v>
      </c>
      <c r="AK694" s="1729" t="s">
        <v>68</v>
      </c>
      <c r="AL694" s="1634" t="s">
        <v>68</v>
      </c>
      <c r="AM694" s="1656"/>
      <c r="AN694" s="1634" t="s">
        <v>68</v>
      </c>
      <c r="AO694" s="1656"/>
      <c r="AP694" s="1634" t="s">
        <v>68</v>
      </c>
      <c r="AQ694" s="1656"/>
      <c r="AR694" s="1730"/>
      <c r="AS694" s="1731">
        <v>0</v>
      </c>
      <c r="AT694" s="1732">
        <v>0</v>
      </c>
      <c r="AU694" s="1733">
        <v>0</v>
      </c>
      <c r="AV694" s="1734" t="s">
        <v>68</v>
      </c>
      <c r="AW694" s="1653" t="s">
        <v>68</v>
      </c>
      <c r="AX694" s="1654" t="s">
        <v>68</v>
      </c>
      <c r="AY694" s="1655" t="s">
        <v>68</v>
      </c>
      <c r="AZ694" s="30" t="s">
        <v>68</v>
      </c>
      <c r="BA694" s="5"/>
      <c r="BB694" s="5"/>
      <c r="BC694" s="11"/>
      <c r="BD694" s="30" t="s">
        <v>68</v>
      </c>
      <c r="BE694" s="309"/>
      <c r="BF694" s="5"/>
      <c r="BG694" s="5"/>
      <c r="BH694" s="5"/>
      <c r="BI694" s="36"/>
      <c r="BJ694" s="1736" t="s">
        <v>68</v>
      </c>
      <c r="BK694" s="1117"/>
      <c r="BL694" s="1737" t="s">
        <v>68</v>
      </c>
      <c r="BM694" s="1738" t="s">
        <v>68</v>
      </c>
      <c r="BN694" s="1738" t="s">
        <v>68</v>
      </c>
      <c r="BO694" s="1739" t="s">
        <v>68</v>
      </c>
      <c r="BP694" s="1739" t="s">
        <v>68</v>
      </c>
      <c r="BQ694" s="1739" t="s">
        <v>68</v>
      </c>
      <c r="BR694" s="1739" t="s">
        <v>68</v>
      </c>
      <c r="BS694" s="1739" t="s">
        <v>68</v>
      </c>
      <c r="BT694" s="1739" t="s">
        <v>68</v>
      </c>
      <c r="BU694" s="1739" t="s">
        <v>68</v>
      </c>
      <c r="BV694" s="1737" t="s">
        <v>68</v>
      </c>
      <c r="BW694" s="13"/>
      <c r="BX694" s="22"/>
      <c r="BY694" s="22"/>
      <c r="BZ694" s="22"/>
      <c r="CA694" s="22"/>
      <c r="CB694" s="1222" t="s">
        <v>3944</v>
      </c>
      <c r="CC694" s="859"/>
      <c r="CD694" s="526"/>
      <c r="CE694" s="526"/>
      <c r="CF694" s="526"/>
      <c r="CG694" s="526"/>
      <c r="CH694" s="526"/>
      <c r="CI694" s="526"/>
      <c r="CJ694" s="526"/>
      <c r="CK694" s="15"/>
    </row>
    <row r="695" spans="2:89" ht="132.75" hidden="1" customHeight="1">
      <c r="B695" s="22"/>
      <c r="C695" s="122"/>
      <c r="D695" s="22"/>
      <c r="E695" s="911"/>
      <c r="F695" s="911"/>
      <c r="G695" s="915"/>
      <c r="H695" s="1746" t="s">
        <v>6311</v>
      </c>
      <c r="I695" s="330"/>
      <c r="J695" s="169">
        <v>2023</v>
      </c>
      <c r="K695" s="1417">
        <v>232035</v>
      </c>
      <c r="L695" s="1417"/>
      <c r="M695" s="170" t="s">
        <v>166</v>
      </c>
      <c r="N695" s="178" t="s">
        <v>5911</v>
      </c>
      <c r="O695" s="172" t="s">
        <v>45</v>
      </c>
      <c r="P695" s="173" t="s">
        <v>5945</v>
      </c>
      <c r="Q695" s="173" t="s">
        <v>2538</v>
      </c>
      <c r="R695" s="174">
        <f>26186.7*1.16</f>
        <v>30376.572</v>
      </c>
      <c r="S695" s="175">
        <v>45233</v>
      </c>
      <c r="T695" s="176">
        <v>45237</v>
      </c>
      <c r="U695" s="177">
        <v>45239</v>
      </c>
      <c r="V695" s="105" t="s">
        <v>68</v>
      </c>
      <c r="W695" s="178" t="s">
        <v>4450</v>
      </c>
      <c r="X695" s="170" t="s">
        <v>472</v>
      </c>
      <c r="Y695" s="1723" t="s">
        <v>68</v>
      </c>
      <c r="Z695" s="1724" t="s">
        <v>68</v>
      </c>
      <c r="AA695" s="33"/>
      <c r="AB695" s="8"/>
      <c r="AC695" s="4"/>
      <c r="AD695" s="4"/>
      <c r="AE695" s="32"/>
      <c r="AF695" s="1725" t="s">
        <v>68</v>
      </c>
      <c r="AG695" s="1726" t="s">
        <v>68</v>
      </c>
      <c r="AH695" s="1726" t="s">
        <v>68</v>
      </c>
      <c r="AI695" s="1727" t="s">
        <v>68</v>
      </c>
      <c r="AJ695" s="1728" t="s">
        <v>68</v>
      </c>
      <c r="AK695" s="1729" t="s">
        <v>68</v>
      </c>
      <c r="AL695" s="1634" t="s">
        <v>68</v>
      </c>
      <c r="AM695" s="1656"/>
      <c r="AN695" s="1634" t="s">
        <v>68</v>
      </c>
      <c r="AO695" s="1656"/>
      <c r="AP695" s="1634" t="s">
        <v>68</v>
      </c>
      <c r="AQ695" s="1656"/>
      <c r="AR695" s="1730"/>
      <c r="AS695" s="1731">
        <v>0</v>
      </c>
      <c r="AT695" s="1732">
        <v>0</v>
      </c>
      <c r="AU695" s="1733">
        <v>0</v>
      </c>
      <c r="AV695" s="1734" t="s">
        <v>68</v>
      </c>
      <c r="AW695" s="1653" t="s">
        <v>68</v>
      </c>
      <c r="AX695" s="1654" t="s">
        <v>68</v>
      </c>
      <c r="AY695" s="1655" t="s">
        <v>68</v>
      </c>
      <c r="AZ695" s="30" t="s">
        <v>68</v>
      </c>
      <c r="BA695" s="5"/>
      <c r="BB695" s="5"/>
      <c r="BC695" s="11"/>
      <c r="BD695" s="30" t="s">
        <v>68</v>
      </c>
      <c r="BE695" s="309"/>
      <c r="BF695" s="5"/>
      <c r="BG695" s="5"/>
      <c r="BH695" s="5"/>
      <c r="BI695" s="36"/>
      <c r="BJ695" s="1736" t="s">
        <v>68</v>
      </c>
      <c r="BK695" s="1117"/>
      <c r="BL695" s="1737" t="s">
        <v>68</v>
      </c>
      <c r="BM695" s="1738" t="s">
        <v>68</v>
      </c>
      <c r="BN695" s="1738" t="s">
        <v>68</v>
      </c>
      <c r="BO695" s="1739" t="s">
        <v>68</v>
      </c>
      <c r="BP695" s="1739" t="s">
        <v>68</v>
      </c>
      <c r="BQ695" s="1739" t="s">
        <v>68</v>
      </c>
      <c r="BR695" s="1739" t="s">
        <v>68</v>
      </c>
      <c r="BS695" s="1739" t="s">
        <v>68</v>
      </c>
      <c r="BT695" s="1739" t="s">
        <v>68</v>
      </c>
      <c r="BU695" s="1739" t="s">
        <v>68</v>
      </c>
      <c r="BV695" s="1737" t="s">
        <v>68</v>
      </c>
      <c r="BW695" s="13"/>
      <c r="BX695" s="22"/>
      <c r="BY695" s="22"/>
      <c r="BZ695" s="22"/>
      <c r="CA695" s="22"/>
      <c r="CB695" s="1222" t="s">
        <v>3944</v>
      </c>
      <c r="CC695" s="859"/>
      <c r="CD695" s="526"/>
      <c r="CE695" s="526"/>
      <c r="CF695" s="526"/>
      <c r="CG695" s="526"/>
      <c r="CH695" s="526"/>
      <c r="CI695" s="526"/>
      <c r="CJ695" s="526"/>
      <c r="CK695" s="15"/>
    </row>
    <row r="696" spans="2:89" ht="201.75" hidden="1" customHeight="1">
      <c r="B696" s="22"/>
      <c r="C696" s="122"/>
      <c r="D696" s="22"/>
      <c r="E696" s="911"/>
      <c r="F696" s="911"/>
      <c r="G696" s="915"/>
      <c r="H696" s="1746" t="s">
        <v>6311</v>
      </c>
      <c r="I696" s="330"/>
      <c r="J696" s="169">
        <v>2023</v>
      </c>
      <c r="K696" s="1417">
        <v>232036</v>
      </c>
      <c r="L696" s="1417"/>
      <c r="M696" s="170" t="s">
        <v>166</v>
      </c>
      <c r="N696" s="178" t="s">
        <v>5912</v>
      </c>
      <c r="O696" s="172" t="s">
        <v>45</v>
      </c>
      <c r="P696" s="1461" t="s">
        <v>5946</v>
      </c>
      <c r="Q696" s="173" t="s">
        <v>5947</v>
      </c>
      <c r="R696" s="174">
        <f>(15200+22400+10800)*1.16</f>
        <v>56143.999999999993</v>
      </c>
      <c r="S696" s="175">
        <v>45225</v>
      </c>
      <c r="T696" s="176">
        <v>45226</v>
      </c>
      <c r="U696" s="177">
        <v>45229</v>
      </c>
      <c r="V696" s="105" t="s">
        <v>68</v>
      </c>
      <c r="W696" s="178" t="s">
        <v>5942</v>
      </c>
      <c r="X696" s="170" t="s">
        <v>472</v>
      </c>
      <c r="Y696" s="1723" t="s">
        <v>68</v>
      </c>
      <c r="Z696" s="1724" t="s">
        <v>68</v>
      </c>
      <c r="AA696" s="33"/>
      <c r="AB696" s="8"/>
      <c r="AC696" s="4"/>
      <c r="AD696" s="4"/>
      <c r="AE696" s="32"/>
      <c r="AF696" s="1725" t="s">
        <v>68</v>
      </c>
      <c r="AG696" s="1726" t="s">
        <v>68</v>
      </c>
      <c r="AH696" s="1726" t="s">
        <v>68</v>
      </c>
      <c r="AI696" s="1727" t="s">
        <v>68</v>
      </c>
      <c r="AJ696" s="1728" t="s">
        <v>68</v>
      </c>
      <c r="AK696" s="1729" t="s">
        <v>68</v>
      </c>
      <c r="AL696" s="1634" t="s">
        <v>68</v>
      </c>
      <c r="AM696" s="1656"/>
      <c r="AN696" s="1634" t="s">
        <v>68</v>
      </c>
      <c r="AO696" s="1656"/>
      <c r="AP696" s="1634" t="s">
        <v>68</v>
      </c>
      <c r="AQ696" s="1656"/>
      <c r="AR696" s="1730"/>
      <c r="AS696" s="1731">
        <v>0</v>
      </c>
      <c r="AT696" s="1732">
        <v>0</v>
      </c>
      <c r="AU696" s="1733">
        <v>0</v>
      </c>
      <c r="AV696" s="1734" t="s">
        <v>68</v>
      </c>
      <c r="AW696" s="1653" t="s">
        <v>68</v>
      </c>
      <c r="AX696" s="1654" t="s">
        <v>68</v>
      </c>
      <c r="AY696" s="1655" t="s">
        <v>68</v>
      </c>
      <c r="AZ696" s="30" t="s">
        <v>68</v>
      </c>
      <c r="BA696" s="5"/>
      <c r="BB696" s="5"/>
      <c r="BC696" s="11"/>
      <c r="BD696" s="30" t="s">
        <v>68</v>
      </c>
      <c r="BE696" s="309"/>
      <c r="BF696" s="5"/>
      <c r="BG696" s="5"/>
      <c r="BH696" s="5"/>
      <c r="BI696" s="36"/>
      <c r="BJ696" s="1736" t="s">
        <v>68</v>
      </c>
      <c r="BK696" s="1117"/>
      <c r="BL696" s="1737" t="s">
        <v>68</v>
      </c>
      <c r="BM696" s="1738" t="s">
        <v>68</v>
      </c>
      <c r="BN696" s="1738" t="s">
        <v>68</v>
      </c>
      <c r="BO696" s="1739" t="s">
        <v>68</v>
      </c>
      <c r="BP696" s="1739" t="s">
        <v>68</v>
      </c>
      <c r="BQ696" s="1739" t="s">
        <v>68</v>
      </c>
      <c r="BR696" s="1739" t="s">
        <v>68</v>
      </c>
      <c r="BS696" s="1739" t="s">
        <v>68</v>
      </c>
      <c r="BT696" s="1739" t="s">
        <v>68</v>
      </c>
      <c r="BU696" s="1739" t="s">
        <v>68</v>
      </c>
      <c r="BV696" s="1737" t="s">
        <v>68</v>
      </c>
      <c r="BW696" s="13"/>
      <c r="BX696" s="22"/>
      <c r="BY696" s="22"/>
      <c r="BZ696" s="22"/>
      <c r="CA696" s="22"/>
      <c r="CB696" s="1222" t="s">
        <v>3944</v>
      </c>
      <c r="CC696" s="859"/>
      <c r="CD696" s="526"/>
      <c r="CE696" s="526"/>
      <c r="CF696" s="526"/>
      <c r="CG696" s="526"/>
      <c r="CH696" s="526"/>
      <c r="CI696" s="526"/>
      <c r="CJ696" s="526"/>
      <c r="CK696" s="15"/>
    </row>
    <row r="697" spans="2:89" ht="114.75" hidden="1" customHeight="1">
      <c r="B697" s="22"/>
      <c r="C697" s="122"/>
      <c r="D697" s="22"/>
      <c r="E697" s="911"/>
      <c r="F697" s="911"/>
      <c r="G697" s="915"/>
      <c r="H697" s="1746" t="s">
        <v>6311</v>
      </c>
      <c r="I697" s="330"/>
      <c r="J697" s="169">
        <v>2023</v>
      </c>
      <c r="K697" s="1417">
        <v>232038</v>
      </c>
      <c r="L697" s="1417"/>
      <c r="M697" s="170" t="s">
        <v>166</v>
      </c>
      <c r="N697" s="178" t="s">
        <v>5914</v>
      </c>
      <c r="O697" s="172" t="s">
        <v>45</v>
      </c>
      <c r="P697" s="173" t="s">
        <v>5948</v>
      </c>
      <c r="Q697" s="173" t="s">
        <v>1975</v>
      </c>
      <c r="R697" s="174">
        <v>102831.39</v>
      </c>
      <c r="S697" s="175">
        <v>45264</v>
      </c>
      <c r="T697" s="176">
        <v>45266</v>
      </c>
      <c r="U697" s="177">
        <v>45301</v>
      </c>
      <c r="V697" s="105" t="s">
        <v>68</v>
      </c>
      <c r="W697" s="178" t="s">
        <v>5949</v>
      </c>
      <c r="X697" s="170" t="s">
        <v>472</v>
      </c>
      <c r="Y697" s="1723" t="s">
        <v>68</v>
      </c>
      <c r="Z697" s="1724" t="s">
        <v>68</v>
      </c>
      <c r="AA697" s="33"/>
      <c r="AB697" s="8"/>
      <c r="AC697" s="4"/>
      <c r="AD697" s="4"/>
      <c r="AE697" s="32"/>
      <c r="AF697" s="1725" t="s">
        <v>68</v>
      </c>
      <c r="AG697" s="1726" t="s">
        <v>68</v>
      </c>
      <c r="AH697" s="1726" t="s">
        <v>68</v>
      </c>
      <c r="AI697" s="1727" t="s">
        <v>68</v>
      </c>
      <c r="AJ697" s="1728" t="s">
        <v>68</v>
      </c>
      <c r="AK697" s="1729" t="s">
        <v>68</v>
      </c>
      <c r="AL697" s="1634" t="s">
        <v>68</v>
      </c>
      <c r="AM697" s="1656"/>
      <c r="AN697" s="1634" t="s">
        <v>68</v>
      </c>
      <c r="AO697" s="1656"/>
      <c r="AP697" s="1634" t="s">
        <v>68</v>
      </c>
      <c r="AQ697" s="1656"/>
      <c r="AR697" s="1730"/>
      <c r="AS697" s="1731">
        <v>0</v>
      </c>
      <c r="AT697" s="1732">
        <v>0</v>
      </c>
      <c r="AU697" s="1733">
        <v>0</v>
      </c>
      <c r="AV697" s="1734" t="s">
        <v>68</v>
      </c>
      <c r="AW697" s="1653" t="s">
        <v>68</v>
      </c>
      <c r="AX697" s="1654" t="s">
        <v>68</v>
      </c>
      <c r="AY697" s="1655" t="s">
        <v>68</v>
      </c>
      <c r="AZ697" s="30" t="s">
        <v>68</v>
      </c>
      <c r="BA697" s="5"/>
      <c r="BB697" s="5"/>
      <c r="BC697" s="11"/>
      <c r="BD697" s="30" t="s">
        <v>68</v>
      </c>
      <c r="BE697" s="309"/>
      <c r="BF697" s="5"/>
      <c r="BG697" s="5"/>
      <c r="BH697" s="5"/>
      <c r="BI697" s="36"/>
      <c r="BJ697" s="1736" t="s">
        <v>68</v>
      </c>
      <c r="BK697" s="1117"/>
      <c r="BL697" s="1737" t="s">
        <v>68</v>
      </c>
      <c r="BM697" s="1738" t="s">
        <v>68</v>
      </c>
      <c r="BN697" s="1738" t="s">
        <v>68</v>
      </c>
      <c r="BO697" s="1739" t="s">
        <v>68</v>
      </c>
      <c r="BP697" s="1739" t="s">
        <v>68</v>
      </c>
      <c r="BQ697" s="1739" t="s">
        <v>68</v>
      </c>
      <c r="BR697" s="1739" t="s">
        <v>68</v>
      </c>
      <c r="BS697" s="1739" t="s">
        <v>68</v>
      </c>
      <c r="BT697" s="1739" t="s">
        <v>68</v>
      </c>
      <c r="BU697" s="1739" t="s">
        <v>68</v>
      </c>
      <c r="BV697" s="1737" t="s">
        <v>68</v>
      </c>
      <c r="BW697" s="13"/>
      <c r="BX697" s="22"/>
      <c r="BY697" s="22"/>
      <c r="BZ697" s="22"/>
      <c r="CA697" s="22"/>
      <c r="CB697" s="1222" t="s">
        <v>3944</v>
      </c>
      <c r="CC697" s="859"/>
      <c r="CD697" s="526"/>
      <c r="CE697" s="526"/>
      <c r="CF697" s="526"/>
      <c r="CG697" s="526"/>
      <c r="CH697" s="526"/>
      <c r="CI697" s="526"/>
      <c r="CJ697" s="526"/>
      <c r="CK697" s="15"/>
    </row>
    <row r="698" spans="2:89" ht="153" hidden="1" customHeight="1">
      <c r="B698" s="22"/>
      <c r="C698" s="122"/>
      <c r="D698" s="22"/>
      <c r="E698" s="911"/>
      <c r="F698" s="911"/>
      <c r="G698" s="915"/>
      <c r="H698" s="1746" t="s">
        <v>6311</v>
      </c>
      <c r="I698" s="330"/>
      <c r="J698" s="169">
        <v>2023</v>
      </c>
      <c r="K698" s="1417">
        <v>232039</v>
      </c>
      <c r="L698" s="1417"/>
      <c r="M698" s="170" t="s">
        <v>166</v>
      </c>
      <c r="N698" s="178" t="s">
        <v>5915</v>
      </c>
      <c r="O698" s="172" t="s">
        <v>45</v>
      </c>
      <c r="P698" s="173" t="s">
        <v>5950</v>
      </c>
      <c r="Q698" s="173" t="s">
        <v>1975</v>
      </c>
      <c r="R698" s="174">
        <f>20000*1.16</f>
        <v>23200</v>
      </c>
      <c r="S698" s="175">
        <v>45265</v>
      </c>
      <c r="T698" s="176">
        <v>45266</v>
      </c>
      <c r="U698" s="177">
        <v>45267</v>
      </c>
      <c r="V698" s="105" t="s">
        <v>68</v>
      </c>
      <c r="W698" s="178" t="s">
        <v>2986</v>
      </c>
      <c r="X698" s="170" t="s">
        <v>472</v>
      </c>
      <c r="Y698" s="1723" t="s">
        <v>68</v>
      </c>
      <c r="Z698" s="1724" t="s">
        <v>68</v>
      </c>
      <c r="AA698" s="33"/>
      <c r="AB698" s="8"/>
      <c r="AC698" s="4"/>
      <c r="AD698" s="4"/>
      <c r="AE698" s="32"/>
      <c r="AF698" s="1725" t="s">
        <v>68</v>
      </c>
      <c r="AG698" s="1726" t="s">
        <v>68</v>
      </c>
      <c r="AH698" s="1726" t="s">
        <v>68</v>
      </c>
      <c r="AI698" s="1727" t="s">
        <v>68</v>
      </c>
      <c r="AJ698" s="1728" t="s">
        <v>68</v>
      </c>
      <c r="AK698" s="1729" t="s">
        <v>68</v>
      </c>
      <c r="AL698" s="1634" t="s">
        <v>68</v>
      </c>
      <c r="AM698" s="1656"/>
      <c r="AN698" s="1634" t="s">
        <v>68</v>
      </c>
      <c r="AO698" s="1656"/>
      <c r="AP698" s="1634" t="s">
        <v>68</v>
      </c>
      <c r="AQ698" s="1656"/>
      <c r="AR698" s="1730"/>
      <c r="AS698" s="1731">
        <v>0</v>
      </c>
      <c r="AT698" s="1732">
        <v>0</v>
      </c>
      <c r="AU698" s="1733">
        <v>0</v>
      </c>
      <c r="AV698" s="1734" t="s">
        <v>68</v>
      </c>
      <c r="AW698" s="1653" t="s">
        <v>68</v>
      </c>
      <c r="AX698" s="1654" t="s">
        <v>68</v>
      </c>
      <c r="AY698" s="1655" t="s">
        <v>68</v>
      </c>
      <c r="AZ698" s="30" t="s">
        <v>68</v>
      </c>
      <c r="BA698" s="5"/>
      <c r="BB698" s="5"/>
      <c r="BC698" s="11"/>
      <c r="BD698" s="30" t="s">
        <v>68</v>
      </c>
      <c r="BE698" s="309"/>
      <c r="BF698" s="5"/>
      <c r="BG698" s="5"/>
      <c r="BH698" s="5"/>
      <c r="BI698" s="36"/>
      <c r="BJ698" s="1736" t="s">
        <v>68</v>
      </c>
      <c r="BK698" s="1117"/>
      <c r="BL698" s="1737" t="s">
        <v>68</v>
      </c>
      <c r="BM698" s="1738" t="s">
        <v>68</v>
      </c>
      <c r="BN698" s="1738" t="s">
        <v>68</v>
      </c>
      <c r="BO698" s="1739" t="s">
        <v>68</v>
      </c>
      <c r="BP698" s="1739" t="s">
        <v>68</v>
      </c>
      <c r="BQ698" s="1739" t="s">
        <v>68</v>
      </c>
      <c r="BR698" s="1739" t="s">
        <v>68</v>
      </c>
      <c r="BS698" s="1739" t="s">
        <v>68</v>
      </c>
      <c r="BT698" s="1739" t="s">
        <v>68</v>
      </c>
      <c r="BU698" s="1739" t="s">
        <v>68</v>
      </c>
      <c r="BV698" s="1737" t="s">
        <v>68</v>
      </c>
      <c r="BW698" s="13"/>
      <c r="BX698" s="22"/>
      <c r="BY698" s="22"/>
      <c r="BZ698" s="22"/>
      <c r="CA698" s="22"/>
      <c r="CB698" s="1222" t="s">
        <v>3944</v>
      </c>
      <c r="CC698" s="859"/>
      <c r="CD698" s="526"/>
      <c r="CE698" s="526"/>
      <c r="CF698" s="526"/>
      <c r="CG698" s="526"/>
      <c r="CH698" s="526"/>
      <c r="CI698" s="526"/>
      <c r="CJ698" s="526"/>
      <c r="CK698" s="15"/>
    </row>
    <row r="699" spans="2:89" ht="155.25" hidden="1" customHeight="1">
      <c r="B699" s="22"/>
      <c r="C699" s="122"/>
      <c r="D699" s="22"/>
      <c r="E699" s="911"/>
      <c r="F699" s="911"/>
      <c r="G699" s="915"/>
      <c r="H699" s="1746" t="s">
        <v>6311</v>
      </c>
      <c r="I699" s="330"/>
      <c r="J699" s="169">
        <v>2023</v>
      </c>
      <c r="K699" s="1417">
        <v>232040</v>
      </c>
      <c r="L699" s="1417"/>
      <c r="M699" s="170" t="s">
        <v>166</v>
      </c>
      <c r="N699" s="178" t="s">
        <v>5916</v>
      </c>
      <c r="O699" s="172" t="s">
        <v>45</v>
      </c>
      <c r="P699" s="173" t="s">
        <v>5951</v>
      </c>
      <c r="Q699" s="173" t="s">
        <v>1975</v>
      </c>
      <c r="R699" s="174">
        <v>45601.919999999998</v>
      </c>
      <c r="S699" s="175">
        <v>45267</v>
      </c>
      <c r="T699" s="176">
        <v>45271</v>
      </c>
      <c r="U699" s="177">
        <v>45299</v>
      </c>
      <c r="V699" s="105" t="s">
        <v>68</v>
      </c>
      <c r="W699" s="178" t="s">
        <v>5949</v>
      </c>
      <c r="X699" s="170" t="s">
        <v>472</v>
      </c>
      <c r="Y699" s="1723" t="s">
        <v>68</v>
      </c>
      <c r="Z699" s="1724" t="s">
        <v>68</v>
      </c>
      <c r="AA699" s="33"/>
      <c r="AB699" s="8"/>
      <c r="AC699" s="4"/>
      <c r="AD699" s="4"/>
      <c r="AE699" s="32"/>
      <c r="AF699" s="1725" t="s">
        <v>68</v>
      </c>
      <c r="AG699" s="1726" t="s">
        <v>68</v>
      </c>
      <c r="AH699" s="1726" t="s">
        <v>68</v>
      </c>
      <c r="AI699" s="1727" t="s">
        <v>68</v>
      </c>
      <c r="AJ699" s="1728" t="s">
        <v>68</v>
      </c>
      <c r="AK699" s="1729" t="s">
        <v>68</v>
      </c>
      <c r="AL699" s="1634" t="s">
        <v>68</v>
      </c>
      <c r="AM699" s="1656"/>
      <c r="AN699" s="1634" t="s">
        <v>68</v>
      </c>
      <c r="AO699" s="1656"/>
      <c r="AP699" s="1634" t="s">
        <v>68</v>
      </c>
      <c r="AQ699" s="1656"/>
      <c r="AR699" s="1730"/>
      <c r="AS699" s="1731">
        <v>0</v>
      </c>
      <c r="AT699" s="1732">
        <v>0</v>
      </c>
      <c r="AU699" s="1733">
        <v>0</v>
      </c>
      <c r="AV699" s="1734" t="s">
        <v>68</v>
      </c>
      <c r="AW699" s="1653" t="s">
        <v>68</v>
      </c>
      <c r="AX699" s="1654" t="s">
        <v>68</v>
      </c>
      <c r="AY699" s="1655" t="s">
        <v>68</v>
      </c>
      <c r="AZ699" s="30" t="s">
        <v>68</v>
      </c>
      <c r="BA699" s="5"/>
      <c r="BB699" s="5"/>
      <c r="BC699" s="11"/>
      <c r="BD699" s="30" t="s">
        <v>68</v>
      </c>
      <c r="BE699" s="309"/>
      <c r="BF699" s="5"/>
      <c r="BG699" s="5"/>
      <c r="BH699" s="5"/>
      <c r="BI699" s="36"/>
      <c r="BJ699" s="1736" t="s">
        <v>68</v>
      </c>
      <c r="BK699" s="1117"/>
      <c r="BL699" s="1737" t="s">
        <v>68</v>
      </c>
      <c r="BM699" s="1738" t="s">
        <v>68</v>
      </c>
      <c r="BN699" s="1738" t="s">
        <v>68</v>
      </c>
      <c r="BO699" s="1739" t="s">
        <v>68</v>
      </c>
      <c r="BP699" s="1739" t="s">
        <v>68</v>
      </c>
      <c r="BQ699" s="1739" t="s">
        <v>68</v>
      </c>
      <c r="BR699" s="1739" t="s">
        <v>68</v>
      </c>
      <c r="BS699" s="1739" t="s">
        <v>68</v>
      </c>
      <c r="BT699" s="1739" t="s">
        <v>68</v>
      </c>
      <c r="BU699" s="1739" t="s">
        <v>68</v>
      </c>
      <c r="BV699" s="1737" t="s">
        <v>68</v>
      </c>
      <c r="BW699" s="13"/>
      <c r="BX699" s="22"/>
      <c r="BY699" s="22"/>
      <c r="BZ699" s="22"/>
      <c r="CA699" s="22"/>
      <c r="CB699" s="1222" t="s">
        <v>3944</v>
      </c>
      <c r="CC699" s="859"/>
      <c r="CD699" s="526"/>
      <c r="CE699" s="526"/>
      <c r="CF699" s="526"/>
      <c r="CG699" s="526"/>
      <c r="CH699" s="526"/>
      <c r="CI699" s="526"/>
      <c r="CJ699" s="526"/>
      <c r="CK699" s="15"/>
    </row>
    <row r="700" spans="2:89" ht="81" hidden="1" customHeight="1">
      <c r="B700" s="22"/>
      <c r="C700" s="122"/>
      <c r="D700" s="22"/>
      <c r="E700" s="911"/>
      <c r="F700" s="911"/>
      <c r="G700" s="915"/>
      <c r="H700" s="1746" t="s">
        <v>6311</v>
      </c>
      <c r="I700" s="330"/>
      <c r="J700" s="169">
        <v>2023</v>
      </c>
      <c r="K700" s="1417">
        <v>232041</v>
      </c>
      <c r="L700" s="1417"/>
      <c r="M700" s="170" t="s">
        <v>166</v>
      </c>
      <c r="N700" s="178" t="s">
        <v>5917</v>
      </c>
      <c r="O700" s="172" t="s">
        <v>45</v>
      </c>
      <c r="P700" s="173" t="s">
        <v>5952</v>
      </c>
      <c r="Q700" s="173" t="s">
        <v>1975</v>
      </c>
      <c r="R700" s="174">
        <f>38100*1.16</f>
        <v>44196</v>
      </c>
      <c r="S700" s="175">
        <v>45275</v>
      </c>
      <c r="T700" s="176">
        <v>45280</v>
      </c>
      <c r="U700" s="177">
        <v>45282</v>
      </c>
      <c r="V700" s="105" t="s">
        <v>68</v>
      </c>
      <c r="W700" s="178" t="s">
        <v>3742</v>
      </c>
      <c r="X700" s="170" t="s">
        <v>472</v>
      </c>
      <c r="Y700" s="1723" t="s">
        <v>68</v>
      </c>
      <c r="Z700" s="1724" t="s">
        <v>68</v>
      </c>
      <c r="AA700" s="33"/>
      <c r="AB700" s="8"/>
      <c r="AC700" s="4"/>
      <c r="AD700" s="4"/>
      <c r="AE700" s="32"/>
      <c r="AF700" s="1725" t="s">
        <v>68</v>
      </c>
      <c r="AG700" s="1726" t="s">
        <v>68</v>
      </c>
      <c r="AH700" s="1726" t="s">
        <v>68</v>
      </c>
      <c r="AI700" s="1727" t="s">
        <v>68</v>
      </c>
      <c r="AJ700" s="1728" t="s">
        <v>68</v>
      </c>
      <c r="AK700" s="1729" t="s">
        <v>68</v>
      </c>
      <c r="AL700" s="1634" t="s">
        <v>68</v>
      </c>
      <c r="AM700" s="1656"/>
      <c r="AN700" s="1634" t="s">
        <v>68</v>
      </c>
      <c r="AO700" s="1656"/>
      <c r="AP700" s="1634" t="s">
        <v>68</v>
      </c>
      <c r="AQ700" s="1656"/>
      <c r="AR700" s="1730"/>
      <c r="AS700" s="1731">
        <v>0</v>
      </c>
      <c r="AT700" s="1732">
        <v>0</v>
      </c>
      <c r="AU700" s="1733">
        <v>0</v>
      </c>
      <c r="AV700" s="1734" t="s">
        <v>68</v>
      </c>
      <c r="AW700" s="1653" t="s">
        <v>68</v>
      </c>
      <c r="AX700" s="1654" t="s">
        <v>68</v>
      </c>
      <c r="AY700" s="1655" t="s">
        <v>68</v>
      </c>
      <c r="AZ700" s="30" t="s">
        <v>68</v>
      </c>
      <c r="BA700" s="5"/>
      <c r="BB700" s="5"/>
      <c r="BC700" s="11"/>
      <c r="BD700" s="30" t="s">
        <v>68</v>
      </c>
      <c r="BE700" s="309"/>
      <c r="BF700" s="5"/>
      <c r="BG700" s="5"/>
      <c r="BH700" s="5"/>
      <c r="BI700" s="36"/>
      <c r="BJ700" s="1736" t="s">
        <v>68</v>
      </c>
      <c r="BK700" s="1117"/>
      <c r="BL700" s="1737" t="s">
        <v>68</v>
      </c>
      <c r="BM700" s="1738" t="s">
        <v>68</v>
      </c>
      <c r="BN700" s="1738" t="s">
        <v>68</v>
      </c>
      <c r="BO700" s="1739" t="s">
        <v>68</v>
      </c>
      <c r="BP700" s="1739" t="s">
        <v>68</v>
      </c>
      <c r="BQ700" s="1739" t="s">
        <v>68</v>
      </c>
      <c r="BR700" s="1739" t="s">
        <v>68</v>
      </c>
      <c r="BS700" s="1739" t="s">
        <v>68</v>
      </c>
      <c r="BT700" s="1739" t="s">
        <v>68</v>
      </c>
      <c r="BU700" s="1739" t="s">
        <v>68</v>
      </c>
      <c r="BV700" s="1737" t="s">
        <v>68</v>
      </c>
      <c r="BW700" s="13"/>
      <c r="BX700" s="22"/>
      <c r="BY700" s="22"/>
      <c r="BZ700" s="22"/>
      <c r="CA700" s="22"/>
      <c r="CB700" s="1222" t="s">
        <v>3944</v>
      </c>
      <c r="CC700" s="859"/>
      <c r="CD700" s="526"/>
      <c r="CE700" s="526"/>
      <c r="CF700" s="526"/>
      <c r="CG700" s="526"/>
      <c r="CH700" s="526"/>
      <c r="CI700" s="526"/>
      <c r="CJ700" s="526"/>
      <c r="CK700" s="15"/>
    </row>
    <row r="701" spans="2:89" ht="102" hidden="1" customHeight="1">
      <c r="B701" s="22"/>
      <c r="C701" s="122"/>
      <c r="D701" s="22"/>
      <c r="E701" s="911"/>
      <c r="F701" s="911"/>
      <c r="G701" s="915">
        <v>44999</v>
      </c>
      <c r="H701" s="1746" t="s">
        <v>6311</v>
      </c>
      <c r="I701" s="330"/>
      <c r="J701" s="169">
        <v>2023</v>
      </c>
      <c r="K701" s="1417">
        <v>233001</v>
      </c>
      <c r="L701" s="1417"/>
      <c r="M701" s="170" t="s">
        <v>166</v>
      </c>
      <c r="N701" s="178" t="s">
        <v>4854</v>
      </c>
      <c r="O701" s="172" t="s">
        <v>46</v>
      </c>
      <c r="P701" s="173" t="s">
        <v>4865</v>
      </c>
      <c r="Q701" s="173" t="s">
        <v>2575</v>
      </c>
      <c r="R701" s="174">
        <f>49000*1.16</f>
        <v>56839.999999999993</v>
      </c>
      <c r="S701" s="175">
        <v>44928</v>
      </c>
      <c r="T701" s="176">
        <v>44928</v>
      </c>
      <c r="U701" s="177">
        <v>44957</v>
      </c>
      <c r="V701" s="105" t="s">
        <v>68</v>
      </c>
      <c r="W701" s="178" t="s">
        <v>4866</v>
      </c>
      <c r="X701" s="170" t="s">
        <v>70</v>
      </c>
      <c r="Y701" s="200" t="s">
        <v>68</v>
      </c>
      <c r="Z701" s="368" t="s">
        <v>68</v>
      </c>
      <c r="AA701" s="33"/>
      <c r="AB701" s="8"/>
      <c r="AC701" s="4"/>
      <c r="AD701" s="4"/>
      <c r="AE701" s="32"/>
      <c r="AF701" s="34" t="s">
        <v>68</v>
      </c>
      <c r="AG701" s="112" t="s">
        <v>68</v>
      </c>
      <c r="AH701" s="112" t="s">
        <v>68</v>
      </c>
      <c r="AI701" s="7" t="s">
        <v>68</v>
      </c>
      <c r="AJ701" s="109" t="s">
        <v>68</v>
      </c>
      <c r="AK701" s="33" t="s">
        <v>68</v>
      </c>
      <c r="AL701" s="1" t="s">
        <v>68</v>
      </c>
      <c r="AM701" s="5"/>
      <c r="AN701" s="1" t="s">
        <v>68</v>
      </c>
      <c r="AO701" s="5"/>
      <c r="AP701" s="1" t="s">
        <v>68</v>
      </c>
      <c r="AQ701" s="5"/>
      <c r="AR701" s="279"/>
      <c r="AS701" s="35">
        <v>0</v>
      </c>
      <c r="AT701" s="895">
        <v>0</v>
      </c>
      <c r="AU701" s="884">
        <v>0</v>
      </c>
      <c r="AV701" s="30" t="s">
        <v>68</v>
      </c>
      <c r="AW701" s="11" t="s">
        <v>68</v>
      </c>
      <c r="AX701" s="223" t="s">
        <v>68</v>
      </c>
      <c r="AY701" s="52" t="s">
        <v>68</v>
      </c>
      <c r="AZ701" s="30" t="s">
        <v>68</v>
      </c>
      <c r="BA701" s="5"/>
      <c r="BB701" s="5"/>
      <c r="BC701" s="11"/>
      <c r="BD701" s="30" t="s">
        <v>68</v>
      </c>
      <c r="BE701" s="309"/>
      <c r="BF701" s="5"/>
      <c r="BG701" s="5"/>
      <c r="BH701" s="5"/>
      <c r="BI701" s="36"/>
      <c r="BJ701" s="13" t="s">
        <v>68</v>
      </c>
      <c r="BK701" s="352"/>
      <c r="BL701" s="913" t="s">
        <v>68</v>
      </c>
      <c r="BM701" s="912" t="s">
        <v>68</v>
      </c>
      <c r="BN701" s="912" t="s">
        <v>68</v>
      </c>
      <c r="BO701" s="1392" t="s">
        <v>68</v>
      </c>
      <c r="BP701" s="1392" t="s">
        <v>68</v>
      </c>
      <c r="BQ701" s="1392" t="s">
        <v>68</v>
      </c>
      <c r="BR701" s="1392" t="s">
        <v>68</v>
      </c>
      <c r="BS701" s="1392" t="s">
        <v>68</v>
      </c>
      <c r="BT701" s="1392" t="s">
        <v>68</v>
      </c>
      <c r="BU701" s="1392" t="s">
        <v>68</v>
      </c>
      <c r="BV701" s="913" t="s">
        <v>68</v>
      </c>
      <c r="BW701" s="13"/>
      <c r="BX701" s="22"/>
      <c r="BY701" s="22"/>
      <c r="BZ701" s="22"/>
      <c r="CA701" s="22"/>
      <c r="CB701" s="1222" t="s">
        <v>3944</v>
      </c>
      <c r="CC701" s="859"/>
      <c r="CD701" s="526"/>
      <c r="CE701" s="526"/>
      <c r="CF701" s="526"/>
      <c r="CG701" s="526"/>
      <c r="CH701" s="526"/>
      <c r="CI701" s="526"/>
      <c r="CJ701" s="526"/>
      <c r="CK701" s="15"/>
    </row>
    <row r="702" spans="2:89" ht="122.25" hidden="1" customHeight="1">
      <c r="B702" s="22"/>
      <c r="C702" s="122"/>
      <c r="D702" s="22"/>
      <c r="E702" s="911"/>
      <c r="F702" s="911"/>
      <c r="G702" s="915">
        <v>44999</v>
      </c>
      <c r="H702" s="1746" t="s">
        <v>6311</v>
      </c>
      <c r="I702" s="330"/>
      <c r="J702" s="169">
        <v>2023</v>
      </c>
      <c r="K702" s="1417">
        <v>233001.1</v>
      </c>
      <c r="L702" s="1417"/>
      <c r="M702" s="170" t="s">
        <v>166</v>
      </c>
      <c r="N702" s="178" t="s">
        <v>4855</v>
      </c>
      <c r="O702" s="172" t="s">
        <v>46</v>
      </c>
      <c r="P702" s="173" t="s">
        <v>4867</v>
      </c>
      <c r="Q702" s="173" t="s">
        <v>2575</v>
      </c>
      <c r="R702" s="174">
        <f>2800*1.16</f>
        <v>3248</v>
      </c>
      <c r="S702" s="175">
        <v>44929</v>
      </c>
      <c r="T702" s="176">
        <v>44929</v>
      </c>
      <c r="U702" s="177">
        <v>44985</v>
      </c>
      <c r="V702" s="105" t="s">
        <v>68</v>
      </c>
      <c r="W702" s="178" t="s">
        <v>4868</v>
      </c>
      <c r="X702" s="170" t="s">
        <v>1107</v>
      </c>
      <c r="Y702" s="200" t="s">
        <v>68</v>
      </c>
      <c r="Z702" s="368" t="s">
        <v>68</v>
      </c>
      <c r="AA702" s="33"/>
      <c r="AB702" s="8"/>
      <c r="AC702" s="4"/>
      <c r="AD702" s="4"/>
      <c r="AE702" s="32"/>
      <c r="AF702" s="34" t="s">
        <v>68</v>
      </c>
      <c r="AG702" s="112" t="s">
        <v>68</v>
      </c>
      <c r="AH702" s="112" t="s">
        <v>68</v>
      </c>
      <c r="AI702" s="7" t="s">
        <v>68</v>
      </c>
      <c r="AJ702" s="109" t="s">
        <v>68</v>
      </c>
      <c r="AK702" s="33" t="s">
        <v>68</v>
      </c>
      <c r="AL702" s="1" t="s">
        <v>68</v>
      </c>
      <c r="AM702" s="5"/>
      <c r="AN702" s="1" t="s">
        <v>68</v>
      </c>
      <c r="AO702" s="5"/>
      <c r="AP702" s="1" t="s">
        <v>68</v>
      </c>
      <c r="AQ702" s="5"/>
      <c r="AR702" s="279"/>
      <c r="AS702" s="35">
        <v>0</v>
      </c>
      <c r="AT702" s="895">
        <v>0</v>
      </c>
      <c r="AU702" s="884">
        <v>0</v>
      </c>
      <c r="AV702" s="30" t="s">
        <v>68</v>
      </c>
      <c r="AW702" s="11" t="s">
        <v>68</v>
      </c>
      <c r="AX702" s="223" t="s">
        <v>68</v>
      </c>
      <c r="AY702" s="52" t="s">
        <v>68</v>
      </c>
      <c r="AZ702" s="30" t="s">
        <v>68</v>
      </c>
      <c r="BA702" s="5"/>
      <c r="BB702" s="5"/>
      <c r="BC702" s="11"/>
      <c r="BD702" s="30" t="s">
        <v>68</v>
      </c>
      <c r="BE702" s="309"/>
      <c r="BF702" s="5"/>
      <c r="BG702" s="5"/>
      <c r="BH702" s="5"/>
      <c r="BI702" s="36"/>
      <c r="BJ702" s="13" t="s">
        <v>68</v>
      </c>
      <c r="BK702" s="352"/>
      <c r="BL702" s="913" t="s">
        <v>68</v>
      </c>
      <c r="BM702" s="912" t="s">
        <v>68</v>
      </c>
      <c r="BN702" s="912" t="s">
        <v>68</v>
      </c>
      <c r="BO702" s="1392" t="s">
        <v>68</v>
      </c>
      <c r="BP702" s="1392" t="s">
        <v>68</v>
      </c>
      <c r="BQ702" s="1392" t="s">
        <v>68</v>
      </c>
      <c r="BR702" s="1392" t="s">
        <v>68</v>
      </c>
      <c r="BS702" s="1392" t="s">
        <v>68</v>
      </c>
      <c r="BT702" s="1392" t="s">
        <v>68</v>
      </c>
      <c r="BU702" s="1392" t="s">
        <v>68</v>
      </c>
      <c r="BV702" s="913" t="s">
        <v>68</v>
      </c>
      <c r="BW702" s="13"/>
      <c r="BX702" s="22"/>
      <c r="BY702" s="22"/>
      <c r="BZ702" s="22"/>
      <c r="CA702" s="22"/>
      <c r="CB702" s="1222" t="s">
        <v>3944</v>
      </c>
      <c r="CC702" s="859"/>
      <c r="CD702" s="526"/>
      <c r="CE702" s="526"/>
      <c r="CF702" s="526"/>
      <c r="CG702" s="526"/>
      <c r="CH702" s="526"/>
      <c r="CI702" s="526"/>
      <c r="CJ702" s="526"/>
      <c r="CK702" s="15"/>
    </row>
    <row r="703" spans="2:89" ht="138" hidden="1" customHeight="1">
      <c r="B703" s="22"/>
      <c r="C703" s="122"/>
      <c r="D703" s="22"/>
      <c r="E703" s="911"/>
      <c r="F703" s="911"/>
      <c r="G703" s="915"/>
      <c r="H703" s="1746" t="s">
        <v>6311</v>
      </c>
      <c r="I703" s="330"/>
      <c r="J703" s="169">
        <v>2023</v>
      </c>
      <c r="K703" s="1417">
        <v>233002</v>
      </c>
      <c r="L703" s="1417"/>
      <c r="M703" s="170" t="s">
        <v>166</v>
      </c>
      <c r="N703" s="178" t="s">
        <v>4856</v>
      </c>
      <c r="O703" s="172" t="s">
        <v>46</v>
      </c>
      <c r="P703" s="173" t="s">
        <v>5583</v>
      </c>
      <c r="Q703" s="173" t="s">
        <v>2575</v>
      </c>
      <c r="R703" s="174">
        <f>25000*1.16</f>
        <v>28999.999999999996</v>
      </c>
      <c r="S703" s="175">
        <v>45005</v>
      </c>
      <c r="T703" s="176">
        <v>45007</v>
      </c>
      <c r="U703" s="177">
        <v>45038</v>
      </c>
      <c r="V703" s="105" t="s">
        <v>68</v>
      </c>
      <c r="W703" s="178" t="s">
        <v>1319</v>
      </c>
      <c r="X703" s="170" t="s">
        <v>70</v>
      </c>
      <c r="Y703" s="200" t="s">
        <v>68</v>
      </c>
      <c r="Z703" s="368" t="s">
        <v>68</v>
      </c>
      <c r="AA703" s="33"/>
      <c r="AB703" s="8"/>
      <c r="AC703" s="4"/>
      <c r="AD703" s="4"/>
      <c r="AE703" s="32"/>
      <c r="AF703" s="34" t="s">
        <v>68</v>
      </c>
      <c r="AG703" s="112" t="s">
        <v>68</v>
      </c>
      <c r="AH703" s="112" t="s">
        <v>68</v>
      </c>
      <c r="AI703" s="7" t="s">
        <v>68</v>
      </c>
      <c r="AJ703" s="109" t="s">
        <v>68</v>
      </c>
      <c r="AK703" s="33" t="s">
        <v>68</v>
      </c>
      <c r="AL703" s="1" t="s">
        <v>68</v>
      </c>
      <c r="AM703" s="5"/>
      <c r="AN703" s="1" t="s">
        <v>68</v>
      </c>
      <c r="AO703" s="5"/>
      <c r="AP703" s="1" t="s">
        <v>68</v>
      </c>
      <c r="AQ703" s="5"/>
      <c r="AR703" s="279"/>
      <c r="AS703" s="35">
        <v>0</v>
      </c>
      <c r="AT703" s="895">
        <v>0</v>
      </c>
      <c r="AU703" s="884">
        <v>0</v>
      </c>
      <c r="AV703" s="30" t="s">
        <v>68</v>
      </c>
      <c r="AW703" s="11" t="s">
        <v>68</v>
      </c>
      <c r="AX703" s="223" t="s">
        <v>68</v>
      </c>
      <c r="AY703" s="52" t="s">
        <v>68</v>
      </c>
      <c r="AZ703" s="30" t="s">
        <v>68</v>
      </c>
      <c r="BA703" s="5"/>
      <c r="BB703" s="5"/>
      <c r="BC703" s="11"/>
      <c r="BD703" s="30" t="s">
        <v>68</v>
      </c>
      <c r="BE703" s="309"/>
      <c r="BF703" s="5"/>
      <c r="BG703" s="5"/>
      <c r="BH703" s="5"/>
      <c r="BI703" s="36"/>
      <c r="BJ703" s="13" t="s">
        <v>68</v>
      </c>
      <c r="BK703" s="352"/>
      <c r="BL703" s="913" t="s">
        <v>68</v>
      </c>
      <c r="BM703" s="912" t="s">
        <v>68</v>
      </c>
      <c r="BN703" s="912" t="s">
        <v>68</v>
      </c>
      <c r="BO703" s="1392" t="s">
        <v>68</v>
      </c>
      <c r="BP703" s="1392" t="s">
        <v>68</v>
      </c>
      <c r="BQ703" s="1392" t="s">
        <v>68</v>
      </c>
      <c r="BR703" s="1392" t="s">
        <v>68</v>
      </c>
      <c r="BS703" s="1392" t="s">
        <v>68</v>
      </c>
      <c r="BT703" s="1392" t="s">
        <v>68</v>
      </c>
      <c r="BU703" s="1392" t="s">
        <v>68</v>
      </c>
      <c r="BV703" s="913" t="s">
        <v>68</v>
      </c>
      <c r="BW703" s="13"/>
      <c r="BX703" s="22"/>
      <c r="BY703" s="22"/>
      <c r="BZ703" s="22"/>
      <c r="CA703" s="22"/>
      <c r="CB703" s="1222" t="s">
        <v>3944</v>
      </c>
      <c r="CC703" s="859"/>
      <c r="CD703" s="526"/>
      <c r="CE703" s="526"/>
      <c r="CF703" s="526"/>
      <c r="CG703" s="526"/>
      <c r="CH703" s="526"/>
      <c r="CI703" s="526"/>
      <c r="CJ703" s="526"/>
      <c r="CK703" s="15"/>
    </row>
    <row r="704" spans="2:89" ht="105" hidden="1" customHeight="1">
      <c r="B704" s="22"/>
      <c r="C704" s="122"/>
      <c r="D704" s="22"/>
      <c r="E704" s="911"/>
      <c r="F704" s="911"/>
      <c r="G704" s="915"/>
      <c r="H704" s="1746" t="s">
        <v>6311</v>
      </c>
      <c r="I704" s="330"/>
      <c r="J704" s="169">
        <v>2023</v>
      </c>
      <c r="K704" s="1417">
        <v>233003</v>
      </c>
      <c r="L704" s="1417"/>
      <c r="M704" s="170" t="s">
        <v>166</v>
      </c>
      <c r="N704" s="178" t="s">
        <v>4857</v>
      </c>
      <c r="O704" s="172" t="s">
        <v>46</v>
      </c>
      <c r="P704" s="173" t="s">
        <v>5584</v>
      </c>
      <c r="Q704" s="173" t="s">
        <v>2575</v>
      </c>
      <c r="R704" s="174">
        <f>51450*1.16</f>
        <v>59681.999999999993</v>
      </c>
      <c r="S704" s="175">
        <v>44956</v>
      </c>
      <c r="T704" s="176">
        <v>44958</v>
      </c>
      <c r="U704" s="177">
        <v>44985</v>
      </c>
      <c r="V704" s="105" t="s">
        <v>68</v>
      </c>
      <c r="W704" s="178" t="s">
        <v>4866</v>
      </c>
      <c r="X704" s="170" t="s">
        <v>70</v>
      </c>
      <c r="Y704" s="200" t="s">
        <v>68</v>
      </c>
      <c r="Z704" s="368" t="s">
        <v>68</v>
      </c>
      <c r="AA704" s="33"/>
      <c r="AB704" s="8"/>
      <c r="AC704" s="4"/>
      <c r="AD704" s="4"/>
      <c r="AE704" s="32"/>
      <c r="AF704" s="34" t="s">
        <v>68</v>
      </c>
      <c r="AG704" s="112" t="s">
        <v>68</v>
      </c>
      <c r="AH704" s="112" t="s">
        <v>68</v>
      </c>
      <c r="AI704" s="7" t="s">
        <v>68</v>
      </c>
      <c r="AJ704" s="109" t="s">
        <v>68</v>
      </c>
      <c r="AK704" s="33" t="s">
        <v>68</v>
      </c>
      <c r="AL704" s="1" t="s">
        <v>68</v>
      </c>
      <c r="AM704" s="5"/>
      <c r="AN704" s="1" t="s">
        <v>68</v>
      </c>
      <c r="AO704" s="5"/>
      <c r="AP704" s="1" t="s">
        <v>68</v>
      </c>
      <c r="AQ704" s="5"/>
      <c r="AR704" s="279"/>
      <c r="AS704" s="35">
        <v>0</v>
      </c>
      <c r="AT704" s="895">
        <v>0</v>
      </c>
      <c r="AU704" s="884">
        <v>0</v>
      </c>
      <c r="AV704" s="30" t="s">
        <v>68</v>
      </c>
      <c r="AW704" s="11" t="s">
        <v>68</v>
      </c>
      <c r="AX704" s="223" t="s">
        <v>68</v>
      </c>
      <c r="AY704" s="52" t="s">
        <v>68</v>
      </c>
      <c r="AZ704" s="30" t="s">
        <v>68</v>
      </c>
      <c r="BA704" s="5"/>
      <c r="BB704" s="5"/>
      <c r="BC704" s="11"/>
      <c r="BD704" s="30" t="s">
        <v>68</v>
      </c>
      <c r="BE704" s="309"/>
      <c r="BF704" s="5"/>
      <c r="BG704" s="5"/>
      <c r="BH704" s="5"/>
      <c r="BI704" s="36"/>
      <c r="BJ704" s="13" t="s">
        <v>68</v>
      </c>
      <c r="BK704" s="352"/>
      <c r="BL704" s="913" t="s">
        <v>68</v>
      </c>
      <c r="BM704" s="912" t="s">
        <v>68</v>
      </c>
      <c r="BN704" s="912" t="s">
        <v>68</v>
      </c>
      <c r="BO704" s="1392" t="s">
        <v>68</v>
      </c>
      <c r="BP704" s="1392" t="s">
        <v>68</v>
      </c>
      <c r="BQ704" s="1392" t="s">
        <v>68</v>
      </c>
      <c r="BR704" s="1392" t="s">
        <v>68</v>
      </c>
      <c r="BS704" s="1392" t="s">
        <v>68</v>
      </c>
      <c r="BT704" s="1392" t="s">
        <v>68</v>
      </c>
      <c r="BU704" s="1392" t="s">
        <v>68</v>
      </c>
      <c r="BV704" s="913" t="s">
        <v>68</v>
      </c>
      <c r="BW704" s="13"/>
      <c r="BX704" s="22"/>
      <c r="BY704" s="22"/>
      <c r="BZ704" s="22"/>
      <c r="CA704" s="22"/>
      <c r="CB704" s="1222" t="s">
        <v>3944</v>
      </c>
      <c r="CC704" s="859"/>
      <c r="CD704" s="526"/>
      <c r="CE704" s="526"/>
      <c r="CF704" s="526"/>
      <c r="CG704" s="526"/>
      <c r="CH704" s="526"/>
      <c r="CI704" s="526"/>
      <c r="CJ704" s="526"/>
      <c r="CK704" s="15"/>
    </row>
    <row r="705" spans="2:89" ht="102.75" hidden="1" customHeight="1">
      <c r="B705" s="22"/>
      <c r="C705" s="122"/>
      <c r="D705" s="22"/>
      <c r="E705" s="911"/>
      <c r="F705" s="911"/>
      <c r="G705" s="915"/>
      <c r="H705" s="1746" t="s">
        <v>6311</v>
      </c>
      <c r="I705" s="330"/>
      <c r="J705" s="169">
        <v>2023</v>
      </c>
      <c r="K705" s="1417">
        <v>233004</v>
      </c>
      <c r="L705" s="1417"/>
      <c r="M705" s="170" t="s">
        <v>166</v>
      </c>
      <c r="N705" s="178" t="s">
        <v>4858</v>
      </c>
      <c r="O705" s="172" t="s">
        <v>46</v>
      </c>
      <c r="P705" s="173" t="s">
        <v>5585</v>
      </c>
      <c r="Q705" s="173" t="s">
        <v>2515</v>
      </c>
      <c r="R705" s="174">
        <f>550*1.16</f>
        <v>638</v>
      </c>
      <c r="S705" s="590">
        <v>44981</v>
      </c>
      <c r="T705" s="176">
        <v>44985</v>
      </c>
      <c r="U705" s="177">
        <v>44989</v>
      </c>
      <c r="V705" s="105" t="s">
        <v>68</v>
      </c>
      <c r="W705" s="178" t="s">
        <v>4362</v>
      </c>
      <c r="X705" s="170" t="s">
        <v>70</v>
      </c>
      <c r="Y705" s="200" t="s">
        <v>68</v>
      </c>
      <c r="Z705" s="368" t="s">
        <v>68</v>
      </c>
      <c r="AA705" s="33"/>
      <c r="AB705" s="8"/>
      <c r="AC705" s="4"/>
      <c r="AD705" s="4"/>
      <c r="AE705" s="32"/>
      <c r="AF705" s="34" t="s">
        <v>68</v>
      </c>
      <c r="AG705" s="112" t="s">
        <v>68</v>
      </c>
      <c r="AH705" s="112" t="s">
        <v>68</v>
      </c>
      <c r="AI705" s="7" t="s">
        <v>68</v>
      </c>
      <c r="AJ705" s="109" t="s">
        <v>68</v>
      </c>
      <c r="AK705" s="33" t="s">
        <v>68</v>
      </c>
      <c r="AL705" s="1" t="s">
        <v>68</v>
      </c>
      <c r="AM705" s="5"/>
      <c r="AN705" s="1" t="s">
        <v>68</v>
      </c>
      <c r="AO705" s="5"/>
      <c r="AP705" s="1" t="s">
        <v>68</v>
      </c>
      <c r="AQ705" s="5"/>
      <c r="AR705" s="279"/>
      <c r="AS705" s="35">
        <v>0</v>
      </c>
      <c r="AT705" s="895">
        <v>0</v>
      </c>
      <c r="AU705" s="884">
        <v>0</v>
      </c>
      <c r="AV705" s="30" t="s">
        <v>68</v>
      </c>
      <c r="AW705" s="11" t="s">
        <v>68</v>
      </c>
      <c r="AX705" s="223" t="s">
        <v>68</v>
      </c>
      <c r="AY705" s="52" t="s">
        <v>68</v>
      </c>
      <c r="AZ705" s="30" t="s">
        <v>68</v>
      </c>
      <c r="BA705" s="5"/>
      <c r="BB705" s="5"/>
      <c r="BC705" s="11"/>
      <c r="BD705" s="30" t="s">
        <v>68</v>
      </c>
      <c r="BE705" s="309"/>
      <c r="BF705" s="5"/>
      <c r="BG705" s="5"/>
      <c r="BH705" s="5"/>
      <c r="BI705" s="36"/>
      <c r="BJ705" s="13" t="s">
        <v>68</v>
      </c>
      <c r="BK705" s="352"/>
      <c r="BL705" s="913" t="s">
        <v>68</v>
      </c>
      <c r="BM705" s="912" t="s">
        <v>68</v>
      </c>
      <c r="BN705" s="912" t="s">
        <v>68</v>
      </c>
      <c r="BO705" s="1392" t="s">
        <v>68</v>
      </c>
      <c r="BP705" s="1392" t="s">
        <v>68</v>
      </c>
      <c r="BQ705" s="1392" t="s">
        <v>68</v>
      </c>
      <c r="BR705" s="1392" t="s">
        <v>68</v>
      </c>
      <c r="BS705" s="1392" t="s">
        <v>68</v>
      </c>
      <c r="BT705" s="1392" t="s">
        <v>68</v>
      </c>
      <c r="BU705" s="1392" t="s">
        <v>68</v>
      </c>
      <c r="BV705" s="913" t="s">
        <v>68</v>
      </c>
      <c r="BW705" s="13"/>
      <c r="BX705" s="22"/>
      <c r="BY705" s="22"/>
      <c r="BZ705" s="22"/>
      <c r="CA705" s="22"/>
      <c r="CB705" s="1222" t="s">
        <v>3944</v>
      </c>
      <c r="CC705" s="859"/>
      <c r="CD705" s="526"/>
      <c r="CE705" s="526"/>
      <c r="CF705" s="526"/>
      <c r="CG705" s="526"/>
      <c r="CH705" s="526"/>
      <c r="CI705" s="526"/>
      <c r="CJ705" s="526"/>
      <c r="CK705" s="15"/>
    </row>
    <row r="706" spans="2:89" ht="93" hidden="1" customHeight="1">
      <c r="B706" s="22"/>
      <c r="C706" s="122"/>
      <c r="D706" s="22"/>
      <c r="E706" s="911"/>
      <c r="F706" s="911"/>
      <c r="G706" s="915"/>
      <c r="H706" s="1746" t="s">
        <v>6311</v>
      </c>
      <c r="I706" s="330"/>
      <c r="J706" s="169">
        <v>2023</v>
      </c>
      <c r="K706" s="1417">
        <v>233005</v>
      </c>
      <c r="L706" s="1417"/>
      <c r="M706" s="170" t="s">
        <v>166</v>
      </c>
      <c r="N706" s="178" t="s">
        <v>4859</v>
      </c>
      <c r="O706" s="172" t="s">
        <v>46</v>
      </c>
      <c r="P706" s="173" t="s">
        <v>5586</v>
      </c>
      <c r="Q706" s="173" t="s">
        <v>2575</v>
      </c>
      <c r="R706" s="174">
        <f>25000*1.16</f>
        <v>28999.999999999996</v>
      </c>
      <c r="S706" s="590">
        <v>45037</v>
      </c>
      <c r="T706" s="176">
        <v>45039</v>
      </c>
      <c r="U706" s="177">
        <v>45069</v>
      </c>
      <c r="V706" s="105" t="s">
        <v>68</v>
      </c>
      <c r="W706" s="178" t="s">
        <v>1319</v>
      </c>
      <c r="X706" s="170" t="s">
        <v>70</v>
      </c>
      <c r="Y706" s="200" t="s">
        <v>68</v>
      </c>
      <c r="Z706" s="368" t="s">
        <v>68</v>
      </c>
      <c r="AA706" s="33"/>
      <c r="AB706" s="8"/>
      <c r="AC706" s="4"/>
      <c r="AD706" s="4"/>
      <c r="AE706" s="32"/>
      <c r="AF706" s="34" t="s">
        <v>68</v>
      </c>
      <c r="AG706" s="112" t="s">
        <v>68</v>
      </c>
      <c r="AH706" s="112" t="s">
        <v>68</v>
      </c>
      <c r="AI706" s="7" t="s">
        <v>68</v>
      </c>
      <c r="AJ706" s="109" t="s">
        <v>68</v>
      </c>
      <c r="AK706" s="33" t="s">
        <v>68</v>
      </c>
      <c r="AL706" s="1" t="s">
        <v>68</v>
      </c>
      <c r="AM706" s="5"/>
      <c r="AN706" s="1" t="s">
        <v>68</v>
      </c>
      <c r="AO706" s="5"/>
      <c r="AP706" s="1" t="s">
        <v>68</v>
      </c>
      <c r="AQ706" s="5"/>
      <c r="AR706" s="279"/>
      <c r="AS706" s="35">
        <v>0</v>
      </c>
      <c r="AT706" s="895">
        <v>0</v>
      </c>
      <c r="AU706" s="884">
        <v>0</v>
      </c>
      <c r="AV706" s="30" t="s">
        <v>68</v>
      </c>
      <c r="AW706" s="11" t="s">
        <v>68</v>
      </c>
      <c r="AX706" s="223" t="s">
        <v>68</v>
      </c>
      <c r="AY706" s="52" t="s">
        <v>68</v>
      </c>
      <c r="AZ706" s="30" t="s">
        <v>68</v>
      </c>
      <c r="BA706" s="5"/>
      <c r="BB706" s="5"/>
      <c r="BC706" s="11"/>
      <c r="BD706" s="30" t="s">
        <v>68</v>
      </c>
      <c r="BE706" s="309"/>
      <c r="BF706" s="5"/>
      <c r="BG706" s="5"/>
      <c r="BH706" s="5"/>
      <c r="BI706" s="36"/>
      <c r="BJ706" s="13" t="s">
        <v>68</v>
      </c>
      <c r="BK706" s="352"/>
      <c r="BL706" s="913" t="s">
        <v>68</v>
      </c>
      <c r="BM706" s="912" t="s">
        <v>68</v>
      </c>
      <c r="BN706" s="912" t="s">
        <v>68</v>
      </c>
      <c r="BO706" s="1392" t="s">
        <v>68</v>
      </c>
      <c r="BP706" s="1392" t="s">
        <v>68</v>
      </c>
      <c r="BQ706" s="1392" t="s">
        <v>68</v>
      </c>
      <c r="BR706" s="1392" t="s">
        <v>68</v>
      </c>
      <c r="BS706" s="1392" t="s">
        <v>68</v>
      </c>
      <c r="BT706" s="1392" t="s">
        <v>68</v>
      </c>
      <c r="BU706" s="1392" t="s">
        <v>68</v>
      </c>
      <c r="BV706" s="913" t="s">
        <v>68</v>
      </c>
      <c r="BW706" s="13"/>
      <c r="BX706" s="22"/>
      <c r="BY706" s="22"/>
      <c r="BZ706" s="22"/>
      <c r="CA706" s="22"/>
      <c r="CB706" s="1222" t="s">
        <v>3944</v>
      </c>
      <c r="CC706" s="859"/>
      <c r="CD706" s="526"/>
      <c r="CE706" s="526"/>
      <c r="CF706" s="526"/>
      <c r="CG706" s="526"/>
      <c r="CH706" s="526"/>
      <c r="CI706" s="526"/>
      <c r="CJ706" s="526"/>
      <c r="CK706" s="15"/>
    </row>
    <row r="707" spans="2:89" ht="96.75" hidden="1" customHeight="1">
      <c r="B707" s="22"/>
      <c r="C707" s="122"/>
      <c r="D707" s="22"/>
      <c r="E707" s="911"/>
      <c r="F707" s="911"/>
      <c r="G707" s="915"/>
      <c r="H707" s="1746" t="s">
        <v>6311</v>
      </c>
      <c r="I707" s="330"/>
      <c r="J707" s="169">
        <v>2023</v>
      </c>
      <c r="K707" s="1417">
        <v>233006</v>
      </c>
      <c r="L707" s="1417"/>
      <c r="M707" s="170" t="s">
        <v>166</v>
      </c>
      <c r="N707" s="178" t="s">
        <v>4860</v>
      </c>
      <c r="O707" s="172" t="s">
        <v>46</v>
      </c>
      <c r="P707" s="173" t="s">
        <v>5588</v>
      </c>
      <c r="Q707" s="173" t="s">
        <v>2575</v>
      </c>
      <c r="R707" s="174">
        <f>51450*1.16</f>
        <v>59681.999999999993</v>
      </c>
      <c r="S707" s="590">
        <v>45015</v>
      </c>
      <c r="T707" s="176">
        <v>45017</v>
      </c>
      <c r="U707" s="177">
        <v>45046</v>
      </c>
      <c r="V707" s="105" t="s">
        <v>68</v>
      </c>
      <c r="W707" s="178" t="s">
        <v>4866</v>
      </c>
      <c r="X707" s="170" t="s">
        <v>70</v>
      </c>
      <c r="Y707" s="200" t="s">
        <v>68</v>
      </c>
      <c r="Z707" s="368" t="s">
        <v>68</v>
      </c>
      <c r="AA707" s="33"/>
      <c r="AB707" s="8"/>
      <c r="AC707" s="4"/>
      <c r="AD707" s="4"/>
      <c r="AE707" s="32"/>
      <c r="AF707" s="34" t="s">
        <v>68</v>
      </c>
      <c r="AG707" s="112" t="s">
        <v>68</v>
      </c>
      <c r="AH707" s="112" t="s">
        <v>68</v>
      </c>
      <c r="AI707" s="7" t="s">
        <v>68</v>
      </c>
      <c r="AJ707" s="109" t="s">
        <v>68</v>
      </c>
      <c r="AK707" s="33" t="s">
        <v>68</v>
      </c>
      <c r="AL707" s="1" t="s">
        <v>68</v>
      </c>
      <c r="AM707" s="5"/>
      <c r="AN707" s="1" t="s">
        <v>68</v>
      </c>
      <c r="AO707" s="5"/>
      <c r="AP707" s="1" t="s">
        <v>68</v>
      </c>
      <c r="AQ707" s="5"/>
      <c r="AR707" s="279"/>
      <c r="AS707" s="35">
        <v>0</v>
      </c>
      <c r="AT707" s="895">
        <v>0</v>
      </c>
      <c r="AU707" s="884">
        <v>0</v>
      </c>
      <c r="AV707" s="30" t="s">
        <v>68</v>
      </c>
      <c r="AW707" s="11" t="s">
        <v>68</v>
      </c>
      <c r="AX707" s="223" t="s">
        <v>68</v>
      </c>
      <c r="AY707" s="52" t="s">
        <v>68</v>
      </c>
      <c r="AZ707" s="30" t="s">
        <v>68</v>
      </c>
      <c r="BA707" s="5"/>
      <c r="BB707" s="5"/>
      <c r="BC707" s="11"/>
      <c r="BD707" s="30" t="s">
        <v>68</v>
      </c>
      <c r="BE707" s="309"/>
      <c r="BF707" s="5"/>
      <c r="BG707" s="5"/>
      <c r="BH707" s="5"/>
      <c r="BI707" s="36"/>
      <c r="BJ707" s="13" t="s">
        <v>68</v>
      </c>
      <c r="BK707" s="352"/>
      <c r="BL707" s="913" t="s">
        <v>68</v>
      </c>
      <c r="BM707" s="912" t="s">
        <v>68</v>
      </c>
      <c r="BN707" s="912" t="s">
        <v>68</v>
      </c>
      <c r="BO707" s="1392" t="s">
        <v>68</v>
      </c>
      <c r="BP707" s="1392" t="s">
        <v>68</v>
      </c>
      <c r="BQ707" s="1392" t="s">
        <v>68</v>
      </c>
      <c r="BR707" s="1392" t="s">
        <v>68</v>
      </c>
      <c r="BS707" s="1392" t="s">
        <v>68</v>
      </c>
      <c r="BT707" s="1392" t="s">
        <v>68</v>
      </c>
      <c r="BU707" s="1392" t="s">
        <v>68</v>
      </c>
      <c r="BV707" s="913" t="s">
        <v>68</v>
      </c>
      <c r="BW707" s="13"/>
      <c r="BX707" s="22"/>
      <c r="BY707" s="22"/>
      <c r="BZ707" s="22"/>
      <c r="CA707" s="22"/>
      <c r="CB707" s="1222" t="s">
        <v>3944</v>
      </c>
      <c r="CC707" s="859"/>
      <c r="CD707" s="526"/>
      <c r="CE707" s="526"/>
      <c r="CF707" s="526"/>
      <c r="CG707" s="526"/>
      <c r="CH707" s="526"/>
      <c r="CI707" s="526"/>
      <c r="CJ707" s="526"/>
      <c r="CK707" s="15"/>
    </row>
    <row r="708" spans="2:89" ht="79.5" hidden="1" customHeight="1">
      <c r="B708" s="22"/>
      <c r="C708" s="122"/>
      <c r="D708" s="22"/>
      <c r="E708" s="911"/>
      <c r="F708" s="911"/>
      <c r="G708" s="915"/>
      <c r="H708" s="1746" t="s">
        <v>6311</v>
      </c>
      <c r="I708" s="330"/>
      <c r="J708" s="169">
        <v>2023</v>
      </c>
      <c r="K708" s="1417">
        <v>233006.1</v>
      </c>
      <c r="L708" s="1417"/>
      <c r="M708" s="170" t="s">
        <v>166</v>
      </c>
      <c r="N708" s="178" t="s">
        <v>5550</v>
      </c>
      <c r="O708" s="172" t="s">
        <v>46</v>
      </c>
      <c r="P708" s="173" t="s">
        <v>5589</v>
      </c>
      <c r="Q708" s="173" t="s">
        <v>2575</v>
      </c>
      <c r="R708" s="174">
        <f>4094.83*1.16</f>
        <v>4750.0027999999993</v>
      </c>
      <c r="S708" s="590">
        <v>45033</v>
      </c>
      <c r="T708" s="176">
        <v>45033</v>
      </c>
      <c r="U708" s="177">
        <v>45094</v>
      </c>
      <c r="V708" s="105" t="s">
        <v>68</v>
      </c>
      <c r="W708" s="178" t="s">
        <v>5592</v>
      </c>
      <c r="X708" s="170" t="s">
        <v>1107</v>
      </c>
      <c r="Y708" s="200" t="s">
        <v>68</v>
      </c>
      <c r="Z708" s="368" t="s">
        <v>68</v>
      </c>
      <c r="AA708" s="33"/>
      <c r="AB708" s="8"/>
      <c r="AC708" s="4"/>
      <c r="AD708" s="4"/>
      <c r="AE708" s="32"/>
      <c r="AF708" s="34" t="s">
        <v>68</v>
      </c>
      <c r="AG708" s="112" t="s">
        <v>68</v>
      </c>
      <c r="AH708" s="112" t="s">
        <v>68</v>
      </c>
      <c r="AI708" s="7" t="s">
        <v>68</v>
      </c>
      <c r="AJ708" s="109" t="s">
        <v>68</v>
      </c>
      <c r="AK708" s="33" t="s">
        <v>68</v>
      </c>
      <c r="AL708" s="1" t="s">
        <v>68</v>
      </c>
      <c r="AM708" s="5"/>
      <c r="AN708" s="1" t="s">
        <v>68</v>
      </c>
      <c r="AO708" s="5"/>
      <c r="AP708" s="1" t="s">
        <v>68</v>
      </c>
      <c r="AQ708" s="5"/>
      <c r="AR708" s="279"/>
      <c r="AS708" s="35">
        <v>0</v>
      </c>
      <c r="AT708" s="895">
        <v>0</v>
      </c>
      <c r="AU708" s="884">
        <v>0</v>
      </c>
      <c r="AV708" s="30" t="s">
        <v>68</v>
      </c>
      <c r="AW708" s="11" t="s">
        <v>68</v>
      </c>
      <c r="AX708" s="223" t="s">
        <v>68</v>
      </c>
      <c r="AY708" s="52" t="s">
        <v>68</v>
      </c>
      <c r="AZ708" s="30" t="s">
        <v>68</v>
      </c>
      <c r="BA708" s="5"/>
      <c r="BB708" s="5"/>
      <c r="BC708" s="11"/>
      <c r="BD708" s="30" t="s">
        <v>68</v>
      </c>
      <c r="BE708" s="309"/>
      <c r="BF708" s="5"/>
      <c r="BG708" s="5"/>
      <c r="BH708" s="5"/>
      <c r="BI708" s="36"/>
      <c r="BJ708" s="13" t="s">
        <v>68</v>
      </c>
      <c r="BK708" s="352"/>
      <c r="BL708" s="913" t="s">
        <v>68</v>
      </c>
      <c r="BM708" s="912" t="s">
        <v>68</v>
      </c>
      <c r="BN708" s="912" t="s">
        <v>68</v>
      </c>
      <c r="BO708" s="1392" t="s">
        <v>68</v>
      </c>
      <c r="BP708" s="1392" t="s">
        <v>68</v>
      </c>
      <c r="BQ708" s="1392" t="s">
        <v>68</v>
      </c>
      <c r="BR708" s="1392" t="s">
        <v>68</v>
      </c>
      <c r="BS708" s="1392" t="s">
        <v>68</v>
      </c>
      <c r="BT708" s="1392" t="s">
        <v>68</v>
      </c>
      <c r="BU708" s="1392" t="s">
        <v>68</v>
      </c>
      <c r="BV708" s="913" t="s">
        <v>68</v>
      </c>
      <c r="BW708" s="13"/>
      <c r="BX708" s="22"/>
      <c r="BY708" s="22"/>
      <c r="BZ708" s="22"/>
      <c r="CA708" s="22"/>
      <c r="CB708" s="1222" t="s">
        <v>3944</v>
      </c>
      <c r="CC708" s="859"/>
      <c r="CD708" s="526"/>
      <c r="CE708" s="526"/>
      <c r="CF708" s="526"/>
      <c r="CG708" s="526"/>
      <c r="CH708" s="526"/>
      <c r="CI708" s="526"/>
      <c r="CJ708" s="526"/>
      <c r="CK708" s="15"/>
    </row>
    <row r="709" spans="2:89" ht="76.5" hidden="1" customHeight="1">
      <c r="B709" s="22"/>
      <c r="C709" s="122"/>
      <c r="D709" s="22"/>
      <c r="E709" s="911"/>
      <c r="F709" s="911"/>
      <c r="G709" s="915"/>
      <c r="H709" s="1746" t="s">
        <v>6311</v>
      </c>
      <c r="I709" s="330"/>
      <c r="J709" s="169">
        <v>2023</v>
      </c>
      <c r="K709" s="1417">
        <v>233006.2</v>
      </c>
      <c r="L709" s="1417"/>
      <c r="M709" s="170" t="s">
        <v>166</v>
      </c>
      <c r="N709" s="178" t="s">
        <v>5551</v>
      </c>
      <c r="O709" s="172" t="s">
        <v>46</v>
      </c>
      <c r="P709" s="173" t="s">
        <v>5593</v>
      </c>
      <c r="Q709" s="173" t="s">
        <v>2575</v>
      </c>
      <c r="R709" s="174">
        <f>1637.93*1.16</f>
        <v>1899.9987999999998</v>
      </c>
      <c r="S709" s="590">
        <v>45033</v>
      </c>
      <c r="T709" s="176">
        <v>45033</v>
      </c>
      <c r="U709" s="177">
        <v>45094</v>
      </c>
      <c r="V709" s="105" t="s">
        <v>68</v>
      </c>
      <c r="W709" s="178" t="s">
        <v>5592</v>
      </c>
      <c r="X709" s="170" t="s">
        <v>1107</v>
      </c>
      <c r="Y709" s="200" t="s">
        <v>68</v>
      </c>
      <c r="Z709" s="368" t="s">
        <v>68</v>
      </c>
      <c r="AA709" s="33"/>
      <c r="AB709" s="8"/>
      <c r="AC709" s="4"/>
      <c r="AD709" s="4"/>
      <c r="AE709" s="32"/>
      <c r="AF709" s="34" t="s">
        <v>68</v>
      </c>
      <c r="AG709" s="112" t="s">
        <v>68</v>
      </c>
      <c r="AH709" s="112" t="s">
        <v>68</v>
      </c>
      <c r="AI709" s="7" t="s">
        <v>68</v>
      </c>
      <c r="AJ709" s="109" t="s">
        <v>68</v>
      </c>
      <c r="AK709" s="33" t="s">
        <v>68</v>
      </c>
      <c r="AL709" s="1" t="s">
        <v>68</v>
      </c>
      <c r="AM709" s="5"/>
      <c r="AN709" s="1" t="s">
        <v>68</v>
      </c>
      <c r="AO709" s="5"/>
      <c r="AP709" s="1" t="s">
        <v>68</v>
      </c>
      <c r="AQ709" s="5"/>
      <c r="AR709" s="279"/>
      <c r="AS709" s="35">
        <v>0</v>
      </c>
      <c r="AT709" s="895">
        <v>0</v>
      </c>
      <c r="AU709" s="884">
        <v>0</v>
      </c>
      <c r="AV709" s="30" t="s">
        <v>68</v>
      </c>
      <c r="AW709" s="11" t="s">
        <v>68</v>
      </c>
      <c r="AX709" s="223" t="s">
        <v>68</v>
      </c>
      <c r="AY709" s="52" t="s">
        <v>68</v>
      </c>
      <c r="AZ709" s="30" t="s">
        <v>68</v>
      </c>
      <c r="BA709" s="5"/>
      <c r="BB709" s="5"/>
      <c r="BC709" s="11"/>
      <c r="BD709" s="30" t="s">
        <v>68</v>
      </c>
      <c r="BE709" s="309"/>
      <c r="BF709" s="5"/>
      <c r="BG709" s="5"/>
      <c r="BH709" s="5"/>
      <c r="BI709" s="36"/>
      <c r="BJ709" s="13" t="s">
        <v>68</v>
      </c>
      <c r="BK709" s="352"/>
      <c r="BL709" s="913" t="s">
        <v>68</v>
      </c>
      <c r="BM709" s="912" t="s">
        <v>68</v>
      </c>
      <c r="BN709" s="912" t="s">
        <v>68</v>
      </c>
      <c r="BO709" s="1392" t="s">
        <v>68</v>
      </c>
      <c r="BP709" s="1392" t="s">
        <v>68</v>
      </c>
      <c r="BQ709" s="1392" t="s">
        <v>68</v>
      </c>
      <c r="BR709" s="1392" t="s">
        <v>68</v>
      </c>
      <c r="BS709" s="1392" t="s">
        <v>68</v>
      </c>
      <c r="BT709" s="1392" t="s">
        <v>68</v>
      </c>
      <c r="BU709" s="1392" t="s">
        <v>68</v>
      </c>
      <c r="BV709" s="913" t="s">
        <v>68</v>
      </c>
      <c r="BW709" s="13"/>
      <c r="BX709" s="22"/>
      <c r="BY709" s="22"/>
      <c r="BZ709" s="22"/>
      <c r="CA709" s="22"/>
      <c r="CB709" s="1222" t="s">
        <v>3944</v>
      </c>
      <c r="CC709" s="859"/>
      <c r="CD709" s="526"/>
      <c r="CE709" s="526"/>
      <c r="CF709" s="526"/>
      <c r="CG709" s="526"/>
      <c r="CH709" s="526"/>
      <c r="CI709" s="526"/>
      <c r="CJ709" s="526"/>
      <c r="CK709" s="15"/>
    </row>
    <row r="710" spans="2:89" ht="131.25" hidden="1" customHeight="1">
      <c r="B710" s="22"/>
      <c r="C710" s="122"/>
      <c r="D710" s="22"/>
      <c r="E710" s="911"/>
      <c r="F710" s="911"/>
      <c r="G710" s="915"/>
      <c r="H710" s="1746" t="s">
        <v>6311</v>
      </c>
      <c r="I710" s="330"/>
      <c r="J710" s="169">
        <v>2023</v>
      </c>
      <c r="K710" s="1417">
        <v>233007</v>
      </c>
      <c r="L710" s="1417"/>
      <c r="M710" s="170" t="s">
        <v>166</v>
      </c>
      <c r="N710" s="178" t="s">
        <v>4861</v>
      </c>
      <c r="O710" s="172" t="s">
        <v>46</v>
      </c>
      <c r="P710" s="173" t="s">
        <v>5594</v>
      </c>
      <c r="Q710" s="173" t="s">
        <v>2575</v>
      </c>
      <c r="R710" s="174">
        <f>4500*1.16</f>
        <v>5220</v>
      </c>
      <c r="S710" s="590">
        <v>45034</v>
      </c>
      <c r="T710" s="176">
        <v>45036</v>
      </c>
      <c r="U710" s="177">
        <v>45066</v>
      </c>
      <c r="V710" s="105" t="s">
        <v>68</v>
      </c>
      <c r="W710" s="178" t="s">
        <v>4362</v>
      </c>
      <c r="X710" s="170" t="s">
        <v>70</v>
      </c>
      <c r="Y710" s="200" t="s">
        <v>68</v>
      </c>
      <c r="Z710" s="368" t="s">
        <v>68</v>
      </c>
      <c r="AA710" s="33"/>
      <c r="AB710" s="8"/>
      <c r="AC710" s="4"/>
      <c r="AD710" s="4"/>
      <c r="AE710" s="32"/>
      <c r="AF710" s="34" t="s">
        <v>68</v>
      </c>
      <c r="AG710" s="112" t="s">
        <v>68</v>
      </c>
      <c r="AH710" s="112" t="s">
        <v>68</v>
      </c>
      <c r="AI710" s="7" t="s">
        <v>68</v>
      </c>
      <c r="AJ710" s="109" t="s">
        <v>68</v>
      </c>
      <c r="AK710" s="33" t="s">
        <v>68</v>
      </c>
      <c r="AL710" s="1" t="s">
        <v>68</v>
      </c>
      <c r="AM710" s="5"/>
      <c r="AN710" s="1" t="s">
        <v>68</v>
      </c>
      <c r="AO710" s="5"/>
      <c r="AP710" s="1" t="s">
        <v>68</v>
      </c>
      <c r="AQ710" s="5"/>
      <c r="AR710" s="279"/>
      <c r="AS710" s="35">
        <v>0</v>
      </c>
      <c r="AT710" s="895">
        <v>0</v>
      </c>
      <c r="AU710" s="884">
        <v>0</v>
      </c>
      <c r="AV710" s="30" t="s">
        <v>68</v>
      </c>
      <c r="AW710" s="11" t="s">
        <v>68</v>
      </c>
      <c r="AX710" s="223" t="s">
        <v>68</v>
      </c>
      <c r="AY710" s="52" t="s">
        <v>68</v>
      </c>
      <c r="AZ710" s="30" t="s">
        <v>68</v>
      </c>
      <c r="BA710" s="5"/>
      <c r="BB710" s="5"/>
      <c r="BC710" s="11"/>
      <c r="BD710" s="30" t="s">
        <v>68</v>
      </c>
      <c r="BE710" s="309"/>
      <c r="BF710" s="5"/>
      <c r="BG710" s="5"/>
      <c r="BH710" s="5"/>
      <c r="BI710" s="36"/>
      <c r="BJ710" s="13" t="s">
        <v>68</v>
      </c>
      <c r="BK710" s="352"/>
      <c r="BL710" s="913" t="s">
        <v>68</v>
      </c>
      <c r="BM710" s="912" t="s">
        <v>68</v>
      </c>
      <c r="BN710" s="912" t="s">
        <v>68</v>
      </c>
      <c r="BO710" s="1392" t="s">
        <v>68</v>
      </c>
      <c r="BP710" s="1392" t="s">
        <v>68</v>
      </c>
      <c r="BQ710" s="1392" t="s">
        <v>68</v>
      </c>
      <c r="BR710" s="1392" t="s">
        <v>68</v>
      </c>
      <c r="BS710" s="1392" t="s">
        <v>68</v>
      </c>
      <c r="BT710" s="1392" t="s">
        <v>68</v>
      </c>
      <c r="BU710" s="1392" t="s">
        <v>68</v>
      </c>
      <c r="BV710" s="913" t="s">
        <v>68</v>
      </c>
      <c r="BW710" s="13"/>
      <c r="BX710" s="22"/>
      <c r="BY710" s="22"/>
      <c r="BZ710" s="22"/>
      <c r="CA710" s="22"/>
      <c r="CB710" s="1222" t="s">
        <v>3944</v>
      </c>
      <c r="CC710" s="859"/>
      <c r="CD710" s="526"/>
      <c r="CE710" s="526"/>
      <c r="CF710" s="526"/>
      <c r="CG710" s="526"/>
      <c r="CH710" s="526"/>
      <c r="CI710" s="526"/>
      <c r="CJ710" s="526"/>
      <c r="CK710" s="15"/>
    </row>
    <row r="711" spans="2:89" ht="138" hidden="1" customHeight="1">
      <c r="B711" s="22"/>
      <c r="C711" s="122"/>
      <c r="D711" s="22"/>
      <c r="E711" s="911"/>
      <c r="F711" s="911"/>
      <c r="G711" s="915"/>
      <c r="H711" s="1746" t="s">
        <v>6311</v>
      </c>
      <c r="I711" s="330"/>
      <c r="J711" s="169">
        <v>2023</v>
      </c>
      <c r="K711" s="1417">
        <v>233008</v>
      </c>
      <c r="L711" s="1417"/>
      <c r="M711" s="170" t="s">
        <v>166</v>
      </c>
      <c r="N711" s="178" t="s">
        <v>4862</v>
      </c>
      <c r="O711" s="172" t="s">
        <v>46</v>
      </c>
      <c r="P711" s="173" t="s">
        <v>5595</v>
      </c>
      <c r="Q711" s="173" t="s">
        <v>1975</v>
      </c>
      <c r="R711" s="174">
        <f>4500*1.16</f>
        <v>5220</v>
      </c>
      <c r="S711" s="590">
        <v>45034</v>
      </c>
      <c r="T711" s="176">
        <v>45036</v>
      </c>
      <c r="U711" s="177">
        <v>45066</v>
      </c>
      <c r="V711" s="105" t="s">
        <v>68</v>
      </c>
      <c r="W711" s="178" t="s">
        <v>4362</v>
      </c>
      <c r="X711" s="170" t="s">
        <v>70</v>
      </c>
      <c r="Y711" s="200" t="s">
        <v>68</v>
      </c>
      <c r="Z711" s="368" t="s">
        <v>68</v>
      </c>
      <c r="AA711" s="33"/>
      <c r="AB711" s="8"/>
      <c r="AC711" s="4"/>
      <c r="AD711" s="4"/>
      <c r="AE711" s="32"/>
      <c r="AF711" s="34" t="s">
        <v>68</v>
      </c>
      <c r="AG711" s="112" t="s">
        <v>68</v>
      </c>
      <c r="AH711" s="112" t="s">
        <v>68</v>
      </c>
      <c r="AI711" s="7" t="s">
        <v>68</v>
      </c>
      <c r="AJ711" s="109" t="s">
        <v>68</v>
      </c>
      <c r="AK711" s="33" t="s">
        <v>68</v>
      </c>
      <c r="AL711" s="1" t="s">
        <v>68</v>
      </c>
      <c r="AM711" s="5"/>
      <c r="AN711" s="1" t="s">
        <v>68</v>
      </c>
      <c r="AO711" s="5"/>
      <c r="AP711" s="1" t="s">
        <v>68</v>
      </c>
      <c r="AQ711" s="5"/>
      <c r="AR711" s="279"/>
      <c r="AS711" s="35">
        <v>0</v>
      </c>
      <c r="AT711" s="895">
        <v>0</v>
      </c>
      <c r="AU711" s="884">
        <v>0</v>
      </c>
      <c r="AV711" s="30" t="s">
        <v>68</v>
      </c>
      <c r="AW711" s="11" t="s">
        <v>68</v>
      </c>
      <c r="AX711" s="223" t="s">
        <v>68</v>
      </c>
      <c r="AY711" s="52" t="s">
        <v>68</v>
      </c>
      <c r="AZ711" s="30" t="s">
        <v>68</v>
      </c>
      <c r="BA711" s="5"/>
      <c r="BB711" s="5"/>
      <c r="BC711" s="11"/>
      <c r="BD711" s="30" t="s">
        <v>68</v>
      </c>
      <c r="BE711" s="309"/>
      <c r="BF711" s="5"/>
      <c r="BG711" s="5"/>
      <c r="BH711" s="5"/>
      <c r="BI711" s="36"/>
      <c r="BJ711" s="13" t="s">
        <v>68</v>
      </c>
      <c r="BK711" s="352"/>
      <c r="BL711" s="913" t="s">
        <v>68</v>
      </c>
      <c r="BM711" s="912" t="s">
        <v>68</v>
      </c>
      <c r="BN711" s="912" t="s">
        <v>68</v>
      </c>
      <c r="BO711" s="1392" t="s">
        <v>68</v>
      </c>
      <c r="BP711" s="1392" t="s">
        <v>68</v>
      </c>
      <c r="BQ711" s="1392" t="s">
        <v>68</v>
      </c>
      <c r="BR711" s="1392" t="s">
        <v>68</v>
      </c>
      <c r="BS711" s="1392" t="s">
        <v>68</v>
      </c>
      <c r="BT711" s="1392" t="s">
        <v>68</v>
      </c>
      <c r="BU711" s="1392" t="s">
        <v>68</v>
      </c>
      <c r="BV711" s="913" t="s">
        <v>68</v>
      </c>
      <c r="BW711" s="13"/>
      <c r="BX711" s="22"/>
      <c r="BY711" s="22"/>
      <c r="BZ711" s="22"/>
      <c r="CA711" s="22"/>
      <c r="CB711" s="1222" t="s">
        <v>3944</v>
      </c>
      <c r="CC711" s="859"/>
      <c r="CD711" s="526"/>
      <c r="CE711" s="526"/>
      <c r="CF711" s="526"/>
      <c r="CG711" s="526"/>
      <c r="CH711" s="526"/>
      <c r="CI711" s="526"/>
      <c r="CJ711" s="526"/>
      <c r="CK711" s="15"/>
    </row>
    <row r="712" spans="2:89" ht="134.25" hidden="1" customHeight="1">
      <c r="B712" s="22"/>
      <c r="C712" s="122"/>
      <c r="D712" s="22"/>
      <c r="E712" s="911"/>
      <c r="F712" s="911"/>
      <c r="G712" s="915"/>
      <c r="H712" s="1746" t="s">
        <v>6311</v>
      </c>
      <c r="I712" s="330"/>
      <c r="J712" s="169">
        <v>2023</v>
      </c>
      <c r="K712" s="1417">
        <v>233009</v>
      </c>
      <c r="L712" s="1417"/>
      <c r="M712" s="170" t="s">
        <v>166</v>
      </c>
      <c r="N712" s="178" t="s">
        <v>4863</v>
      </c>
      <c r="O712" s="172" t="s">
        <v>46</v>
      </c>
      <c r="P712" s="173" t="s">
        <v>5596</v>
      </c>
      <c r="Q712" s="173" t="s">
        <v>1975</v>
      </c>
      <c r="R712" s="174">
        <f>600*1.16</f>
        <v>696</v>
      </c>
      <c r="S712" s="590">
        <v>44972</v>
      </c>
      <c r="T712" s="176">
        <v>44974</v>
      </c>
      <c r="U712" s="177">
        <v>44976</v>
      </c>
      <c r="V712" s="105" t="s">
        <v>68</v>
      </c>
      <c r="W712" s="178" t="s">
        <v>4362</v>
      </c>
      <c r="X712" s="170" t="s">
        <v>70</v>
      </c>
      <c r="Y712" s="200" t="s">
        <v>68</v>
      </c>
      <c r="Z712" s="368" t="s">
        <v>68</v>
      </c>
      <c r="AA712" s="33"/>
      <c r="AB712" s="8"/>
      <c r="AC712" s="4"/>
      <c r="AD712" s="4"/>
      <c r="AE712" s="32"/>
      <c r="AF712" s="34" t="s">
        <v>68</v>
      </c>
      <c r="AG712" s="112" t="s">
        <v>68</v>
      </c>
      <c r="AH712" s="112" t="s">
        <v>68</v>
      </c>
      <c r="AI712" s="7" t="s">
        <v>68</v>
      </c>
      <c r="AJ712" s="109" t="s">
        <v>68</v>
      </c>
      <c r="AK712" s="33" t="s">
        <v>68</v>
      </c>
      <c r="AL712" s="1" t="s">
        <v>68</v>
      </c>
      <c r="AM712" s="5"/>
      <c r="AN712" s="1" t="s">
        <v>68</v>
      </c>
      <c r="AO712" s="5"/>
      <c r="AP712" s="1" t="s">
        <v>68</v>
      </c>
      <c r="AQ712" s="5"/>
      <c r="AR712" s="279"/>
      <c r="AS712" s="35">
        <v>0</v>
      </c>
      <c r="AT712" s="895">
        <v>0</v>
      </c>
      <c r="AU712" s="884">
        <v>0</v>
      </c>
      <c r="AV712" s="30" t="s">
        <v>68</v>
      </c>
      <c r="AW712" s="11" t="s">
        <v>68</v>
      </c>
      <c r="AX712" s="223" t="s">
        <v>68</v>
      </c>
      <c r="AY712" s="52" t="s">
        <v>68</v>
      </c>
      <c r="AZ712" s="30" t="s">
        <v>68</v>
      </c>
      <c r="BA712" s="5"/>
      <c r="BB712" s="5"/>
      <c r="BC712" s="11"/>
      <c r="BD712" s="30" t="s">
        <v>68</v>
      </c>
      <c r="BE712" s="309"/>
      <c r="BF712" s="5"/>
      <c r="BG712" s="5"/>
      <c r="BH712" s="5"/>
      <c r="BI712" s="36"/>
      <c r="BJ712" s="13" t="s">
        <v>68</v>
      </c>
      <c r="BK712" s="352"/>
      <c r="BL712" s="913" t="s">
        <v>68</v>
      </c>
      <c r="BM712" s="912" t="s">
        <v>68</v>
      </c>
      <c r="BN712" s="912" t="s">
        <v>68</v>
      </c>
      <c r="BO712" s="1392" t="s">
        <v>68</v>
      </c>
      <c r="BP712" s="1392" t="s">
        <v>68</v>
      </c>
      <c r="BQ712" s="1392" t="s">
        <v>68</v>
      </c>
      <c r="BR712" s="1392" t="s">
        <v>68</v>
      </c>
      <c r="BS712" s="1392" t="s">
        <v>68</v>
      </c>
      <c r="BT712" s="1392" t="s">
        <v>68</v>
      </c>
      <c r="BU712" s="1392" t="s">
        <v>68</v>
      </c>
      <c r="BV712" s="913" t="s">
        <v>68</v>
      </c>
      <c r="BW712" s="13"/>
      <c r="BX712" s="22"/>
      <c r="BY712" s="22"/>
      <c r="BZ712" s="22"/>
      <c r="CA712" s="22"/>
      <c r="CB712" s="1222" t="s">
        <v>3944</v>
      </c>
      <c r="CC712" s="859"/>
      <c r="CD712" s="526"/>
      <c r="CE712" s="526"/>
      <c r="CF712" s="526"/>
      <c r="CG712" s="526"/>
      <c r="CH712" s="526"/>
      <c r="CI712" s="526"/>
      <c r="CJ712" s="526"/>
      <c r="CK712" s="15"/>
    </row>
    <row r="713" spans="2:89" ht="138" hidden="1" customHeight="1">
      <c r="B713" s="22"/>
      <c r="C713" s="122"/>
      <c r="D713" s="22"/>
      <c r="E713" s="911"/>
      <c r="F713" s="911"/>
      <c r="G713" s="915"/>
      <c r="H713" s="1746" t="s">
        <v>6311</v>
      </c>
      <c r="I713" s="330"/>
      <c r="J713" s="169">
        <v>2023</v>
      </c>
      <c r="K713" s="1417">
        <v>233010</v>
      </c>
      <c r="L713" s="1417"/>
      <c r="M713" s="170" t="s">
        <v>166</v>
      </c>
      <c r="N713" s="178" t="s">
        <v>4864</v>
      </c>
      <c r="O713" s="172" t="s">
        <v>46</v>
      </c>
      <c r="P713" s="173" t="s">
        <v>5597</v>
      </c>
      <c r="Q713" s="173" t="s">
        <v>1975</v>
      </c>
      <c r="R713" s="174">
        <f>650*1.16</f>
        <v>754</v>
      </c>
      <c r="S713" s="590">
        <v>44966</v>
      </c>
      <c r="T713" s="176">
        <v>44970</v>
      </c>
      <c r="U713" s="177">
        <v>44976</v>
      </c>
      <c r="V713" s="105" t="s">
        <v>68</v>
      </c>
      <c r="W713" s="178" t="s">
        <v>4362</v>
      </c>
      <c r="X713" s="170" t="s">
        <v>70</v>
      </c>
      <c r="Y713" s="200" t="s">
        <v>68</v>
      </c>
      <c r="Z713" s="368" t="s">
        <v>68</v>
      </c>
      <c r="AA713" s="33"/>
      <c r="AB713" s="8"/>
      <c r="AC713" s="4"/>
      <c r="AD713" s="4"/>
      <c r="AE713" s="32"/>
      <c r="AF713" s="34" t="s">
        <v>68</v>
      </c>
      <c r="AG713" s="112" t="s">
        <v>68</v>
      </c>
      <c r="AH713" s="112" t="s">
        <v>68</v>
      </c>
      <c r="AI713" s="7" t="s">
        <v>68</v>
      </c>
      <c r="AJ713" s="109" t="s">
        <v>68</v>
      </c>
      <c r="AK713" s="33" t="s">
        <v>68</v>
      </c>
      <c r="AL713" s="1" t="s">
        <v>68</v>
      </c>
      <c r="AM713" s="5"/>
      <c r="AN713" s="1" t="s">
        <v>68</v>
      </c>
      <c r="AO713" s="5"/>
      <c r="AP713" s="1" t="s">
        <v>68</v>
      </c>
      <c r="AQ713" s="5"/>
      <c r="AR713" s="279"/>
      <c r="AS713" s="35">
        <v>0</v>
      </c>
      <c r="AT713" s="895">
        <v>0</v>
      </c>
      <c r="AU713" s="884">
        <v>0</v>
      </c>
      <c r="AV713" s="30" t="s">
        <v>68</v>
      </c>
      <c r="AW713" s="11" t="s">
        <v>68</v>
      </c>
      <c r="AX713" s="223" t="s">
        <v>68</v>
      </c>
      <c r="AY713" s="52" t="s">
        <v>68</v>
      </c>
      <c r="AZ713" s="30" t="s">
        <v>68</v>
      </c>
      <c r="BA713" s="5"/>
      <c r="BB713" s="5"/>
      <c r="BC713" s="11"/>
      <c r="BD713" s="30" t="s">
        <v>68</v>
      </c>
      <c r="BE713" s="309"/>
      <c r="BF713" s="5"/>
      <c r="BG713" s="5"/>
      <c r="BH713" s="5"/>
      <c r="BI713" s="36"/>
      <c r="BJ713" s="13" t="s">
        <v>68</v>
      </c>
      <c r="BK713" s="352"/>
      <c r="BL713" s="913" t="s">
        <v>68</v>
      </c>
      <c r="BM713" s="912" t="s">
        <v>68</v>
      </c>
      <c r="BN713" s="912" t="s">
        <v>68</v>
      </c>
      <c r="BO713" s="1392" t="s">
        <v>68</v>
      </c>
      <c r="BP713" s="1392" t="s">
        <v>68</v>
      </c>
      <c r="BQ713" s="1392" t="s">
        <v>68</v>
      </c>
      <c r="BR713" s="1392" t="s">
        <v>68</v>
      </c>
      <c r="BS713" s="1392" t="s">
        <v>68</v>
      </c>
      <c r="BT713" s="1392" t="s">
        <v>68</v>
      </c>
      <c r="BU713" s="1392" t="s">
        <v>68</v>
      </c>
      <c r="BV713" s="913" t="s">
        <v>68</v>
      </c>
      <c r="BW713" s="13"/>
      <c r="BX713" s="22"/>
      <c r="BY713" s="22"/>
      <c r="BZ713" s="22"/>
      <c r="CA713" s="22"/>
      <c r="CB713" s="1222" t="s">
        <v>3944</v>
      </c>
      <c r="CC713" s="859"/>
      <c r="CD713" s="526"/>
      <c r="CE713" s="526"/>
      <c r="CF713" s="526"/>
      <c r="CG713" s="526"/>
      <c r="CH713" s="526"/>
      <c r="CI713" s="526"/>
      <c r="CJ713" s="526"/>
      <c r="CK713" s="15"/>
    </row>
    <row r="714" spans="2:89" ht="149.25" hidden="1" customHeight="1">
      <c r="B714" s="22"/>
      <c r="C714" s="122"/>
      <c r="D714" s="22"/>
      <c r="E714" s="911"/>
      <c r="F714" s="911"/>
      <c r="G714" s="915"/>
      <c r="H714" s="1746" t="s">
        <v>6311</v>
      </c>
      <c r="I714" s="330"/>
      <c r="J714" s="169">
        <v>2023</v>
      </c>
      <c r="K714" s="1417">
        <v>233011</v>
      </c>
      <c r="L714" s="1417"/>
      <c r="M714" s="170" t="s">
        <v>166</v>
      </c>
      <c r="N714" s="178" t="s">
        <v>5552</v>
      </c>
      <c r="O714" s="172" t="s">
        <v>46</v>
      </c>
      <c r="P714" s="173" t="s">
        <v>5598</v>
      </c>
      <c r="Q714" s="173" t="s">
        <v>1975</v>
      </c>
      <c r="R714" s="174">
        <f>880*1.16</f>
        <v>1020.8</v>
      </c>
      <c r="S714" s="590">
        <v>44966</v>
      </c>
      <c r="T714" s="176">
        <v>44970</v>
      </c>
      <c r="U714" s="177">
        <v>44977</v>
      </c>
      <c r="V714" s="105" t="s">
        <v>68</v>
      </c>
      <c r="W714" s="178" t="s">
        <v>4362</v>
      </c>
      <c r="X714" s="170" t="s">
        <v>70</v>
      </c>
      <c r="Y714" s="200" t="s">
        <v>68</v>
      </c>
      <c r="Z714" s="368" t="s">
        <v>68</v>
      </c>
      <c r="AA714" s="33"/>
      <c r="AB714" s="8"/>
      <c r="AC714" s="4"/>
      <c r="AD714" s="4"/>
      <c r="AE714" s="32"/>
      <c r="AF714" s="34" t="s">
        <v>68</v>
      </c>
      <c r="AG714" s="112" t="s">
        <v>68</v>
      </c>
      <c r="AH714" s="112" t="s">
        <v>68</v>
      </c>
      <c r="AI714" s="7" t="s">
        <v>68</v>
      </c>
      <c r="AJ714" s="109" t="s">
        <v>68</v>
      </c>
      <c r="AK714" s="33" t="s">
        <v>68</v>
      </c>
      <c r="AL714" s="1" t="s">
        <v>68</v>
      </c>
      <c r="AM714" s="5"/>
      <c r="AN714" s="1" t="s">
        <v>68</v>
      </c>
      <c r="AO714" s="5"/>
      <c r="AP714" s="1" t="s">
        <v>68</v>
      </c>
      <c r="AQ714" s="5"/>
      <c r="AR714" s="279"/>
      <c r="AS714" s="35">
        <v>0</v>
      </c>
      <c r="AT714" s="895">
        <v>0</v>
      </c>
      <c r="AU714" s="884">
        <v>0</v>
      </c>
      <c r="AV714" s="30" t="s">
        <v>68</v>
      </c>
      <c r="AW714" s="11" t="s">
        <v>68</v>
      </c>
      <c r="AX714" s="223" t="s">
        <v>68</v>
      </c>
      <c r="AY714" s="52" t="s">
        <v>68</v>
      </c>
      <c r="AZ714" s="30" t="s">
        <v>68</v>
      </c>
      <c r="BA714" s="5"/>
      <c r="BB714" s="5"/>
      <c r="BC714" s="11"/>
      <c r="BD714" s="30" t="s">
        <v>68</v>
      </c>
      <c r="BE714" s="309"/>
      <c r="BF714" s="5"/>
      <c r="BG714" s="5"/>
      <c r="BH714" s="5"/>
      <c r="BI714" s="36"/>
      <c r="BJ714" s="13" t="s">
        <v>68</v>
      </c>
      <c r="BK714" s="352"/>
      <c r="BL714" s="913" t="s">
        <v>68</v>
      </c>
      <c r="BM714" s="912" t="s">
        <v>68</v>
      </c>
      <c r="BN714" s="912" t="s">
        <v>68</v>
      </c>
      <c r="BO714" s="1392" t="s">
        <v>68</v>
      </c>
      <c r="BP714" s="1392" t="s">
        <v>68</v>
      </c>
      <c r="BQ714" s="1392" t="s">
        <v>68</v>
      </c>
      <c r="BR714" s="1392" t="s">
        <v>68</v>
      </c>
      <c r="BS714" s="1392" t="s">
        <v>68</v>
      </c>
      <c r="BT714" s="1392" t="s">
        <v>68</v>
      </c>
      <c r="BU714" s="1392" t="s">
        <v>68</v>
      </c>
      <c r="BV714" s="913" t="s">
        <v>68</v>
      </c>
      <c r="BW714" s="13"/>
      <c r="BX714" s="22"/>
      <c r="BY714" s="22"/>
      <c r="BZ714" s="22"/>
      <c r="CA714" s="22"/>
      <c r="CB714" s="1222" t="s">
        <v>3944</v>
      </c>
      <c r="CC714" s="859"/>
      <c r="CD714" s="526"/>
      <c r="CE714" s="526"/>
      <c r="CF714" s="526"/>
      <c r="CG714" s="526"/>
      <c r="CH714" s="526"/>
      <c r="CI714" s="526"/>
      <c r="CJ714" s="526"/>
      <c r="CK714" s="15"/>
    </row>
    <row r="715" spans="2:89" ht="136.5" hidden="1" customHeight="1">
      <c r="B715" s="22"/>
      <c r="C715" s="122"/>
      <c r="D715" s="22"/>
      <c r="E715" s="911"/>
      <c r="F715" s="911"/>
      <c r="G715" s="915"/>
      <c r="H715" s="1746" t="s">
        <v>6311</v>
      </c>
      <c r="I715" s="330"/>
      <c r="J715" s="169">
        <v>2023</v>
      </c>
      <c r="K715" s="1417">
        <v>233012</v>
      </c>
      <c r="L715" s="1417"/>
      <c r="M715" s="170" t="s">
        <v>166</v>
      </c>
      <c r="N715" s="178" t="s">
        <v>5553</v>
      </c>
      <c r="O715" s="172" t="s">
        <v>46</v>
      </c>
      <c r="P715" s="173" t="s">
        <v>5599</v>
      </c>
      <c r="Q715" s="173" t="s">
        <v>1975</v>
      </c>
      <c r="R715" s="174">
        <f>650*1.16</f>
        <v>754</v>
      </c>
      <c r="S715" s="590">
        <v>44974</v>
      </c>
      <c r="T715" s="176">
        <v>44977</v>
      </c>
      <c r="U715" s="177">
        <v>44982</v>
      </c>
      <c r="V715" s="105" t="s">
        <v>68</v>
      </c>
      <c r="W715" s="178" t="s">
        <v>4362</v>
      </c>
      <c r="X715" s="170" t="s">
        <v>70</v>
      </c>
      <c r="Y715" s="200" t="s">
        <v>68</v>
      </c>
      <c r="Z715" s="368" t="s">
        <v>68</v>
      </c>
      <c r="AA715" s="33"/>
      <c r="AB715" s="8"/>
      <c r="AC715" s="4"/>
      <c r="AD715" s="4"/>
      <c r="AE715" s="32"/>
      <c r="AF715" s="34" t="s">
        <v>68</v>
      </c>
      <c r="AG715" s="112" t="s">
        <v>68</v>
      </c>
      <c r="AH715" s="112" t="s">
        <v>68</v>
      </c>
      <c r="AI715" s="7" t="s">
        <v>68</v>
      </c>
      <c r="AJ715" s="109" t="s">
        <v>68</v>
      </c>
      <c r="AK715" s="33" t="s">
        <v>68</v>
      </c>
      <c r="AL715" s="1" t="s">
        <v>68</v>
      </c>
      <c r="AM715" s="5"/>
      <c r="AN715" s="1" t="s">
        <v>68</v>
      </c>
      <c r="AO715" s="5"/>
      <c r="AP715" s="1" t="s">
        <v>68</v>
      </c>
      <c r="AQ715" s="5"/>
      <c r="AR715" s="279"/>
      <c r="AS715" s="35">
        <v>0</v>
      </c>
      <c r="AT715" s="895">
        <v>0</v>
      </c>
      <c r="AU715" s="884">
        <v>0</v>
      </c>
      <c r="AV715" s="30" t="s">
        <v>68</v>
      </c>
      <c r="AW715" s="11" t="s">
        <v>68</v>
      </c>
      <c r="AX715" s="223" t="s">
        <v>68</v>
      </c>
      <c r="AY715" s="52" t="s">
        <v>68</v>
      </c>
      <c r="AZ715" s="30" t="s">
        <v>68</v>
      </c>
      <c r="BA715" s="5"/>
      <c r="BB715" s="5"/>
      <c r="BC715" s="11"/>
      <c r="BD715" s="30" t="s">
        <v>68</v>
      </c>
      <c r="BE715" s="309"/>
      <c r="BF715" s="5"/>
      <c r="BG715" s="5"/>
      <c r="BH715" s="5"/>
      <c r="BI715" s="36"/>
      <c r="BJ715" s="13" t="s">
        <v>68</v>
      </c>
      <c r="BK715" s="352"/>
      <c r="BL715" s="913" t="s">
        <v>68</v>
      </c>
      <c r="BM715" s="912" t="s">
        <v>68</v>
      </c>
      <c r="BN715" s="912" t="s">
        <v>68</v>
      </c>
      <c r="BO715" s="1392" t="s">
        <v>68</v>
      </c>
      <c r="BP715" s="1392" t="s">
        <v>68</v>
      </c>
      <c r="BQ715" s="1392" t="s">
        <v>68</v>
      </c>
      <c r="BR715" s="1392" t="s">
        <v>68</v>
      </c>
      <c r="BS715" s="1392" t="s">
        <v>68</v>
      </c>
      <c r="BT715" s="1392" t="s">
        <v>68</v>
      </c>
      <c r="BU715" s="1392" t="s">
        <v>68</v>
      </c>
      <c r="BV715" s="913" t="s">
        <v>68</v>
      </c>
      <c r="BW715" s="13"/>
      <c r="BX715" s="22"/>
      <c r="BY715" s="22"/>
      <c r="BZ715" s="22"/>
      <c r="CA715" s="22"/>
      <c r="CB715" s="1222" t="s">
        <v>3944</v>
      </c>
      <c r="CC715" s="859"/>
      <c r="CD715" s="526"/>
      <c r="CE715" s="526"/>
      <c r="CF715" s="526"/>
      <c r="CG715" s="526"/>
      <c r="CH715" s="526"/>
      <c r="CI715" s="526"/>
      <c r="CJ715" s="526"/>
      <c r="CK715" s="15"/>
    </row>
    <row r="716" spans="2:89" ht="137.25" hidden="1" customHeight="1">
      <c r="B716" s="22"/>
      <c r="C716" s="122"/>
      <c r="D716" s="22"/>
      <c r="E716" s="911"/>
      <c r="F716" s="911"/>
      <c r="G716" s="915"/>
      <c r="H716" s="1746" t="s">
        <v>6311</v>
      </c>
      <c r="I716" s="330"/>
      <c r="J716" s="169">
        <v>2023</v>
      </c>
      <c r="K716" s="1417">
        <v>233014</v>
      </c>
      <c r="L716" s="1417"/>
      <c r="M716" s="170" t="s">
        <v>166</v>
      </c>
      <c r="N716" s="178" t="s">
        <v>5605</v>
      </c>
      <c r="O716" s="172" t="s">
        <v>46</v>
      </c>
      <c r="P716" s="173" t="s">
        <v>5600</v>
      </c>
      <c r="Q716" s="173" t="s">
        <v>1975</v>
      </c>
      <c r="R716" s="174">
        <f>880*1.16</f>
        <v>1020.8</v>
      </c>
      <c r="S716" s="590">
        <v>44974</v>
      </c>
      <c r="T716" s="176">
        <v>44977</v>
      </c>
      <c r="U716" s="177">
        <v>44982</v>
      </c>
      <c r="V716" s="105" t="s">
        <v>68</v>
      </c>
      <c r="W716" s="178" t="s">
        <v>4362</v>
      </c>
      <c r="X716" s="170" t="s">
        <v>70</v>
      </c>
      <c r="Y716" s="200" t="s">
        <v>68</v>
      </c>
      <c r="Z716" s="368" t="s">
        <v>68</v>
      </c>
      <c r="AA716" s="33"/>
      <c r="AB716" s="8"/>
      <c r="AC716" s="4"/>
      <c r="AD716" s="4"/>
      <c r="AE716" s="32"/>
      <c r="AF716" s="34" t="s">
        <v>68</v>
      </c>
      <c r="AG716" s="112" t="s">
        <v>68</v>
      </c>
      <c r="AH716" s="112" t="s">
        <v>68</v>
      </c>
      <c r="AI716" s="7" t="s">
        <v>68</v>
      </c>
      <c r="AJ716" s="109" t="s">
        <v>68</v>
      </c>
      <c r="AK716" s="33" t="s">
        <v>68</v>
      </c>
      <c r="AL716" s="1" t="s">
        <v>68</v>
      </c>
      <c r="AM716" s="5"/>
      <c r="AN716" s="1" t="s">
        <v>68</v>
      </c>
      <c r="AO716" s="5"/>
      <c r="AP716" s="1" t="s">
        <v>68</v>
      </c>
      <c r="AQ716" s="5"/>
      <c r="AR716" s="279"/>
      <c r="AS716" s="35">
        <v>0</v>
      </c>
      <c r="AT716" s="895">
        <v>0</v>
      </c>
      <c r="AU716" s="884">
        <v>0</v>
      </c>
      <c r="AV716" s="30" t="s">
        <v>68</v>
      </c>
      <c r="AW716" s="11" t="s">
        <v>68</v>
      </c>
      <c r="AX716" s="223" t="s">
        <v>68</v>
      </c>
      <c r="AY716" s="52" t="s">
        <v>68</v>
      </c>
      <c r="AZ716" s="30" t="s">
        <v>68</v>
      </c>
      <c r="BA716" s="5"/>
      <c r="BB716" s="5"/>
      <c r="BC716" s="11"/>
      <c r="BD716" s="30" t="s">
        <v>68</v>
      </c>
      <c r="BE716" s="309"/>
      <c r="BF716" s="5"/>
      <c r="BG716" s="5"/>
      <c r="BH716" s="5"/>
      <c r="BI716" s="36"/>
      <c r="BJ716" s="13" t="s">
        <v>68</v>
      </c>
      <c r="BK716" s="352"/>
      <c r="BL716" s="913" t="s">
        <v>68</v>
      </c>
      <c r="BM716" s="912" t="s">
        <v>68</v>
      </c>
      <c r="BN716" s="912" t="s">
        <v>68</v>
      </c>
      <c r="BO716" s="1392" t="s">
        <v>68</v>
      </c>
      <c r="BP716" s="1392" t="s">
        <v>68</v>
      </c>
      <c r="BQ716" s="1392" t="s">
        <v>68</v>
      </c>
      <c r="BR716" s="1392" t="s">
        <v>68</v>
      </c>
      <c r="BS716" s="1392" t="s">
        <v>68</v>
      </c>
      <c r="BT716" s="1392" t="s">
        <v>68</v>
      </c>
      <c r="BU716" s="1392" t="s">
        <v>68</v>
      </c>
      <c r="BV716" s="913" t="s">
        <v>68</v>
      </c>
      <c r="BW716" s="13"/>
      <c r="BX716" s="22"/>
      <c r="BY716" s="22"/>
      <c r="BZ716" s="22"/>
      <c r="CA716" s="22"/>
      <c r="CB716" s="1222" t="s">
        <v>3944</v>
      </c>
      <c r="CC716" s="859"/>
      <c r="CD716" s="526"/>
      <c r="CE716" s="526"/>
      <c r="CF716" s="526"/>
      <c r="CG716" s="526"/>
      <c r="CH716" s="526"/>
      <c r="CI716" s="526"/>
      <c r="CJ716" s="526"/>
      <c r="CK716" s="15"/>
    </row>
    <row r="717" spans="2:89" ht="131.25" hidden="1" customHeight="1">
      <c r="B717" s="22"/>
      <c r="C717" s="122"/>
      <c r="D717" s="22"/>
      <c r="E717" s="911"/>
      <c r="F717" s="911"/>
      <c r="G717" s="915"/>
      <c r="H717" s="1746" t="s">
        <v>6311</v>
      </c>
      <c r="I717" s="330"/>
      <c r="J717" s="169">
        <v>2023</v>
      </c>
      <c r="K717" s="1417">
        <v>233014</v>
      </c>
      <c r="L717" s="1417"/>
      <c r="M717" s="170" t="s">
        <v>166</v>
      </c>
      <c r="N717" s="178" t="s">
        <v>5554</v>
      </c>
      <c r="O717" s="172" t="s">
        <v>46</v>
      </c>
      <c r="P717" s="173" t="s">
        <v>5601</v>
      </c>
      <c r="Q717" s="173" t="s">
        <v>1975</v>
      </c>
      <c r="R717" s="174">
        <f>600*1.16</f>
        <v>696</v>
      </c>
      <c r="S717" s="590">
        <v>44977</v>
      </c>
      <c r="T717" s="176">
        <v>44978</v>
      </c>
      <c r="U717" s="177">
        <v>44982</v>
      </c>
      <c r="V717" s="105" t="s">
        <v>68</v>
      </c>
      <c r="W717" s="178" t="s">
        <v>4362</v>
      </c>
      <c r="X717" s="170" t="s">
        <v>70</v>
      </c>
      <c r="Y717" s="200" t="s">
        <v>68</v>
      </c>
      <c r="Z717" s="368" t="s">
        <v>68</v>
      </c>
      <c r="AA717" s="33"/>
      <c r="AB717" s="8"/>
      <c r="AC717" s="4"/>
      <c r="AD717" s="4"/>
      <c r="AE717" s="32"/>
      <c r="AF717" s="34" t="s">
        <v>68</v>
      </c>
      <c r="AG717" s="112" t="s">
        <v>68</v>
      </c>
      <c r="AH717" s="112" t="s">
        <v>68</v>
      </c>
      <c r="AI717" s="7" t="s">
        <v>68</v>
      </c>
      <c r="AJ717" s="109" t="s">
        <v>68</v>
      </c>
      <c r="AK717" s="33" t="s">
        <v>68</v>
      </c>
      <c r="AL717" s="1" t="s">
        <v>68</v>
      </c>
      <c r="AM717" s="5"/>
      <c r="AN717" s="1" t="s">
        <v>68</v>
      </c>
      <c r="AO717" s="5"/>
      <c r="AP717" s="1" t="s">
        <v>68</v>
      </c>
      <c r="AQ717" s="5"/>
      <c r="AR717" s="279"/>
      <c r="AS717" s="35">
        <v>0</v>
      </c>
      <c r="AT717" s="895">
        <v>0</v>
      </c>
      <c r="AU717" s="884">
        <v>0</v>
      </c>
      <c r="AV717" s="30" t="s">
        <v>68</v>
      </c>
      <c r="AW717" s="11" t="s">
        <v>68</v>
      </c>
      <c r="AX717" s="223" t="s">
        <v>68</v>
      </c>
      <c r="AY717" s="52" t="s">
        <v>68</v>
      </c>
      <c r="AZ717" s="30" t="s">
        <v>68</v>
      </c>
      <c r="BA717" s="5"/>
      <c r="BB717" s="5"/>
      <c r="BC717" s="11"/>
      <c r="BD717" s="30" t="s">
        <v>68</v>
      </c>
      <c r="BE717" s="309"/>
      <c r="BF717" s="5"/>
      <c r="BG717" s="5"/>
      <c r="BH717" s="5"/>
      <c r="BI717" s="36"/>
      <c r="BJ717" s="13" t="s">
        <v>68</v>
      </c>
      <c r="BK717" s="352"/>
      <c r="BL717" s="913" t="s">
        <v>68</v>
      </c>
      <c r="BM717" s="912" t="s">
        <v>68</v>
      </c>
      <c r="BN717" s="912" t="s">
        <v>68</v>
      </c>
      <c r="BO717" s="1392" t="s">
        <v>68</v>
      </c>
      <c r="BP717" s="1392" t="s">
        <v>68</v>
      </c>
      <c r="BQ717" s="1392" t="s">
        <v>68</v>
      </c>
      <c r="BR717" s="1392" t="s">
        <v>68</v>
      </c>
      <c r="BS717" s="1392" t="s">
        <v>68</v>
      </c>
      <c r="BT717" s="1392" t="s">
        <v>68</v>
      </c>
      <c r="BU717" s="1392" t="s">
        <v>68</v>
      </c>
      <c r="BV717" s="913" t="s">
        <v>68</v>
      </c>
      <c r="BW717" s="13"/>
      <c r="BX717" s="22"/>
      <c r="BY717" s="22"/>
      <c r="BZ717" s="22"/>
      <c r="CA717" s="22"/>
      <c r="CB717" s="1222" t="s">
        <v>3944</v>
      </c>
      <c r="CC717" s="859"/>
      <c r="CD717" s="526"/>
      <c r="CE717" s="526"/>
      <c r="CF717" s="526"/>
      <c r="CG717" s="526"/>
      <c r="CH717" s="526"/>
      <c r="CI717" s="526"/>
      <c r="CJ717" s="526"/>
      <c r="CK717" s="15"/>
    </row>
    <row r="718" spans="2:89" ht="99" hidden="1" customHeight="1">
      <c r="B718" s="22"/>
      <c r="C718" s="122"/>
      <c r="D718" s="22"/>
      <c r="E718" s="911"/>
      <c r="F718" s="911"/>
      <c r="G718" s="915"/>
      <c r="H718" s="1746" t="s">
        <v>6311</v>
      </c>
      <c r="I718" s="330"/>
      <c r="J718" s="169">
        <v>2023</v>
      </c>
      <c r="K718" s="1417">
        <v>233015</v>
      </c>
      <c r="L718" s="1417"/>
      <c r="M718" s="170" t="s">
        <v>166</v>
      </c>
      <c r="N718" s="178" t="s">
        <v>5555</v>
      </c>
      <c r="O718" s="172" t="s">
        <v>46</v>
      </c>
      <c r="P718" s="173" t="s">
        <v>5584</v>
      </c>
      <c r="Q718" s="173" t="s">
        <v>2575</v>
      </c>
      <c r="R718" s="174">
        <f>51450*1.16</f>
        <v>59681.999999999993</v>
      </c>
      <c r="S718" s="590">
        <v>45044</v>
      </c>
      <c r="T718" s="176">
        <v>45047</v>
      </c>
      <c r="U718" s="177">
        <v>45077</v>
      </c>
      <c r="V718" s="105" t="s">
        <v>68</v>
      </c>
      <c r="W718" s="178" t="s">
        <v>4866</v>
      </c>
      <c r="X718" s="170" t="s">
        <v>70</v>
      </c>
      <c r="Y718" s="200" t="s">
        <v>68</v>
      </c>
      <c r="Z718" s="368" t="s">
        <v>68</v>
      </c>
      <c r="AA718" s="33"/>
      <c r="AB718" s="8"/>
      <c r="AC718" s="4"/>
      <c r="AD718" s="4"/>
      <c r="AE718" s="32"/>
      <c r="AF718" s="34" t="s">
        <v>68</v>
      </c>
      <c r="AG718" s="112" t="s">
        <v>68</v>
      </c>
      <c r="AH718" s="112" t="s">
        <v>68</v>
      </c>
      <c r="AI718" s="7" t="s">
        <v>68</v>
      </c>
      <c r="AJ718" s="109" t="s">
        <v>68</v>
      </c>
      <c r="AK718" s="33" t="s">
        <v>68</v>
      </c>
      <c r="AL718" s="1" t="s">
        <v>68</v>
      </c>
      <c r="AM718" s="5"/>
      <c r="AN718" s="1" t="s">
        <v>68</v>
      </c>
      <c r="AO718" s="5"/>
      <c r="AP718" s="1" t="s">
        <v>68</v>
      </c>
      <c r="AQ718" s="5"/>
      <c r="AR718" s="279"/>
      <c r="AS718" s="35">
        <v>0</v>
      </c>
      <c r="AT718" s="895">
        <v>0</v>
      </c>
      <c r="AU718" s="884">
        <v>0</v>
      </c>
      <c r="AV718" s="30" t="s">
        <v>68</v>
      </c>
      <c r="AW718" s="11" t="s">
        <v>68</v>
      </c>
      <c r="AX718" s="223" t="s">
        <v>68</v>
      </c>
      <c r="AY718" s="52" t="s">
        <v>68</v>
      </c>
      <c r="AZ718" s="30" t="s">
        <v>68</v>
      </c>
      <c r="BA718" s="5"/>
      <c r="BB718" s="5"/>
      <c r="BC718" s="11"/>
      <c r="BD718" s="30" t="s">
        <v>68</v>
      </c>
      <c r="BE718" s="309"/>
      <c r="BF718" s="5"/>
      <c r="BG718" s="5"/>
      <c r="BH718" s="5"/>
      <c r="BI718" s="36"/>
      <c r="BJ718" s="13" t="s">
        <v>68</v>
      </c>
      <c r="BK718" s="352"/>
      <c r="BL718" s="913" t="s">
        <v>68</v>
      </c>
      <c r="BM718" s="912" t="s">
        <v>68</v>
      </c>
      <c r="BN718" s="912" t="s">
        <v>68</v>
      </c>
      <c r="BO718" s="1392" t="s">
        <v>68</v>
      </c>
      <c r="BP718" s="1392" t="s">
        <v>68</v>
      </c>
      <c r="BQ718" s="1392" t="s">
        <v>68</v>
      </c>
      <c r="BR718" s="1392" t="s">
        <v>68</v>
      </c>
      <c r="BS718" s="1392" t="s">
        <v>68</v>
      </c>
      <c r="BT718" s="1392" t="s">
        <v>68</v>
      </c>
      <c r="BU718" s="1392" t="s">
        <v>68</v>
      </c>
      <c r="BV718" s="913" t="s">
        <v>68</v>
      </c>
      <c r="BW718" s="13"/>
      <c r="BX718" s="22"/>
      <c r="BY718" s="22"/>
      <c r="BZ718" s="22"/>
      <c r="CA718" s="22"/>
      <c r="CB718" s="1222" t="s">
        <v>3944</v>
      </c>
      <c r="CC718" s="859"/>
      <c r="CD718" s="526"/>
      <c r="CE718" s="526"/>
      <c r="CF718" s="526"/>
      <c r="CG718" s="526"/>
      <c r="CH718" s="526"/>
      <c r="CI718" s="526"/>
      <c r="CJ718" s="526"/>
      <c r="CK718" s="15"/>
    </row>
    <row r="719" spans="2:89" ht="158.25" hidden="1" customHeight="1">
      <c r="B719" s="22"/>
      <c r="C719" s="122"/>
      <c r="D719" s="22"/>
      <c r="E719" s="911"/>
      <c r="F719" s="911"/>
      <c r="G719" s="915"/>
      <c r="H719" s="1746" t="s">
        <v>6311</v>
      </c>
      <c r="I719" s="330"/>
      <c r="J719" s="169">
        <v>2023</v>
      </c>
      <c r="K719" s="1417">
        <v>233016</v>
      </c>
      <c r="L719" s="1417"/>
      <c r="M719" s="170" t="s">
        <v>166</v>
      </c>
      <c r="N719" s="178" t="s">
        <v>5556</v>
      </c>
      <c r="O719" s="172" t="s">
        <v>46</v>
      </c>
      <c r="P719" s="173" t="s">
        <v>5602</v>
      </c>
      <c r="Q719" s="173" t="s">
        <v>2663</v>
      </c>
      <c r="R719" s="174">
        <f>2500*1.16</f>
        <v>2900</v>
      </c>
      <c r="S719" s="590">
        <v>45113</v>
      </c>
      <c r="T719" s="176">
        <v>45117</v>
      </c>
      <c r="U719" s="177">
        <v>45127</v>
      </c>
      <c r="V719" s="105" t="s">
        <v>68</v>
      </c>
      <c r="W719" s="178" t="s">
        <v>5603</v>
      </c>
      <c r="X719" s="170" t="s">
        <v>70</v>
      </c>
      <c r="Y719" s="200" t="s">
        <v>68</v>
      </c>
      <c r="Z719" s="368" t="s">
        <v>68</v>
      </c>
      <c r="AA719" s="33"/>
      <c r="AB719" s="8"/>
      <c r="AC719" s="4"/>
      <c r="AD719" s="4"/>
      <c r="AE719" s="32"/>
      <c r="AF719" s="34" t="s">
        <v>68</v>
      </c>
      <c r="AG719" s="112" t="s">
        <v>68</v>
      </c>
      <c r="AH719" s="112" t="s">
        <v>68</v>
      </c>
      <c r="AI719" s="7" t="s">
        <v>68</v>
      </c>
      <c r="AJ719" s="109" t="s">
        <v>68</v>
      </c>
      <c r="AK719" s="33" t="s">
        <v>68</v>
      </c>
      <c r="AL719" s="1" t="s">
        <v>68</v>
      </c>
      <c r="AM719" s="5"/>
      <c r="AN719" s="1" t="s">
        <v>68</v>
      </c>
      <c r="AO719" s="5"/>
      <c r="AP719" s="1" t="s">
        <v>68</v>
      </c>
      <c r="AQ719" s="5"/>
      <c r="AR719" s="279"/>
      <c r="AS719" s="35">
        <v>0</v>
      </c>
      <c r="AT719" s="895">
        <v>0</v>
      </c>
      <c r="AU719" s="884">
        <v>0</v>
      </c>
      <c r="AV719" s="30" t="s">
        <v>68</v>
      </c>
      <c r="AW719" s="11" t="s">
        <v>68</v>
      </c>
      <c r="AX719" s="223" t="s">
        <v>68</v>
      </c>
      <c r="AY719" s="52" t="s">
        <v>68</v>
      </c>
      <c r="AZ719" s="30" t="s">
        <v>68</v>
      </c>
      <c r="BA719" s="5"/>
      <c r="BB719" s="5"/>
      <c r="BC719" s="11"/>
      <c r="BD719" s="30" t="s">
        <v>68</v>
      </c>
      <c r="BE719" s="309"/>
      <c r="BF719" s="5"/>
      <c r="BG719" s="5"/>
      <c r="BH719" s="5"/>
      <c r="BI719" s="36"/>
      <c r="BJ719" s="13" t="s">
        <v>68</v>
      </c>
      <c r="BK719" s="352"/>
      <c r="BL719" s="913" t="s">
        <v>68</v>
      </c>
      <c r="BM719" s="912" t="s">
        <v>68</v>
      </c>
      <c r="BN719" s="912" t="s">
        <v>68</v>
      </c>
      <c r="BO719" s="1392" t="s">
        <v>68</v>
      </c>
      <c r="BP719" s="1392" t="s">
        <v>68</v>
      </c>
      <c r="BQ719" s="1392" t="s">
        <v>68</v>
      </c>
      <c r="BR719" s="1392" t="s">
        <v>68</v>
      </c>
      <c r="BS719" s="1392" t="s">
        <v>68</v>
      </c>
      <c r="BT719" s="1392" t="s">
        <v>68</v>
      </c>
      <c r="BU719" s="1392" t="s">
        <v>68</v>
      </c>
      <c r="BV719" s="913" t="s">
        <v>68</v>
      </c>
      <c r="BW719" s="13"/>
      <c r="BX719" s="22"/>
      <c r="BY719" s="22"/>
      <c r="BZ719" s="22"/>
      <c r="CA719" s="22"/>
      <c r="CB719" s="1222" t="s">
        <v>3944</v>
      </c>
      <c r="CC719" s="859"/>
      <c r="CD719" s="526"/>
      <c r="CE719" s="526"/>
      <c r="CF719" s="526"/>
      <c r="CG719" s="526"/>
      <c r="CH719" s="526"/>
      <c r="CI719" s="526"/>
      <c r="CJ719" s="526"/>
      <c r="CK719" s="15"/>
    </row>
    <row r="720" spans="2:89" ht="99" hidden="1" customHeight="1">
      <c r="B720" s="22"/>
      <c r="C720" s="122"/>
      <c r="D720" s="22"/>
      <c r="E720" s="911"/>
      <c r="F720" s="911"/>
      <c r="G720" s="915"/>
      <c r="H720" s="1746" t="s">
        <v>6311</v>
      </c>
      <c r="I720" s="330"/>
      <c r="J720" s="169">
        <v>2023</v>
      </c>
      <c r="K720" s="1417">
        <v>233017</v>
      </c>
      <c r="L720" s="1417"/>
      <c r="M720" s="170" t="s">
        <v>166</v>
      </c>
      <c r="N720" s="178" t="s">
        <v>5557</v>
      </c>
      <c r="O720" s="172" t="s">
        <v>46</v>
      </c>
      <c r="P720" s="173" t="s">
        <v>5604</v>
      </c>
      <c r="Q720" s="173" t="s">
        <v>2614</v>
      </c>
      <c r="R720" s="174">
        <f>600*1.16</f>
        <v>696</v>
      </c>
      <c r="S720" s="590">
        <v>45133</v>
      </c>
      <c r="T720" s="176">
        <v>45139</v>
      </c>
      <c r="U720" s="177">
        <v>45148</v>
      </c>
      <c r="V720" s="105" t="s">
        <v>68</v>
      </c>
      <c r="W720" s="178" t="s">
        <v>5603</v>
      </c>
      <c r="X720" s="170" t="s">
        <v>70</v>
      </c>
      <c r="Y720" s="200" t="s">
        <v>68</v>
      </c>
      <c r="Z720" s="368" t="s">
        <v>68</v>
      </c>
      <c r="AA720" s="33"/>
      <c r="AB720" s="8"/>
      <c r="AC720" s="4"/>
      <c r="AD720" s="4"/>
      <c r="AE720" s="32"/>
      <c r="AF720" s="34" t="s">
        <v>68</v>
      </c>
      <c r="AG720" s="112" t="s">
        <v>68</v>
      </c>
      <c r="AH720" s="112" t="s">
        <v>68</v>
      </c>
      <c r="AI720" s="7" t="s">
        <v>68</v>
      </c>
      <c r="AJ720" s="109" t="s">
        <v>68</v>
      </c>
      <c r="AK720" s="33" t="s">
        <v>68</v>
      </c>
      <c r="AL720" s="1" t="s">
        <v>68</v>
      </c>
      <c r="AM720" s="5"/>
      <c r="AN720" s="1" t="s">
        <v>68</v>
      </c>
      <c r="AO720" s="5"/>
      <c r="AP720" s="1" t="s">
        <v>68</v>
      </c>
      <c r="AQ720" s="5"/>
      <c r="AR720" s="279"/>
      <c r="AS720" s="35">
        <v>0</v>
      </c>
      <c r="AT720" s="895">
        <v>0</v>
      </c>
      <c r="AU720" s="884">
        <v>0</v>
      </c>
      <c r="AV720" s="30" t="s">
        <v>68</v>
      </c>
      <c r="AW720" s="11" t="s">
        <v>68</v>
      </c>
      <c r="AX720" s="223" t="s">
        <v>68</v>
      </c>
      <c r="AY720" s="52" t="s">
        <v>68</v>
      </c>
      <c r="AZ720" s="30" t="s">
        <v>68</v>
      </c>
      <c r="BA720" s="5"/>
      <c r="BB720" s="5"/>
      <c r="BC720" s="11"/>
      <c r="BD720" s="30" t="s">
        <v>68</v>
      </c>
      <c r="BE720" s="309"/>
      <c r="BF720" s="5"/>
      <c r="BG720" s="5"/>
      <c r="BH720" s="5"/>
      <c r="BI720" s="36"/>
      <c r="BJ720" s="13" t="s">
        <v>68</v>
      </c>
      <c r="BK720" s="352"/>
      <c r="BL720" s="913" t="s">
        <v>68</v>
      </c>
      <c r="BM720" s="912" t="s">
        <v>68</v>
      </c>
      <c r="BN720" s="912" t="s">
        <v>68</v>
      </c>
      <c r="BO720" s="1392" t="s">
        <v>68</v>
      </c>
      <c r="BP720" s="1392" t="s">
        <v>68</v>
      </c>
      <c r="BQ720" s="1392" t="s">
        <v>68</v>
      </c>
      <c r="BR720" s="1392" t="s">
        <v>68</v>
      </c>
      <c r="BS720" s="1392" t="s">
        <v>68</v>
      </c>
      <c r="BT720" s="1392" t="s">
        <v>68</v>
      </c>
      <c r="BU720" s="1392" t="s">
        <v>68</v>
      </c>
      <c r="BV720" s="913" t="s">
        <v>68</v>
      </c>
      <c r="BW720" s="13"/>
      <c r="BX720" s="22"/>
      <c r="BY720" s="22"/>
      <c r="BZ720" s="22"/>
      <c r="CA720" s="22"/>
      <c r="CB720" s="1222" t="s">
        <v>3944</v>
      </c>
      <c r="CC720" s="859"/>
      <c r="CD720" s="526"/>
      <c r="CE720" s="526"/>
      <c r="CF720" s="526"/>
      <c r="CG720" s="526"/>
      <c r="CH720" s="526"/>
      <c r="CI720" s="526"/>
      <c r="CJ720" s="526"/>
      <c r="CK720" s="15"/>
    </row>
    <row r="721" spans="2:89" ht="100.5" hidden="1" customHeight="1">
      <c r="B721" s="22"/>
      <c r="C721" s="122"/>
      <c r="D721" s="22"/>
      <c r="E721" s="911"/>
      <c r="F721" s="911"/>
      <c r="G721" s="915"/>
      <c r="H721" s="1746" t="s">
        <v>6311</v>
      </c>
      <c r="I721" s="330"/>
      <c r="J721" s="169">
        <v>2023</v>
      </c>
      <c r="K721" s="1417">
        <v>233018</v>
      </c>
      <c r="L721" s="1417"/>
      <c r="M721" s="170" t="s">
        <v>166</v>
      </c>
      <c r="N721" s="178" t="s">
        <v>5558</v>
      </c>
      <c r="O721" s="172" t="s">
        <v>46</v>
      </c>
      <c r="P721" s="173" t="s">
        <v>5584</v>
      </c>
      <c r="Q721" s="173" t="s">
        <v>2575</v>
      </c>
      <c r="R721" s="174">
        <f>49000*1.16</f>
        <v>56839.999999999993</v>
      </c>
      <c r="S721" s="175">
        <v>45077</v>
      </c>
      <c r="T721" s="176">
        <v>45078</v>
      </c>
      <c r="U721" s="177">
        <v>45138</v>
      </c>
      <c r="V721" s="105" t="s">
        <v>68</v>
      </c>
      <c r="W721" s="1710" t="s">
        <v>5880</v>
      </c>
      <c r="X721" s="170" t="s">
        <v>70</v>
      </c>
      <c r="Y721" s="200" t="s">
        <v>68</v>
      </c>
      <c r="Z721" s="368" t="s">
        <v>68</v>
      </c>
      <c r="AA721" s="33"/>
      <c r="AB721" s="8"/>
      <c r="AC721" s="4"/>
      <c r="AD721" s="4"/>
      <c r="AE721" s="32"/>
      <c r="AF721" s="34" t="s">
        <v>68</v>
      </c>
      <c r="AG721" s="112" t="s">
        <v>68</v>
      </c>
      <c r="AH721" s="112" t="s">
        <v>68</v>
      </c>
      <c r="AI721" s="7" t="s">
        <v>68</v>
      </c>
      <c r="AJ721" s="109" t="s">
        <v>68</v>
      </c>
      <c r="AK721" s="33" t="s">
        <v>68</v>
      </c>
      <c r="AL721" s="1" t="s">
        <v>68</v>
      </c>
      <c r="AM721" s="5"/>
      <c r="AN721" s="1" t="s">
        <v>68</v>
      </c>
      <c r="AO721" s="5"/>
      <c r="AP721" s="1" t="s">
        <v>68</v>
      </c>
      <c r="AQ721" s="5"/>
      <c r="AR721" s="279"/>
      <c r="AS721" s="35">
        <v>0</v>
      </c>
      <c r="AT721" s="895">
        <v>0</v>
      </c>
      <c r="AU721" s="884">
        <v>0</v>
      </c>
      <c r="AV721" s="30" t="s">
        <v>68</v>
      </c>
      <c r="AW721" s="11" t="s">
        <v>68</v>
      </c>
      <c r="AX721" s="223" t="s">
        <v>68</v>
      </c>
      <c r="AY721" s="52" t="s">
        <v>68</v>
      </c>
      <c r="AZ721" s="30" t="s">
        <v>68</v>
      </c>
      <c r="BA721" s="5"/>
      <c r="BB721" s="5"/>
      <c r="BC721" s="11"/>
      <c r="BD721" s="30" t="s">
        <v>68</v>
      </c>
      <c r="BE721" s="309"/>
      <c r="BF721" s="5"/>
      <c r="BG721" s="5"/>
      <c r="BH721" s="5"/>
      <c r="BI721" s="36"/>
      <c r="BJ721" s="13" t="s">
        <v>68</v>
      </c>
      <c r="BK721" s="352"/>
      <c r="BL721" s="913" t="s">
        <v>68</v>
      </c>
      <c r="BM721" s="912" t="s">
        <v>68</v>
      </c>
      <c r="BN721" s="912" t="s">
        <v>68</v>
      </c>
      <c r="BO721" s="1392" t="s">
        <v>68</v>
      </c>
      <c r="BP721" s="1392" t="s">
        <v>68</v>
      </c>
      <c r="BQ721" s="1392" t="s">
        <v>68</v>
      </c>
      <c r="BR721" s="1392" t="s">
        <v>68</v>
      </c>
      <c r="BS721" s="1392" t="s">
        <v>68</v>
      </c>
      <c r="BT721" s="1392" t="s">
        <v>68</v>
      </c>
      <c r="BU721" s="1392" t="s">
        <v>68</v>
      </c>
      <c r="BV721" s="913" t="s">
        <v>68</v>
      </c>
      <c r="BW721" s="13"/>
      <c r="BX721" s="22"/>
      <c r="BY721" s="22"/>
      <c r="BZ721" s="22"/>
      <c r="CA721" s="22"/>
      <c r="CB721" s="1222" t="s">
        <v>3944</v>
      </c>
      <c r="CC721" s="859"/>
      <c r="CD721" s="526"/>
      <c r="CE721" s="526"/>
      <c r="CF721" s="526"/>
      <c r="CG721" s="526"/>
      <c r="CH721" s="526"/>
      <c r="CI721" s="526"/>
      <c r="CJ721" s="526"/>
      <c r="CK721" s="15"/>
    </row>
    <row r="722" spans="2:89" ht="105" hidden="1" customHeight="1">
      <c r="B722" s="22"/>
      <c r="C722" s="122"/>
      <c r="D722" s="22"/>
      <c r="E722" s="911"/>
      <c r="F722" s="911"/>
      <c r="G722" s="915"/>
      <c r="H722" s="1746" t="s">
        <v>6311</v>
      </c>
      <c r="I722" s="330"/>
      <c r="J722" s="169">
        <v>2023</v>
      </c>
      <c r="K722" s="1417">
        <v>233019</v>
      </c>
      <c r="L722" s="1417"/>
      <c r="M722" s="170" t="s">
        <v>166</v>
      </c>
      <c r="N722" s="178" t="s">
        <v>5559</v>
      </c>
      <c r="O722" s="172" t="s">
        <v>46</v>
      </c>
      <c r="P722" s="173" t="s">
        <v>5953</v>
      </c>
      <c r="Q722" s="173" t="s">
        <v>1975</v>
      </c>
      <c r="R722" s="174">
        <f>672*1.16</f>
        <v>779.52</v>
      </c>
      <c r="S722" s="175">
        <v>45210</v>
      </c>
      <c r="T722" s="176">
        <v>45215</v>
      </c>
      <c r="U722" s="177">
        <v>45217</v>
      </c>
      <c r="V722" s="105" t="s">
        <v>68</v>
      </c>
      <c r="W722" s="178" t="s">
        <v>4362</v>
      </c>
      <c r="X722" s="170" t="s">
        <v>70</v>
      </c>
      <c r="Y722" s="200" t="s">
        <v>68</v>
      </c>
      <c r="Z722" s="368" t="s">
        <v>68</v>
      </c>
      <c r="AA722" s="33"/>
      <c r="AB722" s="8"/>
      <c r="AC722" s="4"/>
      <c r="AD722" s="4"/>
      <c r="AE722" s="32"/>
      <c r="AF722" s="34" t="s">
        <v>68</v>
      </c>
      <c r="AG722" s="112" t="s">
        <v>68</v>
      </c>
      <c r="AH722" s="112" t="s">
        <v>68</v>
      </c>
      <c r="AI722" s="7" t="s">
        <v>68</v>
      </c>
      <c r="AJ722" s="109" t="s">
        <v>68</v>
      </c>
      <c r="AK722" s="33" t="s">
        <v>68</v>
      </c>
      <c r="AL722" s="1" t="s">
        <v>68</v>
      </c>
      <c r="AM722" s="5"/>
      <c r="AN722" s="1" t="s">
        <v>68</v>
      </c>
      <c r="AO722" s="5"/>
      <c r="AP722" s="1" t="s">
        <v>68</v>
      </c>
      <c r="AQ722" s="5"/>
      <c r="AR722" s="279"/>
      <c r="AS722" s="35">
        <v>0</v>
      </c>
      <c r="AT722" s="895">
        <v>0</v>
      </c>
      <c r="AU722" s="884">
        <v>0</v>
      </c>
      <c r="AV722" s="30" t="s">
        <v>68</v>
      </c>
      <c r="AW722" s="11" t="s">
        <v>68</v>
      </c>
      <c r="AX722" s="223" t="s">
        <v>68</v>
      </c>
      <c r="AY722" s="52" t="s">
        <v>68</v>
      </c>
      <c r="AZ722" s="30" t="s">
        <v>68</v>
      </c>
      <c r="BA722" s="5"/>
      <c r="BB722" s="5"/>
      <c r="BC722" s="11"/>
      <c r="BD722" s="30" t="s">
        <v>68</v>
      </c>
      <c r="BE722" s="309"/>
      <c r="BF722" s="5"/>
      <c r="BG722" s="5"/>
      <c r="BH722" s="5"/>
      <c r="BI722" s="36"/>
      <c r="BJ722" s="13" t="s">
        <v>68</v>
      </c>
      <c r="BK722" s="352"/>
      <c r="BL722" s="913" t="s">
        <v>68</v>
      </c>
      <c r="BM722" s="912" t="s">
        <v>68</v>
      </c>
      <c r="BN722" s="912" t="s">
        <v>68</v>
      </c>
      <c r="BO722" s="1392" t="s">
        <v>68</v>
      </c>
      <c r="BP722" s="1392" t="s">
        <v>68</v>
      </c>
      <c r="BQ722" s="1392" t="s">
        <v>68</v>
      </c>
      <c r="BR722" s="1392" t="s">
        <v>68</v>
      </c>
      <c r="BS722" s="1392" t="s">
        <v>68</v>
      </c>
      <c r="BT722" s="1392" t="s">
        <v>68</v>
      </c>
      <c r="BU722" s="1392" t="s">
        <v>68</v>
      </c>
      <c r="BV722" s="913" t="s">
        <v>68</v>
      </c>
      <c r="BW722" s="13"/>
      <c r="BX722" s="22"/>
      <c r="BY722" s="22"/>
      <c r="BZ722" s="22"/>
      <c r="CA722" s="22"/>
      <c r="CB722" s="1222" t="s">
        <v>3944</v>
      </c>
      <c r="CC722" s="859"/>
      <c r="CD722" s="526"/>
      <c r="CE722" s="526"/>
      <c r="CF722" s="526"/>
      <c r="CG722" s="526"/>
      <c r="CH722" s="526"/>
      <c r="CI722" s="526"/>
      <c r="CJ722" s="526"/>
      <c r="CK722" s="15"/>
    </row>
    <row r="723" spans="2:89" ht="129" hidden="1" customHeight="1">
      <c r="B723" s="22"/>
      <c r="C723" s="122"/>
      <c r="D723" s="22"/>
      <c r="E723" s="911"/>
      <c r="F723" s="911"/>
      <c r="G723" s="915"/>
      <c r="H723" s="1746" t="s">
        <v>6311</v>
      </c>
      <c r="I723" s="330"/>
      <c r="J723" s="169">
        <v>2023</v>
      </c>
      <c r="K723" s="1417">
        <v>233020</v>
      </c>
      <c r="L723" s="1417"/>
      <c r="M723" s="170" t="s">
        <v>166</v>
      </c>
      <c r="N723" s="178" t="s">
        <v>5560</v>
      </c>
      <c r="O723" s="172" t="s">
        <v>46</v>
      </c>
      <c r="P723" s="173" t="s">
        <v>5954</v>
      </c>
      <c r="Q723" s="173" t="s">
        <v>2538</v>
      </c>
      <c r="R723" s="174">
        <f>630*1.16</f>
        <v>730.8</v>
      </c>
      <c r="S723" s="175">
        <v>45204</v>
      </c>
      <c r="T723" s="176">
        <v>45208</v>
      </c>
      <c r="U723" s="177">
        <v>45240</v>
      </c>
      <c r="V723" s="105" t="s">
        <v>68</v>
      </c>
      <c r="W723" s="178" t="s">
        <v>4362</v>
      </c>
      <c r="X723" s="170" t="s">
        <v>70</v>
      </c>
      <c r="Y723" s="200" t="s">
        <v>68</v>
      </c>
      <c r="Z723" s="368" t="s">
        <v>68</v>
      </c>
      <c r="AA723" s="33"/>
      <c r="AB723" s="8"/>
      <c r="AC723" s="4"/>
      <c r="AD723" s="4"/>
      <c r="AE723" s="32"/>
      <c r="AF723" s="34" t="s">
        <v>68</v>
      </c>
      <c r="AG723" s="112" t="s">
        <v>68</v>
      </c>
      <c r="AH723" s="112" t="s">
        <v>68</v>
      </c>
      <c r="AI723" s="7" t="s">
        <v>68</v>
      </c>
      <c r="AJ723" s="109" t="s">
        <v>68</v>
      </c>
      <c r="AK723" s="33" t="s">
        <v>68</v>
      </c>
      <c r="AL723" s="1" t="s">
        <v>68</v>
      </c>
      <c r="AM723" s="5"/>
      <c r="AN723" s="1" t="s">
        <v>68</v>
      </c>
      <c r="AO723" s="5"/>
      <c r="AP723" s="1" t="s">
        <v>68</v>
      </c>
      <c r="AQ723" s="5"/>
      <c r="AR723" s="279"/>
      <c r="AS723" s="35">
        <v>0</v>
      </c>
      <c r="AT723" s="895">
        <v>0</v>
      </c>
      <c r="AU723" s="884">
        <v>0</v>
      </c>
      <c r="AV723" s="30" t="s">
        <v>68</v>
      </c>
      <c r="AW723" s="11" t="s">
        <v>68</v>
      </c>
      <c r="AX723" s="223" t="s">
        <v>68</v>
      </c>
      <c r="AY723" s="52" t="s">
        <v>68</v>
      </c>
      <c r="AZ723" s="30" t="s">
        <v>68</v>
      </c>
      <c r="BA723" s="5"/>
      <c r="BB723" s="5"/>
      <c r="BC723" s="11"/>
      <c r="BD723" s="30" t="s">
        <v>68</v>
      </c>
      <c r="BE723" s="309"/>
      <c r="BF723" s="5"/>
      <c r="BG723" s="5"/>
      <c r="BH723" s="5"/>
      <c r="BI723" s="36"/>
      <c r="BJ723" s="13" t="s">
        <v>68</v>
      </c>
      <c r="BK723" s="352"/>
      <c r="BL723" s="913" t="s">
        <v>68</v>
      </c>
      <c r="BM723" s="912" t="s">
        <v>68</v>
      </c>
      <c r="BN723" s="912" t="s">
        <v>68</v>
      </c>
      <c r="BO723" s="1392" t="s">
        <v>68</v>
      </c>
      <c r="BP723" s="1392" t="s">
        <v>68</v>
      </c>
      <c r="BQ723" s="1392" t="s">
        <v>68</v>
      </c>
      <c r="BR723" s="1392" t="s">
        <v>68</v>
      </c>
      <c r="BS723" s="1392" t="s">
        <v>68</v>
      </c>
      <c r="BT723" s="1392" t="s">
        <v>68</v>
      </c>
      <c r="BU723" s="1392" t="s">
        <v>68</v>
      </c>
      <c r="BV723" s="913" t="s">
        <v>68</v>
      </c>
      <c r="BW723" s="13"/>
      <c r="BX723" s="22"/>
      <c r="BY723" s="22"/>
      <c r="BZ723" s="22"/>
      <c r="CA723" s="22"/>
      <c r="CB723" s="1222" t="s">
        <v>3944</v>
      </c>
      <c r="CC723" s="859"/>
      <c r="CD723" s="526"/>
      <c r="CE723" s="526"/>
      <c r="CF723" s="526"/>
      <c r="CG723" s="526"/>
      <c r="CH723" s="526"/>
      <c r="CI723" s="526"/>
      <c r="CJ723" s="526"/>
      <c r="CK723" s="15"/>
    </row>
    <row r="724" spans="2:89" ht="129.75" hidden="1" customHeight="1">
      <c r="B724" s="22"/>
      <c r="C724" s="122"/>
      <c r="D724" s="22"/>
      <c r="E724" s="911"/>
      <c r="F724" s="911"/>
      <c r="G724" s="915"/>
      <c r="H724" s="1746" t="s">
        <v>6311</v>
      </c>
      <c r="I724" s="330"/>
      <c r="J724" s="169">
        <v>2023</v>
      </c>
      <c r="K724" s="1417">
        <v>233021</v>
      </c>
      <c r="L724" s="1417"/>
      <c r="M724" s="170" t="s">
        <v>166</v>
      </c>
      <c r="N724" s="178" t="s">
        <v>5918</v>
      </c>
      <c r="O724" s="172" t="s">
        <v>46</v>
      </c>
      <c r="P724" s="173" t="s">
        <v>5955</v>
      </c>
      <c r="Q724" s="173" t="s">
        <v>2538</v>
      </c>
      <c r="R724" s="174">
        <f>650*1.16</f>
        <v>754</v>
      </c>
      <c r="S724" s="175">
        <v>45204</v>
      </c>
      <c r="T724" s="176">
        <v>45208</v>
      </c>
      <c r="U724" s="177">
        <v>45240</v>
      </c>
      <c r="V724" s="105" t="s">
        <v>68</v>
      </c>
      <c r="W724" s="178" t="s">
        <v>4362</v>
      </c>
      <c r="X724" s="170" t="s">
        <v>70</v>
      </c>
      <c r="Y724" s="200" t="s">
        <v>68</v>
      </c>
      <c r="Z724" s="368" t="s">
        <v>68</v>
      </c>
      <c r="AA724" s="33"/>
      <c r="AB724" s="8"/>
      <c r="AC724" s="4"/>
      <c r="AD724" s="4"/>
      <c r="AE724" s="32"/>
      <c r="AF724" s="34" t="s">
        <v>68</v>
      </c>
      <c r="AG724" s="112" t="s">
        <v>68</v>
      </c>
      <c r="AH724" s="112" t="s">
        <v>68</v>
      </c>
      <c r="AI724" s="7" t="s">
        <v>68</v>
      </c>
      <c r="AJ724" s="109" t="s">
        <v>68</v>
      </c>
      <c r="AK724" s="33" t="s">
        <v>68</v>
      </c>
      <c r="AL724" s="1" t="s">
        <v>68</v>
      </c>
      <c r="AM724" s="5"/>
      <c r="AN724" s="1" t="s">
        <v>68</v>
      </c>
      <c r="AO724" s="5"/>
      <c r="AP724" s="1" t="s">
        <v>68</v>
      </c>
      <c r="AQ724" s="5"/>
      <c r="AR724" s="279"/>
      <c r="AS724" s="35">
        <v>0</v>
      </c>
      <c r="AT724" s="895">
        <v>0</v>
      </c>
      <c r="AU724" s="884">
        <v>0</v>
      </c>
      <c r="AV724" s="30" t="s">
        <v>68</v>
      </c>
      <c r="AW724" s="11" t="s">
        <v>68</v>
      </c>
      <c r="AX724" s="223" t="s">
        <v>68</v>
      </c>
      <c r="AY724" s="52" t="s">
        <v>68</v>
      </c>
      <c r="AZ724" s="30" t="s">
        <v>68</v>
      </c>
      <c r="BA724" s="5"/>
      <c r="BB724" s="5"/>
      <c r="BC724" s="11"/>
      <c r="BD724" s="30" t="s">
        <v>68</v>
      </c>
      <c r="BE724" s="309"/>
      <c r="BF724" s="5"/>
      <c r="BG724" s="5"/>
      <c r="BH724" s="5"/>
      <c r="BI724" s="36"/>
      <c r="BJ724" s="13" t="s">
        <v>68</v>
      </c>
      <c r="BK724" s="352"/>
      <c r="BL724" s="913" t="s">
        <v>68</v>
      </c>
      <c r="BM724" s="912" t="s">
        <v>68</v>
      </c>
      <c r="BN724" s="912" t="s">
        <v>68</v>
      </c>
      <c r="BO724" s="1392" t="s">
        <v>68</v>
      </c>
      <c r="BP724" s="1392" t="s">
        <v>68</v>
      </c>
      <c r="BQ724" s="1392" t="s">
        <v>68</v>
      </c>
      <c r="BR724" s="1392" t="s">
        <v>68</v>
      </c>
      <c r="BS724" s="1392" t="s">
        <v>68</v>
      </c>
      <c r="BT724" s="1392" t="s">
        <v>68</v>
      </c>
      <c r="BU724" s="1392" t="s">
        <v>68</v>
      </c>
      <c r="BV724" s="913" t="s">
        <v>68</v>
      </c>
      <c r="BW724" s="13"/>
      <c r="BX724" s="22"/>
      <c r="BY724" s="22"/>
      <c r="BZ724" s="22"/>
      <c r="CA724" s="22"/>
      <c r="CB724" s="1222" t="s">
        <v>3944</v>
      </c>
      <c r="CC724" s="859"/>
      <c r="CD724" s="526"/>
      <c r="CE724" s="526"/>
      <c r="CF724" s="526"/>
      <c r="CG724" s="526"/>
      <c r="CH724" s="526"/>
      <c r="CI724" s="526"/>
      <c r="CJ724" s="526"/>
      <c r="CK724" s="15"/>
    </row>
    <row r="725" spans="2:89" ht="126.75" hidden="1" customHeight="1">
      <c r="B725" s="22"/>
      <c r="C725" s="122"/>
      <c r="D725" s="22"/>
      <c r="E725" s="911"/>
      <c r="F725" s="911"/>
      <c r="G725" s="915"/>
      <c r="H725" s="1746" t="s">
        <v>6311</v>
      </c>
      <c r="I725" s="330"/>
      <c r="J725" s="169">
        <v>2023</v>
      </c>
      <c r="K725" s="1417">
        <v>233022</v>
      </c>
      <c r="L725" s="1417"/>
      <c r="M725" s="170" t="s">
        <v>166</v>
      </c>
      <c r="N725" s="178" t="s">
        <v>5919</v>
      </c>
      <c r="O725" s="172" t="s">
        <v>46</v>
      </c>
      <c r="P725" s="173" t="s">
        <v>5956</v>
      </c>
      <c r="Q725" s="173" t="s">
        <v>2538</v>
      </c>
      <c r="R725" s="174">
        <f>500*1.16</f>
        <v>580</v>
      </c>
      <c r="S725" s="175">
        <v>45204</v>
      </c>
      <c r="T725" s="176">
        <v>45208</v>
      </c>
      <c r="U725" s="177">
        <v>45240</v>
      </c>
      <c r="V725" s="105" t="s">
        <v>68</v>
      </c>
      <c r="W725" s="178" t="s">
        <v>4362</v>
      </c>
      <c r="X725" s="170" t="s">
        <v>70</v>
      </c>
      <c r="Y725" s="200" t="s">
        <v>68</v>
      </c>
      <c r="Z725" s="368" t="s">
        <v>68</v>
      </c>
      <c r="AA725" s="33"/>
      <c r="AB725" s="8"/>
      <c r="AC725" s="4"/>
      <c r="AD725" s="4"/>
      <c r="AE725" s="32"/>
      <c r="AF725" s="34" t="s">
        <v>68</v>
      </c>
      <c r="AG725" s="112" t="s">
        <v>68</v>
      </c>
      <c r="AH725" s="112" t="s">
        <v>68</v>
      </c>
      <c r="AI725" s="7" t="s">
        <v>68</v>
      </c>
      <c r="AJ725" s="109" t="s">
        <v>68</v>
      </c>
      <c r="AK725" s="33" t="s">
        <v>68</v>
      </c>
      <c r="AL725" s="1" t="s">
        <v>68</v>
      </c>
      <c r="AM725" s="5"/>
      <c r="AN725" s="1" t="s">
        <v>68</v>
      </c>
      <c r="AO725" s="5"/>
      <c r="AP725" s="1" t="s">
        <v>68</v>
      </c>
      <c r="AQ725" s="5"/>
      <c r="AR725" s="279"/>
      <c r="AS725" s="35">
        <v>0</v>
      </c>
      <c r="AT725" s="895">
        <v>0</v>
      </c>
      <c r="AU725" s="884">
        <v>0</v>
      </c>
      <c r="AV725" s="30" t="s">
        <v>68</v>
      </c>
      <c r="AW725" s="11" t="s">
        <v>68</v>
      </c>
      <c r="AX725" s="223" t="s">
        <v>68</v>
      </c>
      <c r="AY725" s="52" t="s">
        <v>68</v>
      </c>
      <c r="AZ725" s="30" t="s">
        <v>68</v>
      </c>
      <c r="BA725" s="5"/>
      <c r="BB725" s="5"/>
      <c r="BC725" s="11"/>
      <c r="BD725" s="30" t="s">
        <v>68</v>
      </c>
      <c r="BE725" s="309"/>
      <c r="BF725" s="5"/>
      <c r="BG725" s="5"/>
      <c r="BH725" s="5"/>
      <c r="BI725" s="36"/>
      <c r="BJ725" s="13" t="s">
        <v>68</v>
      </c>
      <c r="BK725" s="352"/>
      <c r="BL725" s="913" t="s">
        <v>68</v>
      </c>
      <c r="BM725" s="912" t="s">
        <v>68</v>
      </c>
      <c r="BN725" s="912" t="s">
        <v>68</v>
      </c>
      <c r="BO725" s="1392" t="s">
        <v>68</v>
      </c>
      <c r="BP725" s="1392" t="s">
        <v>68</v>
      </c>
      <c r="BQ725" s="1392" t="s">
        <v>68</v>
      </c>
      <c r="BR725" s="1392" t="s">
        <v>68</v>
      </c>
      <c r="BS725" s="1392" t="s">
        <v>68</v>
      </c>
      <c r="BT725" s="1392" t="s">
        <v>68</v>
      </c>
      <c r="BU725" s="1392" t="s">
        <v>68</v>
      </c>
      <c r="BV725" s="913" t="s">
        <v>68</v>
      </c>
      <c r="BW725" s="13"/>
      <c r="BX725" s="22"/>
      <c r="BY725" s="22"/>
      <c r="BZ725" s="22"/>
      <c r="CA725" s="22"/>
      <c r="CB725" s="1222" t="s">
        <v>3944</v>
      </c>
      <c r="CC725" s="859"/>
      <c r="CD725" s="526"/>
      <c r="CE725" s="526"/>
      <c r="CF725" s="526"/>
      <c r="CG725" s="526"/>
      <c r="CH725" s="526"/>
      <c r="CI725" s="526"/>
      <c r="CJ725" s="526"/>
      <c r="CK725" s="15"/>
    </row>
    <row r="726" spans="2:89" ht="123" hidden="1" customHeight="1">
      <c r="B726" s="22"/>
      <c r="C726" s="122"/>
      <c r="D726" s="22"/>
      <c r="E726" s="911"/>
      <c r="F726" s="911"/>
      <c r="G726" s="915"/>
      <c r="H726" s="1746" t="s">
        <v>6311</v>
      </c>
      <c r="I726" s="330"/>
      <c r="J726" s="169">
        <v>2023</v>
      </c>
      <c r="K726" s="1417">
        <v>233023</v>
      </c>
      <c r="L726" s="1417"/>
      <c r="M726" s="170" t="s">
        <v>166</v>
      </c>
      <c r="N726" s="178" t="s">
        <v>5920</v>
      </c>
      <c r="O726" s="172" t="s">
        <v>46</v>
      </c>
      <c r="P726" s="173" t="s">
        <v>5957</v>
      </c>
      <c r="Q726" s="173" t="s">
        <v>2538</v>
      </c>
      <c r="R726" s="174">
        <f>500*1.16</f>
        <v>580</v>
      </c>
      <c r="S726" s="175">
        <v>45204</v>
      </c>
      <c r="T726" s="176">
        <v>45208</v>
      </c>
      <c r="U726" s="177">
        <v>45240</v>
      </c>
      <c r="V726" s="105" t="s">
        <v>68</v>
      </c>
      <c r="W726" s="178" t="s">
        <v>4362</v>
      </c>
      <c r="X726" s="170" t="s">
        <v>70</v>
      </c>
      <c r="Y726" s="200" t="s">
        <v>68</v>
      </c>
      <c r="Z726" s="368" t="s">
        <v>68</v>
      </c>
      <c r="AA726" s="33"/>
      <c r="AB726" s="8"/>
      <c r="AC726" s="4"/>
      <c r="AD726" s="4"/>
      <c r="AE726" s="32"/>
      <c r="AF726" s="34" t="s">
        <v>68</v>
      </c>
      <c r="AG726" s="112" t="s">
        <v>68</v>
      </c>
      <c r="AH726" s="112" t="s">
        <v>68</v>
      </c>
      <c r="AI726" s="7" t="s">
        <v>68</v>
      </c>
      <c r="AJ726" s="109" t="s">
        <v>68</v>
      </c>
      <c r="AK726" s="33" t="s">
        <v>68</v>
      </c>
      <c r="AL726" s="1" t="s">
        <v>68</v>
      </c>
      <c r="AM726" s="5"/>
      <c r="AN726" s="1" t="s">
        <v>68</v>
      </c>
      <c r="AO726" s="5"/>
      <c r="AP726" s="1" t="s">
        <v>68</v>
      </c>
      <c r="AQ726" s="5"/>
      <c r="AR726" s="279"/>
      <c r="AS726" s="35">
        <v>0</v>
      </c>
      <c r="AT726" s="895">
        <v>0</v>
      </c>
      <c r="AU726" s="884">
        <v>0</v>
      </c>
      <c r="AV726" s="30" t="s">
        <v>68</v>
      </c>
      <c r="AW726" s="11" t="s">
        <v>68</v>
      </c>
      <c r="AX726" s="223" t="s">
        <v>68</v>
      </c>
      <c r="AY726" s="52" t="s">
        <v>68</v>
      </c>
      <c r="AZ726" s="30" t="s">
        <v>68</v>
      </c>
      <c r="BA726" s="5"/>
      <c r="BB726" s="5"/>
      <c r="BC726" s="11"/>
      <c r="BD726" s="30" t="s">
        <v>68</v>
      </c>
      <c r="BE726" s="309"/>
      <c r="BF726" s="5"/>
      <c r="BG726" s="5"/>
      <c r="BH726" s="5"/>
      <c r="BI726" s="36"/>
      <c r="BJ726" s="13" t="s">
        <v>68</v>
      </c>
      <c r="BK726" s="352"/>
      <c r="BL726" s="913" t="s">
        <v>68</v>
      </c>
      <c r="BM726" s="912" t="s">
        <v>68</v>
      </c>
      <c r="BN726" s="912" t="s">
        <v>68</v>
      </c>
      <c r="BO726" s="1392" t="s">
        <v>68</v>
      </c>
      <c r="BP726" s="1392" t="s">
        <v>68</v>
      </c>
      <c r="BQ726" s="1392" t="s">
        <v>68</v>
      </c>
      <c r="BR726" s="1392" t="s">
        <v>68</v>
      </c>
      <c r="BS726" s="1392" t="s">
        <v>68</v>
      </c>
      <c r="BT726" s="1392" t="s">
        <v>68</v>
      </c>
      <c r="BU726" s="1392" t="s">
        <v>68</v>
      </c>
      <c r="BV726" s="913" t="s">
        <v>68</v>
      </c>
      <c r="BW726" s="13"/>
      <c r="BX726" s="22"/>
      <c r="BY726" s="22"/>
      <c r="BZ726" s="22"/>
      <c r="CA726" s="22"/>
      <c r="CB726" s="1222" t="s">
        <v>3944</v>
      </c>
      <c r="CC726" s="859"/>
      <c r="CD726" s="526"/>
      <c r="CE726" s="526"/>
      <c r="CF726" s="526"/>
      <c r="CG726" s="526"/>
      <c r="CH726" s="526"/>
      <c r="CI726" s="526"/>
      <c r="CJ726" s="526"/>
      <c r="CK726" s="15"/>
    </row>
    <row r="727" spans="2:89" ht="34.5" hidden="1" customHeight="1">
      <c r="B727" s="22"/>
      <c r="C727" s="122"/>
      <c r="D727" s="22"/>
      <c r="E727" s="911"/>
      <c r="F727" s="911"/>
      <c r="G727" s="915"/>
      <c r="H727" s="1746" t="s">
        <v>1295</v>
      </c>
      <c r="I727" s="330"/>
      <c r="J727" s="169">
        <v>2023</v>
      </c>
      <c r="K727" s="1417">
        <v>233037</v>
      </c>
      <c r="L727" s="1417"/>
      <c r="M727" s="170" t="s">
        <v>166</v>
      </c>
      <c r="N727" s="178" t="s">
        <v>5913</v>
      </c>
      <c r="O727" s="172" t="s">
        <v>251</v>
      </c>
      <c r="P727" s="173" t="s">
        <v>68</v>
      </c>
      <c r="Q727" s="173" t="s">
        <v>68</v>
      </c>
      <c r="R727" s="174"/>
      <c r="S727" s="175"/>
      <c r="T727" s="176"/>
      <c r="U727" s="177"/>
      <c r="V727" s="105" t="s">
        <v>68</v>
      </c>
      <c r="W727" s="178"/>
      <c r="X727" s="170" t="s">
        <v>472</v>
      </c>
      <c r="Y727" s="200" t="s">
        <v>68</v>
      </c>
      <c r="Z727" s="368" t="s">
        <v>68</v>
      </c>
      <c r="AA727" s="33"/>
      <c r="AB727" s="8"/>
      <c r="AC727" s="4"/>
      <c r="AD727" s="4"/>
      <c r="AE727" s="32"/>
      <c r="AF727" s="34" t="s">
        <v>68</v>
      </c>
      <c r="AG727" s="112" t="s">
        <v>68</v>
      </c>
      <c r="AH727" s="112" t="s">
        <v>68</v>
      </c>
      <c r="AI727" s="7" t="s">
        <v>68</v>
      </c>
      <c r="AJ727" s="109" t="s">
        <v>68</v>
      </c>
      <c r="AK727" s="33" t="s">
        <v>68</v>
      </c>
      <c r="AL727" s="1" t="s">
        <v>68</v>
      </c>
      <c r="AM727" s="5"/>
      <c r="AN727" s="1" t="s">
        <v>68</v>
      </c>
      <c r="AO727" s="5"/>
      <c r="AP727" s="1" t="s">
        <v>68</v>
      </c>
      <c r="AQ727" s="5"/>
      <c r="AR727" s="279"/>
      <c r="AS727" s="35">
        <v>0</v>
      </c>
      <c r="AT727" s="895">
        <v>0</v>
      </c>
      <c r="AU727" s="884">
        <v>0</v>
      </c>
      <c r="AV727" s="30" t="s">
        <v>68</v>
      </c>
      <c r="AW727" s="11" t="s">
        <v>68</v>
      </c>
      <c r="AX727" s="223" t="s">
        <v>68</v>
      </c>
      <c r="AY727" s="52" t="s">
        <v>68</v>
      </c>
      <c r="AZ727" s="30" t="s">
        <v>68</v>
      </c>
      <c r="BA727" s="5"/>
      <c r="BB727" s="5"/>
      <c r="BC727" s="11"/>
      <c r="BD727" s="30" t="s">
        <v>68</v>
      </c>
      <c r="BE727" s="309"/>
      <c r="BF727" s="5"/>
      <c r="BG727" s="5"/>
      <c r="BH727" s="5"/>
      <c r="BI727" s="36"/>
      <c r="BJ727" s="13" t="s">
        <v>68</v>
      </c>
      <c r="BK727" s="352"/>
      <c r="BL727" s="913" t="s">
        <v>68</v>
      </c>
      <c r="BM727" s="912" t="s">
        <v>68</v>
      </c>
      <c r="BN727" s="912" t="s">
        <v>68</v>
      </c>
      <c r="BO727" s="1392" t="s">
        <v>68</v>
      </c>
      <c r="BP727" s="1392" t="s">
        <v>68</v>
      </c>
      <c r="BQ727" s="1392" t="s">
        <v>68</v>
      </c>
      <c r="BR727" s="1392" t="s">
        <v>68</v>
      </c>
      <c r="BS727" s="1392" t="s">
        <v>68</v>
      </c>
      <c r="BT727" s="1392" t="s">
        <v>68</v>
      </c>
      <c r="BU727" s="1392" t="s">
        <v>68</v>
      </c>
      <c r="BV727" s="913" t="s">
        <v>68</v>
      </c>
      <c r="BW727" s="13"/>
      <c r="BX727" s="22"/>
      <c r="BY727" s="22"/>
      <c r="BZ727" s="22"/>
      <c r="CA727" s="22"/>
      <c r="CB727" s="1222" t="s">
        <v>3944</v>
      </c>
      <c r="CC727" s="859"/>
      <c r="CD727" s="526"/>
      <c r="CE727" s="526"/>
      <c r="CF727" s="526"/>
      <c r="CG727" s="526"/>
      <c r="CH727" s="526"/>
      <c r="CI727" s="526"/>
      <c r="CJ727" s="526"/>
      <c r="CK727" s="15"/>
    </row>
    <row r="728" spans="2:89" ht="102.75" hidden="1" customHeight="1">
      <c r="B728" s="809"/>
      <c r="C728" s="122"/>
      <c r="D728" s="22"/>
      <c r="E728" s="911">
        <v>45170</v>
      </c>
      <c r="F728" s="911"/>
      <c r="G728" s="915">
        <v>45274</v>
      </c>
      <c r="H728" s="1746" t="s">
        <v>6311</v>
      </c>
      <c r="I728" s="330">
        <v>45332</v>
      </c>
      <c r="J728" s="169">
        <v>2023</v>
      </c>
      <c r="K728" s="1417">
        <v>234001</v>
      </c>
      <c r="L728" s="1417"/>
      <c r="M728" s="170" t="s">
        <v>166</v>
      </c>
      <c r="N728" s="178" t="s">
        <v>5369</v>
      </c>
      <c r="O728" s="172" t="s">
        <v>4032</v>
      </c>
      <c r="P728" s="451" t="s">
        <v>5480</v>
      </c>
      <c r="Q728" s="173" t="s">
        <v>1975</v>
      </c>
      <c r="R728" s="594">
        <v>307647.35999999999</v>
      </c>
      <c r="S728" s="175">
        <v>44967</v>
      </c>
      <c r="T728" s="176">
        <v>44968</v>
      </c>
      <c r="U728" s="177">
        <v>44985</v>
      </c>
      <c r="V728" s="105" t="s">
        <v>68</v>
      </c>
      <c r="W728" s="178" t="s">
        <v>68</v>
      </c>
      <c r="X728" s="1045" t="s">
        <v>70</v>
      </c>
      <c r="Y728" s="1094" t="s">
        <v>1428</v>
      </c>
      <c r="Z728" s="368" t="s">
        <v>5818</v>
      </c>
      <c r="AA728" s="241" t="s">
        <v>5669</v>
      </c>
      <c r="AB728" s="8">
        <v>44995</v>
      </c>
      <c r="AC728" s="4">
        <v>254339.78</v>
      </c>
      <c r="AD728" s="4"/>
      <c r="AE728" s="32"/>
      <c r="AF728" s="1725" t="s">
        <v>68</v>
      </c>
      <c r="AG728" s="1726" t="s">
        <v>68</v>
      </c>
      <c r="AH728" s="1726" t="s">
        <v>68</v>
      </c>
      <c r="AI728" s="1727" t="s">
        <v>68</v>
      </c>
      <c r="AJ728" s="1728" t="s">
        <v>68</v>
      </c>
      <c r="AK728" s="1729" t="s">
        <v>68</v>
      </c>
      <c r="AL728" s="1634" t="s">
        <v>68</v>
      </c>
      <c r="AM728" s="1656"/>
      <c r="AN728" s="1634" t="s">
        <v>68</v>
      </c>
      <c r="AO728" s="1656"/>
      <c r="AP728" s="1634" t="s">
        <v>68</v>
      </c>
      <c r="AQ728" s="1656"/>
      <c r="AR728" s="1730"/>
      <c r="AS728" s="35">
        <v>82345.63</v>
      </c>
      <c r="AT728" s="895">
        <v>218459.95</v>
      </c>
      <c r="AU728" s="891"/>
      <c r="AV728" s="230"/>
      <c r="AW728" s="11"/>
      <c r="AX728" s="188">
        <v>0</v>
      </c>
      <c r="AY728" s="73" t="s">
        <v>482</v>
      </c>
      <c r="AZ728" s="30">
        <v>44984</v>
      </c>
      <c r="BA728" s="5">
        <v>44968</v>
      </c>
      <c r="BB728" s="5">
        <v>44985</v>
      </c>
      <c r="BC728" s="11"/>
      <c r="BD728" s="30">
        <v>44984</v>
      </c>
      <c r="BE728" s="201" t="str">
        <f>N728</f>
        <v>DOP/AD/001/2023</v>
      </c>
      <c r="BF728" s="5">
        <v>44968</v>
      </c>
      <c r="BG728" s="5">
        <v>44985</v>
      </c>
      <c r="BH728" s="5">
        <v>44982</v>
      </c>
      <c r="BI728" s="36">
        <f t="shared" ref="BI728:BI737" si="22">AS728+AT728</f>
        <v>300805.58</v>
      </c>
      <c r="BJ728" s="519" t="s">
        <v>68</v>
      </c>
      <c r="BK728" s="519"/>
      <c r="BL728" s="324">
        <v>44967</v>
      </c>
      <c r="BM728" s="912" t="s">
        <v>68</v>
      </c>
      <c r="BN728" s="912" t="s">
        <v>68</v>
      </c>
      <c r="BO728" s="1391"/>
      <c r="BP728" s="1392" t="s">
        <v>68</v>
      </c>
      <c r="BQ728" s="1392" t="s">
        <v>68</v>
      </c>
      <c r="BR728" s="1392" t="s">
        <v>68</v>
      </c>
      <c r="BS728" s="1392" t="s">
        <v>68</v>
      </c>
      <c r="BT728" s="1392" t="s">
        <v>68</v>
      </c>
      <c r="BU728" s="1392" t="s">
        <v>68</v>
      </c>
      <c r="BV728" s="913" t="s">
        <v>68</v>
      </c>
      <c r="BW728" s="13"/>
      <c r="BX728" s="22"/>
      <c r="BY728" s="22"/>
      <c r="BZ728" s="22"/>
      <c r="CA728" s="22"/>
      <c r="CB728" s="1222" t="s">
        <v>3944</v>
      </c>
      <c r="CC728" s="859"/>
      <c r="CD728" s="526"/>
      <c r="CE728" s="526"/>
      <c r="CF728" s="526"/>
      <c r="CG728" s="526"/>
      <c r="CH728" s="526"/>
      <c r="CI728" s="526"/>
      <c r="CJ728" s="526"/>
      <c r="CK728" s="15"/>
    </row>
    <row r="729" spans="2:89" ht="69" hidden="1" customHeight="1">
      <c r="B729" s="809"/>
      <c r="C729" s="122"/>
      <c r="D729" s="22"/>
      <c r="E729" s="911"/>
      <c r="F729" s="911"/>
      <c r="G729" s="915">
        <v>45331</v>
      </c>
      <c r="H729" s="1746" t="s">
        <v>6311</v>
      </c>
      <c r="I729" s="330">
        <v>45302</v>
      </c>
      <c r="J729" s="169">
        <v>2023</v>
      </c>
      <c r="K729" s="1417">
        <v>234002</v>
      </c>
      <c r="L729" s="1417"/>
      <c r="M729" s="1711" t="s">
        <v>5893</v>
      </c>
      <c r="N729" s="178" t="s">
        <v>5370</v>
      </c>
      <c r="O729" s="172" t="s">
        <v>4032</v>
      </c>
      <c r="P729" s="173" t="s">
        <v>5835</v>
      </c>
      <c r="Q729" s="173" t="s">
        <v>1975</v>
      </c>
      <c r="R729" s="594">
        <v>27472.5</v>
      </c>
      <c r="S729" s="175">
        <v>45033</v>
      </c>
      <c r="T729" s="176">
        <v>45036</v>
      </c>
      <c r="U729" s="177">
        <v>45038</v>
      </c>
      <c r="V729" s="105" t="s">
        <v>68</v>
      </c>
      <c r="W729" s="178" t="s">
        <v>68</v>
      </c>
      <c r="X729" s="170" t="s">
        <v>213</v>
      </c>
      <c r="Y729" s="1040"/>
      <c r="Z729" s="1383"/>
      <c r="AA729" s="255"/>
      <c r="AB729" s="8"/>
      <c r="AC729" s="4"/>
      <c r="AD729" s="4"/>
      <c r="AE729" s="32"/>
      <c r="AF729" s="34" t="s">
        <v>68</v>
      </c>
      <c r="AG729" s="112" t="s">
        <v>68</v>
      </c>
      <c r="AH729" s="112" t="s">
        <v>68</v>
      </c>
      <c r="AI729" s="7" t="s">
        <v>68</v>
      </c>
      <c r="AJ729" s="109" t="s">
        <v>68</v>
      </c>
      <c r="AK729" s="1729" t="s">
        <v>68</v>
      </c>
      <c r="AL729" s="1634" t="s">
        <v>68</v>
      </c>
      <c r="AM729" s="1656"/>
      <c r="AN729" s="1634" t="s">
        <v>68</v>
      </c>
      <c r="AO729" s="1656"/>
      <c r="AP729" s="1634" t="s">
        <v>68</v>
      </c>
      <c r="AQ729" s="1656"/>
      <c r="AR729" s="1730"/>
      <c r="AS729" s="35">
        <v>0</v>
      </c>
      <c r="AT729" s="895">
        <v>27472.5</v>
      </c>
      <c r="AU729" s="891"/>
      <c r="AV729" s="230"/>
      <c r="AW729" s="11"/>
      <c r="AX729" s="188">
        <v>0</v>
      </c>
      <c r="AY729" s="73">
        <v>0</v>
      </c>
      <c r="AZ729" s="30">
        <v>45039</v>
      </c>
      <c r="BA729" s="5">
        <v>45036</v>
      </c>
      <c r="BB729" s="5">
        <v>45038</v>
      </c>
      <c r="BC729" s="11"/>
      <c r="BD729" s="30">
        <v>45040</v>
      </c>
      <c r="BE729" s="201" t="s">
        <v>5370</v>
      </c>
      <c r="BF729" s="5">
        <v>45036</v>
      </c>
      <c r="BG729" s="5">
        <v>45039</v>
      </c>
      <c r="BH729" s="5">
        <v>45039</v>
      </c>
      <c r="BI729" s="36">
        <f t="shared" si="22"/>
        <v>27472.5</v>
      </c>
      <c r="BJ729" s="1242" t="s">
        <v>68</v>
      </c>
      <c r="BK729" s="519"/>
      <c r="BL729" s="336">
        <v>45033</v>
      </c>
      <c r="BM729" s="912" t="s">
        <v>68</v>
      </c>
      <c r="BN729" s="912" t="s">
        <v>68</v>
      </c>
      <c r="BO729" s="1391"/>
      <c r="BP729" s="1392" t="s">
        <v>68</v>
      </c>
      <c r="BQ729" s="1392" t="s">
        <v>68</v>
      </c>
      <c r="BR729" s="1392" t="s">
        <v>68</v>
      </c>
      <c r="BS729" s="1392" t="s">
        <v>68</v>
      </c>
      <c r="BT729" s="1392" t="s">
        <v>68</v>
      </c>
      <c r="BU729" s="1392" t="s">
        <v>68</v>
      </c>
      <c r="BV729" s="913" t="s">
        <v>68</v>
      </c>
      <c r="BW729" s="13"/>
      <c r="BX729" s="22"/>
      <c r="BY729" s="22"/>
      <c r="BZ729" s="22"/>
      <c r="CA729" s="22"/>
      <c r="CB729" s="1222" t="s">
        <v>3944</v>
      </c>
      <c r="CC729" s="859"/>
      <c r="CD729" s="526"/>
      <c r="CE729" s="526"/>
      <c r="CF729" s="526"/>
      <c r="CG729" s="526"/>
      <c r="CH729" s="526"/>
      <c r="CI729" s="526"/>
      <c r="CJ729" s="526"/>
      <c r="CK729" s="15"/>
    </row>
    <row r="730" spans="2:89" ht="95.25" hidden="1" customHeight="1">
      <c r="B730" s="809"/>
      <c r="C730" s="122"/>
      <c r="D730" s="22"/>
      <c r="E730" s="911"/>
      <c r="F730" s="911"/>
      <c r="G730" s="915">
        <v>45330</v>
      </c>
      <c r="H730" s="1746" t="s">
        <v>6311</v>
      </c>
      <c r="I730" s="330">
        <v>45332</v>
      </c>
      <c r="J730" s="169">
        <v>2023</v>
      </c>
      <c r="K730" s="1417">
        <v>234003</v>
      </c>
      <c r="L730" s="1417"/>
      <c r="M730" s="170" t="s">
        <v>166</v>
      </c>
      <c r="N730" s="178" t="s">
        <v>5371</v>
      </c>
      <c r="O730" s="172" t="s">
        <v>4032</v>
      </c>
      <c r="P730" s="173" t="s">
        <v>5882</v>
      </c>
      <c r="Q730" s="173" t="s">
        <v>2538</v>
      </c>
      <c r="R730" s="594">
        <v>495788.04</v>
      </c>
      <c r="S730" s="175">
        <v>45557</v>
      </c>
      <c r="T730" s="176">
        <v>45208</v>
      </c>
      <c r="U730" s="177">
        <v>45240</v>
      </c>
      <c r="V730" s="105" t="s">
        <v>68</v>
      </c>
      <c r="W730" s="178" t="s">
        <v>68</v>
      </c>
      <c r="X730" s="170" t="s">
        <v>70</v>
      </c>
      <c r="Y730" s="1094" t="s">
        <v>1428</v>
      </c>
      <c r="Z730" s="1383"/>
      <c r="AA730" s="241" t="s">
        <v>5960</v>
      </c>
      <c r="AB730" s="8">
        <v>45166</v>
      </c>
      <c r="AC730" s="4">
        <v>495788.04</v>
      </c>
      <c r="AD730" s="4"/>
      <c r="AE730" s="32"/>
      <c r="AF730" s="1725" t="s">
        <v>68</v>
      </c>
      <c r="AG730" s="1726" t="s">
        <v>68</v>
      </c>
      <c r="AH730" s="1726" t="s">
        <v>68</v>
      </c>
      <c r="AI730" s="1727" t="s">
        <v>68</v>
      </c>
      <c r="AJ730" s="1728" t="s">
        <v>68</v>
      </c>
      <c r="AK730" s="1729" t="s">
        <v>68</v>
      </c>
      <c r="AL730" s="1634" t="s">
        <v>68</v>
      </c>
      <c r="AM730" s="1656"/>
      <c r="AN730" s="1634" t="s">
        <v>68</v>
      </c>
      <c r="AO730" s="1656"/>
      <c r="AP730" s="1634" t="s">
        <v>68</v>
      </c>
      <c r="AQ730" s="1656"/>
      <c r="AR730" s="1730"/>
      <c r="AS730" s="35">
        <v>94675.49</v>
      </c>
      <c r="AT730" s="895">
        <v>242230.53</v>
      </c>
      <c r="AU730" s="891"/>
      <c r="AV730" s="230"/>
      <c r="AW730" s="11"/>
      <c r="AX730" s="188">
        <v>0</v>
      </c>
      <c r="AY730" s="73" t="s">
        <v>518</v>
      </c>
      <c r="AZ730" s="30">
        <v>44878</v>
      </c>
      <c r="BA730" s="5">
        <v>45208</v>
      </c>
      <c r="BB730" s="5">
        <v>45240</v>
      </c>
      <c r="BC730" s="11"/>
      <c r="BD730" s="30">
        <v>45243</v>
      </c>
      <c r="BE730" s="201" t="str">
        <f>N730</f>
        <v>DOP/AD/003/2023</v>
      </c>
      <c r="BF730" s="5">
        <v>45208</v>
      </c>
      <c r="BG730" s="5">
        <v>45240</v>
      </c>
      <c r="BH730" s="5">
        <v>45241</v>
      </c>
      <c r="BI730" s="36">
        <f t="shared" si="22"/>
        <v>336906.02</v>
      </c>
      <c r="BJ730" s="1242" t="s">
        <v>68</v>
      </c>
      <c r="BK730" s="519"/>
      <c r="BL730" s="336">
        <v>45205</v>
      </c>
      <c r="BM730" s="912" t="s">
        <v>68</v>
      </c>
      <c r="BN730" s="912" t="s">
        <v>68</v>
      </c>
      <c r="BO730" s="1391"/>
      <c r="BP730" s="1392" t="s">
        <v>68</v>
      </c>
      <c r="BQ730" s="1392" t="s">
        <v>68</v>
      </c>
      <c r="BR730" s="1392" t="s">
        <v>68</v>
      </c>
      <c r="BS730" s="1392" t="s">
        <v>68</v>
      </c>
      <c r="BT730" s="1392" t="s">
        <v>68</v>
      </c>
      <c r="BU730" s="1392" t="s">
        <v>68</v>
      </c>
      <c r="BV730" s="913" t="s">
        <v>68</v>
      </c>
      <c r="BW730" s="13"/>
      <c r="BX730" s="22"/>
      <c r="BY730" s="22"/>
      <c r="BZ730" s="22"/>
      <c r="CA730" s="22"/>
      <c r="CB730" s="1222" t="s">
        <v>3944</v>
      </c>
      <c r="CC730" s="859"/>
      <c r="CD730" s="526"/>
      <c r="CE730" s="526"/>
      <c r="CF730" s="526"/>
      <c r="CG730" s="526"/>
      <c r="CH730" s="526"/>
      <c r="CI730" s="526"/>
      <c r="CJ730" s="526"/>
      <c r="CK730" s="15"/>
    </row>
    <row r="731" spans="2:89" ht="73.5" hidden="1" customHeight="1">
      <c r="B731" s="809"/>
      <c r="C731" s="122"/>
      <c r="D731" s="22"/>
      <c r="E731" s="911"/>
      <c r="F731" s="911"/>
      <c r="G731" s="915">
        <v>45330</v>
      </c>
      <c r="H731" s="1746" t="s">
        <v>6311</v>
      </c>
      <c r="I731" s="330"/>
      <c r="J731" s="169">
        <v>2023</v>
      </c>
      <c r="K731" s="1417">
        <v>234004</v>
      </c>
      <c r="L731" s="1417"/>
      <c r="M731" s="170" t="s">
        <v>166</v>
      </c>
      <c r="N731" s="178" t="s">
        <v>5372</v>
      </c>
      <c r="O731" s="172" t="s">
        <v>4032</v>
      </c>
      <c r="P731" s="173" t="s">
        <v>5883</v>
      </c>
      <c r="Q731" s="173" t="s">
        <v>1975</v>
      </c>
      <c r="R731" s="594">
        <v>80000</v>
      </c>
      <c r="S731" s="175">
        <v>45191</v>
      </c>
      <c r="T731" s="176">
        <v>45201</v>
      </c>
      <c r="U731" s="177">
        <v>45227</v>
      </c>
      <c r="V731" s="105" t="s">
        <v>68</v>
      </c>
      <c r="W731" s="178" t="s">
        <v>68</v>
      </c>
      <c r="X731" s="170" t="s">
        <v>70</v>
      </c>
      <c r="Y731" s="1094" t="s">
        <v>1428</v>
      </c>
      <c r="Z731" s="1383"/>
      <c r="AA731" s="33" t="s">
        <v>6357</v>
      </c>
      <c r="AB731" s="8">
        <v>45166</v>
      </c>
      <c r="AC731" s="4">
        <v>80000</v>
      </c>
      <c r="AD731" s="4"/>
      <c r="AE731" s="32"/>
      <c r="AF731" s="1725" t="s">
        <v>68</v>
      </c>
      <c r="AG731" s="1726" t="s">
        <v>68</v>
      </c>
      <c r="AH731" s="1726" t="s">
        <v>68</v>
      </c>
      <c r="AI731" s="1727" t="s">
        <v>68</v>
      </c>
      <c r="AJ731" s="1728" t="s">
        <v>68</v>
      </c>
      <c r="AK731" s="1729" t="s">
        <v>68</v>
      </c>
      <c r="AL731" s="1634" t="s">
        <v>68</v>
      </c>
      <c r="AM731" s="1656"/>
      <c r="AN731" s="1634" t="s">
        <v>68</v>
      </c>
      <c r="AO731" s="1656"/>
      <c r="AP731" s="1634" t="s">
        <v>68</v>
      </c>
      <c r="AQ731" s="1656"/>
      <c r="AR731" s="1730"/>
      <c r="AS731" s="35">
        <v>46948.55</v>
      </c>
      <c r="AT731" s="895">
        <v>21116</v>
      </c>
      <c r="AU731" s="891"/>
      <c r="AV731" s="230"/>
      <c r="AW731" s="11"/>
      <c r="AX731" s="1721">
        <v>0</v>
      </c>
      <c r="AY731" s="1722"/>
      <c r="AZ731" s="230"/>
      <c r="BA731" s="5"/>
      <c r="BB731" s="5"/>
      <c r="BC731" s="11"/>
      <c r="BD731" s="230"/>
      <c r="BE731" s="508"/>
      <c r="BF731" s="5"/>
      <c r="BG731" s="5"/>
      <c r="BH731" s="5"/>
      <c r="BI731" s="36">
        <f t="shared" si="22"/>
        <v>68064.55</v>
      </c>
      <c r="BJ731" s="1243" t="s">
        <v>68</v>
      </c>
      <c r="BK731" s="519"/>
      <c r="BL731" s="1389"/>
      <c r="BM731" s="912" t="s">
        <v>68</v>
      </c>
      <c r="BN731" s="912" t="s">
        <v>68</v>
      </c>
      <c r="BO731" s="1391"/>
      <c r="BP731" s="1392" t="s">
        <v>68</v>
      </c>
      <c r="BQ731" s="1392" t="s">
        <v>68</v>
      </c>
      <c r="BR731" s="1392" t="s">
        <v>68</v>
      </c>
      <c r="BS731" s="1392" t="s">
        <v>68</v>
      </c>
      <c r="BT731" s="1392" t="s">
        <v>68</v>
      </c>
      <c r="BU731" s="1392" t="s">
        <v>68</v>
      </c>
      <c r="BV731" s="913" t="s">
        <v>68</v>
      </c>
      <c r="BW731" s="13"/>
      <c r="BX731" s="22"/>
      <c r="BY731" s="22"/>
      <c r="BZ731" s="22"/>
      <c r="CA731" s="22"/>
      <c r="CB731" s="1222" t="s">
        <v>3944</v>
      </c>
      <c r="CC731" s="859"/>
      <c r="CD731" s="526"/>
      <c r="CE731" s="526"/>
      <c r="CF731" s="526"/>
      <c r="CG731" s="526"/>
      <c r="CH731" s="526"/>
      <c r="CI731" s="526"/>
      <c r="CJ731" s="526"/>
      <c r="CK731" s="15"/>
    </row>
    <row r="732" spans="2:89" ht="95.25" hidden="1" customHeight="1">
      <c r="B732" s="809"/>
      <c r="C732" s="122"/>
      <c r="D732" s="22"/>
      <c r="E732" s="911"/>
      <c r="F732" s="911"/>
      <c r="G732" s="915">
        <v>45331</v>
      </c>
      <c r="H732" s="1746" t="s">
        <v>6311</v>
      </c>
      <c r="I732" s="330">
        <v>45302</v>
      </c>
      <c r="J732" s="169">
        <v>2023</v>
      </c>
      <c r="K732" s="1417">
        <v>234005</v>
      </c>
      <c r="L732" s="1417"/>
      <c r="M732" s="1711" t="s">
        <v>5894</v>
      </c>
      <c r="N732" s="178" t="s">
        <v>5373</v>
      </c>
      <c r="O732" s="172" t="s">
        <v>4032</v>
      </c>
      <c r="P732" s="173" t="s">
        <v>5834</v>
      </c>
      <c r="Q732" s="173" t="s">
        <v>1975</v>
      </c>
      <c r="R732" s="594">
        <v>92407.5</v>
      </c>
      <c r="S732" s="175">
        <v>45244</v>
      </c>
      <c r="T732" s="176">
        <v>45264</v>
      </c>
      <c r="U732" s="177">
        <v>45268</v>
      </c>
      <c r="V732" s="105" t="s">
        <v>68</v>
      </c>
      <c r="W732" s="178" t="s">
        <v>68</v>
      </c>
      <c r="X732" s="170" t="s">
        <v>1107</v>
      </c>
      <c r="Y732" s="1040"/>
      <c r="Z732" s="1383"/>
      <c r="AA732" s="255"/>
      <c r="AB732" s="8"/>
      <c r="AC732" s="4"/>
      <c r="AD732" s="4"/>
      <c r="AE732" s="32"/>
      <c r="AF732" s="34" t="s">
        <v>68</v>
      </c>
      <c r="AG732" s="112" t="s">
        <v>68</v>
      </c>
      <c r="AH732" s="112" t="s">
        <v>68</v>
      </c>
      <c r="AI732" s="7" t="s">
        <v>68</v>
      </c>
      <c r="AJ732" s="109" t="s">
        <v>68</v>
      </c>
      <c r="AK732" s="1729" t="s">
        <v>68</v>
      </c>
      <c r="AL732" s="1634" t="s">
        <v>68</v>
      </c>
      <c r="AM732" s="1656"/>
      <c r="AN732" s="1634" t="s">
        <v>68</v>
      </c>
      <c r="AO732" s="1656"/>
      <c r="AP732" s="1634" t="s">
        <v>68</v>
      </c>
      <c r="AQ732" s="1656"/>
      <c r="AR732" s="1730"/>
      <c r="AS732" s="1026">
        <v>0</v>
      </c>
      <c r="AT732" s="900">
        <v>94407.21</v>
      </c>
      <c r="AU732" s="891"/>
      <c r="AV732" s="230"/>
      <c r="AW732" s="11"/>
      <c r="AX732" s="1721"/>
      <c r="AY732" s="1722"/>
      <c r="AZ732" s="230"/>
      <c r="BA732" s="5"/>
      <c r="BB732" s="5"/>
      <c r="BC732" s="11"/>
      <c r="BD732" s="230"/>
      <c r="BE732" s="508"/>
      <c r="BF732" s="5"/>
      <c r="BG732" s="5"/>
      <c r="BH732" s="5"/>
      <c r="BI732" s="36">
        <f t="shared" si="22"/>
        <v>94407.21</v>
      </c>
      <c r="BJ732" s="1243" t="s">
        <v>68</v>
      </c>
      <c r="BK732" s="519"/>
      <c r="BL732" s="1389"/>
      <c r="BM732" s="912" t="s">
        <v>68</v>
      </c>
      <c r="BN732" s="912" t="s">
        <v>68</v>
      </c>
      <c r="BO732" s="1391"/>
      <c r="BP732" s="1392" t="s">
        <v>68</v>
      </c>
      <c r="BQ732" s="1392" t="s">
        <v>68</v>
      </c>
      <c r="BR732" s="1392" t="s">
        <v>68</v>
      </c>
      <c r="BS732" s="1392" t="s">
        <v>68</v>
      </c>
      <c r="BT732" s="1392" t="s">
        <v>68</v>
      </c>
      <c r="BU732" s="1392" t="s">
        <v>68</v>
      </c>
      <c r="BV732" s="913" t="s">
        <v>68</v>
      </c>
      <c r="BW732" s="13"/>
      <c r="BX732" s="22"/>
      <c r="BY732" s="22"/>
      <c r="BZ732" s="22"/>
      <c r="CA732" s="22"/>
      <c r="CB732" s="1222" t="s">
        <v>3944</v>
      </c>
      <c r="CC732" s="859"/>
      <c r="CD732" s="526"/>
      <c r="CE732" s="526"/>
      <c r="CF732" s="526"/>
      <c r="CG732" s="526"/>
      <c r="CH732" s="526"/>
      <c r="CI732" s="526"/>
      <c r="CJ732" s="526"/>
      <c r="CK732" s="15"/>
    </row>
    <row r="733" spans="2:89" ht="80.25" hidden="1" customHeight="1">
      <c r="B733" s="809"/>
      <c r="C733" s="122"/>
      <c r="D733" s="22"/>
      <c r="E733" s="911"/>
      <c r="F733" s="911"/>
      <c r="G733" s="915"/>
      <c r="H733" s="1746" t="s">
        <v>6311</v>
      </c>
      <c r="I733" s="330"/>
      <c r="J733" s="169">
        <v>2023</v>
      </c>
      <c r="K733" s="1417">
        <v>234006</v>
      </c>
      <c r="L733" s="1417"/>
      <c r="M733" s="170" t="s">
        <v>166</v>
      </c>
      <c r="N733" s="178" t="s">
        <v>5374</v>
      </c>
      <c r="O733" s="172" t="s">
        <v>4032</v>
      </c>
      <c r="P733" s="173" t="s">
        <v>5885</v>
      </c>
      <c r="Q733" s="173" t="s">
        <v>2538</v>
      </c>
      <c r="R733" s="594">
        <v>280000</v>
      </c>
      <c r="S733" s="175">
        <v>45257</v>
      </c>
      <c r="T733" s="176">
        <v>45264</v>
      </c>
      <c r="U733" s="177">
        <v>45288</v>
      </c>
      <c r="V733" s="105" t="s">
        <v>68</v>
      </c>
      <c r="W733" s="178" t="s">
        <v>68</v>
      </c>
      <c r="X733" s="170" t="s">
        <v>70</v>
      </c>
      <c r="Y733" s="1094" t="s">
        <v>1428</v>
      </c>
      <c r="Z733" s="1383"/>
      <c r="AA733" s="33" t="s">
        <v>6358</v>
      </c>
      <c r="AB733" s="8">
        <v>45254</v>
      </c>
      <c r="AC733" s="4">
        <v>280000</v>
      </c>
      <c r="AD733" s="4"/>
      <c r="AE733" s="32"/>
      <c r="AF733" s="1725" t="s">
        <v>68</v>
      </c>
      <c r="AG733" s="1726" t="s">
        <v>68</v>
      </c>
      <c r="AH733" s="1726" t="s">
        <v>68</v>
      </c>
      <c r="AI733" s="1727" t="s">
        <v>68</v>
      </c>
      <c r="AJ733" s="1728" t="s">
        <v>68</v>
      </c>
      <c r="AK733" s="1729" t="s">
        <v>68</v>
      </c>
      <c r="AL733" s="1634" t="s">
        <v>68</v>
      </c>
      <c r="AM733" s="1656"/>
      <c r="AN733" s="1634" t="s">
        <v>68</v>
      </c>
      <c r="AO733" s="1656"/>
      <c r="AP733" s="1634" t="s">
        <v>68</v>
      </c>
      <c r="AQ733" s="1656"/>
      <c r="AR733" s="1730"/>
      <c r="AS733" s="1026">
        <v>68368.600000000006</v>
      </c>
      <c r="AT733" s="900">
        <v>212017.28</v>
      </c>
      <c r="AU733" s="891"/>
      <c r="AV733" s="230"/>
      <c r="AW733" s="11"/>
      <c r="AX733" s="1721"/>
      <c r="AY733" s="1722"/>
      <c r="AZ733" s="230"/>
      <c r="BA733" s="5"/>
      <c r="BB733" s="5"/>
      <c r="BC733" s="11"/>
      <c r="BD733" s="230"/>
      <c r="BE733" s="508"/>
      <c r="BF733" s="5"/>
      <c r="BG733" s="5"/>
      <c r="BH733" s="5"/>
      <c r="BI733" s="36">
        <f t="shared" si="22"/>
        <v>280385.88</v>
      </c>
      <c r="BJ733" s="1243" t="s">
        <v>68</v>
      </c>
      <c r="BK733" s="519"/>
      <c r="BL733" s="1389"/>
      <c r="BM733" s="912" t="s">
        <v>68</v>
      </c>
      <c r="BN733" s="912" t="s">
        <v>68</v>
      </c>
      <c r="BO733" s="1391"/>
      <c r="BP733" s="1392" t="s">
        <v>68</v>
      </c>
      <c r="BQ733" s="1392" t="s">
        <v>68</v>
      </c>
      <c r="BR733" s="1392" t="s">
        <v>68</v>
      </c>
      <c r="BS733" s="1392" t="s">
        <v>68</v>
      </c>
      <c r="BT733" s="1392" t="s">
        <v>68</v>
      </c>
      <c r="BU733" s="1392" t="s">
        <v>68</v>
      </c>
      <c r="BV733" s="913" t="s">
        <v>68</v>
      </c>
      <c r="BW733" s="13"/>
      <c r="BX733" s="22"/>
      <c r="BY733" s="22"/>
      <c r="BZ733" s="22"/>
      <c r="CA733" s="22"/>
      <c r="CB733" s="1222" t="s">
        <v>3944</v>
      </c>
      <c r="CC733" s="859"/>
      <c r="CD733" s="526"/>
      <c r="CE733" s="526"/>
      <c r="CF733" s="526"/>
      <c r="CG733" s="526"/>
      <c r="CH733" s="526"/>
      <c r="CI733" s="526"/>
      <c r="CJ733" s="526"/>
      <c r="CK733" s="15"/>
    </row>
    <row r="734" spans="2:89" ht="24.95" hidden="1" customHeight="1">
      <c r="B734" s="22"/>
      <c r="C734" s="122"/>
      <c r="D734" s="22"/>
      <c r="E734" s="911"/>
      <c r="F734" s="911"/>
      <c r="G734" s="915"/>
      <c r="H734" s="1746" t="s">
        <v>1295</v>
      </c>
      <c r="I734" s="330"/>
      <c r="J734" s="169">
        <v>2023</v>
      </c>
      <c r="K734" s="1417">
        <v>234007</v>
      </c>
      <c r="L734" s="1417"/>
      <c r="M734" s="170"/>
      <c r="N734" s="178" t="s">
        <v>5375</v>
      </c>
      <c r="O734" s="790" t="s">
        <v>251</v>
      </c>
      <c r="P734" s="1191" t="s">
        <v>68</v>
      </c>
      <c r="Q734" s="173" t="s">
        <v>68</v>
      </c>
      <c r="R734" s="1669"/>
      <c r="S734" s="175"/>
      <c r="T734" s="176"/>
      <c r="U734" s="177"/>
      <c r="V734" s="105" t="s">
        <v>68</v>
      </c>
      <c r="W734" s="178" t="s">
        <v>68</v>
      </c>
      <c r="X734" s="920"/>
      <c r="Y734" s="1040"/>
      <c r="Z734" s="1383"/>
      <c r="AA734" s="255"/>
      <c r="AB734" s="8"/>
      <c r="AC734" s="4"/>
      <c r="AD734" s="4"/>
      <c r="AE734" s="32"/>
      <c r="AF734" s="34" t="s">
        <v>68</v>
      </c>
      <c r="AG734" s="112" t="s">
        <v>68</v>
      </c>
      <c r="AH734" s="112" t="s">
        <v>68</v>
      </c>
      <c r="AI734" s="7" t="s">
        <v>68</v>
      </c>
      <c r="AJ734" s="109" t="s">
        <v>68</v>
      </c>
      <c r="AK734" s="33" t="s">
        <v>68</v>
      </c>
      <c r="AL734" s="1" t="s">
        <v>68</v>
      </c>
      <c r="AM734" s="5"/>
      <c r="AN734" s="1" t="s">
        <v>68</v>
      </c>
      <c r="AO734" s="5"/>
      <c r="AP734" s="1" t="s">
        <v>68</v>
      </c>
      <c r="AQ734" s="5"/>
      <c r="AR734" s="279"/>
      <c r="AS734" s="674"/>
      <c r="AT734" s="902"/>
      <c r="AU734" s="891"/>
      <c r="AV734" s="230"/>
      <c r="AW734" s="11"/>
      <c r="AX734" s="1429"/>
      <c r="AY734" s="880"/>
      <c r="AZ734" s="230"/>
      <c r="BA734" s="5"/>
      <c r="BB734" s="5"/>
      <c r="BC734" s="11"/>
      <c r="BD734" s="230"/>
      <c r="BE734" s="508"/>
      <c r="BF734" s="5"/>
      <c r="BG734" s="5"/>
      <c r="BH734" s="5"/>
      <c r="BI734" s="36">
        <f t="shared" si="22"/>
        <v>0</v>
      </c>
      <c r="BJ734" s="1170"/>
      <c r="BK734" s="1108"/>
      <c r="BL734" s="1389"/>
      <c r="BM734" s="912" t="s">
        <v>68</v>
      </c>
      <c r="BN734" s="912" t="s">
        <v>68</v>
      </c>
      <c r="BO734" s="1391"/>
      <c r="BP734" s="1392" t="s">
        <v>68</v>
      </c>
      <c r="BQ734" s="1392" t="s">
        <v>68</v>
      </c>
      <c r="BR734" s="1392" t="s">
        <v>68</v>
      </c>
      <c r="BS734" s="1392" t="s">
        <v>68</v>
      </c>
      <c r="BT734" s="1392" t="s">
        <v>68</v>
      </c>
      <c r="BU734" s="1392" t="s">
        <v>68</v>
      </c>
      <c r="BV734" s="913" t="s">
        <v>68</v>
      </c>
      <c r="BW734" s="13"/>
      <c r="BX734" s="22"/>
      <c r="BY734" s="22"/>
      <c r="BZ734" s="22"/>
      <c r="CA734" s="22"/>
      <c r="CB734" s="1222" t="s">
        <v>3944</v>
      </c>
      <c r="CC734" s="859"/>
      <c r="CD734" s="526"/>
      <c r="CE734" s="526"/>
      <c r="CF734" s="526"/>
      <c r="CG734" s="526"/>
      <c r="CH734" s="526"/>
      <c r="CI734" s="526"/>
      <c r="CJ734" s="526"/>
      <c r="CK734" s="15"/>
    </row>
    <row r="735" spans="2:89" ht="24.95" hidden="1" customHeight="1">
      <c r="B735" s="22"/>
      <c r="C735" s="122"/>
      <c r="D735" s="22"/>
      <c r="E735" s="911"/>
      <c r="F735" s="911"/>
      <c r="G735" s="915"/>
      <c r="H735" s="1746" t="s">
        <v>1295</v>
      </c>
      <c r="I735" s="330"/>
      <c r="J735" s="169">
        <v>2023</v>
      </c>
      <c r="K735" s="1417">
        <v>234008</v>
      </c>
      <c r="L735" s="1417"/>
      <c r="M735" s="170"/>
      <c r="N735" s="178" t="s">
        <v>5376</v>
      </c>
      <c r="O735" s="790" t="s">
        <v>251</v>
      </c>
      <c r="P735" s="1191" t="s">
        <v>68</v>
      </c>
      <c r="Q735" s="173" t="s">
        <v>68</v>
      </c>
      <c r="R735" s="1669"/>
      <c r="S735" s="175"/>
      <c r="T735" s="176"/>
      <c r="U735" s="177"/>
      <c r="V735" s="105" t="s">
        <v>68</v>
      </c>
      <c r="W735" s="178" t="s">
        <v>68</v>
      </c>
      <c r="X735" s="920"/>
      <c r="Y735" s="1040"/>
      <c r="Z735" s="1383"/>
      <c r="AA735" s="255"/>
      <c r="AB735" s="8"/>
      <c r="AC735" s="4"/>
      <c r="AD735" s="4"/>
      <c r="AE735" s="32"/>
      <c r="AF735" s="34" t="s">
        <v>68</v>
      </c>
      <c r="AG735" s="112" t="s">
        <v>68</v>
      </c>
      <c r="AH735" s="112" t="s">
        <v>68</v>
      </c>
      <c r="AI735" s="7" t="s">
        <v>68</v>
      </c>
      <c r="AJ735" s="109" t="s">
        <v>68</v>
      </c>
      <c r="AK735" s="33" t="s">
        <v>68</v>
      </c>
      <c r="AL735" s="1" t="s">
        <v>68</v>
      </c>
      <c r="AM735" s="5"/>
      <c r="AN735" s="1" t="s">
        <v>68</v>
      </c>
      <c r="AO735" s="5"/>
      <c r="AP735" s="1" t="s">
        <v>68</v>
      </c>
      <c r="AQ735" s="5"/>
      <c r="AR735" s="279"/>
      <c r="AS735" s="674"/>
      <c r="AT735" s="902"/>
      <c r="AU735" s="891"/>
      <c r="AV735" s="230"/>
      <c r="AW735" s="11"/>
      <c r="AX735" s="1429"/>
      <c r="AY735" s="880"/>
      <c r="AZ735" s="230"/>
      <c r="BA735" s="5"/>
      <c r="BB735" s="5"/>
      <c r="BC735" s="11"/>
      <c r="BD735" s="230"/>
      <c r="BE735" s="508"/>
      <c r="BF735" s="5"/>
      <c r="BG735" s="5"/>
      <c r="BH735" s="5"/>
      <c r="BI735" s="64">
        <f t="shared" si="22"/>
        <v>0</v>
      </c>
      <c r="BJ735" s="1170"/>
      <c r="BK735" s="1108"/>
      <c r="BL735" s="1389"/>
      <c r="BM735" s="912" t="s">
        <v>68</v>
      </c>
      <c r="BN735" s="912" t="s">
        <v>68</v>
      </c>
      <c r="BO735" s="1391"/>
      <c r="BP735" s="1392" t="s">
        <v>68</v>
      </c>
      <c r="BQ735" s="1392" t="s">
        <v>68</v>
      </c>
      <c r="BR735" s="1392" t="s">
        <v>68</v>
      </c>
      <c r="BS735" s="1392" t="s">
        <v>68</v>
      </c>
      <c r="BT735" s="1392" t="s">
        <v>68</v>
      </c>
      <c r="BU735" s="1392" t="s">
        <v>68</v>
      </c>
      <c r="BV735" s="913" t="s">
        <v>68</v>
      </c>
      <c r="BW735" s="13"/>
      <c r="BX735" s="22"/>
      <c r="BY735" s="22"/>
      <c r="BZ735" s="22"/>
      <c r="CA735" s="22"/>
      <c r="CB735" s="1222" t="s">
        <v>3944</v>
      </c>
      <c r="CC735" s="859"/>
      <c r="CD735" s="526"/>
      <c r="CE735" s="526"/>
      <c r="CF735" s="526"/>
      <c r="CG735" s="526"/>
      <c r="CH735" s="526"/>
      <c r="CI735" s="526"/>
      <c r="CJ735" s="526"/>
      <c r="CK735" s="15"/>
    </row>
    <row r="736" spans="2:89" ht="24.95" hidden="1" customHeight="1">
      <c r="B736" s="22"/>
      <c r="C736" s="122"/>
      <c r="D736" s="22"/>
      <c r="E736" s="911"/>
      <c r="F736" s="911"/>
      <c r="G736" s="915"/>
      <c r="H736" s="1746" t="s">
        <v>1295</v>
      </c>
      <c r="I736" s="330"/>
      <c r="J736" s="169">
        <v>2023</v>
      </c>
      <c r="K736" s="1417">
        <v>234009</v>
      </c>
      <c r="L736" s="1417"/>
      <c r="M736" s="170"/>
      <c r="N736" s="178" t="s">
        <v>5377</v>
      </c>
      <c r="O736" s="790" t="s">
        <v>251</v>
      </c>
      <c r="P736" s="1191" t="s">
        <v>68</v>
      </c>
      <c r="Q736" s="173" t="s">
        <v>68</v>
      </c>
      <c r="R736" s="1669"/>
      <c r="S736" s="175"/>
      <c r="T736" s="176"/>
      <c r="U736" s="177"/>
      <c r="V736" s="105" t="s">
        <v>68</v>
      </c>
      <c r="W736" s="178" t="s">
        <v>68</v>
      </c>
      <c r="X736" s="920"/>
      <c r="Y736" s="1040"/>
      <c r="Z736" s="1383"/>
      <c r="AA736" s="255"/>
      <c r="AB736" s="8"/>
      <c r="AC736" s="4"/>
      <c r="AD736" s="4"/>
      <c r="AE736" s="32"/>
      <c r="AF736" s="34" t="s">
        <v>68</v>
      </c>
      <c r="AG736" s="112" t="s">
        <v>68</v>
      </c>
      <c r="AH736" s="112" t="s">
        <v>68</v>
      </c>
      <c r="AI736" s="7" t="s">
        <v>68</v>
      </c>
      <c r="AJ736" s="109" t="s">
        <v>68</v>
      </c>
      <c r="AK736" s="33" t="s">
        <v>68</v>
      </c>
      <c r="AL736" s="1" t="s">
        <v>68</v>
      </c>
      <c r="AM736" s="5"/>
      <c r="AN736" s="1" t="s">
        <v>68</v>
      </c>
      <c r="AO736" s="5"/>
      <c r="AP736" s="1" t="s">
        <v>68</v>
      </c>
      <c r="AQ736" s="5"/>
      <c r="AR736" s="279"/>
      <c r="AS736" s="674"/>
      <c r="AT736" s="902"/>
      <c r="AU736" s="891"/>
      <c r="AV736" s="230"/>
      <c r="AW736" s="11"/>
      <c r="AX736" s="1429"/>
      <c r="AY736" s="880"/>
      <c r="AZ736" s="230"/>
      <c r="BA736" s="5"/>
      <c r="BB736" s="5"/>
      <c r="BC736" s="11"/>
      <c r="BD736" s="230"/>
      <c r="BE736" s="508"/>
      <c r="BF736" s="5"/>
      <c r="BG736" s="5"/>
      <c r="BH736" s="5"/>
      <c r="BI736" s="64">
        <f t="shared" si="22"/>
        <v>0</v>
      </c>
      <c r="BJ736" s="1170"/>
      <c r="BK736" s="1108"/>
      <c r="BL736" s="1389"/>
      <c r="BM736" s="912" t="s">
        <v>68</v>
      </c>
      <c r="BN736" s="912" t="s">
        <v>68</v>
      </c>
      <c r="BO736" s="1391"/>
      <c r="BP736" s="1392" t="s">
        <v>68</v>
      </c>
      <c r="BQ736" s="1392" t="s">
        <v>68</v>
      </c>
      <c r="BR736" s="1392" t="s">
        <v>68</v>
      </c>
      <c r="BS736" s="1392" t="s">
        <v>68</v>
      </c>
      <c r="BT736" s="1392" t="s">
        <v>68</v>
      </c>
      <c r="BU736" s="1392" t="s">
        <v>68</v>
      </c>
      <c r="BV736" s="913" t="s">
        <v>68</v>
      </c>
      <c r="BW736" s="13"/>
      <c r="BX736" s="22"/>
      <c r="BY736" s="22"/>
      <c r="BZ736" s="22"/>
      <c r="CA736" s="22"/>
      <c r="CB736" s="1222" t="s">
        <v>3944</v>
      </c>
      <c r="CC736" s="859"/>
      <c r="CD736" s="526"/>
      <c r="CE736" s="526"/>
      <c r="CF736" s="526"/>
      <c r="CG736" s="526"/>
      <c r="CH736" s="526"/>
      <c r="CI736" s="526"/>
      <c r="CJ736" s="526"/>
      <c r="CK736" s="15"/>
    </row>
    <row r="737" spans="2:89" ht="24.95" hidden="1" customHeight="1">
      <c r="B737" s="22"/>
      <c r="C737" s="122"/>
      <c r="D737" s="22"/>
      <c r="E737" s="911"/>
      <c r="F737" s="911"/>
      <c r="G737" s="915"/>
      <c r="H737" s="1746" t="s">
        <v>1295</v>
      </c>
      <c r="I737" s="330"/>
      <c r="J737" s="169">
        <v>2023</v>
      </c>
      <c r="K737" s="1417">
        <v>234010</v>
      </c>
      <c r="L737" s="1417"/>
      <c r="M737" s="170"/>
      <c r="N737" s="178" t="s">
        <v>5378</v>
      </c>
      <c r="O737" s="790" t="s">
        <v>251</v>
      </c>
      <c r="P737" s="1191" t="s">
        <v>68</v>
      </c>
      <c r="Q737" s="173" t="s">
        <v>68</v>
      </c>
      <c r="R737" s="1669"/>
      <c r="S737" s="175"/>
      <c r="T737" s="176"/>
      <c r="U737" s="177"/>
      <c r="V737" s="105" t="s">
        <v>68</v>
      </c>
      <c r="W737" s="178" t="s">
        <v>68</v>
      </c>
      <c r="X737" s="920"/>
      <c r="Y737" s="1040"/>
      <c r="Z737" s="1383"/>
      <c r="AA737" s="255"/>
      <c r="AB737" s="8"/>
      <c r="AC737" s="4"/>
      <c r="AD737" s="4"/>
      <c r="AE737" s="32"/>
      <c r="AF737" s="34" t="s">
        <v>68</v>
      </c>
      <c r="AG737" s="112" t="s">
        <v>68</v>
      </c>
      <c r="AH737" s="112" t="s">
        <v>68</v>
      </c>
      <c r="AI737" s="7" t="s">
        <v>68</v>
      </c>
      <c r="AJ737" s="109" t="s">
        <v>68</v>
      </c>
      <c r="AK737" s="33" t="s">
        <v>68</v>
      </c>
      <c r="AL737" s="1" t="s">
        <v>68</v>
      </c>
      <c r="AM737" s="5"/>
      <c r="AN737" s="1" t="s">
        <v>68</v>
      </c>
      <c r="AO737" s="5"/>
      <c r="AP737" s="1" t="s">
        <v>68</v>
      </c>
      <c r="AQ737" s="5"/>
      <c r="AR737" s="279"/>
      <c r="AS737" s="674"/>
      <c r="AT737" s="902"/>
      <c r="AU737" s="891"/>
      <c r="AV737" s="230"/>
      <c r="AW737" s="11"/>
      <c r="AX737" s="1429"/>
      <c r="AY737" s="880"/>
      <c r="AZ737" s="230"/>
      <c r="BA737" s="5"/>
      <c r="BB737" s="5"/>
      <c r="BC737" s="11"/>
      <c r="BD737" s="230"/>
      <c r="BE737" s="508"/>
      <c r="BF737" s="5"/>
      <c r="BG737" s="5"/>
      <c r="BH737" s="5"/>
      <c r="BI737" s="64">
        <f t="shared" si="22"/>
        <v>0</v>
      </c>
      <c r="BJ737" s="1170"/>
      <c r="BK737" s="1108"/>
      <c r="BL737" s="1389"/>
      <c r="BM737" s="912" t="s">
        <v>68</v>
      </c>
      <c r="BN737" s="912" t="s">
        <v>68</v>
      </c>
      <c r="BO737" s="1391"/>
      <c r="BP737" s="1392" t="s">
        <v>68</v>
      </c>
      <c r="BQ737" s="1392" t="s">
        <v>68</v>
      </c>
      <c r="BR737" s="1392" t="s">
        <v>68</v>
      </c>
      <c r="BS737" s="1392" t="s">
        <v>68</v>
      </c>
      <c r="BT737" s="1392" t="s">
        <v>68</v>
      </c>
      <c r="BU737" s="1392" t="s">
        <v>68</v>
      </c>
      <c r="BV737" s="913" t="s">
        <v>68</v>
      </c>
      <c r="BW737" s="13"/>
      <c r="BX737" s="22"/>
      <c r="BY737" s="22"/>
      <c r="BZ737" s="22"/>
      <c r="CA737" s="22"/>
      <c r="CB737" s="1222" t="s">
        <v>3944</v>
      </c>
      <c r="CC737" s="859"/>
      <c r="CD737" s="526"/>
      <c r="CE737" s="526"/>
      <c r="CF737" s="526"/>
      <c r="CG737" s="526"/>
      <c r="CH737" s="526"/>
      <c r="CI737" s="526"/>
      <c r="CJ737" s="526"/>
      <c r="CK737" s="15"/>
    </row>
    <row r="738" spans="2:89" ht="133.5" hidden="1" customHeight="1">
      <c r="B738" s="809"/>
      <c r="C738" s="122"/>
      <c r="D738" s="22"/>
      <c r="E738" s="911">
        <v>45170</v>
      </c>
      <c r="F738" s="911"/>
      <c r="G738" s="915">
        <v>45593</v>
      </c>
      <c r="H738" s="1746" t="s">
        <v>6311</v>
      </c>
      <c r="I738" s="330">
        <v>45138</v>
      </c>
      <c r="J738" s="169">
        <v>2023</v>
      </c>
      <c r="K738" s="1417">
        <v>235001</v>
      </c>
      <c r="L738" s="1417"/>
      <c r="M738" s="170" t="s">
        <v>77</v>
      </c>
      <c r="N738" s="178" t="s">
        <v>5379</v>
      </c>
      <c r="O738" s="172" t="s">
        <v>79</v>
      </c>
      <c r="P738" s="451" t="s">
        <v>5487</v>
      </c>
      <c r="Q738" s="173" t="s">
        <v>1975</v>
      </c>
      <c r="R738" s="594">
        <v>1211066.4099999999</v>
      </c>
      <c r="S738" s="175">
        <v>44974</v>
      </c>
      <c r="T738" s="176">
        <v>44977</v>
      </c>
      <c r="U738" s="177">
        <v>45021</v>
      </c>
      <c r="V738" s="981">
        <v>44971</v>
      </c>
      <c r="W738" s="1044" t="s">
        <v>5397</v>
      </c>
      <c r="X738" s="170" t="s">
        <v>70</v>
      </c>
      <c r="Y738" s="1650">
        <v>44967</v>
      </c>
      <c r="Z738" s="368" t="s">
        <v>5808</v>
      </c>
      <c r="AA738" s="241" t="s">
        <v>5393</v>
      </c>
      <c r="AB738" s="8">
        <v>44966</v>
      </c>
      <c r="AC738" s="4">
        <v>3021426.25</v>
      </c>
      <c r="AD738" s="4"/>
      <c r="AE738" s="32"/>
      <c r="AF738" s="34" t="s">
        <v>68</v>
      </c>
      <c r="AG738" s="112" t="s">
        <v>68</v>
      </c>
      <c r="AH738" s="112" t="s">
        <v>68</v>
      </c>
      <c r="AI738" s="7" t="s">
        <v>68</v>
      </c>
      <c r="AJ738" s="109" t="s">
        <v>68</v>
      </c>
      <c r="AK738" s="33" t="s">
        <v>3920</v>
      </c>
      <c r="AL738" s="1" t="s">
        <v>68</v>
      </c>
      <c r="AM738" s="5"/>
      <c r="AN738" s="1">
        <v>2784156</v>
      </c>
      <c r="AO738" s="5">
        <v>44974</v>
      </c>
      <c r="AP738" s="1">
        <v>2794037</v>
      </c>
      <c r="AQ738" s="5">
        <v>45023</v>
      </c>
      <c r="AR738" s="279">
        <f>121106.64+121106.64</f>
        <v>242213.28</v>
      </c>
      <c r="AS738" s="35">
        <v>0</v>
      </c>
      <c r="AT738" s="895">
        <v>1211066.4099999999</v>
      </c>
      <c r="AU738" s="891"/>
      <c r="AV738" s="246" t="s">
        <v>74</v>
      </c>
      <c r="AW738" s="11"/>
      <c r="AX738" s="223" t="s">
        <v>68</v>
      </c>
      <c r="AY738" s="52" t="s">
        <v>68</v>
      </c>
      <c r="AZ738" s="30">
        <v>45023</v>
      </c>
      <c r="BA738" s="5">
        <v>44977</v>
      </c>
      <c r="BB738" s="5">
        <v>45021</v>
      </c>
      <c r="BC738" s="11">
        <v>45021</v>
      </c>
      <c r="BD738" s="30">
        <v>45026</v>
      </c>
      <c r="BE738" s="201" t="s">
        <v>5379</v>
      </c>
      <c r="BF738" s="5">
        <v>44977</v>
      </c>
      <c r="BG738" s="5">
        <v>45021</v>
      </c>
      <c r="BH738" s="5">
        <v>45021</v>
      </c>
      <c r="BI738" s="36">
        <v>1211066.4099999999</v>
      </c>
      <c r="BJ738" s="608">
        <v>45026</v>
      </c>
      <c r="BK738" s="336"/>
      <c r="BL738" s="336">
        <v>44976</v>
      </c>
      <c r="BM738" s="71">
        <v>44977</v>
      </c>
      <c r="BN738" s="71">
        <v>45024</v>
      </c>
      <c r="BO738" s="914"/>
      <c r="BP738" s="914">
        <v>44977</v>
      </c>
      <c r="BQ738" s="914">
        <v>44977</v>
      </c>
      <c r="BR738" s="914">
        <v>44977</v>
      </c>
      <c r="BS738" s="914">
        <v>45021</v>
      </c>
      <c r="BT738" s="1315" t="s">
        <v>74</v>
      </c>
      <c r="BU738" s="1392" t="s">
        <v>68</v>
      </c>
      <c r="BV738" s="913" t="s">
        <v>68</v>
      </c>
      <c r="BW738" s="13"/>
      <c r="BX738" s="22" t="s">
        <v>551</v>
      </c>
      <c r="BY738" s="22" t="s">
        <v>1295</v>
      </c>
      <c r="BZ738" s="22" t="s">
        <v>1295</v>
      </c>
      <c r="CA738" s="22" t="s">
        <v>1295</v>
      </c>
      <c r="CB738" s="1222" t="s">
        <v>3944</v>
      </c>
      <c r="CC738" s="859"/>
      <c r="CD738" s="526"/>
      <c r="CE738" s="526"/>
      <c r="CF738" s="526"/>
      <c r="CG738" s="526"/>
      <c r="CH738" s="526"/>
      <c r="CI738" s="526"/>
      <c r="CJ738" s="526"/>
      <c r="CK738" s="15"/>
    </row>
    <row r="739" spans="2:89" s="104" customFormat="1" ht="126.75" hidden="1" customHeight="1">
      <c r="B739" s="809"/>
      <c r="C739" s="122">
        <v>45446</v>
      </c>
      <c r="D739" s="22" t="s">
        <v>524</v>
      </c>
      <c r="E739" s="911">
        <v>45170</v>
      </c>
      <c r="F739" s="911"/>
      <c r="G739" s="915">
        <v>45593</v>
      </c>
      <c r="H739" s="1746" t="s">
        <v>6311</v>
      </c>
      <c r="I739" s="330">
        <v>45138</v>
      </c>
      <c r="J739" s="169">
        <v>2023</v>
      </c>
      <c r="K739" s="1417">
        <v>235002</v>
      </c>
      <c r="L739" s="1417"/>
      <c r="M739" s="170" t="s">
        <v>77</v>
      </c>
      <c r="N739" s="178" t="s">
        <v>5380</v>
      </c>
      <c r="O739" s="172" t="s">
        <v>79</v>
      </c>
      <c r="P739" s="451" t="s">
        <v>5481</v>
      </c>
      <c r="Q739" s="173" t="s">
        <v>1975</v>
      </c>
      <c r="R739" s="594">
        <v>1810170.95</v>
      </c>
      <c r="S739" s="175">
        <v>45022</v>
      </c>
      <c r="T739" s="176">
        <v>45024</v>
      </c>
      <c r="U739" s="177">
        <v>45061</v>
      </c>
      <c r="V739" s="981">
        <v>45021</v>
      </c>
      <c r="W739" s="1044" t="s">
        <v>739</v>
      </c>
      <c r="X739" s="170" t="s">
        <v>70</v>
      </c>
      <c r="Y739" s="1650">
        <v>45015</v>
      </c>
      <c r="Z739" s="368" t="s">
        <v>5808</v>
      </c>
      <c r="AA739" s="241" t="s">
        <v>5393</v>
      </c>
      <c r="AB739" s="8">
        <v>44966</v>
      </c>
      <c r="AC739" s="4">
        <v>3021426.25</v>
      </c>
      <c r="AD739" s="4"/>
      <c r="AE739" s="32"/>
      <c r="AF739" s="34" t="s">
        <v>68</v>
      </c>
      <c r="AG739" s="112" t="s">
        <v>68</v>
      </c>
      <c r="AH739" s="112" t="s">
        <v>68</v>
      </c>
      <c r="AI739" s="7" t="s">
        <v>68</v>
      </c>
      <c r="AJ739" s="109" t="s">
        <v>68</v>
      </c>
      <c r="AK739" s="241" t="s">
        <v>3920</v>
      </c>
      <c r="AL739" s="242" t="s">
        <v>68</v>
      </c>
      <c r="AM739" s="58"/>
      <c r="AN739" s="242">
        <v>2792986</v>
      </c>
      <c r="AO739" s="58">
        <v>45022</v>
      </c>
      <c r="AP739" s="1">
        <v>2827754</v>
      </c>
      <c r="AQ739" s="5">
        <v>45064</v>
      </c>
      <c r="AR739" s="279">
        <f>181017.09+181017.09</f>
        <v>362034.18</v>
      </c>
      <c r="AS739" s="35">
        <v>0</v>
      </c>
      <c r="AT739" s="900">
        <v>1884522.92</v>
      </c>
      <c r="AU739" s="891"/>
      <c r="AV739" s="246" t="s">
        <v>74</v>
      </c>
      <c r="AW739" s="11"/>
      <c r="AX739" s="223" t="s">
        <v>68</v>
      </c>
      <c r="AY739" s="52" t="s">
        <v>68</v>
      </c>
      <c r="AZ739" s="30">
        <v>45062</v>
      </c>
      <c r="BA739" s="5">
        <v>45024</v>
      </c>
      <c r="BB739" s="5">
        <v>45061</v>
      </c>
      <c r="BC739" s="11">
        <v>45061</v>
      </c>
      <c r="BD739" s="30">
        <v>45065</v>
      </c>
      <c r="BE739" s="201" t="s">
        <v>5809</v>
      </c>
      <c r="BF739" s="5">
        <v>45024</v>
      </c>
      <c r="BG739" s="5">
        <v>45061</v>
      </c>
      <c r="BH739" s="5">
        <v>45061</v>
      </c>
      <c r="BI739" s="36">
        <v>1884522.92</v>
      </c>
      <c r="BJ739" s="608">
        <v>45065</v>
      </c>
      <c r="BK739" s="336"/>
      <c r="BL739" s="1027">
        <v>44976</v>
      </c>
      <c r="BM739" s="325">
        <v>45024</v>
      </c>
      <c r="BN739" s="325">
        <v>45024</v>
      </c>
      <c r="BO739" s="1391"/>
      <c r="BP739" s="1091">
        <v>45024</v>
      </c>
      <c r="BQ739" s="1091">
        <v>45024</v>
      </c>
      <c r="BR739" s="1091">
        <v>45024</v>
      </c>
      <c r="BS739" s="1091">
        <v>45061</v>
      </c>
      <c r="BT739" s="1315" t="s">
        <v>74</v>
      </c>
      <c r="BU739" s="1392" t="s">
        <v>68</v>
      </c>
      <c r="BV739" s="913" t="s">
        <v>68</v>
      </c>
      <c r="BW739" s="13"/>
      <c r="BX739" s="22" t="s">
        <v>551</v>
      </c>
      <c r="BY739" s="22" t="s">
        <v>1295</v>
      </c>
      <c r="BZ739" s="22" t="s">
        <v>1295</v>
      </c>
      <c r="CA739" s="22" t="s">
        <v>1295</v>
      </c>
      <c r="CB739" s="1222" t="s">
        <v>3944</v>
      </c>
      <c r="CC739" s="859"/>
      <c r="CD739" s="527"/>
      <c r="CE739" s="527"/>
      <c r="CF739" s="527"/>
      <c r="CG739" s="527"/>
      <c r="CH739" s="527"/>
      <c r="CI739" s="527"/>
      <c r="CJ739" s="527"/>
      <c r="CK739" s="627"/>
    </row>
    <row r="740" spans="2:89" ht="129.75" hidden="1" customHeight="1">
      <c r="B740" s="809"/>
      <c r="C740" s="122">
        <v>45446</v>
      </c>
      <c r="D740" s="22">
        <v>2</v>
      </c>
      <c r="E740" s="911">
        <v>45170</v>
      </c>
      <c r="F740" s="911"/>
      <c r="G740" s="915">
        <v>45593</v>
      </c>
      <c r="H740" s="1746" t="s">
        <v>6311</v>
      </c>
      <c r="I740" s="330">
        <v>45138</v>
      </c>
      <c r="J740" s="169">
        <v>2023</v>
      </c>
      <c r="K740" s="1417">
        <v>235003</v>
      </c>
      <c r="L740" s="1417"/>
      <c r="M740" s="170" t="s">
        <v>166</v>
      </c>
      <c r="N740" s="178" t="s">
        <v>5405</v>
      </c>
      <c r="O740" s="172" t="s">
        <v>3212</v>
      </c>
      <c r="P740" s="173" t="s">
        <v>5482</v>
      </c>
      <c r="Q740" s="173" t="s">
        <v>1975</v>
      </c>
      <c r="R740" s="594">
        <v>4378573.75</v>
      </c>
      <c r="S740" s="590">
        <v>44981</v>
      </c>
      <c r="T740" s="176">
        <v>44987</v>
      </c>
      <c r="U740" s="177">
        <v>45048</v>
      </c>
      <c r="V740" s="105" t="s">
        <v>68</v>
      </c>
      <c r="W740" s="178" t="s">
        <v>3469</v>
      </c>
      <c r="X740" s="170" t="s">
        <v>70</v>
      </c>
      <c r="Y740" s="1649" t="s">
        <v>68</v>
      </c>
      <c r="Z740" s="1384" t="s">
        <v>5808</v>
      </c>
      <c r="AA740" s="241" t="s">
        <v>5517</v>
      </c>
      <c r="AB740" s="8">
        <v>44966</v>
      </c>
      <c r="AC740" s="4">
        <v>4378573.75</v>
      </c>
      <c r="AD740" s="4"/>
      <c r="AE740" s="32"/>
      <c r="AF740" s="582">
        <v>44967</v>
      </c>
      <c r="AG740" s="583">
        <v>44970</v>
      </c>
      <c r="AH740" s="583">
        <v>44970</v>
      </c>
      <c r="AI740" s="584">
        <v>44977</v>
      </c>
      <c r="AJ740" s="581">
        <v>44967</v>
      </c>
      <c r="AK740" s="33" t="s">
        <v>5810</v>
      </c>
      <c r="AL740" s="1" t="s">
        <v>68</v>
      </c>
      <c r="AM740" s="5"/>
      <c r="AN740" s="1" t="s">
        <v>5811</v>
      </c>
      <c r="AO740" s="5">
        <v>45079</v>
      </c>
      <c r="AP740" s="1" t="s">
        <v>5812</v>
      </c>
      <c r="AQ740" s="5">
        <v>45065</v>
      </c>
      <c r="AR740" s="279">
        <f>437857.37+437857.37</f>
        <v>875714.74</v>
      </c>
      <c r="AS740" s="35">
        <v>0</v>
      </c>
      <c r="AT740" s="895">
        <f>1909156.68+1847311.19+954401.11</f>
        <v>4710868.9800000004</v>
      </c>
      <c r="AU740" s="891"/>
      <c r="AV740" s="324">
        <v>44987</v>
      </c>
      <c r="AW740" s="11">
        <v>45048</v>
      </c>
      <c r="AX740" s="223" t="s">
        <v>68</v>
      </c>
      <c r="AY740" s="52" t="s">
        <v>68</v>
      </c>
      <c r="AZ740" s="30">
        <v>45050</v>
      </c>
      <c r="BA740" s="5">
        <v>44987</v>
      </c>
      <c r="BB740" s="5">
        <v>45048</v>
      </c>
      <c r="BC740" s="11">
        <v>45048</v>
      </c>
      <c r="BD740" s="30">
        <v>45051</v>
      </c>
      <c r="BE740" s="201" t="s">
        <v>5405</v>
      </c>
      <c r="BF740" s="5">
        <v>44987</v>
      </c>
      <c r="BG740" s="5">
        <v>45048</v>
      </c>
      <c r="BH740" s="5">
        <v>45048</v>
      </c>
      <c r="BI740" s="36">
        <v>4710868.97</v>
      </c>
      <c r="BJ740" s="1094">
        <v>45051</v>
      </c>
      <c r="BK740" s="1819"/>
      <c r="BL740" s="1027">
        <v>44985</v>
      </c>
      <c r="BM740" s="325">
        <v>44986</v>
      </c>
      <c r="BN740" s="325">
        <v>44986</v>
      </c>
      <c r="BO740" s="1091" t="s">
        <v>68</v>
      </c>
      <c r="BP740" s="914" t="s">
        <v>5813</v>
      </c>
      <c r="BQ740" s="914" t="s">
        <v>5813</v>
      </c>
      <c r="BR740" s="914" t="s">
        <v>5813</v>
      </c>
      <c r="BS740" s="1091">
        <v>45049</v>
      </c>
      <c r="BT740" s="1091">
        <v>45049</v>
      </c>
      <c r="BU740" s="914"/>
      <c r="BV740" s="336"/>
      <c r="BW740" s="13"/>
      <c r="BX740" s="22" t="s">
        <v>551</v>
      </c>
      <c r="BY740" s="22" t="s">
        <v>1295</v>
      </c>
      <c r="BZ740" s="22" t="s">
        <v>1295</v>
      </c>
      <c r="CA740" s="22" t="s">
        <v>1295</v>
      </c>
      <c r="CB740" s="1222" t="s">
        <v>3944</v>
      </c>
      <c r="CC740" s="859" t="s">
        <v>1143</v>
      </c>
      <c r="CD740" s="526"/>
      <c r="CE740" s="526"/>
      <c r="CF740" s="526"/>
      <c r="CG740" s="526"/>
      <c r="CH740" s="526"/>
      <c r="CI740" s="526"/>
      <c r="CJ740" s="526"/>
      <c r="CK740" s="15"/>
    </row>
    <row r="741" spans="2:89" ht="111" hidden="1" customHeight="1">
      <c r="B741" s="809"/>
      <c r="C741" s="122"/>
      <c r="D741" s="22"/>
      <c r="E741" s="911">
        <v>45170</v>
      </c>
      <c r="F741" s="911"/>
      <c r="G741" s="915">
        <v>45593</v>
      </c>
      <c r="H741" s="1746" t="s">
        <v>6311</v>
      </c>
      <c r="I741" s="330">
        <v>45087</v>
      </c>
      <c r="J741" s="169">
        <v>2023</v>
      </c>
      <c r="K741" s="1417">
        <v>235004</v>
      </c>
      <c r="L741" s="1417"/>
      <c r="M741" s="170" t="s">
        <v>77</v>
      </c>
      <c r="N741" s="178" t="s">
        <v>5381</v>
      </c>
      <c r="O741" s="172" t="s">
        <v>79</v>
      </c>
      <c r="P741" s="1671" t="s">
        <v>5401</v>
      </c>
      <c r="Q741" s="173" t="s">
        <v>2538</v>
      </c>
      <c r="R741" s="1172">
        <v>1196296.56</v>
      </c>
      <c r="S741" s="542">
        <v>45036</v>
      </c>
      <c r="T741" s="979">
        <v>45048</v>
      </c>
      <c r="U741" s="980">
        <v>45079</v>
      </c>
      <c r="V741" s="981">
        <v>45034</v>
      </c>
      <c r="W741" s="1044" t="s">
        <v>4866</v>
      </c>
      <c r="X741" s="170" t="s">
        <v>449</v>
      </c>
      <c r="Y741" s="1649">
        <v>45048</v>
      </c>
      <c r="Z741" s="1384" t="s">
        <v>5808</v>
      </c>
      <c r="AA741" s="241" t="s">
        <v>5814</v>
      </c>
      <c r="AB741" s="8">
        <v>44966</v>
      </c>
      <c r="AC741" s="4">
        <v>3845696.93</v>
      </c>
      <c r="AD741" s="4"/>
      <c r="AE741" s="32"/>
      <c r="AF741" s="34" t="s">
        <v>68</v>
      </c>
      <c r="AG741" s="112" t="s">
        <v>68</v>
      </c>
      <c r="AH741" s="112" t="s">
        <v>68</v>
      </c>
      <c r="AI741" s="7" t="s">
        <v>68</v>
      </c>
      <c r="AJ741" s="109" t="s">
        <v>68</v>
      </c>
      <c r="AK741" s="241" t="s">
        <v>3766</v>
      </c>
      <c r="AL741" s="242">
        <v>237656</v>
      </c>
      <c r="AM741" s="58">
        <v>45048</v>
      </c>
      <c r="AN741" s="242">
        <v>237655</v>
      </c>
      <c r="AO741" s="58">
        <v>45048</v>
      </c>
      <c r="AP741" s="242">
        <v>237657</v>
      </c>
      <c r="AQ741" s="58">
        <v>45111</v>
      </c>
      <c r="AR741" s="642">
        <f>358888.97+119629.65+106333.09</f>
        <v>584851.71</v>
      </c>
      <c r="AS741" s="35">
        <v>0</v>
      </c>
      <c r="AT741" s="900">
        <v>990596.22</v>
      </c>
      <c r="AU741" s="891"/>
      <c r="AV741" s="324">
        <v>45057</v>
      </c>
      <c r="AW741" s="11">
        <v>45081</v>
      </c>
      <c r="AX741" s="223" t="s">
        <v>68</v>
      </c>
      <c r="AY741" s="52" t="s">
        <v>68</v>
      </c>
      <c r="AZ741" s="225">
        <v>45112</v>
      </c>
      <c r="BA741" s="58">
        <v>45054</v>
      </c>
      <c r="BB741" s="58">
        <v>45111</v>
      </c>
      <c r="BC741" s="59"/>
      <c r="BD741" s="225">
        <v>45113</v>
      </c>
      <c r="BE741" s="1606" t="s">
        <v>5815</v>
      </c>
      <c r="BF741" s="5">
        <v>45054</v>
      </c>
      <c r="BG741" s="5">
        <v>45079</v>
      </c>
      <c r="BH741" s="5">
        <v>45111</v>
      </c>
      <c r="BI741" s="36">
        <v>990606.67</v>
      </c>
      <c r="BJ741" s="631">
        <v>45114</v>
      </c>
      <c r="BK741" s="336"/>
      <c r="BL741" s="1027">
        <v>45044</v>
      </c>
      <c r="BM741" s="325">
        <v>45048</v>
      </c>
      <c r="BN741" s="325">
        <v>45048</v>
      </c>
      <c r="BO741" s="1443"/>
      <c r="BP741" s="1091">
        <v>45048</v>
      </c>
      <c r="BQ741" s="1091">
        <v>45048</v>
      </c>
      <c r="BR741" s="1091">
        <v>45048</v>
      </c>
      <c r="BS741" s="1091">
        <v>45110</v>
      </c>
      <c r="BT741" s="1315" t="s">
        <v>74</v>
      </c>
      <c r="BU741" s="914"/>
      <c r="BV741" s="336"/>
      <c r="BW741" s="13"/>
      <c r="BX741" s="22"/>
      <c r="BY741" s="22"/>
      <c r="BZ741" s="22"/>
      <c r="CA741" s="22"/>
      <c r="CB741" s="1222" t="s">
        <v>3944</v>
      </c>
      <c r="CC741" s="859" t="s">
        <v>1143</v>
      </c>
      <c r="CD741" s="526"/>
      <c r="CE741" s="526"/>
      <c r="CF741" s="526"/>
      <c r="CG741" s="526"/>
      <c r="CH741" s="526"/>
      <c r="CI741" s="526"/>
      <c r="CJ741" s="526"/>
      <c r="CK741" s="15"/>
    </row>
    <row r="742" spans="2:89" ht="124.5" hidden="1" customHeight="1">
      <c r="B742" s="809"/>
      <c r="C742" s="122"/>
      <c r="D742" s="22"/>
      <c r="E742" s="911">
        <v>45170</v>
      </c>
      <c r="F742" s="911"/>
      <c r="G742" s="915">
        <v>45593</v>
      </c>
      <c r="H742" s="1746" t="s">
        <v>6311</v>
      </c>
      <c r="I742" s="330">
        <v>45087</v>
      </c>
      <c r="J742" s="169">
        <v>2023</v>
      </c>
      <c r="K742" s="1417">
        <v>235005</v>
      </c>
      <c r="L742" s="1417"/>
      <c r="M742" s="170" t="s">
        <v>77</v>
      </c>
      <c r="N742" s="178" t="s">
        <v>5382</v>
      </c>
      <c r="O742" s="172" t="s">
        <v>79</v>
      </c>
      <c r="P742" s="173" t="s">
        <v>5394</v>
      </c>
      <c r="Q742" s="173" t="s">
        <v>2538</v>
      </c>
      <c r="R742" s="594">
        <v>544139.78</v>
      </c>
      <c r="S742" s="590">
        <v>45044</v>
      </c>
      <c r="T742" s="176">
        <v>45054</v>
      </c>
      <c r="U742" s="177">
        <v>45086</v>
      </c>
      <c r="V742" s="105">
        <v>45035</v>
      </c>
      <c r="W742" s="1044" t="s">
        <v>5395</v>
      </c>
      <c r="X742" s="170" t="s">
        <v>449</v>
      </c>
      <c r="Y742" s="1649">
        <v>45048</v>
      </c>
      <c r="Z742" s="1384" t="s">
        <v>5808</v>
      </c>
      <c r="AA742" s="241" t="s">
        <v>5396</v>
      </c>
      <c r="AB742" s="8">
        <v>44995</v>
      </c>
      <c r="AC742" s="4">
        <v>2068000</v>
      </c>
      <c r="AD742" s="4"/>
      <c r="AE742" s="32"/>
      <c r="AF742" s="34" t="s">
        <v>68</v>
      </c>
      <c r="AG742" s="112" t="s">
        <v>68</v>
      </c>
      <c r="AH742" s="112" t="s">
        <v>68</v>
      </c>
      <c r="AI742" s="7" t="s">
        <v>68</v>
      </c>
      <c r="AJ742" s="109" t="s">
        <v>68</v>
      </c>
      <c r="AK742" s="241" t="s">
        <v>1289</v>
      </c>
      <c r="AL742" s="242">
        <v>237690</v>
      </c>
      <c r="AM742" s="58">
        <v>45054</v>
      </c>
      <c r="AN742" s="242">
        <v>237691</v>
      </c>
      <c r="AO742" s="58">
        <v>45054</v>
      </c>
      <c r="AP742" s="242">
        <v>237711</v>
      </c>
      <c r="AQ742" s="5">
        <v>45086</v>
      </c>
      <c r="AR742" s="642">
        <f>163241.93+54413.97+54413.97</f>
        <v>272069.87</v>
      </c>
      <c r="AS742" s="35">
        <v>0</v>
      </c>
      <c r="AT742" s="900">
        <v>609769.67000000004</v>
      </c>
      <c r="AU742" s="891"/>
      <c r="AV742" s="246" t="s">
        <v>74</v>
      </c>
      <c r="AW742" s="11"/>
      <c r="AX742" s="223" t="s">
        <v>68</v>
      </c>
      <c r="AY742" s="52" t="s">
        <v>68</v>
      </c>
      <c r="AZ742" s="225">
        <v>45175</v>
      </c>
      <c r="BA742" s="5">
        <v>45054</v>
      </c>
      <c r="BB742" s="5">
        <v>45245</v>
      </c>
      <c r="BC742" s="11">
        <v>45175</v>
      </c>
      <c r="BD742" s="225">
        <v>45175</v>
      </c>
      <c r="BE742" s="874" t="s">
        <v>5382</v>
      </c>
      <c r="BF742" s="58">
        <v>45054</v>
      </c>
      <c r="BG742" s="58">
        <v>45245</v>
      </c>
      <c r="BH742" s="58">
        <v>45175</v>
      </c>
      <c r="BI742" s="1036">
        <v>609769.68000000005</v>
      </c>
      <c r="BJ742" s="611">
        <v>45175</v>
      </c>
      <c r="BK742" s="1027"/>
      <c r="BL742" s="1027">
        <v>45050</v>
      </c>
      <c r="BM742" s="234" t="s">
        <v>74</v>
      </c>
      <c r="BN742" s="234" t="s">
        <v>74</v>
      </c>
      <c r="BO742" s="1091" t="s">
        <v>68</v>
      </c>
      <c r="BP742" s="1315" t="s">
        <v>74</v>
      </c>
      <c r="BQ742" s="1315" t="s">
        <v>74</v>
      </c>
      <c r="BR742" s="1315" t="s">
        <v>74</v>
      </c>
      <c r="BS742" s="1315" t="s">
        <v>74</v>
      </c>
      <c r="BT742" s="1315" t="s">
        <v>74</v>
      </c>
      <c r="BU742" s="914"/>
      <c r="BV742" s="336"/>
      <c r="BW742" s="13"/>
      <c r="BX742" s="22"/>
      <c r="BY742" s="22" t="s">
        <v>1295</v>
      </c>
      <c r="BZ742" s="22" t="s">
        <v>1295</v>
      </c>
      <c r="CA742" s="22" t="s">
        <v>1295</v>
      </c>
      <c r="CB742" s="1222" t="s">
        <v>3944</v>
      </c>
      <c r="CC742" s="859"/>
      <c r="CD742" s="526"/>
      <c r="CE742" s="526"/>
      <c r="CF742" s="526"/>
      <c r="CG742" s="526"/>
      <c r="CH742" s="526"/>
      <c r="CI742" s="526"/>
      <c r="CJ742" s="526"/>
      <c r="CK742" s="15"/>
    </row>
    <row r="743" spans="2:89" ht="144.75" hidden="1" customHeight="1">
      <c r="B743" s="809"/>
      <c r="C743" s="122"/>
      <c r="D743" s="22"/>
      <c r="E743" s="911">
        <v>45170</v>
      </c>
      <c r="F743" s="911"/>
      <c r="G743" s="915">
        <v>45593</v>
      </c>
      <c r="H743" s="1746" t="s">
        <v>6311</v>
      </c>
      <c r="I743" s="330">
        <v>45138</v>
      </c>
      <c r="J743" s="169">
        <v>2023</v>
      </c>
      <c r="K743" s="1417">
        <v>235006</v>
      </c>
      <c r="L743" s="1417"/>
      <c r="M743" s="170" t="s">
        <v>166</v>
      </c>
      <c r="N743" s="178" t="s">
        <v>5383</v>
      </c>
      <c r="O743" s="172" t="s">
        <v>79</v>
      </c>
      <c r="P743" s="173" t="s">
        <v>5402</v>
      </c>
      <c r="Q743" s="173" t="s">
        <v>1975</v>
      </c>
      <c r="R743" s="594">
        <v>584259.75</v>
      </c>
      <c r="S743" s="590">
        <v>45042</v>
      </c>
      <c r="T743" s="176">
        <v>45048</v>
      </c>
      <c r="U743" s="177">
        <v>45168</v>
      </c>
      <c r="V743" s="105">
        <v>45040</v>
      </c>
      <c r="W743" s="1044" t="s">
        <v>4447</v>
      </c>
      <c r="X743" s="170" t="s">
        <v>213</v>
      </c>
      <c r="Y743" s="1649" t="s">
        <v>68</v>
      </c>
      <c r="Z743" s="1384" t="s">
        <v>68</v>
      </c>
      <c r="AA743" s="241" t="s">
        <v>5816</v>
      </c>
      <c r="AB743" s="8">
        <v>44966</v>
      </c>
      <c r="AC743" s="4">
        <v>1000000</v>
      </c>
      <c r="AD743" s="4"/>
      <c r="AE743" s="32"/>
      <c r="AF743" s="34" t="s">
        <v>68</v>
      </c>
      <c r="AG743" s="112" t="s">
        <v>68</v>
      </c>
      <c r="AH743" s="112" t="s">
        <v>68</v>
      </c>
      <c r="AI743" s="7" t="s">
        <v>68</v>
      </c>
      <c r="AJ743" s="109" t="s">
        <v>68</v>
      </c>
      <c r="AK743" s="33" t="s">
        <v>5836</v>
      </c>
      <c r="AL743" s="1" t="s">
        <v>68</v>
      </c>
      <c r="AM743" s="5"/>
      <c r="AN743" s="131" t="s">
        <v>74</v>
      </c>
      <c r="AO743" s="5"/>
      <c r="AP743" s="2" t="s">
        <v>5837</v>
      </c>
      <c r="AQ743" s="5">
        <v>45135</v>
      </c>
      <c r="AR743" s="642">
        <f>77410.84</f>
        <v>77410.84</v>
      </c>
      <c r="AS743" s="35">
        <v>0</v>
      </c>
      <c r="AT743" s="900">
        <v>774108.4</v>
      </c>
      <c r="AU743" s="891"/>
      <c r="AV743" s="246" t="s">
        <v>74</v>
      </c>
      <c r="AW743" s="11"/>
      <c r="AX743" s="223" t="s">
        <v>68</v>
      </c>
      <c r="AY743" s="52" t="s">
        <v>68</v>
      </c>
      <c r="AZ743" s="225">
        <v>45136</v>
      </c>
      <c r="BA743" s="5">
        <v>45048</v>
      </c>
      <c r="BB743" s="5">
        <v>45168</v>
      </c>
      <c r="BC743" s="11">
        <v>45135</v>
      </c>
      <c r="BD743" s="225">
        <v>45136</v>
      </c>
      <c r="BE743" s="874" t="s">
        <v>5383</v>
      </c>
      <c r="BF743" s="5">
        <v>45048</v>
      </c>
      <c r="BG743" s="5">
        <v>45168</v>
      </c>
      <c r="BH743" s="5">
        <v>45135</v>
      </c>
      <c r="BI743" s="1036">
        <v>774108.4</v>
      </c>
      <c r="BJ743" s="1024">
        <v>45136</v>
      </c>
      <c r="BK743" s="1027"/>
      <c r="BL743" s="1027">
        <v>45044</v>
      </c>
      <c r="BM743" s="693" t="s">
        <v>74</v>
      </c>
      <c r="BN743" s="325">
        <v>45044</v>
      </c>
      <c r="BO743" s="1265" t="s">
        <v>74</v>
      </c>
      <c r="BP743" s="1265" t="s">
        <v>74</v>
      </c>
      <c r="BQ743" s="1265" t="s">
        <v>74</v>
      </c>
      <c r="BR743" s="1265" t="s">
        <v>74</v>
      </c>
      <c r="BS743" s="1265" t="s">
        <v>74</v>
      </c>
      <c r="BT743" s="1265" t="s">
        <v>74</v>
      </c>
      <c r="BU743" s="1709" t="s">
        <v>5817</v>
      </c>
      <c r="BV743" s="913"/>
      <c r="BW743" s="13"/>
      <c r="BX743" s="22"/>
      <c r="BY743" s="22" t="s">
        <v>1295</v>
      </c>
      <c r="BZ743" s="22" t="s">
        <v>1295</v>
      </c>
      <c r="CA743" s="22" t="s">
        <v>1295</v>
      </c>
      <c r="CB743" s="1222" t="s">
        <v>3944</v>
      </c>
      <c r="CC743" s="859"/>
      <c r="CD743" s="526"/>
      <c r="CE743" s="526"/>
      <c r="CF743" s="526"/>
      <c r="CG743" s="526"/>
      <c r="CH743" s="526"/>
      <c r="CI743" s="526"/>
      <c r="CJ743" s="526"/>
      <c r="CK743" s="15"/>
    </row>
    <row r="744" spans="2:89" ht="99.75" hidden="1" customHeight="1">
      <c r="B744" s="809"/>
      <c r="C744" s="122"/>
      <c r="D744" s="22"/>
      <c r="E744" s="911">
        <v>45170</v>
      </c>
      <c r="F744" s="911"/>
      <c r="G744" s="915">
        <v>45593</v>
      </c>
      <c r="H744" s="1746" t="s">
        <v>6311</v>
      </c>
      <c r="I744" s="330">
        <v>45302</v>
      </c>
      <c r="J744" s="169">
        <v>2023</v>
      </c>
      <c r="K744" s="1417">
        <v>235007</v>
      </c>
      <c r="L744" s="1417"/>
      <c r="M744" s="170" t="s">
        <v>166</v>
      </c>
      <c r="N744" s="178" t="s">
        <v>5384</v>
      </c>
      <c r="O744" s="172" t="s">
        <v>79</v>
      </c>
      <c r="P744" s="173" t="s">
        <v>5483</v>
      </c>
      <c r="Q744" s="173" t="s">
        <v>1975</v>
      </c>
      <c r="R744" s="594">
        <v>387303.55</v>
      </c>
      <c r="S744" s="590">
        <v>45056</v>
      </c>
      <c r="T744" s="176">
        <v>45061</v>
      </c>
      <c r="U744" s="177">
        <v>45090</v>
      </c>
      <c r="V744" s="105">
        <v>45055</v>
      </c>
      <c r="W744" s="1044" t="s">
        <v>5397</v>
      </c>
      <c r="X744" s="170" t="s">
        <v>70</v>
      </c>
      <c r="Y744" s="1650" t="s">
        <v>68</v>
      </c>
      <c r="Z744" s="368" t="s">
        <v>5818</v>
      </c>
      <c r="AA744" s="33" t="s">
        <v>5839</v>
      </c>
      <c r="AB744" s="8">
        <v>44995</v>
      </c>
      <c r="AC744" s="4">
        <v>387303.55</v>
      </c>
      <c r="AD744" s="4"/>
      <c r="AE744" s="32"/>
      <c r="AF744" s="34" t="s">
        <v>68</v>
      </c>
      <c r="AG744" s="112" t="s">
        <v>68</v>
      </c>
      <c r="AH744" s="112" t="s">
        <v>68</v>
      </c>
      <c r="AI744" s="7" t="s">
        <v>68</v>
      </c>
      <c r="AJ744" s="109" t="s">
        <v>68</v>
      </c>
      <c r="AK744" s="33" t="s">
        <v>5840</v>
      </c>
      <c r="AL744" s="1" t="s">
        <v>68</v>
      </c>
      <c r="AM744" s="5"/>
      <c r="AN744" s="1">
        <v>2794490</v>
      </c>
      <c r="AO744" s="5">
        <v>45056</v>
      </c>
      <c r="AP744" s="1">
        <v>2826782</v>
      </c>
      <c r="AQ744" s="5">
        <v>45092</v>
      </c>
      <c r="AR744" s="642">
        <f>38730.35*2</f>
        <v>77460.7</v>
      </c>
      <c r="AS744" s="35">
        <v>0</v>
      </c>
      <c r="AT744" s="895">
        <f>299013.58+84656.63</f>
        <v>383670.21</v>
      </c>
      <c r="AU744" s="891"/>
      <c r="AV744" s="324">
        <v>45061</v>
      </c>
      <c r="AW744" s="11"/>
      <c r="AX744" s="223" t="s">
        <v>68</v>
      </c>
      <c r="AY744" s="52" t="s">
        <v>68</v>
      </c>
      <c r="AZ744" s="30">
        <v>45092</v>
      </c>
      <c r="BA744" s="5">
        <v>45061</v>
      </c>
      <c r="BB744" s="5">
        <v>45090</v>
      </c>
      <c r="BC744" s="11">
        <v>45090</v>
      </c>
      <c r="BD744" s="30">
        <v>45093</v>
      </c>
      <c r="BE744" s="201" t="s">
        <v>5841</v>
      </c>
      <c r="BF744" s="5">
        <v>45061</v>
      </c>
      <c r="BG744" s="5">
        <v>45090</v>
      </c>
      <c r="BH744" s="5">
        <v>45090</v>
      </c>
      <c r="BI744" s="36">
        <v>383670.21</v>
      </c>
      <c r="BJ744" s="631">
        <v>45093</v>
      </c>
      <c r="BK744" s="336"/>
      <c r="BL744" s="336">
        <v>45058</v>
      </c>
      <c r="BM744" s="325">
        <v>45061</v>
      </c>
      <c r="BN744" s="325">
        <v>45061</v>
      </c>
      <c r="BO744" s="1265"/>
      <c r="BP744" s="325">
        <v>45061</v>
      </c>
      <c r="BQ744" s="325">
        <v>45061</v>
      </c>
      <c r="BR744" s="325">
        <v>45061</v>
      </c>
      <c r="BS744" s="325">
        <v>45091</v>
      </c>
      <c r="BT744" s="325">
        <v>45091</v>
      </c>
      <c r="BU744" s="1392"/>
      <c r="BV744" s="913"/>
      <c r="BW744" s="13"/>
      <c r="BX744" s="22" t="s">
        <v>551</v>
      </c>
      <c r="BY744" s="22" t="s">
        <v>551</v>
      </c>
      <c r="BZ744" s="22" t="s">
        <v>551</v>
      </c>
      <c r="CA744" s="22" t="s">
        <v>551</v>
      </c>
      <c r="CB744" s="1222" t="s">
        <v>3944</v>
      </c>
      <c r="CC744" s="859" t="s">
        <v>1143</v>
      </c>
      <c r="CD744" s="526"/>
      <c r="CE744" s="526"/>
      <c r="CF744" s="526"/>
      <c r="CG744" s="526"/>
      <c r="CH744" s="526"/>
      <c r="CI744" s="526"/>
      <c r="CJ744" s="526"/>
      <c r="CK744" s="15"/>
    </row>
    <row r="745" spans="2:89" ht="69" hidden="1" customHeight="1">
      <c r="B745" s="809"/>
      <c r="C745" s="122"/>
      <c r="D745" s="22"/>
      <c r="E745" s="911">
        <v>45170</v>
      </c>
      <c r="F745" s="911"/>
      <c r="G745" s="915">
        <v>45593</v>
      </c>
      <c r="H745" s="1746" t="s">
        <v>6311</v>
      </c>
      <c r="I745" s="330">
        <v>45138</v>
      </c>
      <c r="J745" s="169">
        <v>2023</v>
      </c>
      <c r="K745" s="1417">
        <v>235008</v>
      </c>
      <c r="L745" s="1417"/>
      <c r="M745" s="170" t="s">
        <v>166</v>
      </c>
      <c r="N745" s="178" t="s">
        <v>5385</v>
      </c>
      <c r="O745" s="172" t="s">
        <v>79</v>
      </c>
      <c r="P745" s="173" t="s">
        <v>5406</v>
      </c>
      <c r="Q745" s="173" t="s">
        <v>1975</v>
      </c>
      <c r="R745" s="594">
        <v>374761.47</v>
      </c>
      <c r="S745" s="590">
        <v>45056</v>
      </c>
      <c r="T745" s="176">
        <v>45061</v>
      </c>
      <c r="U745" s="177">
        <v>45086</v>
      </c>
      <c r="V745" s="105">
        <v>45055</v>
      </c>
      <c r="W745" s="1044" t="s">
        <v>4447</v>
      </c>
      <c r="X745" s="170" t="s">
        <v>449</v>
      </c>
      <c r="Y745" s="1650" t="s">
        <v>68</v>
      </c>
      <c r="Z745" s="368" t="s">
        <v>68</v>
      </c>
      <c r="AA745" s="33" t="s">
        <v>5842</v>
      </c>
      <c r="AB745" s="8">
        <v>44995</v>
      </c>
      <c r="AC745" s="4">
        <v>587456.75</v>
      </c>
      <c r="AD745" s="4"/>
      <c r="AE745" s="32"/>
      <c r="AF745" s="34" t="s">
        <v>68</v>
      </c>
      <c r="AG745" s="112" t="s">
        <v>68</v>
      </c>
      <c r="AH745" s="112" t="s">
        <v>68</v>
      </c>
      <c r="AI745" s="7" t="s">
        <v>68</v>
      </c>
      <c r="AJ745" s="109" t="s">
        <v>68</v>
      </c>
      <c r="AK745" s="33" t="s">
        <v>5836</v>
      </c>
      <c r="AL745" s="1" t="s">
        <v>68</v>
      </c>
      <c r="AM745" s="5"/>
      <c r="AN745" s="2" t="s">
        <v>5843</v>
      </c>
      <c r="AO745" s="5">
        <v>45061</v>
      </c>
      <c r="AP745" s="1">
        <v>2778249</v>
      </c>
      <c r="AQ745" s="5">
        <v>45076</v>
      </c>
      <c r="AR745" s="642">
        <f>37476.14+49075.11</f>
        <v>86551.25</v>
      </c>
      <c r="AS745" s="35">
        <v>0</v>
      </c>
      <c r="AT745" s="895">
        <v>490751.18</v>
      </c>
      <c r="AU745" s="891"/>
      <c r="AV745" s="246" t="s">
        <v>74</v>
      </c>
      <c r="AW745" s="11"/>
      <c r="AX745" s="223" t="s">
        <v>68</v>
      </c>
      <c r="AY745" s="52" t="s">
        <v>68</v>
      </c>
      <c r="AZ745" s="30">
        <v>45075</v>
      </c>
      <c r="BA745" s="5">
        <v>45061</v>
      </c>
      <c r="BB745" s="5">
        <v>45086</v>
      </c>
      <c r="BC745" s="11">
        <v>45075</v>
      </c>
      <c r="BD745" s="30">
        <v>45075</v>
      </c>
      <c r="BE745" s="201" t="s">
        <v>5385</v>
      </c>
      <c r="BF745" s="5">
        <v>45061</v>
      </c>
      <c r="BG745" s="5">
        <v>45086</v>
      </c>
      <c r="BH745" s="5">
        <v>45075</v>
      </c>
      <c r="BI745" s="36">
        <f>AS745+AT745</f>
        <v>490751.18</v>
      </c>
      <c r="BJ745" s="631">
        <v>45075</v>
      </c>
      <c r="BK745" s="336"/>
      <c r="BL745" s="336">
        <v>45058</v>
      </c>
      <c r="BM745" s="693" t="s">
        <v>74</v>
      </c>
      <c r="BN745" s="693" t="s">
        <v>74</v>
      </c>
      <c r="BO745" s="1265"/>
      <c r="BP745" s="1265" t="s">
        <v>74</v>
      </c>
      <c r="BQ745" s="1265" t="s">
        <v>74</v>
      </c>
      <c r="BR745" s="1265" t="s">
        <v>74</v>
      </c>
      <c r="BS745" s="1265" t="s">
        <v>74</v>
      </c>
      <c r="BT745" s="1265" t="s">
        <v>74</v>
      </c>
      <c r="BU745" s="1392"/>
      <c r="BV745" s="913"/>
      <c r="BW745" s="13"/>
      <c r="BX745" s="22"/>
      <c r="BY745" s="22"/>
      <c r="BZ745" s="22"/>
      <c r="CA745" s="22"/>
      <c r="CB745" s="1222" t="s">
        <v>3944</v>
      </c>
      <c r="CC745" s="859"/>
      <c r="CD745" s="526"/>
      <c r="CE745" s="526"/>
      <c r="CF745" s="526"/>
      <c r="CG745" s="526"/>
      <c r="CH745" s="526"/>
      <c r="CI745" s="526"/>
      <c r="CJ745" s="526"/>
      <c r="CK745" s="15"/>
    </row>
    <row r="746" spans="2:89" ht="93.75" hidden="1" customHeight="1">
      <c r="B746" s="809"/>
      <c r="C746" s="122"/>
      <c r="D746" s="22"/>
      <c r="E746" s="911">
        <v>45170</v>
      </c>
      <c r="F746" s="911"/>
      <c r="G746" s="915">
        <v>45593</v>
      </c>
      <c r="H746" s="1746" t="s">
        <v>6311</v>
      </c>
      <c r="I746" s="330">
        <v>44937</v>
      </c>
      <c r="J746" s="169">
        <v>2023</v>
      </c>
      <c r="K746" s="1417">
        <v>235009</v>
      </c>
      <c r="L746" s="1417"/>
      <c r="M746" s="170" t="s">
        <v>166</v>
      </c>
      <c r="N746" s="178" t="s">
        <v>5386</v>
      </c>
      <c r="O746" s="172" t="s">
        <v>79</v>
      </c>
      <c r="P746" s="173" t="s">
        <v>5484</v>
      </c>
      <c r="Q746" s="1810" t="s">
        <v>1975</v>
      </c>
      <c r="R746" s="594">
        <v>835320.31999999995</v>
      </c>
      <c r="S746" s="590">
        <v>45056</v>
      </c>
      <c r="T746" s="176">
        <v>45061</v>
      </c>
      <c r="U746" s="177">
        <v>45090</v>
      </c>
      <c r="V746" s="105">
        <v>45055</v>
      </c>
      <c r="W746" s="1044" t="s">
        <v>5397</v>
      </c>
      <c r="X746" s="170" t="s">
        <v>70</v>
      </c>
      <c r="Y746" s="1650" t="s">
        <v>68</v>
      </c>
      <c r="Z746" s="368" t="s">
        <v>5808</v>
      </c>
      <c r="AA746" s="33" t="s">
        <v>5845</v>
      </c>
      <c r="AB746" s="8">
        <v>44995</v>
      </c>
      <c r="AC746" s="4">
        <v>835320.31999999995</v>
      </c>
      <c r="AD746" s="4"/>
      <c r="AE746" s="32"/>
      <c r="AF746" s="34" t="s">
        <v>68</v>
      </c>
      <c r="AG746" s="112" t="s">
        <v>68</v>
      </c>
      <c r="AH746" s="112" t="s">
        <v>68</v>
      </c>
      <c r="AI746" s="7" t="s">
        <v>68</v>
      </c>
      <c r="AJ746" s="109" t="s">
        <v>68</v>
      </c>
      <c r="AK746" s="241" t="s">
        <v>3920</v>
      </c>
      <c r="AL746" s="1811" t="s">
        <v>68</v>
      </c>
      <c r="AM746" s="1716"/>
      <c r="AN746" s="131" t="s">
        <v>74</v>
      </c>
      <c r="AO746" s="1716"/>
      <c r="AP746" s="343">
        <v>2879686</v>
      </c>
      <c r="AQ746" s="5">
        <v>45092</v>
      </c>
      <c r="AR746" s="642">
        <f>80363.96</f>
        <v>80363.960000000006</v>
      </c>
      <c r="AS746" s="35">
        <v>0</v>
      </c>
      <c r="AT746" s="900">
        <v>803639.66</v>
      </c>
      <c r="AU746" s="891"/>
      <c r="AV746" s="70">
        <v>45061</v>
      </c>
      <c r="AW746" s="11">
        <v>45090</v>
      </c>
      <c r="AX746" s="223" t="s">
        <v>68</v>
      </c>
      <c r="AY746" s="52" t="s">
        <v>68</v>
      </c>
      <c r="AZ746" s="30">
        <v>45090</v>
      </c>
      <c r="BA746" s="5">
        <v>45061</v>
      </c>
      <c r="BB746" s="5">
        <v>45090</v>
      </c>
      <c r="BC746" s="11">
        <v>45090</v>
      </c>
      <c r="BD746" s="30">
        <v>45090</v>
      </c>
      <c r="BE746" s="201" t="s">
        <v>6463</v>
      </c>
      <c r="BF746" s="5">
        <v>45061</v>
      </c>
      <c r="BG746" s="5">
        <v>45090</v>
      </c>
      <c r="BH746" s="5">
        <v>45090</v>
      </c>
      <c r="BI746" s="36">
        <f>AS746+AT746</f>
        <v>803639.66</v>
      </c>
      <c r="BJ746" s="608">
        <v>45090</v>
      </c>
      <c r="BK746" s="336">
        <v>45456</v>
      </c>
      <c r="BL746" s="336">
        <v>45058</v>
      </c>
      <c r="BM746" s="71">
        <v>45061</v>
      </c>
      <c r="BN746" s="71">
        <v>45061</v>
      </c>
      <c r="BO746" s="914"/>
      <c r="BP746" s="914">
        <v>45061</v>
      </c>
      <c r="BQ746" s="914">
        <v>45061</v>
      </c>
      <c r="BR746" s="914">
        <v>45061</v>
      </c>
      <c r="BS746" s="914">
        <v>45089</v>
      </c>
      <c r="BT746" s="914">
        <v>45089</v>
      </c>
      <c r="BU746" s="1392"/>
      <c r="BV746" s="913"/>
      <c r="BW746" s="13"/>
      <c r="BX746" s="22"/>
      <c r="BY746" s="22"/>
      <c r="BZ746" s="22"/>
      <c r="CA746" s="22"/>
      <c r="CB746" s="1222" t="s">
        <v>3944</v>
      </c>
      <c r="CC746" s="859"/>
      <c r="CD746" s="526"/>
      <c r="CE746" s="526"/>
      <c r="CF746" s="526"/>
      <c r="CG746" s="526"/>
      <c r="CH746" s="526"/>
      <c r="CI746" s="526"/>
      <c r="CJ746" s="526"/>
      <c r="CK746" s="15"/>
    </row>
    <row r="747" spans="2:89" ht="76.5" hidden="1" customHeight="1">
      <c r="B747" s="809"/>
      <c r="C747" s="122"/>
      <c r="D747" s="22"/>
      <c r="E747" s="911">
        <v>45170</v>
      </c>
      <c r="F747" s="911"/>
      <c r="G747" s="915">
        <v>45593</v>
      </c>
      <c r="H747" s="1746" t="s">
        <v>6311</v>
      </c>
      <c r="I747" s="330">
        <v>45138</v>
      </c>
      <c r="J747" s="169">
        <v>2023</v>
      </c>
      <c r="K747" s="1417">
        <v>235010</v>
      </c>
      <c r="L747" s="1417"/>
      <c r="M747" s="170" t="s">
        <v>166</v>
      </c>
      <c r="N747" s="178" t="s">
        <v>5388</v>
      </c>
      <c r="O747" s="172" t="s">
        <v>79</v>
      </c>
      <c r="P747" s="173" t="s">
        <v>5407</v>
      </c>
      <c r="Q747" s="173" t="s">
        <v>4823</v>
      </c>
      <c r="R747" s="594">
        <v>168796.66</v>
      </c>
      <c r="S747" s="590">
        <v>45059</v>
      </c>
      <c r="T747" s="176">
        <v>45075</v>
      </c>
      <c r="U747" s="177">
        <v>45094</v>
      </c>
      <c r="V747" s="105">
        <v>45061</v>
      </c>
      <c r="W747" s="178" t="s">
        <v>4447</v>
      </c>
      <c r="X747" s="170" t="s">
        <v>449</v>
      </c>
      <c r="Y747" s="1650" t="s">
        <v>68</v>
      </c>
      <c r="Z747" s="368" t="s">
        <v>68</v>
      </c>
      <c r="AA747" s="33" t="s">
        <v>5677</v>
      </c>
      <c r="AB747" s="8">
        <v>44995</v>
      </c>
      <c r="AC747" s="4">
        <v>245535.85</v>
      </c>
      <c r="AD747" s="4"/>
      <c r="AE747" s="32"/>
      <c r="AF747" s="34" t="s">
        <v>68</v>
      </c>
      <c r="AG747" s="112" t="s">
        <v>68</v>
      </c>
      <c r="AH747" s="112" t="s">
        <v>68</v>
      </c>
      <c r="AI747" s="7" t="s">
        <v>68</v>
      </c>
      <c r="AJ747" s="109" t="s">
        <v>68</v>
      </c>
      <c r="AK747" s="33" t="s">
        <v>876</v>
      </c>
      <c r="AL747" s="1" t="s">
        <v>68</v>
      </c>
      <c r="AM747" s="5"/>
      <c r="AN747" s="2" t="s">
        <v>5846</v>
      </c>
      <c r="AO747" s="5">
        <v>45075</v>
      </c>
      <c r="AP747" s="1" t="s">
        <v>5847</v>
      </c>
      <c r="AQ747" s="5">
        <v>45085</v>
      </c>
      <c r="AR747" s="642">
        <f>16879.66+25415.8</f>
        <v>42295.46</v>
      </c>
      <c r="AS747" s="35">
        <v>0</v>
      </c>
      <c r="AT747" s="895">
        <f>254158.03</f>
        <v>254158.03</v>
      </c>
      <c r="AU747" s="891"/>
      <c r="AV747" s="246" t="s">
        <v>74</v>
      </c>
      <c r="AW747" s="11"/>
      <c r="AX747" s="223" t="s">
        <v>68</v>
      </c>
      <c r="AY747" s="52" t="s">
        <v>68</v>
      </c>
      <c r="AZ747" s="30">
        <v>45085</v>
      </c>
      <c r="BA747" s="5">
        <v>45075</v>
      </c>
      <c r="BB747" s="5">
        <v>45094</v>
      </c>
      <c r="BC747" s="11">
        <v>45085</v>
      </c>
      <c r="BD747" s="30">
        <v>45085</v>
      </c>
      <c r="BE747" s="201" t="s">
        <v>5388</v>
      </c>
      <c r="BF747" s="5">
        <v>45075</v>
      </c>
      <c r="BG747" s="5">
        <v>45094</v>
      </c>
      <c r="BH747" s="5">
        <v>45085</v>
      </c>
      <c r="BI747" s="36">
        <f>AS747+AT747</f>
        <v>254158.03</v>
      </c>
      <c r="BJ747" s="608">
        <v>45085</v>
      </c>
      <c r="BK747" s="336">
        <v>45451</v>
      </c>
      <c r="BL747" s="336">
        <v>45072</v>
      </c>
      <c r="BM747" s="693" t="s">
        <v>74</v>
      </c>
      <c r="BN747" s="693" t="s">
        <v>74</v>
      </c>
      <c r="BO747" s="1265"/>
      <c r="BP747" s="1265" t="s">
        <v>74</v>
      </c>
      <c r="BQ747" s="1265" t="s">
        <v>74</v>
      </c>
      <c r="BR747" s="1265" t="s">
        <v>74</v>
      </c>
      <c r="BS747" s="1265" t="s">
        <v>74</v>
      </c>
      <c r="BT747" s="1265" t="s">
        <v>74</v>
      </c>
      <c r="BU747" s="1392"/>
      <c r="BV747" s="913"/>
      <c r="BW747" s="13"/>
      <c r="BX747" s="22"/>
      <c r="BY747" s="22"/>
      <c r="BZ747" s="22"/>
      <c r="CA747" s="22"/>
      <c r="CB747" s="1222" t="s">
        <v>3944</v>
      </c>
      <c r="CC747" s="859"/>
      <c r="CD747" s="526"/>
      <c r="CE747" s="526"/>
      <c r="CF747" s="526"/>
      <c r="CG747" s="526"/>
      <c r="CH747" s="526"/>
      <c r="CI747" s="526"/>
      <c r="CJ747" s="526"/>
      <c r="CK747" s="15"/>
    </row>
    <row r="748" spans="2:89" ht="101.25" hidden="1" customHeight="1">
      <c r="B748" s="809"/>
      <c r="C748" s="122"/>
      <c r="D748" s="22"/>
      <c r="E748" s="911"/>
      <c r="F748" s="911"/>
      <c r="G748" s="915">
        <v>45593</v>
      </c>
      <c r="H748" s="1746" t="s">
        <v>6311</v>
      </c>
      <c r="I748" s="330">
        <v>45302</v>
      </c>
      <c r="J748" s="169">
        <v>2023</v>
      </c>
      <c r="K748" s="1417">
        <v>235011</v>
      </c>
      <c r="L748" s="1417"/>
      <c r="M748" s="170" t="s">
        <v>166</v>
      </c>
      <c r="N748" s="178" t="s">
        <v>5389</v>
      </c>
      <c r="O748" s="172" t="s">
        <v>79</v>
      </c>
      <c r="P748" s="173" t="s">
        <v>5485</v>
      </c>
      <c r="Q748" s="173" t="s">
        <v>1975</v>
      </c>
      <c r="R748" s="594">
        <v>254339.78</v>
      </c>
      <c r="S748" s="590">
        <v>45141</v>
      </c>
      <c r="T748" s="176">
        <v>45187</v>
      </c>
      <c r="U748" s="177">
        <v>45219</v>
      </c>
      <c r="V748" s="105">
        <v>45071</v>
      </c>
      <c r="W748" s="178" t="s">
        <v>5667</v>
      </c>
      <c r="X748" s="170" t="s">
        <v>70</v>
      </c>
      <c r="Y748" s="1649" t="s">
        <v>68</v>
      </c>
      <c r="Z748" s="1384" t="s">
        <v>5808</v>
      </c>
      <c r="AA748" s="241" t="s">
        <v>5669</v>
      </c>
      <c r="AB748" s="8">
        <v>44995</v>
      </c>
      <c r="AC748" s="4">
        <v>254339.78</v>
      </c>
      <c r="AD748" s="4"/>
      <c r="AE748" s="32"/>
      <c r="AF748" s="34" t="s">
        <v>68</v>
      </c>
      <c r="AG748" s="112" t="s">
        <v>68</v>
      </c>
      <c r="AH748" s="112" t="s">
        <v>68</v>
      </c>
      <c r="AI748" s="7" t="s">
        <v>68</v>
      </c>
      <c r="AJ748" s="109" t="s">
        <v>68</v>
      </c>
      <c r="AK748" s="33" t="s">
        <v>5670</v>
      </c>
      <c r="AL748" s="1">
        <v>2822737</v>
      </c>
      <c r="AM748" s="5">
        <v>45176</v>
      </c>
      <c r="AN748" s="1">
        <v>2818634</v>
      </c>
      <c r="AO748" s="5">
        <v>45176</v>
      </c>
      <c r="AP748" s="242">
        <v>2841302</v>
      </c>
      <c r="AQ748" s="58">
        <v>45238</v>
      </c>
      <c r="AR748" s="642">
        <f>76301.93+25433.97+34131.85</f>
        <v>135867.75</v>
      </c>
      <c r="AS748" s="35">
        <v>0</v>
      </c>
      <c r="AT748" s="900">
        <f>(190714.73*1.16)+(103525.35*1.16)</f>
        <v>341318.49280000001</v>
      </c>
      <c r="AU748" s="891"/>
      <c r="AV748" s="246" t="s">
        <v>74</v>
      </c>
      <c r="AW748" s="11"/>
      <c r="AX748" s="223" t="s">
        <v>68</v>
      </c>
      <c r="AY748" s="52" t="s">
        <v>68</v>
      </c>
      <c r="AZ748" s="225">
        <v>45222</v>
      </c>
      <c r="BA748" s="58">
        <v>45187</v>
      </c>
      <c r="BB748" s="58">
        <v>45219</v>
      </c>
      <c r="BC748" s="59">
        <v>45219</v>
      </c>
      <c r="BD748" s="225">
        <v>45238</v>
      </c>
      <c r="BE748" s="874" t="s">
        <v>5389</v>
      </c>
      <c r="BF748" s="58">
        <v>45187</v>
      </c>
      <c r="BG748" s="58">
        <v>45219</v>
      </c>
      <c r="BH748" s="58">
        <v>45219</v>
      </c>
      <c r="BI748" s="1036">
        <f>AS748+AT748</f>
        <v>341318.49280000001</v>
      </c>
      <c r="BJ748" s="1024">
        <v>45238</v>
      </c>
      <c r="BK748" s="1027">
        <v>45604</v>
      </c>
      <c r="BL748" s="1027">
        <v>45079</v>
      </c>
      <c r="BM748" s="325">
        <v>45161</v>
      </c>
      <c r="BN748" s="325">
        <v>45161</v>
      </c>
      <c r="BO748" s="1091"/>
      <c r="BP748" s="1091">
        <v>45161</v>
      </c>
      <c r="BQ748" s="1091">
        <v>45161</v>
      </c>
      <c r="BR748" s="1091">
        <v>45161</v>
      </c>
      <c r="BS748" s="1265" t="s">
        <v>74</v>
      </c>
      <c r="BT748" s="1265" t="s">
        <v>74</v>
      </c>
      <c r="BU748" s="914" t="s">
        <v>5848</v>
      </c>
      <c r="BV748" s="1713" t="s">
        <v>5849</v>
      </c>
      <c r="BW748" s="13"/>
      <c r="BX748" s="22"/>
      <c r="BY748" s="22"/>
      <c r="BZ748" s="22"/>
      <c r="CA748" s="22"/>
      <c r="CB748" s="1222" t="s">
        <v>3944</v>
      </c>
      <c r="CC748" s="859"/>
      <c r="CD748" s="526"/>
      <c r="CE748" s="526"/>
      <c r="CF748" s="526"/>
      <c r="CG748" s="526"/>
      <c r="CH748" s="526"/>
      <c r="CI748" s="526"/>
      <c r="CJ748" s="526"/>
      <c r="CK748" s="15"/>
    </row>
    <row r="749" spans="2:89" ht="94.5" hidden="1" customHeight="1">
      <c r="B749" s="809"/>
      <c r="C749" s="122"/>
      <c r="D749" s="22"/>
      <c r="E749" s="911"/>
      <c r="F749" s="911"/>
      <c r="G749" s="915">
        <v>45594</v>
      </c>
      <c r="H749" s="1746" t="s">
        <v>6311</v>
      </c>
      <c r="I749" s="330">
        <v>45302</v>
      </c>
      <c r="J749" s="169">
        <v>2023</v>
      </c>
      <c r="K749" s="1417">
        <v>235012</v>
      </c>
      <c r="L749" s="1417"/>
      <c r="M749" s="170" t="s">
        <v>77</v>
      </c>
      <c r="N749" s="178" t="s">
        <v>5390</v>
      </c>
      <c r="O749" s="172" t="s">
        <v>79</v>
      </c>
      <c r="P749" s="173" t="s">
        <v>5486</v>
      </c>
      <c r="Q749" s="173" t="s">
        <v>1975</v>
      </c>
      <c r="R749" s="594">
        <v>553159.56000000006</v>
      </c>
      <c r="S749" s="590">
        <v>45141</v>
      </c>
      <c r="T749" s="176">
        <v>45148</v>
      </c>
      <c r="U749" s="177">
        <v>45170</v>
      </c>
      <c r="V749" s="105">
        <v>45140</v>
      </c>
      <c r="W749" s="178" t="s">
        <v>5667</v>
      </c>
      <c r="X749" s="170" t="s">
        <v>70</v>
      </c>
      <c r="Y749" s="1649">
        <v>45139</v>
      </c>
      <c r="Z749" s="1384" t="s">
        <v>5808</v>
      </c>
      <c r="AA749" s="33" t="s">
        <v>5671</v>
      </c>
      <c r="AB749" s="8">
        <v>44995</v>
      </c>
      <c r="AC749" s="4">
        <v>553159.56000000006</v>
      </c>
      <c r="AD749" s="4"/>
      <c r="AE749" s="32"/>
      <c r="AF749" s="34" t="s">
        <v>68</v>
      </c>
      <c r="AG749" s="112" t="s">
        <v>68</v>
      </c>
      <c r="AH749" s="112" t="s">
        <v>68</v>
      </c>
      <c r="AI749" s="7" t="s">
        <v>68</v>
      </c>
      <c r="AJ749" s="109" t="s">
        <v>68</v>
      </c>
      <c r="AK749" s="33" t="s">
        <v>3920</v>
      </c>
      <c r="AL749" s="1">
        <v>2818637</v>
      </c>
      <c r="AM749" s="5">
        <v>45148</v>
      </c>
      <c r="AN749" s="1">
        <v>2818643</v>
      </c>
      <c r="AO749" s="5">
        <v>45148</v>
      </c>
      <c r="AP749" s="242">
        <v>2841290</v>
      </c>
      <c r="AQ749" s="58">
        <v>45204</v>
      </c>
      <c r="AR749" s="642">
        <f>165947.85+55315.95+70762.05</f>
        <v>292025.84999999998</v>
      </c>
      <c r="AS749" s="35">
        <v>0</v>
      </c>
      <c r="AT749" s="900">
        <v>707620.48</v>
      </c>
      <c r="AU749" s="891"/>
      <c r="AV749" s="246" t="s">
        <v>74</v>
      </c>
      <c r="AW749" s="11"/>
      <c r="AX749" s="223" t="s">
        <v>68</v>
      </c>
      <c r="AY749" s="52" t="s">
        <v>68</v>
      </c>
      <c r="AZ749" s="225">
        <v>45184</v>
      </c>
      <c r="BA749" s="58">
        <v>45148</v>
      </c>
      <c r="BB749" s="58">
        <v>45183</v>
      </c>
      <c r="BC749" s="59">
        <v>45183</v>
      </c>
      <c r="BD749" s="225">
        <v>45187</v>
      </c>
      <c r="BE749" s="874" t="s">
        <v>5851</v>
      </c>
      <c r="BF749" s="5">
        <v>45148</v>
      </c>
      <c r="BG749" s="5">
        <v>45161</v>
      </c>
      <c r="BH749" s="5">
        <v>45183</v>
      </c>
      <c r="BI749" s="1036">
        <v>707620.5</v>
      </c>
      <c r="BJ749" s="1024">
        <v>45187</v>
      </c>
      <c r="BK749" s="1027"/>
      <c r="BL749" s="1027">
        <v>45079</v>
      </c>
      <c r="BM749" s="325">
        <v>45161</v>
      </c>
      <c r="BN749" s="325">
        <v>45161</v>
      </c>
      <c r="BO749" s="1443"/>
      <c r="BP749" s="1091">
        <v>45161</v>
      </c>
      <c r="BQ749" s="1091">
        <v>45161</v>
      </c>
      <c r="BR749" s="1091">
        <v>45161</v>
      </c>
      <c r="BS749" s="1315" t="s">
        <v>74</v>
      </c>
      <c r="BT749" s="1315" t="s">
        <v>74</v>
      </c>
      <c r="BU749" s="1709" t="s">
        <v>5852</v>
      </c>
      <c r="BV749" s="913"/>
      <c r="BW749" s="13"/>
      <c r="BX749" s="22"/>
      <c r="BY749" s="22"/>
      <c r="BZ749" s="22"/>
      <c r="CA749" s="22"/>
      <c r="CB749" s="1222" t="s">
        <v>3944</v>
      </c>
      <c r="CC749" s="859"/>
      <c r="CD749" s="526"/>
      <c r="CE749" s="526"/>
      <c r="CF749" s="526"/>
      <c r="CG749" s="526"/>
      <c r="CH749" s="526"/>
      <c r="CI749" s="526"/>
      <c r="CJ749" s="526"/>
      <c r="CK749" s="15"/>
    </row>
    <row r="750" spans="2:89" ht="91.5" hidden="1" customHeight="1">
      <c r="B750" s="809"/>
      <c r="C750" s="122"/>
      <c r="D750" s="22"/>
      <c r="E750" s="911">
        <v>45170</v>
      </c>
      <c r="F750" s="911"/>
      <c r="G750" s="915">
        <v>45594</v>
      </c>
      <c r="H750" s="1746" t="s">
        <v>6311</v>
      </c>
      <c r="I750" s="330">
        <v>45203</v>
      </c>
      <c r="J750" s="169">
        <v>2023</v>
      </c>
      <c r="K750" s="1417">
        <v>235013</v>
      </c>
      <c r="L750" s="1417"/>
      <c r="M750" s="170" t="s">
        <v>77</v>
      </c>
      <c r="N750" s="178" t="s">
        <v>5387</v>
      </c>
      <c r="O750" s="172" t="s">
        <v>79</v>
      </c>
      <c r="P750" s="173" t="s">
        <v>5672</v>
      </c>
      <c r="Q750" s="173" t="s">
        <v>2538</v>
      </c>
      <c r="R750" s="594">
        <v>724743.66</v>
      </c>
      <c r="S750" s="590">
        <v>45105</v>
      </c>
      <c r="T750" s="176">
        <v>45110</v>
      </c>
      <c r="U750" s="177">
        <v>45141</v>
      </c>
      <c r="V750" s="105">
        <v>45104</v>
      </c>
      <c r="W750" s="178" t="s">
        <v>5397</v>
      </c>
      <c r="X750" s="170" t="s">
        <v>70</v>
      </c>
      <c r="Y750" s="1649">
        <v>45103</v>
      </c>
      <c r="Z750" s="1384" t="s">
        <v>5808</v>
      </c>
      <c r="AA750" s="241" t="s">
        <v>5668</v>
      </c>
      <c r="AB750" s="8">
        <v>45103</v>
      </c>
      <c r="AC750" s="4">
        <v>724743.66</v>
      </c>
      <c r="AD750" s="4"/>
      <c r="AE750" s="32"/>
      <c r="AF750" s="34" t="s">
        <v>68</v>
      </c>
      <c r="AG750" s="112" t="s">
        <v>68</v>
      </c>
      <c r="AH750" s="112" t="s">
        <v>68</v>
      </c>
      <c r="AI750" s="7" t="s">
        <v>68</v>
      </c>
      <c r="AJ750" s="109" t="s">
        <v>68</v>
      </c>
      <c r="AK750" s="33" t="s">
        <v>3920</v>
      </c>
      <c r="AL750" s="1">
        <v>2807983</v>
      </c>
      <c r="AM750" s="5">
        <v>45105</v>
      </c>
      <c r="AN750" s="1">
        <v>2807987</v>
      </c>
      <c r="AO750" s="5">
        <v>45105</v>
      </c>
      <c r="AP750" s="1">
        <v>2822527</v>
      </c>
      <c r="AQ750" s="5">
        <v>45140</v>
      </c>
      <c r="AR750" s="642">
        <f>217423.09+72474.36+72474.36</f>
        <v>362371.81</v>
      </c>
      <c r="AS750" s="35">
        <v>0</v>
      </c>
      <c r="AT750" s="895">
        <v>683930.4</v>
      </c>
      <c r="AU750" s="891"/>
      <c r="AV750" s="70">
        <v>45080</v>
      </c>
      <c r="AW750" s="11">
        <v>45141</v>
      </c>
      <c r="AX750" s="223" t="s">
        <v>68</v>
      </c>
      <c r="AY750" s="52" t="s">
        <v>68</v>
      </c>
      <c r="AZ750" s="30">
        <v>45143</v>
      </c>
      <c r="BA750" s="5">
        <v>45110</v>
      </c>
      <c r="BB750" s="5">
        <v>45141</v>
      </c>
      <c r="BC750" s="11">
        <v>45141</v>
      </c>
      <c r="BD750" s="30">
        <v>45146</v>
      </c>
      <c r="BE750" s="874" t="s">
        <v>5673</v>
      </c>
      <c r="BF750" s="5">
        <v>45110</v>
      </c>
      <c r="BG750" s="5">
        <v>45141</v>
      </c>
      <c r="BH750" s="5">
        <v>45141</v>
      </c>
      <c r="BI750" s="36">
        <f>AS750+AT750</f>
        <v>683930.4</v>
      </c>
      <c r="BJ750" s="631">
        <v>45146</v>
      </c>
      <c r="BK750" s="336"/>
      <c r="BL750" s="336">
        <v>45107</v>
      </c>
      <c r="BM750" s="71">
        <v>45110</v>
      </c>
      <c r="BN750" s="71">
        <v>45110</v>
      </c>
      <c r="BO750" s="1443"/>
      <c r="BP750" s="914">
        <v>45110</v>
      </c>
      <c r="BQ750" s="914">
        <v>45110</v>
      </c>
      <c r="BR750" s="914">
        <v>45110</v>
      </c>
      <c r="BS750" s="914">
        <v>45141</v>
      </c>
      <c r="BT750" s="914">
        <v>45141</v>
      </c>
      <c r="BU750" s="914">
        <v>45124</v>
      </c>
      <c r="BV750" s="913"/>
      <c r="BW750" s="13"/>
      <c r="BX750" s="22"/>
      <c r="BY750" s="22"/>
      <c r="BZ750" s="22"/>
      <c r="CA750" s="22"/>
      <c r="CB750" s="1222" t="s">
        <v>3944</v>
      </c>
      <c r="CC750" s="859" t="s">
        <v>1143</v>
      </c>
      <c r="CD750" s="526"/>
      <c r="CE750" s="526"/>
      <c r="CF750" s="526"/>
      <c r="CG750" s="526"/>
      <c r="CH750" s="526"/>
      <c r="CI750" s="526"/>
      <c r="CJ750" s="526"/>
      <c r="CK750" s="15"/>
    </row>
    <row r="751" spans="2:89" ht="91.5" hidden="1" customHeight="1">
      <c r="B751" s="809"/>
      <c r="C751" s="122"/>
      <c r="D751" s="22"/>
      <c r="E751" s="911">
        <v>45170</v>
      </c>
      <c r="F751" s="911"/>
      <c r="G751" s="915">
        <v>45594</v>
      </c>
      <c r="H751" s="1746" t="s">
        <v>6311</v>
      </c>
      <c r="I751" s="330">
        <v>45203</v>
      </c>
      <c r="J751" s="169">
        <v>2023</v>
      </c>
      <c r="K751" s="1417">
        <v>235014</v>
      </c>
      <c r="L751" s="1417"/>
      <c r="M751" s="170" t="s">
        <v>77</v>
      </c>
      <c r="N751" s="178" t="s">
        <v>5391</v>
      </c>
      <c r="O751" s="172" t="s">
        <v>79</v>
      </c>
      <c r="P751" s="173" t="s">
        <v>5674</v>
      </c>
      <c r="Q751" s="173" t="s">
        <v>2538</v>
      </c>
      <c r="R751" s="594">
        <v>543995.47</v>
      </c>
      <c r="S751" s="590">
        <v>45105</v>
      </c>
      <c r="T751" s="176">
        <v>45110</v>
      </c>
      <c r="U751" s="177">
        <v>45141</v>
      </c>
      <c r="V751" s="105">
        <v>45104</v>
      </c>
      <c r="W751" s="178" t="s">
        <v>5397</v>
      </c>
      <c r="X751" s="170" t="s">
        <v>70</v>
      </c>
      <c r="Y751" s="1649">
        <v>45134</v>
      </c>
      <c r="Z751" s="1384" t="s">
        <v>5808</v>
      </c>
      <c r="AA751" s="241" t="s">
        <v>5675</v>
      </c>
      <c r="AB751" s="8">
        <v>45103</v>
      </c>
      <c r="AC751" s="4">
        <v>543995.47</v>
      </c>
      <c r="AD751" s="4"/>
      <c r="AE751" s="32"/>
      <c r="AF751" s="34" t="s">
        <v>68</v>
      </c>
      <c r="AG751" s="112" t="s">
        <v>68</v>
      </c>
      <c r="AH751" s="112" t="s">
        <v>68</v>
      </c>
      <c r="AI751" s="7" t="s">
        <v>68</v>
      </c>
      <c r="AJ751" s="109" t="s">
        <v>68</v>
      </c>
      <c r="AK751" s="33" t="s">
        <v>3920</v>
      </c>
      <c r="AL751" s="1">
        <v>2829470</v>
      </c>
      <c r="AM751" s="5">
        <v>45140</v>
      </c>
      <c r="AN751" s="1">
        <v>2829470</v>
      </c>
      <c r="AO751" s="5">
        <v>45140</v>
      </c>
      <c r="AP751" s="242">
        <v>2832990</v>
      </c>
      <c r="AQ751" s="58">
        <v>45174</v>
      </c>
      <c r="AR751" s="642">
        <f>54399.54+54399.54+54399.54</f>
        <v>163198.62</v>
      </c>
      <c r="AS751" s="35">
        <v>0</v>
      </c>
      <c r="AT751" s="900">
        <f>576591.7+289.18</f>
        <v>576880.88</v>
      </c>
      <c r="AU751" s="891"/>
      <c r="AV751" s="70">
        <v>45142</v>
      </c>
      <c r="AW751" s="11">
        <v>45173</v>
      </c>
      <c r="AX751" s="223" t="s">
        <v>68</v>
      </c>
      <c r="AY751" s="52" t="s">
        <v>68</v>
      </c>
      <c r="AZ751" s="225">
        <v>45174</v>
      </c>
      <c r="BA751" s="58">
        <v>45142</v>
      </c>
      <c r="BB751" s="58">
        <v>45173</v>
      </c>
      <c r="BC751" s="59">
        <v>45173</v>
      </c>
      <c r="BD751" s="225">
        <v>45175</v>
      </c>
      <c r="BE751" s="874" t="s">
        <v>5853</v>
      </c>
      <c r="BF751" s="5">
        <v>45142</v>
      </c>
      <c r="BG751" s="5">
        <v>45173</v>
      </c>
      <c r="BH751" s="5">
        <v>45173</v>
      </c>
      <c r="BI751" s="1036">
        <f>AS751+AT751</f>
        <v>576880.88</v>
      </c>
      <c r="BJ751" s="1024">
        <v>45175</v>
      </c>
      <c r="BK751" s="1027"/>
      <c r="BL751" s="1027">
        <v>45107</v>
      </c>
      <c r="BM751" s="71">
        <v>45142</v>
      </c>
      <c r="BN751" s="71">
        <v>45142</v>
      </c>
      <c r="BO751" s="1443"/>
      <c r="BP751" s="914">
        <v>45142</v>
      </c>
      <c r="BQ751" s="914">
        <v>45142</v>
      </c>
      <c r="BR751" s="914">
        <v>45142</v>
      </c>
      <c r="BS751" s="914">
        <v>45173</v>
      </c>
      <c r="BT751" s="914">
        <v>45173</v>
      </c>
      <c r="BU751" s="914" t="s">
        <v>5854</v>
      </c>
      <c r="BV751" s="913" t="s">
        <v>5855</v>
      </c>
      <c r="BW751" s="13"/>
      <c r="BX751" s="22"/>
      <c r="BY751" s="22"/>
      <c r="BZ751" s="22"/>
      <c r="CA751" s="22"/>
      <c r="CB751" s="1222" t="s">
        <v>3944</v>
      </c>
      <c r="CC751" s="859" t="s">
        <v>1143</v>
      </c>
      <c r="CD751" s="526"/>
      <c r="CE751" s="526"/>
      <c r="CF751" s="526"/>
      <c r="CG751" s="526"/>
      <c r="CH751" s="526"/>
      <c r="CI751" s="526"/>
      <c r="CJ751" s="526"/>
      <c r="CK751" s="15"/>
    </row>
    <row r="752" spans="2:89" ht="94.5" hidden="1" customHeight="1">
      <c r="B752" s="809"/>
      <c r="C752" s="122"/>
      <c r="D752" s="22"/>
      <c r="E752" s="911">
        <v>45170</v>
      </c>
      <c r="F752" s="911"/>
      <c r="G752" s="915">
        <v>45594</v>
      </c>
      <c r="H752" s="1746" t="s">
        <v>6311</v>
      </c>
      <c r="I752" s="330">
        <v>45203</v>
      </c>
      <c r="J752" s="169">
        <v>2023</v>
      </c>
      <c r="K752" s="1417">
        <v>235015</v>
      </c>
      <c r="L752" s="1417"/>
      <c r="M752" s="170" t="s">
        <v>166</v>
      </c>
      <c r="N752" s="178" t="s">
        <v>5392</v>
      </c>
      <c r="O752" s="172" t="s">
        <v>79</v>
      </c>
      <c r="P752" s="173" t="s">
        <v>5490</v>
      </c>
      <c r="Q752" s="173" t="s">
        <v>5491</v>
      </c>
      <c r="R752" s="594">
        <v>703136.32</v>
      </c>
      <c r="S752" s="590">
        <v>45105</v>
      </c>
      <c r="T752" s="176">
        <v>45113</v>
      </c>
      <c r="U752" s="177">
        <v>45168</v>
      </c>
      <c r="V752" s="105">
        <v>45104</v>
      </c>
      <c r="W752" s="178" t="s">
        <v>1319</v>
      </c>
      <c r="X752" s="170" t="s">
        <v>70</v>
      </c>
      <c r="Y752" s="1649" t="s">
        <v>68</v>
      </c>
      <c r="Z752" s="1384" t="s">
        <v>68</v>
      </c>
      <c r="AA752" s="33" t="s">
        <v>5676</v>
      </c>
      <c r="AB752" s="8">
        <v>45103</v>
      </c>
      <c r="AC752" s="4">
        <v>703136.32</v>
      </c>
      <c r="AD752" s="4"/>
      <c r="AE752" s="32"/>
      <c r="AF752" s="34" t="s">
        <v>68</v>
      </c>
      <c r="AG752" s="112" t="s">
        <v>68</v>
      </c>
      <c r="AH752" s="112" t="s">
        <v>68</v>
      </c>
      <c r="AI752" s="7" t="s">
        <v>68</v>
      </c>
      <c r="AJ752" s="109" t="s">
        <v>68</v>
      </c>
      <c r="AK752" s="241" t="s">
        <v>1294</v>
      </c>
      <c r="AL752" s="388" t="s">
        <v>5856</v>
      </c>
      <c r="AM752" s="58">
        <v>45105</v>
      </c>
      <c r="AN752" s="388" t="s">
        <v>5857</v>
      </c>
      <c r="AO752" s="58">
        <v>45105</v>
      </c>
      <c r="AP752" s="242" t="s">
        <v>5858</v>
      </c>
      <c r="AQ752" s="58">
        <v>45168</v>
      </c>
      <c r="AR752" s="642">
        <f>210940.9+70313.63+87126.27</f>
        <v>368380.80000000005</v>
      </c>
      <c r="AS752" s="35">
        <v>0</v>
      </c>
      <c r="AT752" s="895">
        <f>(139745.74*1.16)+(207299.39*1.16)+(404043.38*1.16)</f>
        <v>871262.6716</v>
      </c>
      <c r="AU752" s="891"/>
      <c r="AV752" s="246" t="s">
        <v>74</v>
      </c>
      <c r="AW752" s="11"/>
      <c r="AX752" s="223" t="s">
        <v>68</v>
      </c>
      <c r="AY752" s="52" t="s">
        <v>68</v>
      </c>
      <c r="AZ752" s="66" t="s">
        <v>74</v>
      </c>
      <c r="BA752" s="5"/>
      <c r="BB752" s="5"/>
      <c r="BC752" s="11"/>
      <c r="BD752" s="66" t="s">
        <v>74</v>
      </c>
      <c r="BE752" s="535" t="str">
        <f>N752</f>
        <v>GMJ 015C OP/2023</v>
      </c>
      <c r="BF752" s="5"/>
      <c r="BG752" s="5"/>
      <c r="BH752" s="5"/>
      <c r="BI752" s="64">
        <f>AS752+AT752</f>
        <v>871262.6716</v>
      </c>
      <c r="BJ752" s="239" t="s">
        <v>74</v>
      </c>
      <c r="BK752" s="1401"/>
      <c r="BL752" s="336">
        <v>45112</v>
      </c>
      <c r="BM752" s="693" t="s">
        <v>74</v>
      </c>
      <c r="BN752" s="693" t="s">
        <v>74</v>
      </c>
      <c r="BO752" s="1443"/>
      <c r="BP752" s="1265" t="s">
        <v>74</v>
      </c>
      <c r="BQ752" s="1265" t="s">
        <v>74</v>
      </c>
      <c r="BR752" s="1265" t="s">
        <v>74</v>
      </c>
      <c r="BS752" s="1265" t="s">
        <v>74</v>
      </c>
      <c r="BT752" s="1265" t="s">
        <v>74</v>
      </c>
      <c r="BU752" s="1392"/>
      <c r="BV752" s="913"/>
      <c r="BW752" s="13"/>
      <c r="BX752" s="22"/>
      <c r="BY752" s="22"/>
      <c r="BZ752" s="22"/>
      <c r="CA752" s="22"/>
      <c r="CB752" s="1222" t="s">
        <v>3944</v>
      </c>
      <c r="CC752" s="859" t="s">
        <v>5859</v>
      </c>
      <c r="CD752" s="526"/>
      <c r="CE752" s="526"/>
      <c r="CF752" s="526"/>
      <c r="CG752" s="526"/>
      <c r="CH752" s="526"/>
      <c r="CI752" s="526"/>
      <c r="CJ752" s="526"/>
      <c r="CK752" s="15"/>
    </row>
    <row r="753" spans="2:89" ht="66.75" hidden="1" customHeight="1">
      <c r="B753" s="809" t="s">
        <v>6439</v>
      </c>
      <c r="C753" s="122"/>
      <c r="D753" s="22"/>
      <c r="E753" s="911"/>
      <c r="F753" s="911"/>
      <c r="G753" s="915">
        <v>45594</v>
      </c>
      <c r="H753" s="1746" t="s">
        <v>6311</v>
      </c>
      <c r="I753" s="330">
        <v>45203</v>
      </c>
      <c r="J753" s="169">
        <v>2023</v>
      </c>
      <c r="K753" s="1417">
        <v>235016</v>
      </c>
      <c r="L753" s="1417"/>
      <c r="M753" s="170" t="s">
        <v>166</v>
      </c>
      <c r="N753" s="178" t="s">
        <v>5652</v>
      </c>
      <c r="O753" s="172" t="s">
        <v>79</v>
      </c>
      <c r="P753" s="173" t="s">
        <v>5659</v>
      </c>
      <c r="Q753" s="173" t="s">
        <v>1975</v>
      </c>
      <c r="R753" s="594">
        <v>821212.44</v>
      </c>
      <c r="S753" s="590">
        <v>45134</v>
      </c>
      <c r="T753" s="176">
        <v>45145</v>
      </c>
      <c r="U753" s="177">
        <v>45169</v>
      </c>
      <c r="V753" s="105">
        <v>45131</v>
      </c>
      <c r="W753" s="1044" t="s">
        <v>5660</v>
      </c>
      <c r="X753" s="170" t="s">
        <v>213</v>
      </c>
      <c r="Y753" s="1650" t="s">
        <v>68</v>
      </c>
      <c r="Z753" s="368" t="s">
        <v>68</v>
      </c>
      <c r="AA753" s="33" t="s">
        <v>5860</v>
      </c>
      <c r="AB753" s="8">
        <v>45113</v>
      </c>
      <c r="AC753" s="4">
        <v>821212.44</v>
      </c>
      <c r="AD753" s="4"/>
      <c r="AE753" s="32"/>
      <c r="AF753" s="34" t="s">
        <v>68</v>
      </c>
      <c r="AG753" s="112" t="s">
        <v>68</v>
      </c>
      <c r="AH753" s="112" t="s">
        <v>68</v>
      </c>
      <c r="AI753" s="7" t="s">
        <v>68</v>
      </c>
      <c r="AJ753" s="109" t="s">
        <v>68</v>
      </c>
      <c r="AK753" s="33" t="s">
        <v>876</v>
      </c>
      <c r="AL753" s="2" t="s">
        <v>5861</v>
      </c>
      <c r="AM753" s="238">
        <v>45134</v>
      </c>
      <c r="AN753" s="2" t="s">
        <v>5862</v>
      </c>
      <c r="AO753" s="5">
        <v>45134</v>
      </c>
      <c r="AP753" s="2" t="s">
        <v>6440</v>
      </c>
      <c r="AQ753" s="5">
        <v>45134</v>
      </c>
      <c r="AR753" s="642">
        <f>246363.73+82121.24+246353.73</f>
        <v>574838.70000000007</v>
      </c>
      <c r="AS753" s="35">
        <v>0</v>
      </c>
      <c r="AT753" s="900">
        <v>821212.14</v>
      </c>
      <c r="AU753" s="891"/>
      <c r="AV753" s="246" t="s">
        <v>74</v>
      </c>
      <c r="AW753" s="11"/>
      <c r="AX753" s="223"/>
      <c r="AY753" s="52"/>
      <c r="AZ753" s="324">
        <v>45519</v>
      </c>
      <c r="BA753" s="325">
        <v>45145</v>
      </c>
      <c r="BB753" s="325">
        <v>45535</v>
      </c>
      <c r="BC753" s="1031">
        <v>45535</v>
      </c>
      <c r="BD753" s="324">
        <v>45519</v>
      </c>
      <c r="BE753" s="1617" t="s">
        <v>6441</v>
      </c>
      <c r="BF753" s="325">
        <v>45145</v>
      </c>
      <c r="BG753" s="325">
        <v>45518</v>
      </c>
      <c r="BH753" s="325">
        <v>45518</v>
      </c>
      <c r="BI753" s="326">
        <f>AS753+AT753</f>
        <v>821212.14</v>
      </c>
      <c r="BJ753" s="1024">
        <v>45519</v>
      </c>
      <c r="BK753" s="1027">
        <v>45924</v>
      </c>
      <c r="BL753" s="1027">
        <v>45138</v>
      </c>
      <c r="BM753" s="325">
        <v>45135</v>
      </c>
      <c r="BN753" s="325">
        <v>45135</v>
      </c>
      <c r="BO753" s="1443"/>
      <c r="BP753" s="1091">
        <v>45135</v>
      </c>
      <c r="BQ753" s="1091">
        <v>45135</v>
      </c>
      <c r="BR753" s="1091">
        <v>45135</v>
      </c>
      <c r="BS753" s="1091">
        <v>45519</v>
      </c>
      <c r="BT753" s="1265" t="s">
        <v>74</v>
      </c>
      <c r="BU753" s="1392"/>
      <c r="BV753" s="1713" t="s">
        <v>6444</v>
      </c>
      <c r="BW753" s="13"/>
      <c r="BX753" s="22"/>
      <c r="BY753" s="22"/>
      <c r="BZ753" s="22"/>
      <c r="CA753" s="22"/>
      <c r="CB753" s="1222" t="s">
        <v>3944</v>
      </c>
      <c r="CC753" s="859" t="s">
        <v>1143</v>
      </c>
      <c r="CD753" s="526"/>
      <c r="CE753" s="526"/>
      <c r="CF753" s="526"/>
      <c r="CG753" s="526"/>
      <c r="CH753" s="526"/>
      <c r="CI753" s="526"/>
      <c r="CJ753" s="526"/>
      <c r="CK753" s="15"/>
    </row>
    <row r="754" spans="2:89" ht="76.5" hidden="1" customHeight="1">
      <c r="B754" s="809"/>
      <c r="C754" s="122">
        <v>45446</v>
      </c>
      <c r="D754" s="22">
        <v>1</v>
      </c>
      <c r="E754" s="911"/>
      <c r="F754" s="911"/>
      <c r="G754" s="915">
        <v>45594</v>
      </c>
      <c r="H754" s="1746" t="s">
        <v>6311</v>
      </c>
      <c r="I754" s="330">
        <v>45201</v>
      </c>
      <c r="J754" s="169">
        <v>2023</v>
      </c>
      <c r="K754" s="1417">
        <v>235017</v>
      </c>
      <c r="L754" s="1417"/>
      <c r="M754" s="170" t="s">
        <v>867</v>
      </c>
      <c r="N754" s="178" t="s">
        <v>5661</v>
      </c>
      <c r="O754" s="172" t="s">
        <v>3212</v>
      </c>
      <c r="P754" s="173" t="s">
        <v>5662</v>
      </c>
      <c r="Q754" s="173" t="s">
        <v>4409</v>
      </c>
      <c r="R754" s="594">
        <v>4998360.84</v>
      </c>
      <c r="S754" s="590">
        <v>45152</v>
      </c>
      <c r="T754" s="176">
        <v>45155</v>
      </c>
      <c r="U754" s="177">
        <v>45274</v>
      </c>
      <c r="V754" s="105" t="s">
        <v>68</v>
      </c>
      <c r="W754" s="178" t="s">
        <v>4040</v>
      </c>
      <c r="X754" s="170" t="s">
        <v>70</v>
      </c>
      <c r="Y754" s="1813" t="s">
        <v>74</v>
      </c>
      <c r="Z754" s="1383"/>
      <c r="AA754" s="241" t="s">
        <v>5874</v>
      </c>
      <c r="AB754" s="8">
        <v>45070</v>
      </c>
      <c r="AC754" s="4">
        <v>5000000</v>
      </c>
      <c r="AD754" s="4"/>
      <c r="AE754" s="32"/>
      <c r="AF754" s="582">
        <v>45134</v>
      </c>
      <c r="AG754" s="583">
        <v>45139</v>
      </c>
      <c r="AH754" s="583">
        <v>45139</v>
      </c>
      <c r="AI754" s="584">
        <v>45142</v>
      </c>
      <c r="AJ754" s="581">
        <v>45148</v>
      </c>
      <c r="AK754" s="33" t="s">
        <v>5810</v>
      </c>
      <c r="AL754" s="2" t="s">
        <v>6472</v>
      </c>
      <c r="AM754" s="238">
        <v>45152</v>
      </c>
      <c r="AN754" s="2" t="s">
        <v>6473</v>
      </c>
      <c r="AO754" s="5">
        <v>45152</v>
      </c>
      <c r="AP754" s="1" t="s">
        <v>6386</v>
      </c>
      <c r="AQ754" s="5">
        <v>45275</v>
      </c>
      <c r="AR754" s="642">
        <f>1499508.25+499836.08+499836.08</f>
        <v>2499180.41</v>
      </c>
      <c r="AS754" s="35">
        <v>0</v>
      </c>
      <c r="AT754" s="900">
        <v>5362257.2</v>
      </c>
      <c r="AU754" s="891"/>
      <c r="AV754" s="30">
        <v>45155</v>
      </c>
      <c r="AW754" s="11">
        <v>45273</v>
      </c>
      <c r="AX754" s="223"/>
      <c r="AY754" s="52"/>
      <c r="AZ754" s="30">
        <v>45275</v>
      </c>
      <c r="BA754" s="5">
        <v>45155</v>
      </c>
      <c r="BB754" s="5">
        <v>45274</v>
      </c>
      <c r="BC754" s="11">
        <v>45274</v>
      </c>
      <c r="BD754" s="30">
        <v>45278</v>
      </c>
      <c r="BE754" s="201" t="s">
        <v>6387</v>
      </c>
      <c r="BF754" s="5">
        <v>45155</v>
      </c>
      <c r="BG754" s="5">
        <v>45274</v>
      </c>
      <c r="BH754" s="5">
        <v>45274</v>
      </c>
      <c r="BI754" s="64">
        <v>5000000</v>
      </c>
      <c r="BJ754" s="62">
        <v>45278</v>
      </c>
      <c r="BK754" s="224">
        <v>45643</v>
      </c>
      <c r="BL754" s="336">
        <v>45154</v>
      </c>
      <c r="BM754" s="71">
        <v>45155</v>
      </c>
      <c r="BN754" s="693" t="s">
        <v>74</v>
      </c>
      <c r="BO754" s="1443"/>
      <c r="BP754" s="693" t="s">
        <v>74</v>
      </c>
      <c r="BQ754" s="914">
        <v>45156</v>
      </c>
      <c r="BR754" s="693" t="s">
        <v>74</v>
      </c>
      <c r="BS754" s="914">
        <v>45274</v>
      </c>
      <c r="BT754" s="914">
        <v>45273</v>
      </c>
      <c r="BU754" s="914" t="s">
        <v>6388</v>
      </c>
      <c r="BV754" s="913"/>
      <c r="BW754" s="13"/>
      <c r="BX754" s="22"/>
      <c r="BY754" s="22"/>
      <c r="BZ754" s="22"/>
      <c r="CA754" s="22"/>
      <c r="CB754" s="1222" t="s">
        <v>3944</v>
      </c>
      <c r="CC754" s="859"/>
      <c r="CD754" s="526"/>
      <c r="CE754" s="526"/>
      <c r="CF754" s="526"/>
      <c r="CG754" s="526"/>
      <c r="CH754" s="526"/>
      <c r="CI754" s="526"/>
      <c r="CJ754" s="526"/>
      <c r="CK754" s="15"/>
    </row>
    <row r="755" spans="2:89" ht="63" hidden="1" customHeight="1">
      <c r="B755" s="809"/>
      <c r="C755" s="122"/>
      <c r="D755" s="22"/>
      <c r="E755" s="911"/>
      <c r="F755" s="911"/>
      <c r="G755" s="915">
        <v>45594</v>
      </c>
      <c r="H755" s="1746" t="s">
        <v>6311</v>
      </c>
      <c r="I755" s="330">
        <v>45216</v>
      </c>
      <c r="J755" s="169">
        <v>2023</v>
      </c>
      <c r="K755" s="1417">
        <v>235018</v>
      </c>
      <c r="L755" s="1417"/>
      <c r="M755" s="170" t="s">
        <v>77</v>
      </c>
      <c r="N755" s="178" t="s">
        <v>5657</v>
      </c>
      <c r="O755" s="172" t="s">
        <v>3212</v>
      </c>
      <c r="P755" s="173" t="s">
        <v>5656</v>
      </c>
      <c r="Q755" s="173" t="s">
        <v>2538</v>
      </c>
      <c r="R755" s="594">
        <v>2808816.17</v>
      </c>
      <c r="S755" s="590">
        <v>45168</v>
      </c>
      <c r="T755" s="176">
        <v>45173</v>
      </c>
      <c r="U755" s="177">
        <v>45237</v>
      </c>
      <c r="V755" s="105" t="s">
        <v>68</v>
      </c>
      <c r="W755" s="178" t="s">
        <v>1319</v>
      </c>
      <c r="X755" s="170" t="s">
        <v>70</v>
      </c>
      <c r="Y755" s="1650">
        <v>45166</v>
      </c>
      <c r="Z755" s="1383"/>
      <c r="AA755" s="33" t="s">
        <v>6375</v>
      </c>
      <c r="AB755" s="8">
        <v>45103</v>
      </c>
      <c r="AC755" s="79">
        <v>2808816.17</v>
      </c>
      <c r="AD755" s="4"/>
      <c r="AE755" s="32"/>
      <c r="AF755" s="582">
        <v>45154</v>
      </c>
      <c r="AG755" s="583">
        <v>45156</v>
      </c>
      <c r="AH755" s="583">
        <v>45156</v>
      </c>
      <c r="AI755" s="584">
        <v>45162</v>
      </c>
      <c r="AJ755" s="581">
        <v>45167</v>
      </c>
      <c r="AK755" s="1812" t="s">
        <v>74</v>
      </c>
      <c r="AL755" s="131" t="s">
        <v>74</v>
      </c>
      <c r="AM755" s="5"/>
      <c r="AN755" s="131" t="s">
        <v>74</v>
      </c>
      <c r="AO755" s="5"/>
      <c r="AP755" s="131" t="s">
        <v>74</v>
      </c>
      <c r="AQ755" s="5"/>
      <c r="AR755" s="642">
        <v>821212.14</v>
      </c>
      <c r="AS755" s="35">
        <v>0</v>
      </c>
      <c r="AT755" s="900">
        <v>2808775.53</v>
      </c>
      <c r="AU755" s="891"/>
      <c r="AV755" s="246" t="s">
        <v>74</v>
      </c>
      <c r="AW755" s="11"/>
      <c r="AX755" s="223"/>
      <c r="AY755" s="52"/>
      <c r="AZ755" s="66" t="s">
        <v>74</v>
      </c>
      <c r="BA755" s="1805"/>
      <c r="BB755" s="1805"/>
      <c r="BC755" s="1815"/>
      <c r="BD755" s="66" t="s">
        <v>74</v>
      </c>
      <c r="BE755" s="1423"/>
      <c r="BF755" s="1805"/>
      <c r="BG755" s="1805"/>
      <c r="BH755" s="1805"/>
      <c r="BI755" s="1540"/>
      <c r="BJ755" s="197" t="s">
        <v>74</v>
      </c>
      <c r="BK755" s="1246"/>
      <c r="BL755" s="1389"/>
      <c r="BM755" s="71">
        <v>45189</v>
      </c>
      <c r="BN755" s="1390"/>
      <c r="BO755" s="1391"/>
      <c r="BP755" s="1391"/>
      <c r="BQ755" s="1391"/>
      <c r="BR755" s="1391"/>
      <c r="BS755" s="1391"/>
      <c r="BT755" s="1391"/>
      <c r="BU755" s="1392"/>
      <c r="BV755" s="913"/>
      <c r="BW755" s="13"/>
      <c r="BX755" s="22"/>
      <c r="BY755" s="22"/>
      <c r="BZ755" s="22"/>
      <c r="CA755" s="22"/>
      <c r="CB755" s="1222" t="s">
        <v>3944</v>
      </c>
      <c r="CC755" s="859"/>
      <c r="CD755" s="526"/>
      <c r="CE755" s="526"/>
      <c r="CF755" s="526"/>
      <c r="CG755" s="526"/>
      <c r="CH755" s="526"/>
      <c r="CI755" s="526"/>
      <c r="CJ755" s="526"/>
      <c r="CK755" s="15"/>
    </row>
    <row r="756" spans="2:89" ht="64.5" hidden="1" customHeight="1">
      <c r="B756" s="809"/>
      <c r="C756" s="122"/>
      <c r="D756" s="22"/>
      <c r="E756" s="911"/>
      <c r="F756" s="911"/>
      <c r="G756" s="915">
        <v>45594</v>
      </c>
      <c r="H756" s="1746" t="s">
        <v>6311</v>
      </c>
      <c r="I756" s="330">
        <v>45302</v>
      </c>
      <c r="J756" s="169">
        <v>2023</v>
      </c>
      <c r="K756" s="1417">
        <v>235019</v>
      </c>
      <c r="L756" s="1417"/>
      <c r="M756" s="170" t="s">
        <v>77</v>
      </c>
      <c r="N756" s="178" t="s">
        <v>5653</v>
      </c>
      <c r="O756" s="172" t="s">
        <v>79</v>
      </c>
      <c r="P756" s="173" t="s">
        <v>5658</v>
      </c>
      <c r="Q756" s="173" t="s">
        <v>2538</v>
      </c>
      <c r="R756" s="594">
        <v>2049615.46</v>
      </c>
      <c r="S756" s="590">
        <v>45168</v>
      </c>
      <c r="T756" s="176">
        <v>45180</v>
      </c>
      <c r="U756" s="177">
        <v>45230</v>
      </c>
      <c r="V756" s="105">
        <v>45163</v>
      </c>
      <c r="W756" s="178" t="s">
        <v>4513</v>
      </c>
      <c r="X756" s="170" t="s">
        <v>70</v>
      </c>
      <c r="Y756" s="1650">
        <v>45173</v>
      </c>
      <c r="Z756" s="368" t="s">
        <v>5808</v>
      </c>
      <c r="AA756" s="33" t="s">
        <v>5863</v>
      </c>
      <c r="AB756" s="8">
        <v>45103</v>
      </c>
      <c r="AC756" s="4">
        <v>2049521.95</v>
      </c>
      <c r="AD756" s="4"/>
      <c r="AE756" s="32"/>
      <c r="AF756" s="34" t="s">
        <v>68</v>
      </c>
      <c r="AG756" s="112" t="s">
        <v>68</v>
      </c>
      <c r="AH756" s="112" t="s">
        <v>68</v>
      </c>
      <c r="AI756" s="7" t="s">
        <v>68</v>
      </c>
      <c r="AJ756" s="109" t="s">
        <v>68</v>
      </c>
      <c r="AK756" s="33" t="s">
        <v>5864</v>
      </c>
      <c r="AL756" s="1">
        <v>2832801</v>
      </c>
      <c r="AM756" s="5">
        <v>45180</v>
      </c>
      <c r="AN756" s="1">
        <v>2832804</v>
      </c>
      <c r="AO756" s="5">
        <v>45180</v>
      </c>
      <c r="AP756" s="128">
        <v>2855179</v>
      </c>
      <c r="AQ756" s="71">
        <v>45243</v>
      </c>
      <c r="AR756" s="659">
        <f>614884.64+204961.55+205950.59</f>
        <v>1025796.7799999999</v>
      </c>
      <c r="AS756" s="35">
        <v>0</v>
      </c>
      <c r="AT756" s="900">
        <v>2059505.58</v>
      </c>
      <c r="AU756" s="891"/>
      <c r="AV756" s="246" t="s">
        <v>74</v>
      </c>
      <c r="AW756" s="11"/>
      <c r="AX756" s="223"/>
      <c r="AY756" s="342"/>
      <c r="AZ756" s="70">
        <v>45231</v>
      </c>
      <c r="BA756" s="71">
        <v>45180</v>
      </c>
      <c r="BB756" s="71">
        <v>45230</v>
      </c>
      <c r="BC756" s="127">
        <v>45230</v>
      </c>
      <c r="BD756" s="70">
        <v>45232</v>
      </c>
      <c r="BE756" s="1616" t="s">
        <v>6478</v>
      </c>
      <c r="BF756" s="71">
        <v>45180</v>
      </c>
      <c r="BG756" s="71">
        <v>45230</v>
      </c>
      <c r="BH756" s="5">
        <v>45230</v>
      </c>
      <c r="BI756" s="64">
        <f>AS756+AT756+0.31</f>
        <v>2059505.8900000001</v>
      </c>
      <c r="BJ756" s="631">
        <v>45232</v>
      </c>
      <c r="BK756" s="336">
        <v>45597</v>
      </c>
      <c r="BL756" s="336">
        <v>45177</v>
      </c>
      <c r="BM756" s="71">
        <v>45177</v>
      </c>
      <c r="BN756" s="71">
        <v>45177</v>
      </c>
      <c r="BO756" s="1391"/>
      <c r="BP756" s="914">
        <v>45177</v>
      </c>
      <c r="BQ756" s="914">
        <v>45180</v>
      </c>
      <c r="BR756" s="914">
        <v>45177</v>
      </c>
      <c r="BS756" s="1265" t="s">
        <v>74</v>
      </c>
      <c r="BT756" s="1265" t="s">
        <v>74</v>
      </c>
      <c r="BU756" s="914" t="s">
        <v>5865</v>
      </c>
      <c r="BV756" s="913"/>
      <c r="BW756" s="13"/>
      <c r="BX756" s="22"/>
      <c r="BY756" s="22"/>
      <c r="BZ756" s="22"/>
      <c r="CA756" s="22"/>
      <c r="CB756" s="1222" t="s">
        <v>3944</v>
      </c>
      <c r="CC756" s="859"/>
      <c r="CD756" s="526"/>
      <c r="CE756" s="526"/>
      <c r="CF756" s="526"/>
      <c r="CG756" s="526"/>
      <c r="CH756" s="526"/>
      <c r="CI756" s="526"/>
      <c r="CJ756" s="526"/>
      <c r="CK756" s="15"/>
    </row>
    <row r="757" spans="2:89" ht="54.75" hidden="1" customHeight="1">
      <c r="B757" s="809"/>
      <c r="C757" s="122"/>
      <c r="D757" s="22"/>
      <c r="E757" s="911"/>
      <c r="F757" s="911"/>
      <c r="G757" s="915">
        <v>45594</v>
      </c>
      <c r="H757" s="1746" t="s">
        <v>6311</v>
      </c>
      <c r="I757" s="330">
        <v>45302</v>
      </c>
      <c r="J757" s="169">
        <v>2023</v>
      </c>
      <c r="K757" s="1417">
        <v>235020</v>
      </c>
      <c r="L757" s="1417"/>
      <c r="M757" s="170" t="s">
        <v>166</v>
      </c>
      <c r="N757" s="178" t="s">
        <v>5654</v>
      </c>
      <c r="O757" s="172" t="s">
        <v>79</v>
      </c>
      <c r="P757" s="173" t="s">
        <v>5663</v>
      </c>
      <c r="Q757" s="173" t="s">
        <v>4410</v>
      </c>
      <c r="R757" s="594">
        <v>304838.93</v>
      </c>
      <c r="S757" s="590">
        <v>45166</v>
      </c>
      <c r="T757" s="176">
        <v>45168</v>
      </c>
      <c r="U757" s="177">
        <v>45199</v>
      </c>
      <c r="V757" s="105">
        <v>45167</v>
      </c>
      <c r="W757" s="178" t="s">
        <v>4362</v>
      </c>
      <c r="X757" s="170" t="s">
        <v>213</v>
      </c>
      <c r="Y757" s="1650" t="s">
        <v>68</v>
      </c>
      <c r="Z757" s="368" t="s">
        <v>68</v>
      </c>
      <c r="AA757" s="33" t="s">
        <v>5866</v>
      </c>
      <c r="AB757" s="8">
        <v>44932</v>
      </c>
      <c r="AC757" s="4">
        <v>898000</v>
      </c>
      <c r="AD757" s="4"/>
      <c r="AE757" s="32"/>
      <c r="AF757" s="34" t="s">
        <v>68</v>
      </c>
      <c r="AG757" s="112" t="s">
        <v>68</v>
      </c>
      <c r="AH757" s="112" t="s">
        <v>68</v>
      </c>
      <c r="AI757" s="7" t="s">
        <v>68</v>
      </c>
      <c r="AJ757" s="109" t="s">
        <v>68</v>
      </c>
      <c r="AK757" s="1812" t="s">
        <v>74</v>
      </c>
      <c r="AL757" s="1811" t="s">
        <v>68</v>
      </c>
      <c r="AM757" s="5"/>
      <c r="AN757" s="1245" t="s">
        <v>74</v>
      </c>
      <c r="AO757" s="5"/>
      <c r="AP757" s="1245" t="s">
        <v>74</v>
      </c>
      <c r="AQ757" s="5"/>
      <c r="AR757" s="642"/>
      <c r="AS757" s="35">
        <v>0</v>
      </c>
      <c r="AT757" s="900">
        <v>324751.53000000003</v>
      </c>
      <c r="AU757" s="891"/>
      <c r="AV757" s="246" t="s">
        <v>74</v>
      </c>
      <c r="AW757" s="11"/>
      <c r="AX757" s="223"/>
      <c r="AY757" s="52"/>
      <c r="AZ757" s="66" t="s">
        <v>74</v>
      </c>
      <c r="BA757" s="5"/>
      <c r="BB757" s="5"/>
      <c r="BC757" s="11"/>
      <c r="BD757" s="66" t="s">
        <v>74</v>
      </c>
      <c r="BE757" s="535" t="str">
        <f>N757</f>
        <v>GMJ 020C OP/2023</v>
      </c>
      <c r="BF757" s="5"/>
      <c r="BG757" s="5"/>
      <c r="BH757" s="5"/>
      <c r="BI757" s="64">
        <f>AS757+AT757</f>
        <v>324751.53000000003</v>
      </c>
      <c r="BJ757" s="239" t="s">
        <v>74</v>
      </c>
      <c r="BK757" s="1401"/>
      <c r="BL757" s="1100" t="s">
        <v>74</v>
      </c>
      <c r="BM757" s="693" t="s">
        <v>74</v>
      </c>
      <c r="BN757" s="693" t="s">
        <v>74</v>
      </c>
      <c r="BO757" s="1265"/>
      <c r="BP757" s="1265" t="s">
        <v>74</v>
      </c>
      <c r="BQ757" s="1265" t="s">
        <v>74</v>
      </c>
      <c r="BR757" s="1265" t="s">
        <v>74</v>
      </c>
      <c r="BS757" s="1391"/>
      <c r="BT757" s="1391"/>
      <c r="BU757" s="1392"/>
      <c r="BV757" s="913"/>
      <c r="BW757" s="13"/>
      <c r="BX757" s="22"/>
      <c r="BY757" s="22"/>
      <c r="BZ757" s="22"/>
      <c r="CA757" s="22"/>
      <c r="CB757" s="1222" t="s">
        <v>3944</v>
      </c>
      <c r="CC757" s="859"/>
      <c r="CD757" s="526"/>
      <c r="CE757" s="526"/>
      <c r="CF757" s="526"/>
      <c r="CG757" s="526"/>
      <c r="CH757" s="526"/>
      <c r="CI757" s="526"/>
      <c r="CJ757" s="526"/>
      <c r="CK757" s="15"/>
    </row>
    <row r="758" spans="2:89" ht="123" hidden="1" customHeight="1">
      <c r="B758" s="809"/>
      <c r="C758" s="122"/>
      <c r="D758" s="22"/>
      <c r="E758" s="911"/>
      <c r="F758" s="911"/>
      <c r="G758" s="915">
        <v>45594</v>
      </c>
      <c r="H758" s="1746" t="s">
        <v>6311</v>
      </c>
      <c r="I758" s="330">
        <v>45302</v>
      </c>
      <c r="J758" s="169">
        <v>2023</v>
      </c>
      <c r="K758" s="1417">
        <v>235021</v>
      </c>
      <c r="L758" s="1417"/>
      <c r="M758" s="170" t="s">
        <v>77</v>
      </c>
      <c r="N758" s="178" t="s">
        <v>5959</v>
      </c>
      <c r="O758" s="172" t="s">
        <v>79</v>
      </c>
      <c r="P758" s="173" t="s">
        <v>5791</v>
      </c>
      <c r="Q758" s="173" t="s">
        <v>4409</v>
      </c>
      <c r="R758" s="594">
        <v>853249.52</v>
      </c>
      <c r="S758" s="590">
        <v>45203</v>
      </c>
      <c r="T758" s="176">
        <v>45209</v>
      </c>
      <c r="U758" s="177">
        <v>45222</v>
      </c>
      <c r="V758" s="105">
        <v>45202</v>
      </c>
      <c r="W758" s="178" t="s">
        <v>739</v>
      </c>
      <c r="X758" s="170" t="s">
        <v>70</v>
      </c>
      <c r="Y758" s="1650">
        <v>45201</v>
      </c>
      <c r="Z758" s="1383"/>
      <c r="AA758" s="33" t="s">
        <v>5867</v>
      </c>
      <c r="AB758" s="8">
        <v>45070</v>
      </c>
      <c r="AC758" s="4">
        <v>853249.52</v>
      </c>
      <c r="AD758" s="4"/>
      <c r="AE758" s="32"/>
      <c r="AF758" s="34" t="s">
        <v>68</v>
      </c>
      <c r="AG758" s="112" t="s">
        <v>68</v>
      </c>
      <c r="AH758" s="112" t="s">
        <v>68</v>
      </c>
      <c r="AI758" s="7" t="s">
        <v>68</v>
      </c>
      <c r="AJ758" s="109" t="s">
        <v>68</v>
      </c>
      <c r="AK758" s="33" t="s">
        <v>5810</v>
      </c>
      <c r="AL758" s="2" t="s">
        <v>5868</v>
      </c>
      <c r="AM758" s="5">
        <v>45203</v>
      </c>
      <c r="AN758" s="2" t="s">
        <v>5869</v>
      </c>
      <c r="AO758" s="238">
        <v>45203</v>
      </c>
      <c r="AP758" s="2" t="s">
        <v>6481</v>
      </c>
      <c r="AQ758" s="5">
        <v>45223</v>
      </c>
      <c r="AR758" s="642">
        <f>255974.85+85324.95+101127.18</f>
        <v>442426.98</v>
      </c>
      <c r="AS758" s="35">
        <v>0</v>
      </c>
      <c r="AT758" s="895">
        <f>(378172.08+493613.42)*1.16</f>
        <v>1011271.1799999999</v>
      </c>
      <c r="AU758" s="891"/>
      <c r="AV758" s="246" t="s">
        <v>74</v>
      </c>
      <c r="AW758" s="11"/>
      <c r="AX758" s="223"/>
      <c r="AY758" s="52"/>
      <c r="AZ758" s="70">
        <v>45223</v>
      </c>
      <c r="BA758" s="71">
        <v>45209</v>
      </c>
      <c r="BB758" s="71">
        <v>45222</v>
      </c>
      <c r="BC758" s="127">
        <v>45222</v>
      </c>
      <c r="BD758" s="70">
        <v>45226</v>
      </c>
      <c r="BE758" s="1614" t="s">
        <v>5870</v>
      </c>
      <c r="BF758" s="71">
        <v>45209</v>
      </c>
      <c r="BG758" s="71">
        <v>45222</v>
      </c>
      <c r="BH758" s="71">
        <v>45222</v>
      </c>
      <c r="BI758" s="64">
        <f>AS758+AT758-0.35</f>
        <v>1011270.83</v>
      </c>
      <c r="BJ758" s="631">
        <v>45226</v>
      </c>
      <c r="BK758" s="336">
        <v>45589</v>
      </c>
      <c r="BL758" s="1100" t="s">
        <v>74</v>
      </c>
      <c r="BM758" s="693" t="s">
        <v>74</v>
      </c>
      <c r="BN758" s="693" t="s">
        <v>74</v>
      </c>
      <c r="BO758" s="1265"/>
      <c r="BP758" s="1265" t="s">
        <v>74</v>
      </c>
      <c r="BQ758" s="1265" t="s">
        <v>74</v>
      </c>
      <c r="BR758" s="1265" t="s">
        <v>74</v>
      </c>
      <c r="BS758" s="1265" t="s">
        <v>74</v>
      </c>
      <c r="BT758" s="1265" t="s">
        <v>74</v>
      </c>
      <c r="BU758" s="1392"/>
      <c r="BV758" s="913"/>
      <c r="BW758" s="13"/>
      <c r="BX758" s="22"/>
      <c r="BY758" s="22"/>
      <c r="BZ758" s="22"/>
      <c r="CA758" s="22"/>
      <c r="CB758" s="1222" t="s">
        <v>3944</v>
      </c>
      <c r="CC758" s="859"/>
      <c r="CD758" s="526"/>
      <c r="CE758" s="526"/>
      <c r="CF758" s="526"/>
      <c r="CG758" s="526"/>
      <c r="CH758" s="526"/>
      <c r="CI758" s="526"/>
      <c r="CJ758" s="526"/>
      <c r="CK758" s="15"/>
    </row>
    <row r="759" spans="2:89" ht="71.25" hidden="1" customHeight="1">
      <c r="B759" s="81"/>
      <c r="C759" s="123"/>
      <c r="D759" s="81"/>
      <c r="E759" s="989"/>
      <c r="F759" s="989"/>
      <c r="G759" s="123">
        <v>45301</v>
      </c>
      <c r="H759" s="1796" t="s">
        <v>1295</v>
      </c>
      <c r="I759" s="620"/>
      <c r="J759" s="990">
        <v>2023</v>
      </c>
      <c r="K759" s="1417">
        <v>235022</v>
      </c>
      <c r="L759" s="1417"/>
      <c r="M759" s="621" t="s">
        <v>166</v>
      </c>
      <c r="N759" s="626" t="s">
        <v>5792</v>
      </c>
      <c r="O759" s="655" t="s">
        <v>251</v>
      </c>
      <c r="P759" s="656" t="s">
        <v>5793</v>
      </c>
      <c r="Q759" s="656" t="s">
        <v>1975</v>
      </c>
      <c r="R759" s="622">
        <v>247646.07999999999</v>
      </c>
      <c r="S759" s="623">
        <v>45212</v>
      </c>
      <c r="T759" s="624">
        <v>45215</v>
      </c>
      <c r="U759" s="625">
        <v>45258</v>
      </c>
      <c r="V759" s="370">
        <v>45212</v>
      </c>
      <c r="W759" s="626" t="s">
        <v>4450</v>
      </c>
      <c r="X759" s="621" t="s">
        <v>70</v>
      </c>
      <c r="Y759" s="1717" t="s">
        <v>68</v>
      </c>
      <c r="Z759" s="1363" t="s">
        <v>68</v>
      </c>
      <c r="AA759" s="90"/>
      <c r="AB759" s="92"/>
      <c r="AC759" s="86"/>
      <c r="AD759" s="86"/>
      <c r="AE759" s="93"/>
      <c r="AF759" s="94" t="s">
        <v>68</v>
      </c>
      <c r="AG759" s="113" t="s">
        <v>68</v>
      </c>
      <c r="AH759" s="113" t="s">
        <v>68</v>
      </c>
      <c r="AI759" s="95" t="s">
        <v>68</v>
      </c>
      <c r="AJ759" s="110" t="s">
        <v>68</v>
      </c>
      <c r="AK759" s="90"/>
      <c r="AL759" s="85"/>
      <c r="AM759" s="88"/>
      <c r="AN759" s="85"/>
      <c r="AO759" s="1718"/>
      <c r="AP759" s="85"/>
      <c r="AQ759" s="88"/>
      <c r="AR759" s="284"/>
      <c r="AS759" s="98">
        <v>0</v>
      </c>
      <c r="AT759" s="898"/>
      <c r="AU759" s="887"/>
      <c r="AV759" s="1719" t="s">
        <v>74</v>
      </c>
      <c r="AW759" s="89"/>
      <c r="AX759" s="338"/>
      <c r="AY759" s="101"/>
      <c r="AZ759" s="641" t="s">
        <v>74</v>
      </c>
      <c r="BA759" s="88"/>
      <c r="BB759" s="88"/>
      <c r="BC759" s="89"/>
      <c r="BD759" s="641" t="s">
        <v>74</v>
      </c>
      <c r="BE759" s="840" t="str">
        <f>N759</f>
        <v>GMJ 022 OP/2023</v>
      </c>
      <c r="BF759" s="88"/>
      <c r="BG759" s="88"/>
      <c r="BH759" s="88"/>
      <c r="BI759" s="99">
        <f>AS759+AT759</f>
        <v>0</v>
      </c>
      <c r="BJ759" s="1743" t="s">
        <v>74</v>
      </c>
      <c r="BK759" s="1828"/>
      <c r="BL759" s="1697"/>
      <c r="BM759" s="1695"/>
      <c r="BN759" s="1695"/>
      <c r="BO759" s="1696"/>
      <c r="BP759" s="1696"/>
      <c r="BQ759" s="1696"/>
      <c r="BR759" s="1696"/>
      <c r="BS759" s="1696"/>
      <c r="BT759" s="1696"/>
      <c r="BU759" s="1696"/>
      <c r="BV759" s="1697"/>
      <c r="BW759" s="102"/>
      <c r="BX759" s="81"/>
      <c r="BY759" s="81"/>
      <c r="BZ759" s="81"/>
      <c r="CA759" s="81"/>
      <c r="CB759" s="1222" t="s">
        <v>3944</v>
      </c>
      <c r="CC759" s="1720"/>
      <c r="CD759" s="526"/>
      <c r="CE759" s="526"/>
      <c r="CF759" s="526"/>
      <c r="CG759" s="526"/>
      <c r="CH759" s="526"/>
      <c r="CI759" s="526"/>
      <c r="CJ759" s="526"/>
      <c r="CK759" s="15"/>
    </row>
    <row r="760" spans="2:89" ht="69.75" hidden="1" customHeight="1">
      <c r="B760" s="809"/>
      <c r="C760" s="122"/>
      <c r="D760" s="22"/>
      <c r="E760" s="911"/>
      <c r="F760" s="911"/>
      <c r="G760" s="915">
        <v>45594</v>
      </c>
      <c r="H760" s="1746" t="s">
        <v>6311</v>
      </c>
      <c r="I760" s="330"/>
      <c r="J760" s="169">
        <v>2023</v>
      </c>
      <c r="K760" s="1417">
        <v>235023</v>
      </c>
      <c r="L760" s="1417"/>
      <c r="M760" s="170" t="s">
        <v>166</v>
      </c>
      <c r="N760" s="178" t="s">
        <v>5958</v>
      </c>
      <c r="O760" s="172" t="s">
        <v>79</v>
      </c>
      <c r="P760" s="173" t="s">
        <v>5794</v>
      </c>
      <c r="Q760" s="173" t="s">
        <v>4409</v>
      </c>
      <c r="R760" s="594">
        <v>330252</v>
      </c>
      <c r="S760" s="590">
        <v>45212</v>
      </c>
      <c r="T760" s="176">
        <v>45222</v>
      </c>
      <c r="U760" s="177">
        <v>45282</v>
      </c>
      <c r="V760" s="105">
        <v>45212</v>
      </c>
      <c r="W760" s="178" t="s">
        <v>4450</v>
      </c>
      <c r="X760" s="170" t="s">
        <v>70</v>
      </c>
      <c r="Y760" s="1650" t="s">
        <v>68</v>
      </c>
      <c r="Z760" s="368" t="s">
        <v>68</v>
      </c>
      <c r="AA760" s="337" t="s">
        <v>74</v>
      </c>
      <c r="AB760" s="8"/>
      <c r="AC760" s="4"/>
      <c r="AD760" s="4"/>
      <c r="AE760" s="32"/>
      <c r="AF760" s="34" t="s">
        <v>68</v>
      </c>
      <c r="AG760" s="112" t="s">
        <v>68</v>
      </c>
      <c r="AH760" s="112" t="s">
        <v>68</v>
      </c>
      <c r="AI760" s="7" t="s">
        <v>68</v>
      </c>
      <c r="AJ760" s="109" t="s">
        <v>68</v>
      </c>
      <c r="AK760" s="33" t="s">
        <v>1342</v>
      </c>
      <c r="AL760" s="2" t="s">
        <v>68</v>
      </c>
      <c r="AM760" s="5"/>
      <c r="AN760" s="2" t="s">
        <v>5904</v>
      </c>
      <c r="AO760" s="238">
        <v>45290</v>
      </c>
      <c r="AP760" s="2" t="s">
        <v>5905</v>
      </c>
      <c r="AQ760" s="5">
        <v>45290</v>
      </c>
      <c r="AR760" s="642">
        <f>33025.2*2</f>
        <v>66050.399999999994</v>
      </c>
      <c r="AS760" s="35">
        <v>0</v>
      </c>
      <c r="AT760" s="900">
        <v>428834.82</v>
      </c>
      <c r="AU760" s="891"/>
      <c r="AV760" s="246" t="s">
        <v>74</v>
      </c>
      <c r="AW760" s="11"/>
      <c r="AX760" s="223"/>
      <c r="AY760" s="52"/>
      <c r="AZ760" s="70">
        <v>45283</v>
      </c>
      <c r="BA760" s="71">
        <v>45222</v>
      </c>
      <c r="BB760" s="71">
        <v>45282</v>
      </c>
      <c r="BC760" s="127">
        <v>45282</v>
      </c>
      <c r="BD760" s="70">
        <v>45286</v>
      </c>
      <c r="BE760" s="1616" t="s">
        <v>6483</v>
      </c>
      <c r="BF760" s="71">
        <v>45215</v>
      </c>
      <c r="BG760" s="71">
        <v>45282</v>
      </c>
      <c r="BH760" s="71">
        <v>45282</v>
      </c>
      <c r="BI760" s="129">
        <f>AS760+AT760</f>
        <v>428834.82</v>
      </c>
      <c r="BJ760" s="631">
        <v>45286</v>
      </c>
      <c r="BK760" s="336">
        <v>45651</v>
      </c>
      <c r="BL760" s="1027">
        <v>45219</v>
      </c>
      <c r="BM760" s="693" t="s">
        <v>74</v>
      </c>
      <c r="BN760" s="693" t="s">
        <v>74</v>
      </c>
      <c r="BO760" s="1265"/>
      <c r="BP760" s="1265" t="s">
        <v>74</v>
      </c>
      <c r="BQ760" s="1265" t="s">
        <v>74</v>
      </c>
      <c r="BR760" s="1265" t="s">
        <v>74</v>
      </c>
      <c r="BS760" s="1265" t="s">
        <v>74</v>
      </c>
      <c r="BT760" s="1265" t="s">
        <v>74</v>
      </c>
      <c r="BU760" s="1392"/>
      <c r="BV760" s="913"/>
      <c r="BW760" s="13"/>
      <c r="BX760" s="22"/>
      <c r="BY760" s="22"/>
      <c r="BZ760" s="22"/>
      <c r="CA760" s="22"/>
      <c r="CB760" s="1222" t="s">
        <v>3944</v>
      </c>
      <c r="CC760" s="859"/>
      <c r="CD760" s="526"/>
      <c r="CE760" s="526"/>
      <c r="CF760" s="526"/>
      <c r="CG760" s="526"/>
      <c r="CH760" s="526"/>
      <c r="CI760" s="526"/>
      <c r="CJ760" s="526"/>
      <c r="CK760" s="15"/>
    </row>
    <row r="761" spans="2:89" ht="69.75" hidden="1" customHeight="1">
      <c r="B761" s="809" t="s">
        <v>6439</v>
      </c>
      <c r="C761" s="122"/>
      <c r="D761" s="22"/>
      <c r="E761" s="911"/>
      <c r="F761" s="911"/>
      <c r="G761" s="915">
        <v>45594</v>
      </c>
      <c r="H761" s="1746" t="s">
        <v>6311</v>
      </c>
      <c r="I761" s="330">
        <v>45268</v>
      </c>
      <c r="J761" s="169">
        <v>2023</v>
      </c>
      <c r="K761" s="1417">
        <v>235024</v>
      </c>
      <c r="L761" s="1417"/>
      <c r="M761" s="170" t="s">
        <v>166</v>
      </c>
      <c r="N761" s="178" t="s">
        <v>5796</v>
      </c>
      <c r="O761" s="172" t="s">
        <v>3212</v>
      </c>
      <c r="P761" s="173" t="s">
        <v>5795</v>
      </c>
      <c r="Q761" s="173" t="s">
        <v>2538</v>
      </c>
      <c r="R761" s="594">
        <v>5281923.58</v>
      </c>
      <c r="S761" s="590">
        <v>45245</v>
      </c>
      <c r="T761" s="176">
        <v>45251</v>
      </c>
      <c r="U761" s="177">
        <v>45370</v>
      </c>
      <c r="V761" s="105" t="s">
        <v>68</v>
      </c>
      <c r="W761" s="1044" t="s">
        <v>5798</v>
      </c>
      <c r="X761" s="170" t="s">
        <v>449</v>
      </c>
      <c r="Y761" s="1650">
        <v>45243</v>
      </c>
      <c r="Z761" s="1383"/>
      <c r="AA761" s="337" t="s">
        <v>74</v>
      </c>
      <c r="AB761" s="8"/>
      <c r="AC761" s="4"/>
      <c r="AD761" s="4"/>
      <c r="AE761" s="32"/>
      <c r="AF761" s="582">
        <v>45231</v>
      </c>
      <c r="AG761" s="583">
        <v>45233</v>
      </c>
      <c r="AH761" s="583">
        <v>45233</v>
      </c>
      <c r="AI761" s="584">
        <v>45240</v>
      </c>
      <c r="AJ761" s="581">
        <v>45244</v>
      </c>
      <c r="AK761" s="241" t="s">
        <v>3573</v>
      </c>
      <c r="AL761" s="242">
        <v>2855796</v>
      </c>
      <c r="AM761" s="58">
        <v>45245</v>
      </c>
      <c r="AN761" s="242">
        <v>2858798</v>
      </c>
      <c r="AO761" s="5">
        <v>45248</v>
      </c>
      <c r="AP761" s="242">
        <v>2963207</v>
      </c>
      <c r="AQ761" s="5">
        <v>45052</v>
      </c>
      <c r="AR761" s="642">
        <f>1584577.07+528192.35+580195.32</f>
        <v>2692964.7399999998</v>
      </c>
      <c r="AS761" s="35">
        <v>0</v>
      </c>
      <c r="AT761" s="900">
        <v>5801953.1699999999</v>
      </c>
      <c r="AU761" s="891"/>
      <c r="AV761" s="225">
        <v>45257</v>
      </c>
      <c r="AW761" s="11">
        <v>45415</v>
      </c>
      <c r="AX761" s="223"/>
      <c r="AY761" s="52"/>
      <c r="AZ761" s="70">
        <v>45418</v>
      </c>
      <c r="BA761" s="5">
        <v>45251</v>
      </c>
      <c r="BB761" s="5">
        <v>45423</v>
      </c>
      <c r="BC761" s="11">
        <v>45415</v>
      </c>
      <c r="BD761" s="70">
        <v>45418</v>
      </c>
      <c r="BE761" s="1617" t="s">
        <v>6442</v>
      </c>
      <c r="BF761" s="5">
        <v>45251</v>
      </c>
      <c r="BG761" s="5">
        <v>45423</v>
      </c>
      <c r="BH761" s="5">
        <v>45415</v>
      </c>
      <c r="BI761" s="1830">
        <f>AS761+AT761+0.03</f>
        <v>5801953.2000000002</v>
      </c>
      <c r="BJ761" s="70">
        <v>45418</v>
      </c>
      <c r="BK761" s="1027">
        <v>45783</v>
      </c>
      <c r="BL761" s="1027">
        <v>45247</v>
      </c>
      <c r="BM761" s="693" t="s">
        <v>74</v>
      </c>
      <c r="BN761" s="693" t="s">
        <v>74</v>
      </c>
      <c r="BO761" s="1091"/>
      <c r="BP761" s="1265" t="s">
        <v>74</v>
      </c>
      <c r="BQ761" s="1265" t="s">
        <v>74</v>
      </c>
      <c r="BR761" s="1265" t="s">
        <v>74</v>
      </c>
      <c r="BS761" s="1265" t="s">
        <v>74</v>
      </c>
      <c r="BT761" s="1265" t="s">
        <v>74</v>
      </c>
      <c r="BU761" s="1709" t="s">
        <v>6443</v>
      </c>
      <c r="BV761" s="336">
        <v>45371</v>
      </c>
      <c r="BW761" s="13"/>
      <c r="BX761" s="22"/>
      <c r="BY761" s="22"/>
      <c r="BZ761" s="22"/>
      <c r="CA761" s="22"/>
      <c r="CB761" s="1222" t="s">
        <v>3944</v>
      </c>
      <c r="CC761" s="859"/>
      <c r="CD761" s="526"/>
      <c r="CE761" s="526"/>
      <c r="CF761" s="526"/>
      <c r="CG761" s="526"/>
      <c r="CH761" s="526"/>
      <c r="CI761" s="526"/>
      <c r="CJ761" s="526"/>
      <c r="CK761" s="15"/>
    </row>
    <row r="762" spans="2:89" ht="84.75" hidden="1" customHeight="1">
      <c r="B762" s="809" t="s">
        <v>6439</v>
      </c>
      <c r="C762" s="122"/>
      <c r="D762" s="22"/>
      <c r="E762" s="911"/>
      <c r="F762" s="911"/>
      <c r="G762" s="915">
        <v>45594</v>
      </c>
      <c r="H762" s="1746" t="s">
        <v>6311</v>
      </c>
      <c r="I762" s="330"/>
      <c r="J762" s="169">
        <v>2023</v>
      </c>
      <c r="K762" s="1417">
        <v>235025</v>
      </c>
      <c r="L762" s="1417"/>
      <c r="M762" s="170" t="s">
        <v>166</v>
      </c>
      <c r="N762" s="178" t="s">
        <v>5655</v>
      </c>
      <c r="O762" s="172" t="s">
        <v>79</v>
      </c>
      <c r="P762" s="173" t="s">
        <v>5827</v>
      </c>
      <c r="Q762" s="173" t="s">
        <v>4410</v>
      </c>
      <c r="R762" s="594">
        <v>441962.08</v>
      </c>
      <c r="S762" s="590">
        <v>45247</v>
      </c>
      <c r="T762" s="176">
        <v>45245</v>
      </c>
      <c r="U762" s="177">
        <v>45290</v>
      </c>
      <c r="V762" s="105">
        <v>45245</v>
      </c>
      <c r="W762" s="178" t="s">
        <v>4362</v>
      </c>
      <c r="X762" s="170" t="s">
        <v>213</v>
      </c>
      <c r="Y762" s="1650" t="s">
        <v>1428</v>
      </c>
      <c r="Z762" s="1383"/>
      <c r="AA762" s="33" t="s">
        <v>6445</v>
      </c>
      <c r="AB762" s="8">
        <v>44932</v>
      </c>
      <c r="AC762" s="4">
        <v>898000</v>
      </c>
      <c r="AD762" s="4"/>
      <c r="AE762" s="32"/>
      <c r="AF762" s="34" t="s">
        <v>68</v>
      </c>
      <c r="AG762" s="112" t="s">
        <v>68</v>
      </c>
      <c r="AH762" s="112" t="s">
        <v>68</v>
      </c>
      <c r="AI762" s="7" t="s">
        <v>68</v>
      </c>
      <c r="AJ762" s="109" t="s">
        <v>68</v>
      </c>
      <c r="AK762" s="33" t="s">
        <v>1342</v>
      </c>
      <c r="AL762" s="1811" t="s">
        <v>68</v>
      </c>
      <c r="AM762" s="5"/>
      <c r="AN762" s="2" t="s">
        <v>6446</v>
      </c>
      <c r="AO762" s="5">
        <v>45288</v>
      </c>
      <c r="AP762" s="2" t="s">
        <v>6447</v>
      </c>
      <c r="AQ762" s="5">
        <v>45288</v>
      </c>
      <c r="AR762" s="642">
        <f>44196.2*2</f>
        <v>88392.4</v>
      </c>
      <c r="AS762" s="35">
        <v>0</v>
      </c>
      <c r="AT762" s="900">
        <v>441962.08</v>
      </c>
      <c r="AU762" s="891"/>
      <c r="AV762" s="246" t="s">
        <v>74</v>
      </c>
      <c r="AW762" s="11"/>
      <c r="AX762" s="223"/>
      <c r="AY762" s="52"/>
      <c r="AZ762" s="324">
        <v>45228</v>
      </c>
      <c r="BA762" s="325">
        <v>45275</v>
      </c>
      <c r="BB762" s="325">
        <v>45289</v>
      </c>
      <c r="BC762" s="1031" t="s">
        <v>68</v>
      </c>
      <c r="BD762" s="324">
        <v>45289</v>
      </c>
      <c r="BE762" s="1617" t="s">
        <v>6448</v>
      </c>
      <c r="BF762" s="325">
        <v>45275</v>
      </c>
      <c r="BG762" s="325">
        <v>45289</v>
      </c>
      <c r="BH762" s="325">
        <v>45289</v>
      </c>
      <c r="BI762" s="326">
        <f>AS762+AT762</f>
        <v>441962.08</v>
      </c>
      <c r="BJ762" s="1024">
        <v>45289</v>
      </c>
      <c r="BK762" s="1027">
        <v>45655</v>
      </c>
      <c r="BL762" s="693" t="s">
        <v>74</v>
      </c>
      <c r="BM762" s="693" t="s">
        <v>74</v>
      </c>
      <c r="BN762" s="693" t="s">
        <v>74</v>
      </c>
      <c r="BO762" s="1091"/>
      <c r="BP762" s="1265" t="s">
        <v>74</v>
      </c>
      <c r="BQ762" s="1265" t="s">
        <v>74</v>
      </c>
      <c r="BR762" s="1265" t="s">
        <v>74</v>
      </c>
      <c r="BS762" s="1265" t="s">
        <v>74</v>
      </c>
      <c r="BT762" s="1265" t="s">
        <v>74</v>
      </c>
      <c r="BU762" s="914">
        <v>45286</v>
      </c>
      <c r="BV762" s="913"/>
      <c r="BW762" s="13"/>
      <c r="BX762" s="22"/>
      <c r="BY762" s="22"/>
      <c r="BZ762" s="22"/>
      <c r="CA762" s="22"/>
      <c r="CB762" s="1222" t="s">
        <v>3944</v>
      </c>
      <c r="CC762" s="859"/>
      <c r="CD762" s="526"/>
      <c r="CE762" s="526"/>
      <c r="CF762" s="526"/>
      <c r="CG762" s="526"/>
      <c r="CH762" s="526"/>
      <c r="CI762" s="526"/>
      <c r="CJ762" s="526"/>
      <c r="CK762" s="15"/>
    </row>
    <row r="763" spans="2:89" ht="113.25" hidden="1" customHeight="1">
      <c r="B763" s="809" t="s">
        <v>6439</v>
      </c>
      <c r="C763" s="122"/>
      <c r="D763" s="22"/>
      <c r="E763" s="911"/>
      <c r="F763" s="911"/>
      <c r="G763" s="915">
        <v>45594</v>
      </c>
      <c r="H763" s="1746" t="s">
        <v>6311</v>
      </c>
      <c r="I763" s="330">
        <v>45302</v>
      </c>
      <c r="J763" s="169">
        <v>2023</v>
      </c>
      <c r="K763" s="1417">
        <v>235026</v>
      </c>
      <c r="L763" s="1417"/>
      <c r="M763" s="170" t="s">
        <v>5823</v>
      </c>
      <c r="N763" s="1710" t="s">
        <v>5824</v>
      </c>
      <c r="O763" s="172" t="s">
        <v>5825</v>
      </c>
      <c r="P763" s="173" t="s">
        <v>5826</v>
      </c>
      <c r="Q763" s="173" t="s">
        <v>1975</v>
      </c>
      <c r="R763" s="1172">
        <v>2969939.23</v>
      </c>
      <c r="S763" s="175">
        <v>45268</v>
      </c>
      <c r="T763" s="176">
        <v>45271</v>
      </c>
      <c r="U763" s="177">
        <v>45290</v>
      </c>
      <c r="V763" s="105" t="s">
        <v>68</v>
      </c>
      <c r="W763" s="178" t="s">
        <v>5397</v>
      </c>
      <c r="X763" s="170" t="s">
        <v>70</v>
      </c>
      <c r="Y763" s="1813" t="s">
        <v>74</v>
      </c>
      <c r="Z763" s="1383"/>
      <c r="AA763" s="241" t="s">
        <v>5876</v>
      </c>
      <c r="AB763" s="8">
        <v>45070</v>
      </c>
      <c r="AC763" s="4">
        <v>1504452.21</v>
      </c>
      <c r="AD763" s="4"/>
      <c r="AE763" s="32"/>
      <c r="AF763" s="582">
        <v>45254</v>
      </c>
      <c r="AG763" s="583">
        <v>45257</v>
      </c>
      <c r="AH763" s="583">
        <v>45257</v>
      </c>
      <c r="AI763" s="584">
        <v>45264</v>
      </c>
      <c r="AJ763" s="581">
        <v>45267</v>
      </c>
      <c r="AK763" s="33" t="s">
        <v>3573</v>
      </c>
      <c r="AL763" s="1">
        <v>2866794</v>
      </c>
      <c r="AM763" s="5">
        <v>45268</v>
      </c>
      <c r="AN763" s="1">
        <v>2866779</v>
      </c>
      <c r="AO763" s="5">
        <v>45290</v>
      </c>
      <c r="AP763" s="1">
        <v>2897153</v>
      </c>
      <c r="AQ763" s="5">
        <v>44993</v>
      </c>
      <c r="AR763" s="279">
        <f>890981.77+138012.74+138012.74</f>
        <v>1167007.25</v>
      </c>
      <c r="AS763" s="35">
        <v>0</v>
      </c>
      <c r="AT763" s="900">
        <v>4350066.6500000004</v>
      </c>
      <c r="AU763" s="891"/>
      <c r="AV763" s="246" t="s">
        <v>74</v>
      </c>
      <c r="AW763" s="11"/>
      <c r="AX763" s="223"/>
      <c r="AY763" s="52"/>
      <c r="AZ763" s="30">
        <v>45383</v>
      </c>
      <c r="BA763" s="5">
        <v>45271</v>
      </c>
      <c r="BB763" s="5">
        <v>45381</v>
      </c>
      <c r="BC763" s="11">
        <v>45381</v>
      </c>
      <c r="BD763" s="30">
        <v>45384</v>
      </c>
      <c r="BE763" s="201" t="s">
        <v>6389</v>
      </c>
      <c r="BF763" s="5">
        <v>45271</v>
      </c>
      <c r="BG763" s="5">
        <v>45381</v>
      </c>
      <c r="BH763" s="5">
        <v>45381</v>
      </c>
      <c r="BI763" s="326">
        <f>AS763+AT763</f>
        <v>4350066.6500000004</v>
      </c>
      <c r="BJ763" s="62">
        <v>45384</v>
      </c>
      <c r="BK763" s="224">
        <v>45749</v>
      </c>
      <c r="BL763" s="336">
        <v>45268</v>
      </c>
      <c r="BM763" s="71">
        <v>45271</v>
      </c>
      <c r="BN763" s="71">
        <v>45271</v>
      </c>
      <c r="BO763" s="1091"/>
      <c r="BP763" s="914">
        <v>45271</v>
      </c>
      <c r="BQ763" s="914">
        <v>45271</v>
      </c>
      <c r="BR763" s="914">
        <v>45271</v>
      </c>
      <c r="BS763" s="1265" t="s">
        <v>74</v>
      </c>
      <c r="BT763" s="1265" t="s">
        <v>74</v>
      </c>
      <c r="BU763" s="1392"/>
      <c r="BV763" s="913"/>
      <c r="BW763" s="13"/>
      <c r="BX763" s="22"/>
      <c r="BY763" s="22"/>
      <c r="BZ763" s="22"/>
      <c r="CA763" s="22"/>
      <c r="CB763" s="1222" t="s">
        <v>3944</v>
      </c>
      <c r="CC763" s="859"/>
      <c r="CD763" s="526"/>
      <c r="CE763" s="526"/>
      <c r="CF763" s="526"/>
      <c r="CG763" s="526"/>
      <c r="CH763" s="526"/>
      <c r="CI763" s="526"/>
      <c r="CJ763" s="526"/>
      <c r="CK763" s="15"/>
    </row>
    <row r="764" spans="2:89" ht="75.75" hidden="1" customHeight="1">
      <c r="B764" s="809" t="s">
        <v>6439</v>
      </c>
      <c r="C764" s="122"/>
      <c r="D764" s="22"/>
      <c r="E764" s="911"/>
      <c r="F764" s="911"/>
      <c r="G764" s="915">
        <v>45596</v>
      </c>
      <c r="H764" s="1746" t="s">
        <v>1405</v>
      </c>
      <c r="I764" s="330"/>
      <c r="J764" s="169">
        <v>2023</v>
      </c>
      <c r="K764" s="1417">
        <v>235027</v>
      </c>
      <c r="L764" s="1417"/>
      <c r="M764" s="170" t="s">
        <v>166</v>
      </c>
      <c r="N764" s="178" t="s">
        <v>5819</v>
      </c>
      <c r="O764" s="172" t="s">
        <v>79</v>
      </c>
      <c r="P764" s="173" t="s">
        <v>5828</v>
      </c>
      <c r="Q764" s="173" t="s">
        <v>2538</v>
      </c>
      <c r="R764" s="594">
        <v>1515153.08</v>
      </c>
      <c r="S764" s="590">
        <v>45258</v>
      </c>
      <c r="T764" s="176">
        <v>45264</v>
      </c>
      <c r="U764" s="177">
        <v>45374</v>
      </c>
      <c r="V764" s="105">
        <v>45257</v>
      </c>
      <c r="W764" s="178" t="s">
        <v>5829</v>
      </c>
      <c r="X764" s="170" t="s">
        <v>449</v>
      </c>
      <c r="Y764" s="1650">
        <v>45251</v>
      </c>
      <c r="Z764" s="1383"/>
      <c r="AA764" s="33" t="s">
        <v>6359</v>
      </c>
      <c r="AB764" s="8">
        <v>45254</v>
      </c>
      <c r="AC764" s="4">
        <v>1515153.08</v>
      </c>
      <c r="AD764" s="4"/>
      <c r="AE764" s="32"/>
      <c r="AF764" s="34" t="s">
        <v>68</v>
      </c>
      <c r="AG764" s="112" t="s">
        <v>68</v>
      </c>
      <c r="AH764" s="112" t="s">
        <v>68</v>
      </c>
      <c r="AI764" s="7" t="s">
        <v>68</v>
      </c>
      <c r="AJ764" s="109" t="s">
        <v>68</v>
      </c>
      <c r="AK764" s="241" t="s">
        <v>3573</v>
      </c>
      <c r="AL764" s="131" t="s">
        <v>74</v>
      </c>
      <c r="AM764" s="5"/>
      <c r="AN764" s="388">
        <v>2866165</v>
      </c>
      <c r="AO764" s="238">
        <v>45258</v>
      </c>
      <c r="AP764" s="2">
        <v>2960154</v>
      </c>
      <c r="AQ764" s="5">
        <v>45344</v>
      </c>
      <c r="AR764" s="279">
        <f>2866165+185137.18</f>
        <v>3051302.18</v>
      </c>
      <c r="AS764" s="35">
        <v>0</v>
      </c>
      <c r="AT764" s="900">
        <v>1851371.85</v>
      </c>
      <c r="AU764" s="891"/>
      <c r="AV764" s="70">
        <v>45264</v>
      </c>
      <c r="AW764" s="127">
        <v>45344</v>
      </c>
      <c r="AX764" s="335"/>
      <c r="AY764" s="342"/>
      <c r="AZ764" s="70">
        <v>45345</v>
      </c>
      <c r="BA764" s="71">
        <v>45264</v>
      </c>
      <c r="BB764" s="71">
        <v>45374</v>
      </c>
      <c r="BC764" s="127">
        <v>45344</v>
      </c>
      <c r="BD764" s="70">
        <v>45345</v>
      </c>
      <c r="BE764" s="1616" t="s">
        <v>6449</v>
      </c>
      <c r="BF764" s="71">
        <v>45264</v>
      </c>
      <c r="BG764" s="71">
        <v>45374</v>
      </c>
      <c r="BH764" s="71">
        <v>45344</v>
      </c>
      <c r="BI764" s="129">
        <f>AS764+AT764+0.01</f>
        <v>1851371.86</v>
      </c>
      <c r="BJ764" s="631">
        <v>45345</v>
      </c>
      <c r="BK764" s="336">
        <v>45711</v>
      </c>
      <c r="BL764" s="336">
        <v>45261</v>
      </c>
      <c r="BM764" s="693" t="s">
        <v>74</v>
      </c>
      <c r="BN764" s="71">
        <v>45261</v>
      </c>
      <c r="BO764" s="1091"/>
      <c r="BP764" s="914">
        <v>45261</v>
      </c>
      <c r="BQ764" s="914">
        <v>45261</v>
      </c>
      <c r="BR764" s="914">
        <v>45261</v>
      </c>
      <c r="BS764" s="914">
        <v>45344</v>
      </c>
      <c r="BT764" s="914">
        <v>45345</v>
      </c>
      <c r="BU764" s="1392"/>
      <c r="BV764" s="913"/>
      <c r="BW764" s="13"/>
      <c r="BX764" s="22"/>
      <c r="BY764" s="22"/>
      <c r="BZ764" s="22"/>
      <c r="CA764" s="22"/>
      <c r="CB764" s="1222" t="s">
        <v>3944</v>
      </c>
      <c r="CC764" s="859"/>
      <c r="CD764" s="526"/>
      <c r="CE764" s="526"/>
      <c r="CF764" s="526"/>
      <c r="CG764" s="526"/>
      <c r="CH764" s="526"/>
      <c r="CI764" s="526"/>
      <c r="CJ764" s="526"/>
      <c r="CK764" s="15"/>
    </row>
    <row r="765" spans="2:89" ht="103.5" hidden="1" customHeight="1">
      <c r="B765" s="809" t="s">
        <v>6439</v>
      </c>
      <c r="C765" s="122"/>
      <c r="D765" s="22"/>
      <c r="E765" s="911"/>
      <c r="F765" s="911"/>
      <c r="G765" s="915">
        <v>45596</v>
      </c>
      <c r="H765" s="1746" t="s">
        <v>1405</v>
      </c>
      <c r="I765" s="330"/>
      <c r="J765" s="169">
        <v>2023</v>
      </c>
      <c r="K765" s="1417">
        <v>235028</v>
      </c>
      <c r="L765" s="1417"/>
      <c r="M765" s="170" t="s">
        <v>166</v>
      </c>
      <c r="N765" s="178" t="s">
        <v>5820</v>
      </c>
      <c r="O765" s="172" t="s">
        <v>79</v>
      </c>
      <c r="P765" s="173" t="s">
        <v>5830</v>
      </c>
      <c r="Q765" s="173" t="s">
        <v>2538</v>
      </c>
      <c r="R765" s="594">
        <v>1777367.51</v>
      </c>
      <c r="S765" s="590">
        <v>45258</v>
      </c>
      <c r="T765" s="176">
        <v>45264</v>
      </c>
      <c r="U765" s="177">
        <v>45374</v>
      </c>
      <c r="V765" s="105">
        <v>45257</v>
      </c>
      <c r="W765" s="178" t="s">
        <v>5831</v>
      </c>
      <c r="X765" s="170" t="s">
        <v>449</v>
      </c>
      <c r="Y765" s="1650">
        <v>45251</v>
      </c>
      <c r="Z765" s="1383"/>
      <c r="AA765" s="337" t="s">
        <v>74</v>
      </c>
      <c r="AB765" s="8"/>
      <c r="AC765" s="4"/>
      <c r="AD765" s="4"/>
      <c r="AE765" s="32"/>
      <c r="AF765" s="34" t="s">
        <v>68</v>
      </c>
      <c r="AG765" s="112" t="s">
        <v>68</v>
      </c>
      <c r="AH765" s="112" t="s">
        <v>68</v>
      </c>
      <c r="AI765" s="7" t="s">
        <v>68</v>
      </c>
      <c r="AJ765" s="109" t="s">
        <v>68</v>
      </c>
      <c r="AK765" s="241" t="s">
        <v>3573</v>
      </c>
      <c r="AL765" s="388">
        <v>2866060</v>
      </c>
      <c r="AM765" s="58">
        <v>45258</v>
      </c>
      <c r="AN765" s="388">
        <v>2866068</v>
      </c>
      <c r="AO765" s="238">
        <v>45258</v>
      </c>
      <c r="AP765" s="2">
        <v>2963290</v>
      </c>
      <c r="AQ765" s="5">
        <v>45008</v>
      </c>
      <c r="AR765" s="279">
        <f>533210.25+177736.75+204686.23</f>
        <v>915633.23</v>
      </c>
      <c r="AS765" s="35">
        <v>0</v>
      </c>
      <c r="AT765" s="900">
        <v>2046862.31</v>
      </c>
      <c r="AU765" s="891"/>
      <c r="AV765" s="70">
        <v>45264</v>
      </c>
      <c r="AW765" s="11">
        <v>45371</v>
      </c>
      <c r="AX765" s="223"/>
      <c r="AY765" s="52"/>
      <c r="AZ765" s="30">
        <v>45371</v>
      </c>
      <c r="BA765" s="5">
        <v>45264</v>
      </c>
      <c r="BB765" s="5">
        <v>45374</v>
      </c>
      <c r="BC765" s="11">
        <v>45370</v>
      </c>
      <c r="BD765" s="30">
        <v>45371</v>
      </c>
      <c r="BE765" s="201" t="s">
        <v>6494</v>
      </c>
      <c r="BF765" s="5">
        <v>45264</v>
      </c>
      <c r="BG765" s="5">
        <v>45374</v>
      </c>
      <c r="BH765" s="5">
        <v>45371</v>
      </c>
      <c r="BI765" s="36">
        <f>AS765+AT765+0.01</f>
        <v>2046862.32</v>
      </c>
      <c r="BJ765" s="631">
        <v>45371</v>
      </c>
      <c r="BK765" s="336">
        <v>45739</v>
      </c>
      <c r="BL765" s="693" t="s">
        <v>74</v>
      </c>
      <c r="BM765" s="71">
        <v>45261</v>
      </c>
      <c r="BN765" s="71">
        <v>45261</v>
      </c>
      <c r="BO765" s="1091"/>
      <c r="BP765" s="71">
        <v>45261</v>
      </c>
      <c r="BQ765" s="693" t="s">
        <v>74</v>
      </c>
      <c r="BR765" s="71">
        <v>45261</v>
      </c>
      <c r="BS765" s="693" t="s">
        <v>74</v>
      </c>
      <c r="BT765" s="693" t="s">
        <v>74</v>
      </c>
      <c r="BU765" s="1392"/>
      <c r="BV765" s="913"/>
      <c r="BW765" s="13"/>
      <c r="BX765" s="22"/>
      <c r="BY765" s="22"/>
      <c r="BZ765" s="22"/>
      <c r="CA765" s="22"/>
      <c r="CB765" s="1222" t="s">
        <v>3944</v>
      </c>
      <c r="CC765" s="859"/>
      <c r="CD765" s="526"/>
      <c r="CE765" s="526"/>
      <c r="CF765" s="526"/>
      <c r="CG765" s="526"/>
      <c r="CH765" s="526"/>
      <c r="CI765" s="526"/>
      <c r="CJ765" s="526"/>
      <c r="CK765" s="15"/>
    </row>
    <row r="766" spans="2:89" ht="117.75" hidden="1" customHeight="1">
      <c r="B766" s="809"/>
      <c r="C766" s="122"/>
      <c r="D766" s="22"/>
      <c r="E766" s="911"/>
      <c r="F766" s="911"/>
      <c r="G766" s="915">
        <v>45596</v>
      </c>
      <c r="H766" s="1746" t="s">
        <v>6311</v>
      </c>
      <c r="I766" s="330"/>
      <c r="J766" s="169">
        <v>2023</v>
      </c>
      <c r="K766" s="1417">
        <v>235029</v>
      </c>
      <c r="L766" s="1417"/>
      <c r="M766" s="170" t="s">
        <v>77</v>
      </c>
      <c r="N766" s="178" t="s">
        <v>5821</v>
      </c>
      <c r="O766" s="172" t="s">
        <v>79</v>
      </c>
      <c r="P766" s="173" t="s">
        <v>6309</v>
      </c>
      <c r="Q766" s="173" t="s">
        <v>1975</v>
      </c>
      <c r="R766" s="594">
        <v>521271.1</v>
      </c>
      <c r="S766" s="590">
        <v>45257</v>
      </c>
      <c r="T766" s="176">
        <v>45258</v>
      </c>
      <c r="U766" s="177">
        <v>45276</v>
      </c>
      <c r="V766" s="105">
        <v>45257</v>
      </c>
      <c r="W766" s="178" t="s">
        <v>3469</v>
      </c>
      <c r="X766" s="170" t="s">
        <v>70</v>
      </c>
      <c r="Y766" s="1680"/>
      <c r="Z766" s="1383"/>
      <c r="AA766" s="33" t="s">
        <v>5873</v>
      </c>
      <c r="AB766" s="8">
        <v>45027</v>
      </c>
      <c r="AC766" s="4">
        <v>600000</v>
      </c>
      <c r="AD766" s="4"/>
      <c r="AE766" s="32"/>
      <c r="AF766" s="34" t="s">
        <v>68</v>
      </c>
      <c r="AG766" s="112" t="s">
        <v>68</v>
      </c>
      <c r="AH766" s="112" t="s">
        <v>68</v>
      </c>
      <c r="AI766" s="7" t="s">
        <v>68</v>
      </c>
      <c r="AJ766" s="109" t="s">
        <v>68</v>
      </c>
      <c r="AK766" s="33" t="s">
        <v>5810</v>
      </c>
      <c r="AL766" s="2" t="s">
        <v>68</v>
      </c>
      <c r="AM766" s="5"/>
      <c r="AN766" s="2" t="s">
        <v>6495</v>
      </c>
      <c r="AO766" s="238">
        <v>45257</v>
      </c>
      <c r="AP766" s="2" t="s">
        <v>6495</v>
      </c>
      <c r="AQ766" s="5">
        <v>45011</v>
      </c>
      <c r="AR766" s="279">
        <f>116016.42+52127.11</f>
        <v>168143.53</v>
      </c>
      <c r="AS766" s="35">
        <v>0</v>
      </c>
      <c r="AT766" s="900">
        <v>1160164.23</v>
      </c>
      <c r="AU766" s="891"/>
      <c r="AV766" s="246" t="s">
        <v>74</v>
      </c>
      <c r="AW766" s="11"/>
      <c r="AX766" s="223"/>
      <c r="AY766" s="52"/>
      <c r="AZ766" s="70">
        <v>45290</v>
      </c>
      <c r="BA766" s="71">
        <v>45258</v>
      </c>
      <c r="BB766" s="71">
        <v>45290</v>
      </c>
      <c r="BC766" s="127">
        <v>45290</v>
      </c>
      <c r="BD766" s="70">
        <v>45290</v>
      </c>
      <c r="BE766" s="1616" t="str">
        <f>N766</f>
        <v>GMJ 029C OP/2023</v>
      </c>
      <c r="BF766" s="71">
        <v>45258</v>
      </c>
      <c r="BG766" s="71">
        <v>45290</v>
      </c>
      <c r="BH766" s="71">
        <v>45290</v>
      </c>
      <c r="BI766" s="129">
        <f>AS766+AT766</f>
        <v>1160164.23</v>
      </c>
      <c r="BJ766" s="631">
        <v>45290</v>
      </c>
      <c r="BK766" s="336">
        <v>45655</v>
      </c>
      <c r="BL766" s="336">
        <v>45257</v>
      </c>
      <c r="BM766" s="71">
        <v>45258</v>
      </c>
      <c r="BN766" s="71">
        <v>45258</v>
      </c>
      <c r="BO766" s="1391"/>
      <c r="BP766" s="914">
        <v>45258</v>
      </c>
      <c r="BQ766" s="914">
        <v>45258</v>
      </c>
      <c r="BR766" s="914">
        <v>45258</v>
      </c>
      <c r="BS766" s="1391"/>
      <c r="BT766" s="1391"/>
      <c r="BU766" s="1392"/>
      <c r="BV766" s="913"/>
      <c r="BW766" s="13"/>
      <c r="BX766" s="22"/>
      <c r="BY766" s="22"/>
      <c r="BZ766" s="22"/>
      <c r="CA766" s="22"/>
      <c r="CB766" s="1222" t="s">
        <v>3944</v>
      </c>
      <c r="CC766" s="859"/>
      <c r="CD766" s="526"/>
      <c r="CE766" s="526"/>
      <c r="CF766" s="526"/>
      <c r="CG766" s="526"/>
      <c r="CH766" s="526"/>
      <c r="CI766" s="526"/>
      <c r="CJ766" s="526"/>
      <c r="CK766" s="15"/>
    </row>
    <row r="767" spans="2:89" ht="108" hidden="1" customHeight="1">
      <c r="B767" s="809"/>
      <c r="C767" s="122"/>
      <c r="D767" s="22"/>
      <c r="E767" s="911"/>
      <c r="F767" s="911"/>
      <c r="G767" s="915">
        <v>45596</v>
      </c>
      <c r="H767" s="1746" t="s">
        <v>6311</v>
      </c>
      <c r="I767" s="330"/>
      <c r="J767" s="169">
        <v>2023</v>
      </c>
      <c r="K767" s="1417">
        <v>235030</v>
      </c>
      <c r="L767" s="1417"/>
      <c r="M767" s="170" t="s">
        <v>5832</v>
      </c>
      <c r="N767" s="178" t="s">
        <v>5822</v>
      </c>
      <c r="O767" s="172" t="s">
        <v>79</v>
      </c>
      <c r="P767" s="173" t="s">
        <v>5833</v>
      </c>
      <c r="Q767" s="173" t="s">
        <v>4409</v>
      </c>
      <c r="R767" s="594">
        <v>810268.98</v>
      </c>
      <c r="S767" s="590">
        <v>45269</v>
      </c>
      <c r="T767" s="176">
        <v>45271</v>
      </c>
      <c r="U767" s="177">
        <v>45290</v>
      </c>
      <c r="V767" s="105">
        <v>45268</v>
      </c>
      <c r="W767" s="178" t="s">
        <v>4447</v>
      </c>
      <c r="X767" s="170" t="s">
        <v>70</v>
      </c>
      <c r="Y767" s="1813" t="s">
        <v>74</v>
      </c>
      <c r="Z767" s="1383"/>
      <c r="AA767" s="33" t="s">
        <v>6376</v>
      </c>
      <c r="AB767" s="8">
        <v>45268</v>
      </c>
      <c r="AC767" s="79">
        <v>810268.98</v>
      </c>
      <c r="AD767" s="4"/>
      <c r="AE767" s="32"/>
      <c r="AF767" s="34" t="s">
        <v>68</v>
      </c>
      <c r="AG767" s="112" t="s">
        <v>68</v>
      </c>
      <c r="AH767" s="112" t="s">
        <v>68</v>
      </c>
      <c r="AI767" s="7" t="s">
        <v>68</v>
      </c>
      <c r="AJ767" s="581" t="s">
        <v>68</v>
      </c>
      <c r="AK767" s="33" t="s">
        <v>894</v>
      </c>
      <c r="AL767" s="2" t="s">
        <v>68</v>
      </c>
      <c r="AM767" s="5"/>
      <c r="AN767" s="2" t="s">
        <v>6390</v>
      </c>
      <c r="AO767" s="238">
        <v>45271</v>
      </c>
      <c r="AP767" s="2" t="s">
        <v>6391</v>
      </c>
      <c r="AQ767" s="5">
        <v>45288</v>
      </c>
      <c r="AR767" s="279">
        <f>81026.89+98931.48</f>
        <v>179958.37</v>
      </c>
      <c r="AS767" s="35">
        <v>0</v>
      </c>
      <c r="AT767" s="895">
        <v>1160164.23</v>
      </c>
      <c r="AU767" s="891"/>
      <c r="AV767" s="246" t="s">
        <v>74</v>
      </c>
      <c r="AW767" s="11"/>
      <c r="AX767" s="223"/>
      <c r="AY767" s="52"/>
      <c r="AZ767" s="70">
        <v>45290</v>
      </c>
      <c r="BA767" s="5">
        <v>45258</v>
      </c>
      <c r="BB767" s="5">
        <v>45290</v>
      </c>
      <c r="BC767" s="11">
        <v>45290</v>
      </c>
      <c r="BD767" s="70">
        <v>45290</v>
      </c>
      <c r="BE767" s="1616" t="str">
        <f>N767</f>
        <v>GMJ 030C OP/2023</v>
      </c>
      <c r="BF767" s="71">
        <v>45258</v>
      </c>
      <c r="BG767" s="71">
        <v>45290</v>
      </c>
      <c r="BH767" s="71">
        <v>45290</v>
      </c>
      <c r="BI767" s="129">
        <f>AS767+AT767</f>
        <v>1160164.23</v>
      </c>
      <c r="BJ767" s="631">
        <v>45288</v>
      </c>
      <c r="BK767" s="336">
        <v>45654</v>
      </c>
      <c r="BL767" s="1100" t="s">
        <v>74</v>
      </c>
      <c r="BM767" s="693" t="s">
        <v>74</v>
      </c>
      <c r="BN767" s="693" t="s">
        <v>74</v>
      </c>
      <c r="BO767" s="1265"/>
      <c r="BP767" s="1265" t="s">
        <v>74</v>
      </c>
      <c r="BQ767" s="1265" t="s">
        <v>74</v>
      </c>
      <c r="BR767" s="1265" t="s">
        <v>74</v>
      </c>
      <c r="BS767" s="1265" t="s">
        <v>74</v>
      </c>
      <c r="BT767" s="1265" t="s">
        <v>74</v>
      </c>
      <c r="BU767" s="1709" t="s">
        <v>6497</v>
      </c>
      <c r="BV767" s="913"/>
      <c r="BW767" s="13"/>
      <c r="BX767" s="22"/>
      <c r="BY767" s="22"/>
      <c r="BZ767" s="22"/>
      <c r="CA767" s="22"/>
      <c r="CB767" s="1222" t="s">
        <v>3944</v>
      </c>
      <c r="CC767" s="859"/>
      <c r="CD767" s="526"/>
      <c r="CE767" s="526"/>
      <c r="CF767" s="526"/>
      <c r="CG767" s="526"/>
      <c r="CH767" s="526"/>
      <c r="CI767" s="526"/>
      <c r="CJ767" s="526"/>
      <c r="CK767" s="15"/>
    </row>
    <row r="768" spans="2:89" s="104" customFormat="1" ht="34.5" hidden="1" customHeight="1">
      <c r="B768" s="81"/>
      <c r="C768" s="123"/>
      <c r="D768" s="81"/>
      <c r="E768" s="989"/>
      <c r="F768" s="989"/>
      <c r="G768" s="123"/>
      <c r="H768" s="1796" t="s">
        <v>1295</v>
      </c>
      <c r="I768" s="620"/>
      <c r="J768" s="990">
        <v>2023</v>
      </c>
      <c r="K768" s="1419">
        <v>235031</v>
      </c>
      <c r="L768" s="1419"/>
      <c r="M768" s="621"/>
      <c r="N768" s="626" t="s">
        <v>5879</v>
      </c>
      <c r="O768" s="655" t="s">
        <v>251</v>
      </c>
      <c r="P768" s="656"/>
      <c r="Q768" s="656"/>
      <c r="R768" s="622"/>
      <c r="S768" s="623"/>
      <c r="T768" s="624"/>
      <c r="U768" s="625"/>
      <c r="V768" s="370"/>
      <c r="W768" s="626"/>
      <c r="X768" s="621"/>
      <c r="Y768" s="1717"/>
      <c r="Z768" s="1363"/>
      <c r="AA768" s="90"/>
      <c r="AB768" s="92"/>
      <c r="AC768" s="86"/>
      <c r="AD768" s="86"/>
      <c r="AE768" s="93"/>
      <c r="AF768" s="94"/>
      <c r="AG768" s="113"/>
      <c r="AH768" s="113"/>
      <c r="AI768" s="95"/>
      <c r="AJ768" s="110"/>
      <c r="AK768" s="90"/>
      <c r="AL768" s="96"/>
      <c r="AM768" s="88"/>
      <c r="AN768" s="96"/>
      <c r="AO768" s="88"/>
      <c r="AP768" s="96"/>
      <c r="AQ768" s="88"/>
      <c r="AR768" s="284"/>
      <c r="AS768" s="98"/>
      <c r="AT768" s="898"/>
      <c r="AU768" s="887"/>
      <c r="AV768" s="100"/>
      <c r="AW768" s="89"/>
      <c r="AX768" s="338"/>
      <c r="AY768" s="101"/>
      <c r="AZ768" s="100"/>
      <c r="BA768" s="88"/>
      <c r="BB768" s="88"/>
      <c r="BC768" s="89"/>
      <c r="BD768" s="100"/>
      <c r="BE768" s="311"/>
      <c r="BF768" s="88"/>
      <c r="BG768" s="88"/>
      <c r="BH768" s="88"/>
      <c r="BI768" s="99"/>
      <c r="BJ768" s="102"/>
      <c r="BK768" s="354"/>
      <c r="BL768" s="1697"/>
      <c r="BM768" s="1695"/>
      <c r="BN768" s="1695"/>
      <c r="BO768" s="1696"/>
      <c r="BP768" s="1696"/>
      <c r="BQ768" s="1696"/>
      <c r="BR768" s="1696"/>
      <c r="BS768" s="1696"/>
      <c r="BT768" s="1696"/>
      <c r="BU768" s="1696"/>
      <c r="BV768" s="1697"/>
      <c r="BW768" s="102"/>
      <c r="BX768" s="81"/>
      <c r="BY768" s="81"/>
      <c r="BZ768" s="81"/>
      <c r="CA768" s="81"/>
      <c r="CB768" s="1403" t="s">
        <v>3944</v>
      </c>
      <c r="CC768" s="1720"/>
      <c r="CD768" s="527"/>
      <c r="CE768" s="527"/>
      <c r="CF768" s="527"/>
      <c r="CG768" s="527"/>
      <c r="CH768" s="527"/>
      <c r="CI768" s="527"/>
      <c r="CJ768" s="527"/>
      <c r="CK768" s="627"/>
    </row>
    <row r="769" spans="2:89" ht="63" hidden="1" customHeight="1">
      <c r="B769" s="809"/>
      <c r="C769" s="122"/>
      <c r="D769" s="22"/>
      <c r="E769" s="911"/>
      <c r="F769" s="911"/>
      <c r="G769" s="915">
        <v>45596</v>
      </c>
      <c r="H769" s="1746" t="s">
        <v>1405</v>
      </c>
      <c r="I769" s="330"/>
      <c r="J769" s="169">
        <v>2023</v>
      </c>
      <c r="K769" s="1417">
        <v>235032</v>
      </c>
      <c r="L769" s="1417"/>
      <c r="M769" s="170" t="s">
        <v>5832</v>
      </c>
      <c r="N769" s="178" t="s">
        <v>5884</v>
      </c>
      <c r="O769" s="172" t="s">
        <v>79</v>
      </c>
      <c r="P769" s="173" t="s">
        <v>5881</v>
      </c>
      <c r="Q769" s="173" t="s">
        <v>1975</v>
      </c>
      <c r="R769" s="594">
        <v>1060774.83</v>
      </c>
      <c r="S769" s="590">
        <v>45275</v>
      </c>
      <c r="T769" s="176">
        <v>45278</v>
      </c>
      <c r="U769" s="177">
        <v>45322</v>
      </c>
      <c r="V769" s="105">
        <v>45274</v>
      </c>
      <c r="W769" s="1710" t="s">
        <v>5880</v>
      </c>
      <c r="X769" s="170" t="s">
        <v>70</v>
      </c>
      <c r="Y769" s="1813" t="s">
        <v>74</v>
      </c>
      <c r="Z769" s="1383"/>
      <c r="AA769" s="33" t="s">
        <v>6377</v>
      </c>
      <c r="AB769" s="8">
        <v>45268</v>
      </c>
      <c r="AC769" s="79">
        <v>1081145.33</v>
      </c>
      <c r="AD769" s="4"/>
      <c r="AE769" s="32"/>
      <c r="AF769" s="34" t="s">
        <v>68</v>
      </c>
      <c r="AG769" s="112" t="s">
        <v>68</v>
      </c>
      <c r="AH769" s="112" t="s">
        <v>68</v>
      </c>
      <c r="AI769" s="7" t="s">
        <v>68</v>
      </c>
      <c r="AJ769" s="109" t="s">
        <v>68</v>
      </c>
      <c r="AK769" s="33" t="s">
        <v>6393</v>
      </c>
      <c r="AL769" s="242" t="s">
        <v>68</v>
      </c>
      <c r="AM769" s="58"/>
      <c r="AN769" s="242">
        <v>2360227</v>
      </c>
      <c r="AO769" s="58">
        <v>45282</v>
      </c>
      <c r="AP769" s="242">
        <v>2360228</v>
      </c>
      <c r="AQ769" s="5">
        <v>44957</v>
      </c>
      <c r="AR769" s="642">
        <f>106077.48+106077.48</f>
        <v>212154.96</v>
      </c>
      <c r="AS769" s="35">
        <v>0</v>
      </c>
      <c r="AT769" s="900">
        <v>1081145.3400000001</v>
      </c>
      <c r="AU769" s="891"/>
      <c r="AV769" s="30">
        <v>45278</v>
      </c>
      <c r="AW769" s="11">
        <v>45321</v>
      </c>
      <c r="AX769" s="223"/>
      <c r="AY769" s="52"/>
      <c r="AZ769" s="70">
        <v>45323</v>
      </c>
      <c r="BA769" s="71">
        <v>45278</v>
      </c>
      <c r="BB769" s="71">
        <v>45322</v>
      </c>
      <c r="BC769" s="127"/>
      <c r="BD769" s="70">
        <v>45323</v>
      </c>
      <c r="BE769" s="1616" t="str">
        <f>N769</f>
        <v>GMJ 032C OP/2023</v>
      </c>
      <c r="BF769" s="71">
        <v>45278</v>
      </c>
      <c r="BG769" s="71">
        <v>45322</v>
      </c>
      <c r="BH769" s="71">
        <v>45321</v>
      </c>
      <c r="BI769" s="129">
        <f>AS769+AT769-0.01</f>
        <v>1081145.33</v>
      </c>
      <c r="BJ769" s="1801">
        <v>45327</v>
      </c>
      <c r="BK769" s="336">
        <v>45688</v>
      </c>
      <c r="BL769" s="336">
        <v>45275</v>
      </c>
      <c r="BM769" s="71">
        <v>45275</v>
      </c>
      <c r="BN769" s="71">
        <v>45275</v>
      </c>
      <c r="BO769" s="914"/>
      <c r="BP769" s="914">
        <v>45275</v>
      </c>
      <c r="BQ769" s="914">
        <v>45275</v>
      </c>
      <c r="BR769" s="914">
        <v>45275</v>
      </c>
      <c r="BS769" s="1265" t="s">
        <v>74</v>
      </c>
      <c r="BT769" s="1265" t="s">
        <v>74</v>
      </c>
      <c r="BU769" s="1709" t="s">
        <v>6498</v>
      </c>
      <c r="BV769" s="913"/>
      <c r="BW769" s="13"/>
      <c r="BX769" s="22"/>
      <c r="BY769" s="22"/>
      <c r="BZ769" s="22"/>
      <c r="CA769" s="22"/>
      <c r="CB769" s="1222" t="s">
        <v>3944</v>
      </c>
      <c r="CC769" s="859"/>
      <c r="CD769" s="526"/>
      <c r="CE769" s="526"/>
      <c r="CF769" s="526"/>
      <c r="CG769" s="526"/>
      <c r="CH769" s="526"/>
      <c r="CI769" s="526"/>
      <c r="CJ769" s="526"/>
      <c r="CK769" s="15"/>
    </row>
    <row r="770" spans="2:89" ht="34.5" hidden="1" customHeight="1">
      <c r="B770" s="22"/>
      <c r="C770" s="22"/>
      <c r="D770" s="22"/>
      <c r="E770" s="911"/>
      <c r="F770" s="911"/>
      <c r="G770" s="915"/>
      <c r="H770" s="1746" t="s">
        <v>68</v>
      </c>
      <c r="I770" s="330"/>
      <c r="J770" s="169">
        <v>2024</v>
      </c>
      <c r="K770" s="1417">
        <v>241001</v>
      </c>
      <c r="L770" s="1417"/>
      <c r="M770" s="170" t="s">
        <v>6566</v>
      </c>
      <c r="N770" s="178" t="s">
        <v>68</v>
      </c>
      <c r="O770" s="172" t="s">
        <v>467</v>
      </c>
      <c r="P770" s="1191" t="s">
        <v>6567</v>
      </c>
      <c r="Q770" s="173" t="s">
        <v>1975</v>
      </c>
      <c r="R770" s="1669"/>
      <c r="S770" s="175" t="s">
        <v>68</v>
      </c>
      <c r="T770" s="176"/>
      <c r="U770" s="177"/>
      <c r="V770" s="1742" t="s">
        <v>1428</v>
      </c>
      <c r="W770" s="1740"/>
      <c r="X770" s="1741"/>
      <c r="Y770" s="1723" t="s">
        <v>68</v>
      </c>
      <c r="Z770" s="1724" t="s">
        <v>68</v>
      </c>
      <c r="AA770" s="33"/>
      <c r="AB770" s="8"/>
      <c r="AC770" s="4"/>
      <c r="AD770" s="4"/>
      <c r="AE770" s="32"/>
      <c r="AF770" s="1725" t="s">
        <v>68</v>
      </c>
      <c r="AG770" s="1726" t="s">
        <v>68</v>
      </c>
      <c r="AH770" s="1726" t="s">
        <v>68</v>
      </c>
      <c r="AI770" s="1727" t="s">
        <v>68</v>
      </c>
      <c r="AJ770" s="1728" t="s">
        <v>68</v>
      </c>
      <c r="AK770" s="1729" t="s">
        <v>68</v>
      </c>
      <c r="AL770" s="1634" t="s">
        <v>68</v>
      </c>
      <c r="AM770" s="1656"/>
      <c r="AN770" s="1634" t="s">
        <v>68</v>
      </c>
      <c r="AO770" s="1656"/>
      <c r="AP770" s="1634" t="s">
        <v>68</v>
      </c>
      <c r="AQ770" s="1656"/>
      <c r="AR770" s="1730"/>
      <c r="AS770" s="1731">
        <v>0</v>
      </c>
      <c r="AT770" s="1732">
        <v>0</v>
      </c>
      <c r="AU770" s="1733">
        <v>0</v>
      </c>
      <c r="AV770" s="1734" t="s">
        <v>68</v>
      </c>
      <c r="AW770" s="1653" t="s">
        <v>68</v>
      </c>
      <c r="AX770" s="1654" t="s">
        <v>68</v>
      </c>
      <c r="AY770" s="1655" t="s">
        <v>68</v>
      </c>
      <c r="AZ770" s="1734" t="s">
        <v>68</v>
      </c>
      <c r="BA770" s="1656"/>
      <c r="BB770" s="1656"/>
      <c r="BC770" s="1653"/>
      <c r="BD770" s="1734" t="s">
        <v>68</v>
      </c>
      <c r="BE770" s="1735" t="s">
        <v>68</v>
      </c>
      <c r="BF770" s="1656"/>
      <c r="BG770" s="1656"/>
      <c r="BH770" s="1656"/>
      <c r="BI770" s="1658"/>
      <c r="BJ770" s="1736" t="s">
        <v>68</v>
      </c>
      <c r="BK770" s="1117"/>
      <c r="BL770" s="1737" t="s">
        <v>68</v>
      </c>
      <c r="BM770" s="1738" t="s">
        <v>68</v>
      </c>
      <c r="BN770" s="1738" t="s">
        <v>68</v>
      </c>
      <c r="BO770" s="1739" t="s">
        <v>68</v>
      </c>
      <c r="BP770" s="1739" t="s">
        <v>68</v>
      </c>
      <c r="BQ770" s="1739" t="s">
        <v>68</v>
      </c>
      <c r="BR770" s="1739" t="s">
        <v>68</v>
      </c>
      <c r="BS770" s="1739" t="s">
        <v>68</v>
      </c>
      <c r="BT770" s="1739" t="s">
        <v>68</v>
      </c>
      <c r="BU770" s="1739" t="s">
        <v>68</v>
      </c>
      <c r="BV770" s="1737" t="s">
        <v>68</v>
      </c>
      <c r="BW770" s="13"/>
      <c r="BX770" s="22"/>
      <c r="BY770" s="22"/>
      <c r="BZ770" s="22"/>
      <c r="CA770" s="22"/>
      <c r="CB770" s="1222" t="s">
        <v>3944</v>
      </c>
      <c r="CC770" s="859"/>
      <c r="CD770" s="526"/>
      <c r="CE770" s="526"/>
      <c r="CF770" s="526"/>
      <c r="CG770" s="526"/>
      <c r="CH770" s="526"/>
      <c r="CI770" s="526"/>
      <c r="CJ770" s="526"/>
      <c r="CK770" s="15"/>
    </row>
    <row r="771" spans="2:89" ht="78.75" hidden="1" customHeight="1">
      <c r="B771" s="22"/>
      <c r="C771" s="22"/>
      <c r="D771" s="22"/>
      <c r="E771" s="911"/>
      <c r="F771" s="911"/>
      <c r="G771" s="915"/>
      <c r="H771" s="1746" t="s">
        <v>68</v>
      </c>
      <c r="I771" s="330"/>
      <c r="J771" s="169">
        <v>2024</v>
      </c>
      <c r="K771" s="1417">
        <v>242001</v>
      </c>
      <c r="L771" s="1417"/>
      <c r="M771" s="170" t="s">
        <v>166</v>
      </c>
      <c r="N771" s="178" t="s">
        <v>6568</v>
      </c>
      <c r="O771" s="172" t="s">
        <v>45</v>
      </c>
      <c r="P771" s="1461" t="s">
        <v>6623</v>
      </c>
      <c r="Q771" s="173" t="s">
        <v>1975</v>
      </c>
      <c r="R771" s="594">
        <f>7950*1.16</f>
        <v>9222</v>
      </c>
      <c r="S771" s="175">
        <v>45293</v>
      </c>
      <c r="T771" s="176">
        <v>45294</v>
      </c>
      <c r="U771" s="177">
        <v>45295</v>
      </c>
      <c r="V771" s="676"/>
      <c r="W771" s="178" t="s">
        <v>6621</v>
      </c>
      <c r="X771" s="170" t="s">
        <v>6437</v>
      </c>
      <c r="Y771" s="1723" t="s">
        <v>68</v>
      </c>
      <c r="Z771" s="1724" t="s">
        <v>68</v>
      </c>
      <c r="AA771" s="33"/>
      <c r="AB771" s="8"/>
      <c r="AC771" s="4"/>
      <c r="AD771" s="4"/>
      <c r="AE771" s="32"/>
      <c r="AF771" s="1725" t="s">
        <v>68</v>
      </c>
      <c r="AG771" s="1726" t="s">
        <v>68</v>
      </c>
      <c r="AH771" s="1726" t="s">
        <v>68</v>
      </c>
      <c r="AI771" s="1727" t="s">
        <v>68</v>
      </c>
      <c r="AJ771" s="1728" t="s">
        <v>68</v>
      </c>
      <c r="AK771" s="1729" t="s">
        <v>68</v>
      </c>
      <c r="AL771" s="1634" t="s">
        <v>68</v>
      </c>
      <c r="AM771" s="1656"/>
      <c r="AN771" s="1634" t="s">
        <v>68</v>
      </c>
      <c r="AO771" s="1656"/>
      <c r="AP771" s="1634" t="s">
        <v>68</v>
      </c>
      <c r="AQ771" s="1656"/>
      <c r="AR771" s="1730"/>
      <c r="AS771" s="1731">
        <v>0</v>
      </c>
      <c r="AT771" s="1732">
        <v>0</v>
      </c>
      <c r="AU771" s="1733">
        <v>0</v>
      </c>
      <c r="AV771" s="1734" t="s">
        <v>68</v>
      </c>
      <c r="AW771" s="1653" t="s">
        <v>68</v>
      </c>
      <c r="AX771" s="1654" t="s">
        <v>68</v>
      </c>
      <c r="AY771" s="1655" t="s">
        <v>68</v>
      </c>
      <c r="AZ771" s="30" t="s">
        <v>68</v>
      </c>
      <c r="BA771" s="5"/>
      <c r="BB771" s="5"/>
      <c r="BC771" s="11"/>
      <c r="BD771" s="30" t="s">
        <v>68</v>
      </c>
      <c r="BE771" s="309"/>
      <c r="BF771" s="5"/>
      <c r="BG771" s="5"/>
      <c r="BH771" s="5"/>
      <c r="BI771" s="36"/>
      <c r="BJ771" s="1736" t="s">
        <v>68</v>
      </c>
      <c r="BK771" s="1117"/>
      <c r="BL771" s="1737" t="s">
        <v>68</v>
      </c>
      <c r="BM771" s="1738" t="s">
        <v>68</v>
      </c>
      <c r="BN771" s="1738" t="s">
        <v>68</v>
      </c>
      <c r="BO771" s="1739" t="s">
        <v>68</v>
      </c>
      <c r="BP771" s="1739" t="s">
        <v>68</v>
      </c>
      <c r="BQ771" s="1739" t="s">
        <v>68</v>
      </c>
      <c r="BR771" s="1739" t="s">
        <v>68</v>
      </c>
      <c r="BS771" s="1739" t="s">
        <v>68</v>
      </c>
      <c r="BT771" s="1739" t="s">
        <v>68</v>
      </c>
      <c r="BU771" s="1739" t="s">
        <v>68</v>
      </c>
      <c r="BV771" s="1737" t="s">
        <v>68</v>
      </c>
      <c r="BW771" s="13"/>
      <c r="BX771" s="22"/>
      <c r="BY771" s="22"/>
      <c r="BZ771" s="22"/>
      <c r="CA771" s="22"/>
      <c r="CB771" s="1222" t="s">
        <v>3944</v>
      </c>
      <c r="CC771" s="859"/>
      <c r="CD771" s="526"/>
      <c r="CE771" s="526"/>
      <c r="CF771" s="526"/>
      <c r="CG771" s="526"/>
      <c r="CH771" s="526"/>
      <c r="CI771" s="526"/>
      <c r="CJ771" s="526"/>
      <c r="CK771" s="15"/>
    </row>
    <row r="772" spans="2:89" ht="105" hidden="1" customHeight="1">
      <c r="B772" s="22"/>
      <c r="C772" s="22"/>
      <c r="D772" s="22"/>
      <c r="E772" s="911"/>
      <c r="F772" s="911"/>
      <c r="G772" s="915"/>
      <c r="H772" s="1746" t="s">
        <v>68</v>
      </c>
      <c r="I772" s="330"/>
      <c r="J772" s="169">
        <v>2024</v>
      </c>
      <c r="K772" s="1417">
        <v>242002</v>
      </c>
      <c r="L772" s="1417"/>
      <c r="M772" s="170" t="s">
        <v>166</v>
      </c>
      <c r="N772" s="178" t="s">
        <v>6569</v>
      </c>
      <c r="O772" s="172" t="s">
        <v>45</v>
      </c>
      <c r="P772" s="1461" t="s">
        <v>6624</v>
      </c>
      <c r="Q772" s="173" t="s">
        <v>4824</v>
      </c>
      <c r="R772" s="594">
        <f>20000*1.16</f>
        <v>23200</v>
      </c>
      <c r="S772" s="175">
        <v>45293</v>
      </c>
      <c r="T772" s="176">
        <v>45293</v>
      </c>
      <c r="U772" s="177">
        <v>45294</v>
      </c>
      <c r="V772" s="676"/>
      <c r="W772" s="178" t="s">
        <v>2986</v>
      </c>
      <c r="X772" s="170" t="s">
        <v>6437</v>
      </c>
      <c r="Y772" s="1723" t="s">
        <v>68</v>
      </c>
      <c r="Z772" s="1724" t="s">
        <v>68</v>
      </c>
      <c r="AA772" s="33"/>
      <c r="AB772" s="8"/>
      <c r="AC772" s="4"/>
      <c r="AD772" s="4"/>
      <c r="AE772" s="32"/>
      <c r="AF772" s="1725" t="s">
        <v>68</v>
      </c>
      <c r="AG772" s="1726" t="s">
        <v>68</v>
      </c>
      <c r="AH772" s="1726" t="s">
        <v>68</v>
      </c>
      <c r="AI772" s="1727" t="s">
        <v>68</v>
      </c>
      <c r="AJ772" s="1728" t="s">
        <v>68</v>
      </c>
      <c r="AK772" s="1729" t="s">
        <v>68</v>
      </c>
      <c r="AL772" s="1634" t="s">
        <v>68</v>
      </c>
      <c r="AM772" s="1656"/>
      <c r="AN772" s="1634" t="s">
        <v>68</v>
      </c>
      <c r="AO772" s="1656"/>
      <c r="AP772" s="1634" t="s">
        <v>68</v>
      </c>
      <c r="AQ772" s="1656"/>
      <c r="AR772" s="1730"/>
      <c r="AS772" s="1731">
        <v>0</v>
      </c>
      <c r="AT772" s="1732">
        <v>0</v>
      </c>
      <c r="AU772" s="1733">
        <v>0</v>
      </c>
      <c r="AV772" s="1734" t="s">
        <v>68</v>
      </c>
      <c r="AW772" s="1653" t="s">
        <v>68</v>
      </c>
      <c r="AX772" s="1654" t="s">
        <v>68</v>
      </c>
      <c r="AY772" s="1655" t="s">
        <v>68</v>
      </c>
      <c r="AZ772" s="30" t="s">
        <v>68</v>
      </c>
      <c r="BA772" s="5"/>
      <c r="BB772" s="5"/>
      <c r="BC772" s="11"/>
      <c r="BD772" s="30" t="s">
        <v>68</v>
      </c>
      <c r="BE772" s="309"/>
      <c r="BF772" s="5"/>
      <c r="BG772" s="5"/>
      <c r="BH772" s="5"/>
      <c r="BI772" s="36"/>
      <c r="BJ772" s="1736" t="s">
        <v>68</v>
      </c>
      <c r="BK772" s="1117"/>
      <c r="BL772" s="1737" t="s">
        <v>68</v>
      </c>
      <c r="BM772" s="1738" t="s">
        <v>68</v>
      </c>
      <c r="BN772" s="1738" t="s">
        <v>68</v>
      </c>
      <c r="BO772" s="1739" t="s">
        <v>68</v>
      </c>
      <c r="BP772" s="1739" t="s">
        <v>68</v>
      </c>
      <c r="BQ772" s="1739" t="s">
        <v>68</v>
      </c>
      <c r="BR772" s="1739" t="s">
        <v>68</v>
      </c>
      <c r="BS772" s="1739" t="s">
        <v>68</v>
      </c>
      <c r="BT772" s="1739" t="s">
        <v>68</v>
      </c>
      <c r="BU772" s="1739" t="s">
        <v>68</v>
      </c>
      <c r="BV772" s="1737" t="s">
        <v>68</v>
      </c>
      <c r="BW772" s="13"/>
      <c r="BX772" s="22"/>
      <c r="BY772" s="22"/>
      <c r="BZ772" s="22"/>
      <c r="CA772" s="22"/>
      <c r="CB772" s="1222" t="s">
        <v>3944</v>
      </c>
      <c r="CC772" s="859"/>
      <c r="CD772" s="526"/>
      <c r="CE772" s="526"/>
      <c r="CF772" s="526"/>
      <c r="CG772" s="526"/>
      <c r="CH772" s="526"/>
      <c r="CI772" s="526"/>
      <c r="CJ772" s="526"/>
      <c r="CK772" s="15"/>
    </row>
    <row r="773" spans="2:89" ht="69.75" hidden="1" customHeight="1">
      <c r="B773" s="22"/>
      <c r="C773" s="22"/>
      <c r="D773" s="22"/>
      <c r="E773" s="911"/>
      <c r="F773" s="911"/>
      <c r="G773" s="915"/>
      <c r="H773" s="1746" t="s">
        <v>68</v>
      </c>
      <c r="I773" s="330"/>
      <c r="J773" s="169">
        <v>2024</v>
      </c>
      <c r="K773" s="1417">
        <v>242003</v>
      </c>
      <c r="L773" s="1417"/>
      <c r="M773" s="170" t="s">
        <v>166</v>
      </c>
      <c r="N773" s="178" t="s">
        <v>6570</v>
      </c>
      <c r="O773" s="172" t="s">
        <v>45</v>
      </c>
      <c r="P773" s="1461" t="s">
        <v>6622</v>
      </c>
      <c r="Q773" s="173" t="s">
        <v>2538</v>
      </c>
      <c r="R773" s="594">
        <v>33325.64</v>
      </c>
      <c r="S773" s="175">
        <v>45308</v>
      </c>
      <c r="T773" s="176">
        <v>45309</v>
      </c>
      <c r="U773" s="177">
        <v>45315</v>
      </c>
      <c r="V773" s="676"/>
      <c r="W773" s="178" t="s">
        <v>4450</v>
      </c>
      <c r="X773" s="170" t="s">
        <v>6437</v>
      </c>
      <c r="Y773" s="1723" t="s">
        <v>68</v>
      </c>
      <c r="Z773" s="1724" t="s">
        <v>68</v>
      </c>
      <c r="AA773" s="33"/>
      <c r="AB773" s="8"/>
      <c r="AC773" s="4"/>
      <c r="AD773" s="4"/>
      <c r="AE773" s="32"/>
      <c r="AF773" s="1725" t="s">
        <v>68</v>
      </c>
      <c r="AG773" s="1726" t="s">
        <v>68</v>
      </c>
      <c r="AH773" s="1726" t="s">
        <v>68</v>
      </c>
      <c r="AI773" s="1727" t="s">
        <v>68</v>
      </c>
      <c r="AJ773" s="1728" t="s">
        <v>68</v>
      </c>
      <c r="AK773" s="1729" t="s">
        <v>68</v>
      </c>
      <c r="AL773" s="1634" t="s">
        <v>68</v>
      </c>
      <c r="AM773" s="1656"/>
      <c r="AN773" s="1634" t="s">
        <v>68</v>
      </c>
      <c r="AO773" s="1656"/>
      <c r="AP773" s="1634" t="s">
        <v>68</v>
      </c>
      <c r="AQ773" s="1656"/>
      <c r="AR773" s="1730"/>
      <c r="AS773" s="1731">
        <v>0</v>
      </c>
      <c r="AT773" s="1732">
        <v>0</v>
      </c>
      <c r="AU773" s="1733">
        <v>0</v>
      </c>
      <c r="AV773" s="1734" t="s">
        <v>68</v>
      </c>
      <c r="AW773" s="1653" t="s">
        <v>68</v>
      </c>
      <c r="AX773" s="1654" t="s">
        <v>68</v>
      </c>
      <c r="AY773" s="1655" t="s">
        <v>68</v>
      </c>
      <c r="AZ773" s="30" t="s">
        <v>68</v>
      </c>
      <c r="BA773" s="5"/>
      <c r="BB773" s="5"/>
      <c r="BC773" s="11"/>
      <c r="BD773" s="30" t="s">
        <v>68</v>
      </c>
      <c r="BE773" s="309"/>
      <c r="BF773" s="5"/>
      <c r="BG773" s="5"/>
      <c r="BH773" s="5"/>
      <c r="BI773" s="36"/>
      <c r="BJ773" s="1736" t="s">
        <v>68</v>
      </c>
      <c r="BK773" s="1117"/>
      <c r="BL773" s="1737" t="s">
        <v>68</v>
      </c>
      <c r="BM773" s="1738" t="s">
        <v>68</v>
      </c>
      <c r="BN773" s="1738" t="s">
        <v>68</v>
      </c>
      <c r="BO773" s="1739" t="s">
        <v>68</v>
      </c>
      <c r="BP773" s="1739" t="s">
        <v>68</v>
      </c>
      <c r="BQ773" s="1739" t="s">
        <v>68</v>
      </c>
      <c r="BR773" s="1739" t="s">
        <v>68</v>
      </c>
      <c r="BS773" s="1739" t="s">
        <v>68</v>
      </c>
      <c r="BT773" s="1739" t="s">
        <v>68</v>
      </c>
      <c r="BU773" s="1739" t="s">
        <v>68</v>
      </c>
      <c r="BV773" s="1737" t="s">
        <v>68</v>
      </c>
      <c r="BW773" s="13"/>
      <c r="BX773" s="22"/>
      <c r="BY773" s="22"/>
      <c r="BZ773" s="22"/>
      <c r="CA773" s="22"/>
      <c r="CB773" s="1222" t="s">
        <v>3944</v>
      </c>
      <c r="CC773" s="859"/>
      <c r="CD773" s="526"/>
      <c r="CE773" s="526"/>
      <c r="CF773" s="526"/>
      <c r="CG773" s="526"/>
      <c r="CH773" s="526"/>
      <c r="CI773" s="526"/>
      <c r="CJ773" s="526"/>
      <c r="CK773" s="15"/>
    </row>
    <row r="774" spans="2:89" ht="111" hidden="1" customHeight="1">
      <c r="B774" s="22"/>
      <c r="C774" s="22"/>
      <c r="D774" s="22"/>
      <c r="E774" s="911"/>
      <c r="F774" s="911"/>
      <c r="G774" s="915"/>
      <c r="H774" s="1746" t="s">
        <v>68</v>
      </c>
      <c r="I774" s="330"/>
      <c r="J774" s="169">
        <v>2024</v>
      </c>
      <c r="K774" s="1417">
        <v>242004</v>
      </c>
      <c r="L774" s="1417"/>
      <c r="M774" s="170" t="s">
        <v>166</v>
      </c>
      <c r="N774" s="178" t="s">
        <v>6571</v>
      </c>
      <c r="O774" s="172" t="s">
        <v>45</v>
      </c>
      <c r="P774" s="1461" t="s">
        <v>6625</v>
      </c>
      <c r="Q774" s="173" t="s">
        <v>1975</v>
      </c>
      <c r="R774" s="594">
        <f>22000*1.16</f>
        <v>25520</v>
      </c>
      <c r="S774" s="175">
        <v>45296</v>
      </c>
      <c r="T774" s="176">
        <v>45299</v>
      </c>
      <c r="U774" s="177">
        <v>45300</v>
      </c>
      <c r="V774" s="676"/>
      <c r="W774" s="178" t="s">
        <v>3960</v>
      </c>
      <c r="X774" s="170" t="s">
        <v>6437</v>
      </c>
      <c r="Y774" s="1723" t="s">
        <v>68</v>
      </c>
      <c r="Z774" s="1724" t="s">
        <v>68</v>
      </c>
      <c r="AA774" s="33"/>
      <c r="AB774" s="8"/>
      <c r="AC774" s="4"/>
      <c r="AD774" s="4"/>
      <c r="AE774" s="32"/>
      <c r="AF774" s="1725" t="s">
        <v>68</v>
      </c>
      <c r="AG774" s="1726" t="s">
        <v>68</v>
      </c>
      <c r="AH774" s="1726" t="s">
        <v>68</v>
      </c>
      <c r="AI774" s="1727" t="s">
        <v>68</v>
      </c>
      <c r="AJ774" s="1728" t="s">
        <v>68</v>
      </c>
      <c r="AK774" s="1729" t="s">
        <v>68</v>
      </c>
      <c r="AL774" s="1634" t="s">
        <v>68</v>
      </c>
      <c r="AM774" s="1656"/>
      <c r="AN774" s="1634" t="s">
        <v>68</v>
      </c>
      <c r="AO774" s="1656"/>
      <c r="AP774" s="1634" t="s">
        <v>68</v>
      </c>
      <c r="AQ774" s="1656"/>
      <c r="AR774" s="1730"/>
      <c r="AS774" s="1731">
        <v>0</v>
      </c>
      <c r="AT774" s="1732">
        <v>0</v>
      </c>
      <c r="AU774" s="1733">
        <v>0</v>
      </c>
      <c r="AV774" s="1734" t="s">
        <v>68</v>
      </c>
      <c r="AW774" s="1653" t="s">
        <v>68</v>
      </c>
      <c r="AX774" s="1654" t="s">
        <v>68</v>
      </c>
      <c r="AY774" s="1655" t="s">
        <v>68</v>
      </c>
      <c r="AZ774" s="30" t="s">
        <v>68</v>
      </c>
      <c r="BA774" s="5"/>
      <c r="BB774" s="5"/>
      <c r="BC774" s="11"/>
      <c r="BD774" s="30" t="s">
        <v>68</v>
      </c>
      <c r="BE774" s="309"/>
      <c r="BF774" s="5"/>
      <c r="BG774" s="5"/>
      <c r="BH774" s="5"/>
      <c r="BI774" s="36"/>
      <c r="BJ774" s="1736" t="s">
        <v>68</v>
      </c>
      <c r="BK774" s="1117"/>
      <c r="BL774" s="1737" t="s">
        <v>68</v>
      </c>
      <c r="BM774" s="1738" t="s">
        <v>68</v>
      </c>
      <c r="BN774" s="1738" t="s">
        <v>68</v>
      </c>
      <c r="BO774" s="1739" t="s">
        <v>68</v>
      </c>
      <c r="BP774" s="1739" t="s">
        <v>68</v>
      </c>
      <c r="BQ774" s="1739" t="s">
        <v>68</v>
      </c>
      <c r="BR774" s="1739" t="s">
        <v>68</v>
      </c>
      <c r="BS774" s="1739" t="s">
        <v>68</v>
      </c>
      <c r="BT774" s="1739" t="s">
        <v>68</v>
      </c>
      <c r="BU774" s="1739" t="s">
        <v>68</v>
      </c>
      <c r="BV774" s="1737" t="s">
        <v>68</v>
      </c>
      <c r="BW774" s="13"/>
      <c r="BX774" s="22"/>
      <c r="BY774" s="22"/>
      <c r="BZ774" s="22"/>
      <c r="CA774" s="22"/>
      <c r="CB774" s="1222" t="s">
        <v>3944</v>
      </c>
      <c r="CC774" s="859"/>
      <c r="CD774" s="526"/>
      <c r="CE774" s="526"/>
      <c r="CF774" s="526"/>
      <c r="CG774" s="526"/>
      <c r="CH774" s="526"/>
      <c r="CI774" s="526"/>
      <c r="CJ774" s="526"/>
      <c r="CK774" s="15"/>
    </row>
    <row r="775" spans="2:89" ht="146.25" hidden="1" customHeight="1">
      <c r="B775" s="22"/>
      <c r="C775" s="22"/>
      <c r="D775" s="22"/>
      <c r="E775" s="911"/>
      <c r="F775" s="911"/>
      <c r="G775" s="915"/>
      <c r="H775" s="1746" t="s">
        <v>68</v>
      </c>
      <c r="I775" s="330"/>
      <c r="J775" s="169">
        <v>2024</v>
      </c>
      <c r="K775" s="1417">
        <v>242005</v>
      </c>
      <c r="L775" s="1417"/>
      <c r="M775" s="170" t="s">
        <v>166</v>
      </c>
      <c r="N775" s="178" t="s">
        <v>6572</v>
      </c>
      <c r="O775" s="172" t="s">
        <v>45</v>
      </c>
      <c r="P775" s="1461" t="s">
        <v>6626</v>
      </c>
      <c r="Q775" s="173" t="s">
        <v>2577</v>
      </c>
      <c r="R775" s="594">
        <f>60000*1.16</f>
        <v>69600</v>
      </c>
      <c r="S775" s="175">
        <v>45348</v>
      </c>
      <c r="T775" s="176">
        <v>45349</v>
      </c>
      <c r="U775" s="177">
        <v>45352</v>
      </c>
      <c r="V775" s="676"/>
      <c r="W775" s="178" t="s">
        <v>2986</v>
      </c>
      <c r="X775" s="170" t="s">
        <v>6437</v>
      </c>
      <c r="Y775" s="1723" t="s">
        <v>68</v>
      </c>
      <c r="Z775" s="1724" t="s">
        <v>68</v>
      </c>
      <c r="AA775" s="33"/>
      <c r="AB775" s="8"/>
      <c r="AC775" s="4"/>
      <c r="AD775" s="4"/>
      <c r="AE775" s="32"/>
      <c r="AF775" s="1725" t="s">
        <v>68</v>
      </c>
      <c r="AG775" s="1726" t="s">
        <v>68</v>
      </c>
      <c r="AH775" s="1726" t="s">
        <v>68</v>
      </c>
      <c r="AI775" s="1727" t="s">
        <v>68</v>
      </c>
      <c r="AJ775" s="1728" t="s">
        <v>68</v>
      </c>
      <c r="AK775" s="1729" t="s">
        <v>68</v>
      </c>
      <c r="AL775" s="1634" t="s">
        <v>68</v>
      </c>
      <c r="AM775" s="1656"/>
      <c r="AN775" s="1634" t="s">
        <v>68</v>
      </c>
      <c r="AO775" s="1656"/>
      <c r="AP775" s="1634" t="s">
        <v>68</v>
      </c>
      <c r="AQ775" s="1656"/>
      <c r="AR775" s="1730"/>
      <c r="AS775" s="1731">
        <v>0</v>
      </c>
      <c r="AT775" s="1732">
        <v>0</v>
      </c>
      <c r="AU775" s="1733">
        <v>0</v>
      </c>
      <c r="AV775" s="1734" t="s">
        <v>68</v>
      </c>
      <c r="AW775" s="1653" t="s">
        <v>68</v>
      </c>
      <c r="AX775" s="1654" t="s">
        <v>68</v>
      </c>
      <c r="AY775" s="1655" t="s">
        <v>68</v>
      </c>
      <c r="AZ775" s="30" t="s">
        <v>68</v>
      </c>
      <c r="BA775" s="5"/>
      <c r="BB775" s="5"/>
      <c r="BC775" s="11"/>
      <c r="BD775" s="30" t="s">
        <v>68</v>
      </c>
      <c r="BE775" s="309"/>
      <c r="BF775" s="5"/>
      <c r="BG775" s="5"/>
      <c r="BH775" s="5"/>
      <c r="BI775" s="36"/>
      <c r="BJ775" s="1736" t="s">
        <v>68</v>
      </c>
      <c r="BK775" s="1117"/>
      <c r="BL775" s="1737" t="s">
        <v>68</v>
      </c>
      <c r="BM775" s="1738" t="s">
        <v>68</v>
      </c>
      <c r="BN775" s="1738" t="s">
        <v>68</v>
      </c>
      <c r="BO775" s="1739" t="s">
        <v>68</v>
      </c>
      <c r="BP775" s="1739" t="s">
        <v>68</v>
      </c>
      <c r="BQ775" s="1739" t="s">
        <v>68</v>
      </c>
      <c r="BR775" s="1739" t="s">
        <v>68</v>
      </c>
      <c r="BS775" s="1739" t="s">
        <v>68</v>
      </c>
      <c r="BT775" s="1739" t="s">
        <v>68</v>
      </c>
      <c r="BU775" s="1739" t="s">
        <v>68</v>
      </c>
      <c r="BV775" s="1737" t="s">
        <v>68</v>
      </c>
      <c r="BW775" s="13"/>
      <c r="BX775" s="22"/>
      <c r="BY775" s="22"/>
      <c r="BZ775" s="22"/>
      <c r="CA775" s="22"/>
      <c r="CB775" s="1222" t="s">
        <v>3944</v>
      </c>
      <c r="CC775" s="859"/>
      <c r="CD775" s="526"/>
      <c r="CE775" s="526"/>
      <c r="CF775" s="526"/>
      <c r="CG775" s="526"/>
      <c r="CH775" s="526"/>
      <c r="CI775" s="526"/>
      <c r="CJ775" s="526"/>
      <c r="CK775" s="15"/>
    </row>
    <row r="776" spans="2:89" ht="72" hidden="1" customHeight="1">
      <c r="B776" s="22"/>
      <c r="C776" s="22"/>
      <c r="D776" s="22"/>
      <c r="E776" s="911"/>
      <c r="F776" s="911"/>
      <c r="G776" s="915"/>
      <c r="H776" s="1746" t="s">
        <v>68</v>
      </c>
      <c r="I776" s="330"/>
      <c r="J776" s="169">
        <v>2024</v>
      </c>
      <c r="K776" s="1417">
        <v>242006</v>
      </c>
      <c r="L776" s="1417"/>
      <c r="M776" s="170" t="s">
        <v>166</v>
      </c>
      <c r="N776" s="178" t="s">
        <v>6573</v>
      </c>
      <c r="O776" s="172" t="s">
        <v>45</v>
      </c>
      <c r="P776" s="1461" t="s">
        <v>6627</v>
      </c>
      <c r="Q776" s="173" t="s">
        <v>1975</v>
      </c>
      <c r="R776" s="594">
        <f>7800*1.16</f>
        <v>9048</v>
      </c>
      <c r="S776" s="175">
        <v>45362</v>
      </c>
      <c r="T776" s="176">
        <v>45363</v>
      </c>
      <c r="U776" s="177">
        <v>45365</v>
      </c>
      <c r="V776" s="676"/>
      <c r="W776" s="178" t="s">
        <v>4450</v>
      </c>
      <c r="X776" s="170" t="s">
        <v>6437</v>
      </c>
      <c r="Y776" s="1723" t="s">
        <v>68</v>
      </c>
      <c r="Z776" s="1724" t="s">
        <v>68</v>
      </c>
      <c r="AA776" s="33"/>
      <c r="AB776" s="8"/>
      <c r="AC776" s="4"/>
      <c r="AD776" s="4"/>
      <c r="AE776" s="32"/>
      <c r="AF776" s="1725" t="s">
        <v>68</v>
      </c>
      <c r="AG776" s="1726" t="s">
        <v>68</v>
      </c>
      <c r="AH776" s="1726" t="s">
        <v>68</v>
      </c>
      <c r="AI776" s="1727" t="s">
        <v>68</v>
      </c>
      <c r="AJ776" s="1728" t="s">
        <v>68</v>
      </c>
      <c r="AK776" s="1729" t="s">
        <v>68</v>
      </c>
      <c r="AL776" s="1634" t="s">
        <v>68</v>
      </c>
      <c r="AM776" s="1656"/>
      <c r="AN776" s="1634" t="s">
        <v>68</v>
      </c>
      <c r="AO776" s="1656"/>
      <c r="AP776" s="1634" t="s">
        <v>68</v>
      </c>
      <c r="AQ776" s="1656"/>
      <c r="AR776" s="1730"/>
      <c r="AS776" s="1731">
        <v>0</v>
      </c>
      <c r="AT776" s="1732">
        <v>0</v>
      </c>
      <c r="AU776" s="1733">
        <v>0</v>
      </c>
      <c r="AV776" s="1734" t="s">
        <v>68</v>
      </c>
      <c r="AW776" s="1653" t="s">
        <v>68</v>
      </c>
      <c r="AX776" s="1654" t="s">
        <v>68</v>
      </c>
      <c r="AY776" s="1655" t="s">
        <v>68</v>
      </c>
      <c r="AZ776" s="30" t="s">
        <v>68</v>
      </c>
      <c r="BA776" s="5"/>
      <c r="BB776" s="5"/>
      <c r="BC776" s="11"/>
      <c r="BD776" s="30" t="s">
        <v>68</v>
      </c>
      <c r="BE776" s="309"/>
      <c r="BF776" s="5"/>
      <c r="BG776" s="5"/>
      <c r="BH776" s="5"/>
      <c r="BI776" s="36"/>
      <c r="BJ776" s="1736" t="s">
        <v>68</v>
      </c>
      <c r="BK776" s="1117"/>
      <c r="BL776" s="1737" t="s">
        <v>68</v>
      </c>
      <c r="BM776" s="1738" t="s">
        <v>68</v>
      </c>
      <c r="BN776" s="1738" t="s">
        <v>68</v>
      </c>
      <c r="BO776" s="1739" t="s">
        <v>68</v>
      </c>
      <c r="BP776" s="1739" t="s">
        <v>68</v>
      </c>
      <c r="BQ776" s="1739" t="s">
        <v>68</v>
      </c>
      <c r="BR776" s="1739" t="s">
        <v>68</v>
      </c>
      <c r="BS776" s="1739" t="s">
        <v>68</v>
      </c>
      <c r="BT776" s="1739" t="s">
        <v>68</v>
      </c>
      <c r="BU776" s="1739" t="s">
        <v>68</v>
      </c>
      <c r="BV776" s="1737" t="s">
        <v>68</v>
      </c>
      <c r="BW776" s="13"/>
      <c r="BX776" s="22"/>
      <c r="BY776" s="22"/>
      <c r="BZ776" s="22"/>
      <c r="CA776" s="22"/>
      <c r="CB776" s="1222" t="s">
        <v>3944</v>
      </c>
      <c r="CC776" s="859"/>
      <c r="CD776" s="526"/>
      <c r="CE776" s="526"/>
      <c r="CF776" s="526"/>
      <c r="CG776" s="526"/>
      <c r="CH776" s="526"/>
      <c r="CI776" s="526"/>
      <c r="CJ776" s="526"/>
      <c r="CK776" s="15"/>
    </row>
    <row r="777" spans="2:89" ht="217.5" hidden="1" customHeight="1">
      <c r="B777" s="22"/>
      <c r="C777" s="22"/>
      <c r="D777" s="22"/>
      <c r="E777" s="911"/>
      <c r="F777" s="911"/>
      <c r="G777" s="915"/>
      <c r="H777" s="1746" t="s">
        <v>68</v>
      </c>
      <c r="I777" s="330"/>
      <c r="J777" s="169">
        <v>2024</v>
      </c>
      <c r="K777" s="1417">
        <v>242007</v>
      </c>
      <c r="L777" s="1417"/>
      <c r="M777" s="170" t="s">
        <v>166</v>
      </c>
      <c r="N777" s="178" t="s">
        <v>6574</v>
      </c>
      <c r="O777" s="172" t="s">
        <v>45</v>
      </c>
      <c r="P777" s="1461" t="s">
        <v>6628</v>
      </c>
      <c r="Q777" s="173" t="s">
        <v>6638</v>
      </c>
      <c r="R777" s="594">
        <f>5000*1.16</f>
        <v>5800</v>
      </c>
      <c r="S777" s="175">
        <v>45363</v>
      </c>
      <c r="T777" s="176">
        <v>45365</v>
      </c>
      <c r="U777" s="177">
        <v>45365</v>
      </c>
      <c r="V777" s="676"/>
      <c r="W777" s="178" t="s">
        <v>6629</v>
      </c>
      <c r="X777" s="170" t="s">
        <v>6437</v>
      </c>
      <c r="Y777" s="1723" t="s">
        <v>68</v>
      </c>
      <c r="Z777" s="1724" t="s">
        <v>68</v>
      </c>
      <c r="AA777" s="33"/>
      <c r="AB777" s="8"/>
      <c r="AC777" s="4"/>
      <c r="AD777" s="4"/>
      <c r="AE777" s="32"/>
      <c r="AF777" s="1725" t="s">
        <v>68</v>
      </c>
      <c r="AG777" s="1726" t="s">
        <v>68</v>
      </c>
      <c r="AH777" s="1726" t="s">
        <v>68</v>
      </c>
      <c r="AI777" s="1727" t="s">
        <v>68</v>
      </c>
      <c r="AJ777" s="1728" t="s">
        <v>68</v>
      </c>
      <c r="AK777" s="1729" t="s">
        <v>68</v>
      </c>
      <c r="AL777" s="1634" t="s">
        <v>68</v>
      </c>
      <c r="AM777" s="1656"/>
      <c r="AN777" s="1634" t="s">
        <v>68</v>
      </c>
      <c r="AO777" s="1656"/>
      <c r="AP777" s="1634" t="s">
        <v>68</v>
      </c>
      <c r="AQ777" s="1656"/>
      <c r="AR777" s="1730"/>
      <c r="AS777" s="1731">
        <v>0</v>
      </c>
      <c r="AT777" s="1732">
        <v>0</v>
      </c>
      <c r="AU777" s="1733">
        <v>0</v>
      </c>
      <c r="AV777" s="1734" t="s">
        <v>68</v>
      </c>
      <c r="AW777" s="1653" t="s">
        <v>68</v>
      </c>
      <c r="AX777" s="1654" t="s">
        <v>68</v>
      </c>
      <c r="AY777" s="1655" t="s">
        <v>68</v>
      </c>
      <c r="AZ777" s="30" t="s">
        <v>68</v>
      </c>
      <c r="BA777" s="5"/>
      <c r="BB777" s="5"/>
      <c r="BC777" s="11"/>
      <c r="BD777" s="30" t="s">
        <v>68</v>
      </c>
      <c r="BE777" s="309"/>
      <c r="BF777" s="5"/>
      <c r="BG777" s="5"/>
      <c r="BH777" s="5"/>
      <c r="BI777" s="36"/>
      <c r="BJ777" s="1736" t="s">
        <v>68</v>
      </c>
      <c r="BK777" s="1117"/>
      <c r="BL777" s="1737" t="s">
        <v>68</v>
      </c>
      <c r="BM777" s="1738" t="s">
        <v>68</v>
      </c>
      <c r="BN777" s="1738" t="s">
        <v>68</v>
      </c>
      <c r="BO777" s="1739" t="s">
        <v>68</v>
      </c>
      <c r="BP777" s="1739" t="s">
        <v>68</v>
      </c>
      <c r="BQ777" s="1739" t="s">
        <v>68</v>
      </c>
      <c r="BR777" s="1739" t="s">
        <v>68</v>
      </c>
      <c r="BS777" s="1739" t="s">
        <v>68</v>
      </c>
      <c r="BT777" s="1739" t="s">
        <v>68</v>
      </c>
      <c r="BU777" s="1739" t="s">
        <v>68</v>
      </c>
      <c r="BV777" s="1737" t="s">
        <v>68</v>
      </c>
      <c r="BW777" s="13"/>
      <c r="BX777" s="22"/>
      <c r="BY777" s="22"/>
      <c r="BZ777" s="22"/>
      <c r="CA777" s="22"/>
      <c r="CB777" s="1222" t="s">
        <v>3944</v>
      </c>
      <c r="CC777" s="859"/>
      <c r="CD777" s="526"/>
      <c r="CE777" s="526"/>
      <c r="CF777" s="526"/>
      <c r="CG777" s="526"/>
      <c r="CH777" s="526"/>
      <c r="CI777" s="526"/>
      <c r="CJ777" s="526"/>
      <c r="CK777" s="15"/>
    </row>
    <row r="778" spans="2:89" ht="128.25" hidden="1" customHeight="1">
      <c r="B778" s="22"/>
      <c r="C778" s="22"/>
      <c r="D778" s="22"/>
      <c r="E778" s="911"/>
      <c r="F778" s="911"/>
      <c r="G778" s="915"/>
      <c r="H778" s="1746" t="s">
        <v>68</v>
      </c>
      <c r="I778" s="330"/>
      <c r="J778" s="169">
        <v>2024</v>
      </c>
      <c r="K778" s="1417">
        <v>242008</v>
      </c>
      <c r="L778" s="1417"/>
      <c r="M778" s="170" t="s">
        <v>166</v>
      </c>
      <c r="N778" s="178" t="s">
        <v>6575</v>
      </c>
      <c r="O778" s="172" t="s">
        <v>45</v>
      </c>
      <c r="P778" s="1461" t="s">
        <v>6630</v>
      </c>
      <c r="Q778" s="173" t="s">
        <v>4410</v>
      </c>
      <c r="R778" s="594">
        <f>66850*1.16</f>
        <v>77546</v>
      </c>
      <c r="S778" s="175">
        <v>45362</v>
      </c>
      <c r="T778" s="176">
        <v>45363</v>
      </c>
      <c r="U778" s="177">
        <v>45364</v>
      </c>
      <c r="V778" s="676"/>
      <c r="W778" s="178" t="s">
        <v>3960</v>
      </c>
      <c r="X778" s="170" t="s">
        <v>6437</v>
      </c>
      <c r="Y778" s="1723" t="s">
        <v>68</v>
      </c>
      <c r="Z778" s="1724" t="s">
        <v>68</v>
      </c>
      <c r="AA778" s="33"/>
      <c r="AB778" s="8"/>
      <c r="AC778" s="4"/>
      <c r="AD778" s="4"/>
      <c r="AE778" s="32"/>
      <c r="AF778" s="1725" t="s">
        <v>68</v>
      </c>
      <c r="AG778" s="1726" t="s">
        <v>68</v>
      </c>
      <c r="AH778" s="1726" t="s">
        <v>68</v>
      </c>
      <c r="AI778" s="1727" t="s">
        <v>68</v>
      </c>
      <c r="AJ778" s="1728" t="s">
        <v>68</v>
      </c>
      <c r="AK778" s="1729" t="s">
        <v>68</v>
      </c>
      <c r="AL778" s="1634" t="s">
        <v>68</v>
      </c>
      <c r="AM778" s="1656"/>
      <c r="AN778" s="1634" t="s">
        <v>68</v>
      </c>
      <c r="AO778" s="1656"/>
      <c r="AP778" s="1634" t="s">
        <v>68</v>
      </c>
      <c r="AQ778" s="1656"/>
      <c r="AR778" s="1730"/>
      <c r="AS778" s="1731">
        <v>0</v>
      </c>
      <c r="AT778" s="1732">
        <v>0</v>
      </c>
      <c r="AU778" s="1733">
        <v>0</v>
      </c>
      <c r="AV778" s="1734" t="s">
        <v>68</v>
      </c>
      <c r="AW778" s="1653" t="s">
        <v>68</v>
      </c>
      <c r="AX778" s="1654" t="s">
        <v>68</v>
      </c>
      <c r="AY778" s="1655" t="s">
        <v>68</v>
      </c>
      <c r="AZ778" s="30" t="s">
        <v>68</v>
      </c>
      <c r="BA778" s="5"/>
      <c r="BB778" s="5"/>
      <c r="BC778" s="11"/>
      <c r="BD778" s="30" t="s">
        <v>68</v>
      </c>
      <c r="BE778" s="309"/>
      <c r="BF778" s="5"/>
      <c r="BG778" s="5"/>
      <c r="BH778" s="5"/>
      <c r="BI778" s="36"/>
      <c r="BJ778" s="1736" t="s">
        <v>68</v>
      </c>
      <c r="BK778" s="1117"/>
      <c r="BL778" s="1737" t="s">
        <v>68</v>
      </c>
      <c r="BM778" s="1738" t="s">
        <v>68</v>
      </c>
      <c r="BN778" s="1738" t="s">
        <v>68</v>
      </c>
      <c r="BO778" s="1739" t="s">
        <v>68</v>
      </c>
      <c r="BP778" s="1739" t="s">
        <v>68</v>
      </c>
      <c r="BQ778" s="1739" t="s">
        <v>68</v>
      </c>
      <c r="BR778" s="1739" t="s">
        <v>68</v>
      </c>
      <c r="BS778" s="1739" t="s">
        <v>68</v>
      </c>
      <c r="BT778" s="1739" t="s">
        <v>68</v>
      </c>
      <c r="BU778" s="1739" t="s">
        <v>68</v>
      </c>
      <c r="BV778" s="1737" t="s">
        <v>68</v>
      </c>
      <c r="BW778" s="13"/>
      <c r="BX778" s="22"/>
      <c r="BY778" s="22"/>
      <c r="BZ778" s="22"/>
      <c r="CA778" s="22"/>
      <c r="CB778" s="1222" t="s">
        <v>3944</v>
      </c>
      <c r="CC778" s="859"/>
      <c r="CD778" s="526"/>
      <c r="CE778" s="526"/>
      <c r="CF778" s="526"/>
      <c r="CG778" s="526"/>
      <c r="CH778" s="526"/>
      <c r="CI778" s="526"/>
      <c r="CJ778" s="526"/>
      <c r="CK778" s="15"/>
    </row>
    <row r="779" spans="2:89" ht="93.75" hidden="1" customHeight="1">
      <c r="B779" s="22"/>
      <c r="C779" s="22"/>
      <c r="D779" s="22"/>
      <c r="E779" s="911"/>
      <c r="F779" s="911"/>
      <c r="G779" s="915"/>
      <c r="H779" s="1746" t="s">
        <v>68</v>
      </c>
      <c r="I779" s="330"/>
      <c r="J779" s="169">
        <v>2024</v>
      </c>
      <c r="K779" s="1417">
        <v>242009</v>
      </c>
      <c r="L779" s="1417"/>
      <c r="M779" s="170" t="s">
        <v>166</v>
      </c>
      <c r="N779" s="178" t="s">
        <v>6576</v>
      </c>
      <c r="O779" s="172" t="s">
        <v>45</v>
      </c>
      <c r="P779" s="1461" t="s">
        <v>6700</v>
      </c>
      <c r="Q779" s="173" t="s">
        <v>4410</v>
      </c>
      <c r="R779" s="594">
        <f>53000*1.16</f>
        <v>61479.999999999993</v>
      </c>
      <c r="S779" s="590">
        <v>45369</v>
      </c>
      <c r="T779" s="176">
        <v>45370</v>
      </c>
      <c r="U779" s="177">
        <v>45372</v>
      </c>
      <c r="V779" s="676"/>
      <c r="W779" s="178" t="s">
        <v>739</v>
      </c>
      <c r="X779" s="170" t="s">
        <v>6437</v>
      </c>
      <c r="Y779" s="1723" t="s">
        <v>68</v>
      </c>
      <c r="Z779" s="1724" t="s">
        <v>68</v>
      </c>
      <c r="AA779" s="33"/>
      <c r="AB779" s="8"/>
      <c r="AC779" s="4"/>
      <c r="AD779" s="4"/>
      <c r="AE779" s="32"/>
      <c r="AF779" s="1725" t="s">
        <v>68</v>
      </c>
      <c r="AG779" s="1726" t="s">
        <v>68</v>
      </c>
      <c r="AH779" s="1726" t="s">
        <v>68</v>
      </c>
      <c r="AI779" s="1727" t="s">
        <v>68</v>
      </c>
      <c r="AJ779" s="1728" t="s">
        <v>68</v>
      </c>
      <c r="AK779" s="1729" t="s">
        <v>68</v>
      </c>
      <c r="AL779" s="1634" t="s">
        <v>68</v>
      </c>
      <c r="AM779" s="1656"/>
      <c r="AN779" s="1634" t="s">
        <v>68</v>
      </c>
      <c r="AO779" s="1656"/>
      <c r="AP779" s="1634" t="s">
        <v>68</v>
      </c>
      <c r="AQ779" s="1656"/>
      <c r="AR779" s="1730"/>
      <c r="AS779" s="1731">
        <v>0</v>
      </c>
      <c r="AT779" s="1732">
        <v>0</v>
      </c>
      <c r="AU779" s="1733">
        <v>0</v>
      </c>
      <c r="AV779" s="1734" t="s">
        <v>68</v>
      </c>
      <c r="AW779" s="1653" t="s">
        <v>68</v>
      </c>
      <c r="AX779" s="1654" t="s">
        <v>68</v>
      </c>
      <c r="AY779" s="1655" t="s">
        <v>68</v>
      </c>
      <c r="AZ779" s="30" t="s">
        <v>68</v>
      </c>
      <c r="BA779" s="5"/>
      <c r="BB779" s="5"/>
      <c r="BC779" s="11"/>
      <c r="BD779" s="30" t="s">
        <v>68</v>
      </c>
      <c r="BE779" s="309"/>
      <c r="BF779" s="5"/>
      <c r="BG779" s="5"/>
      <c r="BH779" s="5"/>
      <c r="BI779" s="36"/>
      <c r="BJ779" s="1736" t="s">
        <v>68</v>
      </c>
      <c r="BK779" s="1117"/>
      <c r="BL779" s="1737" t="s">
        <v>68</v>
      </c>
      <c r="BM779" s="1738" t="s">
        <v>68</v>
      </c>
      <c r="BN779" s="1738" t="s">
        <v>68</v>
      </c>
      <c r="BO779" s="1739" t="s">
        <v>68</v>
      </c>
      <c r="BP779" s="1739" t="s">
        <v>68</v>
      </c>
      <c r="BQ779" s="1739" t="s">
        <v>68</v>
      </c>
      <c r="BR779" s="1739" t="s">
        <v>68</v>
      </c>
      <c r="BS779" s="1739" t="s">
        <v>68</v>
      </c>
      <c r="BT779" s="1739" t="s">
        <v>68</v>
      </c>
      <c r="BU779" s="1739" t="s">
        <v>68</v>
      </c>
      <c r="BV779" s="1737" t="s">
        <v>68</v>
      </c>
      <c r="BW779" s="13"/>
      <c r="BX779" s="22"/>
      <c r="BY779" s="22"/>
      <c r="BZ779" s="22"/>
      <c r="CA779" s="22"/>
      <c r="CB779" s="1222" t="s">
        <v>3944</v>
      </c>
      <c r="CC779" s="859"/>
      <c r="CD779" s="526"/>
      <c r="CE779" s="526"/>
      <c r="CF779" s="526"/>
      <c r="CG779" s="526"/>
      <c r="CH779" s="526"/>
      <c r="CI779" s="526"/>
      <c r="CJ779" s="526"/>
      <c r="CK779" s="15"/>
    </row>
    <row r="780" spans="2:89" ht="86.25" hidden="1" customHeight="1">
      <c r="B780" s="22"/>
      <c r="C780" s="22"/>
      <c r="D780" s="22"/>
      <c r="E780" s="911"/>
      <c r="F780" s="911"/>
      <c r="G780" s="915"/>
      <c r="H780" s="1746" t="s">
        <v>68</v>
      </c>
      <c r="I780" s="330"/>
      <c r="J780" s="169">
        <v>2024</v>
      </c>
      <c r="K780" s="1417">
        <v>242010</v>
      </c>
      <c r="L780" s="1417"/>
      <c r="M780" s="170" t="s">
        <v>166</v>
      </c>
      <c r="N780" s="178" t="s">
        <v>6577</v>
      </c>
      <c r="O780" s="172" t="s">
        <v>45</v>
      </c>
      <c r="P780" s="1461" t="s">
        <v>6631</v>
      </c>
      <c r="Q780" s="173" t="s">
        <v>4409</v>
      </c>
      <c r="R780" s="594">
        <f>41313*1.16</f>
        <v>47923.079999999994</v>
      </c>
      <c r="S780" s="590">
        <v>45370</v>
      </c>
      <c r="T780" s="176">
        <v>45372</v>
      </c>
      <c r="U780" s="177">
        <v>45376</v>
      </c>
      <c r="V780" s="676"/>
      <c r="W780" s="178" t="s">
        <v>6632</v>
      </c>
      <c r="X780" s="170" t="s">
        <v>6437</v>
      </c>
      <c r="Y780" s="1723" t="s">
        <v>68</v>
      </c>
      <c r="Z780" s="1724" t="s">
        <v>68</v>
      </c>
      <c r="AA780" s="33"/>
      <c r="AB780" s="8"/>
      <c r="AC780" s="4"/>
      <c r="AD780" s="4"/>
      <c r="AE780" s="32"/>
      <c r="AF780" s="1725" t="s">
        <v>68</v>
      </c>
      <c r="AG780" s="1726" t="s">
        <v>68</v>
      </c>
      <c r="AH780" s="1726" t="s">
        <v>68</v>
      </c>
      <c r="AI780" s="1727" t="s">
        <v>68</v>
      </c>
      <c r="AJ780" s="1728" t="s">
        <v>68</v>
      </c>
      <c r="AK780" s="1729" t="s">
        <v>68</v>
      </c>
      <c r="AL780" s="1634" t="s">
        <v>68</v>
      </c>
      <c r="AM780" s="1656"/>
      <c r="AN780" s="1634" t="s">
        <v>68</v>
      </c>
      <c r="AO780" s="1656"/>
      <c r="AP780" s="1634" t="s">
        <v>68</v>
      </c>
      <c r="AQ780" s="1656"/>
      <c r="AR780" s="1730"/>
      <c r="AS780" s="1731">
        <v>0</v>
      </c>
      <c r="AT780" s="1732">
        <v>0</v>
      </c>
      <c r="AU780" s="1733">
        <v>0</v>
      </c>
      <c r="AV780" s="1734" t="s">
        <v>68</v>
      </c>
      <c r="AW780" s="1653" t="s">
        <v>68</v>
      </c>
      <c r="AX780" s="1654" t="s">
        <v>68</v>
      </c>
      <c r="AY780" s="1655" t="s">
        <v>68</v>
      </c>
      <c r="AZ780" s="30" t="s">
        <v>68</v>
      </c>
      <c r="BA780" s="5"/>
      <c r="BB780" s="5"/>
      <c r="BC780" s="11"/>
      <c r="BD780" s="30" t="s">
        <v>68</v>
      </c>
      <c r="BE780" s="309"/>
      <c r="BF780" s="5"/>
      <c r="BG780" s="5"/>
      <c r="BH780" s="5"/>
      <c r="BI780" s="36"/>
      <c r="BJ780" s="1736" t="s">
        <v>68</v>
      </c>
      <c r="BK780" s="1117"/>
      <c r="BL780" s="1737" t="s">
        <v>68</v>
      </c>
      <c r="BM780" s="1738" t="s">
        <v>68</v>
      </c>
      <c r="BN780" s="1738" t="s">
        <v>68</v>
      </c>
      <c r="BO780" s="1739" t="s">
        <v>68</v>
      </c>
      <c r="BP780" s="1739" t="s">
        <v>68</v>
      </c>
      <c r="BQ780" s="1739" t="s">
        <v>68</v>
      </c>
      <c r="BR780" s="1739" t="s">
        <v>68</v>
      </c>
      <c r="BS780" s="1739" t="s">
        <v>68</v>
      </c>
      <c r="BT780" s="1739" t="s">
        <v>68</v>
      </c>
      <c r="BU780" s="1739" t="s">
        <v>68</v>
      </c>
      <c r="BV780" s="1737" t="s">
        <v>68</v>
      </c>
      <c r="BW780" s="13"/>
      <c r="BX780" s="22"/>
      <c r="BY780" s="22"/>
      <c r="BZ780" s="22"/>
      <c r="CA780" s="22"/>
      <c r="CB780" s="1222" t="s">
        <v>3944</v>
      </c>
      <c r="CC780" s="859"/>
      <c r="CD780" s="526"/>
      <c r="CE780" s="526"/>
      <c r="CF780" s="526"/>
      <c r="CG780" s="526"/>
      <c r="CH780" s="526"/>
      <c r="CI780" s="526"/>
      <c r="CJ780" s="526"/>
      <c r="CK780" s="15"/>
    </row>
    <row r="781" spans="2:89" ht="213" hidden="1" customHeight="1">
      <c r="B781" s="22"/>
      <c r="C781" s="22"/>
      <c r="D781" s="22"/>
      <c r="E781" s="911"/>
      <c r="F781" s="911"/>
      <c r="G781" s="915"/>
      <c r="H781" s="1746"/>
      <c r="I781" s="330"/>
      <c r="J781" s="169">
        <v>2024</v>
      </c>
      <c r="K781" s="1417">
        <v>242010</v>
      </c>
      <c r="L781" s="1417"/>
      <c r="M781" s="170" t="s">
        <v>166</v>
      </c>
      <c r="N781" s="178" t="s">
        <v>6578</v>
      </c>
      <c r="O781" s="172" t="s">
        <v>45</v>
      </c>
      <c r="P781" s="1461" t="s">
        <v>6633</v>
      </c>
      <c r="Q781" s="173" t="s">
        <v>2538</v>
      </c>
      <c r="R781" s="594">
        <f>83800*1.16</f>
        <v>97208</v>
      </c>
      <c r="S781" s="590">
        <v>45383</v>
      </c>
      <c r="T781" s="176">
        <v>45384</v>
      </c>
      <c r="U781" s="177">
        <v>45386</v>
      </c>
      <c r="V781" s="676"/>
      <c r="W781" s="178" t="s">
        <v>3960</v>
      </c>
      <c r="X781" s="170" t="s">
        <v>6437</v>
      </c>
      <c r="Y781" s="1723" t="s">
        <v>68</v>
      </c>
      <c r="Z781" s="1724" t="s">
        <v>68</v>
      </c>
      <c r="AA781" s="33"/>
      <c r="AB781" s="8"/>
      <c r="AC781" s="4"/>
      <c r="AD781" s="4"/>
      <c r="AE781" s="32"/>
      <c r="AF781" s="1725" t="s">
        <v>68</v>
      </c>
      <c r="AG781" s="1726" t="s">
        <v>68</v>
      </c>
      <c r="AH781" s="1726" t="s">
        <v>68</v>
      </c>
      <c r="AI781" s="1727" t="s">
        <v>68</v>
      </c>
      <c r="AJ781" s="1728" t="s">
        <v>68</v>
      </c>
      <c r="AK781" s="1729" t="s">
        <v>68</v>
      </c>
      <c r="AL781" s="1634" t="s">
        <v>68</v>
      </c>
      <c r="AM781" s="1656"/>
      <c r="AN781" s="1634" t="s">
        <v>68</v>
      </c>
      <c r="AO781" s="1656"/>
      <c r="AP781" s="1634" t="s">
        <v>68</v>
      </c>
      <c r="AQ781" s="1656"/>
      <c r="AR781" s="1730"/>
      <c r="AS781" s="1731">
        <v>0</v>
      </c>
      <c r="AT781" s="1732">
        <v>0</v>
      </c>
      <c r="AU781" s="1733">
        <v>0</v>
      </c>
      <c r="AV781" s="1734" t="s">
        <v>68</v>
      </c>
      <c r="AW781" s="1653" t="s">
        <v>68</v>
      </c>
      <c r="AX781" s="1654" t="s">
        <v>68</v>
      </c>
      <c r="AY781" s="1655" t="s">
        <v>68</v>
      </c>
      <c r="AZ781" s="30" t="s">
        <v>68</v>
      </c>
      <c r="BA781" s="5"/>
      <c r="BB781" s="5"/>
      <c r="BC781" s="11"/>
      <c r="BD781" s="30" t="s">
        <v>68</v>
      </c>
      <c r="BE781" s="309"/>
      <c r="BF781" s="5"/>
      <c r="BG781" s="5"/>
      <c r="BH781" s="5"/>
      <c r="BI781" s="36"/>
      <c r="BJ781" s="1736" t="s">
        <v>68</v>
      </c>
      <c r="BK781" s="1117"/>
      <c r="BL781" s="1737" t="s">
        <v>68</v>
      </c>
      <c r="BM781" s="1738" t="s">
        <v>68</v>
      </c>
      <c r="BN781" s="1738" t="s">
        <v>68</v>
      </c>
      <c r="BO781" s="1739" t="s">
        <v>68</v>
      </c>
      <c r="BP781" s="1739" t="s">
        <v>68</v>
      </c>
      <c r="BQ781" s="1739" t="s">
        <v>68</v>
      </c>
      <c r="BR781" s="1739" t="s">
        <v>68</v>
      </c>
      <c r="BS781" s="1739" t="s">
        <v>68</v>
      </c>
      <c r="BT781" s="1739" t="s">
        <v>68</v>
      </c>
      <c r="BU781" s="1739" t="s">
        <v>68</v>
      </c>
      <c r="BV781" s="1737" t="s">
        <v>68</v>
      </c>
      <c r="BW781" s="13"/>
      <c r="BX781" s="22"/>
      <c r="BY781" s="22"/>
      <c r="BZ781" s="22"/>
      <c r="CA781" s="22"/>
      <c r="CB781" s="1222" t="s">
        <v>3944</v>
      </c>
      <c r="CC781" s="859"/>
      <c r="CD781" s="526"/>
      <c r="CE781" s="526"/>
      <c r="CF781" s="526"/>
      <c r="CG781" s="526"/>
      <c r="CH781" s="526"/>
      <c r="CI781" s="526"/>
      <c r="CJ781" s="526"/>
      <c r="CK781" s="15"/>
    </row>
    <row r="782" spans="2:89" ht="60.75" hidden="1" customHeight="1">
      <c r="B782" s="22"/>
      <c r="C782" s="22"/>
      <c r="D782" s="22"/>
      <c r="E782" s="911"/>
      <c r="F782" s="911"/>
      <c r="G782" s="915"/>
      <c r="H782" s="1746"/>
      <c r="I782" s="330"/>
      <c r="J782" s="169">
        <v>2024</v>
      </c>
      <c r="K782" s="1417">
        <v>242010</v>
      </c>
      <c r="L782" s="1417"/>
      <c r="M782" s="170" t="s">
        <v>166</v>
      </c>
      <c r="N782" s="178" t="s">
        <v>6579</v>
      </c>
      <c r="O782" s="172" t="s">
        <v>45</v>
      </c>
      <c r="P782" s="1461" t="s">
        <v>6691</v>
      </c>
      <c r="Q782" s="173" t="s">
        <v>1975</v>
      </c>
      <c r="R782" s="594">
        <f>174092.8</f>
        <v>174092.79999999999</v>
      </c>
      <c r="S782" s="590">
        <v>45400</v>
      </c>
      <c r="T782" s="176">
        <v>45404</v>
      </c>
      <c r="U782" s="177">
        <v>45408</v>
      </c>
      <c r="V782" s="676"/>
      <c r="W782" s="178" t="s">
        <v>6634</v>
      </c>
      <c r="X782" s="170" t="s">
        <v>6437</v>
      </c>
      <c r="Y782" s="1723" t="s">
        <v>68</v>
      </c>
      <c r="Z782" s="1724" t="s">
        <v>68</v>
      </c>
      <c r="AA782" s="33"/>
      <c r="AB782" s="8"/>
      <c r="AC782" s="4"/>
      <c r="AD782" s="4"/>
      <c r="AE782" s="32"/>
      <c r="AF782" s="1725" t="s">
        <v>68</v>
      </c>
      <c r="AG782" s="1726" t="s">
        <v>68</v>
      </c>
      <c r="AH782" s="1726" t="s">
        <v>68</v>
      </c>
      <c r="AI782" s="1727" t="s">
        <v>68</v>
      </c>
      <c r="AJ782" s="1728" t="s">
        <v>68</v>
      </c>
      <c r="AK782" s="1729" t="s">
        <v>68</v>
      </c>
      <c r="AL782" s="1634" t="s">
        <v>68</v>
      </c>
      <c r="AM782" s="1656"/>
      <c r="AN782" s="1634" t="s">
        <v>68</v>
      </c>
      <c r="AO782" s="1656"/>
      <c r="AP782" s="1634" t="s">
        <v>68</v>
      </c>
      <c r="AQ782" s="1656"/>
      <c r="AR782" s="1730"/>
      <c r="AS782" s="1731">
        <v>0</v>
      </c>
      <c r="AT782" s="1732">
        <v>0</v>
      </c>
      <c r="AU782" s="1733">
        <v>0</v>
      </c>
      <c r="AV782" s="1734" t="s">
        <v>68</v>
      </c>
      <c r="AW782" s="1653" t="s">
        <v>68</v>
      </c>
      <c r="AX782" s="1654" t="s">
        <v>68</v>
      </c>
      <c r="AY782" s="1655" t="s">
        <v>68</v>
      </c>
      <c r="AZ782" s="30" t="s">
        <v>68</v>
      </c>
      <c r="BA782" s="5"/>
      <c r="BB782" s="5"/>
      <c r="BC782" s="11"/>
      <c r="BD782" s="30" t="s">
        <v>68</v>
      </c>
      <c r="BE782" s="309"/>
      <c r="BF782" s="5"/>
      <c r="BG782" s="5"/>
      <c r="BH782" s="5"/>
      <c r="BI782" s="36"/>
      <c r="BJ782" s="1736" t="s">
        <v>68</v>
      </c>
      <c r="BK782" s="1117"/>
      <c r="BL782" s="1737" t="s">
        <v>68</v>
      </c>
      <c r="BM782" s="1738" t="s">
        <v>68</v>
      </c>
      <c r="BN782" s="1738" t="s">
        <v>68</v>
      </c>
      <c r="BO782" s="1739" t="s">
        <v>68</v>
      </c>
      <c r="BP782" s="1739" t="s">
        <v>68</v>
      </c>
      <c r="BQ782" s="1739" t="s">
        <v>68</v>
      </c>
      <c r="BR782" s="1739" t="s">
        <v>68</v>
      </c>
      <c r="BS782" s="1739" t="s">
        <v>68</v>
      </c>
      <c r="BT782" s="1739" t="s">
        <v>68</v>
      </c>
      <c r="BU782" s="1739" t="s">
        <v>68</v>
      </c>
      <c r="BV782" s="1737" t="s">
        <v>68</v>
      </c>
      <c r="BW782" s="13"/>
      <c r="BX782" s="22"/>
      <c r="BY782" s="22"/>
      <c r="BZ782" s="22"/>
      <c r="CA782" s="22"/>
      <c r="CB782" s="1222" t="s">
        <v>3944</v>
      </c>
      <c r="CC782" s="859"/>
      <c r="CD782" s="526"/>
      <c r="CE782" s="526"/>
      <c r="CF782" s="526"/>
      <c r="CG782" s="526"/>
      <c r="CH782" s="526"/>
      <c r="CI782" s="526"/>
      <c r="CJ782" s="526"/>
      <c r="CK782" s="15"/>
    </row>
    <row r="783" spans="2:89" ht="153" hidden="1" customHeight="1">
      <c r="B783" s="22"/>
      <c r="C783" s="22"/>
      <c r="D783" s="22"/>
      <c r="E783" s="911"/>
      <c r="F783" s="911"/>
      <c r="G783" s="915"/>
      <c r="H783" s="1746"/>
      <c r="I783" s="330"/>
      <c r="J783" s="169">
        <v>2024</v>
      </c>
      <c r="K783" s="1417">
        <v>242010</v>
      </c>
      <c r="L783" s="1417"/>
      <c r="M783" s="170" t="s">
        <v>166</v>
      </c>
      <c r="N783" s="178" t="s">
        <v>6580</v>
      </c>
      <c r="O783" s="172" t="s">
        <v>45</v>
      </c>
      <c r="P783" s="1461" t="s">
        <v>6635</v>
      </c>
      <c r="Q783" s="173" t="s">
        <v>6641</v>
      </c>
      <c r="R783" s="594">
        <f>5500*1.16</f>
        <v>6380</v>
      </c>
      <c r="S783" s="590">
        <v>45399</v>
      </c>
      <c r="T783" s="176">
        <v>45400</v>
      </c>
      <c r="U783" s="177">
        <v>45401</v>
      </c>
      <c r="V783" s="676"/>
      <c r="W783" s="178" t="s">
        <v>4362</v>
      </c>
      <c r="X783" s="170" t="s">
        <v>6437</v>
      </c>
      <c r="Y783" s="1723" t="s">
        <v>68</v>
      </c>
      <c r="Z783" s="1724" t="s">
        <v>68</v>
      </c>
      <c r="AA783" s="33"/>
      <c r="AB783" s="8"/>
      <c r="AC783" s="4"/>
      <c r="AD783" s="4"/>
      <c r="AE783" s="32"/>
      <c r="AF783" s="1725" t="s">
        <v>68</v>
      </c>
      <c r="AG783" s="1726" t="s">
        <v>68</v>
      </c>
      <c r="AH783" s="1726" t="s">
        <v>68</v>
      </c>
      <c r="AI783" s="1727" t="s">
        <v>68</v>
      </c>
      <c r="AJ783" s="1728" t="s">
        <v>68</v>
      </c>
      <c r="AK783" s="1729" t="s">
        <v>68</v>
      </c>
      <c r="AL783" s="1634" t="s">
        <v>68</v>
      </c>
      <c r="AM783" s="1656"/>
      <c r="AN783" s="1634" t="s">
        <v>68</v>
      </c>
      <c r="AO783" s="1656"/>
      <c r="AP783" s="1634" t="s">
        <v>68</v>
      </c>
      <c r="AQ783" s="1656"/>
      <c r="AR783" s="1730"/>
      <c r="AS783" s="1731">
        <v>0</v>
      </c>
      <c r="AT783" s="1732">
        <v>0</v>
      </c>
      <c r="AU783" s="1733">
        <v>0</v>
      </c>
      <c r="AV783" s="1734" t="s">
        <v>68</v>
      </c>
      <c r="AW783" s="1653" t="s">
        <v>68</v>
      </c>
      <c r="AX783" s="1654" t="s">
        <v>68</v>
      </c>
      <c r="AY783" s="1655" t="s">
        <v>68</v>
      </c>
      <c r="AZ783" s="30" t="s">
        <v>68</v>
      </c>
      <c r="BA783" s="5"/>
      <c r="BB783" s="5"/>
      <c r="BC783" s="11"/>
      <c r="BD783" s="30" t="s">
        <v>68</v>
      </c>
      <c r="BE783" s="309"/>
      <c r="BF783" s="5"/>
      <c r="BG783" s="5"/>
      <c r="BH783" s="5"/>
      <c r="BI783" s="36"/>
      <c r="BJ783" s="1736" t="s">
        <v>68</v>
      </c>
      <c r="BK783" s="1117"/>
      <c r="BL783" s="1737" t="s">
        <v>68</v>
      </c>
      <c r="BM783" s="1738" t="s">
        <v>68</v>
      </c>
      <c r="BN783" s="1738" t="s">
        <v>68</v>
      </c>
      <c r="BO783" s="1739" t="s">
        <v>68</v>
      </c>
      <c r="BP783" s="1739" t="s">
        <v>68</v>
      </c>
      <c r="BQ783" s="1739" t="s">
        <v>68</v>
      </c>
      <c r="BR783" s="1739" t="s">
        <v>68</v>
      </c>
      <c r="BS783" s="1739" t="s">
        <v>68</v>
      </c>
      <c r="BT783" s="1739" t="s">
        <v>68</v>
      </c>
      <c r="BU783" s="1739" t="s">
        <v>68</v>
      </c>
      <c r="BV783" s="1737" t="s">
        <v>68</v>
      </c>
      <c r="BW783" s="13"/>
      <c r="BX783" s="22"/>
      <c r="BY783" s="22"/>
      <c r="BZ783" s="22"/>
      <c r="CA783" s="22"/>
      <c r="CB783" s="1222" t="s">
        <v>3944</v>
      </c>
      <c r="CC783" s="859"/>
      <c r="CD783" s="526"/>
      <c r="CE783" s="526"/>
      <c r="CF783" s="526"/>
      <c r="CG783" s="526"/>
      <c r="CH783" s="526"/>
      <c r="CI783" s="526"/>
      <c r="CJ783" s="526"/>
      <c r="CK783" s="15"/>
    </row>
    <row r="784" spans="2:89" ht="205.5" hidden="1" customHeight="1">
      <c r="B784" s="22"/>
      <c r="C784" s="22"/>
      <c r="D784" s="22"/>
      <c r="E784" s="911"/>
      <c r="F784" s="911"/>
      <c r="G784" s="915"/>
      <c r="H784" s="1746"/>
      <c r="I784" s="330"/>
      <c r="J784" s="169">
        <v>2024</v>
      </c>
      <c r="K784" s="1417">
        <v>242010</v>
      </c>
      <c r="L784" s="1417"/>
      <c r="M784" s="170" t="s">
        <v>166</v>
      </c>
      <c r="N784" s="178" t="s">
        <v>6581</v>
      </c>
      <c r="O784" s="172" t="s">
        <v>45</v>
      </c>
      <c r="P784" s="1461" t="s">
        <v>6636</v>
      </c>
      <c r="Q784" s="173" t="s">
        <v>6637</v>
      </c>
      <c r="R784" s="594">
        <f>20000*1.16</f>
        <v>23200</v>
      </c>
      <c r="S784" s="590">
        <v>45397</v>
      </c>
      <c r="T784" s="176">
        <v>45398</v>
      </c>
      <c r="U784" s="177">
        <v>45401</v>
      </c>
      <c r="V784" s="676"/>
      <c r="W784" s="178" t="s">
        <v>2986</v>
      </c>
      <c r="X784" s="170" t="s">
        <v>6437</v>
      </c>
      <c r="Y784" s="1723" t="s">
        <v>68</v>
      </c>
      <c r="Z784" s="1724" t="s">
        <v>68</v>
      </c>
      <c r="AA784" s="33"/>
      <c r="AB784" s="8"/>
      <c r="AC784" s="4"/>
      <c r="AD784" s="4"/>
      <c r="AE784" s="32"/>
      <c r="AF784" s="1725" t="s">
        <v>68</v>
      </c>
      <c r="AG784" s="1726" t="s">
        <v>68</v>
      </c>
      <c r="AH784" s="1726" t="s">
        <v>68</v>
      </c>
      <c r="AI784" s="1727" t="s">
        <v>68</v>
      </c>
      <c r="AJ784" s="1728" t="s">
        <v>68</v>
      </c>
      <c r="AK784" s="1729" t="s">
        <v>68</v>
      </c>
      <c r="AL784" s="1634" t="s">
        <v>68</v>
      </c>
      <c r="AM784" s="1656"/>
      <c r="AN784" s="1634" t="s">
        <v>68</v>
      </c>
      <c r="AO784" s="1656"/>
      <c r="AP784" s="1634" t="s">
        <v>68</v>
      </c>
      <c r="AQ784" s="1656"/>
      <c r="AR784" s="1730"/>
      <c r="AS784" s="1731">
        <v>0</v>
      </c>
      <c r="AT784" s="1732">
        <v>0</v>
      </c>
      <c r="AU784" s="1733">
        <v>0</v>
      </c>
      <c r="AV784" s="1734" t="s">
        <v>68</v>
      </c>
      <c r="AW784" s="1653" t="s">
        <v>68</v>
      </c>
      <c r="AX784" s="1654" t="s">
        <v>68</v>
      </c>
      <c r="AY784" s="1655" t="s">
        <v>68</v>
      </c>
      <c r="AZ784" s="30" t="s">
        <v>68</v>
      </c>
      <c r="BA784" s="5"/>
      <c r="BB784" s="5"/>
      <c r="BC784" s="11"/>
      <c r="BD784" s="30" t="s">
        <v>68</v>
      </c>
      <c r="BE784" s="309"/>
      <c r="BF784" s="5"/>
      <c r="BG784" s="5"/>
      <c r="BH784" s="5"/>
      <c r="BI784" s="36"/>
      <c r="BJ784" s="1736" t="s">
        <v>68</v>
      </c>
      <c r="BK784" s="1117"/>
      <c r="BL784" s="1737" t="s">
        <v>68</v>
      </c>
      <c r="BM784" s="1738" t="s">
        <v>68</v>
      </c>
      <c r="BN784" s="1738" t="s">
        <v>68</v>
      </c>
      <c r="BO784" s="1739" t="s">
        <v>68</v>
      </c>
      <c r="BP784" s="1739" t="s">
        <v>68</v>
      </c>
      <c r="BQ784" s="1739" t="s">
        <v>68</v>
      </c>
      <c r="BR784" s="1739" t="s">
        <v>68</v>
      </c>
      <c r="BS784" s="1739" t="s">
        <v>68</v>
      </c>
      <c r="BT784" s="1739" t="s">
        <v>68</v>
      </c>
      <c r="BU784" s="1739" t="s">
        <v>68</v>
      </c>
      <c r="BV784" s="1737" t="s">
        <v>68</v>
      </c>
      <c r="BW784" s="13"/>
      <c r="BX784" s="22"/>
      <c r="BY784" s="22"/>
      <c r="BZ784" s="22"/>
      <c r="CA784" s="22"/>
      <c r="CB784" s="1222" t="s">
        <v>3944</v>
      </c>
      <c r="CC784" s="859"/>
      <c r="CD784" s="526"/>
      <c r="CE784" s="526"/>
      <c r="CF784" s="526"/>
      <c r="CG784" s="526"/>
      <c r="CH784" s="526"/>
      <c r="CI784" s="526"/>
      <c r="CJ784" s="526"/>
      <c r="CK784" s="15"/>
    </row>
    <row r="785" spans="2:89" ht="159.75" hidden="1" customHeight="1">
      <c r="B785" s="22"/>
      <c r="C785" s="22"/>
      <c r="D785" s="22"/>
      <c r="E785" s="911"/>
      <c r="F785" s="911"/>
      <c r="G785" s="915"/>
      <c r="H785" s="1746"/>
      <c r="I785" s="330"/>
      <c r="J785" s="169">
        <v>2024</v>
      </c>
      <c r="K785" s="1417">
        <v>242010</v>
      </c>
      <c r="L785" s="1417"/>
      <c r="M785" s="170" t="s">
        <v>166</v>
      </c>
      <c r="N785" s="178" t="s">
        <v>6582</v>
      </c>
      <c r="O785" s="172" t="s">
        <v>45</v>
      </c>
      <c r="P785" s="1461" t="s">
        <v>6639</v>
      </c>
      <c r="Q785" s="173" t="s">
        <v>6640</v>
      </c>
      <c r="R785" s="594">
        <f>5500*1.16</f>
        <v>6380</v>
      </c>
      <c r="S785" s="590">
        <v>45401</v>
      </c>
      <c r="T785" s="176">
        <v>45405</v>
      </c>
      <c r="U785" s="177">
        <v>45406</v>
      </c>
      <c r="V785" s="676"/>
      <c r="W785" s="178" t="s">
        <v>4362</v>
      </c>
      <c r="X785" s="170" t="s">
        <v>6437</v>
      </c>
      <c r="Y785" s="1723" t="s">
        <v>68</v>
      </c>
      <c r="Z785" s="1724" t="s">
        <v>68</v>
      </c>
      <c r="AA785" s="33"/>
      <c r="AB785" s="8"/>
      <c r="AC785" s="4"/>
      <c r="AD785" s="4"/>
      <c r="AE785" s="32"/>
      <c r="AF785" s="1725" t="s">
        <v>68</v>
      </c>
      <c r="AG785" s="1726" t="s">
        <v>68</v>
      </c>
      <c r="AH785" s="1726" t="s">
        <v>68</v>
      </c>
      <c r="AI785" s="1727" t="s">
        <v>68</v>
      </c>
      <c r="AJ785" s="1728" t="s">
        <v>68</v>
      </c>
      <c r="AK785" s="1729" t="s">
        <v>68</v>
      </c>
      <c r="AL785" s="1634" t="s">
        <v>68</v>
      </c>
      <c r="AM785" s="1656"/>
      <c r="AN785" s="1634" t="s">
        <v>68</v>
      </c>
      <c r="AO785" s="1656"/>
      <c r="AP785" s="1634" t="s">
        <v>68</v>
      </c>
      <c r="AQ785" s="1656"/>
      <c r="AR785" s="1730"/>
      <c r="AS785" s="1731">
        <v>0</v>
      </c>
      <c r="AT785" s="1732">
        <v>0</v>
      </c>
      <c r="AU785" s="1733">
        <v>0</v>
      </c>
      <c r="AV785" s="1734" t="s">
        <v>68</v>
      </c>
      <c r="AW785" s="1653" t="s">
        <v>68</v>
      </c>
      <c r="AX785" s="1654" t="s">
        <v>68</v>
      </c>
      <c r="AY785" s="1655" t="s">
        <v>68</v>
      </c>
      <c r="AZ785" s="30" t="s">
        <v>68</v>
      </c>
      <c r="BA785" s="5"/>
      <c r="BB785" s="5"/>
      <c r="BC785" s="11"/>
      <c r="BD785" s="30" t="s">
        <v>68</v>
      </c>
      <c r="BE785" s="309"/>
      <c r="BF785" s="5"/>
      <c r="BG785" s="5"/>
      <c r="BH785" s="5"/>
      <c r="BI785" s="36"/>
      <c r="BJ785" s="1736" t="s">
        <v>68</v>
      </c>
      <c r="BK785" s="1117"/>
      <c r="BL785" s="1737" t="s">
        <v>68</v>
      </c>
      <c r="BM785" s="1738" t="s">
        <v>68</v>
      </c>
      <c r="BN785" s="1738" t="s">
        <v>68</v>
      </c>
      <c r="BO785" s="1739" t="s">
        <v>68</v>
      </c>
      <c r="BP785" s="1739" t="s">
        <v>68</v>
      </c>
      <c r="BQ785" s="1739" t="s">
        <v>68</v>
      </c>
      <c r="BR785" s="1739" t="s">
        <v>68</v>
      </c>
      <c r="BS785" s="1739" t="s">
        <v>68</v>
      </c>
      <c r="BT785" s="1739" t="s">
        <v>68</v>
      </c>
      <c r="BU785" s="1739" t="s">
        <v>68</v>
      </c>
      <c r="BV785" s="1737" t="s">
        <v>68</v>
      </c>
      <c r="BW785" s="13"/>
      <c r="BX785" s="22"/>
      <c r="BY785" s="22"/>
      <c r="BZ785" s="22"/>
      <c r="CA785" s="22"/>
      <c r="CB785" s="1222" t="s">
        <v>3944</v>
      </c>
      <c r="CC785" s="859"/>
      <c r="CD785" s="526"/>
      <c r="CE785" s="526"/>
      <c r="CF785" s="526"/>
      <c r="CG785" s="526"/>
      <c r="CH785" s="526"/>
      <c r="CI785" s="526"/>
      <c r="CJ785" s="526"/>
      <c r="CK785" s="15"/>
    </row>
    <row r="786" spans="2:89" ht="60" hidden="1" customHeight="1">
      <c r="B786" s="22"/>
      <c r="C786" s="22"/>
      <c r="D786" s="22"/>
      <c r="E786" s="911"/>
      <c r="F786" s="911"/>
      <c r="G786" s="915"/>
      <c r="H786" s="1746"/>
      <c r="I786" s="330"/>
      <c r="J786" s="169">
        <v>2024</v>
      </c>
      <c r="K786" s="1417">
        <v>242010</v>
      </c>
      <c r="L786" s="1417"/>
      <c r="M786" s="170" t="s">
        <v>166</v>
      </c>
      <c r="N786" s="178" t="s">
        <v>6583</v>
      </c>
      <c r="O786" s="172" t="s">
        <v>45</v>
      </c>
      <c r="P786" s="1461" t="s">
        <v>6642</v>
      </c>
      <c r="Q786" s="173" t="s">
        <v>1975</v>
      </c>
      <c r="R786" s="594">
        <f>17000*1.16</f>
        <v>19720</v>
      </c>
      <c r="S786" s="590">
        <v>45450</v>
      </c>
      <c r="T786" s="176">
        <v>45453</v>
      </c>
      <c r="U786" s="177">
        <v>45453</v>
      </c>
      <c r="V786" s="676"/>
      <c r="W786" s="178" t="s">
        <v>2986</v>
      </c>
      <c r="X786" s="170" t="s">
        <v>6437</v>
      </c>
      <c r="Y786" s="1723" t="s">
        <v>68</v>
      </c>
      <c r="Z786" s="1724" t="s">
        <v>68</v>
      </c>
      <c r="AA786" s="33"/>
      <c r="AB786" s="8"/>
      <c r="AC786" s="4"/>
      <c r="AD786" s="4"/>
      <c r="AE786" s="32"/>
      <c r="AF786" s="1725" t="s">
        <v>68</v>
      </c>
      <c r="AG786" s="1726" t="s">
        <v>68</v>
      </c>
      <c r="AH786" s="1726" t="s">
        <v>68</v>
      </c>
      <c r="AI786" s="1727" t="s">
        <v>68</v>
      </c>
      <c r="AJ786" s="1728" t="s">
        <v>68</v>
      </c>
      <c r="AK786" s="1729" t="s">
        <v>68</v>
      </c>
      <c r="AL786" s="1634" t="s">
        <v>68</v>
      </c>
      <c r="AM786" s="1656"/>
      <c r="AN786" s="1634" t="s">
        <v>68</v>
      </c>
      <c r="AO786" s="1656"/>
      <c r="AP786" s="1634" t="s">
        <v>68</v>
      </c>
      <c r="AQ786" s="1656"/>
      <c r="AR786" s="1730"/>
      <c r="AS786" s="1731">
        <v>0</v>
      </c>
      <c r="AT786" s="1732">
        <v>0</v>
      </c>
      <c r="AU786" s="1733">
        <v>0</v>
      </c>
      <c r="AV786" s="1734" t="s">
        <v>68</v>
      </c>
      <c r="AW786" s="1653" t="s">
        <v>68</v>
      </c>
      <c r="AX786" s="1654" t="s">
        <v>68</v>
      </c>
      <c r="AY786" s="1655" t="s">
        <v>68</v>
      </c>
      <c r="AZ786" s="30" t="s">
        <v>68</v>
      </c>
      <c r="BA786" s="5"/>
      <c r="BB786" s="5"/>
      <c r="BC786" s="11"/>
      <c r="BD786" s="30" t="s">
        <v>68</v>
      </c>
      <c r="BE786" s="309"/>
      <c r="BF786" s="5"/>
      <c r="BG786" s="5"/>
      <c r="BH786" s="5"/>
      <c r="BI786" s="36"/>
      <c r="BJ786" s="1736" t="s">
        <v>68</v>
      </c>
      <c r="BK786" s="1117"/>
      <c r="BL786" s="1737" t="s">
        <v>68</v>
      </c>
      <c r="BM786" s="1738" t="s">
        <v>68</v>
      </c>
      <c r="BN786" s="1738" t="s">
        <v>68</v>
      </c>
      <c r="BO786" s="1739" t="s">
        <v>68</v>
      </c>
      <c r="BP786" s="1739" t="s">
        <v>68</v>
      </c>
      <c r="BQ786" s="1739" t="s">
        <v>68</v>
      </c>
      <c r="BR786" s="1739" t="s">
        <v>68</v>
      </c>
      <c r="BS786" s="1739" t="s">
        <v>68</v>
      </c>
      <c r="BT786" s="1739" t="s">
        <v>68</v>
      </c>
      <c r="BU786" s="1739" t="s">
        <v>68</v>
      </c>
      <c r="BV786" s="1737" t="s">
        <v>68</v>
      </c>
      <c r="BW786" s="13"/>
      <c r="BX786" s="22"/>
      <c r="BY786" s="22"/>
      <c r="BZ786" s="22"/>
      <c r="CA786" s="22"/>
      <c r="CB786" s="1222" t="s">
        <v>3944</v>
      </c>
      <c r="CC786" s="859"/>
      <c r="CD786" s="526"/>
      <c r="CE786" s="526"/>
      <c r="CF786" s="526"/>
      <c r="CG786" s="526"/>
      <c r="CH786" s="526"/>
      <c r="CI786" s="526"/>
      <c r="CJ786" s="526"/>
      <c r="CK786" s="15"/>
    </row>
    <row r="787" spans="2:89" ht="311.25" hidden="1" customHeight="1">
      <c r="B787" s="22"/>
      <c r="C787" s="22"/>
      <c r="D787" s="22"/>
      <c r="E787" s="911"/>
      <c r="F787" s="911"/>
      <c r="G787" s="915"/>
      <c r="H787" s="1746"/>
      <c r="I787" s="330"/>
      <c r="J787" s="169">
        <v>2024</v>
      </c>
      <c r="K787" s="1417">
        <v>242010</v>
      </c>
      <c r="L787" s="1417"/>
      <c r="M787" s="170" t="s">
        <v>166</v>
      </c>
      <c r="N787" s="178" t="s">
        <v>6584</v>
      </c>
      <c r="O787" s="172" t="s">
        <v>45</v>
      </c>
      <c r="P787" s="1461" t="s">
        <v>6709</v>
      </c>
      <c r="Q787" s="173" t="s">
        <v>6643</v>
      </c>
      <c r="R787" s="594">
        <f>73920*1.16</f>
        <v>85747.199999999997</v>
      </c>
      <c r="S787" s="590">
        <v>45456</v>
      </c>
      <c r="T787" s="176">
        <v>45460</v>
      </c>
      <c r="U787" s="177">
        <v>45471</v>
      </c>
      <c r="V787" s="676"/>
      <c r="W787" s="178" t="s">
        <v>3958</v>
      </c>
      <c r="X787" s="170" t="s">
        <v>6437</v>
      </c>
      <c r="Y787" s="1723" t="s">
        <v>68</v>
      </c>
      <c r="Z787" s="1724" t="s">
        <v>68</v>
      </c>
      <c r="AA787" s="33"/>
      <c r="AB787" s="8"/>
      <c r="AC787" s="4"/>
      <c r="AD787" s="4"/>
      <c r="AE787" s="32"/>
      <c r="AF787" s="1725" t="s">
        <v>68</v>
      </c>
      <c r="AG787" s="1726" t="s">
        <v>68</v>
      </c>
      <c r="AH787" s="1726" t="s">
        <v>68</v>
      </c>
      <c r="AI787" s="1727" t="s">
        <v>68</v>
      </c>
      <c r="AJ787" s="1728" t="s">
        <v>68</v>
      </c>
      <c r="AK787" s="1729" t="s">
        <v>68</v>
      </c>
      <c r="AL787" s="1634" t="s">
        <v>68</v>
      </c>
      <c r="AM787" s="1656"/>
      <c r="AN787" s="1634" t="s">
        <v>68</v>
      </c>
      <c r="AO787" s="1656"/>
      <c r="AP787" s="1634" t="s">
        <v>68</v>
      </c>
      <c r="AQ787" s="1656"/>
      <c r="AR787" s="1730"/>
      <c r="AS787" s="1731">
        <v>0</v>
      </c>
      <c r="AT787" s="1732">
        <v>0</v>
      </c>
      <c r="AU787" s="1733">
        <v>0</v>
      </c>
      <c r="AV787" s="1734" t="s">
        <v>68</v>
      </c>
      <c r="AW787" s="1653" t="s">
        <v>68</v>
      </c>
      <c r="AX787" s="1654" t="s">
        <v>68</v>
      </c>
      <c r="AY787" s="1655" t="s">
        <v>68</v>
      </c>
      <c r="AZ787" s="30" t="s">
        <v>68</v>
      </c>
      <c r="BA787" s="5"/>
      <c r="BB787" s="5"/>
      <c r="BC787" s="11"/>
      <c r="BD787" s="30" t="s">
        <v>68</v>
      </c>
      <c r="BE787" s="309"/>
      <c r="BF787" s="5"/>
      <c r="BG787" s="5"/>
      <c r="BH787" s="5"/>
      <c r="BI787" s="36"/>
      <c r="BJ787" s="1736" t="s">
        <v>68</v>
      </c>
      <c r="BK787" s="1117"/>
      <c r="BL787" s="1737" t="s">
        <v>68</v>
      </c>
      <c r="BM787" s="1738" t="s">
        <v>68</v>
      </c>
      <c r="BN787" s="1738" t="s">
        <v>68</v>
      </c>
      <c r="BO787" s="1739" t="s">
        <v>68</v>
      </c>
      <c r="BP787" s="1739" t="s">
        <v>68</v>
      </c>
      <c r="BQ787" s="1739" t="s">
        <v>68</v>
      </c>
      <c r="BR787" s="1739" t="s">
        <v>68</v>
      </c>
      <c r="BS787" s="1739" t="s">
        <v>68</v>
      </c>
      <c r="BT787" s="1739" t="s">
        <v>68</v>
      </c>
      <c r="BU787" s="1739" t="s">
        <v>68</v>
      </c>
      <c r="BV787" s="1737" t="s">
        <v>68</v>
      </c>
      <c r="BW787" s="13"/>
      <c r="BX787" s="22"/>
      <c r="BY787" s="22"/>
      <c r="BZ787" s="22"/>
      <c r="CA787" s="22"/>
      <c r="CB787" s="1222" t="s">
        <v>3944</v>
      </c>
      <c r="CC787" s="859"/>
      <c r="CD787" s="526"/>
      <c r="CE787" s="526"/>
      <c r="CF787" s="526"/>
      <c r="CG787" s="526"/>
      <c r="CH787" s="526"/>
      <c r="CI787" s="526"/>
      <c r="CJ787" s="526"/>
      <c r="CK787" s="15"/>
    </row>
    <row r="788" spans="2:89" ht="151.5" hidden="1" customHeight="1">
      <c r="B788" s="22"/>
      <c r="C788" s="22"/>
      <c r="D788" s="22"/>
      <c r="E788" s="911"/>
      <c r="F788" s="911"/>
      <c r="G788" s="915"/>
      <c r="H788" s="1746"/>
      <c r="I788" s="330"/>
      <c r="J788" s="169">
        <v>2024</v>
      </c>
      <c r="K788" s="1417">
        <v>242010</v>
      </c>
      <c r="L788" s="1417"/>
      <c r="M788" s="170" t="s">
        <v>166</v>
      </c>
      <c r="N788" s="178" t="s">
        <v>6585</v>
      </c>
      <c r="O788" s="172" t="s">
        <v>45</v>
      </c>
      <c r="P788" s="1461" t="s">
        <v>6644</v>
      </c>
      <c r="Q788" s="173" t="s">
        <v>4824</v>
      </c>
      <c r="R788" s="594">
        <f>39770</f>
        <v>39770</v>
      </c>
      <c r="S788" s="590">
        <v>45443</v>
      </c>
      <c r="T788" s="176">
        <v>45444</v>
      </c>
      <c r="U788" s="177">
        <v>45451</v>
      </c>
      <c r="V788" s="676"/>
      <c r="W788" s="178" t="s">
        <v>3960</v>
      </c>
      <c r="X788" s="170" t="s">
        <v>1107</v>
      </c>
      <c r="Y788" s="1723" t="s">
        <v>68</v>
      </c>
      <c r="Z788" s="1724" t="s">
        <v>68</v>
      </c>
      <c r="AA788" s="33"/>
      <c r="AB788" s="8"/>
      <c r="AC788" s="4"/>
      <c r="AD788" s="4"/>
      <c r="AE788" s="32"/>
      <c r="AF788" s="1725" t="s">
        <v>68</v>
      </c>
      <c r="AG788" s="1726" t="s">
        <v>68</v>
      </c>
      <c r="AH788" s="1726" t="s">
        <v>68</v>
      </c>
      <c r="AI788" s="1727" t="s">
        <v>68</v>
      </c>
      <c r="AJ788" s="1728" t="s">
        <v>68</v>
      </c>
      <c r="AK788" s="1729" t="s">
        <v>68</v>
      </c>
      <c r="AL788" s="1634" t="s">
        <v>68</v>
      </c>
      <c r="AM788" s="1656"/>
      <c r="AN788" s="1634" t="s">
        <v>68</v>
      </c>
      <c r="AO788" s="1656"/>
      <c r="AP788" s="1634" t="s">
        <v>68</v>
      </c>
      <c r="AQ788" s="1656"/>
      <c r="AR788" s="1730"/>
      <c r="AS788" s="1731">
        <v>0</v>
      </c>
      <c r="AT788" s="1732">
        <v>0</v>
      </c>
      <c r="AU788" s="1733">
        <v>0</v>
      </c>
      <c r="AV788" s="1734" t="s">
        <v>68</v>
      </c>
      <c r="AW788" s="1653" t="s">
        <v>68</v>
      </c>
      <c r="AX788" s="1654" t="s">
        <v>68</v>
      </c>
      <c r="AY788" s="1655" t="s">
        <v>68</v>
      </c>
      <c r="AZ788" s="30" t="s">
        <v>68</v>
      </c>
      <c r="BA788" s="5"/>
      <c r="BB788" s="5"/>
      <c r="BC788" s="11"/>
      <c r="BD788" s="30" t="s">
        <v>68</v>
      </c>
      <c r="BE788" s="309"/>
      <c r="BF788" s="5"/>
      <c r="BG788" s="5"/>
      <c r="BH788" s="5"/>
      <c r="BI788" s="36"/>
      <c r="BJ788" s="1736" t="s">
        <v>68</v>
      </c>
      <c r="BK788" s="1117"/>
      <c r="BL788" s="1737" t="s">
        <v>68</v>
      </c>
      <c r="BM788" s="1738" t="s">
        <v>68</v>
      </c>
      <c r="BN788" s="1738" t="s">
        <v>68</v>
      </c>
      <c r="BO788" s="1739" t="s">
        <v>68</v>
      </c>
      <c r="BP788" s="1739" t="s">
        <v>68</v>
      </c>
      <c r="BQ788" s="1739" t="s">
        <v>68</v>
      </c>
      <c r="BR788" s="1739" t="s">
        <v>68</v>
      </c>
      <c r="BS788" s="1739" t="s">
        <v>68</v>
      </c>
      <c r="BT788" s="1739" t="s">
        <v>68</v>
      </c>
      <c r="BU788" s="1739" t="s">
        <v>68</v>
      </c>
      <c r="BV788" s="1737" t="s">
        <v>68</v>
      </c>
      <c r="BW788" s="13"/>
      <c r="BX788" s="22"/>
      <c r="BY788" s="22"/>
      <c r="BZ788" s="22"/>
      <c r="CA788" s="22"/>
      <c r="CB788" s="1222" t="s">
        <v>3944</v>
      </c>
      <c r="CC788" s="859"/>
      <c r="CD788" s="526"/>
      <c r="CE788" s="526"/>
      <c r="CF788" s="526"/>
      <c r="CG788" s="526"/>
      <c r="CH788" s="526"/>
      <c r="CI788" s="526"/>
      <c r="CJ788" s="526"/>
      <c r="CK788" s="15"/>
    </row>
    <row r="789" spans="2:89" ht="114.75" hidden="1" customHeight="1">
      <c r="B789" s="22"/>
      <c r="C789" s="22"/>
      <c r="D789" s="22"/>
      <c r="E789" s="911"/>
      <c r="F789" s="911"/>
      <c r="G789" s="915"/>
      <c r="H789" s="1746"/>
      <c r="I789" s="330"/>
      <c r="J789" s="169">
        <v>2024</v>
      </c>
      <c r="K789" s="1417">
        <v>242010</v>
      </c>
      <c r="L789" s="1417"/>
      <c r="M789" s="170" t="s">
        <v>166</v>
      </c>
      <c r="N789" s="178" t="s">
        <v>6586</v>
      </c>
      <c r="O789" s="172" t="s">
        <v>45</v>
      </c>
      <c r="P789" s="1461" t="s">
        <v>6645</v>
      </c>
      <c r="Q789" s="173" t="s">
        <v>4824</v>
      </c>
      <c r="R789" s="594">
        <f>46080</f>
        <v>46080</v>
      </c>
      <c r="S789" s="590">
        <v>45450</v>
      </c>
      <c r="T789" s="176">
        <v>45452</v>
      </c>
      <c r="U789" s="177">
        <v>45463</v>
      </c>
      <c r="V789" s="676"/>
      <c r="W789" s="178" t="s">
        <v>3960</v>
      </c>
      <c r="X789" s="170" t="s">
        <v>1107</v>
      </c>
      <c r="Y789" s="1723" t="s">
        <v>68</v>
      </c>
      <c r="Z789" s="1724" t="s">
        <v>68</v>
      </c>
      <c r="AA789" s="33"/>
      <c r="AB789" s="8"/>
      <c r="AC789" s="4"/>
      <c r="AD789" s="4"/>
      <c r="AE789" s="32"/>
      <c r="AF789" s="1725" t="s">
        <v>68</v>
      </c>
      <c r="AG789" s="1726" t="s">
        <v>68</v>
      </c>
      <c r="AH789" s="1726" t="s">
        <v>68</v>
      </c>
      <c r="AI789" s="1727" t="s">
        <v>68</v>
      </c>
      <c r="AJ789" s="1728" t="s">
        <v>68</v>
      </c>
      <c r="AK789" s="1729" t="s">
        <v>68</v>
      </c>
      <c r="AL789" s="1634" t="s">
        <v>68</v>
      </c>
      <c r="AM789" s="1656"/>
      <c r="AN789" s="1634" t="s">
        <v>68</v>
      </c>
      <c r="AO789" s="1656"/>
      <c r="AP789" s="1634" t="s">
        <v>68</v>
      </c>
      <c r="AQ789" s="1656"/>
      <c r="AR789" s="1730"/>
      <c r="AS789" s="1731">
        <v>0</v>
      </c>
      <c r="AT789" s="1732">
        <v>0</v>
      </c>
      <c r="AU789" s="1733">
        <v>0</v>
      </c>
      <c r="AV789" s="1734" t="s">
        <v>68</v>
      </c>
      <c r="AW789" s="1653" t="s">
        <v>68</v>
      </c>
      <c r="AX789" s="1654" t="s">
        <v>68</v>
      </c>
      <c r="AY789" s="1655" t="s">
        <v>68</v>
      </c>
      <c r="AZ789" s="30" t="s">
        <v>68</v>
      </c>
      <c r="BA789" s="5"/>
      <c r="BB789" s="5"/>
      <c r="BC789" s="11"/>
      <c r="BD789" s="30" t="s">
        <v>68</v>
      </c>
      <c r="BE789" s="309"/>
      <c r="BF789" s="5"/>
      <c r="BG789" s="5"/>
      <c r="BH789" s="5"/>
      <c r="BI789" s="36"/>
      <c r="BJ789" s="1736" t="s">
        <v>68</v>
      </c>
      <c r="BK789" s="1117"/>
      <c r="BL789" s="1737" t="s">
        <v>68</v>
      </c>
      <c r="BM789" s="1738" t="s">
        <v>68</v>
      </c>
      <c r="BN789" s="1738" t="s">
        <v>68</v>
      </c>
      <c r="BO789" s="1739" t="s">
        <v>68</v>
      </c>
      <c r="BP789" s="1739" t="s">
        <v>68</v>
      </c>
      <c r="BQ789" s="1739" t="s">
        <v>68</v>
      </c>
      <c r="BR789" s="1739" t="s">
        <v>68</v>
      </c>
      <c r="BS789" s="1739" t="s">
        <v>68</v>
      </c>
      <c r="BT789" s="1739" t="s">
        <v>68</v>
      </c>
      <c r="BU789" s="1739" t="s">
        <v>68</v>
      </c>
      <c r="BV789" s="1737" t="s">
        <v>68</v>
      </c>
      <c r="BW789" s="13"/>
      <c r="BX789" s="22"/>
      <c r="BY789" s="22"/>
      <c r="BZ789" s="22"/>
      <c r="CA789" s="22"/>
      <c r="CB789" s="1222" t="s">
        <v>3944</v>
      </c>
      <c r="CC789" s="859"/>
      <c r="CD789" s="526"/>
      <c r="CE789" s="526"/>
      <c r="CF789" s="526"/>
      <c r="CG789" s="526"/>
      <c r="CH789" s="526"/>
      <c r="CI789" s="526"/>
      <c r="CJ789" s="526"/>
      <c r="CK789" s="15"/>
    </row>
    <row r="790" spans="2:89" ht="135" hidden="1" customHeight="1">
      <c r="B790" s="22"/>
      <c r="C790" s="22"/>
      <c r="D790" s="22"/>
      <c r="E790" s="911"/>
      <c r="F790" s="911"/>
      <c r="G790" s="915"/>
      <c r="H790" s="1746"/>
      <c r="I790" s="330"/>
      <c r="J790" s="169">
        <v>2024</v>
      </c>
      <c r="K790" s="1417">
        <v>242010</v>
      </c>
      <c r="L790" s="1417"/>
      <c r="M790" s="170" t="s">
        <v>166</v>
      </c>
      <c r="N790" s="178" t="s">
        <v>6587</v>
      </c>
      <c r="O790" s="172" t="s">
        <v>45</v>
      </c>
      <c r="P790" s="1461" t="s">
        <v>6646</v>
      </c>
      <c r="Q790" s="173" t="s">
        <v>1975</v>
      </c>
      <c r="R790" s="594">
        <f>26000*1.16</f>
        <v>30159.999999999996</v>
      </c>
      <c r="S790" s="590">
        <v>45469</v>
      </c>
      <c r="T790" s="176">
        <v>45470</v>
      </c>
      <c r="U790" s="177">
        <v>45474</v>
      </c>
      <c r="V790" s="676"/>
      <c r="W790" s="178" t="s">
        <v>4500</v>
      </c>
      <c r="X790" s="170" t="s">
        <v>70</v>
      </c>
      <c r="Y790" s="1723" t="s">
        <v>68</v>
      </c>
      <c r="Z790" s="1724" t="s">
        <v>68</v>
      </c>
      <c r="AA790" s="33"/>
      <c r="AB790" s="8"/>
      <c r="AC790" s="4"/>
      <c r="AD790" s="4"/>
      <c r="AE790" s="32"/>
      <c r="AF790" s="1725" t="s">
        <v>68</v>
      </c>
      <c r="AG790" s="1726" t="s">
        <v>68</v>
      </c>
      <c r="AH790" s="1726" t="s">
        <v>68</v>
      </c>
      <c r="AI790" s="1727" t="s">
        <v>68</v>
      </c>
      <c r="AJ790" s="1728" t="s">
        <v>68</v>
      </c>
      <c r="AK790" s="1729" t="s">
        <v>68</v>
      </c>
      <c r="AL790" s="1634" t="s">
        <v>68</v>
      </c>
      <c r="AM790" s="1656"/>
      <c r="AN790" s="1634" t="s">
        <v>68</v>
      </c>
      <c r="AO790" s="1656"/>
      <c r="AP790" s="1634" t="s">
        <v>68</v>
      </c>
      <c r="AQ790" s="1656"/>
      <c r="AR790" s="1730"/>
      <c r="AS790" s="1731">
        <v>0</v>
      </c>
      <c r="AT790" s="1732">
        <v>0</v>
      </c>
      <c r="AU790" s="1733">
        <v>0</v>
      </c>
      <c r="AV790" s="1734" t="s">
        <v>68</v>
      </c>
      <c r="AW790" s="1653" t="s">
        <v>68</v>
      </c>
      <c r="AX790" s="1654" t="s">
        <v>68</v>
      </c>
      <c r="AY790" s="1655" t="s">
        <v>68</v>
      </c>
      <c r="AZ790" s="30" t="s">
        <v>68</v>
      </c>
      <c r="BA790" s="5"/>
      <c r="BB790" s="5"/>
      <c r="BC790" s="11"/>
      <c r="BD790" s="30" t="s">
        <v>68</v>
      </c>
      <c r="BE790" s="309"/>
      <c r="BF790" s="5"/>
      <c r="BG790" s="5"/>
      <c r="BH790" s="5"/>
      <c r="BI790" s="36"/>
      <c r="BJ790" s="1736" t="s">
        <v>68</v>
      </c>
      <c r="BK790" s="1117"/>
      <c r="BL790" s="1737" t="s">
        <v>68</v>
      </c>
      <c r="BM790" s="1738" t="s">
        <v>68</v>
      </c>
      <c r="BN790" s="1738" t="s">
        <v>68</v>
      </c>
      <c r="BO790" s="1739" t="s">
        <v>68</v>
      </c>
      <c r="BP790" s="1739" t="s">
        <v>68</v>
      </c>
      <c r="BQ790" s="1739" t="s">
        <v>68</v>
      </c>
      <c r="BR790" s="1739" t="s">
        <v>68</v>
      </c>
      <c r="BS790" s="1739" t="s">
        <v>68</v>
      </c>
      <c r="BT790" s="1739" t="s">
        <v>68</v>
      </c>
      <c r="BU790" s="1739" t="s">
        <v>68</v>
      </c>
      <c r="BV790" s="1737" t="s">
        <v>68</v>
      </c>
      <c r="BW790" s="13"/>
      <c r="BX790" s="22"/>
      <c r="BY790" s="22"/>
      <c r="BZ790" s="22"/>
      <c r="CA790" s="22"/>
      <c r="CB790" s="1222" t="s">
        <v>3944</v>
      </c>
      <c r="CC790" s="859"/>
      <c r="CD790" s="526"/>
      <c r="CE790" s="526"/>
      <c r="CF790" s="526"/>
      <c r="CG790" s="526"/>
      <c r="CH790" s="526"/>
      <c r="CI790" s="526"/>
      <c r="CJ790" s="526"/>
      <c r="CK790" s="15"/>
    </row>
    <row r="791" spans="2:89" ht="109.5" hidden="1" customHeight="1">
      <c r="B791" s="22"/>
      <c r="C791" s="22"/>
      <c r="D791" s="22"/>
      <c r="E791" s="911"/>
      <c r="F791" s="911"/>
      <c r="G791" s="915"/>
      <c r="H791" s="1746"/>
      <c r="I791" s="330"/>
      <c r="J791" s="169">
        <v>2024</v>
      </c>
      <c r="K791" s="1417">
        <v>242010</v>
      </c>
      <c r="L791" s="1417"/>
      <c r="M791" s="170" t="s">
        <v>166</v>
      </c>
      <c r="N791" s="178" t="s">
        <v>6588</v>
      </c>
      <c r="O791" s="172" t="s">
        <v>45</v>
      </c>
      <c r="P791" s="1461" t="s">
        <v>6645</v>
      </c>
      <c r="Q791" s="173" t="s">
        <v>4824</v>
      </c>
      <c r="R791" s="594">
        <f>26880*1.16</f>
        <v>31180.799999999999</v>
      </c>
      <c r="S791" s="590">
        <v>45463</v>
      </c>
      <c r="T791" s="176">
        <v>45464</v>
      </c>
      <c r="U791" s="177">
        <v>45470</v>
      </c>
      <c r="V791" s="676"/>
      <c r="W791" s="178" t="s">
        <v>3960</v>
      </c>
      <c r="X791" s="170" t="s">
        <v>1107</v>
      </c>
      <c r="Y791" s="1723" t="s">
        <v>68</v>
      </c>
      <c r="Z791" s="1724" t="s">
        <v>68</v>
      </c>
      <c r="AA791" s="33"/>
      <c r="AB791" s="8"/>
      <c r="AC791" s="4"/>
      <c r="AD791" s="4"/>
      <c r="AE791" s="32"/>
      <c r="AF791" s="1725" t="s">
        <v>68</v>
      </c>
      <c r="AG791" s="1726" t="s">
        <v>68</v>
      </c>
      <c r="AH791" s="1726" t="s">
        <v>68</v>
      </c>
      <c r="AI791" s="1727" t="s">
        <v>68</v>
      </c>
      <c r="AJ791" s="1728" t="s">
        <v>68</v>
      </c>
      <c r="AK791" s="1729" t="s">
        <v>68</v>
      </c>
      <c r="AL791" s="1634" t="s">
        <v>68</v>
      </c>
      <c r="AM791" s="1656"/>
      <c r="AN791" s="1634" t="s">
        <v>68</v>
      </c>
      <c r="AO791" s="1656"/>
      <c r="AP791" s="1634" t="s">
        <v>68</v>
      </c>
      <c r="AQ791" s="1656"/>
      <c r="AR791" s="1730"/>
      <c r="AS791" s="1731">
        <v>0</v>
      </c>
      <c r="AT791" s="1732">
        <v>0</v>
      </c>
      <c r="AU791" s="1733">
        <v>0</v>
      </c>
      <c r="AV791" s="1734" t="s">
        <v>68</v>
      </c>
      <c r="AW791" s="1653" t="s">
        <v>68</v>
      </c>
      <c r="AX791" s="1654" t="s">
        <v>68</v>
      </c>
      <c r="AY791" s="1655" t="s">
        <v>68</v>
      </c>
      <c r="AZ791" s="30" t="s">
        <v>68</v>
      </c>
      <c r="BA791" s="5"/>
      <c r="BB791" s="5"/>
      <c r="BC791" s="11"/>
      <c r="BD791" s="30" t="s">
        <v>68</v>
      </c>
      <c r="BE791" s="309"/>
      <c r="BF791" s="5"/>
      <c r="BG791" s="5"/>
      <c r="BH791" s="5"/>
      <c r="BI791" s="36"/>
      <c r="BJ791" s="1736" t="s">
        <v>68</v>
      </c>
      <c r="BK791" s="1117"/>
      <c r="BL791" s="1737" t="s">
        <v>68</v>
      </c>
      <c r="BM791" s="1738" t="s">
        <v>68</v>
      </c>
      <c r="BN791" s="1738" t="s">
        <v>68</v>
      </c>
      <c r="BO791" s="1739" t="s">
        <v>68</v>
      </c>
      <c r="BP791" s="1739" t="s">
        <v>68</v>
      </c>
      <c r="BQ791" s="1739" t="s">
        <v>68</v>
      </c>
      <c r="BR791" s="1739" t="s">
        <v>68</v>
      </c>
      <c r="BS791" s="1739" t="s">
        <v>68</v>
      </c>
      <c r="BT791" s="1739" t="s">
        <v>68</v>
      </c>
      <c r="BU791" s="1739" t="s">
        <v>68</v>
      </c>
      <c r="BV791" s="1737" t="s">
        <v>68</v>
      </c>
      <c r="BW791" s="13"/>
      <c r="BX791" s="22"/>
      <c r="BY791" s="22"/>
      <c r="BZ791" s="22"/>
      <c r="CA791" s="22"/>
      <c r="CB791" s="1222" t="s">
        <v>3944</v>
      </c>
      <c r="CC791" s="859"/>
      <c r="CD791" s="526"/>
      <c r="CE791" s="526"/>
      <c r="CF791" s="526"/>
      <c r="CG791" s="526"/>
      <c r="CH791" s="526"/>
      <c r="CI791" s="526"/>
      <c r="CJ791" s="526"/>
      <c r="CK791" s="15"/>
    </row>
    <row r="792" spans="2:89" ht="135" hidden="1" customHeight="1">
      <c r="B792" s="22"/>
      <c r="C792" s="22"/>
      <c r="D792" s="22"/>
      <c r="E792" s="911"/>
      <c r="F792" s="911"/>
      <c r="G792" s="915"/>
      <c r="H792" s="1746"/>
      <c r="I792" s="330"/>
      <c r="J792" s="169">
        <v>2024</v>
      </c>
      <c r="K792" s="1417">
        <v>242010</v>
      </c>
      <c r="L792" s="1417"/>
      <c r="M792" s="170" t="s">
        <v>166</v>
      </c>
      <c r="N792" s="178" t="s">
        <v>6590</v>
      </c>
      <c r="O792" s="172" t="s">
        <v>45</v>
      </c>
      <c r="P792" s="1461" t="s">
        <v>6647</v>
      </c>
      <c r="Q792" s="173" t="s">
        <v>1975</v>
      </c>
      <c r="R792" s="594">
        <f>177450*1.16</f>
        <v>205842</v>
      </c>
      <c r="S792" s="590">
        <v>45502</v>
      </c>
      <c r="T792" s="176">
        <v>45503</v>
      </c>
      <c r="U792" s="177">
        <v>45517</v>
      </c>
      <c r="V792" s="676"/>
      <c r="W792" s="178" t="s">
        <v>6648</v>
      </c>
      <c r="X792" s="170" t="s">
        <v>213</v>
      </c>
      <c r="Y792" s="1723" t="s">
        <v>68</v>
      </c>
      <c r="Z792" s="1724" t="s">
        <v>68</v>
      </c>
      <c r="AA792" s="33"/>
      <c r="AB792" s="8"/>
      <c r="AC792" s="4"/>
      <c r="AD792" s="4"/>
      <c r="AE792" s="32"/>
      <c r="AF792" s="1725" t="s">
        <v>68</v>
      </c>
      <c r="AG792" s="1726" t="s">
        <v>68</v>
      </c>
      <c r="AH792" s="1726" t="s">
        <v>68</v>
      </c>
      <c r="AI792" s="1727" t="s">
        <v>68</v>
      </c>
      <c r="AJ792" s="1728" t="s">
        <v>68</v>
      </c>
      <c r="AK792" s="1729" t="s">
        <v>68</v>
      </c>
      <c r="AL792" s="1634" t="s">
        <v>68</v>
      </c>
      <c r="AM792" s="1656"/>
      <c r="AN792" s="1634" t="s">
        <v>68</v>
      </c>
      <c r="AO792" s="1656"/>
      <c r="AP792" s="1634" t="s">
        <v>68</v>
      </c>
      <c r="AQ792" s="1656"/>
      <c r="AR792" s="1730"/>
      <c r="AS792" s="1731">
        <v>0</v>
      </c>
      <c r="AT792" s="1732">
        <v>0</v>
      </c>
      <c r="AU792" s="1733">
        <v>0</v>
      </c>
      <c r="AV792" s="1734" t="s">
        <v>68</v>
      </c>
      <c r="AW792" s="1653" t="s">
        <v>68</v>
      </c>
      <c r="AX792" s="1654" t="s">
        <v>68</v>
      </c>
      <c r="AY792" s="1655" t="s">
        <v>68</v>
      </c>
      <c r="AZ792" s="30" t="s">
        <v>68</v>
      </c>
      <c r="BA792" s="5"/>
      <c r="BB792" s="5"/>
      <c r="BC792" s="11"/>
      <c r="BD792" s="30" t="s">
        <v>68</v>
      </c>
      <c r="BE792" s="309"/>
      <c r="BF792" s="5"/>
      <c r="BG792" s="5"/>
      <c r="BH792" s="5"/>
      <c r="BI792" s="36"/>
      <c r="BJ792" s="1736" t="s">
        <v>68</v>
      </c>
      <c r="BK792" s="1117"/>
      <c r="BL792" s="1737" t="s">
        <v>68</v>
      </c>
      <c r="BM792" s="1738" t="s">
        <v>68</v>
      </c>
      <c r="BN792" s="1738" t="s">
        <v>68</v>
      </c>
      <c r="BO792" s="1739" t="s">
        <v>68</v>
      </c>
      <c r="BP792" s="1739" t="s">
        <v>68</v>
      </c>
      <c r="BQ792" s="1739" t="s">
        <v>68</v>
      </c>
      <c r="BR792" s="1739" t="s">
        <v>68</v>
      </c>
      <c r="BS792" s="1739" t="s">
        <v>68</v>
      </c>
      <c r="BT792" s="1739" t="s">
        <v>68</v>
      </c>
      <c r="BU792" s="1739" t="s">
        <v>68</v>
      </c>
      <c r="BV792" s="1737" t="s">
        <v>68</v>
      </c>
      <c r="BW792" s="13"/>
      <c r="BX792" s="22"/>
      <c r="BY792" s="22"/>
      <c r="BZ792" s="22"/>
      <c r="CA792" s="22"/>
      <c r="CB792" s="1222" t="s">
        <v>3944</v>
      </c>
      <c r="CC792" s="859"/>
      <c r="CD792" s="526"/>
      <c r="CE792" s="526"/>
      <c r="CF792" s="526"/>
      <c r="CG792" s="526"/>
      <c r="CH792" s="526"/>
      <c r="CI792" s="526"/>
      <c r="CJ792" s="526"/>
      <c r="CK792" s="15"/>
    </row>
    <row r="793" spans="2:89" ht="71.25" hidden="1" customHeight="1">
      <c r="B793" s="22"/>
      <c r="C793" s="22"/>
      <c r="D793" s="22"/>
      <c r="E793" s="911"/>
      <c r="F793" s="911"/>
      <c r="G793" s="915"/>
      <c r="H793" s="1746"/>
      <c r="I793" s="330"/>
      <c r="J793" s="169">
        <v>2024</v>
      </c>
      <c r="K793" s="1417">
        <v>242010</v>
      </c>
      <c r="L793" s="1417"/>
      <c r="M793" s="170" t="s">
        <v>166</v>
      </c>
      <c r="N793" s="178" t="s">
        <v>6589</v>
      </c>
      <c r="O793" s="172" t="s">
        <v>45</v>
      </c>
      <c r="P793" s="1461" t="s">
        <v>6649</v>
      </c>
      <c r="Q793" s="173" t="s">
        <v>4409</v>
      </c>
      <c r="R793" s="594">
        <f>24500*1.16</f>
        <v>28419.999999999996</v>
      </c>
      <c r="S793" s="590">
        <v>45520</v>
      </c>
      <c r="T793" s="176">
        <v>45524</v>
      </c>
      <c r="U793" s="177">
        <v>45530</v>
      </c>
      <c r="V793" s="676"/>
      <c r="W793" s="178" t="s">
        <v>6648</v>
      </c>
      <c r="X793" s="170" t="s">
        <v>6437</v>
      </c>
      <c r="Y793" s="1723" t="s">
        <v>68</v>
      </c>
      <c r="Z793" s="1724" t="s">
        <v>68</v>
      </c>
      <c r="AA793" s="33"/>
      <c r="AB793" s="8"/>
      <c r="AC793" s="4"/>
      <c r="AD793" s="4"/>
      <c r="AE793" s="32"/>
      <c r="AF793" s="1725" t="s">
        <v>68</v>
      </c>
      <c r="AG793" s="1726" t="s">
        <v>68</v>
      </c>
      <c r="AH793" s="1726" t="s">
        <v>68</v>
      </c>
      <c r="AI793" s="1727" t="s">
        <v>68</v>
      </c>
      <c r="AJ793" s="1728" t="s">
        <v>68</v>
      </c>
      <c r="AK793" s="1729" t="s">
        <v>68</v>
      </c>
      <c r="AL793" s="1634" t="s">
        <v>68</v>
      </c>
      <c r="AM793" s="1656"/>
      <c r="AN793" s="1634" t="s">
        <v>68</v>
      </c>
      <c r="AO793" s="1656"/>
      <c r="AP793" s="1634" t="s">
        <v>68</v>
      </c>
      <c r="AQ793" s="1656"/>
      <c r="AR793" s="1730"/>
      <c r="AS793" s="1731">
        <v>0</v>
      </c>
      <c r="AT793" s="1732">
        <v>0</v>
      </c>
      <c r="AU793" s="1733">
        <v>0</v>
      </c>
      <c r="AV793" s="1734" t="s">
        <v>68</v>
      </c>
      <c r="AW793" s="1653" t="s">
        <v>68</v>
      </c>
      <c r="AX793" s="1654" t="s">
        <v>68</v>
      </c>
      <c r="AY793" s="1655" t="s">
        <v>68</v>
      </c>
      <c r="AZ793" s="30" t="s">
        <v>68</v>
      </c>
      <c r="BA793" s="5"/>
      <c r="BB793" s="5"/>
      <c r="BC793" s="11"/>
      <c r="BD793" s="30" t="s">
        <v>68</v>
      </c>
      <c r="BE793" s="309"/>
      <c r="BF793" s="5"/>
      <c r="BG793" s="5"/>
      <c r="BH793" s="5"/>
      <c r="BI793" s="36"/>
      <c r="BJ793" s="1736" t="s">
        <v>68</v>
      </c>
      <c r="BK793" s="1117"/>
      <c r="BL793" s="1737" t="s">
        <v>68</v>
      </c>
      <c r="BM793" s="1738" t="s">
        <v>68</v>
      </c>
      <c r="BN793" s="1738" t="s">
        <v>68</v>
      </c>
      <c r="BO793" s="1739" t="s">
        <v>68</v>
      </c>
      <c r="BP793" s="1739" t="s">
        <v>68</v>
      </c>
      <c r="BQ793" s="1739" t="s">
        <v>68</v>
      </c>
      <c r="BR793" s="1739" t="s">
        <v>68</v>
      </c>
      <c r="BS793" s="1739" t="s">
        <v>68</v>
      </c>
      <c r="BT793" s="1739" t="s">
        <v>68</v>
      </c>
      <c r="BU793" s="1739" t="s">
        <v>68</v>
      </c>
      <c r="BV793" s="1737" t="s">
        <v>68</v>
      </c>
      <c r="BW793" s="13"/>
      <c r="BX793" s="22"/>
      <c r="BY793" s="22"/>
      <c r="BZ793" s="22"/>
      <c r="CA793" s="22"/>
      <c r="CB793" s="1222" t="s">
        <v>3944</v>
      </c>
      <c r="CC793" s="859"/>
      <c r="CD793" s="526"/>
      <c r="CE793" s="526"/>
      <c r="CF793" s="526"/>
      <c r="CG793" s="526"/>
      <c r="CH793" s="526"/>
      <c r="CI793" s="526"/>
      <c r="CJ793" s="526"/>
      <c r="CK793" s="15"/>
    </row>
    <row r="794" spans="2:89" ht="63" hidden="1" customHeight="1">
      <c r="B794" s="22"/>
      <c r="C794" s="22"/>
      <c r="D794" s="22"/>
      <c r="E794" s="911"/>
      <c r="F794" s="911"/>
      <c r="G794" s="915"/>
      <c r="H794" s="1746"/>
      <c r="I794" s="330"/>
      <c r="J794" s="169">
        <v>2024</v>
      </c>
      <c r="K794" s="1417">
        <v>242010</v>
      </c>
      <c r="L794" s="1417"/>
      <c r="M794" s="170" t="s">
        <v>166</v>
      </c>
      <c r="N794" s="178" t="s">
        <v>6591</v>
      </c>
      <c r="O794" s="172" t="s">
        <v>45</v>
      </c>
      <c r="P794" s="1461" t="s">
        <v>6650</v>
      </c>
      <c r="Q794" s="173" t="s">
        <v>1975</v>
      </c>
      <c r="R794" s="594">
        <f>12000*1.16</f>
        <v>13919.999999999998</v>
      </c>
      <c r="S794" s="590">
        <v>45520</v>
      </c>
      <c r="T794" s="176">
        <v>45523</v>
      </c>
      <c r="U794" s="177">
        <v>45524</v>
      </c>
      <c r="V794" s="676"/>
      <c r="W794" s="178" t="s">
        <v>3958</v>
      </c>
      <c r="X794" s="170" t="s">
        <v>6437</v>
      </c>
      <c r="Y794" s="1723" t="s">
        <v>68</v>
      </c>
      <c r="Z794" s="1724" t="s">
        <v>68</v>
      </c>
      <c r="AA794" s="33"/>
      <c r="AB794" s="8"/>
      <c r="AC794" s="4"/>
      <c r="AD794" s="4"/>
      <c r="AE794" s="32"/>
      <c r="AF794" s="1725" t="s">
        <v>68</v>
      </c>
      <c r="AG794" s="1726" t="s">
        <v>68</v>
      </c>
      <c r="AH794" s="1726" t="s">
        <v>68</v>
      </c>
      <c r="AI794" s="1727" t="s">
        <v>68</v>
      </c>
      <c r="AJ794" s="1728" t="s">
        <v>68</v>
      </c>
      <c r="AK794" s="1729" t="s">
        <v>68</v>
      </c>
      <c r="AL794" s="1634" t="s">
        <v>68</v>
      </c>
      <c r="AM794" s="1656"/>
      <c r="AN794" s="1634" t="s">
        <v>68</v>
      </c>
      <c r="AO794" s="1656"/>
      <c r="AP794" s="1634" t="s">
        <v>68</v>
      </c>
      <c r="AQ794" s="1656"/>
      <c r="AR794" s="1730"/>
      <c r="AS794" s="1731">
        <v>0</v>
      </c>
      <c r="AT794" s="1732">
        <v>0</v>
      </c>
      <c r="AU794" s="1733">
        <v>0</v>
      </c>
      <c r="AV794" s="1734" t="s">
        <v>68</v>
      </c>
      <c r="AW794" s="1653" t="s">
        <v>68</v>
      </c>
      <c r="AX794" s="1654" t="s">
        <v>68</v>
      </c>
      <c r="AY794" s="1655" t="s">
        <v>68</v>
      </c>
      <c r="AZ794" s="30" t="s">
        <v>68</v>
      </c>
      <c r="BA794" s="5"/>
      <c r="BB794" s="5"/>
      <c r="BC794" s="11"/>
      <c r="BD794" s="30" t="s">
        <v>68</v>
      </c>
      <c r="BE794" s="309"/>
      <c r="BF794" s="5"/>
      <c r="BG794" s="5"/>
      <c r="BH794" s="5"/>
      <c r="BI794" s="36"/>
      <c r="BJ794" s="1736" t="s">
        <v>68</v>
      </c>
      <c r="BK794" s="1117"/>
      <c r="BL794" s="1737" t="s">
        <v>68</v>
      </c>
      <c r="BM794" s="1738" t="s">
        <v>68</v>
      </c>
      <c r="BN794" s="1738" t="s">
        <v>68</v>
      </c>
      <c r="BO794" s="1739" t="s">
        <v>68</v>
      </c>
      <c r="BP794" s="1739" t="s">
        <v>68</v>
      </c>
      <c r="BQ794" s="1739" t="s">
        <v>68</v>
      </c>
      <c r="BR794" s="1739" t="s">
        <v>68</v>
      </c>
      <c r="BS794" s="1739" t="s">
        <v>68</v>
      </c>
      <c r="BT794" s="1739" t="s">
        <v>68</v>
      </c>
      <c r="BU794" s="1739" t="s">
        <v>68</v>
      </c>
      <c r="BV794" s="1737" t="s">
        <v>68</v>
      </c>
      <c r="BW794" s="13"/>
      <c r="BX794" s="22"/>
      <c r="BY794" s="22"/>
      <c r="BZ794" s="22"/>
      <c r="CA794" s="22"/>
      <c r="CB794" s="1222" t="s">
        <v>3944</v>
      </c>
      <c r="CC794" s="859"/>
      <c r="CD794" s="526"/>
      <c r="CE794" s="526"/>
      <c r="CF794" s="526"/>
      <c r="CG794" s="526"/>
      <c r="CH794" s="526"/>
      <c r="CI794" s="526"/>
      <c r="CJ794" s="526"/>
      <c r="CK794" s="15"/>
    </row>
    <row r="795" spans="2:89" ht="95.25" hidden="1" customHeight="1">
      <c r="B795" s="22"/>
      <c r="C795" s="22"/>
      <c r="D795" s="22"/>
      <c r="E795" s="911"/>
      <c r="F795" s="911"/>
      <c r="G795" s="915"/>
      <c r="H795" s="1746"/>
      <c r="I795" s="330"/>
      <c r="J795" s="169">
        <v>2024</v>
      </c>
      <c r="K795" s="1417">
        <v>242010</v>
      </c>
      <c r="L795" s="1417"/>
      <c r="M795" s="170" t="s">
        <v>166</v>
      </c>
      <c r="N795" s="178" t="s">
        <v>6592</v>
      </c>
      <c r="O795" s="172" t="s">
        <v>45</v>
      </c>
      <c r="P795" s="1461" t="s">
        <v>6651</v>
      </c>
      <c r="Q795" s="173" t="s">
        <v>4824</v>
      </c>
      <c r="R795" s="594">
        <f>28000*1.16</f>
        <v>32479.999999999996</v>
      </c>
      <c r="S795" s="590">
        <v>45533</v>
      </c>
      <c r="T795" s="176">
        <v>45537</v>
      </c>
      <c r="U795" s="177">
        <v>45538</v>
      </c>
      <c r="V795" s="676"/>
      <c r="W795" s="178" t="s">
        <v>3960</v>
      </c>
      <c r="X795" s="170" t="s">
        <v>6437</v>
      </c>
      <c r="Y795" s="1723" t="s">
        <v>68</v>
      </c>
      <c r="Z795" s="1724" t="s">
        <v>68</v>
      </c>
      <c r="AA795" s="33"/>
      <c r="AB795" s="8"/>
      <c r="AC795" s="4"/>
      <c r="AD795" s="4"/>
      <c r="AE795" s="32"/>
      <c r="AF795" s="1725" t="s">
        <v>68</v>
      </c>
      <c r="AG795" s="1726" t="s">
        <v>68</v>
      </c>
      <c r="AH795" s="1726" t="s">
        <v>68</v>
      </c>
      <c r="AI795" s="1727" t="s">
        <v>68</v>
      </c>
      <c r="AJ795" s="1728" t="s">
        <v>68</v>
      </c>
      <c r="AK795" s="1729" t="s">
        <v>68</v>
      </c>
      <c r="AL795" s="1634" t="s">
        <v>68</v>
      </c>
      <c r="AM795" s="1656"/>
      <c r="AN795" s="1634" t="s">
        <v>68</v>
      </c>
      <c r="AO795" s="1656"/>
      <c r="AP795" s="1634" t="s">
        <v>68</v>
      </c>
      <c r="AQ795" s="1656"/>
      <c r="AR795" s="1730"/>
      <c r="AS795" s="1731">
        <v>0</v>
      </c>
      <c r="AT795" s="1732">
        <v>0</v>
      </c>
      <c r="AU795" s="1733">
        <v>0</v>
      </c>
      <c r="AV795" s="1734" t="s">
        <v>68</v>
      </c>
      <c r="AW795" s="1653" t="s">
        <v>68</v>
      </c>
      <c r="AX795" s="1654" t="s">
        <v>68</v>
      </c>
      <c r="AY795" s="1655" t="s">
        <v>68</v>
      </c>
      <c r="AZ795" s="30" t="s">
        <v>68</v>
      </c>
      <c r="BA795" s="5"/>
      <c r="BB795" s="5"/>
      <c r="BC795" s="11"/>
      <c r="BD795" s="30" t="s">
        <v>68</v>
      </c>
      <c r="BE795" s="309"/>
      <c r="BF795" s="5"/>
      <c r="BG795" s="5"/>
      <c r="BH795" s="5"/>
      <c r="BI795" s="36"/>
      <c r="BJ795" s="1736" t="s">
        <v>68</v>
      </c>
      <c r="BK795" s="1117"/>
      <c r="BL795" s="1737" t="s">
        <v>68</v>
      </c>
      <c r="BM795" s="1738" t="s">
        <v>68</v>
      </c>
      <c r="BN795" s="1738" t="s">
        <v>68</v>
      </c>
      <c r="BO795" s="1739" t="s">
        <v>68</v>
      </c>
      <c r="BP795" s="1739" t="s">
        <v>68</v>
      </c>
      <c r="BQ795" s="1739" t="s">
        <v>68</v>
      </c>
      <c r="BR795" s="1739" t="s">
        <v>68</v>
      </c>
      <c r="BS795" s="1739" t="s">
        <v>68</v>
      </c>
      <c r="BT795" s="1739" t="s">
        <v>68</v>
      </c>
      <c r="BU795" s="1739" t="s">
        <v>68</v>
      </c>
      <c r="BV795" s="1737" t="s">
        <v>68</v>
      </c>
      <c r="BW795" s="13"/>
      <c r="BX795" s="22"/>
      <c r="BY795" s="22"/>
      <c r="BZ795" s="22"/>
      <c r="CA795" s="22"/>
      <c r="CB795" s="1222" t="s">
        <v>3944</v>
      </c>
      <c r="CC795" s="859"/>
      <c r="CD795" s="526"/>
      <c r="CE795" s="526"/>
      <c r="CF795" s="526"/>
      <c r="CG795" s="526"/>
      <c r="CH795" s="526"/>
      <c r="CI795" s="526"/>
      <c r="CJ795" s="526"/>
      <c r="CK795" s="15"/>
    </row>
    <row r="796" spans="2:89" ht="101.25" hidden="1" customHeight="1">
      <c r="B796" s="22"/>
      <c r="C796" s="22"/>
      <c r="D796" s="22"/>
      <c r="E796" s="911"/>
      <c r="F796" s="911"/>
      <c r="G796" s="915"/>
      <c r="H796" s="1746"/>
      <c r="I796" s="330"/>
      <c r="J796" s="169">
        <v>2024</v>
      </c>
      <c r="K796" s="1417">
        <v>242010</v>
      </c>
      <c r="L796" s="1417"/>
      <c r="M796" s="170" t="s">
        <v>166</v>
      </c>
      <c r="N796" s="178" t="s">
        <v>6593</v>
      </c>
      <c r="O796" s="172" t="s">
        <v>45</v>
      </c>
      <c r="P796" s="1461" t="s">
        <v>6689</v>
      </c>
      <c r="Q796" s="173" t="s">
        <v>1975</v>
      </c>
      <c r="R796" s="594">
        <f>25970*1.16</f>
        <v>30125.199999999997</v>
      </c>
      <c r="S796" s="590">
        <v>45533</v>
      </c>
      <c r="T796" s="176">
        <v>45539</v>
      </c>
      <c r="U796" s="177">
        <v>45540</v>
      </c>
      <c r="V796" s="676"/>
      <c r="W796" s="178" t="s">
        <v>3960</v>
      </c>
      <c r="X796" s="170" t="s">
        <v>6437</v>
      </c>
      <c r="Y796" s="1723" t="s">
        <v>68</v>
      </c>
      <c r="Z796" s="1724" t="s">
        <v>68</v>
      </c>
      <c r="AA796" s="33"/>
      <c r="AB796" s="8"/>
      <c r="AC796" s="4"/>
      <c r="AD796" s="4"/>
      <c r="AE796" s="32"/>
      <c r="AF796" s="1725" t="s">
        <v>68</v>
      </c>
      <c r="AG796" s="1726" t="s">
        <v>68</v>
      </c>
      <c r="AH796" s="1726" t="s">
        <v>68</v>
      </c>
      <c r="AI796" s="1727" t="s">
        <v>68</v>
      </c>
      <c r="AJ796" s="1728" t="s">
        <v>68</v>
      </c>
      <c r="AK796" s="1729" t="s">
        <v>68</v>
      </c>
      <c r="AL796" s="1634" t="s">
        <v>68</v>
      </c>
      <c r="AM796" s="1656"/>
      <c r="AN796" s="1634" t="s">
        <v>68</v>
      </c>
      <c r="AO796" s="1656"/>
      <c r="AP796" s="1634" t="s">
        <v>68</v>
      </c>
      <c r="AQ796" s="1656"/>
      <c r="AR796" s="1730"/>
      <c r="AS796" s="1731">
        <v>0</v>
      </c>
      <c r="AT796" s="1732">
        <v>0</v>
      </c>
      <c r="AU796" s="1733">
        <v>0</v>
      </c>
      <c r="AV796" s="1734" t="s">
        <v>68</v>
      </c>
      <c r="AW796" s="1653" t="s">
        <v>68</v>
      </c>
      <c r="AX796" s="1654" t="s">
        <v>68</v>
      </c>
      <c r="AY796" s="1655" t="s">
        <v>68</v>
      </c>
      <c r="AZ796" s="30" t="s">
        <v>68</v>
      </c>
      <c r="BA796" s="5"/>
      <c r="BB796" s="5"/>
      <c r="BC796" s="11"/>
      <c r="BD796" s="30" t="s">
        <v>68</v>
      </c>
      <c r="BE796" s="309"/>
      <c r="BF796" s="5"/>
      <c r="BG796" s="5"/>
      <c r="BH796" s="5"/>
      <c r="BI796" s="36"/>
      <c r="BJ796" s="1736" t="s">
        <v>68</v>
      </c>
      <c r="BK796" s="1117"/>
      <c r="BL796" s="1737" t="s">
        <v>68</v>
      </c>
      <c r="BM796" s="1738" t="s">
        <v>68</v>
      </c>
      <c r="BN796" s="1738" t="s">
        <v>68</v>
      </c>
      <c r="BO796" s="1739" t="s">
        <v>68</v>
      </c>
      <c r="BP796" s="1739" t="s">
        <v>68</v>
      </c>
      <c r="BQ796" s="1739" t="s">
        <v>68</v>
      </c>
      <c r="BR796" s="1739" t="s">
        <v>68</v>
      </c>
      <c r="BS796" s="1739" t="s">
        <v>68</v>
      </c>
      <c r="BT796" s="1739" t="s">
        <v>68</v>
      </c>
      <c r="BU796" s="1739" t="s">
        <v>68</v>
      </c>
      <c r="BV796" s="1737" t="s">
        <v>68</v>
      </c>
      <c r="BW796" s="13"/>
      <c r="BX796" s="22"/>
      <c r="BY796" s="22"/>
      <c r="BZ796" s="22"/>
      <c r="CA796" s="22"/>
      <c r="CB796" s="1222" t="s">
        <v>3944</v>
      </c>
      <c r="CC796" s="859"/>
      <c r="CD796" s="526"/>
      <c r="CE796" s="526"/>
      <c r="CF796" s="526"/>
      <c r="CG796" s="526"/>
      <c r="CH796" s="526"/>
      <c r="CI796" s="526"/>
      <c r="CJ796" s="526"/>
      <c r="CK796" s="15"/>
    </row>
    <row r="797" spans="2:89" ht="87" hidden="1" customHeight="1">
      <c r="B797" s="22"/>
      <c r="C797" s="22"/>
      <c r="D797" s="22"/>
      <c r="E797" s="911"/>
      <c r="F797" s="911"/>
      <c r="G797" s="915">
        <v>1</v>
      </c>
      <c r="H797" s="1746" t="s">
        <v>68</v>
      </c>
      <c r="I797" s="330"/>
      <c r="J797" s="169">
        <v>2024</v>
      </c>
      <c r="K797" s="1417">
        <v>243001</v>
      </c>
      <c r="L797" s="1417"/>
      <c r="M797" s="170" t="s">
        <v>166</v>
      </c>
      <c r="N797" s="178" t="s">
        <v>6594</v>
      </c>
      <c r="O797" s="172" t="s">
        <v>46</v>
      </c>
      <c r="P797" s="173" t="s">
        <v>6659</v>
      </c>
      <c r="Q797" s="173" t="s">
        <v>4409</v>
      </c>
      <c r="R797" s="594">
        <f>3400*1.16</f>
        <v>3943.9999999999995</v>
      </c>
      <c r="S797" s="590">
        <v>45341</v>
      </c>
      <c r="T797" s="176">
        <v>45343</v>
      </c>
      <c r="U797" s="177">
        <v>45349</v>
      </c>
      <c r="V797" s="676"/>
      <c r="W797" s="178" t="s">
        <v>739</v>
      </c>
      <c r="X797" s="170" t="s">
        <v>1107</v>
      </c>
      <c r="Y797" s="1723" t="s">
        <v>68</v>
      </c>
      <c r="Z797" s="1724" t="s">
        <v>68</v>
      </c>
      <c r="AA797" s="255"/>
      <c r="AB797" s="8"/>
      <c r="AC797" s="4"/>
      <c r="AD797" s="4"/>
      <c r="AE797" s="32"/>
      <c r="AF797" s="1725" t="s">
        <v>68</v>
      </c>
      <c r="AG797" s="1726" t="s">
        <v>68</v>
      </c>
      <c r="AH797" s="1726" t="s">
        <v>68</v>
      </c>
      <c r="AI797" s="1727" t="s">
        <v>68</v>
      </c>
      <c r="AJ797" s="1728" t="s">
        <v>68</v>
      </c>
      <c r="AK797" s="1729" t="s">
        <v>68</v>
      </c>
      <c r="AL797" s="1634" t="s">
        <v>68</v>
      </c>
      <c r="AM797" s="1656"/>
      <c r="AN797" s="1634" t="s">
        <v>68</v>
      </c>
      <c r="AO797" s="1656"/>
      <c r="AP797" s="1634" t="s">
        <v>68</v>
      </c>
      <c r="AQ797" s="1656"/>
      <c r="AR797" s="1730"/>
      <c r="AS797" s="1731">
        <v>0</v>
      </c>
      <c r="AT797" s="1732">
        <v>0</v>
      </c>
      <c r="AU797" s="1733">
        <v>0</v>
      </c>
      <c r="AV797" s="1734" t="s">
        <v>68</v>
      </c>
      <c r="AW797" s="1653" t="s">
        <v>68</v>
      </c>
      <c r="AX797" s="1654" t="s">
        <v>68</v>
      </c>
      <c r="AY797" s="1655" t="s">
        <v>68</v>
      </c>
      <c r="AZ797" s="230"/>
      <c r="BA797" s="5"/>
      <c r="BB797" s="5"/>
      <c r="BC797" s="11"/>
      <c r="BD797" s="230"/>
      <c r="BE797" s="508"/>
      <c r="BF797" s="5"/>
      <c r="BG797" s="5"/>
      <c r="BH797" s="5"/>
      <c r="BI797" s="64"/>
      <c r="BJ797" s="1736" t="s">
        <v>68</v>
      </c>
      <c r="BK797" s="1117"/>
      <c r="BL797" s="1737" t="s">
        <v>68</v>
      </c>
      <c r="BM797" s="1738" t="s">
        <v>68</v>
      </c>
      <c r="BN797" s="1738" t="s">
        <v>68</v>
      </c>
      <c r="BO797" s="1739" t="s">
        <v>68</v>
      </c>
      <c r="BP797" s="1739" t="s">
        <v>68</v>
      </c>
      <c r="BQ797" s="1739" t="s">
        <v>68</v>
      </c>
      <c r="BR797" s="1739" t="s">
        <v>68</v>
      </c>
      <c r="BS797" s="1739" t="s">
        <v>68</v>
      </c>
      <c r="BT797" s="1739" t="s">
        <v>68</v>
      </c>
      <c r="BU797" s="1739" t="s">
        <v>68</v>
      </c>
      <c r="BV797" s="1737" t="s">
        <v>68</v>
      </c>
      <c r="BW797" s="13"/>
      <c r="BX797" s="22"/>
      <c r="BY797" s="22"/>
      <c r="BZ797" s="22"/>
      <c r="CA797" s="22"/>
      <c r="CB797" s="1222" t="s">
        <v>3944</v>
      </c>
      <c r="CC797" s="859" t="s">
        <v>6652</v>
      </c>
      <c r="CD797" s="526"/>
      <c r="CE797" s="526"/>
      <c r="CF797" s="526"/>
      <c r="CG797" s="526"/>
      <c r="CH797" s="526"/>
      <c r="CI797" s="526"/>
      <c r="CJ797" s="526"/>
      <c r="CK797" s="15"/>
    </row>
    <row r="798" spans="2:89" ht="90" hidden="1" customHeight="1">
      <c r="B798" s="22"/>
      <c r="C798" s="22"/>
      <c r="D798" s="22"/>
      <c r="E798" s="911"/>
      <c r="F798" s="911"/>
      <c r="G798" s="915"/>
      <c r="H798" s="1746" t="s">
        <v>68</v>
      </c>
      <c r="I798" s="330"/>
      <c r="J798" s="169">
        <v>2024</v>
      </c>
      <c r="K798" s="1417">
        <v>243002</v>
      </c>
      <c r="L798" s="1417"/>
      <c r="M798" s="170" t="s">
        <v>166</v>
      </c>
      <c r="N798" s="178" t="s">
        <v>6595</v>
      </c>
      <c r="O798" s="172" t="s">
        <v>46</v>
      </c>
      <c r="P798" s="173" t="s">
        <v>6653</v>
      </c>
      <c r="Q798" s="173" t="s">
        <v>1975</v>
      </c>
      <c r="R798" s="594">
        <f>1900*1.16</f>
        <v>2204</v>
      </c>
      <c r="S798" s="590">
        <v>45345</v>
      </c>
      <c r="T798" s="176">
        <v>45348</v>
      </c>
      <c r="U798" s="177">
        <v>45350</v>
      </c>
      <c r="V798" s="676"/>
      <c r="W798" s="178" t="s">
        <v>739</v>
      </c>
      <c r="X798" s="170" t="s">
        <v>6437</v>
      </c>
      <c r="Y798" s="1723" t="s">
        <v>68</v>
      </c>
      <c r="Z798" s="1724" t="s">
        <v>68</v>
      </c>
      <c r="AA798" s="255"/>
      <c r="AB798" s="8"/>
      <c r="AC798" s="4"/>
      <c r="AD798" s="4"/>
      <c r="AE798" s="32"/>
      <c r="AF798" s="1725" t="s">
        <v>68</v>
      </c>
      <c r="AG798" s="1726" t="s">
        <v>68</v>
      </c>
      <c r="AH798" s="1726" t="s">
        <v>68</v>
      </c>
      <c r="AI798" s="1727" t="s">
        <v>68</v>
      </c>
      <c r="AJ798" s="1728" t="s">
        <v>68</v>
      </c>
      <c r="AK798" s="1729" t="s">
        <v>68</v>
      </c>
      <c r="AL798" s="1634" t="s">
        <v>68</v>
      </c>
      <c r="AM798" s="1656"/>
      <c r="AN798" s="1634" t="s">
        <v>68</v>
      </c>
      <c r="AO798" s="1656"/>
      <c r="AP798" s="1634" t="s">
        <v>68</v>
      </c>
      <c r="AQ798" s="1656"/>
      <c r="AR798" s="1730"/>
      <c r="AS798" s="1731">
        <v>0</v>
      </c>
      <c r="AT798" s="1732">
        <v>0</v>
      </c>
      <c r="AU798" s="1733">
        <v>0</v>
      </c>
      <c r="AV798" s="1734" t="s">
        <v>68</v>
      </c>
      <c r="AW798" s="1653" t="s">
        <v>68</v>
      </c>
      <c r="AX798" s="1654" t="s">
        <v>68</v>
      </c>
      <c r="AY798" s="1655" t="s">
        <v>68</v>
      </c>
      <c r="AZ798" s="230"/>
      <c r="BA798" s="5"/>
      <c r="BB798" s="5"/>
      <c r="BC798" s="11"/>
      <c r="BD798" s="230"/>
      <c r="BE798" s="508"/>
      <c r="BF798" s="5"/>
      <c r="BG798" s="5"/>
      <c r="BH798" s="5"/>
      <c r="BI798" s="64"/>
      <c r="BJ798" s="1736" t="s">
        <v>68</v>
      </c>
      <c r="BK798" s="1117"/>
      <c r="BL798" s="1737" t="s">
        <v>68</v>
      </c>
      <c r="BM798" s="1738" t="s">
        <v>68</v>
      </c>
      <c r="BN798" s="1738" t="s">
        <v>68</v>
      </c>
      <c r="BO798" s="1739" t="s">
        <v>68</v>
      </c>
      <c r="BP798" s="1739" t="s">
        <v>68</v>
      </c>
      <c r="BQ798" s="1739" t="s">
        <v>68</v>
      </c>
      <c r="BR798" s="1739" t="s">
        <v>68</v>
      </c>
      <c r="BS798" s="1739" t="s">
        <v>68</v>
      </c>
      <c r="BT798" s="1739" t="s">
        <v>68</v>
      </c>
      <c r="BU798" s="1739" t="s">
        <v>68</v>
      </c>
      <c r="BV798" s="1737" t="s">
        <v>68</v>
      </c>
      <c r="BW798" s="13"/>
      <c r="BX798" s="22"/>
      <c r="BY798" s="22"/>
      <c r="BZ798" s="22"/>
      <c r="CA798" s="22"/>
      <c r="CB798" s="1222" t="s">
        <v>3944</v>
      </c>
      <c r="CC798" s="859" t="s">
        <v>6654</v>
      </c>
      <c r="CD798" s="526"/>
      <c r="CE798" s="526"/>
      <c r="CF798" s="526"/>
      <c r="CG798" s="526"/>
      <c r="CH798" s="526"/>
      <c r="CI798" s="526"/>
      <c r="CJ798" s="526"/>
      <c r="CK798" s="15"/>
    </row>
    <row r="799" spans="2:89" ht="101.25" hidden="1" customHeight="1">
      <c r="B799" s="22"/>
      <c r="C799" s="22"/>
      <c r="D799" s="22"/>
      <c r="E799" s="911"/>
      <c r="F799" s="911"/>
      <c r="G799" s="915"/>
      <c r="H799" s="1746" t="s">
        <v>68</v>
      </c>
      <c r="I799" s="330"/>
      <c r="J799" s="169">
        <v>2024</v>
      </c>
      <c r="K799" s="1417">
        <v>243003</v>
      </c>
      <c r="L799" s="1417"/>
      <c r="M799" s="170" t="s">
        <v>166</v>
      </c>
      <c r="N799" s="178" t="s">
        <v>6596</v>
      </c>
      <c r="O799" s="172" t="s">
        <v>46</v>
      </c>
      <c r="P799" s="173" t="s">
        <v>6655</v>
      </c>
      <c r="Q799" s="173" t="s">
        <v>3623</v>
      </c>
      <c r="R799" s="594">
        <f>600*1.16</f>
        <v>696</v>
      </c>
      <c r="S799" s="590">
        <v>45345</v>
      </c>
      <c r="T799" s="176">
        <v>45348</v>
      </c>
      <c r="U799" s="177">
        <v>45353</v>
      </c>
      <c r="V799" s="676"/>
      <c r="W799" s="178" t="s">
        <v>4362</v>
      </c>
      <c r="X799" s="170" t="s">
        <v>6437</v>
      </c>
      <c r="Y799" s="1723" t="s">
        <v>68</v>
      </c>
      <c r="Z799" s="1724" t="s">
        <v>68</v>
      </c>
      <c r="AA799" s="255"/>
      <c r="AB799" s="8"/>
      <c r="AC799" s="4"/>
      <c r="AD799" s="4"/>
      <c r="AE799" s="32"/>
      <c r="AF799" s="1725" t="s">
        <v>68</v>
      </c>
      <c r="AG799" s="1726" t="s">
        <v>68</v>
      </c>
      <c r="AH799" s="1726" t="s">
        <v>68</v>
      </c>
      <c r="AI799" s="1727" t="s">
        <v>68</v>
      </c>
      <c r="AJ799" s="1728" t="s">
        <v>68</v>
      </c>
      <c r="AK799" s="1729" t="s">
        <v>68</v>
      </c>
      <c r="AL799" s="1634" t="s">
        <v>68</v>
      </c>
      <c r="AM799" s="1656"/>
      <c r="AN799" s="1634" t="s">
        <v>68</v>
      </c>
      <c r="AO799" s="1656"/>
      <c r="AP799" s="1634" t="s">
        <v>68</v>
      </c>
      <c r="AQ799" s="1656"/>
      <c r="AR799" s="1730"/>
      <c r="AS799" s="1731">
        <v>0</v>
      </c>
      <c r="AT799" s="1732">
        <v>0</v>
      </c>
      <c r="AU799" s="1733">
        <v>0</v>
      </c>
      <c r="AV799" s="1734" t="s">
        <v>68</v>
      </c>
      <c r="AW799" s="1653" t="s">
        <v>68</v>
      </c>
      <c r="AX799" s="1654" t="s">
        <v>68</v>
      </c>
      <c r="AY799" s="1655" t="s">
        <v>68</v>
      </c>
      <c r="AZ799" s="230"/>
      <c r="BA799" s="5"/>
      <c r="BB799" s="5"/>
      <c r="BC799" s="11"/>
      <c r="BD799" s="230"/>
      <c r="BE799" s="508"/>
      <c r="BF799" s="5"/>
      <c r="BG799" s="5"/>
      <c r="BH799" s="5"/>
      <c r="BI799" s="64"/>
      <c r="BJ799" s="1736" t="s">
        <v>68</v>
      </c>
      <c r="BK799" s="1117"/>
      <c r="BL799" s="1737" t="s">
        <v>68</v>
      </c>
      <c r="BM799" s="1738" t="s">
        <v>68</v>
      </c>
      <c r="BN799" s="1738" t="s">
        <v>68</v>
      </c>
      <c r="BO799" s="1739" t="s">
        <v>68</v>
      </c>
      <c r="BP799" s="1739" t="s">
        <v>68</v>
      </c>
      <c r="BQ799" s="1739" t="s">
        <v>68</v>
      </c>
      <c r="BR799" s="1739" t="s">
        <v>68</v>
      </c>
      <c r="BS799" s="1739" t="s">
        <v>68</v>
      </c>
      <c r="BT799" s="1739" t="s">
        <v>68</v>
      </c>
      <c r="BU799" s="1739" t="s">
        <v>68</v>
      </c>
      <c r="BV799" s="1737" t="s">
        <v>68</v>
      </c>
      <c r="BW799" s="13"/>
      <c r="BX799" s="22"/>
      <c r="BY799" s="22"/>
      <c r="BZ799" s="22"/>
      <c r="CA799" s="22"/>
      <c r="CB799" s="1222" t="s">
        <v>3944</v>
      </c>
      <c r="CC799" s="859"/>
      <c r="CD799" s="526"/>
      <c r="CE799" s="526"/>
      <c r="CF799" s="526"/>
      <c r="CG799" s="526"/>
      <c r="CH799" s="526"/>
      <c r="CI799" s="526"/>
      <c r="CJ799" s="526"/>
      <c r="CK799" s="15"/>
    </row>
    <row r="800" spans="2:89" ht="91.5" hidden="1" customHeight="1">
      <c r="B800" s="22"/>
      <c r="C800" s="22"/>
      <c r="D800" s="22"/>
      <c r="E800" s="911"/>
      <c r="F800" s="911"/>
      <c r="G800" s="915"/>
      <c r="H800" s="1746" t="s">
        <v>68</v>
      </c>
      <c r="I800" s="330"/>
      <c r="J800" s="169">
        <v>2024</v>
      </c>
      <c r="K800" s="1417">
        <v>243004</v>
      </c>
      <c r="L800" s="1417"/>
      <c r="M800" s="170" t="s">
        <v>166</v>
      </c>
      <c r="N800" s="178" t="s">
        <v>6597</v>
      </c>
      <c r="O800" s="172" t="s">
        <v>46</v>
      </c>
      <c r="P800" s="173" t="s">
        <v>6693</v>
      </c>
      <c r="Q800" s="173" t="s">
        <v>1975</v>
      </c>
      <c r="R800" s="594">
        <f>3700*1.16</f>
        <v>4292</v>
      </c>
      <c r="S800" s="590">
        <v>45363</v>
      </c>
      <c r="T800" s="176">
        <v>45365</v>
      </c>
      <c r="U800" s="177">
        <v>45372</v>
      </c>
      <c r="V800" s="676"/>
      <c r="W800" s="178" t="s">
        <v>6656</v>
      </c>
      <c r="X800" s="170" t="s">
        <v>6437</v>
      </c>
      <c r="Y800" s="1723" t="s">
        <v>68</v>
      </c>
      <c r="Z800" s="1724" t="s">
        <v>68</v>
      </c>
      <c r="AA800" s="255"/>
      <c r="AB800" s="8"/>
      <c r="AC800" s="4"/>
      <c r="AD800" s="4"/>
      <c r="AE800" s="32"/>
      <c r="AF800" s="1725" t="s">
        <v>68</v>
      </c>
      <c r="AG800" s="1726" t="s">
        <v>68</v>
      </c>
      <c r="AH800" s="1726" t="s">
        <v>68</v>
      </c>
      <c r="AI800" s="1727" t="s">
        <v>68</v>
      </c>
      <c r="AJ800" s="1728" t="s">
        <v>68</v>
      </c>
      <c r="AK800" s="1729" t="s">
        <v>68</v>
      </c>
      <c r="AL800" s="1634" t="s">
        <v>68</v>
      </c>
      <c r="AM800" s="1656"/>
      <c r="AN800" s="1634" t="s">
        <v>68</v>
      </c>
      <c r="AO800" s="1656"/>
      <c r="AP800" s="1634" t="s">
        <v>68</v>
      </c>
      <c r="AQ800" s="1656"/>
      <c r="AR800" s="1730"/>
      <c r="AS800" s="1731">
        <v>0</v>
      </c>
      <c r="AT800" s="1732">
        <v>0</v>
      </c>
      <c r="AU800" s="1733">
        <v>0</v>
      </c>
      <c r="AV800" s="1734" t="s">
        <v>68</v>
      </c>
      <c r="AW800" s="1653" t="s">
        <v>68</v>
      </c>
      <c r="AX800" s="1654" t="s">
        <v>68</v>
      </c>
      <c r="AY800" s="1655" t="s">
        <v>68</v>
      </c>
      <c r="AZ800" s="230"/>
      <c r="BA800" s="5"/>
      <c r="BB800" s="5"/>
      <c r="BC800" s="11"/>
      <c r="BD800" s="230"/>
      <c r="BE800" s="508"/>
      <c r="BF800" s="5"/>
      <c r="BG800" s="5"/>
      <c r="BH800" s="5"/>
      <c r="BI800" s="64"/>
      <c r="BJ800" s="1736" t="s">
        <v>68</v>
      </c>
      <c r="BK800" s="1117"/>
      <c r="BL800" s="1737" t="s">
        <v>68</v>
      </c>
      <c r="BM800" s="1738" t="s">
        <v>68</v>
      </c>
      <c r="BN800" s="1738" t="s">
        <v>68</v>
      </c>
      <c r="BO800" s="1739" t="s">
        <v>68</v>
      </c>
      <c r="BP800" s="1739" t="s">
        <v>68</v>
      </c>
      <c r="BQ800" s="1739" t="s">
        <v>68</v>
      </c>
      <c r="BR800" s="1739" t="s">
        <v>68</v>
      </c>
      <c r="BS800" s="1739" t="s">
        <v>68</v>
      </c>
      <c r="BT800" s="1739" t="s">
        <v>68</v>
      </c>
      <c r="BU800" s="1739" t="s">
        <v>68</v>
      </c>
      <c r="BV800" s="1737" t="s">
        <v>68</v>
      </c>
      <c r="BW800" s="13"/>
      <c r="BX800" s="22"/>
      <c r="BY800" s="22"/>
      <c r="BZ800" s="22"/>
      <c r="CA800" s="22"/>
      <c r="CB800" s="1222" t="s">
        <v>3944</v>
      </c>
      <c r="CC800" s="859" t="s">
        <v>6657</v>
      </c>
      <c r="CD800" s="526"/>
      <c r="CE800" s="526"/>
      <c r="CF800" s="526"/>
      <c r="CG800" s="526"/>
      <c r="CH800" s="526"/>
      <c r="CI800" s="526"/>
      <c r="CJ800" s="526"/>
      <c r="CK800" s="15"/>
    </row>
    <row r="801" spans="2:89" ht="87.75" hidden="1" customHeight="1">
      <c r="B801" s="22"/>
      <c r="C801" s="22"/>
      <c r="D801" s="22"/>
      <c r="E801" s="911"/>
      <c r="F801" s="911"/>
      <c r="G801" s="915"/>
      <c r="H801" s="1746" t="s">
        <v>68</v>
      </c>
      <c r="I801" s="330"/>
      <c r="J801" s="169">
        <v>2024</v>
      </c>
      <c r="K801" s="1417">
        <v>243005</v>
      </c>
      <c r="L801" s="1417"/>
      <c r="M801" s="170" t="s">
        <v>166</v>
      </c>
      <c r="N801" s="178" t="s">
        <v>6598</v>
      </c>
      <c r="O801" s="172" t="s">
        <v>46</v>
      </c>
      <c r="P801" s="173" t="s">
        <v>6713</v>
      </c>
      <c r="Q801" s="173" t="s">
        <v>4823</v>
      </c>
      <c r="R801" s="594">
        <f>3200*1.16</f>
        <v>3711.9999999999995</v>
      </c>
      <c r="S801" s="590">
        <v>45362</v>
      </c>
      <c r="T801" s="176">
        <v>45363</v>
      </c>
      <c r="U801" s="177">
        <v>45367</v>
      </c>
      <c r="V801" s="676"/>
      <c r="W801" s="178" t="s">
        <v>739</v>
      </c>
      <c r="X801" s="170" t="s">
        <v>6437</v>
      </c>
      <c r="Y801" s="1723" t="s">
        <v>68</v>
      </c>
      <c r="Z801" s="1724" t="s">
        <v>68</v>
      </c>
      <c r="AA801" s="255"/>
      <c r="AB801" s="8"/>
      <c r="AC801" s="4"/>
      <c r="AD801" s="4"/>
      <c r="AE801" s="32"/>
      <c r="AF801" s="1725" t="s">
        <v>68</v>
      </c>
      <c r="AG801" s="1726" t="s">
        <v>68</v>
      </c>
      <c r="AH801" s="1726" t="s">
        <v>68</v>
      </c>
      <c r="AI801" s="1727" t="s">
        <v>68</v>
      </c>
      <c r="AJ801" s="1728" t="s">
        <v>68</v>
      </c>
      <c r="AK801" s="1729" t="s">
        <v>68</v>
      </c>
      <c r="AL801" s="1634" t="s">
        <v>68</v>
      </c>
      <c r="AM801" s="1656"/>
      <c r="AN801" s="1634" t="s">
        <v>68</v>
      </c>
      <c r="AO801" s="1656"/>
      <c r="AP801" s="1634" t="s">
        <v>68</v>
      </c>
      <c r="AQ801" s="1656"/>
      <c r="AR801" s="1730"/>
      <c r="AS801" s="1731">
        <v>0</v>
      </c>
      <c r="AT801" s="1732">
        <v>0</v>
      </c>
      <c r="AU801" s="1733">
        <v>0</v>
      </c>
      <c r="AV801" s="1734" t="s">
        <v>68</v>
      </c>
      <c r="AW801" s="1653" t="s">
        <v>68</v>
      </c>
      <c r="AX801" s="1654" t="s">
        <v>68</v>
      </c>
      <c r="AY801" s="1655" t="s">
        <v>68</v>
      </c>
      <c r="AZ801" s="230"/>
      <c r="BA801" s="5"/>
      <c r="BB801" s="5"/>
      <c r="BC801" s="11"/>
      <c r="BD801" s="230"/>
      <c r="BE801" s="508"/>
      <c r="BF801" s="5"/>
      <c r="BG801" s="5"/>
      <c r="BH801" s="5"/>
      <c r="BI801" s="64"/>
      <c r="BJ801" s="1736" t="s">
        <v>68</v>
      </c>
      <c r="BK801" s="1117"/>
      <c r="BL801" s="1737" t="s">
        <v>68</v>
      </c>
      <c r="BM801" s="1738" t="s">
        <v>68</v>
      </c>
      <c r="BN801" s="1738" t="s">
        <v>68</v>
      </c>
      <c r="BO801" s="1739" t="s">
        <v>68</v>
      </c>
      <c r="BP801" s="1739" t="s">
        <v>68</v>
      </c>
      <c r="BQ801" s="1739" t="s">
        <v>68</v>
      </c>
      <c r="BR801" s="1739" t="s">
        <v>68</v>
      </c>
      <c r="BS801" s="1739" t="s">
        <v>68</v>
      </c>
      <c r="BT801" s="1739" t="s">
        <v>68</v>
      </c>
      <c r="BU801" s="1739" t="s">
        <v>68</v>
      </c>
      <c r="BV801" s="1737" t="s">
        <v>68</v>
      </c>
      <c r="BW801" s="13"/>
      <c r="BX801" s="22"/>
      <c r="BY801" s="22"/>
      <c r="BZ801" s="22"/>
      <c r="CA801" s="22"/>
      <c r="CB801" s="1222" t="s">
        <v>3944</v>
      </c>
      <c r="CC801" s="859" t="s">
        <v>6658</v>
      </c>
      <c r="CD801" s="526"/>
      <c r="CE801" s="526"/>
      <c r="CF801" s="526"/>
      <c r="CG801" s="526"/>
      <c r="CH801" s="526"/>
      <c r="CI801" s="526"/>
      <c r="CJ801" s="526"/>
      <c r="CK801" s="15"/>
    </row>
    <row r="802" spans="2:89" ht="75" hidden="1" customHeight="1">
      <c r="B802" s="22"/>
      <c r="C802" s="22"/>
      <c r="D802" s="22"/>
      <c r="E802" s="911"/>
      <c r="F802" s="911"/>
      <c r="G802" s="915"/>
      <c r="H802" s="1746" t="s">
        <v>68</v>
      </c>
      <c r="I802" s="330"/>
      <c r="J802" s="169">
        <v>2024</v>
      </c>
      <c r="K802" s="1417">
        <v>243006</v>
      </c>
      <c r="L802" s="1417"/>
      <c r="M802" s="170" t="s">
        <v>166</v>
      </c>
      <c r="N802" s="178" t="s">
        <v>6599</v>
      </c>
      <c r="O802" s="172" t="s">
        <v>46</v>
      </c>
      <c r="P802" s="173" t="s">
        <v>6660</v>
      </c>
      <c r="Q802" s="173" t="s">
        <v>2575</v>
      </c>
      <c r="R802" s="594">
        <f>1700*1.16</f>
        <v>1971.9999999999998</v>
      </c>
      <c r="S802" s="590">
        <v>45352</v>
      </c>
      <c r="T802" s="176">
        <v>45352</v>
      </c>
      <c r="U802" s="177">
        <v>45381</v>
      </c>
      <c r="V802" s="676"/>
      <c r="W802" s="178" t="s">
        <v>739</v>
      </c>
      <c r="X802" s="170" t="s">
        <v>6437</v>
      </c>
      <c r="Y802" s="1723" t="s">
        <v>68</v>
      </c>
      <c r="Z802" s="1724" t="s">
        <v>68</v>
      </c>
      <c r="AA802" s="255"/>
      <c r="AB802" s="8"/>
      <c r="AC802" s="4"/>
      <c r="AD802" s="4"/>
      <c r="AE802" s="32"/>
      <c r="AF802" s="1725" t="s">
        <v>68</v>
      </c>
      <c r="AG802" s="1726" t="s">
        <v>68</v>
      </c>
      <c r="AH802" s="1726" t="s">
        <v>68</v>
      </c>
      <c r="AI802" s="1727" t="s">
        <v>68</v>
      </c>
      <c r="AJ802" s="1728" t="s">
        <v>68</v>
      </c>
      <c r="AK802" s="1729" t="s">
        <v>68</v>
      </c>
      <c r="AL802" s="1634" t="s">
        <v>68</v>
      </c>
      <c r="AM802" s="1656"/>
      <c r="AN802" s="1634" t="s">
        <v>68</v>
      </c>
      <c r="AO802" s="1656"/>
      <c r="AP802" s="1634" t="s">
        <v>68</v>
      </c>
      <c r="AQ802" s="1656"/>
      <c r="AR802" s="1730"/>
      <c r="AS802" s="1731">
        <v>0</v>
      </c>
      <c r="AT802" s="1732">
        <v>0</v>
      </c>
      <c r="AU802" s="1733">
        <v>0</v>
      </c>
      <c r="AV802" s="1734" t="s">
        <v>68</v>
      </c>
      <c r="AW802" s="1653" t="s">
        <v>68</v>
      </c>
      <c r="AX802" s="1654" t="s">
        <v>68</v>
      </c>
      <c r="AY802" s="1655" t="s">
        <v>68</v>
      </c>
      <c r="AZ802" s="230"/>
      <c r="BA802" s="5"/>
      <c r="BB802" s="5"/>
      <c r="BC802" s="11"/>
      <c r="BD802" s="230"/>
      <c r="BE802" s="508"/>
      <c r="BF802" s="5"/>
      <c r="BG802" s="5"/>
      <c r="BH802" s="5"/>
      <c r="BI802" s="64"/>
      <c r="BJ802" s="1736" t="s">
        <v>68</v>
      </c>
      <c r="BK802" s="1117"/>
      <c r="BL802" s="1737" t="s">
        <v>68</v>
      </c>
      <c r="BM802" s="1738" t="s">
        <v>68</v>
      </c>
      <c r="BN802" s="1738" t="s">
        <v>68</v>
      </c>
      <c r="BO802" s="1739" t="s">
        <v>68</v>
      </c>
      <c r="BP802" s="1739" t="s">
        <v>68</v>
      </c>
      <c r="BQ802" s="1739" t="s">
        <v>68</v>
      </c>
      <c r="BR802" s="1739" t="s">
        <v>68</v>
      </c>
      <c r="BS802" s="1739" t="s">
        <v>68</v>
      </c>
      <c r="BT802" s="1739" t="s">
        <v>68</v>
      </c>
      <c r="BU802" s="1739" t="s">
        <v>68</v>
      </c>
      <c r="BV802" s="1737" t="s">
        <v>68</v>
      </c>
      <c r="BW802" s="13"/>
      <c r="BX802" s="22"/>
      <c r="BY802" s="22"/>
      <c r="BZ802" s="22"/>
      <c r="CA802" s="22"/>
      <c r="CB802" s="1222" t="s">
        <v>3944</v>
      </c>
      <c r="CC802" s="859"/>
      <c r="CD802" s="526"/>
      <c r="CE802" s="526"/>
      <c r="CF802" s="526"/>
      <c r="CG802" s="526"/>
      <c r="CH802" s="526"/>
      <c r="CI802" s="526"/>
      <c r="CJ802" s="526"/>
      <c r="CK802" s="15"/>
    </row>
    <row r="803" spans="2:89" ht="80.25" hidden="1" customHeight="1">
      <c r="B803" s="22"/>
      <c r="C803" s="22"/>
      <c r="D803" s="22"/>
      <c r="E803" s="911"/>
      <c r="F803" s="911"/>
      <c r="G803" s="915"/>
      <c r="H803" s="1746" t="s">
        <v>68</v>
      </c>
      <c r="I803" s="330"/>
      <c r="J803" s="169">
        <v>2024</v>
      </c>
      <c r="K803" s="1417">
        <v>243007</v>
      </c>
      <c r="L803" s="1417"/>
      <c r="M803" s="170" t="s">
        <v>166</v>
      </c>
      <c r="N803" s="178" t="s">
        <v>6600</v>
      </c>
      <c r="O803" s="172" t="s">
        <v>46</v>
      </c>
      <c r="P803" s="173" t="s">
        <v>6714</v>
      </c>
      <c r="Q803" s="173" t="s">
        <v>1975</v>
      </c>
      <c r="R803" s="594">
        <f>1300*1.16</f>
        <v>1508</v>
      </c>
      <c r="S803" s="590">
        <v>45378</v>
      </c>
      <c r="T803" s="176">
        <v>45383</v>
      </c>
      <c r="U803" s="177">
        <v>45412</v>
      </c>
      <c r="V803" s="676"/>
      <c r="W803" s="178" t="s">
        <v>739</v>
      </c>
      <c r="X803" s="170" t="s">
        <v>6437</v>
      </c>
      <c r="Y803" s="1723" t="s">
        <v>68</v>
      </c>
      <c r="Z803" s="1724" t="s">
        <v>68</v>
      </c>
      <c r="AA803" s="255"/>
      <c r="AB803" s="8"/>
      <c r="AC803" s="4"/>
      <c r="AD803" s="4"/>
      <c r="AE803" s="32"/>
      <c r="AF803" s="1725" t="s">
        <v>68</v>
      </c>
      <c r="AG803" s="1726" t="s">
        <v>68</v>
      </c>
      <c r="AH803" s="1726" t="s">
        <v>68</v>
      </c>
      <c r="AI803" s="1727" t="s">
        <v>68</v>
      </c>
      <c r="AJ803" s="1728" t="s">
        <v>68</v>
      </c>
      <c r="AK803" s="1729" t="s">
        <v>68</v>
      </c>
      <c r="AL803" s="1634" t="s">
        <v>68</v>
      </c>
      <c r="AM803" s="1656"/>
      <c r="AN803" s="1634" t="s">
        <v>68</v>
      </c>
      <c r="AO803" s="1656"/>
      <c r="AP803" s="1634" t="s">
        <v>68</v>
      </c>
      <c r="AQ803" s="1656"/>
      <c r="AR803" s="1730"/>
      <c r="AS803" s="1731">
        <v>0</v>
      </c>
      <c r="AT803" s="1732">
        <v>0</v>
      </c>
      <c r="AU803" s="1733">
        <v>0</v>
      </c>
      <c r="AV803" s="1734" t="s">
        <v>68</v>
      </c>
      <c r="AW803" s="1653" t="s">
        <v>68</v>
      </c>
      <c r="AX803" s="1654" t="s">
        <v>68</v>
      </c>
      <c r="AY803" s="1655" t="s">
        <v>68</v>
      </c>
      <c r="AZ803" s="230"/>
      <c r="BA803" s="5"/>
      <c r="BB803" s="5"/>
      <c r="BC803" s="11"/>
      <c r="BD803" s="230"/>
      <c r="BE803" s="508"/>
      <c r="BF803" s="5"/>
      <c r="BG803" s="5"/>
      <c r="BH803" s="5"/>
      <c r="BI803" s="64"/>
      <c r="BJ803" s="1736" t="s">
        <v>68</v>
      </c>
      <c r="BK803" s="1117"/>
      <c r="BL803" s="1737" t="s">
        <v>68</v>
      </c>
      <c r="BM803" s="1738" t="s">
        <v>68</v>
      </c>
      <c r="BN803" s="1738" t="s">
        <v>68</v>
      </c>
      <c r="BO803" s="1739" t="s">
        <v>68</v>
      </c>
      <c r="BP803" s="1739" t="s">
        <v>68</v>
      </c>
      <c r="BQ803" s="1739" t="s">
        <v>68</v>
      </c>
      <c r="BR803" s="1739" t="s">
        <v>68</v>
      </c>
      <c r="BS803" s="1739" t="s">
        <v>68</v>
      </c>
      <c r="BT803" s="1739" t="s">
        <v>68</v>
      </c>
      <c r="BU803" s="1739" t="s">
        <v>68</v>
      </c>
      <c r="BV803" s="1737" t="s">
        <v>68</v>
      </c>
      <c r="BW803" s="13"/>
      <c r="BX803" s="22"/>
      <c r="BY803" s="22"/>
      <c r="BZ803" s="22"/>
      <c r="CA803" s="22"/>
      <c r="CB803" s="1222" t="s">
        <v>3944</v>
      </c>
      <c r="CC803" s="859" t="s">
        <v>6661</v>
      </c>
      <c r="CD803" s="526"/>
      <c r="CE803" s="526"/>
      <c r="CF803" s="526"/>
      <c r="CG803" s="526"/>
      <c r="CH803" s="526"/>
      <c r="CI803" s="526"/>
      <c r="CJ803" s="526"/>
      <c r="CK803" s="15"/>
    </row>
    <row r="804" spans="2:89" ht="91.5" hidden="1" customHeight="1">
      <c r="B804" s="22"/>
      <c r="C804" s="22"/>
      <c r="D804" s="22"/>
      <c r="E804" s="911"/>
      <c r="F804" s="911"/>
      <c r="G804" s="915"/>
      <c r="H804" s="1746" t="s">
        <v>68</v>
      </c>
      <c r="I804" s="330"/>
      <c r="J804" s="169">
        <v>2024</v>
      </c>
      <c r="K804" s="1417">
        <v>243008</v>
      </c>
      <c r="L804" s="1417"/>
      <c r="M804" s="170" t="s">
        <v>166</v>
      </c>
      <c r="N804" s="178" t="s">
        <v>6601</v>
      </c>
      <c r="O804" s="172" t="s">
        <v>46</v>
      </c>
      <c r="P804" s="173" t="s">
        <v>6662</v>
      </c>
      <c r="Q804" s="173" t="s">
        <v>2575</v>
      </c>
      <c r="R804" s="594">
        <f>4000*1.16</f>
        <v>4640</v>
      </c>
      <c r="S804" s="590">
        <v>45394</v>
      </c>
      <c r="T804" s="176">
        <v>45397</v>
      </c>
      <c r="U804" s="177">
        <v>45401</v>
      </c>
      <c r="V804" s="676"/>
      <c r="W804" s="178" t="s">
        <v>4362</v>
      </c>
      <c r="X804" s="170" t="s">
        <v>6437</v>
      </c>
      <c r="Y804" s="1723" t="s">
        <v>68</v>
      </c>
      <c r="Z804" s="1724" t="s">
        <v>68</v>
      </c>
      <c r="AA804" s="255"/>
      <c r="AB804" s="8"/>
      <c r="AC804" s="4"/>
      <c r="AD804" s="4"/>
      <c r="AE804" s="32"/>
      <c r="AF804" s="1725" t="s">
        <v>68</v>
      </c>
      <c r="AG804" s="1726" t="s">
        <v>68</v>
      </c>
      <c r="AH804" s="1726" t="s">
        <v>68</v>
      </c>
      <c r="AI804" s="1727" t="s">
        <v>68</v>
      </c>
      <c r="AJ804" s="1728" t="s">
        <v>68</v>
      </c>
      <c r="AK804" s="1729" t="s">
        <v>68</v>
      </c>
      <c r="AL804" s="1634" t="s">
        <v>68</v>
      </c>
      <c r="AM804" s="1656"/>
      <c r="AN804" s="1634" t="s">
        <v>68</v>
      </c>
      <c r="AO804" s="1656"/>
      <c r="AP804" s="1634" t="s">
        <v>68</v>
      </c>
      <c r="AQ804" s="1656"/>
      <c r="AR804" s="1730"/>
      <c r="AS804" s="1731">
        <v>0</v>
      </c>
      <c r="AT804" s="1732">
        <v>0</v>
      </c>
      <c r="AU804" s="1733">
        <v>0</v>
      </c>
      <c r="AV804" s="1734" t="s">
        <v>68</v>
      </c>
      <c r="AW804" s="1653" t="s">
        <v>68</v>
      </c>
      <c r="AX804" s="1654" t="s">
        <v>68</v>
      </c>
      <c r="AY804" s="1655" t="s">
        <v>68</v>
      </c>
      <c r="AZ804" s="230"/>
      <c r="BA804" s="5"/>
      <c r="BB804" s="5"/>
      <c r="BC804" s="11"/>
      <c r="BD804" s="230"/>
      <c r="BE804" s="508"/>
      <c r="BF804" s="5"/>
      <c r="BG804" s="5"/>
      <c r="BH804" s="5"/>
      <c r="BI804" s="64"/>
      <c r="BJ804" s="1736" t="s">
        <v>68</v>
      </c>
      <c r="BK804" s="1117"/>
      <c r="BL804" s="1737" t="s">
        <v>68</v>
      </c>
      <c r="BM804" s="1738" t="s">
        <v>68</v>
      </c>
      <c r="BN804" s="1738" t="s">
        <v>68</v>
      </c>
      <c r="BO804" s="1739" t="s">
        <v>68</v>
      </c>
      <c r="BP804" s="1739" t="s">
        <v>68</v>
      </c>
      <c r="BQ804" s="1739" t="s">
        <v>68</v>
      </c>
      <c r="BR804" s="1739" t="s">
        <v>68</v>
      </c>
      <c r="BS804" s="1739" t="s">
        <v>68</v>
      </c>
      <c r="BT804" s="1739" t="s">
        <v>68</v>
      </c>
      <c r="BU804" s="1739" t="s">
        <v>68</v>
      </c>
      <c r="BV804" s="1737" t="s">
        <v>68</v>
      </c>
      <c r="BW804" s="13"/>
      <c r="BX804" s="22"/>
      <c r="BY804" s="22"/>
      <c r="BZ804" s="22"/>
      <c r="CA804" s="22"/>
      <c r="CB804" s="1222" t="s">
        <v>3944</v>
      </c>
      <c r="CC804" s="859"/>
      <c r="CD804" s="526"/>
      <c r="CE804" s="526"/>
      <c r="CF804" s="526"/>
      <c r="CG804" s="526"/>
      <c r="CH804" s="526"/>
      <c r="CI804" s="526"/>
      <c r="CJ804" s="526"/>
      <c r="CK804" s="15"/>
    </row>
    <row r="805" spans="2:89" ht="121.5" hidden="1" customHeight="1">
      <c r="B805" s="22"/>
      <c r="C805" s="22"/>
      <c r="D805" s="22"/>
      <c r="E805" s="911"/>
      <c r="F805" s="911"/>
      <c r="G805" s="915"/>
      <c r="H805" s="1746" t="s">
        <v>68</v>
      </c>
      <c r="I805" s="330"/>
      <c r="J805" s="169">
        <v>2024</v>
      </c>
      <c r="K805" s="1417">
        <v>243009</v>
      </c>
      <c r="L805" s="1417"/>
      <c r="M805" s="170" t="s">
        <v>166</v>
      </c>
      <c r="N805" s="178" t="s">
        <v>6602</v>
      </c>
      <c r="O805" s="172" t="s">
        <v>46</v>
      </c>
      <c r="P805" s="173" t="s">
        <v>6663</v>
      </c>
      <c r="Q805" s="173" t="s">
        <v>2577</v>
      </c>
      <c r="R805" s="594">
        <f>680*1.16</f>
        <v>788.8</v>
      </c>
      <c r="S805" s="590">
        <v>45352</v>
      </c>
      <c r="T805" s="176">
        <v>45352</v>
      </c>
      <c r="U805" s="177">
        <v>45443</v>
      </c>
      <c r="V805" s="676"/>
      <c r="W805" s="178" t="s">
        <v>6240</v>
      </c>
      <c r="X805" s="170" t="s">
        <v>70</v>
      </c>
      <c r="Y805" s="1723" t="s">
        <v>68</v>
      </c>
      <c r="Z805" s="1724" t="s">
        <v>68</v>
      </c>
      <c r="AA805" s="255"/>
      <c r="AB805" s="8"/>
      <c r="AC805" s="4"/>
      <c r="AD805" s="4"/>
      <c r="AE805" s="32"/>
      <c r="AF805" s="1725" t="s">
        <v>68</v>
      </c>
      <c r="AG805" s="1726" t="s">
        <v>68</v>
      </c>
      <c r="AH805" s="1726" t="s">
        <v>68</v>
      </c>
      <c r="AI805" s="1727" t="s">
        <v>68</v>
      </c>
      <c r="AJ805" s="1728" t="s">
        <v>68</v>
      </c>
      <c r="AK805" s="1729" t="s">
        <v>68</v>
      </c>
      <c r="AL805" s="1634" t="s">
        <v>68</v>
      </c>
      <c r="AM805" s="1656"/>
      <c r="AN805" s="1634" t="s">
        <v>68</v>
      </c>
      <c r="AO805" s="1656"/>
      <c r="AP805" s="1634" t="s">
        <v>68</v>
      </c>
      <c r="AQ805" s="1656"/>
      <c r="AR805" s="1730"/>
      <c r="AS805" s="1731">
        <v>0</v>
      </c>
      <c r="AT805" s="1732">
        <v>0</v>
      </c>
      <c r="AU805" s="1733">
        <v>0</v>
      </c>
      <c r="AV805" s="1734" t="s">
        <v>68</v>
      </c>
      <c r="AW805" s="1653" t="s">
        <v>68</v>
      </c>
      <c r="AX805" s="1654" t="s">
        <v>68</v>
      </c>
      <c r="AY805" s="1655" t="s">
        <v>68</v>
      </c>
      <c r="AZ805" s="230"/>
      <c r="BA805" s="5"/>
      <c r="BB805" s="5"/>
      <c r="BC805" s="11"/>
      <c r="BD805" s="230"/>
      <c r="BE805" s="508"/>
      <c r="BF805" s="5"/>
      <c r="BG805" s="5"/>
      <c r="BH805" s="5"/>
      <c r="BI805" s="64"/>
      <c r="BJ805" s="1736" t="s">
        <v>68</v>
      </c>
      <c r="BK805" s="1117"/>
      <c r="BL805" s="1737" t="s">
        <v>68</v>
      </c>
      <c r="BM805" s="1738" t="s">
        <v>68</v>
      </c>
      <c r="BN805" s="1738" t="s">
        <v>68</v>
      </c>
      <c r="BO805" s="1739" t="s">
        <v>68</v>
      </c>
      <c r="BP805" s="1739" t="s">
        <v>68</v>
      </c>
      <c r="BQ805" s="1739" t="s">
        <v>68</v>
      </c>
      <c r="BR805" s="1739" t="s">
        <v>68</v>
      </c>
      <c r="BS805" s="1739" t="s">
        <v>68</v>
      </c>
      <c r="BT805" s="1739" t="s">
        <v>68</v>
      </c>
      <c r="BU805" s="1739" t="s">
        <v>68</v>
      </c>
      <c r="BV805" s="1737" t="s">
        <v>68</v>
      </c>
      <c r="BW805" s="13"/>
      <c r="BX805" s="22"/>
      <c r="BY805" s="22"/>
      <c r="BZ805" s="22"/>
      <c r="CA805" s="22"/>
      <c r="CB805" s="1222" t="s">
        <v>3944</v>
      </c>
      <c r="CC805" s="859"/>
      <c r="CD805" s="526"/>
      <c r="CE805" s="526"/>
      <c r="CF805" s="526"/>
      <c r="CG805" s="526"/>
      <c r="CH805" s="526"/>
      <c r="CI805" s="526"/>
      <c r="CJ805" s="526"/>
      <c r="CK805" s="15"/>
    </row>
    <row r="806" spans="2:89" ht="110.25" hidden="1" customHeight="1">
      <c r="B806" s="22"/>
      <c r="C806" s="22"/>
      <c r="D806" s="22"/>
      <c r="E806" s="911"/>
      <c r="F806" s="911"/>
      <c r="G806" s="915"/>
      <c r="H806" s="1746" t="s">
        <v>68</v>
      </c>
      <c r="I806" s="330"/>
      <c r="J806" s="169">
        <v>2024</v>
      </c>
      <c r="K806" s="1417">
        <v>243010</v>
      </c>
      <c r="L806" s="1417"/>
      <c r="M806" s="170" t="s">
        <v>166</v>
      </c>
      <c r="N806" s="178" t="s">
        <v>6603</v>
      </c>
      <c r="O806" s="172" t="s">
        <v>46</v>
      </c>
      <c r="P806" s="173" t="s">
        <v>6717</v>
      </c>
      <c r="Q806" s="173" t="s">
        <v>1975</v>
      </c>
      <c r="R806" s="594">
        <f>1278*1.16</f>
        <v>1482.4799999999998</v>
      </c>
      <c r="S806" s="590">
        <v>45420</v>
      </c>
      <c r="T806" s="176">
        <v>45422</v>
      </c>
      <c r="U806" s="177">
        <v>45423</v>
      </c>
      <c r="V806" s="676"/>
      <c r="W806" s="178" t="s">
        <v>4362</v>
      </c>
      <c r="X806" s="170" t="s">
        <v>449</v>
      </c>
      <c r="Y806" s="1723" t="s">
        <v>68</v>
      </c>
      <c r="Z806" s="1724" t="s">
        <v>68</v>
      </c>
      <c r="AA806" s="255"/>
      <c r="AB806" s="8"/>
      <c r="AC806" s="4"/>
      <c r="AD806" s="4"/>
      <c r="AE806" s="32"/>
      <c r="AF806" s="1725" t="s">
        <v>68</v>
      </c>
      <c r="AG806" s="1726" t="s">
        <v>68</v>
      </c>
      <c r="AH806" s="1726" t="s">
        <v>68</v>
      </c>
      <c r="AI806" s="1727" t="s">
        <v>68</v>
      </c>
      <c r="AJ806" s="1728" t="s">
        <v>68</v>
      </c>
      <c r="AK806" s="1729" t="s">
        <v>68</v>
      </c>
      <c r="AL806" s="1634" t="s">
        <v>68</v>
      </c>
      <c r="AM806" s="1656"/>
      <c r="AN806" s="1634" t="s">
        <v>68</v>
      </c>
      <c r="AO806" s="1656"/>
      <c r="AP806" s="1634" t="s">
        <v>68</v>
      </c>
      <c r="AQ806" s="1656"/>
      <c r="AR806" s="1730"/>
      <c r="AS806" s="1731">
        <v>0</v>
      </c>
      <c r="AT806" s="1732">
        <v>0</v>
      </c>
      <c r="AU806" s="1733">
        <v>0</v>
      </c>
      <c r="AV806" s="1734" t="s">
        <v>68</v>
      </c>
      <c r="AW806" s="1653" t="s">
        <v>68</v>
      </c>
      <c r="AX806" s="1654" t="s">
        <v>68</v>
      </c>
      <c r="AY806" s="1655" t="s">
        <v>68</v>
      </c>
      <c r="AZ806" s="230"/>
      <c r="BA806" s="5"/>
      <c r="BB806" s="5"/>
      <c r="BC806" s="11"/>
      <c r="BD806" s="230"/>
      <c r="BE806" s="508"/>
      <c r="BF806" s="5"/>
      <c r="BG806" s="5"/>
      <c r="BH806" s="5"/>
      <c r="BI806" s="64"/>
      <c r="BJ806" s="1736" t="s">
        <v>68</v>
      </c>
      <c r="BK806" s="1117"/>
      <c r="BL806" s="1737" t="s">
        <v>68</v>
      </c>
      <c r="BM806" s="1738" t="s">
        <v>68</v>
      </c>
      <c r="BN806" s="1738" t="s">
        <v>68</v>
      </c>
      <c r="BO806" s="1739" t="s">
        <v>68</v>
      </c>
      <c r="BP806" s="1739" t="s">
        <v>68</v>
      </c>
      <c r="BQ806" s="1739" t="s">
        <v>68</v>
      </c>
      <c r="BR806" s="1739" t="s">
        <v>68</v>
      </c>
      <c r="BS806" s="1739" t="s">
        <v>68</v>
      </c>
      <c r="BT806" s="1739" t="s">
        <v>68</v>
      </c>
      <c r="BU806" s="1739" t="s">
        <v>68</v>
      </c>
      <c r="BV806" s="1737" t="s">
        <v>68</v>
      </c>
      <c r="BW806" s="13"/>
      <c r="BX806" s="22"/>
      <c r="BY806" s="22"/>
      <c r="BZ806" s="22"/>
      <c r="CA806" s="22"/>
      <c r="CB806" s="1222" t="s">
        <v>3944</v>
      </c>
      <c r="CC806" s="859"/>
      <c r="CD806" s="526"/>
      <c r="CE806" s="526"/>
      <c r="CF806" s="526"/>
      <c r="CG806" s="526"/>
      <c r="CH806" s="526"/>
      <c r="CI806" s="526"/>
      <c r="CJ806" s="526"/>
      <c r="CK806" s="15"/>
    </row>
    <row r="807" spans="2:89" ht="83.25" hidden="1" customHeight="1">
      <c r="B807" s="22"/>
      <c r="C807" s="22"/>
      <c r="D807" s="22"/>
      <c r="E807" s="911"/>
      <c r="F807" s="911"/>
      <c r="G807" s="915"/>
      <c r="H807" s="1746" t="s">
        <v>68</v>
      </c>
      <c r="I807" s="330"/>
      <c r="J807" s="169">
        <v>2024</v>
      </c>
      <c r="K807" s="1417">
        <v>243010</v>
      </c>
      <c r="L807" s="1417"/>
      <c r="M807" s="170" t="s">
        <v>166</v>
      </c>
      <c r="N807" s="178" t="s">
        <v>6604</v>
      </c>
      <c r="O807" s="172" t="s">
        <v>46</v>
      </c>
      <c r="P807" s="173" t="s">
        <v>6664</v>
      </c>
      <c r="Q807" s="173" t="s">
        <v>2575</v>
      </c>
      <c r="R807" s="594">
        <f>4000*1.16</f>
        <v>4640</v>
      </c>
      <c r="S807" s="175">
        <v>45425</v>
      </c>
      <c r="T807" s="176">
        <v>45425</v>
      </c>
      <c r="U807" s="177">
        <v>45430</v>
      </c>
      <c r="V807" s="676"/>
      <c r="W807" s="178" t="s">
        <v>4362</v>
      </c>
      <c r="X807" s="170" t="s">
        <v>6437</v>
      </c>
      <c r="Y807" s="1723" t="s">
        <v>68</v>
      </c>
      <c r="Z807" s="1724" t="s">
        <v>68</v>
      </c>
      <c r="AA807" s="255"/>
      <c r="AB807" s="8"/>
      <c r="AC807" s="4"/>
      <c r="AD807" s="4"/>
      <c r="AE807" s="32"/>
      <c r="AF807" s="1725" t="s">
        <v>68</v>
      </c>
      <c r="AG807" s="1726" t="s">
        <v>68</v>
      </c>
      <c r="AH807" s="1726" t="s">
        <v>68</v>
      </c>
      <c r="AI807" s="1727" t="s">
        <v>68</v>
      </c>
      <c r="AJ807" s="1728" t="s">
        <v>68</v>
      </c>
      <c r="AK807" s="1729" t="s">
        <v>68</v>
      </c>
      <c r="AL807" s="1634" t="s">
        <v>68</v>
      </c>
      <c r="AM807" s="1656"/>
      <c r="AN807" s="1634" t="s">
        <v>68</v>
      </c>
      <c r="AO807" s="1656"/>
      <c r="AP807" s="1634" t="s">
        <v>68</v>
      </c>
      <c r="AQ807" s="1656"/>
      <c r="AR807" s="1730"/>
      <c r="AS807" s="1731">
        <v>0</v>
      </c>
      <c r="AT807" s="1732">
        <v>0</v>
      </c>
      <c r="AU807" s="1733">
        <v>0</v>
      </c>
      <c r="AV807" s="1734" t="s">
        <v>68</v>
      </c>
      <c r="AW807" s="1653" t="s">
        <v>68</v>
      </c>
      <c r="AX807" s="1654" t="s">
        <v>68</v>
      </c>
      <c r="AY807" s="1655" t="s">
        <v>68</v>
      </c>
      <c r="AZ807" s="230"/>
      <c r="BA807" s="5"/>
      <c r="BB807" s="5"/>
      <c r="BC807" s="11"/>
      <c r="BD807" s="230"/>
      <c r="BE807" s="508"/>
      <c r="BF807" s="5"/>
      <c r="BG807" s="5"/>
      <c r="BH807" s="5"/>
      <c r="BI807" s="64"/>
      <c r="BJ807" s="1736" t="s">
        <v>68</v>
      </c>
      <c r="BK807" s="1117"/>
      <c r="BL807" s="1737" t="s">
        <v>68</v>
      </c>
      <c r="BM807" s="1738" t="s">
        <v>68</v>
      </c>
      <c r="BN807" s="1738" t="s">
        <v>68</v>
      </c>
      <c r="BO807" s="1739" t="s">
        <v>68</v>
      </c>
      <c r="BP807" s="1739" t="s">
        <v>68</v>
      </c>
      <c r="BQ807" s="1739" t="s">
        <v>68</v>
      </c>
      <c r="BR807" s="1739" t="s">
        <v>68</v>
      </c>
      <c r="BS807" s="1739" t="s">
        <v>68</v>
      </c>
      <c r="BT807" s="1739" t="s">
        <v>68</v>
      </c>
      <c r="BU807" s="1739" t="s">
        <v>68</v>
      </c>
      <c r="BV807" s="1737" t="s">
        <v>68</v>
      </c>
      <c r="BW807" s="13"/>
      <c r="BX807" s="22"/>
      <c r="BY807" s="22"/>
      <c r="BZ807" s="22"/>
      <c r="CA807" s="22"/>
      <c r="CB807" s="1222" t="s">
        <v>3944</v>
      </c>
      <c r="CC807" s="859"/>
      <c r="CD807" s="526"/>
      <c r="CE807" s="526"/>
      <c r="CF807" s="526"/>
      <c r="CG807" s="526"/>
      <c r="CH807" s="526"/>
      <c r="CI807" s="526"/>
      <c r="CJ807" s="526"/>
      <c r="CK807" s="15"/>
    </row>
    <row r="808" spans="2:89" ht="108" hidden="1" customHeight="1">
      <c r="B808" s="22"/>
      <c r="C808" s="22"/>
      <c r="D808" s="22"/>
      <c r="E808" s="911"/>
      <c r="F808" s="911"/>
      <c r="G808" s="915"/>
      <c r="H808" s="1746" t="s">
        <v>68</v>
      </c>
      <c r="I808" s="330"/>
      <c r="J808" s="169">
        <v>2024</v>
      </c>
      <c r="K808" s="1417">
        <v>243010</v>
      </c>
      <c r="L808" s="1417"/>
      <c r="M808" s="170" t="s">
        <v>166</v>
      </c>
      <c r="N808" s="178" t="s">
        <v>6605</v>
      </c>
      <c r="O808" s="172" t="s">
        <v>46</v>
      </c>
      <c r="P808" s="173" t="s">
        <v>6665</v>
      </c>
      <c r="Q808" s="173" t="s">
        <v>4410</v>
      </c>
      <c r="R808" s="594">
        <f>680*1.16</f>
        <v>788.8</v>
      </c>
      <c r="S808" s="175">
        <v>45372</v>
      </c>
      <c r="T808" s="176">
        <v>45372</v>
      </c>
      <c r="U808" s="177">
        <v>45411</v>
      </c>
      <c r="V808" s="676"/>
      <c r="W808" s="178" t="s">
        <v>6240</v>
      </c>
      <c r="X808" s="170" t="s">
        <v>70</v>
      </c>
      <c r="Y808" s="1723" t="s">
        <v>68</v>
      </c>
      <c r="Z808" s="1724" t="s">
        <v>68</v>
      </c>
      <c r="AA808" s="255"/>
      <c r="AB808" s="8"/>
      <c r="AC808" s="4"/>
      <c r="AD808" s="4"/>
      <c r="AE808" s="32"/>
      <c r="AF808" s="1725" t="s">
        <v>68</v>
      </c>
      <c r="AG808" s="1726" t="s">
        <v>68</v>
      </c>
      <c r="AH808" s="1726" t="s">
        <v>68</v>
      </c>
      <c r="AI808" s="1727" t="s">
        <v>68</v>
      </c>
      <c r="AJ808" s="1728" t="s">
        <v>68</v>
      </c>
      <c r="AK808" s="1729" t="s">
        <v>68</v>
      </c>
      <c r="AL808" s="1634" t="s">
        <v>68</v>
      </c>
      <c r="AM808" s="1656"/>
      <c r="AN808" s="1634" t="s">
        <v>68</v>
      </c>
      <c r="AO808" s="1656"/>
      <c r="AP808" s="1634" t="s">
        <v>68</v>
      </c>
      <c r="AQ808" s="1656"/>
      <c r="AR808" s="1730"/>
      <c r="AS808" s="1731">
        <v>0</v>
      </c>
      <c r="AT808" s="1732">
        <v>0</v>
      </c>
      <c r="AU808" s="1733">
        <v>0</v>
      </c>
      <c r="AV808" s="1734" t="s">
        <v>68</v>
      </c>
      <c r="AW808" s="1653" t="s">
        <v>68</v>
      </c>
      <c r="AX808" s="1654" t="s">
        <v>68</v>
      </c>
      <c r="AY808" s="1655" t="s">
        <v>68</v>
      </c>
      <c r="AZ808" s="230"/>
      <c r="BA808" s="5"/>
      <c r="BB808" s="5"/>
      <c r="BC808" s="11"/>
      <c r="BD808" s="230"/>
      <c r="BE808" s="508"/>
      <c r="BF808" s="5"/>
      <c r="BG808" s="5"/>
      <c r="BH808" s="5"/>
      <c r="BI808" s="64"/>
      <c r="BJ808" s="1736" t="s">
        <v>68</v>
      </c>
      <c r="BK808" s="1117"/>
      <c r="BL808" s="1737" t="s">
        <v>68</v>
      </c>
      <c r="BM808" s="1738" t="s">
        <v>68</v>
      </c>
      <c r="BN808" s="1738" t="s">
        <v>68</v>
      </c>
      <c r="BO808" s="1739" t="s">
        <v>68</v>
      </c>
      <c r="BP808" s="1739" t="s">
        <v>68</v>
      </c>
      <c r="BQ808" s="1739" t="s">
        <v>68</v>
      </c>
      <c r="BR808" s="1739" t="s">
        <v>68</v>
      </c>
      <c r="BS808" s="1739" t="s">
        <v>68</v>
      </c>
      <c r="BT808" s="1739" t="s">
        <v>68</v>
      </c>
      <c r="BU808" s="1739" t="s">
        <v>68</v>
      </c>
      <c r="BV808" s="1737" t="s">
        <v>68</v>
      </c>
      <c r="BW808" s="13"/>
      <c r="BX808" s="22"/>
      <c r="BY808" s="22"/>
      <c r="BZ808" s="22"/>
      <c r="CA808" s="22"/>
      <c r="CB808" s="1222" t="s">
        <v>3944</v>
      </c>
      <c r="CC808" s="859"/>
      <c r="CD808" s="526"/>
      <c r="CE808" s="526"/>
      <c r="CF808" s="526"/>
      <c r="CG808" s="526"/>
      <c r="CH808" s="526"/>
      <c r="CI808" s="526"/>
      <c r="CJ808" s="526"/>
      <c r="CK808" s="15"/>
    </row>
    <row r="809" spans="2:89" ht="156.75" hidden="1" customHeight="1">
      <c r="B809" s="22"/>
      <c r="C809" s="22"/>
      <c r="D809" s="22"/>
      <c r="E809" s="911"/>
      <c r="F809" s="911"/>
      <c r="G809" s="915"/>
      <c r="H809" s="1746" t="s">
        <v>68</v>
      </c>
      <c r="I809" s="330"/>
      <c r="J809" s="169">
        <v>2024</v>
      </c>
      <c r="K809" s="1417">
        <v>243010</v>
      </c>
      <c r="L809" s="1417"/>
      <c r="M809" s="170" t="s">
        <v>166</v>
      </c>
      <c r="N809" s="178" t="s">
        <v>6606</v>
      </c>
      <c r="O809" s="172" t="s">
        <v>46</v>
      </c>
      <c r="P809" s="173" t="s">
        <v>6666</v>
      </c>
      <c r="Q809" s="173" t="s">
        <v>4824</v>
      </c>
      <c r="R809" s="594">
        <f>(680+580+600+910+600+600)*1.16</f>
        <v>4605.2</v>
      </c>
      <c r="S809" s="175">
        <v>45432</v>
      </c>
      <c r="T809" s="176">
        <v>45434</v>
      </c>
      <c r="U809" s="177">
        <v>45478</v>
      </c>
      <c r="V809" s="676"/>
      <c r="W809" s="178" t="s">
        <v>6240</v>
      </c>
      <c r="X809" s="170" t="s">
        <v>70</v>
      </c>
      <c r="Y809" s="1723" t="s">
        <v>68</v>
      </c>
      <c r="Z809" s="1724" t="s">
        <v>68</v>
      </c>
      <c r="AA809" s="255"/>
      <c r="AB809" s="8"/>
      <c r="AC809" s="4"/>
      <c r="AD809" s="4"/>
      <c r="AE809" s="32"/>
      <c r="AF809" s="1725" t="s">
        <v>68</v>
      </c>
      <c r="AG809" s="1726" t="s">
        <v>68</v>
      </c>
      <c r="AH809" s="1726" t="s">
        <v>68</v>
      </c>
      <c r="AI809" s="1727" t="s">
        <v>68</v>
      </c>
      <c r="AJ809" s="1728" t="s">
        <v>68</v>
      </c>
      <c r="AK809" s="1729" t="s">
        <v>68</v>
      </c>
      <c r="AL809" s="1634" t="s">
        <v>68</v>
      </c>
      <c r="AM809" s="1656"/>
      <c r="AN809" s="1634" t="s">
        <v>68</v>
      </c>
      <c r="AO809" s="1656"/>
      <c r="AP809" s="1634" t="s">
        <v>68</v>
      </c>
      <c r="AQ809" s="1656"/>
      <c r="AR809" s="1730"/>
      <c r="AS809" s="1731">
        <v>0</v>
      </c>
      <c r="AT809" s="1732">
        <v>0</v>
      </c>
      <c r="AU809" s="1733">
        <v>0</v>
      </c>
      <c r="AV809" s="1734" t="s">
        <v>68</v>
      </c>
      <c r="AW809" s="1653" t="s">
        <v>68</v>
      </c>
      <c r="AX809" s="1654" t="s">
        <v>68</v>
      </c>
      <c r="AY809" s="1655" t="s">
        <v>68</v>
      </c>
      <c r="AZ809" s="230"/>
      <c r="BA809" s="5"/>
      <c r="BB809" s="5"/>
      <c r="BC809" s="11"/>
      <c r="BD809" s="230"/>
      <c r="BE809" s="508"/>
      <c r="BF809" s="5"/>
      <c r="BG809" s="5"/>
      <c r="BH809" s="5"/>
      <c r="BI809" s="64"/>
      <c r="BJ809" s="1736" t="s">
        <v>68</v>
      </c>
      <c r="BK809" s="1117"/>
      <c r="BL809" s="1737" t="s">
        <v>68</v>
      </c>
      <c r="BM809" s="1738" t="s">
        <v>68</v>
      </c>
      <c r="BN809" s="1738" t="s">
        <v>68</v>
      </c>
      <c r="BO809" s="1739" t="s">
        <v>68</v>
      </c>
      <c r="BP809" s="1739" t="s">
        <v>68</v>
      </c>
      <c r="BQ809" s="1739" t="s">
        <v>68</v>
      </c>
      <c r="BR809" s="1739" t="s">
        <v>68</v>
      </c>
      <c r="BS809" s="1739" t="s">
        <v>68</v>
      </c>
      <c r="BT809" s="1739" t="s">
        <v>68</v>
      </c>
      <c r="BU809" s="1739" t="s">
        <v>68</v>
      </c>
      <c r="BV809" s="1737" t="s">
        <v>68</v>
      </c>
      <c r="BW809" s="13"/>
      <c r="BX809" s="22"/>
      <c r="BY809" s="22"/>
      <c r="BZ809" s="22"/>
      <c r="CA809" s="22"/>
      <c r="CB809" s="1222" t="s">
        <v>3944</v>
      </c>
      <c r="CC809" s="859" t="s">
        <v>6673</v>
      </c>
      <c r="CD809" s="526"/>
      <c r="CE809" s="526"/>
      <c r="CF809" s="526"/>
      <c r="CG809" s="526"/>
      <c r="CH809" s="526"/>
      <c r="CI809" s="526"/>
      <c r="CJ809" s="526"/>
      <c r="CK809" s="15"/>
    </row>
    <row r="810" spans="2:89" ht="83.25" hidden="1" customHeight="1">
      <c r="B810" s="22"/>
      <c r="C810" s="22"/>
      <c r="D810" s="22"/>
      <c r="E810" s="911"/>
      <c r="F810" s="911"/>
      <c r="G810" s="915"/>
      <c r="H810" s="1746" t="s">
        <v>68</v>
      </c>
      <c r="I810" s="330"/>
      <c r="J810" s="169">
        <v>2024</v>
      </c>
      <c r="K810" s="1417">
        <v>243010</v>
      </c>
      <c r="L810" s="1417"/>
      <c r="M810" s="170" t="s">
        <v>166</v>
      </c>
      <c r="N810" s="178" t="s">
        <v>6607</v>
      </c>
      <c r="O810" s="172" t="s">
        <v>46</v>
      </c>
      <c r="P810" s="173" t="s">
        <v>6667</v>
      </c>
      <c r="Q810" s="173" t="s">
        <v>2575</v>
      </c>
      <c r="R810" s="594">
        <f>78300*1.16</f>
        <v>90828</v>
      </c>
      <c r="S810" s="175">
        <v>45380</v>
      </c>
      <c r="T810" s="176">
        <v>45383</v>
      </c>
      <c r="U810" s="177">
        <v>45412</v>
      </c>
      <c r="V810" s="676"/>
      <c r="W810" s="178" t="s">
        <v>4362</v>
      </c>
      <c r="X810" s="170" t="s">
        <v>6437</v>
      </c>
      <c r="Y810" s="1723" t="s">
        <v>68</v>
      </c>
      <c r="Z810" s="1724" t="s">
        <v>68</v>
      </c>
      <c r="AA810" s="255"/>
      <c r="AB810" s="8"/>
      <c r="AC810" s="4"/>
      <c r="AD810" s="4"/>
      <c r="AE810" s="32"/>
      <c r="AF810" s="1725" t="s">
        <v>68</v>
      </c>
      <c r="AG810" s="1726" t="s">
        <v>68</v>
      </c>
      <c r="AH810" s="1726" t="s">
        <v>68</v>
      </c>
      <c r="AI810" s="1727" t="s">
        <v>68</v>
      </c>
      <c r="AJ810" s="1728" t="s">
        <v>68</v>
      </c>
      <c r="AK810" s="1729" t="s">
        <v>68</v>
      </c>
      <c r="AL810" s="1634" t="s">
        <v>68</v>
      </c>
      <c r="AM810" s="1656"/>
      <c r="AN810" s="1634" t="s">
        <v>68</v>
      </c>
      <c r="AO810" s="1656"/>
      <c r="AP810" s="1634" t="s">
        <v>68</v>
      </c>
      <c r="AQ810" s="1656"/>
      <c r="AR810" s="1730"/>
      <c r="AS810" s="1731">
        <v>0</v>
      </c>
      <c r="AT810" s="1732">
        <v>0</v>
      </c>
      <c r="AU810" s="1733">
        <v>0</v>
      </c>
      <c r="AV810" s="1734" t="s">
        <v>68</v>
      </c>
      <c r="AW810" s="1653" t="s">
        <v>68</v>
      </c>
      <c r="AX810" s="1654" t="s">
        <v>68</v>
      </c>
      <c r="AY810" s="1655" t="s">
        <v>68</v>
      </c>
      <c r="AZ810" s="230"/>
      <c r="BA810" s="5"/>
      <c r="BB810" s="5"/>
      <c r="BC810" s="11"/>
      <c r="BD810" s="230"/>
      <c r="BE810" s="508"/>
      <c r="BF810" s="5"/>
      <c r="BG810" s="5"/>
      <c r="BH810" s="5"/>
      <c r="BI810" s="64"/>
      <c r="BJ810" s="1736" t="s">
        <v>68</v>
      </c>
      <c r="BK810" s="1117"/>
      <c r="BL810" s="1737" t="s">
        <v>68</v>
      </c>
      <c r="BM810" s="1738" t="s">
        <v>68</v>
      </c>
      <c r="BN810" s="1738" t="s">
        <v>68</v>
      </c>
      <c r="BO810" s="1739" t="s">
        <v>68</v>
      </c>
      <c r="BP810" s="1739" t="s">
        <v>68</v>
      </c>
      <c r="BQ810" s="1739" t="s">
        <v>68</v>
      </c>
      <c r="BR810" s="1739" t="s">
        <v>68</v>
      </c>
      <c r="BS810" s="1739" t="s">
        <v>68</v>
      </c>
      <c r="BT810" s="1739" t="s">
        <v>68</v>
      </c>
      <c r="BU810" s="1739" t="s">
        <v>68</v>
      </c>
      <c r="BV810" s="1737" t="s">
        <v>68</v>
      </c>
      <c r="BW810" s="13"/>
      <c r="BX810" s="22"/>
      <c r="BY810" s="22"/>
      <c r="BZ810" s="22"/>
      <c r="CA810" s="22"/>
      <c r="CB810" s="1222" t="s">
        <v>3944</v>
      </c>
      <c r="CC810" s="859"/>
      <c r="CD810" s="526"/>
      <c r="CE810" s="526"/>
      <c r="CF810" s="526"/>
      <c r="CG810" s="526"/>
      <c r="CH810" s="526"/>
      <c r="CI810" s="526"/>
      <c r="CJ810" s="526"/>
      <c r="CK810" s="15"/>
    </row>
    <row r="811" spans="2:89" ht="87" hidden="1" customHeight="1">
      <c r="B811" s="22"/>
      <c r="C811" s="22"/>
      <c r="D811" s="22"/>
      <c r="E811" s="911"/>
      <c r="F811" s="911"/>
      <c r="G811" s="915"/>
      <c r="H811" s="1746" t="s">
        <v>68</v>
      </c>
      <c r="I811" s="330"/>
      <c r="J811" s="169">
        <v>2024</v>
      </c>
      <c r="K811" s="1417">
        <v>243010</v>
      </c>
      <c r="L811" s="1417"/>
      <c r="M811" s="170" t="s">
        <v>166</v>
      </c>
      <c r="N811" s="178" t="s">
        <v>6608</v>
      </c>
      <c r="O811" s="172" t="s">
        <v>46</v>
      </c>
      <c r="P811" s="173" t="s">
        <v>6668</v>
      </c>
      <c r="Q811" s="173" t="s">
        <v>2575</v>
      </c>
      <c r="R811" s="594">
        <f>78300*1.16</f>
        <v>90828</v>
      </c>
      <c r="S811" s="175">
        <v>45412</v>
      </c>
      <c r="T811" s="176">
        <v>45413</v>
      </c>
      <c r="U811" s="177">
        <v>45443</v>
      </c>
      <c r="V811" s="676"/>
      <c r="W811" s="178" t="s">
        <v>4362</v>
      </c>
      <c r="X811" s="170" t="s">
        <v>6437</v>
      </c>
      <c r="Y811" s="1723" t="s">
        <v>68</v>
      </c>
      <c r="Z811" s="1724" t="s">
        <v>68</v>
      </c>
      <c r="AA811" s="255"/>
      <c r="AB811" s="8"/>
      <c r="AC811" s="4"/>
      <c r="AD811" s="4"/>
      <c r="AE811" s="32"/>
      <c r="AF811" s="1725" t="s">
        <v>68</v>
      </c>
      <c r="AG811" s="1726" t="s">
        <v>68</v>
      </c>
      <c r="AH811" s="1726" t="s">
        <v>68</v>
      </c>
      <c r="AI811" s="1727" t="s">
        <v>68</v>
      </c>
      <c r="AJ811" s="1728" t="s">
        <v>68</v>
      </c>
      <c r="AK811" s="1729" t="s">
        <v>68</v>
      </c>
      <c r="AL811" s="1634" t="s">
        <v>68</v>
      </c>
      <c r="AM811" s="1656"/>
      <c r="AN811" s="1634" t="s">
        <v>68</v>
      </c>
      <c r="AO811" s="1656"/>
      <c r="AP811" s="1634" t="s">
        <v>68</v>
      </c>
      <c r="AQ811" s="1656"/>
      <c r="AR811" s="1730"/>
      <c r="AS811" s="1731">
        <v>0</v>
      </c>
      <c r="AT811" s="1732">
        <v>0</v>
      </c>
      <c r="AU811" s="1733">
        <v>0</v>
      </c>
      <c r="AV811" s="1734" t="s">
        <v>68</v>
      </c>
      <c r="AW811" s="1653" t="s">
        <v>68</v>
      </c>
      <c r="AX811" s="1654" t="s">
        <v>68</v>
      </c>
      <c r="AY811" s="1655" t="s">
        <v>68</v>
      </c>
      <c r="AZ811" s="230"/>
      <c r="BA811" s="5"/>
      <c r="BB811" s="5"/>
      <c r="BC811" s="11"/>
      <c r="BD811" s="230"/>
      <c r="BE811" s="508"/>
      <c r="BF811" s="5"/>
      <c r="BG811" s="5"/>
      <c r="BH811" s="5"/>
      <c r="BI811" s="64"/>
      <c r="BJ811" s="1736" t="s">
        <v>68</v>
      </c>
      <c r="BK811" s="1117"/>
      <c r="BL811" s="1737" t="s">
        <v>68</v>
      </c>
      <c r="BM811" s="1738" t="s">
        <v>68</v>
      </c>
      <c r="BN811" s="1738" t="s">
        <v>68</v>
      </c>
      <c r="BO811" s="1739" t="s">
        <v>68</v>
      </c>
      <c r="BP811" s="1739" t="s">
        <v>68</v>
      </c>
      <c r="BQ811" s="1739" t="s">
        <v>68</v>
      </c>
      <c r="BR811" s="1739" t="s">
        <v>68</v>
      </c>
      <c r="BS811" s="1739" t="s">
        <v>68</v>
      </c>
      <c r="BT811" s="1739" t="s">
        <v>68</v>
      </c>
      <c r="BU811" s="1739" t="s">
        <v>68</v>
      </c>
      <c r="BV811" s="1737" t="s">
        <v>68</v>
      </c>
      <c r="BW811" s="13"/>
      <c r="BX811" s="22"/>
      <c r="BY811" s="22"/>
      <c r="BZ811" s="22"/>
      <c r="CA811" s="22"/>
      <c r="CB811" s="1222" t="s">
        <v>3944</v>
      </c>
      <c r="CC811" s="859"/>
      <c r="CD811" s="526"/>
      <c r="CE811" s="526"/>
      <c r="CF811" s="526"/>
      <c r="CG811" s="526"/>
      <c r="CH811" s="526"/>
      <c r="CI811" s="526"/>
      <c r="CJ811" s="526"/>
      <c r="CK811" s="15"/>
    </row>
    <row r="812" spans="2:89" ht="86.25" hidden="1" customHeight="1">
      <c r="B812" s="22"/>
      <c r="C812" s="22"/>
      <c r="D812" s="22"/>
      <c r="E812" s="911"/>
      <c r="F812" s="911"/>
      <c r="G812" s="915"/>
      <c r="H812" s="1746" t="s">
        <v>68</v>
      </c>
      <c r="I812" s="330"/>
      <c r="J812" s="169">
        <v>2024</v>
      </c>
      <c r="K812" s="1417">
        <v>243010</v>
      </c>
      <c r="L812" s="1417"/>
      <c r="M812" s="170" t="s">
        <v>166</v>
      </c>
      <c r="N812" s="178" t="s">
        <v>6609</v>
      </c>
      <c r="O812" s="172" t="s">
        <v>46</v>
      </c>
      <c r="P812" s="173" t="s">
        <v>6669</v>
      </c>
      <c r="Q812" s="173" t="s">
        <v>2575</v>
      </c>
      <c r="R812" s="594">
        <f>3200*1.16</f>
        <v>3711.9999999999995</v>
      </c>
      <c r="S812" s="175">
        <v>45443</v>
      </c>
      <c r="T812" s="176">
        <v>45446</v>
      </c>
      <c r="U812" s="177">
        <v>45453</v>
      </c>
      <c r="V812" s="676"/>
      <c r="W812" s="178" t="s">
        <v>3469</v>
      </c>
      <c r="X812" s="170" t="s">
        <v>6437</v>
      </c>
      <c r="Y812" s="1723" t="s">
        <v>68</v>
      </c>
      <c r="Z812" s="1724" t="s">
        <v>68</v>
      </c>
      <c r="AA812" s="255"/>
      <c r="AB812" s="8"/>
      <c r="AC812" s="4"/>
      <c r="AD812" s="4"/>
      <c r="AE812" s="32"/>
      <c r="AF812" s="1725" t="s">
        <v>68</v>
      </c>
      <c r="AG812" s="1726" t="s">
        <v>68</v>
      </c>
      <c r="AH812" s="1726" t="s">
        <v>68</v>
      </c>
      <c r="AI812" s="1727" t="s">
        <v>68</v>
      </c>
      <c r="AJ812" s="1728" t="s">
        <v>68</v>
      </c>
      <c r="AK812" s="1729" t="s">
        <v>68</v>
      </c>
      <c r="AL812" s="1634" t="s">
        <v>68</v>
      </c>
      <c r="AM812" s="1656"/>
      <c r="AN812" s="1634" t="s">
        <v>68</v>
      </c>
      <c r="AO812" s="1656"/>
      <c r="AP812" s="1634" t="s">
        <v>68</v>
      </c>
      <c r="AQ812" s="1656"/>
      <c r="AR812" s="1730"/>
      <c r="AS812" s="1731">
        <v>0</v>
      </c>
      <c r="AT812" s="1732">
        <v>0</v>
      </c>
      <c r="AU812" s="1733">
        <v>0</v>
      </c>
      <c r="AV812" s="1734" t="s">
        <v>68</v>
      </c>
      <c r="AW812" s="1653" t="s">
        <v>68</v>
      </c>
      <c r="AX812" s="1654" t="s">
        <v>68</v>
      </c>
      <c r="AY812" s="1655" t="s">
        <v>68</v>
      </c>
      <c r="AZ812" s="230"/>
      <c r="BA812" s="5"/>
      <c r="BB812" s="5"/>
      <c r="BC812" s="11"/>
      <c r="BD812" s="230"/>
      <c r="BE812" s="508"/>
      <c r="BF812" s="5"/>
      <c r="BG812" s="5"/>
      <c r="BH812" s="5"/>
      <c r="BI812" s="64"/>
      <c r="BJ812" s="1736" t="s">
        <v>68</v>
      </c>
      <c r="BK812" s="1117"/>
      <c r="BL812" s="1737" t="s">
        <v>68</v>
      </c>
      <c r="BM812" s="1738" t="s">
        <v>68</v>
      </c>
      <c r="BN812" s="1738" t="s">
        <v>68</v>
      </c>
      <c r="BO812" s="1739" t="s">
        <v>68</v>
      </c>
      <c r="BP812" s="1739" t="s">
        <v>68</v>
      </c>
      <c r="BQ812" s="1739" t="s">
        <v>68</v>
      </c>
      <c r="BR812" s="1739" t="s">
        <v>68</v>
      </c>
      <c r="BS812" s="1739" t="s">
        <v>68</v>
      </c>
      <c r="BT812" s="1739" t="s">
        <v>68</v>
      </c>
      <c r="BU812" s="1739" t="s">
        <v>68</v>
      </c>
      <c r="BV812" s="1737" t="s">
        <v>68</v>
      </c>
      <c r="BW812" s="13"/>
      <c r="BX812" s="22"/>
      <c r="BY812" s="22"/>
      <c r="BZ812" s="22"/>
      <c r="CA812" s="22"/>
      <c r="CB812" s="1222" t="s">
        <v>3944</v>
      </c>
      <c r="CC812" s="859"/>
      <c r="CD812" s="526"/>
      <c r="CE812" s="526"/>
      <c r="CF812" s="526"/>
      <c r="CG812" s="526"/>
      <c r="CH812" s="526"/>
      <c r="CI812" s="526"/>
      <c r="CJ812" s="526"/>
      <c r="CK812" s="15"/>
    </row>
    <row r="813" spans="2:89" ht="96.75" hidden="1" customHeight="1">
      <c r="B813" s="22"/>
      <c r="C813" s="22"/>
      <c r="D813" s="22"/>
      <c r="E813" s="911"/>
      <c r="F813" s="911"/>
      <c r="G813" s="915"/>
      <c r="H813" s="1746" t="s">
        <v>68</v>
      </c>
      <c r="I813" s="330"/>
      <c r="J813" s="169">
        <v>2024</v>
      </c>
      <c r="K813" s="1417">
        <v>243010</v>
      </c>
      <c r="L813" s="1417"/>
      <c r="M813" s="170" t="s">
        <v>166</v>
      </c>
      <c r="N813" s="178" t="s">
        <v>6610</v>
      </c>
      <c r="O813" s="172" t="s">
        <v>46</v>
      </c>
      <c r="P813" s="173" t="s">
        <v>6670</v>
      </c>
      <c r="Q813" s="173" t="s">
        <v>1975</v>
      </c>
      <c r="R813" s="1669">
        <f>600*1.16</f>
        <v>696</v>
      </c>
      <c r="S813" s="650">
        <v>45372</v>
      </c>
      <c r="T813" s="1857">
        <v>45358</v>
      </c>
      <c r="U813" s="1858">
        <v>45363</v>
      </c>
      <c r="V813" s="676"/>
      <c r="W813" s="178" t="s">
        <v>6240</v>
      </c>
      <c r="X813" s="170" t="s">
        <v>449</v>
      </c>
      <c r="Y813" s="1723" t="s">
        <v>68</v>
      </c>
      <c r="Z813" s="1724" t="s">
        <v>68</v>
      </c>
      <c r="AA813" s="255"/>
      <c r="AB813" s="8"/>
      <c r="AC813" s="4"/>
      <c r="AD813" s="4"/>
      <c r="AE813" s="32"/>
      <c r="AF813" s="1725" t="s">
        <v>68</v>
      </c>
      <c r="AG813" s="1726" t="s">
        <v>68</v>
      </c>
      <c r="AH813" s="1726" t="s">
        <v>68</v>
      </c>
      <c r="AI813" s="1727" t="s">
        <v>68</v>
      </c>
      <c r="AJ813" s="1728" t="s">
        <v>68</v>
      </c>
      <c r="AK813" s="1729" t="s">
        <v>68</v>
      </c>
      <c r="AL813" s="1634" t="s">
        <v>68</v>
      </c>
      <c r="AM813" s="1656"/>
      <c r="AN813" s="1634" t="s">
        <v>68</v>
      </c>
      <c r="AO813" s="1656"/>
      <c r="AP813" s="1634" t="s">
        <v>68</v>
      </c>
      <c r="AQ813" s="1656"/>
      <c r="AR813" s="1730"/>
      <c r="AS813" s="1731">
        <v>0</v>
      </c>
      <c r="AT813" s="1732">
        <v>0</v>
      </c>
      <c r="AU813" s="1733">
        <v>0</v>
      </c>
      <c r="AV813" s="1734" t="s">
        <v>68</v>
      </c>
      <c r="AW813" s="1653" t="s">
        <v>68</v>
      </c>
      <c r="AX813" s="1654" t="s">
        <v>68</v>
      </c>
      <c r="AY813" s="1655" t="s">
        <v>68</v>
      </c>
      <c r="AZ813" s="230"/>
      <c r="BA813" s="5"/>
      <c r="BB813" s="5"/>
      <c r="BC813" s="11"/>
      <c r="BD813" s="230"/>
      <c r="BE813" s="508"/>
      <c r="BF813" s="5"/>
      <c r="BG813" s="5"/>
      <c r="BH813" s="5"/>
      <c r="BI813" s="64"/>
      <c r="BJ813" s="1736" t="s">
        <v>68</v>
      </c>
      <c r="BK813" s="1117"/>
      <c r="BL813" s="1737" t="s">
        <v>68</v>
      </c>
      <c r="BM813" s="1738" t="s">
        <v>68</v>
      </c>
      <c r="BN813" s="1738" t="s">
        <v>68</v>
      </c>
      <c r="BO813" s="1739" t="s">
        <v>68</v>
      </c>
      <c r="BP813" s="1739" t="s">
        <v>68</v>
      </c>
      <c r="BQ813" s="1739" t="s">
        <v>68</v>
      </c>
      <c r="BR813" s="1739" t="s">
        <v>68</v>
      </c>
      <c r="BS813" s="1739" t="s">
        <v>68</v>
      </c>
      <c r="BT813" s="1739" t="s">
        <v>68</v>
      </c>
      <c r="BU813" s="1739" t="s">
        <v>68</v>
      </c>
      <c r="BV813" s="1737" t="s">
        <v>68</v>
      </c>
      <c r="BW813" s="13"/>
      <c r="BX813" s="22"/>
      <c r="BY813" s="22"/>
      <c r="BZ813" s="22"/>
      <c r="CA813" s="22"/>
      <c r="CB813" s="1222" t="s">
        <v>3944</v>
      </c>
      <c r="CC813" s="859"/>
      <c r="CD813" s="526"/>
      <c r="CE813" s="526"/>
      <c r="CF813" s="526"/>
      <c r="CG813" s="526"/>
      <c r="CH813" s="526"/>
      <c r="CI813" s="526"/>
      <c r="CJ813" s="526"/>
      <c r="CK813" s="15"/>
    </row>
    <row r="814" spans="2:89" ht="162.75" hidden="1" customHeight="1">
      <c r="B814" s="22"/>
      <c r="C814" s="22"/>
      <c r="D814" s="22"/>
      <c r="E814" s="911"/>
      <c r="F814" s="911"/>
      <c r="G814" s="915"/>
      <c r="H814" s="1746" t="s">
        <v>68</v>
      </c>
      <c r="I814" s="330"/>
      <c r="J814" s="169">
        <v>2024</v>
      </c>
      <c r="K814" s="1417">
        <v>243010</v>
      </c>
      <c r="L814" s="1417"/>
      <c r="M814" s="170" t="s">
        <v>166</v>
      </c>
      <c r="N814" s="178" t="s">
        <v>6611</v>
      </c>
      <c r="O814" s="172" t="s">
        <v>46</v>
      </c>
      <c r="P814" s="173" t="s">
        <v>6671</v>
      </c>
      <c r="Q814" s="173" t="s">
        <v>2538</v>
      </c>
      <c r="R814" s="594">
        <f>(680+660+950+580)*1.16</f>
        <v>3329.2</v>
      </c>
      <c r="S814" s="175">
        <v>45415</v>
      </c>
      <c r="T814" s="176">
        <v>45418</v>
      </c>
      <c r="U814" s="177">
        <v>45437</v>
      </c>
      <c r="V814" s="676"/>
      <c r="W814" s="178" t="s">
        <v>6240</v>
      </c>
      <c r="X814" s="170" t="s">
        <v>70</v>
      </c>
      <c r="Y814" s="1723" t="s">
        <v>68</v>
      </c>
      <c r="Z814" s="1724" t="s">
        <v>68</v>
      </c>
      <c r="AA814" s="255"/>
      <c r="AB814" s="8"/>
      <c r="AC814" s="4"/>
      <c r="AD814" s="4"/>
      <c r="AE814" s="32"/>
      <c r="AF814" s="1725" t="s">
        <v>68</v>
      </c>
      <c r="AG814" s="1726" t="s">
        <v>68</v>
      </c>
      <c r="AH814" s="1726" t="s">
        <v>68</v>
      </c>
      <c r="AI814" s="1727" t="s">
        <v>68</v>
      </c>
      <c r="AJ814" s="1728" t="s">
        <v>68</v>
      </c>
      <c r="AK814" s="1729" t="s">
        <v>68</v>
      </c>
      <c r="AL814" s="1634" t="s">
        <v>68</v>
      </c>
      <c r="AM814" s="1656"/>
      <c r="AN814" s="1634" t="s">
        <v>68</v>
      </c>
      <c r="AO814" s="1656"/>
      <c r="AP814" s="1634" t="s">
        <v>68</v>
      </c>
      <c r="AQ814" s="1656"/>
      <c r="AR814" s="1730"/>
      <c r="AS814" s="1731">
        <v>0</v>
      </c>
      <c r="AT814" s="1732">
        <v>0</v>
      </c>
      <c r="AU814" s="1733">
        <v>0</v>
      </c>
      <c r="AV814" s="1734" t="s">
        <v>68</v>
      </c>
      <c r="AW814" s="1653" t="s">
        <v>68</v>
      </c>
      <c r="AX814" s="1654" t="s">
        <v>68</v>
      </c>
      <c r="AY814" s="1655" t="s">
        <v>68</v>
      </c>
      <c r="AZ814" s="230"/>
      <c r="BA814" s="5"/>
      <c r="BB814" s="5"/>
      <c r="BC814" s="11"/>
      <c r="BD814" s="230"/>
      <c r="BE814" s="508"/>
      <c r="BF814" s="5"/>
      <c r="BG814" s="5"/>
      <c r="BH814" s="5"/>
      <c r="BI814" s="64"/>
      <c r="BJ814" s="1736" t="s">
        <v>68</v>
      </c>
      <c r="BK814" s="1117"/>
      <c r="BL814" s="1737" t="s">
        <v>68</v>
      </c>
      <c r="BM814" s="1738" t="s">
        <v>68</v>
      </c>
      <c r="BN814" s="1738" t="s">
        <v>68</v>
      </c>
      <c r="BO814" s="1739" t="s">
        <v>68</v>
      </c>
      <c r="BP814" s="1739" t="s">
        <v>68</v>
      </c>
      <c r="BQ814" s="1739" t="s">
        <v>68</v>
      </c>
      <c r="BR814" s="1739" t="s">
        <v>68</v>
      </c>
      <c r="BS814" s="1739" t="s">
        <v>68</v>
      </c>
      <c r="BT814" s="1739" t="s">
        <v>68</v>
      </c>
      <c r="BU814" s="1739" t="s">
        <v>68</v>
      </c>
      <c r="BV814" s="1737" t="s">
        <v>68</v>
      </c>
      <c r="BW814" s="13"/>
      <c r="BX814" s="22"/>
      <c r="BY814" s="22"/>
      <c r="BZ814" s="22"/>
      <c r="CA814" s="22"/>
      <c r="CB814" s="1222" t="s">
        <v>3944</v>
      </c>
      <c r="CC814" s="859" t="s">
        <v>6672</v>
      </c>
      <c r="CD814" s="526"/>
      <c r="CE814" s="526"/>
      <c r="CF814" s="526"/>
      <c r="CG814" s="526"/>
      <c r="CH814" s="526"/>
      <c r="CI814" s="526"/>
      <c r="CJ814" s="526"/>
      <c r="CK814" s="15"/>
    </row>
    <row r="815" spans="2:89" s="1863" customFormat="1" ht="30" customHeight="1">
      <c r="B815" s="1864"/>
      <c r="C815" s="1864"/>
      <c r="D815" s="1864"/>
      <c r="E815" s="1865"/>
      <c r="F815" s="1865"/>
      <c r="G815" s="1866"/>
      <c r="H815" s="1867" t="s">
        <v>68</v>
      </c>
      <c r="I815" s="1867"/>
      <c r="J815" s="1868">
        <v>2024</v>
      </c>
      <c r="K815" s="1869">
        <v>243010</v>
      </c>
      <c r="L815" s="1869"/>
      <c r="M815" s="1870" t="s">
        <v>166</v>
      </c>
      <c r="N815" s="1862" t="s">
        <v>6612</v>
      </c>
      <c r="O815" s="1871" t="s">
        <v>251</v>
      </c>
      <c r="P815" s="1859"/>
      <c r="Q815" s="1859" t="s">
        <v>68</v>
      </c>
      <c r="R815" s="1860"/>
      <c r="S815" s="650" t="s">
        <v>68</v>
      </c>
      <c r="T815" s="1857"/>
      <c r="U815" s="1858"/>
      <c r="V815" s="1861"/>
      <c r="W815" s="1862"/>
      <c r="X815" s="1870" t="s">
        <v>6437</v>
      </c>
      <c r="Y815" s="679" t="s">
        <v>68</v>
      </c>
      <c r="Z815" s="1376" t="s">
        <v>68</v>
      </c>
      <c r="AA815" s="1812"/>
      <c r="AB815" s="1872"/>
      <c r="AC815" s="1873"/>
      <c r="AD815" s="1873"/>
      <c r="AE815" s="1874"/>
      <c r="AF815" s="1875" t="s">
        <v>68</v>
      </c>
      <c r="AG815" s="1334" t="s">
        <v>68</v>
      </c>
      <c r="AH815" s="1334" t="s">
        <v>68</v>
      </c>
      <c r="AI815" s="1331" t="s">
        <v>68</v>
      </c>
      <c r="AJ815" s="1332" t="s">
        <v>68</v>
      </c>
      <c r="AK815" s="1812" t="s">
        <v>68</v>
      </c>
      <c r="AL815" s="131" t="s">
        <v>68</v>
      </c>
      <c r="AM815" s="234"/>
      <c r="AN815" s="131" t="s">
        <v>68</v>
      </c>
      <c r="AO815" s="234"/>
      <c r="AP815" s="131" t="s">
        <v>68</v>
      </c>
      <c r="AQ815" s="234"/>
      <c r="AR815" s="280"/>
      <c r="AS815" s="1876">
        <v>0</v>
      </c>
      <c r="AT815" s="1877">
        <v>0</v>
      </c>
      <c r="AU815" s="1878">
        <v>0</v>
      </c>
      <c r="AV815" s="246" t="s">
        <v>68</v>
      </c>
      <c r="AW815" s="1879" t="s">
        <v>68</v>
      </c>
      <c r="AX815" s="1880" t="s">
        <v>68</v>
      </c>
      <c r="AY815" s="1881" t="s">
        <v>68</v>
      </c>
      <c r="AZ815" s="246"/>
      <c r="BA815" s="234"/>
      <c r="BB815" s="234"/>
      <c r="BC815" s="1879"/>
      <c r="BD815" s="246"/>
      <c r="BE815" s="1542"/>
      <c r="BF815" s="234"/>
      <c r="BG815" s="234"/>
      <c r="BH815" s="234"/>
      <c r="BI815" s="245"/>
      <c r="BJ815" s="1814" t="s">
        <v>68</v>
      </c>
      <c r="BK815" s="1882"/>
      <c r="BL815" s="1100" t="s">
        <v>68</v>
      </c>
      <c r="BM815" s="693" t="s">
        <v>68</v>
      </c>
      <c r="BN815" s="693" t="s">
        <v>68</v>
      </c>
      <c r="BO815" s="1265" t="s">
        <v>68</v>
      </c>
      <c r="BP815" s="1265" t="s">
        <v>68</v>
      </c>
      <c r="BQ815" s="1265" t="s">
        <v>68</v>
      </c>
      <c r="BR815" s="1265" t="s">
        <v>68</v>
      </c>
      <c r="BS815" s="1265" t="s">
        <v>68</v>
      </c>
      <c r="BT815" s="1265" t="s">
        <v>68</v>
      </c>
      <c r="BU815" s="1265" t="s">
        <v>68</v>
      </c>
      <c r="BV815" s="1100" t="s">
        <v>68</v>
      </c>
      <c r="BW815" s="1814"/>
      <c r="BX815" s="1864"/>
      <c r="BY815" s="1864"/>
      <c r="BZ815" s="1864"/>
      <c r="CA815" s="1864"/>
      <c r="CB815" s="1883" t="s">
        <v>3944</v>
      </c>
      <c r="CC815" s="1884"/>
      <c r="CD815" s="1885"/>
      <c r="CE815" s="1885"/>
      <c r="CF815" s="1885"/>
      <c r="CG815" s="1885"/>
      <c r="CH815" s="1885"/>
      <c r="CI815" s="1885"/>
      <c r="CJ815" s="1885"/>
      <c r="CK815" s="1886"/>
    </row>
    <row r="816" spans="2:89" ht="180.75" hidden="1" customHeight="1">
      <c r="B816" s="22"/>
      <c r="C816" s="22"/>
      <c r="D816" s="22"/>
      <c r="E816" s="911"/>
      <c r="F816" s="911"/>
      <c r="G816" s="915"/>
      <c r="H816" s="1746" t="s">
        <v>68</v>
      </c>
      <c r="I816" s="330"/>
      <c r="J816" s="169">
        <v>2024</v>
      </c>
      <c r="K816" s="1417">
        <v>243010</v>
      </c>
      <c r="L816" s="1417"/>
      <c r="M816" s="170" t="s">
        <v>166</v>
      </c>
      <c r="N816" s="178" t="s">
        <v>6613</v>
      </c>
      <c r="O816" s="172" t="s">
        <v>46</v>
      </c>
      <c r="P816" s="173" t="s">
        <v>6674</v>
      </c>
      <c r="Q816" s="173" t="s">
        <v>6675</v>
      </c>
      <c r="R816" s="594">
        <f>(680+900+910)*1.16</f>
        <v>2888.3999999999996</v>
      </c>
      <c r="S816" s="175">
        <v>45468</v>
      </c>
      <c r="T816" s="176">
        <v>45469</v>
      </c>
      <c r="U816" s="177">
        <v>45499</v>
      </c>
      <c r="V816" s="676"/>
      <c r="W816" s="178" t="s">
        <v>6676</v>
      </c>
      <c r="X816" s="170" t="s">
        <v>70</v>
      </c>
      <c r="Y816" s="1723" t="s">
        <v>68</v>
      </c>
      <c r="Z816" s="1724" t="s">
        <v>68</v>
      </c>
      <c r="AA816" s="255"/>
      <c r="AB816" s="8"/>
      <c r="AC816" s="4"/>
      <c r="AD816" s="4"/>
      <c r="AE816" s="32"/>
      <c r="AF816" s="1725" t="s">
        <v>68</v>
      </c>
      <c r="AG816" s="1726" t="s">
        <v>68</v>
      </c>
      <c r="AH816" s="1726" t="s">
        <v>68</v>
      </c>
      <c r="AI816" s="1727" t="s">
        <v>68</v>
      </c>
      <c r="AJ816" s="1728" t="s">
        <v>68</v>
      </c>
      <c r="AK816" s="1729" t="s">
        <v>68</v>
      </c>
      <c r="AL816" s="1634" t="s">
        <v>68</v>
      </c>
      <c r="AM816" s="1656"/>
      <c r="AN816" s="1634" t="s">
        <v>68</v>
      </c>
      <c r="AO816" s="1656"/>
      <c r="AP816" s="1634" t="s">
        <v>68</v>
      </c>
      <c r="AQ816" s="1656"/>
      <c r="AR816" s="1730"/>
      <c r="AS816" s="1731">
        <v>0</v>
      </c>
      <c r="AT816" s="1732">
        <v>0</v>
      </c>
      <c r="AU816" s="1733">
        <v>0</v>
      </c>
      <c r="AV816" s="1734" t="s">
        <v>68</v>
      </c>
      <c r="AW816" s="1653" t="s">
        <v>68</v>
      </c>
      <c r="AX816" s="1654" t="s">
        <v>68</v>
      </c>
      <c r="AY816" s="1655" t="s">
        <v>68</v>
      </c>
      <c r="AZ816" s="230"/>
      <c r="BA816" s="5"/>
      <c r="BB816" s="5"/>
      <c r="BC816" s="11"/>
      <c r="BD816" s="230"/>
      <c r="BE816" s="508"/>
      <c r="BF816" s="5"/>
      <c r="BG816" s="5"/>
      <c r="BH816" s="5"/>
      <c r="BI816" s="64"/>
      <c r="BJ816" s="1736" t="s">
        <v>68</v>
      </c>
      <c r="BK816" s="1117"/>
      <c r="BL816" s="1737" t="s">
        <v>68</v>
      </c>
      <c r="BM816" s="1738" t="s">
        <v>68</v>
      </c>
      <c r="BN816" s="1738" t="s">
        <v>68</v>
      </c>
      <c r="BO816" s="1739" t="s">
        <v>68</v>
      </c>
      <c r="BP816" s="1739" t="s">
        <v>68</v>
      </c>
      <c r="BQ816" s="1739" t="s">
        <v>68</v>
      </c>
      <c r="BR816" s="1739" t="s">
        <v>68</v>
      </c>
      <c r="BS816" s="1739" t="s">
        <v>68</v>
      </c>
      <c r="BT816" s="1739" t="s">
        <v>68</v>
      </c>
      <c r="BU816" s="1739" t="s">
        <v>68</v>
      </c>
      <c r="BV816" s="1737" t="s">
        <v>68</v>
      </c>
      <c r="BW816" s="13"/>
      <c r="BX816" s="22"/>
      <c r="BY816" s="22"/>
      <c r="BZ816" s="22"/>
      <c r="CA816" s="22"/>
      <c r="CB816" s="1222" t="s">
        <v>3944</v>
      </c>
      <c r="CC816" s="859" t="s">
        <v>6677</v>
      </c>
      <c r="CD816" s="526"/>
      <c r="CE816" s="526"/>
      <c r="CF816" s="526"/>
      <c r="CG816" s="526"/>
      <c r="CH816" s="526"/>
      <c r="CI816" s="526"/>
      <c r="CJ816" s="526"/>
      <c r="CK816" s="15"/>
    </row>
    <row r="817" spans="2:89" ht="142.5" hidden="1" customHeight="1">
      <c r="B817" s="22"/>
      <c r="C817" s="22"/>
      <c r="D817" s="22"/>
      <c r="E817" s="911"/>
      <c r="F817" s="911"/>
      <c r="G817" s="915"/>
      <c r="H817" s="1746" t="s">
        <v>68</v>
      </c>
      <c r="I817" s="330"/>
      <c r="J817" s="169">
        <v>2024</v>
      </c>
      <c r="K817" s="1417">
        <v>243010</v>
      </c>
      <c r="L817" s="1417"/>
      <c r="M817" s="170" t="s">
        <v>166</v>
      </c>
      <c r="N817" s="178" t="s">
        <v>6614</v>
      </c>
      <c r="O817" s="172" t="s">
        <v>46</v>
      </c>
      <c r="P817" s="173" t="s">
        <v>6678</v>
      </c>
      <c r="Q817" s="173" t="s">
        <v>2614</v>
      </c>
      <c r="R817" s="594">
        <f>1080*1.16</f>
        <v>1252.8</v>
      </c>
      <c r="S817" s="175">
        <v>45397</v>
      </c>
      <c r="T817" s="176">
        <v>45399</v>
      </c>
      <c r="U817" s="177">
        <v>45434</v>
      </c>
      <c r="V817" s="676"/>
      <c r="W817" s="178" t="s">
        <v>6679</v>
      </c>
      <c r="X817" s="170" t="s">
        <v>213</v>
      </c>
      <c r="Y817" s="1723" t="s">
        <v>68</v>
      </c>
      <c r="Z817" s="1724" t="s">
        <v>68</v>
      </c>
      <c r="AA817" s="255"/>
      <c r="AB817" s="8"/>
      <c r="AC817" s="4"/>
      <c r="AD817" s="4"/>
      <c r="AE817" s="32"/>
      <c r="AF817" s="1725" t="s">
        <v>68</v>
      </c>
      <c r="AG817" s="1726" t="s">
        <v>68</v>
      </c>
      <c r="AH817" s="1726" t="s">
        <v>68</v>
      </c>
      <c r="AI817" s="1727" t="s">
        <v>68</v>
      </c>
      <c r="AJ817" s="1728" t="s">
        <v>68</v>
      </c>
      <c r="AK817" s="1729" t="s">
        <v>68</v>
      </c>
      <c r="AL817" s="1634" t="s">
        <v>68</v>
      </c>
      <c r="AM817" s="1656"/>
      <c r="AN817" s="1634" t="s">
        <v>68</v>
      </c>
      <c r="AO817" s="1656"/>
      <c r="AP817" s="1634" t="s">
        <v>68</v>
      </c>
      <c r="AQ817" s="1656"/>
      <c r="AR817" s="1730"/>
      <c r="AS817" s="1731">
        <v>0</v>
      </c>
      <c r="AT817" s="1732">
        <v>0</v>
      </c>
      <c r="AU817" s="1733">
        <v>0</v>
      </c>
      <c r="AV817" s="1734" t="s">
        <v>68</v>
      </c>
      <c r="AW817" s="1653" t="s">
        <v>68</v>
      </c>
      <c r="AX817" s="1654" t="s">
        <v>68</v>
      </c>
      <c r="AY817" s="1655" t="s">
        <v>68</v>
      </c>
      <c r="AZ817" s="230"/>
      <c r="BA817" s="5"/>
      <c r="BB817" s="5"/>
      <c r="BC817" s="11"/>
      <c r="BD817" s="230"/>
      <c r="BE817" s="508"/>
      <c r="BF817" s="5"/>
      <c r="BG817" s="5"/>
      <c r="BH817" s="5"/>
      <c r="BI817" s="64"/>
      <c r="BJ817" s="1736" t="s">
        <v>68</v>
      </c>
      <c r="BK817" s="1117"/>
      <c r="BL817" s="1737" t="s">
        <v>68</v>
      </c>
      <c r="BM817" s="1738" t="s">
        <v>68</v>
      </c>
      <c r="BN817" s="1738" t="s">
        <v>68</v>
      </c>
      <c r="BO817" s="1739" t="s">
        <v>68</v>
      </c>
      <c r="BP817" s="1739" t="s">
        <v>68</v>
      </c>
      <c r="BQ817" s="1739" t="s">
        <v>68</v>
      </c>
      <c r="BR817" s="1739" t="s">
        <v>68</v>
      </c>
      <c r="BS817" s="1739" t="s">
        <v>68</v>
      </c>
      <c r="BT817" s="1739" t="s">
        <v>68</v>
      </c>
      <c r="BU817" s="1739" t="s">
        <v>68</v>
      </c>
      <c r="BV817" s="1737" t="s">
        <v>68</v>
      </c>
      <c r="BW817" s="13"/>
      <c r="BX817" s="22"/>
      <c r="BY817" s="22"/>
      <c r="BZ817" s="22"/>
      <c r="CA817" s="22"/>
      <c r="CB817" s="1222" t="s">
        <v>3944</v>
      </c>
      <c r="CC817" s="859" t="s">
        <v>6680</v>
      </c>
      <c r="CD817" s="526"/>
      <c r="CE817" s="526"/>
      <c r="CF817" s="526"/>
      <c r="CG817" s="526"/>
      <c r="CH817" s="526"/>
      <c r="CI817" s="526"/>
      <c r="CJ817" s="526"/>
      <c r="CK817" s="15"/>
    </row>
    <row r="818" spans="2:89" s="1863" customFormat="1" ht="30" customHeight="1">
      <c r="B818" s="1864"/>
      <c r="C818" s="1864"/>
      <c r="D818" s="1864"/>
      <c r="E818" s="1865"/>
      <c r="F818" s="1865"/>
      <c r="G818" s="1866"/>
      <c r="H818" s="1867" t="s">
        <v>68</v>
      </c>
      <c r="I818" s="1867"/>
      <c r="J818" s="1868">
        <v>2024</v>
      </c>
      <c r="K818" s="1869">
        <v>243010</v>
      </c>
      <c r="L818" s="1869"/>
      <c r="M818" s="1870" t="s">
        <v>166</v>
      </c>
      <c r="N818" s="1862" t="s">
        <v>6615</v>
      </c>
      <c r="O818" s="1871" t="s">
        <v>251</v>
      </c>
      <c r="P818" s="1859"/>
      <c r="Q818" s="1859" t="s">
        <v>68</v>
      </c>
      <c r="R818" s="1860"/>
      <c r="S818" s="650" t="s">
        <v>68</v>
      </c>
      <c r="T818" s="1857"/>
      <c r="U818" s="1858"/>
      <c r="V818" s="1861"/>
      <c r="W818" s="1862"/>
      <c r="X818" s="1870" t="s">
        <v>6437</v>
      </c>
      <c r="Y818" s="679" t="s">
        <v>68</v>
      </c>
      <c r="Z818" s="1376" t="s">
        <v>68</v>
      </c>
      <c r="AA818" s="1812"/>
      <c r="AB818" s="1872"/>
      <c r="AC818" s="1873"/>
      <c r="AD818" s="1873"/>
      <c r="AE818" s="1874"/>
      <c r="AF818" s="1875" t="s">
        <v>68</v>
      </c>
      <c r="AG818" s="1334" t="s">
        <v>68</v>
      </c>
      <c r="AH818" s="1334" t="s">
        <v>68</v>
      </c>
      <c r="AI818" s="1331" t="s">
        <v>68</v>
      </c>
      <c r="AJ818" s="1332" t="s">
        <v>68</v>
      </c>
      <c r="AK818" s="1812" t="s">
        <v>68</v>
      </c>
      <c r="AL818" s="131" t="s">
        <v>68</v>
      </c>
      <c r="AM818" s="234"/>
      <c r="AN818" s="131" t="s">
        <v>68</v>
      </c>
      <c r="AO818" s="234"/>
      <c r="AP818" s="131" t="s">
        <v>68</v>
      </c>
      <c r="AQ818" s="234"/>
      <c r="AR818" s="280"/>
      <c r="AS818" s="1876">
        <v>0</v>
      </c>
      <c r="AT818" s="1877">
        <v>0</v>
      </c>
      <c r="AU818" s="1878">
        <v>0</v>
      </c>
      <c r="AV818" s="246" t="s">
        <v>68</v>
      </c>
      <c r="AW818" s="1879" t="s">
        <v>68</v>
      </c>
      <c r="AX818" s="1880" t="s">
        <v>68</v>
      </c>
      <c r="AY818" s="1881" t="s">
        <v>68</v>
      </c>
      <c r="AZ818" s="246"/>
      <c r="BA818" s="234"/>
      <c r="BB818" s="234"/>
      <c r="BC818" s="1879"/>
      <c r="BD818" s="246"/>
      <c r="BE818" s="1542"/>
      <c r="BF818" s="234"/>
      <c r="BG818" s="234"/>
      <c r="BH818" s="234"/>
      <c r="BI818" s="245"/>
      <c r="BJ818" s="1814" t="s">
        <v>68</v>
      </c>
      <c r="BK818" s="1882"/>
      <c r="BL818" s="1100" t="s">
        <v>68</v>
      </c>
      <c r="BM818" s="693" t="s">
        <v>68</v>
      </c>
      <c r="BN818" s="693" t="s">
        <v>68</v>
      </c>
      <c r="BO818" s="1265" t="s">
        <v>68</v>
      </c>
      <c r="BP818" s="1265" t="s">
        <v>68</v>
      </c>
      <c r="BQ818" s="1265" t="s">
        <v>68</v>
      </c>
      <c r="BR818" s="1265" t="s">
        <v>68</v>
      </c>
      <c r="BS818" s="1265" t="s">
        <v>68</v>
      </c>
      <c r="BT818" s="1265" t="s">
        <v>68</v>
      </c>
      <c r="BU818" s="1265" t="s">
        <v>68</v>
      </c>
      <c r="BV818" s="1100" t="s">
        <v>68</v>
      </c>
      <c r="BW818" s="1814"/>
      <c r="BX818" s="1864"/>
      <c r="BY818" s="1864"/>
      <c r="BZ818" s="1864"/>
      <c r="CA818" s="1864"/>
      <c r="CB818" s="1883" t="s">
        <v>3944</v>
      </c>
      <c r="CC818" s="1884"/>
      <c r="CD818" s="1885"/>
      <c r="CE818" s="1885"/>
      <c r="CF818" s="1885"/>
      <c r="CG818" s="1885"/>
      <c r="CH818" s="1885"/>
      <c r="CI818" s="1885"/>
      <c r="CJ818" s="1885"/>
      <c r="CK818" s="1886"/>
    </row>
    <row r="819" spans="2:89" ht="155.25" hidden="1" customHeight="1">
      <c r="B819" s="22"/>
      <c r="C819" s="22"/>
      <c r="D819" s="22"/>
      <c r="E819" s="911"/>
      <c r="F819" s="911"/>
      <c r="G819" s="915"/>
      <c r="H819" s="1746" t="s">
        <v>68</v>
      </c>
      <c r="I819" s="330"/>
      <c r="J819" s="169">
        <v>2024</v>
      </c>
      <c r="K819" s="1417">
        <v>243010</v>
      </c>
      <c r="L819" s="1417"/>
      <c r="M819" s="170" t="s">
        <v>166</v>
      </c>
      <c r="N819" s="178" t="s">
        <v>6616</v>
      </c>
      <c r="O819" s="172" t="s">
        <v>46</v>
      </c>
      <c r="P819" s="173" t="s">
        <v>6681</v>
      </c>
      <c r="Q819" s="173" t="s">
        <v>1975</v>
      </c>
      <c r="R819" s="594">
        <f>603.45*2*1.16</f>
        <v>1400.0039999999999</v>
      </c>
      <c r="S819" s="175">
        <v>45491</v>
      </c>
      <c r="T819" s="176">
        <v>45495</v>
      </c>
      <c r="U819" s="177">
        <v>45504</v>
      </c>
      <c r="V819" s="676"/>
      <c r="W819" s="178" t="s">
        <v>3469</v>
      </c>
      <c r="X819" s="170" t="s">
        <v>1107</v>
      </c>
      <c r="Y819" s="1723" t="s">
        <v>68</v>
      </c>
      <c r="Z819" s="1724" t="s">
        <v>68</v>
      </c>
      <c r="AA819" s="255"/>
      <c r="AB819" s="8"/>
      <c r="AC819" s="4"/>
      <c r="AD819" s="4"/>
      <c r="AE819" s="32"/>
      <c r="AF819" s="1725" t="s">
        <v>68</v>
      </c>
      <c r="AG819" s="1726" t="s">
        <v>68</v>
      </c>
      <c r="AH819" s="1726" t="s">
        <v>68</v>
      </c>
      <c r="AI819" s="1727" t="s">
        <v>68</v>
      </c>
      <c r="AJ819" s="1728" t="s">
        <v>68</v>
      </c>
      <c r="AK819" s="1729" t="s">
        <v>68</v>
      </c>
      <c r="AL819" s="1634" t="s">
        <v>68</v>
      </c>
      <c r="AM819" s="1656"/>
      <c r="AN819" s="1634" t="s">
        <v>68</v>
      </c>
      <c r="AO819" s="1656"/>
      <c r="AP819" s="1634" t="s">
        <v>68</v>
      </c>
      <c r="AQ819" s="1656"/>
      <c r="AR819" s="1730"/>
      <c r="AS819" s="1731">
        <v>0</v>
      </c>
      <c r="AT819" s="1732">
        <v>0</v>
      </c>
      <c r="AU819" s="1733">
        <v>0</v>
      </c>
      <c r="AV819" s="1734" t="s">
        <v>68</v>
      </c>
      <c r="AW819" s="1653" t="s">
        <v>68</v>
      </c>
      <c r="AX819" s="1654" t="s">
        <v>68</v>
      </c>
      <c r="AY819" s="1655" t="s">
        <v>68</v>
      </c>
      <c r="AZ819" s="230"/>
      <c r="BA819" s="5"/>
      <c r="BB819" s="5"/>
      <c r="BC819" s="11"/>
      <c r="BD819" s="230"/>
      <c r="BE819" s="508"/>
      <c r="BF819" s="5"/>
      <c r="BG819" s="5"/>
      <c r="BH819" s="5"/>
      <c r="BI819" s="64"/>
      <c r="BJ819" s="1736" t="s">
        <v>68</v>
      </c>
      <c r="BK819" s="1117"/>
      <c r="BL819" s="1737" t="s">
        <v>68</v>
      </c>
      <c r="BM819" s="1738" t="s">
        <v>68</v>
      </c>
      <c r="BN819" s="1738" t="s">
        <v>68</v>
      </c>
      <c r="BO819" s="1739" t="s">
        <v>68</v>
      </c>
      <c r="BP819" s="1739" t="s">
        <v>68</v>
      </c>
      <c r="BQ819" s="1739" t="s">
        <v>68</v>
      </c>
      <c r="BR819" s="1739" t="s">
        <v>68</v>
      </c>
      <c r="BS819" s="1739" t="s">
        <v>68</v>
      </c>
      <c r="BT819" s="1739" t="s">
        <v>68</v>
      </c>
      <c r="BU819" s="1739" t="s">
        <v>68</v>
      </c>
      <c r="BV819" s="1737" t="s">
        <v>68</v>
      </c>
      <c r="BW819" s="13"/>
      <c r="BX819" s="22"/>
      <c r="BY819" s="22"/>
      <c r="BZ819" s="22"/>
      <c r="CA819" s="22"/>
      <c r="CB819" s="1222" t="s">
        <v>3944</v>
      </c>
      <c r="CC819" s="859" t="s">
        <v>6682</v>
      </c>
      <c r="CD819" s="526"/>
      <c r="CE819" s="526"/>
      <c r="CF819" s="526"/>
      <c r="CG819" s="526"/>
      <c r="CH819" s="526"/>
      <c r="CI819" s="526"/>
      <c r="CJ819" s="526"/>
      <c r="CK819" s="15"/>
    </row>
    <row r="820" spans="2:89" ht="158.25" hidden="1" customHeight="1">
      <c r="B820" s="22"/>
      <c r="C820" s="22"/>
      <c r="D820" s="22"/>
      <c r="E820" s="911"/>
      <c r="F820" s="911"/>
      <c r="G820" s="915"/>
      <c r="H820" s="1746" t="s">
        <v>68</v>
      </c>
      <c r="I820" s="330"/>
      <c r="J820" s="169">
        <v>2024</v>
      </c>
      <c r="K820" s="1417">
        <v>243010</v>
      </c>
      <c r="L820" s="1417"/>
      <c r="M820" s="170" t="s">
        <v>166</v>
      </c>
      <c r="N820" s="178" t="s">
        <v>6617</v>
      </c>
      <c r="O820" s="172" t="s">
        <v>46</v>
      </c>
      <c r="P820" s="173" t="s">
        <v>6683</v>
      </c>
      <c r="Q820" s="173" t="s">
        <v>1975</v>
      </c>
      <c r="R820" s="594">
        <f>(650+1450+5000+650+450)*1.16</f>
        <v>9512</v>
      </c>
      <c r="S820" s="175">
        <v>45531</v>
      </c>
      <c r="T820" s="176">
        <v>45533</v>
      </c>
      <c r="U820" s="177">
        <v>45537</v>
      </c>
      <c r="V820" s="676"/>
      <c r="W820" s="178" t="s">
        <v>739</v>
      </c>
      <c r="X820" s="170" t="s">
        <v>70</v>
      </c>
      <c r="Y820" s="1723" t="s">
        <v>68</v>
      </c>
      <c r="Z820" s="1724" t="s">
        <v>68</v>
      </c>
      <c r="AA820" s="255"/>
      <c r="AB820" s="8"/>
      <c r="AC820" s="4"/>
      <c r="AD820" s="4"/>
      <c r="AE820" s="32"/>
      <c r="AF820" s="1725" t="s">
        <v>68</v>
      </c>
      <c r="AG820" s="1726" t="s">
        <v>68</v>
      </c>
      <c r="AH820" s="1726" t="s">
        <v>68</v>
      </c>
      <c r="AI820" s="1727" t="s">
        <v>68</v>
      </c>
      <c r="AJ820" s="1728" t="s">
        <v>68</v>
      </c>
      <c r="AK820" s="1729" t="s">
        <v>68</v>
      </c>
      <c r="AL820" s="1634" t="s">
        <v>68</v>
      </c>
      <c r="AM820" s="1656"/>
      <c r="AN820" s="1634" t="s">
        <v>68</v>
      </c>
      <c r="AO820" s="1656"/>
      <c r="AP820" s="1634" t="s">
        <v>68</v>
      </c>
      <c r="AQ820" s="1656"/>
      <c r="AR820" s="1730"/>
      <c r="AS820" s="1731">
        <v>0</v>
      </c>
      <c r="AT820" s="1732">
        <v>0</v>
      </c>
      <c r="AU820" s="1733">
        <v>0</v>
      </c>
      <c r="AV820" s="1734" t="s">
        <v>68</v>
      </c>
      <c r="AW820" s="1653" t="s">
        <v>68</v>
      </c>
      <c r="AX820" s="1654" t="s">
        <v>68</v>
      </c>
      <c r="AY820" s="1655" t="s">
        <v>68</v>
      </c>
      <c r="AZ820" s="230"/>
      <c r="BA820" s="5"/>
      <c r="BB820" s="5"/>
      <c r="BC820" s="11"/>
      <c r="BD820" s="230"/>
      <c r="BE820" s="508"/>
      <c r="BF820" s="5"/>
      <c r="BG820" s="5"/>
      <c r="BH820" s="5"/>
      <c r="BI820" s="64"/>
      <c r="BJ820" s="1736" t="s">
        <v>68</v>
      </c>
      <c r="BK820" s="1117"/>
      <c r="BL820" s="1737" t="s">
        <v>68</v>
      </c>
      <c r="BM820" s="1738" t="s">
        <v>68</v>
      </c>
      <c r="BN820" s="1738" t="s">
        <v>68</v>
      </c>
      <c r="BO820" s="1739" t="s">
        <v>68</v>
      </c>
      <c r="BP820" s="1739" t="s">
        <v>68</v>
      </c>
      <c r="BQ820" s="1739" t="s">
        <v>68</v>
      </c>
      <c r="BR820" s="1739" t="s">
        <v>68</v>
      </c>
      <c r="BS820" s="1739" t="s">
        <v>68</v>
      </c>
      <c r="BT820" s="1739" t="s">
        <v>68</v>
      </c>
      <c r="BU820" s="1739" t="s">
        <v>68</v>
      </c>
      <c r="BV820" s="1737" t="s">
        <v>68</v>
      </c>
      <c r="BW820" s="13"/>
      <c r="BX820" s="22"/>
      <c r="BY820" s="22"/>
      <c r="BZ820" s="22"/>
      <c r="CA820" s="22"/>
      <c r="CB820" s="1222" t="s">
        <v>3944</v>
      </c>
      <c r="CC820" s="859" t="s">
        <v>6684</v>
      </c>
      <c r="CD820" s="526"/>
      <c r="CE820" s="526"/>
      <c r="CF820" s="526"/>
      <c r="CG820" s="526"/>
      <c r="CH820" s="526"/>
      <c r="CI820" s="526"/>
      <c r="CJ820" s="526"/>
      <c r="CK820" s="15"/>
    </row>
    <row r="821" spans="2:89" ht="174" hidden="1" customHeight="1">
      <c r="B821" s="22"/>
      <c r="C821" s="22"/>
      <c r="D821" s="22"/>
      <c r="E821" s="911"/>
      <c r="F821" s="911"/>
      <c r="G821" s="915"/>
      <c r="H821" s="1746" t="s">
        <v>68</v>
      </c>
      <c r="I821" s="330"/>
      <c r="J821" s="169">
        <v>2024</v>
      </c>
      <c r="K821" s="1417">
        <v>243010</v>
      </c>
      <c r="L821" s="1417"/>
      <c r="M821" s="170" t="s">
        <v>166</v>
      </c>
      <c r="N821" s="178" t="s">
        <v>6618</v>
      </c>
      <c r="O821" s="172" t="s">
        <v>46</v>
      </c>
      <c r="P821" s="173" t="s">
        <v>6685</v>
      </c>
      <c r="Q821" s="173" t="s">
        <v>1975</v>
      </c>
      <c r="R821" s="594">
        <f>(528.05+663.38+987.2+694.03+809.34+156.07)*1.16</f>
        <v>4452.1611999999996</v>
      </c>
      <c r="S821" s="175">
        <v>45474</v>
      </c>
      <c r="T821" s="176">
        <v>45488</v>
      </c>
      <c r="U821" s="177">
        <v>45545</v>
      </c>
      <c r="V821" s="676"/>
      <c r="W821" s="178" t="s">
        <v>6676</v>
      </c>
      <c r="X821" s="170" t="s">
        <v>70</v>
      </c>
      <c r="Y821" s="1723" t="s">
        <v>68</v>
      </c>
      <c r="Z821" s="1724" t="s">
        <v>68</v>
      </c>
      <c r="AA821" s="255"/>
      <c r="AB821" s="8"/>
      <c r="AC821" s="4"/>
      <c r="AD821" s="4"/>
      <c r="AE821" s="32"/>
      <c r="AF821" s="1725" t="s">
        <v>68</v>
      </c>
      <c r="AG821" s="1726" t="s">
        <v>68</v>
      </c>
      <c r="AH821" s="1726" t="s">
        <v>68</v>
      </c>
      <c r="AI821" s="1727" t="s">
        <v>68</v>
      </c>
      <c r="AJ821" s="1728" t="s">
        <v>68</v>
      </c>
      <c r="AK821" s="1729" t="s">
        <v>68</v>
      </c>
      <c r="AL821" s="1634" t="s">
        <v>68</v>
      </c>
      <c r="AM821" s="1656"/>
      <c r="AN821" s="1634" t="s">
        <v>68</v>
      </c>
      <c r="AO821" s="1656"/>
      <c r="AP821" s="1634" t="s">
        <v>68</v>
      </c>
      <c r="AQ821" s="1656"/>
      <c r="AR821" s="1730"/>
      <c r="AS821" s="1731">
        <v>0</v>
      </c>
      <c r="AT821" s="1732">
        <v>0</v>
      </c>
      <c r="AU821" s="1733">
        <v>0</v>
      </c>
      <c r="AV821" s="1734" t="s">
        <v>68</v>
      </c>
      <c r="AW821" s="1653" t="s">
        <v>68</v>
      </c>
      <c r="AX821" s="1654" t="s">
        <v>68</v>
      </c>
      <c r="AY821" s="1655" t="s">
        <v>68</v>
      </c>
      <c r="AZ821" s="230"/>
      <c r="BA821" s="5"/>
      <c r="BB821" s="5"/>
      <c r="BC821" s="11"/>
      <c r="BD821" s="230"/>
      <c r="BE821" s="508"/>
      <c r="BF821" s="5"/>
      <c r="BG821" s="5"/>
      <c r="BH821" s="5"/>
      <c r="BI821" s="64"/>
      <c r="BJ821" s="1736" t="s">
        <v>68</v>
      </c>
      <c r="BK821" s="1117"/>
      <c r="BL821" s="1737" t="s">
        <v>68</v>
      </c>
      <c r="BM821" s="1738" t="s">
        <v>68</v>
      </c>
      <c r="BN821" s="1738" t="s">
        <v>68</v>
      </c>
      <c r="BO821" s="1739" t="s">
        <v>68</v>
      </c>
      <c r="BP821" s="1739" t="s">
        <v>68</v>
      </c>
      <c r="BQ821" s="1739" t="s">
        <v>68</v>
      </c>
      <c r="BR821" s="1739" t="s">
        <v>68</v>
      </c>
      <c r="BS821" s="1739" t="s">
        <v>68</v>
      </c>
      <c r="BT821" s="1739" t="s">
        <v>68</v>
      </c>
      <c r="BU821" s="1739" t="s">
        <v>68</v>
      </c>
      <c r="BV821" s="1737" t="s">
        <v>68</v>
      </c>
      <c r="BW821" s="13"/>
      <c r="BX821" s="22"/>
      <c r="BY821" s="22"/>
      <c r="BZ821" s="22"/>
      <c r="CA821" s="22"/>
      <c r="CB821" s="1222" t="s">
        <v>3944</v>
      </c>
      <c r="CC821" s="859" t="s">
        <v>6686</v>
      </c>
      <c r="CD821" s="526"/>
      <c r="CE821" s="526"/>
      <c r="CF821" s="526"/>
      <c r="CG821" s="526"/>
      <c r="CH821" s="526"/>
      <c r="CI821" s="526"/>
      <c r="CJ821" s="526"/>
      <c r="CK821" s="15"/>
    </row>
    <row r="822" spans="2:89" ht="181.5" hidden="1" customHeight="1">
      <c r="B822" s="22"/>
      <c r="C822" s="22"/>
      <c r="D822" s="22"/>
      <c r="E822" s="911"/>
      <c r="F822" s="911"/>
      <c r="G822" s="915"/>
      <c r="H822" s="1746" t="s">
        <v>68</v>
      </c>
      <c r="I822" s="330"/>
      <c r="J822" s="169">
        <v>2024</v>
      </c>
      <c r="K822" s="1417">
        <v>243010</v>
      </c>
      <c r="L822" s="1417"/>
      <c r="M822" s="170" t="s">
        <v>166</v>
      </c>
      <c r="N822" s="178" t="s">
        <v>6619</v>
      </c>
      <c r="O822" s="172" t="s">
        <v>46</v>
      </c>
      <c r="P822" s="173" t="s">
        <v>6685</v>
      </c>
      <c r="Q822" s="173" t="s">
        <v>1975</v>
      </c>
      <c r="R822" s="594">
        <f>(528.05+663.38+987.2+694.03+809.34+156.07)*1.16</f>
        <v>4452.1611999999996</v>
      </c>
      <c r="S822" s="175">
        <v>45474</v>
      </c>
      <c r="T822" s="176">
        <v>45488</v>
      </c>
      <c r="U822" s="177">
        <v>45545</v>
      </c>
      <c r="V822" s="676"/>
      <c r="W822" s="178" t="s">
        <v>6676</v>
      </c>
      <c r="X822" s="170" t="s">
        <v>70</v>
      </c>
      <c r="Y822" s="1723" t="s">
        <v>68</v>
      </c>
      <c r="Z822" s="1724" t="s">
        <v>68</v>
      </c>
      <c r="AA822" s="255"/>
      <c r="AB822" s="8"/>
      <c r="AC822" s="4"/>
      <c r="AD822" s="4"/>
      <c r="AE822" s="32"/>
      <c r="AF822" s="1725" t="s">
        <v>68</v>
      </c>
      <c r="AG822" s="1726" t="s">
        <v>68</v>
      </c>
      <c r="AH822" s="1726" t="s">
        <v>68</v>
      </c>
      <c r="AI822" s="1727" t="s">
        <v>68</v>
      </c>
      <c r="AJ822" s="1728" t="s">
        <v>68</v>
      </c>
      <c r="AK822" s="1729" t="s">
        <v>68</v>
      </c>
      <c r="AL822" s="1634" t="s">
        <v>68</v>
      </c>
      <c r="AM822" s="1656"/>
      <c r="AN822" s="1634" t="s">
        <v>68</v>
      </c>
      <c r="AO822" s="1656"/>
      <c r="AP822" s="1634" t="s">
        <v>68</v>
      </c>
      <c r="AQ822" s="1656"/>
      <c r="AR822" s="1730"/>
      <c r="AS822" s="1731">
        <v>0</v>
      </c>
      <c r="AT822" s="1732">
        <v>0</v>
      </c>
      <c r="AU822" s="1733">
        <v>0</v>
      </c>
      <c r="AV822" s="1734" t="s">
        <v>68</v>
      </c>
      <c r="AW822" s="1653" t="s">
        <v>68</v>
      </c>
      <c r="AX822" s="1654" t="s">
        <v>68</v>
      </c>
      <c r="AY822" s="1655" t="s">
        <v>68</v>
      </c>
      <c r="AZ822" s="230"/>
      <c r="BA822" s="5"/>
      <c r="BB822" s="5"/>
      <c r="BC822" s="11"/>
      <c r="BD822" s="230"/>
      <c r="BE822" s="508"/>
      <c r="BF822" s="5"/>
      <c r="BG822" s="5"/>
      <c r="BH822" s="5"/>
      <c r="BI822" s="64"/>
      <c r="BJ822" s="1736" t="s">
        <v>68</v>
      </c>
      <c r="BK822" s="1117"/>
      <c r="BL822" s="1737" t="s">
        <v>68</v>
      </c>
      <c r="BM822" s="1738" t="s">
        <v>68</v>
      </c>
      <c r="BN822" s="1738" t="s">
        <v>68</v>
      </c>
      <c r="BO822" s="1739" t="s">
        <v>68</v>
      </c>
      <c r="BP822" s="1739" t="s">
        <v>68</v>
      </c>
      <c r="BQ822" s="1739" t="s">
        <v>68</v>
      </c>
      <c r="BR822" s="1739" t="s">
        <v>68</v>
      </c>
      <c r="BS822" s="1739" t="s">
        <v>68</v>
      </c>
      <c r="BT822" s="1739" t="s">
        <v>68</v>
      </c>
      <c r="BU822" s="1739" t="s">
        <v>68</v>
      </c>
      <c r="BV822" s="1737" t="s">
        <v>68</v>
      </c>
      <c r="BW822" s="13"/>
      <c r="BX822" s="22"/>
      <c r="BY822" s="22"/>
      <c r="BZ822" s="22"/>
      <c r="CA822" s="22"/>
      <c r="CB822" s="1222" t="s">
        <v>3944</v>
      </c>
      <c r="CC822" s="859" t="s">
        <v>6686</v>
      </c>
      <c r="CD822" s="526"/>
      <c r="CE822" s="526"/>
      <c r="CF822" s="526"/>
      <c r="CG822" s="526"/>
      <c r="CH822" s="526"/>
      <c r="CI822" s="526"/>
      <c r="CJ822" s="526"/>
      <c r="CK822" s="15"/>
    </row>
    <row r="823" spans="2:89" ht="102" hidden="1" customHeight="1">
      <c r="B823" s="22"/>
      <c r="C823" s="22"/>
      <c r="D823" s="22"/>
      <c r="E823" s="911"/>
      <c r="F823" s="911"/>
      <c r="G823" s="915"/>
      <c r="H823" s="1746" t="s">
        <v>68</v>
      </c>
      <c r="I823" s="330"/>
      <c r="J823" s="169">
        <v>2024</v>
      </c>
      <c r="K823" s="1417">
        <v>243010</v>
      </c>
      <c r="L823" s="1417"/>
      <c r="M823" s="170" t="s">
        <v>166</v>
      </c>
      <c r="N823" s="178" t="s">
        <v>6620</v>
      </c>
      <c r="O823" s="172" t="s">
        <v>46</v>
      </c>
      <c r="P823" s="173" t="s">
        <v>6687</v>
      </c>
      <c r="Q823" s="173" t="s">
        <v>1975</v>
      </c>
      <c r="R823" s="594">
        <f>1900*1.16</f>
        <v>2204</v>
      </c>
      <c r="S823" s="175">
        <v>45541</v>
      </c>
      <c r="T823" s="176">
        <v>45544</v>
      </c>
      <c r="U823" s="177">
        <v>45548</v>
      </c>
      <c r="V823" s="676"/>
      <c r="W823" s="178" t="s">
        <v>739</v>
      </c>
      <c r="X823" s="170" t="s">
        <v>70</v>
      </c>
      <c r="Y823" s="1723" t="s">
        <v>68</v>
      </c>
      <c r="Z823" s="1724" t="s">
        <v>68</v>
      </c>
      <c r="AA823" s="255"/>
      <c r="AB823" s="8"/>
      <c r="AC823" s="4"/>
      <c r="AD823" s="4"/>
      <c r="AE823" s="32"/>
      <c r="AF823" s="1725" t="s">
        <v>68</v>
      </c>
      <c r="AG823" s="1726" t="s">
        <v>68</v>
      </c>
      <c r="AH823" s="1726" t="s">
        <v>68</v>
      </c>
      <c r="AI823" s="1727" t="s">
        <v>68</v>
      </c>
      <c r="AJ823" s="1728" t="s">
        <v>68</v>
      </c>
      <c r="AK823" s="1729" t="s">
        <v>68</v>
      </c>
      <c r="AL823" s="1634" t="s">
        <v>68</v>
      </c>
      <c r="AM823" s="1656"/>
      <c r="AN823" s="1634" t="s">
        <v>68</v>
      </c>
      <c r="AO823" s="1656"/>
      <c r="AP823" s="1634" t="s">
        <v>68</v>
      </c>
      <c r="AQ823" s="1656"/>
      <c r="AR823" s="1730"/>
      <c r="AS823" s="1731">
        <v>0</v>
      </c>
      <c r="AT823" s="1732">
        <v>0</v>
      </c>
      <c r="AU823" s="1733">
        <v>0</v>
      </c>
      <c r="AV823" s="1734" t="s">
        <v>68</v>
      </c>
      <c r="AW823" s="1653" t="s">
        <v>68</v>
      </c>
      <c r="AX823" s="1654" t="s">
        <v>68</v>
      </c>
      <c r="AY823" s="1655" t="s">
        <v>68</v>
      </c>
      <c r="AZ823" s="230"/>
      <c r="BA823" s="5"/>
      <c r="BB823" s="5"/>
      <c r="BC823" s="11"/>
      <c r="BD823" s="230"/>
      <c r="BE823" s="508"/>
      <c r="BF823" s="5"/>
      <c r="BG823" s="5"/>
      <c r="BH823" s="5"/>
      <c r="BI823" s="64"/>
      <c r="BJ823" s="1736" t="s">
        <v>68</v>
      </c>
      <c r="BK823" s="1117"/>
      <c r="BL823" s="1737" t="s">
        <v>68</v>
      </c>
      <c r="BM823" s="1738" t="s">
        <v>68</v>
      </c>
      <c r="BN823" s="1738" t="s">
        <v>68</v>
      </c>
      <c r="BO823" s="1739" t="s">
        <v>68</v>
      </c>
      <c r="BP823" s="1739" t="s">
        <v>68</v>
      </c>
      <c r="BQ823" s="1739" t="s">
        <v>68</v>
      </c>
      <c r="BR823" s="1739" t="s">
        <v>68</v>
      </c>
      <c r="BS823" s="1739" t="s">
        <v>68</v>
      </c>
      <c r="BT823" s="1739" t="s">
        <v>68</v>
      </c>
      <c r="BU823" s="1739" t="s">
        <v>68</v>
      </c>
      <c r="BV823" s="1737" t="s">
        <v>68</v>
      </c>
      <c r="BW823" s="13"/>
      <c r="BX823" s="22"/>
      <c r="BY823" s="22"/>
      <c r="BZ823" s="22"/>
      <c r="CA823" s="22"/>
      <c r="CB823" s="1222" t="s">
        <v>3944</v>
      </c>
      <c r="CC823" s="859" t="s">
        <v>6688</v>
      </c>
      <c r="CD823" s="526"/>
      <c r="CE823" s="526"/>
      <c r="CF823" s="526"/>
      <c r="CG823" s="526"/>
      <c r="CH823" s="526"/>
      <c r="CI823" s="526"/>
      <c r="CJ823" s="526"/>
      <c r="CK823" s="15"/>
    </row>
    <row r="824" spans="2:89" ht="102.75" customHeight="1">
      <c r="B824" s="809"/>
      <c r="C824" s="22"/>
      <c r="D824" s="22"/>
      <c r="E824" s="911"/>
      <c r="F824" s="911"/>
      <c r="G824" s="915">
        <v>45623</v>
      </c>
      <c r="H824" s="1746" t="s">
        <v>6311</v>
      </c>
      <c r="I824" s="330"/>
      <c r="J824" s="169">
        <v>2024</v>
      </c>
      <c r="K824" s="1417">
        <v>244001</v>
      </c>
      <c r="L824" s="1417"/>
      <c r="M824" s="1711" t="s">
        <v>6162</v>
      </c>
      <c r="N824" s="178" t="s">
        <v>6007</v>
      </c>
      <c r="O824" s="172" t="s">
        <v>4032</v>
      </c>
      <c r="P824" s="173" t="s">
        <v>6163</v>
      </c>
      <c r="Q824" s="173" t="s">
        <v>1975</v>
      </c>
      <c r="R824" s="594">
        <v>89910</v>
      </c>
      <c r="S824" s="590" t="s">
        <v>68</v>
      </c>
      <c r="T824" s="176">
        <v>45392</v>
      </c>
      <c r="U824" s="177">
        <v>45394</v>
      </c>
      <c r="V824" s="105" t="s">
        <v>68</v>
      </c>
      <c r="W824" s="178" t="s">
        <v>68</v>
      </c>
      <c r="X824" s="170" t="s">
        <v>1107</v>
      </c>
      <c r="Y824" s="1813" t="s">
        <v>74</v>
      </c>
      <c r="Z824" s="1383"/>
      <c r="AA824" s="33" t="s">
        <v>6378</v>
      </c>
      <c r="AB824" s="8">
        <v>45317</v>
      </c>
      <c r="AC824" s="79">
        <v>89910</v>
      </c>
      <c r="AD824" s="4"/>
      <c r="AE824" s="32"/>
      <c r="AF824" s="1725" t="s">
        <v>68</v>
      </c>
      <c r="AG824" s="1726" t="s">
        <v>68</v>
      </c>
      <c r="AH824" s="1726" t="s">
        <v>68</v>
      </c>
      <c r="AI824" s="1727" t="s">
        <v>68</v>
      </c>
      <c r="AJ824" s="1728" t="s">
        <v>68</v>
      </c>
      <c r="AK824" s="1729" t="s">
        <v>68</v>
      </c>
      <c r="AL824" s="1634" t="s">
        <v>68</v>
      </c>
      <c r="AM824" s="1656"/>
      <c r="AN824" s="1634" t="s">
        <v>68</v>
      </c>
      <c r="AO824" s="1656"/>
      <c r="AP824" s="1634" t="s">
        <v>68</v>
      </c>
      <c r="AQ824" s="1656"/>
      <c r="AR824" s="1730"/>
      <c r="AS824" s="35">
        <v>0</v>
      </c>
      <c r="AT824" s="895">
        <v>89888.77</v>
      </c>
      <c r="AU824" s="891"/>
      <c r="AV824" s="230"/>
      <c r="AW824" s="11"/>
      <c r="AX824" s="223"/>
      <c r="AY824" s="52"/>
      <c r="AZ824" s="30">
        <v>45394</v>
      </c>
      <c r="BA824" s="474">
        <v>45636</v>
      </c>
      <c r="BB824" s="474">
        <v>45638</v>
      </c>
      <c r="BC824" s="11"/>
      <c r="BD824" s="30">
        <v>45394</v>
      </c>
      <c r="BE824" s="201" t="s">
        <v>6007</v>
      </c>
      <c r="BF824" s="5">
        <v>45392</v>
      </c>
      <c r="BG824" s="5">
        <v>45394</v>
      </c>
      <c r="BH824" s="5">
        <v>45393</v>
      </c>
      <c r="BI824" s="129">
        <f t="shared" ref="BI824:BI828" si="23">AS824+AT824</f>
        <v>89888.77</v>
      </c>
      <c r="BJ824" s="1736" t="s">
        <v>68</v>
      </c>
      <c r="BK824" s="1117" t="s">
        <v>68</v>
      </c>
      <c r="BL824" s="336">
        <v>45391</v>
      </c>
      <c r="BM824" s="1738" t="s">
        <v>68</v>
      </c>
      <c r="BN824" s="1738" t="s">
        <v>68</v>
      </c>
      <c r="BO824" s="1739" t="s">
        <v>68</v>
      </c>
      <c r="BP824" s="1739" t="s">
        <v>68</v>
      </c>
      <c r="BQ824" s="1739" t="s">
        <v>68</v>
      </c>
      <c r="BR824" s="1739" t="s">
        <v>68</v>
      </c>
      <c r="BS824" s="1739" t="s">
        <v>68</v>
      </c>
      <c r="BT824" s="1739" t="s">
        <v>68</v>
      </c>
      <c r="BU824" s="1739" t="s">
        <v>68</v>
      </c>
      <c r="BV824" s="913"/>
      <c r="BW824" s="13"/>
      <c r="BX824" s="22"/>
      <c r="BY824" s="22"/>
      <c r="BZ824" s="22"/>
      <c r="CA824" s="22"/>
      <c r="CB824" s="1222" t="s">
        <v>3944</v>
      </c>
      <c r="CC824" s="859"/>
      <c r="CD824" s="526"/>
      <c r="CE824" s="526"/>
      <c r="CF824" s="526"/>
      <c r="CG824" s="526"/>
      <c r="CH824" s="526"/>
      <c r="CI824" s="526"/>
      <c r="CJ824" s="526"/>
      <c r="CK824" s="15"/>
    </row>
    <row r="825" spans="2:89" ht="75.75" customHeight="1">
      <c r="B825" s="809"/>
      <c r="C825" s="22"/>
      <c r="D825" s="22"/>
      <c r="E825" s="911"/>
      <c r="F825" s="911"/>
      <c r="G825" s="915">
        <v>45623</v>
      </c>
      <c r="H825" s="1746" t="s">
        <v>6311</v>
      </c>
      <c r="I825" s="330"/>
      <c r="J825" s="169">
        <v>2024</v>
      </c>
      <c r="K825" s="1417">
        <v>244002</v>
      </c>
      <c r="L825" s="1417"/>
      <c r="M825" s="170" t="s">
        <v>77</v>
      </c>
      <c r="N825" s="178" t="s">
        <v>6008</v>
      </c>
      <c r="O825" s="172" t="s">
        <v>4032</v>
      </c>
      <c r="P825" s="173" t="s">
        <v>6537</v>
      </c>
      <c r="Q825" s="173" t="s">
        <v>2538</v>
      </c>
      <c r="R825" s="594">
        <v>448614.85</v>
      </c>
      <c r="S825" s="590">
        <v>45414</v>
      </c>
      <c r="T825" s="176">
        <v>45418</v>
      </c>
      <c r="U825" s="177">
        <v>45437</v>
      </c>
      <c r="V825" s="105" t="s">
        <v>68</v>
      </c>
      <c r="W825" s="178" t="s">
        <v>68</v>
      </c>
      <c r="X825" s="170" t="s">
        <v>70</v>
      </c>
      <c r="Y825" s="1813" t="s">
        <v>74</v>
      </c>
      <c r="Z825" s="1383"/>
      <c r="AA825" s="115" t="s">
        <v>6383</v>
      </c>
      <c r="AB825" s="8">
        <v>45378</v>
      </c>
      <c r="AC825" s="4">
        <v>381311.87</v>
      </c>
      <c r="AD825" s="4"/>
      <c r="AE825" s="32"/>
      <c r="AF825" s="1725" t="s">
        <v>68</v>
      </c>
      <c r="AG825" s="1726" t="s">
        <v>68</v>
      </c>
      <c r="AH825" s="1726" t="s">
        <v>68</v>
      </c>
      <c r="AI825" s="1727" t="s">
        <v>68</v>
      </c>
      <c r="AJ825" s="1728" t="s">
        <v>68</v>
      </c>
      <c r="AK825" s="1729" t="s">
        <v>68</v>
      </c>
      <c r="AL825" s="1634" t="s">
        <v>68</v>
      </c>
      <c r="AM825" s="1656"/>
      <c r="AN825" s="1634" t="s">
        <v>68</v>
      </c>
      <c r="AO825" s="1656"/>
      <c r="AP825" s="1634" t="s">
        <v>68</v>
      </c>
      <c r="AQ825" s="1656"/>
      <c r="AR825" s="1730"/>
      <c r="AS825" s="35">
        <v>78455.19</v>
      </c>
      <c r="AT825" s="895">
        <v>225669.86</v>
      </c>
      <c r="AU825" s="891"/>
      <c r="AV825" s="30">
        <v>45418</v>
      </c>
      <c r="AW825" s="11">
        <v>45430</v>
      </c>
      <c r="AX825" s="223"/>
      <c r="AY825" s="52"/>
      <c r="AZ825" s="70">
        <v>45432</v>
      </c>
      <c r="BA825" s="71">
        <v>45418</v>
      </c>
      <c r="BB825" s="71">
        <v>45437</v>
      </c>
      <c r="BC825" s="127">
        <v>45430</v>
      </c>
      <c r="BD825" s="70">
        <v>45432</v>
      </c>
      <c r="BE825" s="1616" t="s">
        <v>6008</v>
      </c>
      <c r="BF825" s="71">
        <v>45418</v>
      </c>
      <c r="BG825" s="71">
        <v>45437</v>
      </c>
      <c r="BH825" s="71">
        <v>45430</v>
      </c>
      <c r="BI825" s="129">
        <f>AS825+AT825</f>
        <v>304125.05</v>
      </c>
      <c r="BJ825" s="1736" t="s">
        <v>68</v>
      </c>
      <c r="BK825" s="1117" t="s">
        <v>68</v>
      </c>
      <c r="BL825" s="336">
        <v>45414</v>
      </c>
      <c r="BM825" s="1738" t="s">
        <v>68</v>
      </c>
      <c r="BN825" s="1738" t="s">
        <v>68</v>
      </c>
      <c r="BO825" s="1739" t="s">
        <v>68</v>
      </c>
      <c r="BP825" s="1739" t="s">
        <v>68</v>
      </c>
      <c r="BQ825" s="1739" t="s">
        <v>68</v>
      </c>
      <c r="BR825" s="1739" t="s">
        <v>68</v>
      </c>
      <c r="BS825" s="1739" t="s">
        <v>68</v>
      </c>
      <c r="BT825" s="1739" t="s">
        <v>68</v>
      </c>
      <c r="BU825" s="1739" t="s">
        <v>68</v>
      </c>
      <c r="BV825" s="913"/>
      <c r="BW825" s="13"/>
      <c r="BX825" s="22"/>
      <c r="BY825" s="22"/>
      <c r="BZ825" s="22"/>
      <c r="CA825" s="22"/>
      <c r="CB825" s="1222" t="s">
        <v>3944</v>
      </c>
      <c r="CC825" s="859"/>
      <c r="CD825" s="526"/>
      <c r="CE825" s="526"/>
      <c r="CF825" s="526"/>
      <c r="CG825" s="526"/>
      <c r="CH825" s="526"/>
      <c r="CI825" s="526"/>
      <c r="CJ825" s="526"/>
      <c r="CK825" s="15"/>
    </row>
    <row r="826" spans="2:89" ht="65.25" customHeight="1">
      <c r="B826" s="809"/>
      <c r="C826" s="22"/>
      <c r="D826" s="22"/>
      <c r="E826" s="911"/>
      <c r="F826" s="911"/>
      <c r="G826" s="915">
        <v>45623</v>
      </c>
      <c r="H826" s="1746" t="s">
        <v>1405</v>
      </c>
      <c r="I826" s="330"/>
      <c r="J826" s="169">
        <v>2024</v>
      </c>
      <c r="K826" s="1417">
        <v>244003</v>
      </c>
      <c r="L826" s="1417"/>
      <c r="M826" s="170" t="s">
        <v>166</v>
      </c>
      <c r="N826" s="178" t="s">
        <v>6009</v>
      </c>
      <c r="O826" s="172" t="s">
        <v>4032</v>
      </c>
      <c r="P826" s="173" t="s">
        <v>6538</v>
      </c>
      <c r="Q826" s="173" t="s">
        <v>4824</v>
      </c>
      <c r="R826" s="594">
        <v>831839.5</v>
      </c>
      <c r="S826" s="590">
        <v>45432</v>
      </c>
      <c r="T826" s="176">
        <v>45434</v>
      </c>
      <c r="U826" s="177">
        <v>45478</v>
      </c>
      <c r="V826" s="105" t="s">
        <v>68</v>
      </c>
      <c r="W826" s="178" t="s">
        <v>68</v>
      </c>
      <c r="X826" s="170" t="s">
        <v>70</v>
      </c>
      <c r="Y826" s="1650" t="s">
        <v>68</v>
      </c>
      <c r="Z826" s="368" t="s">
        <v>68</v>
      </c>
      <c r="AA826" s="337" t="s">
        <v>74</v>
      </c>
      <c r="AB826" s="8"/>
      <c r="AC826" s="4"/>
      <c r="AD826" s="4"/>
      <c r="AE826" s="32"/>
      <c r="AF826" s="1725" t="s">
        <v>68</v>
      </c>
      <c r="AG826" s="1726" t="s">
        <v>68</v>
      </c>
      <c r="AH826" s="1726" t="s">
        <v>68</v>
      </c>
      <c r="AI826" s="1727" t="s">
        <v>68</v>
      </c>
      <c r="AJ826" s="1728" t="s">
        <v>68</v>
      </c>
      <c r="AK826" s="1729" t="s">
        <v>68</v>
      </c>
      <c r="AL826" s="1634" t="s">
        <v>68</v>
      </c>
      <c r="AM826" s="1656"/>
      <c r="AN826" s="1634" t="s">
        <v>68</v>
      </c>
      <c r="AO826" s="1656"/>
      <c r="AP826" s="1634" t="s">
        <v>68</v>
      </c>
      <c r="AQ826" s="1656"/>
      <c r="AR826" s="1730"/>
      <c r="AS826" s="35">
        <v>205389.94</v>
      </c>
      <c r="AT826" s="895">
        <v>606731.53</v>
      </c>
      <c r="AU826" s="891"/>
      <c r="AV826" s="230"/>
      <c r="AW826" s="11"/>
      <c r="AX826" s="223"/>
      <c r="AY826" s="52"/>
      <c r="AZ826" s="70">
        <v>45497</v>
      </c>
      <c r="BA826" s="71">
        <v>45434</v>
      </c>
      <c r="BB826" s="71">
        <v>45478</v>
      </c>
      <c r="BC826" s="127">
        <v>45496</v>
      </c>
      <c r="BD826" s="70">
        <v>45497</v>
      </c>
      <c r="BE826" s="1616" t="s">
        <v>6009</v>
      </c>
      <c r="BF826" s="71">
        <v>45434</v>
      </c>
      <c r="BG826" s="71">
        <v>45478</v>
      </c>
      <c r="BH826" s="71">
        <v>45496</v>
      </c>
      <c r="BI826" s="129">
        <f t="shared" si="23"/>
        <v>812121.47</v>
      </c>
      <c r="BJ826" s="1736" t="s">
        <v>68</v>
      </c>
      <c r="BK826" s="1117" t="s">
        <v>68</v>
      </c>
      <c r="BL826" s="336">
        <v>45432</v>
      </c>
      <c r="BM826" s="1738" t="s">
        <v>68</v>
      </c>
      <c r="BN826" s="1738" t="s">
        <v>68</v>
      </c>
      <c r="BO826" s="1739" t="s">
        <v>68</v>
      </c>
      <c r="BP826" s="1739" t="s">
        <v>68</v>
      </c>
      <c r="BQ826" s="1739" t="s">
        <v>68</v>
      </c>
      <c r="BR826" s="1739" t="s">
        <v>68</v>
      </c>
      <c r="BS826" s="1739" t="s">
        <v>68</v>
      </c>
      <c r="BT826" s="1739" t="s">
        <v>68</v>
      </c>
      <c r="BU826" s="1739" t="s">
        <v>68</v>
      </c>
      <c r="BV826" s="913"/>
      <c r="BW826" s="13"/>
      <c r="BX826" s="22"/>
      <c r="BY826" s="22"/>
      <c r="BZ826" s="22"/>
      <c r="CA826" s="22"/>
      <c r="CB826" s="1222" t="s">
        <v>3944</v>
      </c>
      <c r="CC826" s="859"/>
      <c r="CD826" s="526"/>
      <c r="CE826" s="526"/>
      <c r="CF826" s="526"/>
      <c r="CG826" s="526"/>
      <c r="CH826" s="526"/>
      <c r="CI826" s="526"/>
      <c r="CJ826" s="526"/>
      <c r="CK826" s="15"/>
    </row>
    <row r="827" spans="2:89" ht="88.5" customHeight="1">
      <c r="B827" s="809"/>
      <c r="C827" s="22"/>
      <c r="D827" s="22"/>
      <c r="E827" s="911"/>
      <c r="F827" s="911"/>
      <c r="G827" s="915">
        <v>45596</v>
      </c>
      <c r="H827" s="1746" t="s">
        <v>6311</v>
      </c>
      <c r="I827" s="330"/>
      <c r="J827" s="169">
        <v>2024</v>
      </c>
      <c r="K827" s="1417">
        <v>244004</v>
      </c>
      <c r="L827" s="1417"/>
      <c r="M827" s="170" t="s">
        <v>77</v>
      </c>
      <c r="N827" s="178" t="s">
        <v>6010</v>
      </c>
      <c r="O827" s="172" t="s">
        <v>4032</v>
      </c>
      <c r="P827" s="173" t="s">
        <v>6539</v>
      </c>
      <c r="Q827" s="173" t="s">
        <v>1975</v>
      </c>
      <c r="R827" s="594">
        <v>1572787.58</v>
      </c>
      <c r="S827" s="590">
        <v>45474</v>
      </c>
      <c r="T827" s="176">
        <v>45488</v>
      </c>
      <c r="U827" s="177">
        <v>45545</v>
      </c>
      <c r="V827" s="105" t="s">
        <v>68</v>
      </c>
      <c r="W827" s="178" t="s">
        <v>68</v>
      </c>
      <c r="X827" s="170" t="s">
        <v>70</v>
      </c>
      <c r="Y827" s="1650">
        <v>45415</v>
      </c>
      <c r="Z827" s="1383"/>
      <c r="AA827" s="115" t="s">
        <v>6379</v>
      </c>
      <c r="AB827" s="74">
        <v>45375</v>
      </c>
      <c r="AC827" s="75">
        <v>1600000</v>
      </c>
      <c r="AD827" s="4"/>
      <c r="AE827" s="32"/>
      <c r="AF827" s="1725" t="s">
        <v>68</v>
      </c>
      <c r="AG827" s="1726" t="s">
        <v>68</v>
      </c>
      <c r="AH827" s="1726" t="s">
        <v>68</v>
      </c>
      <c r="AI827" s="1727" t="s">
        <v>68</v>
      </c>
      <c r="AJ827" s="1728" t="s">
        <v>68</v>
      </c>
      <c r="AK827" s="1729" t="s">
        <v>68</v>
      </c>
      <c r="AL827" s="1634" t="s">
        <v>68</v>
      </c>
      <c r="AM827" s="1656"/>
      <c r="AN827" s="1634" t="s">
        <v>68</v>
      </c>
      <c r="AO827" s="1656"/>
      <c r="AP827" s="1634" t="s">
        <v>68</v>
      </c>
      <c r="AQ827" s="1656"/>
      <c r="AR827" s="1730"/>
      <c r="AS827" s="674"/>
      <c r="AT827" s="902"/>
      <c r="AU827" s="891"/>
      <c r="AV827" s="230"/>
      <c r="AW827" s="11"/>
      <c r="AX827" s="223"/>
      <c r="AY827" s="52"/>
      <c r="AZ827" s="230"/>
      <c r="BA827" s="5"/>
      <c r="BB827" s="5"/>
      <c r="BC827" s="11"/>
      <c r="BD827" s="230"/>
      <c r="BE827" s="535"/>
      <c r="BF827" s="5"/>
      <c r="BG827" s="5"/>
      <c r="BH827" s="5"/>
      <c r="BI827" s="245">
        <f t="shared" si="23"/>
        <v>0</v>
      </c>
      <c r="BJ827" s="1736" t="s">
        <v>68</v>
      </c>
      <c r="BK827" s="1117" t="s">
        <v>68</v>
      </c>
      <c r="BL827" s="1389"/>
      <c r="BM827" s="1738" t="s">
        <v>68</v>
      </c>
      <c r="BN827" s="1738" t="s">
        <v>68</v>
      </c>
      <c r="BO827" s="1739" t="s">
        <v>68</v>
      </c>
      <c r="BP827" s="1739" t="s">
        <v>68</v>
      </c>
      <c r="BQ827" s="1739" t="s">
        <v>68</v>
      </c>
      <c r="BR827" s="1739" t="s">
        <v>68</v>
      </c>
      <c r="BS827" s="1739" t="s">
        <v>68</v>
      </c>
      <c r="BT827" s="1739" t="s">
        <v>68</v>
      </c>
      <c r="BU827" s="1739" t="s">
        <v>68</v>
      </c>
      <c r="BV827" s="913"/>
      <c r="BW827" s="13"/>
      <c r="BX827" s="22"/>
      <c r="BY827" s="22"/>
      <c r="BZ827" s="22"/>
      <c r="CA827" s="22"/>
      <c r="CB827" s="1222" t="s">
        <v>3944</v>
      </c>
      <c r="CC827" s="859"/>
      <c r="CD827" s="526"/>
      <c r="CE827" s="526"/>
      <c r="CF827" s="526"/>
      <c r="CG827" s="526"/>
      <c r="CH827" s="526"/>
      <c r="CI827" s="526"/>
      <c r="CJ827" s="526"/>
      <c r="CK827" s="15"/>
    </row>
    <row r="828" spans="2:89" ht="76.5" customHeight="1">
      <c r="B828" s="809"/>
      <c r="C828" s="22"/>
      <c r="D828" s="22"/>
      <c r="E828" s="911"/>
      <c r="F828" s="911"/>
      <c r="G828" s="915">
        <v>45596</v>
      </c>
      <c r="H828" s="1746" t="s">
        <v>1405</v>
      </c>
      <c r="I828" s="330"/>
      <c r="J828" s="169">
        <v>2024</v>
      </c>
      <c r="K828" s="1417">
        <v>244005</v>
      </c>
      <c r="L828" s="1417"/>
      <c r="M828" s="170" t="s">
        <v>166</v>
      </c>
      <c r="N828" s="178" t="s">
        <v>6011</v>
      </c>
      <c r="O828" s="172" t="s">
        <v>4032</v>
      </c>
      <c r="P828" s="173" t="s">
        <v>6539</v>
      </c>
      <c r="Q828" s="173" t="s">
        <v>1975</v>
      </c>
      <c r="R828" s="594">
        <v>600000</v>
      </c>
      <c r="S828" s="175">
        <v>45492</v>
      </c>
      <c r="T828" s="176">
        <v>45496</v>
      </c>
      <c r="U828" s="177">
        <v>45549</v>
      </c>
      <c r="V828" s="105" t="s">
        <v>68</v>
      </c>
      <c r="W828" s="178" t="s">
        <v>68</v>
      </c>
      <c r="X828" s="170" t="s">
        <v>6438</v>
      </c>
      <c r="Y828" s="1650" t="s">
        <v>68</v>
      </c>
      <c r="Z828" s="368" t="s">
        <v>68</v>
      </c>
      <c r="AA828" s="115" t="s">
        <v>6379</v>
      </c>
      <c r="AB828" s="74">
        <v>45375</v>
      </c>
      <c r="AC828" s="75">
        <v>1600000</v>
      </c>
      <c r="AD828" s="4"/>
      <c r="AE828" s="32"/>
      <c r="AF828" s="1725" t="s">
        <v>68</v>
      </c>
      <c r="AG828" s="1726" t="s">
        <v>68</v>
      </c>
      <c r="AH828" s="1726" t="s">
        <v>68</v>
      </c>
      <c r="AI828" s="1727" t="s">
        <v>68</v>
      </c>
      <c r="AJ828" s="1728" t="s">
        <v>68</v>
      </c>
      <c r="AK828" s="1729" t="s">
        <v>68</v>
      </c>
      <c r="AL828" s="1634" t="s">
        <v>68</v>
      </c>
      <c r="AM828" s="1656"/>
      <c r="AN828" s="1634" t="s">
        <v>68</v>
      </c>
      <c r="AO828" s="1656"/>
      <c r="AP828" s="1634" t="s">
        <v>68</v>
      </c>
      <c r="AQ828" s="1656"/>
      <c r="AR828" s="1730"/>
      <c r="AS828" s="674"/>
      <c r="AT828" s="902"/>
      <c r="AU828" s="891"/>
      <c r="AV828" s="230"/>
      <c r="AW828" s="11"/>
      <c r="AX828" s="223"/>
      <c r="AY828" s="52"/>
      <c r="AZ828" s="230"/>
      <c r="BA828" s="5"/>
      <c r="BB828" s="5"/>
      <c r="BC828" s="11"/>
      <c r="BD828" s="230"/>
      <c r="BE828" s="535"/>
      <c r="BF828" s="5"/>
      <c r="BG828" s="5"/>
      <c r="BH828" s="5"/>
      <c r="BI828" s="245">
        <f t="shared" si="23"/>
        <v>0</v>
      </c>
      <c r="BJ828" s="1736" t="s">
        <v>68</v>
      </c>
      <c r="BK828" s="1117" t="s">
        <v>68</v>
      </c>
      <c r="BL828" s="1389"/>
      <c r="BM828" s="1738" t="s">
        <v>68</v>
      </c>
      <c r="BN828" s="1738" t="s">
        <v>68</v>
      </c>
      <c r="BO828" s="1739" t="s">
        <v>68</v>
      </c>
      <c r="BP828" s="1739" t="s">
        <v>68</v>
      </c>
      <c r="BQ828" s="1739" t="s">
        <v>68</v>
      </c>
      <c r="BR828" s="1739" t="s">
        <v>68</v>
      </c>
      <c r="BS828" s="1739" t="s">
        <v>68</v>
      </c>
      <c r="BT828" s="1739" t="s">
        <v>68</v>
      </c>
      <c r="BU828" s="1739" t="s">
        <v>68</v>
      </c>
      <c r="BV828" s="913"/>
      <c r="BW828" s="13"/>
      <c r="BX828" s="22"/>
      <c r="BY828" s="22"/>
      <c r="BZ828" s="22"/>
      <c r="CA828" s="22"/>
      <c r="CB828" s="1222" t="s">
        <v>6536</v>
      </c>
      <c r="CC828" s="859"/>
      <c r="CD828" s="526"/>
      <c r="CE828" s="526"/>
      <c r="CF828" s="526"/>
      <c r="CG828" s="526"/>
      <c r="CH828" s="526"/>
      <c r="CI828" s="526"/>
      <c r="CJ828" s="526"/>
      <c r="CK828" s="15"/>
    </row>
    <row r="829" spans="2:89" ht="77.25" customHeight="1">
      <c r="B829" s="809"/>
      <c r="C829" s="22"/>
      <c r="D829" s="22"/>
      <c r="E829" s="911"/>
      <c r="F829" s="911"/>
      <c r="G829" s="915"/>
      <c r="H829" s="1746" t="s">
        <v>1405</v>
      </c>
      <c r="I829" s="330"/>
      <c r="J829" s="169">
        <v>2024</v>
      </c>
      <c r="K829" s="1417">
        <v>244006</v>
      </c>
      <c r="L829" s="1417"/>
      <c r="M829" s="170" t="s">
        <v>77</v>
      </c>
      <c r="N829" s="178" t="s">
        <v>6007</v>
      </c>
      <c r="O829" s="172" t="s">
        <v>4032</v>
      </c>
      <c r="P829" s="173" t="s">
        <v>6878</v>
      </c>
      <c r="Q829" s="173" t="s">
        <v>1975</v>
      </c>
      <c r="R829" s="1669">
        <v>1057005.33</v>
      </c>
      <c r="S829" s="175">
        <v>45616</v>
      </c>
      <c r="T829" s="176">
        <v>45617</v>
      </c>
      <c r="U829" s="177">
        <v>45645</v>
      </c>
      <c r="V829" s="105" t="s">
        <v>68</v>
      </c>
      <c r="W829" s="178" t="s">
        <v>68</v>
      </c>
      <c r="X829" s="170" t="s">
        <v>6879</v>
      </c>
      <c r="Y829" s="1680"/>
      <c r="Z829" s="1383"/>
      <c r="AA829" s="33" t="s">
        <v>6365</v>
      </c>
      <c r="AB829" s="8">
        <v>45615</v>
      </c>
      <c r="AC829" s="4">
        <v>1057005.33</v>
      </c>
      <c r="AD829" s="4"/>
      <c r="AE829" s="32"/>
      <c r="AF829" s="1725" t="s">
        <v>68</v>
      </c>
      <c r="AG829" s="1726" t="s">
        <v>68</v>
      </c>
      <c r="AH829" s="1726" t="s">
        <v>68</v>
      </c>
      <c r="AI829" s="1727" t="s">
        <v>68</v>
      </c>
      <c r="AJ829" s="1728" t="s">
        <v>68</v>
      </c>
      <c r="AK829" s="1729" t="s">
        <v>68</v>
      </c>
      <c r="AL829" s="1634" t="s">
        <v>68</v>
      </c>
      <c r="AM829" s="1656"/>
      <c r="AN829" s="1634" t="s">
        <v>68</v>
      </c>
      <c r="AO829" s="1656"/>
      <c r="AP829" s="1634" t="s">
        <v>68</v>
      </c>
      <c r="AQ829" s="1656"/>
      <c r="AR829" s="1730"/>
      <c r="AS829" s="674"/>
      <c r="AT829" s="902"/>
      <c r="AU829" s="891"/>
      <c r="AV829" s="230"/>
      <c r="AW829" s="11"/>
      <c r="AX829" s="223"/>
      <c r="AY829" s="52"/>
      <c r="AZ829" s="230"/>
      <c r="BA829" s="5"/>
      <c r="BB829" s="5"/>
      <c r="BC829" s="11"/>
      <c r="BD829" s="230"/>
      <c r="BE829" s="535"/>
      <c r="BF829" s="5"/>
      <c r="BG829" s="5"/>
      <c r="BH829" s="5"/>
      <c r="BI829" s="64"/>
      <c r="BJ829" s="1736" t="s">
        <v>68</v>
      </c>
      <c r="BK829" s="1117" t="s">
        <v>68</v>
      </c>
      <c r="BL829" s="1389"/>
      <c r="BM829" s="1738" t="s">
        <v>68</v>
      </c>
      <c r="BN829" s="1738" t="s">
        <v>68</v>
      </c>
      <c r="BO829" s="1739" t="s">
        <v>68</v>
      </c>
      <c r="BP829" s="1739" t="s">
        <v>68</v>
      </c>
      <c r="BQ829" s="1739" t="s">
        <v>68</v>
      </c>
      <c r="BR829" s="1739" t="s">
        <v>68</v>
      </c>
      <c r="BS829" s="1739" t="s">
        <v>68</v>
      </c>
      <c r="BT829" s="1739" t="s">
        <v>68</v>
      </c>
      <c r="BU829" s="1739" t="s">
        <v>68</v>
      </c>
      <c r="BV829" s="913"/>
      <c r="BW829" s="13"/>
      <c r="BX829" s="22"/>
      <c r="BY829" s="22"/>
      <c r="BZ829" s="22"/>
      <c r="CA829" s="22"/>
      <c r="CB829" s="1222" t="s">
        <v>6536</v>
      </c>
      <c r="CC829" s="859"/>
      <c r="CD829" s="526"/>
      <c r="CE829" s="526"/>
      <c r="CF829" s="526"/>
      <c r="CG829" s="526"/>
      <c r="CH829" s="526"/>
      <c r="CI829" s="526"/>
      <c r="CJ829" s="526"/>
      <c r="CK829" s="15"/>
    </row>
    <row r="830" spans="2:89" ht="76.5" customHeight="1">
      <c r="B830" s="809"/>
      <c r="C830" s="22"/>
      <c r="D830" s="22"/>
      <c r="E830" s="911"/>
      <c r="F830" s="911"/>
      <c r="G830" s="915"/>
      <c r="H830" s="1746" t="s">
        <v>1405</v>
      </c>
      <c r="I830" s="330"/>
      <c r="J830" s="169">
        <v>2024</v>
      </c>
      <c r="K830" s="1417">
        <v>244007</v>
      </c>
      <c r="L830" s="1417"/>
      <c r="M830" s="170" t="s">
        <v>77</v>
      </c>
      <c r="N830" s="178" t="s">
        <v>6008</v>
      </c>
      <c r="O830" s="172" t="s">
        <v>4032</v>
      </c>
      <c r="P830" s="173" t="s">
        <v>6880</v>
      </c>
      <c r="Q830" s="173" t="s">
        <v>1975</v>
      </c>
      <c r="R830" s="594">
        <v>722232.67</v>
      </c>
      <c r="S830" s="175">
        <v>45616</v>
      </c>
      <c r="T830" s="176">
        <v>45618</v>
      </c>
      <c r="U830" s="177">
        <v>45645</v>
      </c>
      <c r="V830" s="105" t="s">
        <v>68</v>
      </c>
      <c r="W830" s="178" t="s">
        <v>68</v>
      </c>
      <c r="X830" s="170" t="s">
        <v>6438</v>
      </c>
      <c r="Y830" s="1680"/>
      <c r="Z830" s="1383"/>
      <c r="AA830" s="33" t="s">
        <v>6365</v>
      </c>
      <c r="AB830" s="8">
        <v>45615</v>
      </c>
      <c r="AC830" s="4">
        <v>722232.67</v>
      </c>
      <c r="AD830" s="4"/>
      <c r="AE830" s="32"/>
      <c r="AF830" s="1725" t="s">
        <v>68</v>
      </c>
      <c r="AG830" s="1726" t="s">
        <v>68</v>
      </c>
      <c r="AH830" s="1726" t="s">
        <v>68</v>
      </c>
      <c r="AI830" s="1727" t="s">
        <v>68</v>
      </c>
      <c r="AJ830" s="1728" t="s">
        <v>68</v>
      </c>
      <c r="AK830" s="1729" t="s">
        <v>68</v>
      </c>
      <c r="AL830" s="1634" t="s">
        <v>68</v>
      </c>
      <c r="AM830" s="1656"/>
      <c r="AN830" s="1634" t="s">
        <v>68</v>
      </c>
      <c r="AO830" s="1656"/>
      <c r="AP830" s="1634" t="s">
        <v>68</v>
      </c>
      <c r="AQ830" s="1656"/>
      <c r="AR830" s="1730"/>
      <c r="AS830" s="674"/>
      <c r="AT830" s="902"/>
      <c r="AU830" s="891"/>
      <c r="AV830" s="230"/>
      <c r="AW830" s="11"/>
      <c r="AX830" s="223"/>
      <c r="AY830" s="52"/>
      <c r="AZ830" s="230"/>
      <c r="BA830" s="5"/>
      <c r="BB830" s="5"/>
      <c r="BC830" s="11"/>
      <c r="BD830" s="230"/>
      <c r="BE830" s="535"/>
      <c r="BF830" s="5"/>
      <c r="BG830" s="5"/>
      <c r="BH830" s="5"/>
      <c r="BI830" s="64"/>
      <c r="BJ830" s="1736" t="s">
        <v>68</v>
      </c>
      <c r="BK830" s="1117" t="s">
        <v>68</v>
      </c>
      <c r="BL830" s="1389"/>
      <c r="BM830" s="1738" t="s">
        <v>68</v>
      </c>
      <c r="BN830" s="1738" t="s">
        <v>68</v>
      </c>
      <c r="BO830" s="1739" t="s">
        <v>68</v>
      </c>
      <c r="BP830" s="1739" t="s">
        <v>68</v>
      </c>
      <c r="BQ830" s="1739" t="s">
        <v>68</v>
      </c>
      <c r="BR830" s="1739" t="s">
        <v>68</v>
      </c>
      <c r="BS830" s="1739" t="s">
        <v>68</v>
      </c>
      <c r="BT830" s="1739" t="s">
        <v>68</v>
      </c>
      <c r="BU830" s="1739" t="s">
        <v>68</v>
      </c>
      <c r="BV830" s="913"/>
      <c r="BW830" s="13"/>
      <c r="BX830" s="22"/>
      <c r="BY830" s="22"/>
      <c r="BZ830" s="22"/>
      <c r="CA830" s="22"/>
      <c r="CB830" s="1222" t="s">
        <v>6536</v>
      </c>
      <c r="CC830" s="859"/>
      <c r="CD830" s="526"/>
      <c r="CE830" s="526"/>
      <c r="CF830" s="526"/>
      <c r="CG830" s="526"/>
      <c r="CH830" s="526"/>
      <c r="CI830" s="526"/>
      <c r="CJ830" s="526"/>
      <c r="CK830" s="15"/>
    </row>
    <row r="831" spans="2:89" ht="34.5" customHeight="1">
      <c r="B831" s="809"/>
      <c r="C831" s="22"/>
      <c r="D831" s="22"/>
      <c r="E831" s="911"/>
      <c r="F831" s="911"/>
      <c r="G831" s="915"/>
      <c r="H831" s="1746" t="s">
        <v>68</v>
      </c>
      <c r="I831" s="330"/>
      <c r="J831" s="169">
        <v>2024</v>
      </c>
      <c r="K831" s="1417">
        <v>244008</v>
      </c>
      <c r="L831" s="1417"/>
      <c r="M831" s="170"/>
      <c r="N831" s="178" t="s">
        <v>6009</v>
      </c>
      <c r="O831" s="172" t="s">
        <v>4032</v>
      </c>
      <c r="P831" s="1191"/>
      <c r="Q831" s="173" t="s">
        <v>68</v>
      </c>
      <c r="R831" s="1669"/>
      <c r="S831" s="175" t="s">
        <v>68</v>
      </c>
      <c r="T831" s="176"/>
      <c r="U831" s="177"/>
      <c r="V831" s="105" t="s">
        <v>68</v>
      </c>
      <c r="W831" s="178" t="s">
        <v>68</v>
      </c>
      <c r="X831" s="920"/>
      <c r="Y831" s="1680"/>
      <c r="Z831" s="1383"/>
      <c r="AA831" s="255"/>
      <c r="AB831" s="8"/>
      <c r="AC831" s="4"/>
      <c r="AD831" s="4"/>
      <c r="AE831" s="32"/>
      <c r="AF831" s="1725" t="s">
        <v>68</v>
      </c>
      <c r="AG831" s="1726" t="s">
        <v>68</v>
      </c>
      <c r="AH831" s="1726" t="s">
        <v>68</v>
      </c>
      <c r="AI831" s="1727" t="s">
        <v>68</v>
      </c>
      <c r="AJ831" s="1728" t="s">
        <v>68</v>
      </c>
      <c r="AK831" s="1729" t="s">
        <v>68</v>
      </c>
      <c r="AL831" s="1634" t="s">
        <v>68</v>
      </c>
      <c r="AM831" s="1656"/>
      <c r="AN831" s="1634" t="s">
        <v>68</v>
      </c>
      <c r="AO831" s="1656"/>
      <c r="AP831" s="1634" t="s">
        <v>68</v>
      </c>
      <c r="AQ831" s="1656"/>
      <c r="AR831" s="1730"/>
      <c r="AS831" s="674"/>
      <c r="AT831" s="902"/>
      <c r="AU831" s="891"/>
      <c r="AV831" s="230"/>
      <c r="AW831" s="11"/>
      <c r="AX831" s="223"/>
      <c r="AY831" s="52"/>
      <c r="AZ831" s="230"/>
      <c r="BA831" s="5"/>
      <c r="BB831" s="5"/>
      <c r="BC831" s="11"/>
      <c r="BD831" s="230"/>
      <c r="BE831" s="535"/>
      <c r="BF831" s="5"/>
      <c r="BG831" s="5"/>
      <c r="BH831" s="5"/>
      <c r="BI831" s="64"/>
      <c r="BJ831" s="1736" t="s">
        <v>68</v>
      </c>
      <c r="BK831" s="1117" t="s">
        <v>68</v>
      </c>
      <c r="BL831" s="1389"/>
      <c r="BM831" s="1738" t="s">
        <v>68</v>
      </c>
      <c r="BN831" s="1738" t="s">
        <v>68</v>
      </c>
      <c r="BO831" s="1739" t="s">
        <v>68</v>
      </c>
      <c r="BP831" s="1739" t="s">
        <v>68</v>
      </c>
      <c r="BQ831" s="1739" t="s">
        <v>68</v>
      </c>
      <c r="BR831" s="1739" t="s">
        <v>68</v>
      </c>
      <c r="BS831" s="1739" t="s">
        <v>68</v>
      </c>
      <c r="BT831" s="1739" t="s">
        <v>68</v>
      </c>
      <c r="BU831" s="1739" t="s">
        <v>68</v>
      </c>
      <c r="BV831" s="913"/>
      <c r="BW831" s="13"/>
      <c r="BX831" s="22"/>
      <c r="BY831" s="22"/>
      <c r="BZ831" s="22"/>
      <c r="CA831" s="22"/>
      <c r="CB831" s="1222" t="s">
        <v>6536</v>
      </c>
      <c r="CC831" s="859"/>
      <c r="CD831" s="526"/>
      <c r="CE831" s="526"/>
      <c r="CF831" s="526"/>
      <c r="CG831" s="526"/>
      <c r="CH831" s="526"/>
      <c r="CI831" s="526"/>
      <c r="CJ831" s="526"/>
      <c r="CK831" s="15"/>
    </row>
    <row r="832" spans="2:89" ht="34.5" customHeight="1">
      <c r="B832" s="809"/>
      <c r="C832" s="22"/>
      <c r="D832" s="22"/>
      <c r="E832" s="911"/>
      <c r="F832" s="911"/>
      <c r="G832" s="915"/>
      <c r="H832" s="1746" t="s">
        <v>68</v>
      </c>
      <c r="I832" s="330"/>
      <c r="J832" s="169">
        <v>2024</v>
      </c>
      <c r="K832" s="1417">
        <v>244009</v>
      </c>
      <c r="L832" s="1417"/>
      <c r="M832" s="170"/>
      <c r="N832" s="178" t="s">
        <v>6010</v>
      </c>
      <c r="O832" s="172" t="s">
        <v>4032</v>
      </c>
      <c r="P832" s="1191"/>
      <c r="Q832" s="173" t="s">
        <v>68</v>
      </c>
      <c r="R832" s="1669"/>
      <c r="S832" s="175" t="s">
        <v>68</v>
      </c>
      <c r="T832" s="176"/>
      <c r="U832" s="177"/>
      <c r="V832" s="105" t="s">
        <v>68</v>
      </c>
      <c r="W832" s="178" t="s">
        <v>68</v>
      </c>
      <c r="X832" s="920"/>
      <c r="Y832" s="1680"/>
      <c r="Z832" s="1383"/>
      <c r="AA832" s="255"/>
      <c r="AB832" s="8"/>
      <c r="AC832" s="4"/>
      <c r="AD832" s="4"/>
      <c r="AE832" s="32"/>
      <c r="AF832" s="1725" t="s">
        <v>68</v>
      </c>
      <c r="AG832" s="1726" t="s">
        <v>68</v>
      </c>
      <c r="AH832" s="1726" t="s">
        <v>68</v>
      </c>
      <c r="AI832" s="1727" t="s">
        <v>68</v>
      </c>
      <c r="AJ832" s="1728" t="s">
        <v>68</v>
      </c>
      <c r="AK832" s="1729" t="s">
        <v>68</v>
      </c>
      <c r="AL832" s="1634" t="s">
        <v>68</v>
      </c>
      <c r="AM832" s="1656"/>
      <c r="AN832" s="1634" t="s">
        <v>68</v>
      </c>
      <c r="AO832" s="1656"/>
      <c r="AP832" s="1634" t="s">
        <v>68</v>
      </c>
      <c r="AQ832" s="1656"/>
      <c r="AR832" s="1730"/>
      <c r="AS832" s="674"/>
      <c r="AT832" s="902"/>
      <c r="AU832" s="891"/>
      <c r="AV832" s="230"/>
      <c r="AW832" s="11"/>
      <c r="AX832" s="223"/>
      <c r="AY832" s="52"/>
      <c r="AZ832" s="230"/>
      <c r="BA832" s="5"/>
      <c r="BB832" s="5"/>
      <c r="BC832" s="11"/>
      <c r="BD832" s="230"/>
      <c r="BE832" s="535"/>
      <c r="BF832" s="5"/>
      <c r="BG832" s="5"/>
      <c r="BH832" s="5"/>
      <c r="BI832" s="64"/>
      <c r="BJ832" s="1736" t="s">
        <v>68</v>
      </c>
      <c r="BK832" s="1117" t="s">
        <v>68</v>
      </c>
      <c r="BL832" s="1389"/>
      <c r="BM832" s="1738" t="s">
        <v>68</v>
      </c>
      <c r="BN832" s="1738" t="s">
        <v>68</v>
      </c>
      <c r="BO832" s="1739" t="s">
        <v>68</v>
      </c>
      <c r="BP832" s="1739" t="s">
        <v>68</v>
      </c>
      <c r="BQ832" s="1739" t="s">
        <v>68</v>
      </c>
      <c r="BR832" s="1739" t="s">
        <v>68</v>
      </c>
      <c r="BS832" s="1739" t="s">
        <v>68</v>
      </c>
      <c r="BT832" s="1739" t="s">
        <v>68</v>
      </c>
      <c r="BU832" s="1739" t="s">
        <v>68</v>
      </c>
      <c r="BV832" s="913"/>
      <c r="BW832" s="13"/>
      <c r="BX832" s="22"/>
      <c r="BY832" s="22"/>
      <c r="BZ832" s="22"/>
      <c r="CA832" s="22"/>
      <c r="CB832" s="1222" t="s">
        <v>6536</v>
      </c>
      <c r="CC832" s="859"/>
      <c r="CD832" s="526"/>
      <c r="CE832" s="526"/>
      <c r="CF832" s="526"/>
      <c r="CG832" s="526"/>
      <c r="CH832" s="526"/>
      <c r="CI832" s="526"/>
      <c r="CJ832" s="526"/>
      <c r="CK832" s="15"/>
    </row>
    <row r="833" spans="2:89" ht="34.5" customHeight="1">
      <c r="B833" s="809"/>
      <c r="C833" s="22"/>
      <c r="D833" s="22"/>
      <c r="E833" s="911"/>
      <c r="F833" s="911"/>
      <c r="G833" s="915"/>
      <c r="H833" s="1746" t="s">
        <v>68</v>
      </c>
      <c r="I833" s="330"/>
      <c r="J833" s="169">
        <v>2024</v>
      </c>
      <c r="K833" s="1417">
        <v>244010</v>
      </c>
      <c r="L833" s="1417"/>
      <c r="M833" s="170"/>
      <c r="N833" s="178" t="s">
        <v>6011</v>
      </c>
      <c r="O833" s="172" t="s">
        <v>4032</v>
      </c>
      <c r="P833" s="1191"/>
      <c r="Q833" s="173" t="s">
        <v>68</v>
      </c>
      <c r="R833" s="1669"/>
      <c r="S833" s="175" t="s">
        <v>68</v>
      </c>
      <c r="T833" s="176"/>
      <c r="U833" s="177"/>
      <c r="V833" s="105" t="s">
        <v>68</v>
      </c>
      <c r="W833" s="178" t="s">
        <v>68</v>
      </c>
      <c r="X833" s="920"/>
      <c r="Y833" s="1680"/>
      <c r="Z833" s="1383"/>
      <c r="AA833" s="255"/>
      <c r="AB833" s="8"/>
      <c r="AC833" s="4"/>
      <c r="AD833" s="4"/>
      <c r="AE833" s="32"/>
      <c r="AF833" s="1725" t="s">
        <v>68</v>
      </c>
      <c r="AG833" s="1726" t="s">
        <v>68</v>
      </c>
      <c r="AH833" s="1726" t="s">
        <v>68</v>
      </c>
      <c r="AI833" s="1727" t="s">
        <v>68</v>
      </c>
      <c r="AJ833" s="1728" t="s">
        <v>68</v>
      </c>
      <c r="AK833" s="1729" t="s">
        <v>68</v>
      </c>
      <c r="AL833" s="1634" t="s">
        <v>68</v>
      </c>
      <c r="AM833" s="1656"/>
      <c r="AN833" s="1634" t="s">
        <v>68</v>
      </c>
      <c r="AO833" s="1656"/>
      <c r="AP833" s="1634" t="s">
        <v>68</v>
      </c>
      <c r="AQ833" s="1656"/>
      <c r="AR833" s="1730"/>
      <c r="AS833" s="674"/>
      <c r="AT833" s="902"/>
      <c r="AU833" s="891"/>
      <c r="AV833" s="230"/>
      <c r="AW833" s="11"/>
      <c r="AX833" s="223"/>
      <c r="AY833" s="52"/>
      <c r="AZ833" s="230"/>
      <c r="BA833" s="5"/>
      <c r="BB833" s="5"/>
      <c r="BC833" s="11"/>
      <c r="BD833" s="230"/>
      <c r="BE833" s="535"/>
      <c r="BF833" s="5"/>
      <c r="BG833" s="5"/>
      <c r="BH833" s="5"/>
      <c r="BI833" s="64"/>
      <c r="BJ833" s="1736" t="s">
        <v>68</v>
      </c>
      <c r="BK833" s="1117" t="s">
        <v>68</v>
      </c>
      <c r="BL833" s="1389"/>
      <c r="BM833" s="1738" t="s">
        <v>68</v>
      </c>
      <c r="BN833" s="1738" t="s">
        <v>68</v>
      </c>
      <c r="BO833" s="1739" t="s">
        <v>68</v>
      </c>
      <c r="BP833" s="1739" t="s">
        <v>68</v>
      </c>
      <c r="BQ833" s="1739" t="s">
        <v>68</v>
      </c>
      <c r="BR833" s="1739" t="s">
        <v>68</v>
      </c>
      <c r="BS833" s="1739" t="s">
        <v>68</v>
      </c>
      <c r="BT833" s="1739" t="s">
        <v>68</v>
      </c>
      <c r="BU833" s="1739" t="s">
        <v>68</v>
      </c>
      <c r="BV833" s="913"/>
      <c r="BW833" s="13"/>
      <c r="BX833" s="22"/>
      <c r="BY833" s="22"/>
      <c r="BZ833" s="22"/>
      <c r="CA833" s="22"/>
      <c r="CB833" s="1222" t="s">
        <v>6536</v>
      </c>
      <c r="CC833" s="859"/>
      <c r="CD833" s="526"/>
      <c r="CE833" s="526"/>
      <c r="CF833" s="526"/>
      <c r="CG833" s="526"/>
      <c r="CH833" s="526"/>
      <c r="CI833" s="526"/>
      <c r="CJ833" s="526"/>
      <c r="CK833" s="15"/>
    </row>
    <row r="834" spans="2:89" ht="76.5" customHeight="1">
      <c r="B834" s="809"/>
      <c r="C834" s="22"/>
      <c r="D834" s="22"/>
      <c r="E834" s="911"/>
      <c r="F834" s="911"/>
      <c r="G834" s="915">
        <v>45616</v>
      </c>
      <c r="H834" s="1746" t="s">
        <v>6311</v>
      </c>
      <c r="I834" s="330"/>
      <c r="J834" s="169">
        <v>2024</v>
      </c>
      <c r="K834" s="1417">
        <v>245001</v>
      </c>
      <c r="L834" s="1417"/>
      <c r="M834" s="170" t="s">
        <v>166</v>
      </c>
      <c r="N834" s="178" t="s">
        <v>6012</v>
      </c>
      <c r="O834" s="172" t="s">
        <v>79</v>
      </c>
      <c r="P834" s="173" t="s">
        <v>6013</v>
      </c>
      <c r="Q834" s="173" t="s">
        <v>4409</v>
      </c>
      <c r="R834" s="594">
        <v>653611.4</v>
      </c>
      <c r="S834" s="590">
        <v>45322</v>
      </c>
      <c r="T834" s="176">
        <v>45331</v>
      </c>
      <c r="U834" s="177">
        <v>45320</v>
      </c>
      <c r="V834" s="105">
        <v>45321</v>
      </c>
      <c r="W834" s="178" t="s">
        <v>6023</v>
      </c>
      <c r="X834" s="170" t="s">
        <v>6159</v>
      </c>
      <c r="Y834" s="1650">
        <v>45320</v>
      </c>
      <c r="Z834" s="368" t="s">
        <v>68</v>
      </c>
      <c r="AA834" s="33" t="s">
        <v>6360</v>
      </c>
      <c r="AB834" s="8">
        <v>45317</v>
      </c>
      <c r="AC834" s="4">
        <v>900000</v>
      </c>
      <c r="AD834" s="4"/>
      <c r="AE834" s="32"/>
      <c r="AF834" s="34" t="s">
        <v>68</v>
      </c>
      <c r="AG834" s="112" t="s">
        <v>68</v>
      </c>
      <c r="AH834" s="112" t="s">
        <v>68</v>
      </c>
      <c r="AI834" s="7" t="s">
        <v>68</v>
      </c>
      <c r="AJ834" s="109" t="s">
        <v>68</v>
      </c>
      <c r="AK834" s="241" t="s">
        <v>1112</v>
      </c>
      <c r="AL834" s="242" t="s">
        <v>6373</v>
      </c>
      <c r="AM834" s="58">
        <v>45322</v>
      </c>
      <c r="AN834" s="242" t="s">
        <v>6373</v>
      </c>
      <c r="AO834" s="58">
        <v>45322</v>
      </c>
      <c r="AP834" s="242" t="s">
        <v>6374</v>
      </c>
      <c r="AQ834" s="58">
        <v>45344</v>
      </c>
      <c r="AR834" s="642">
        <f>196083.42+196083.42+56657.9</f>
        <v>448824.74000000005</v>
      </c>
      <c r="AS834" s="35">
        <v>0</v>
      </c>
      <c r="AT834" s="895">
        <v>666579.04</v>
      </c>
      <c r="AU834" s="891"/>
      <c r="AV834" s="230"/>
      <c r="AW834" s="11"/>
      <c r="AX834" s="223"/>
      <c r="AY834" s="52"/>
      <c r="AZ834" s="30">
        <v>45344</v>
      </c>
      <c r="BA834" s="5">
        <v>45331</v>
      </c>
      <c r="BB834" s="5">
        <v>45351</v>
      </c>
      <c r="BC834" s="11">
        <v>45343</v>
      </c>
      <c r="BD834" s="30">
        <v>45344</v>
      </c>
      <c r="BE834" s="535" t="s">
        <v>6791</v>
      </c>
      <c r="BF834" s="5">
        <v>45331</v>
      </c>
      <c r="BG834" s="5">
        <v>45351</v>
      </c>
      <c r="BH834" s="5">
        <v>45343</v>
      </c>
      <c r="BI834" s="129">
        <f t="shared" ref="BI834:BI864" si="24">AS834+AT834</f>
        <v>666579.04</v>
      </c>
      <c r="BJ834" s="68">
        <v>45344</v>
      </c>
      <c r="BK834" s="1891">
        <v>45710</v>
      </c>
      <c r="BL834" s="336">
        <v>45329</v>
      </c>
      <c r="BM834" s="71">
        <v>45329</v>
      </c>
      <c r="BN834" s="71">
        <v>45331</v>
      </c>
      <c r="BO834" s="914"/>
      <c r="BP834" s="914">
        <v>45329</v>
      </c>
      <c r="BQ834" s="914">
        <v>45329</v>
      </c>
      <c r="BR834" s="914">
        <v>45329</v>
      </c>
      <c r="BS834" s="914">
        <v>45344</v>
      </c>
      <c r="BT834" s="914">
        <v>45343</v>
      </c>
      <c r="BU834" s="1392"/>
      <c r="BV834" s="913"/>
      <c r="BW834" s="13"/>
      <c r="BX834" s="22"/>
      <c r="BY834" s="22"/>
      <c r="BZ834" s="22"/>
      <c r="CA834" s="22"/>
      <c r="CB834" s="1222" t="s">
        <v>3944</v>
      </c>
      <c r="CC834" s="859"/>
      <c r="CD834" s="526"/>
      <c r="CE834" s="526"/>
      <c r="CF834" s="526"/>
      <c r="CG834" s="526"/>
      <c r="CH834" s="526"/>
      <c r="CI834" s="526"/>
      <c r="CJ834" s="526"/>
      <c r="CK834" s="15"/>
    </row>
    <row r="835" spans="2:89" ht="87" customHeight="1">
      <c r="B835" s="809"/>
      <c r="C835" s="22"/>
      <c r="D835" s="22"/>
      <c r="E835" s="911"/>
      <c r="F835" s="911"/>
      <c r="G835" s="915">
        <v>45623</v>
      </c>
      <c r="H835" s="1746" t="s">
        <v>6311</v>
      </c>
      <c r="I835" s="330"/>
      <c r="J835" s="169">
        <v>2024</v>
      </c>
      <c r="K835" s="1417">
        <v>245002</v>
      </c>
      <c r="L835" s="1417"/>
      <c r="M835" s="170" t="s">
        <v>166</v>
      </c>
      <c r="N835" s="178" t="s">
        <v>6016</v>
      </c>
      <c r="O835" s="172" t="s">
        <v>79</v>
      </c>
      <c r="P835" s="173" t="s">
        <v>6025</v>
      </c>
      <c r="Q835" s="173" t="s">
        <v>4409</v>
      </c>
      <c r="R835" s="594">
        <v>388619.27</v>
      </c>
      <c r="S835" s="590">
        <v>45335</v>
      </c>
      <c r="T835" s="176">
        <v>45336</v>
      </c>
      <c r="U835" s="177">
        <v>45351</v>
      </c>
      <c r="V835" s="105">
        <v>45331</v>
      </c>
      <c r="W835" s="178" t="s">
        <v>4447</v>
      </c>
      <c r="X835" s="170" t="s">
        <v>6159</v>
      </c>
      <c r="Y835" s="1650">
        <v>45320</v>
      </c>
      <c r="Z835" s="368" t="s">
        <v>68</v>
      </c>
      <c r="AA835" s="33" t="s">
        <v>6361</v>
      </c>
      <c r="AB835" s="8">
        <v>45331</v>
      </c>
      <c r="AC835" s="4">
        <v>386619.27</v>
      </c>
      <c r="AD835" s="4"/>
      <c r="AE835" s="32"/>
      <c r="AF835" s="34" t="s">
        <v>68</v>
      </c>
      <c r="AG835" s="112" t="s">
        <v>68</v>
      </c>
      <c r="AH835" s="112" t="s">
        <v>68</v>
      </c>
      <c r="AI835" s="7" t="s">
        <v>68</v>
      </c>
      <c r="AJ835" s="109" t="s">
        <v>68</v>
      </c>
      <c r="AK835" s="241" t="s">
        <v>6394</v>
      </c>
      <c r="AL835" s="388" t="s">
        <v>68</v>
      </c>
      <c r="AM835" s="58"/>
      <c r="AN835" s="388" t="s">
        <v>6395</v>
      </c>
      <c r="AO835" s="1579">
        <v>45336</v>
      </c>
      <c r="AP835" s="388" t="s">
        <v>6396</v>
      </c>
      <c r="AQ835" s="58">
        <v>45345</v>
      </c>
      <c r="AR835" s="642">
        <f>38861.92+38773.95</f>
        <v>77635.87</v>
      </c>
      <c r="AS835" s="35">
        <v>0</v>
      </c>
      <c r="AT835" s="895">
        <v>387739.52</v>
      </c>
      <c r="AU835" s="891"/>
      <c r="AV835" s="230"/>
      <c r="AW835" s="11"/>
      <c r="AX835" s="223"/>
      <c r="AY835" s="52"/>
      <c r="AZ835" s="30">
        <v>45345</v>
      </c>
      <c r="BA835" s="5">
        <v>45336</v>
      </c>
      <c r="BB835" s="5">
        <v>45351</v>
      </c>
      <c r="BC835" s="11">
        <v>45344</v>
      </c>
      <c r="BD835" s="30">
        <v>45345</v>
      </c>
      <c r="BE835" s="201" t="s">
        <v>6397</v>
      </c>
      <c r="BF835" s="5">
        <v>45336</v>
      </c>
      <c r="BG835" s="5">
        <v>45351</v>
      </c>
      <c r="BH835" s="5">
        <v>45344</v>
      </c>
      <c r="BI835" s="129">
        <f t="shared" si="24"/>
        <v>387739.52</v>
      </c>
      <c r="BJ835" s="30">
        <v>45345</v>
      </c>
      <c r="BK835" s="1833">
        <v>45711</v>
      </c>
      <c r="BL835" s="1027">
        <v>45335</v>
      </c>
      <c r="BM835" s="693" t="s">
        <v>74</v>
      </c>
      <c r="BN835" s="325">
        <v>45335</v>
      </c>
      <c r="BO835" s="1091"/>
      <c r="BP835" s="1091">
        <v>45334</v>
      </c>
      <c r="BQ835" s="1091">
        <v>45334</v>
      </c>
      <c r="BR835" s="1091">
        <v>45334</v>
      </c>
      <c r="BS835" s="1091">
        <v>45343</v>
      </c>
      <c r="BT835" s="1091">
        <v>45344</v>
      </c>
      <c r="BU835" s="1392"/>
      <c r="BV835" s="913"/>
      <c r="BW835" s="13"/>
      <c r="BX835" s="22"/>
      <c r="BY835" s="22"/>
      <c r="BZ835" s="22"/>
      <c r="CA835" s="22"/>
      <c r="CB835" s="1222" t="s">
        <v>3944</v>
      </c>
      <c r="CC835" s="859"/>
      <c r="CD835" s="526"/>
      <c r="CE835" s="526"/>
      <c r="CF835" s="526"/>
      <c r="CG835" s="526"/>
      <c r="CH835" s="526"/>
      <c r="CI835" s="526"/>
      <c r="CJ835" s="526"/>
      <c r="CK835" s="15"/>
    </row>
    <row r="836" spans="2:89" ht="108.75" customHeight="1">
      <c r="B836" s="809"/>
      <c r="C836" s="22"/>
      <c r="D836" s="22"/>
      <c r="E836" s="911"/>
      <c r="F836" s="911"/>
      <c r="G836" s="915">
        <v>45623</v>
      </c>
      <c r="H836" s="1746" t="s">
        <v>6311</v>
      </c>
      <c r="I836" s="330"/>
      <c r="J836" s="169">
        <v>2024</v>
      </c>
      <c r="K836" s="1417">
        <v>245003</v>
      </c>
      <c r="L836" s="1417"/>
      <c r="M836" s="170" t="s">
        <v>166</v>
      </c>
      <c r="N836" s="178" t="s">
        <v>6017</v>
      </c>
      <c r="O836" s="172" t="s">
        <v>79</v>
      </c>
      <c r="P836" s="173" t="s">
        <v>6308</v>
      </c>
      <c r="Q836" s="173" t="s">
        <v>4409</v>
      </c>
      <c r="R836" s="594">
        <v>132689.01999999999</v>
      </c>
      <c r="S836" s="590">
        <v>45331</v>
      </c>
      <c r="T836" s="176">
        <v>45332</v>
      </c>
      <c r="U836" s="177">
        <v>45344</v>
      </c>
      <c r="V836" s="105">
        <v>45331</v>
      </c>
      <c r="W836" s="178" t="s">
        <v>739</v>
      </c>
      <c r="X836" s="170" t="s">
        <v>6159</v>
      </c>
      <c r="Y836" s="1650">
        <v>45320</v>
      </c>
      <c r="Z836" s="368" t="s">
        <v>68</v>
      </c>
      <c r="AA836" s="33" t="s">
        <v>6362</v>
      </c>
      <c r="AB836" s="8">
        <v>45331</v>
      </c>
      <c r="AC836" s="4">
        <v>300000</v>
      </c>
      <c r="AD836" s="4"/>
      <c r="AE836" s="32"/>
      <c r="AF836" s="34" t="s">
        <v>68</v>
      </c>
      <c r="AG836" s="112" t="s">
        <v>68</v>
      </c>
      <c r="AH836" s="112" t="s">
        <v>68</v>
      </c>
      <c r="AI836" s="7" t="s">
        <v>68</v>
      </c>
      <c r="AJ836" s="109" t="s">
        <v>68</v>
      </c>
      <c r="AK836" s="33" t="s">
        <v>1112</v>
      </c>
      <c r="AL836" s="2" t="s">
        <v>68</v>
      </c>
      <c r="AM836" s="5"/>
      <c r="AN836" s="2" t="s">
        <v>6398</v>
      </c>
      <c r="AO836" s="238">
        <v>45331</v>
      </c>
      <c r="AP836" s="2" t="s">
        <v>6399</v>
      </c>
      <c r="AQ836" s="5">
        <v>45362</v>
      </c>
      <c r="AR836" s="279">
        <f>13268.9+11671.06</f>
        <v>24939.96</v>
      </c>
      <c r="AS836" s="35">
        <v>0</v>
      </c>
      <c r="AT836" s="895">
        <v>116710.62</v>
      </c>
      <c r="AU836" s="891"/>
      <c r="AV836" s="30">
        <v>45332</v>
      </c>
      <c r="AW836" s="11">
        <v>45344</v>
      </c>
      <c r="AX836" s="223"/>
      <c r="AY836" s="52"/>
      <c r="AZ836" s="30">
        <v>45345</v>
      </c>
      <c r="BA836" s="5">
        <v>45332</v>
      </c>
      <c r="BB836" s="5">
        <v>45344</v>
      </c>
      <c r="BC836" s="11">
        <v>45344</v>
      </c>
      <c r="BD836" s="30">
        <v>45348</v>
      </c>
      <c r="BE836" s="201" t="s">
        <v>6400</v>
      </c>
      <c r="BF836" s="5">
        <v>45332</v>
      </c>
      <c r="BG836" s="5">
        <v>45344</v>
      </c>
      <c r="BH836" s="5">
        <v>45344</v>
      </c>
      <c r="BI836" s="129">
        <f>AS836+AT836+0.01</f>
        <v>116710.62999999999</v>
      </c>
      <c r="BJ836" s="30">
        <v>45348</v>
      </c>
      <c r="BK836" s="1833">
        <v>45713</v>
      </c>
      <c r="BL836" s="336">
        <v>45330</v>
      </c>
      <c r="BM836" s="71">
        <v>45331</v>
      </c>
      <c r="BN836" s="71">
        <v>45332</v>
      </c>
      <c r="BO836" s="1391"/>
      <c r="BP836" s="71">
        <v>45331</v>
      </c>
      <c r="BQ836" s="71">
        <v>45331</v>
      </c>
      <c r="BR836" s="71">
        <v>45331</v>
      </c>
      <c r="BS836" s="71">
        <v>45343</v>
      </c>
      <c r="BT836" s="71">
        <v>45344</v>
      </c>
      <c r="BU836" s="1392"/>
      <c r="BV836" s="913"/>
      <c r="BW836" s="13"/>
      <c r="BX836" s="22"/>
      <c r="BY836" s="22"/>
      <c r="BZ836" s="22"/>
      <c r="CA836" s="22"/>
      <c r="CB836" s="1222" t="s">
        <v>3944</v>
      </c>
      <c r="CC836" s="859" t="s">
        <v>1143</v>
      </c>
      <c r="CD836" s="526"/>
      <c r="CE836" s="526"/>
      <c r="CF836" s="526"/>
      <c r="CG836" s="526"/>
      <c r="CH836" s="526"/>
      <c r="CI836" s="526"/>
      <c r="CJ836" s="526"/>
      <c r="CK836" s="15"/>
    </row>
    <row r="837" spans="2:89" ht="80.25" customHeight="1">
      <c r="B837" s="809"/>
      <c r="C837" s="22"/>
      <c r="D837" s="22"/>
      <c r="E837" s="911"/>
      <c r="F837" s="911"/>
      <c r="G837" s="915">
        <v>45623</v>
      </c>
      <c r="H837" s="1746" t="s">
        <v>6311</v>
      </c>
      <c r="I837" s="330"/>
      <c r="J837" s="169">
        <v>2024</v>
      </c>
      <c r="K837" s="1417">
        <v>245004</v>
      </c>
      <c r="L837" s="1417"/>
      <c r="M837" s="170" t="s">
        <v>166</v>
      </c>
      <c r="N837" s="178" t="s">
        <v>6033</v>
      </c>
      <c r="O837" s="172" t="s">
        <v>3212</v>
      </c>
      <c r="P837" s="173" t="s">
        <v>6030</v>
      </c>
      <c r="Q837" s="173" t="s">
        <v>4824</v>
      </c>
      <c r="R837" s="594">
        <v>4461580.4000000004</v>
      </c>
      <c r="S837" s="590">
        <v>45338</v>
      </c>
      <c r="T837" s="176">
        <v>45343</v>
      </c>
      <c r="U837" s="177">
        <v>45402</v>
      </c>
      <c r="V837" s="105" t="s">
        <v>68</v>
      </c>
      <c r="W837" s="178" t="s">
        <v>225</v>
      </c>
      <c r="X837" s="170" t="s">
        <v>213</v>
      </c>
      <c r="Y837" s="1650">
        <v>45334</v>
      </c>
      <c r="Z837" s="368" t="s">
        <v>68</v>
      </c>
      <c r="AA837" s="33" t="s">
        <v>6363</v>
      </c>
      <c r="AB837" s="8">
        <v>45317</v>
      </c>
      <c r="AC837" s="4">
        <v>4464580.4000000004</v>
      </c>
      <c r="AD837" s="4"/>
      <c r="AE837" s="32"/>
      <c r="AF837" s="1548">
        <v>45328</v>
      </c>
      <c r="AG837" s="1549">
        <v>45330</v>
      </c>
      <c r="AH837" s="1549">
        <v>45330</v>
      </c>
      <c r="AI837" s="1550">
        <v>45335</v>
      </c>
      <c r="AJ837" s="406">
        <v>45337</v>
      </c>
      <c r="AK837" s="33" t="s">
        <v>1112</v>
      </c>
      <c r="AL837" s="2" t="s">
        <v>6402</v>
      </c>
      <c r="AM837" s="5">
        <v>45338</v>
      </c>
      <c r="AN837" s="2" t="s">
        <v>6403</v>
      </c>
      <c r="AO837" s="238">
        <v>45338</v>
      </c>
      <c r="AP837" s="2" t="s">
        <v>6404</v>
      </c>
      <c r="AQ837" s="5">
        <v>45402</v>
      </c>
      <c r="AR837" s="279">
        <f>1338474.12+446158.04+463713.1</f>
        <v>2248345.2600000002</v>
      </c>
      <c r="AS837" s="35">
        <v>0</v>
      </c>
      <c r="AT837" s="895">
        <v>4367131.0199999996</v>
      </c>
      <c r="AU837" s="891"/>
      <c r="AV837" s="230"/>
      <c r="AW837" s="11"/>
      <c r="AX837" s="223"/>
      <c r="AY837" s="52"/>
      <c r="AZ837" s="30">
        <v>45404</v>
      </c>
      <c r="BA837" s="5">
        <v>45343</v>
      </c>
      <c r="BB837" s="5">
        <v>45402</v>
      </c>
      <c r="BC837" s="11">
        <v>45402</v>
      </c>
      <c r="BD837" s="30">
        <v>45405</v>
      </c>
      <c r="BE837" s="201" t="s">
        <v>6033</v>
      </c>
      <c r="BF837" s="5">
        <v>45403</v>
      </c>
      <c r="BG837" s="5">
        <v>45402</v>
      </c>
      <c r="BH837" s="5">
        <v>45402</v>
      </c>
      <c r="BI837" s="129">
        <f t="shared" si="24"/>
        <v>4367131.0199999996</v>
      </c>
      <c r="BJ837" s="30">
        <v>45407</v>
      </c>
      <c r="BK837" s="1833">
        <v>45770</v>
      </c>
      <c r="BL837" s="336">
        <v>45341</v>
      </c>
      <c r="BM837" s="1829" t="s">
        <v>74</v>
      </c>
      <c r="BN837" s="71">
        <v>45343</v>
      </c>
      <c r="BO837" s="1391"/>
      <c r="BP837" s="914">
        <v>45341</v>
      </c>
      <c r="BQ837" s="914">
        <v>45341</v>
      </c>
      <c r="BR837" s="914">
        <v>45341</v>
      </c>
      <c r="BS837" s="914">
        <v>45404</v>
      </c>
      <c r="BT837" s="693" t="s">
        <v>74</v>
      </c>
      <c r="BU837" s="1392"/>
      <c r="BV837" s="913"/>
      <c r="BW837" s="13"/>
      <c r="BX837" s="22"/>
      <c r="BY837" s="22"/>
      <c r="BZ837" s="22"/>
      <c r="CA837" s="22"/>
      <c r="CB837" s="1222" t="s">
        <v>3944</v>
      </c>
      <c r="CC837" s="859"/>
      <c r="CD837" s="526"/>
      <c r="CE837" s="526"/>
      <c r="CF837" s="526"/>
      <c r="CG837" s="526"/>
      <c r="CH837" s="526"/>
      <c r="CI837" s="526"/>
      <c r="CJ837" s="526"/>
      <c r="CK837" s="15"/>
    </row>
    <row r="838" spans="2:89" ht="93" customHeight="1">
      <c r="B838" s="809"/>
      <c r="C838" s="22"/>
      <c r="D838" s="22"/>
      <c r="E838" s="911"/>
      <c r="F838" s="911"/>
      <c r="G838" s="915">
        <v>45625</v>
      </c>
      <c r="H838" s="1746" t="s">
        <v>6311</v>
      </c>
      <c r="I838" s="330"/>
      <c r="J838" s="169">
        <v>2024</v>
      </c>
      <c r="K838" s="1417">
        <v>245005</v>
      </c>
      <c r="L838" s="1417"/>
      <c r="M838" s="170" t="s">
        <v>166</v>
      </c>
      <c r="N838" s="178" t="s">
        <v>6018</v>
      </c>
      <c r="O838" s="172" t="s">
        <v>79</v>
      </c>
      <c r="P838" s="173" t="s">
        <v>6540</v>
      </c>
      <c r="Q838" s="173" t="s">
        <v>4824</v>
      </c>
      <c r="R838" s="594">
        <v>1863104.13</v>
      </c>
      <c r="S838" s="590">
        <v>45356</v>
      </c>
      <c r="T838" s="176">
        <v>45362</v>
      </c>
      <c r="U838" s="177">
        <v>45376</v>
      </c>
      <c r="V838" s="105">
        <v>45355</v>
      </c>
      <c r="W838" s="178" t="s">
        <v>4040</v>
      </c>
      <c r="X838" s="170" t="s">
        <v>6141</v>
      </c>
      <c r="Y838" s="1650" t="s">
        <v>1428</v>
      </c>
      <c r="Z838" s="368" t="s">
        <v>68</v>
      </c>
      <c r="AA838" s="33" t="s">
        <v>6364</v>
      </c>
      <c r="AB838" s="8">
        <v>45352</v>
      </c>
      <c r="AC838" s="4">
        <v>2132066.66</v>
      </c>
      <c r="AD838" s="4"/>
      <c r="AE838" s="32"/>
      <c r="AF838" s="34" t="s">
        <v>68</v>
      </c>
      <c r="AG838" s="112" t="s">
        <v>68</v>
      </c>
      <c r="AH838" s="112" t="s">
        <v>68</v>
      </c>
      <c r="AI838" s="7" t="s">
        <v>68</v>
      </c>
      <c r="AJ838" s="109" t="s">
        <v>68</v>
      </c>
      <c r="AK838" s="1812" t="s">
        <v>74</v>
      </c>
      <c r="AL838" s="1245" t="s">
        <v>74</v>
      </c>
      <c r="AM838" s="5"/>
      <c r="AN838" s="1245" t="s">
        <v>74</v>
      </c>
      <c r="AO838" s="238"/>
      <c r="AP838" s="1245" t="s">
        <v>74</v>
      </c>
      <c r="AQ838" s="5"/>
      <c r="AR838" s="534"/>
      <c r="AS838" s="35">
        <v>0</v>
      </c>
      <c r="AT838" s="895">
        <v>1617850.41</v>
      </c>
      <c r="AU838" s="891"/>
      <c r="AV838" s="230"/>
      <c r="AW838" s="11"/>
      <c r="AX838" s="223"/>
      <c r="AY838" s="52"/>
      <c r="AZ838" s="70">
        <v>45383</v>
      </c>
      <c r="BA838" s="71">
        <v>45362</v>
      </c>
      <c r="BB838" s="71">
        <v>45376</v>
      </c>
      <c r="BC838" s="127">
        <v>45382</v>
      </c>
      <c r="BD838" s="70">
        <v>45384</v>
      </c>
      <c r="BE838" s="1616" t="s">
        <v>6849</v>
      </c>
      <c r="BF838" s="5">
        <v>45362</v>
      </c>
      <c r="BG838" s="5">
        <v>45366</v>
      </c>
      <c r="BH838" s="5">
        <v>45374</v>
      </c>
      <c r="BI838" s="245">
        <v>1512741.67</v>
      </c>
      <c r="BJ838" s="70">
        <v>45384</v>
      </c>
      <c r="BK838" s="1833">
        <v>45749</v>
      </c>
      <c r="BL838" s="336">
        <v>45359</v>
      </c>
      <c r="BM838" s="71">
        <v>45362</v>
      </c>
      <c r="BN838" s="693" t="s">
        <v>74</v>
      </c>
      <c r="BO838" s="1391"/>
      <c r="BP838" s="71">
        <v>45362</v>
      </c>
      <c r="BQ838" s="71">
        <v>45362</v>
      </c>
      <c r="BR838" s="71">
        <v>45362</v>
      </c>
      <c r="BS838" s="693" t="s">
        <v>74</v>
      </c>
      <c r="BT838" s="693" t="s">
        <v>74</v>
      </c>
      <c r="BU838" s="1392"/>
      <c r="BV838" s="913"/>
      <c r="BW838" s="13"/>
      <c r="BX838" s="22"/>
      <c r="BY838" s="22"/>
      <c r="BZ838" s="22"/>
      <c r="CA838" s="22"/>
      <c r="CB838" s="1222" t="s">
        <v>3944</v>
      </c>
      <c r="CC838" s="859"/>
      <c r="CD838" s="526"/>
      <c r="CE838" s="526"/>
      <c r="CF838" s="526"/>
      <c r="CG838" s="526"/>
      <c r="CH838" s="526"/>
      <c r="CI838" s="526"/>
      <c r="CJ838" s="526"/>
      <c r="CK838" s="15"/>
    </row>
    <row r="839" spans="2:89" ht="94.5" customHeight="1">
      <c r="B839" s="809"/>
      <c r="C839" s="22"/>
      <c r="D839" s="22"/>
      <c r="E839" s="911"/>
      <c r="F839" s="911"/>
      <c r="G839" s="915">
        <v>45625</v>
      </c>
      <c r="H839" s="1746" t="s">
        <v>6311</v>
      </c>
      <c r="I839" s="330"/>
      <c r="J839" s="169">
        <v>2024</v>
      </c>
      <c r="K839" s="1417">
        <v>245006</v>
      </c>
      <c r="L839" s="1417"/>
      <c r="M839" s="170" t="s">
        <v>166</v>
      </c>
      <c r="N839" s="178" t="s">
        <v>6019</v>
      </c>
      <c r="O839" s="172" t="s">
        <v>79</v>
      </c>
      <c r="P839" s="173" t="s">
        <v>6039</v>
      </c>
      <c r="Q839" s="173" t="s">
        <v>4824</v>
      </c>
      <c r="R839" s="594">
        <v>1911380.28</v>
      </c>
      <c r="S839" s="590">
        <v>45355</v>
      </c>
      <c r="T839" s="176">
        <v>45355</v>
      </c>
      <c r="U839" s="177">
        <v>45369</v>
      </c>
      <c r="V839" s="105">
        <v>45355</v>
      </c>
      <c r="W839" s="178" t="s">
        <v>4040</v>
      </c>
      <c r="X839" s="170" t="s">
        <v>6141</v>
      </c>
      <c r="Y839" s="1650" t="s">
        <v>1428</v>
      </c>
      <c r="Z839" s="368" t="s">
        <v>68</v>
      </c>
      <c r="AA839" s="115" t="s">
        <v>6362</v>
      </c>
      <c r="AB839" s="74">
        <v>45331</v>
      </c>
      <c r="AC839" s="75">
        <v>3000000</v>
      </c>
      <c r="AD839" s="4"/>
      <c r="AE839" s="32"/>
      <c r="AF839" s="34" t="s">
        <v>68</v>
      </c>
      <c r="AG839" s="112" t="s">
        <v>68</v>
      </c>
      <c r="AH839" s="112" t="s">
        <v>68</v>
      </c>
      <c r="AI839" s="7" t="s">
        <v>68</v>
      </c>
      <c r="AJ839" s="109" t="s">
        <v>68</v>
      </c>
      <c r="AK839" s="1812" t="s">
        <v>74</v>
      </c>
      <c r="AL839" s="1245" t="s">
        <v>74</v>
      </c>
      <c r="AM839" s="5"/>
      <c r="AN839" s="1245" t="s">
        <v>74</v>
      </c>
      <c r="AO839" s="238"/>
      <c r="AP839" s="1245" t="s">
        <v>74</v>
      </c>
      <c r="AQ839" s="5"/>
      <c r="AR839" s="534"/>
      <c r="AS839" s="35">
        <v>0</v>
      </c>
      <c r="AT839" s="895">
        <v>1856041.13</v>
      </c>
      <c r="AU839" s="891"/>
      <c r="AV839" s="230"/>
      <c r="AW839" s="11"/>
      <c r="AX839" s="223"/>
      <c r="AY839" s="52"/>
      <c r="AZ839" s="66" t="s">
        <v>74</v>
      </c>
      <c r="BA839" s="5"/>
      <c r="BB839" s="5"/>
      <c r="BC839" s="11"/>
      <c r="BD839" s="66" t="s">
        <v>74</v>
      </c>
      <c r="BE839" s="535"/>
      <c r="BF839" s="5"/>
      <c r="BG839" s="5"/>
      <c r="BH839" s="5"/>
      <c r="BI839" s="245">
        <f t="shared" si="24"/>
        <v>1856041.13</v>
      </c>
      <c r="BJ839" s="66" t="s">
        <v>74</v>
      </c>
      <c r="BK839" s="1831"/>
      <c r="BL839" s="1100" t="s">
        <v>74</v>
      </c>
      <c r="BM839" s="71">
        <v>45355</v>
      </c>
      <c r="BN839" s="71">
        <v>45355</v>
      </c>
      <c r="BO839" s="1391"/>
      <c r="BP839" s="71">
        <v>45355</v>
      </c>
      <c r="BQ839" s="71">
        <v>45355</v>
      </c>
      <c r="BR839" s="71">
        <v>45355</v>
      </c>
      <c r="BS839" s="693" t="s">
        <v>74</v>
      </c>
      <c r="BT839" s="693" t="s">
        <v>74</v>
      </c>
      <c r="BU839" s="1392"/>
      <c r="BV839" s="913"/>
      <c r="BW839" s="13"/>
      <c r="BX839" s="22"/>
      <c r="BY839" s="22"/>
      <c r="BZ839" s="22"/>
      <c r="CA839" s="22"/>
      <c r="CB839" s="1222" t="s">
        <v>3944</v>
      </c>
      <c r="CC839" s="859"/>
      <c r="CD839" s="526"/>
      <c r="CE839" s="526"/>
      <c r="CF839" s="526"/>
      <c r="CG839" s="526"/>
      <c r="CH839" s="526"/>
      <c r="CI839" s="526"/>
      <c r="CJ839" s="526"/>
      <c r="CK839" s="15"/>
    </row>
    <row r="840" spans="2:89" ht="99" customHeight="1">
      <c r="B840" s="809"/>
      <c r="C840" s="22"/>
      <c r="D840" s="22"/>
      <c r="E840" s="911"/>
      <c r="F840" s="911"/>
      <c r="G840" s="915">
        <v>45623</v>
      </c>
      <c r="H840" s="1746" t="s">
        <v>6311</v>
      </c>
      <c r="I840" s="330"/>
      <c r="J840" s="169">
        <v>2024</v>
      </c>
      <c r="K840" s="1417">
        <v>245007</v>
      </c>
      <c r="L840" s="1417"/>
      <c r="M840" s="170" t="s">
        <v>166</v>
      </c>
      <c r="N840" s="178" t="s">
        <v>6020</v>
      </c>
      <c r="O840" s="172" t="s">
        <v>79</v>
      </c>
      <c r="P840" s="173" t="s">
        <v>6155</v>
      </c>
      <c r="Q840" s="173" t="s">
        <v>4824</v>
      </c>
      <c r="R840" s="594">
        <v>431465.57</v>
      </c>
      <c r="S840" s="590">
        <v>45356</v>
      </c>
      <c r="T840" s="176">
        <v>45374</v>
      </c>
      <c r="U840" s="177">
        <v>45379</v>
      </c>
      <c r="V840" s="105">
        <v>45355</v>
      </c>
      <c r="W840" s="178" t="s">
        <v>3469</v>
      </c>
      <c r="X840" s="170" t="s">
        <v>6141</v>
      </c>
      <c r="Y840" s="1650" t="s">
        <v>1428</v>
      </c>
      <c r="Z840" s="368" t="s">
        <v>68</v>
      </c>
      <c r="AA840" s="115" t="s">
        <v>6850</v>
      </c>
      <c r="AB840" s="8">
        <v>45352</v>
      </c>
      <c r="AC840" s="4">
        <v>431465.57</v>
      </c>
      <c r="AD840" s="4"/>
      <c r="AE840" s="32"/>
      <c r="AF840" s="34" t="s">
        <v>68</v>
      </c>
      <c r="AG840" s="112" t="s">
        <v>68</v>
      </c>
      <c r="AH840" s="112" t="s">
        <v>68</v>
      </c>
      <c r="AI840" s="7" t="s">
        <v>68</v>
      </c>
      <c r="AJ840" s="109" t="s">
        <v>68</v>
      </c>
      <c r="AK840" s="33" t="s">
        <v>1112</v>
      </c>
      <c r="AL840" s="2" t="s">
        <v>68</v>
      </c>
      <c r="AM840" s="5"/>
      <c r="AN840" s="2" t="s">
        <v>6405</v>
      </c>
      <c r="AO840" s="238">
        <v>45356</v>
      </c>
      <c r="AP840" s="2" t="s">
        <v>6406</v>
      </c>
      <c r="AQ840" s="5">
        <v>45383</v>
      </c>
      <c r="AR840" s="279">
        <f>43146.55*2</f>
        <v>86293.1</v>
      </c>
      <c r="AS840" s="35">
        <v>0</v>
      </c>
      <c r="AT840" s="895">
        <v>392418.51</v>
      </c>
      <c r="AU840" s="891"/>
      <c r="AV840" s="230"/>
      <c r="AW840" s="11"/>
      <c r="AX840" s="223"/>
      <c r="AY840" s="52"/>
      <c r="AZ840" s="30">
        <v>45380</v>
      </c>
      <c r="BA840" s="5">
        <v>45374</v>
      </c>
      <c r="BB840" s="5">
        <v>45379</v>
      </c>
      <c r="BC840" s="11">
        <v>45379</v>
      </c>
      <c r="BD840" s="30">
        <v>45383</v>
      </c>
      <c r="BE840" s="201" t="s">
        <v>6407</v>
      </c>
      <c r="BF840" s="5">
        <v>45374</v>
      </c>
      <c r="BG840" s="5">
        <v>45379</v>
      </c>
      <c r="BH840" s="5">
        <v>45379</v>
      </c>
      <c r="BI840" s="129">
        <f t="shared" si="24"/>
        <v>392418.51</v>
      </c>
      <c r="BJ840" s="30">
        <v>45383</v>
      </c>
      <c r="BK840" s="1833">
        <v>45748</v>
      </c>
      <c r="BL840" s="336">
        <v>45373</v>
      </c>
      <c r="BM840" s="71">
        <v>45374</v>
      </c>
      <c r="BN840" s="71">
        <v>45374</v>
      </c>
      <c r="BO840" s="914"/>
      <c r="BP840" s="914">
        <v>45374</v>
      </c>
      <c r="BQ840" s="914">
        <v>45374</v>
      </c>
      <c r="BR840" s="914">
        <v>45374</v>
      </c>
      <c r="BS840" s="693" t="s">
        <v>74</v>
      </c>
      <c r="BT840" s="693" t="s">
        <v>74</v>
      </c>
      <c r="BU840" s="1392"/>
      <c r="BV840" s="913"/>
      <c r="BW840" s="13"/>
      <c r="BX840" s="22"/>
      <c r="BY840" s="22"/>
      <c r="BZ840" s="22"/>
      <c r="CA840" s="22"/>
      <c r="CB840" s="1222" t="s">
        <v>3944</v>
      </c>
      <c r="CC840" s="859"/>
      <c r="CD840" s="526"/>
      <c r="CE840" s="526"/>
      <c r="CF840" s="526"/>
      <c r="CG840" s="526"/>
      <c r="CH840" s="526"/>
      <c r="CI840" s="526"/>
      <c r="CJ840" s="526"/>
      <c r="CK840" s="15"/>
    </row>
    <row r="841" spans="2:89" ht="69.75" customHeight="1">
      <c r="B841" s="809"/>
      <c r="C841" s="22"/>
      <c r="D841" s="22"/>
      <c r="E841" s="911"/>
      <c r="F841" s="911"/>
      <c r="G841" s="915">
        <v>45625</v>
      </c>
      <c r="H841" s="1746" t="s">
        <v>6311</v>
      </c>
      <c r="I841" s="330"/>
      <c r="J841" s="169">
        <v>2024</v>
      </c>
      <c r="K841" s="1417">
        <v>245008</v>
      </c>
      <c r="L841" s="1417"/>
      <c r="M841" s="170" t="s">
        <v>166</v>
      </c>
      <c r="N841" s="178" t="s">
        <v>6034</v>
      </c>
      <c r="O841" s="172" t="s">
        <v>3212</v>
      </c>
      <c r="P841" s="173" t="s">
        <v>6035</v>
      </c>
      <c r="Q841" s="173" t="s">
        <v>1975</v>
      </c>
      <c r="R841" s="594">
        <v>7514599.0899999999</v>
      </c>
      <c r="S841" s="590">
        <v>45350</v>
      </c>
      <c r="T841" s="176">
        <v>45351</v>
      </c>
      <c r="U841" s="177">
        <v>45427</v>
      </c>
      <c r="V841" s="105" t="s">
        <v>68</v>
      </c>
      <c r="W841" s="178" t="s">
        <v>6036</v>
      </c>
      <c r="X841" s="170" t="s">
        <v>449</v>
      </c>
      <c r="Y841" s="1650">
        <v>45341</v>
      </c>
      <c r="Z841" s="368" t="s">
        <v>68</v>
      </c>
      <c r="AA841" s="33" t="s">
        <v>6365</v>
      </c>
      <c r="AB841" s="8">
        <v>45345</v>
      </c>
      <c r="AC841" s="4">
        <v>7317180.4000000004</v>
      </c>
      <c r="AD841" s="4"/>
      <c r="AE841" s="32"/>
      <c r="AF841" s="1548">
        <v>45345</v>
      </c>
      <c r="AG841" s="1549">
        <v>45346</v>
      </c>
      <c r="AH841" s="1549">
        <v>45346</v>
      </c>
      <c r="AI841" s="1550">
        <v>45348</v>
      </c>
      <c r="AJ841" s="406">
        <v>45349</v>
      </c>
      <c r="AK841" s="33" t="s">
        <v>4555</v>
      </c>
      <c r="AL841" s="2">
        <v>2263795</v>
      </c>
      <c r="AM841" s="5">
        <v>45350</v>
      </c>
      <c r="AN841" s="2">
        <v>2263797</v>
      </c>
      <c r="AO841" s="238">
        <v>45350</v>
      </c>
      <c r="AP841" s="2">
        <v>2278196</v>
      </c>
      <c r="AQ841" s="5">
        <v>45397</v>
      </c>
      <c r="AR841" s="279">
        <f>2254379.73+751459.9+741459.9</f>
        <v>3747299.53</v>
      </c>
      <c r="AS841" s="35">
        <v>0</v>
      </c>
      <c r="AT841" s="895">
        <v>8072090.79</v>
      </c>
      <c r="AU841" s="891"/>
      <c r="AV841" s="230"/>
      <c r="AW841" s="11"/>
      <c r="AX841" s="223"/>
      <c r="AY841" s="52"/>
      <c r="AZ841" s="70">
        <v>45397</v>
      </c>
      <c r="BA841" s="71">
        <v>45351</v>
      </c>
      <c r="BB841" s="71">
        <v>45427</v>
      </c>
      <c r="BC841" s="127">
        <v>45397</v>
      </c>
      <c r="BD841" s="70">
        <v>45397</v>
      </c>
      <c r="BE841" s="1616" t="s">
        <v>6034</v>
      </c>
      <c r="BF841" s="71">
        <v>45351</v>
      </c>
      <c r="BG841" s="71">
        <v>45427</v>
      </c>
      <c r="BH841" s="71">
        <v>45397</v>
      </c>
      <c r="BI841" s="129">
        <f>AS841+AT841-0.01</f>
        <v>8072090.7800000003</v>
      </c>
      <c r="BJ841" s="70">
        <v>45397</v>
      </c>
      <c r="BK841" s="1833">
        <v>45762</v>
      </c>
      <c r="BL841" s="1100" t="s">
        <v>74</v>
      </c>
      <c r="BM841" s="71">
        <v>45351</v>
      </c>
      <c r="BN841" s="71">
        <v>45351</v>
      </c>
      <c r="BO841" s="1391"/>
      <c r="BP841" s="914">
        <v>45351</v>
      </c>
      <c r="BQ841" s="1265" t="s">
        <v>74</v>
      </c>
      <c r="BR841" s="914">
        <v>45351</v>
      </c>
      <c r="BS841" s="914">
        <v>45396</v>
      </c>
      <c r="BT841" s="1265" t="s">
        <v>74</v>
      </c>
      <c r="BU841" s="1392"/>
      <c r="BV841" s="913"/>
      <c r="BW841" s="13"/>
      <c r="BX841" s="22"/>
      <c r="BY841" s="22"/>
      <c r="BZ841" s="22"/>
      <c r="CA841" s="22"/>
      <c r="CB841" s="1222" t="s">
        <v>3944</v>
      </c>
      <c r="CC841" s="859"/>
      <c r="CD841" s="526"/>
      <c r="CE841" s="526"/>
      <c r="CF841" s="526"/>
      <c r="CG841" s="526"/>
      <c r="CH841" s="526"/>
      <c r="CI841" s="526"/>
      <c r="CJ841" s="526"/>
      <c r="CK841" s="15"/>
    </row>
    <row r="842" spans="2:89" ht="79.5" customHeight="1">
      <c r="B842" s="809"/>
      <c r="C842" s="22"/>
      <c r="D842" s="22"/>
      <c r="E842" s="911"/>
      <c r="F842" s="911"/>
      <c r="G842" s="915">
        <v>45625</v>
      </c>
      <c r="H842" s="1746" t="s">
        <v>6311</v>
      </c>
      <c r="I842" s="330"/>
      <c r="J842" s="169">
        <v>2024</v>
      </c>
      <c r="K842" s="1417">
        <v>245009</v>
      </c>
      <c r="L842" s="1417"/>
      <c r="M842" s="170" t="s">
        <v>166</v>
      </c>
      <c r="N842" s="178" t="s">
        <v>6021</v>
      </c>
      <c r="O842" s="172" t="s">
        <v>79</v>
      </c>
      <c r="P842" s="173" t="s">
        <v>6150</v>
      </c>
      <c r="Q842" s="173" t="s">
        <v>1975</v>
      </c>
      <c r="R842" s="594">
        <v>948599.13</v>
      </c>
      <c r="S842" s="590">
        <v>45363</v>
      </c>
      <c r="T842" s="176">
        <v>45384</v>
      </c>
      <c r="U842" s="177">
        <v>45467</v>
      </c>
      <c r="V842" s="105">
        <v>45362</v>
      </c>
      <c r="W842" s="178" t="s">
        <v>4450</v>
      </c>
      <c r="X842" s="170" t="s">
        <v>1107</v>
      </c>
      <c r="Y842" s="1650" t="s">
        <v>1428</v>
      </c>
      <c r="Z842" s="368" t="s">
        <v>68</v>
      </c>
      <c r="AA842" s="33" t="s">
        <v>6366</v>
      </c>
      <c r="AB842" s="8">
        <v>45331</v>
      </c>
      <c r="AC842" s="4">
        <v>948599.13</v>
      </c>
      <c r="AD842" s="4"/>
      <c r="AE842" s="32"/>
      <c r="AF842" s="34" t="s">
        <v>68</v>
      </c>
      <c r="AG842" s="112" t="s">
        <v>68</v>
      </c>
      <c r="AH842" s="112" t="s">
        <v>68</v>
      </c>
      <c r="AI842" s="7" t="s">
        <v>68</v>
      </c>
      <c r="AJ842" s="109" t="s">
        <v>68</v>
      </c>
      <c r="AK842" s="33" t="s">
        <v>4555</v>
      </c>
      <c r="AL842" s="2">
        <v>2269865</v>
      </c>
      <c r="AM842" s="5">
        <v>45364</v>
      </c>
      <c r="AN842" s="2">
        <v>2269871</v>
      </c>
      <c r="AO842" s="238">
        <v>45364</v>
      </c>
      <c r="AP842" s="1245" t="s">
        <v>74</v>
      </c>
      <c r="AQ842" s="5"/>
      <c r="AR842" s="534">
        <f>284579.74+94859.91</f>
        <v>379439.65</v>
      </c>
      <c r="AS842" s="35">
        <v>0</v>
      </c>
      <c r="AT842" s="895">
        <v>988798.45</v>
      </c>
      <c r="AU842" s="891"/>
      <c r="AV842" s="230"/>
      <c r="AW842" s="11"/>
      <c r="AX842" s="223"/>
      <c r="AY842" s="52"/>
      <c r="AZ842" s="66" t="s">
        <v>74</v>
      </c>
      <c r="BA842" s="5"/>
      <c r="BB842" s="5"/>
      <c r="BC842" s="11"/>
      <c r="BD842" s="66" t="s">
        <v>74</v>
      </c>
      <c r="BE842" s="535"/>
      <c r="BF842" s="5"/>
      <c r="BG842" s="5"/>
      <c r="BH842" s="5"/>
      <c r="BI842" s="245">
        <f t="shared" si="24"/>
        <v>988798.45</v>
      </c>
      <c r="BJ842" s="66" t="s">
        <v>74</v>
      </c>
      <c r="BK842" s="1831"/>
      <c r="BL842" s="336">
        <v>45393</v>
      </c>
      <c r="BM842" s="693" t="s">
        <v>74</v>
      </c>
      <c r="BN842" s="693" t="s">
        <v>74</v>
      </c>
      <c r="BO842" s="1265"/>
      <c r="BP842" s="1265" t="s">
        <v>74</v>
      </c>
      <c r="BQ842" s="1265" t="s">
        <v>74</v>
      </c>
      <c r="BR842" s="1265" t="s">
        <v>74</v>
      </c>
      <c r="BS842" s="1265" t="s">
        <v>74</v>
      </c>
      <c r="BT842" s="1391"/>
      <c r="BU842" s="1392"/>
      <c r="BV842" s="913"/>
      <c r="BW842" s="13"/>
      <c r="BX842" s="22"/>
      <c r="BY842" s="22"/>
      <c r="BZ842" s="22"/>
      <c r="CA842" s="22"/>
      <c r="CB842" s="1222" t="s">
        <v>3944</v>
      </c>
      <c r="CC842" s="859"/>
      <c r="CD842" s="526"/>
      <c r="CE842" s="526"/>
      <c r="CF842" s="526"/>
      <c r="CG842" s="526"/>
      <c r="CH842" s="526"/>
      <c r="CI842" s="526"/>
      <c r="CJ842" s="526"/>
      <c r="CK842" s="15"/>
    </row>
    <row r="843" spans="2:89" ht="71.25" customHeight="1">
      <c r="B843" s="809"/>
      <c r="C843" s="22"/>
      <c r="D843" s="22"/>
      <c r="E843" s="911"/>
      <c r="F843" s="911"/>
      <c r="G843" s="915">
        <v>45625</v>
      </c>
      <c r="H843" s="1746" t="s">
        <v>6311</v>
      </c>
      <c r="I843" s="330"/>
      <c r="J843" s="169">
        <v>2024</v>
      </c>
      <c r="K843" s="1417">
        <v>245010</v>
      </c>
      <c r="L843" s="1417"/>
      <c r="M843" s="170" t="s">
        <v>77</v>
      </c>
      <c r="N843" s="178" t="s">
        <v>6022</v>
      </c>
      <c r="O843" s="172" t="s">
        <v>79</v>
      </c>
      <c r="P843" s="173" t="s">
        <v>6307</v>
      </c>
      <c r="Q843" s="173" t="s">
        <v>3623</v>
      </c>
      <c r="R843" s="594">
        <v>568143.82999999996</v>
      </c>
      <c r="S843" s="590">
        <v>45364</v>
      </c>
      <c r="T843" s="176">
        <v>45376</v>
      </c>
      <c r="U843" s="177">
        <v>45413</v>
      </c>
      <c r="V843" s="105">
        <v>45363</v>
      </c>
      <c r="W843" s="178" t="s">
        <v>1319</v>
      </c>
      <c r="X843" s="170" t="s">
        <v>213</v>
      </c>
      <c r="Y843" s="1813" t="s">
        <v>74</v>
      </c>
      <c r="Z843" s="1383"/>
      <c r="AA843" s="33" t="s">
        <v>6380</v>
      </c>
      <c r="AB843" s="8">
        <v>45331</v>
      </c>
      <c r="AC843" s="4">
        <v>568143.82999999996</v>
      </c>
      <c r="AD843" s="4"/>
      <c r="AE843" s="32"/>
      <c r="AF843" s="34" t="s">
        <v>68</v>
      </c>
      <c r="AG843" s="112" t="s">
        <v>68</v>
      </c>
      <c r="AH843" s="112" t="s">
        <v>68</v>
      </c>
      <c r="AI843" s="7" t="s">
        <v>68</v>
      </c>
      <c r="AJ843" s="109" t="s">
        <v>68</v>
      </c>
      <c r="AK843" s="33" t="s">
        <v>6851</v>
      </c>
      <c r="AL843" s="2" t="s">
        <v>6852</v>
      </c>
      <c r="AM843" s="5">
        <v>45364</v>
      </c>
      <c r="AN843" s="2" t="s">
        <v>6853</v>
      </c>
      <c r="AO843" s="238">
        <v>45364</v>
      </c>
      <c r="AP843" s="2" t="s">
        <v>6854</v>
      </c>
      <c r="AQ843" s="5">
        <v>45417</v>
      </c>
      <c r="AR843" s="279">
        <f>170443.15+56814.38+56814.38</f>
        <v>284071.90999999997</v>
      </c>
      <c r="AS843" s="35">
        <v>0</v>
      </c>
      <c r="AT843" s="895">
        <v>701966.8</v>
      </c>
      <c r="AU843" s="891"/>
      <c r="AV843" s="230"/>
      <c r="AW843" s="11"/>
      <c r="AX843" s="223"/>
      <c r="AY843" s="52"/>
      <c r="AZ843" s="70">
        <v>45418</v>
      </c>
      <c r="BA843" s="71">
        <v>45376</v>
      </c>
      <c r="BB843" s="71">
        <v>45413</v>
      </c>
      <c r="BC843" s="127">
        <v>45416</v>
      </c>
      <c r="BD843" s="70">
        <v>45419</v>
      </c>
      <c r="BE843" s="1616" t="s">
        <v>6022</v>
      </c>
      <c r="BF843" s="71">
        <v>45376</v>
      </c>
      <c r="BG843" s="71">
        <v>45413</v>
      </c>
      <c r="BH843" s="71">
        <v>45416</v>
      </c>
      <c r="BI843" s="129">
        <f>AS843+AT843+0.01</f>
        <v>701966.81</v>
      </c>
      <c r="BJ843" s="70">
        <v>45419</v>
      </c>
      <c r="BK843" s="1833">
        <v>45781</v>
      </c>
      <c r="BL843" s="336">
        <v>45344</v>
      </c>
      <c r="BM843" s="693" t="s">
        <v>74</v>
      </c>
      <c r="BN843" s="693" t="s">
        <v>74</v>
      </c>
      <c r="BO843" s="1265"/>
      <c r="BP843" s="1265" t="s">
        <v>74</v>
      </c>
      <c r="BQ843" s="1265" t="s">
        <v>74</v>
      </c>
      <c r="BR843" s="1265" t="s">
        <v>74</v>
      </c>
      <c r="BS843" s="914">
        <v>45414</v>
      </c>
      <c r="BT843" s="1265" t="s">
        <v>74</v>
      </c>
      <c r="BU843" s="1392"/>
      <c r="BV843" s="913"/>
      <c r="BW843" s="13"/>
      <c r="BX843" s="22"/>
      <c r="BY843" s="22"/>
      <c r="BZ843" s="22"/>
      <c r="CA843" s="22"/>
      <c r="CB843" s="1222" t="s">
        <v>3944</v>
      </c>
      <c r="CC843" s="859"/>
      <c r="CD843" s="526"/>
      <c r="CE843" s="526"/>
      <c r="CF843" s="526"/>
      <c r="CG843" s="526"/>
      <c r="CH843" s="526"/>
      <c r="CI843" s="526"/>
      <c r="CJ843" s="526"/>
      <c r="CK843" s="15"/>
    </row>
    <row r="844" spans="2:89" ht="77.25" customHeight="1">
      <c r="B844" s="809"/>
      <c r="C844" s="22"/>
      <c r="D844" s="22"/>
      <c r="E844" s="911"/>
      <c r="F844" s="911"/>
      <c r="G844" s="915">
        <v>45625</v>
      </c>
      <c r="H844" s="1746" t="s">
        <v>6311</v>
      </c>
      <c r="I844" s="330"/>
      <c r="J844" s="169">
        <v>2024</v>
      </c>
      <c r="K844" s="1417">
        <v>245011</v>
      </c>
      <c r="L844" s="1417"/>
      <c r="M844" s="170" t="s">
        <v>77</v>
      </c>
      <c r="N844" s="178" t="s">
        <v>6154</v>
      </c>
      <c r="O844" s="172" t="s">
        <v>3212</v>
      </c>
      <c r="P844" s="173" t="s">
        <v>6160</v>
      </c>
      <c r="Q844" s="173" t="s">
        <v>1975</v>
      </c>
      <c r="R844" s="594">
        <v>5799082.5300000003</v>
      </c>
      <c r="S844" s="590">
        <v>45394</v>
      </c>
      <c r="T844" s="176">
        <v>45397</v>
      </c>
      <c r="U844" s="177">
        <v>45458</v>
      </c>
      <c r="V844" s="105" t="s">
        <v>68</v>
      </c>
      <c r="W844" s="178" t="s">
        <v>3469</v>
      </c>
      <c r="X844" s="170" t="s">
        <v>70</v>
      </c>
      <c r="Y844" s="1813" t="s">
        <v>74</v>
      </c>
      <c r="Z844" s="1383"/>
      <c r="AA844" s="33" t="s">
        <v>6381</v>
      </c>
      <c r="AB844" s="8">
        <v>45344</v>
      </c>
      <c r="AC844" s="4">
        <v>5800000</v>
      </c>
      <c r="AD844" s="4"/>
      <c r="AE844" s="32"/>
      <c r="AF844" s="708">
        <v>45383</v>
      </c>
      <c r="AG844" s="180">
        <v>45385</v>
      </c>
      <c r="AH844" s="180">
        <v>45385</v>
      </c>
      <c r="AI844" s="179">
        <v>45390</v>
      </c>
      <c r="AJ844" s="685">
        <v>45392</v>
      </c>
      <c r="AK844" s="33" t="s">
        <v>1112</v>
      </c>
      <c r="AL844" s="2" t="s">
        <v>6392</v>
      </c>
      <c r="AM844" s="5">
        <v>45394</v>
      </c>
      <c r="AN844" s="131" t="s">
        <v>74</v>
      </c>
      <c r="AO844" s="1716"/>
      <c r="AP844" s="131" t="s">
        <v>74</v>
      </c>
      <c r="AQ844" s="5"/>
      <c r="AR844" s="280">
        <f>1739724.76</f>
        <v>1739724.76</v>
      </c>
      <c r="AS844" s="35">
        <v>0</v>
      </c>
      <c r="AT844" s="895">
        <v>7572122.3899999997</v>
      </c>
      <c r="AU844" s="891"/>
      <c r="AV844" s="230"/>
      <c r="AW844" s="11"/>
      <c r="AX844" s="223"/>
      <c r="AY844" s="52"/>
      <c r="AZ844" s="230">
        <v>45460</v>
      </c>
      <c r="BA844" s="5">
        <v>45397</v>
      </c>
      <c r="BB844" s="5">
        <v>45458</v>
      </c>
      <c r="BC844" s="11">
        <v>45458</v>
      </c>
      <c r="BD844" s="246" t="s">
        <v>74</v>
      </c>
      <c r="BE844" s="535"/>
      <c r="BF844" s="5"/>
      <c r="BG844" s="5"/>
      <c r="BH844" s="5"/>
      <c r="BI844" s="245">
        <f t="shared" si="24"/>
        <v>7572122.3899999997</v>
      </c>
      <c r="BJ844" s="1814" t="s">
        <v>74</v>
      </c>
      <c r="BK844" s="1832"/>
      <c r="BL844" s="336">
        <v>45394</v>
      </c>
      <c r="BM844" s="693" t="s">
        <v>74</v>
      </c>
      <c r="BN844" s="693" t="s">
        <v>74</v>
      </c>
      <c r="BO844" s="1391"/>
      <c r="BP844" s="914">
        <v>45397</v>
      </c>
      <c r="BQ844" s="693" t="s">
        <v>74</v>
      </c>
      <c r="BR844" s="914">
        <v>45397</v>
      </c>
      <c r="BS844" s="914">
        <v>45459</v>
      </c>
      <c r="BT844" s="693" t="s">
        <v>74</v>
      </c>
      <c r="BU844" s="1392"/>
      <c r="BV844" s="913"/>
      <c r="BW844" s="13"/>
      <c r="BX844" s="22"/>
      <c r="BY844" s="22"/>
      <c r="BZ844" s="22"/>
      <c r="CA844" s="22"/>
      <c r="CB844" s="1222" t="s">
        <v>3944</v>
      </c>
      <c r="CC844" s="859"/>
      <c r="CD844" s="526"/>
      <c r="CE844" s="526"/>
      <c r="CF844" s="526"/>
      <c r="CG844" s="526"/>
      <c r="CH844" s="526"/>
      <c r="CI844" s="526"/>
      <c r="CJ844" s="526"/>
      <c r="CK844" s="15"/>
    </row>
    <row r="845" spans="2:89" ht="72.75" customHeight="1">
      <c r="B845" s="809"/>
      <c r="C845" s="22"/>
      <c r="D845" s="22"/>
      <c r="E845" s="911"/>
      <c r="F845" s="911"/>
      <c r="G845" s="915">
        <v>45625</v>
      </c>
      <c r="H845" s="1746" t="s">
        <v>6311</v>
      </c>
      <c r="I845" s="330"/>
      <c r="J845" s="169">
        <v>2024</v>
      </c>
      <c r="K845" s="1417">
        <v>245012</v>
      </c>
      <c r="L845" s="1417"/>
      <c r="M845" s="170" t="s">
        <v>166</v>
      </c>
      <c r="N845" s="178" t="s">
        <v>6173</v>
      </c>
      <c r="O845" s="172" t="s">
        <v>3212</v>
      </c>
      <c r="P845" s="173" t="s">
        <v>6174</v>
      </c>
      <c r="Q845" s="173" t="s">
        <v>1975</v>
      </c>
      <c r="R845" s="594">
        <v>4428068</v>
      </c>
      <c r="S845" s="590">
        <v>45394</v>
      </c>
      <c r="T845" s="176">
        <v>45414</v>
      </c>
      <c r="U845" s="177">
        <v>45458</v>
      </c>
      <c r="V845" s="105" t="s">
        <v>68</v>
      </c>
      <c r="W845" s="178" t="s">
        <v>6175</v>
      </c>
      <c r="X845" s="170" t="s">
        <v>1107</v>
      </c>
      <c r="Y845" s="1650" t="s">
        <v>1428</v>
      </c>
      <c r="Z845" s="368" t="s">
        <v>68</v>
      </c>
      <c r="AA845" s="337" t="s">
        <v>74</v>
      </c>
      <c r="AB845" s="8"/>
      <c r="AC845" s="4"/>
      <c r="AD845" s="4"/>
      <c r="AE845" s="32"/>
      <c r="AF845" s="1548">
        <v>45383</v>
      </c>
      <c r="AG845" s="1549">
        <v>45385</v>
      </c>
      <c r="AH845" s="1549">
        <v>45385</v>
      </c>
      <c r="AI845" s="1550">
        <v>45391</v>
      </c>
      <c r="AJ845" s="406">
        <v>45393</v>
      </c>
      <c r="AK845" s="33" t="s">
        <v>107</v>
      </c>
      <c r="AL845" s="2" t="s">
        <v>6855</v>
      </c>
      <c r="AM845" s="5">
        <v>45394</v>
      </c>
      <c r="AN845" s="2" t="s">
        <v>6856</v>
      </c>
      <c r="AO845" s="238">
        <v>45394</v>
      </c>
      <c r="AP845" s="2" t="s">
        <v>6857</v>
      </c>
      <c r="AQ845" s="5">
        <v>45476</v>
      </c>
      <c r="AR845" s="279">
        <f>1328420.4+442806.8+558149.79</f>
        <v>2329376.9900000002</v>
      </c>
      <c r="AS845" s="35">
        <v>0</v>
      </c>
      <c r="AT845" s="895">
        <v>5581497.9199999999</v>
      </c>
      <c r="AU845" s="891"/>
      <c r="AV845" s="30">
        <v>45414</v>
      </c>
      <c r="AW845" s="11">
        <v>45471</v>
      </c>
      <c r="AX845" s="223"/>
      <c r="AY845" s="52"/>
      <c r="AZ845" s="246" t="s">
        <v>74</v>
      </c>
      <c r="BA845" s="5"/>
      <c r="BB845" s="5"/>
      <c r="BC845" s="11"/>
      <c r="BD845" s="70">
        <v>45476</v>
      </c>
      <c r="BE845" s="1616" t="s">
        <v>6173</v>
      </c>
      <c r="BF845" s="71">
        <v>45414</v>
      </c>
      <c r="BG845" s="71">
        <v>45473</v>
      </c>
      <c r="BH845" s="71">
        <v>45381</v>
      </c>
      <c r="BI845" s="129">
        <f t="shared" si="24"/>
        <v>5581497.9199999999</v>
      </c>
      <c r="BJ845" s="246" t="s">
        <v>74</v>
      </c>
      <c r="BK845" s="1831"/>
      <c r="BL845" s="336">
        <v>45412</v>
      </c>
      <c r="BM845" s="71">
        <v>45414</v>
      </c>
      <c r="BN845" s="71">
        <v>45414</v>
      </c>
      <c r="BO845" s="914"/>
      <c r="BP845" s="914">
        <v>45414</v>
      </c>
      <c r="BQ845" s="914">
        <v>45414</v>
      </c>
      <c r="BR845" s="914">
        <v>45414</v>
      </c>
      <c r="BS845" s="1265" t="s">
        <v>74</v>
      </c>
      <c r="BT845" s="1265" t="s">
        <v>74</v>
      </c>
      <c r="BU845" s="1709" t="s">
        <v>5865</v>
      </c>
      <c r="BV845" s="336" t="s">
        <v>62</v>
      </c>
      <c r="BW845" s="13" t="s">
        <v>1406</v>
      </c>
      <c r="BX845" s="22"/>
      <c r="BY845" s="22"/>
      <c r="BZ845" s="22"/>
      <c r="CA845" s="22"/>
      <c r="CB845" s="1222" t="s">
        <v>3944</v>
      </c>
      <c r="CC845" s="859"/>
      <c r="CD845" s="526"/>
      <c r="CE845" s="526"/>
      <c r="CF845" s="526"/>
      <c r="CG845" s="526"/>
      <c r="CH845" s="526"/>
      <c r="CI845" s="526"/>
      <c r="CJ845" s="526"/>
      <c r="CK845" s="15"/>
    </row>
    <row r="846" spans="2:89" ht="79.5" customHeight="1">
      <c r="B846" s="809"/>
      <c r="C846" s="22"/>
      <c r="D846" s="22"/>
      <c r="E846" s="911"/>
      <c r="F846" s="911"/>
      <c r="G846" s="915">
        <v>45625</v>
      </c>
      <c r="H846" s="1746" t="s">
        <v>1405</v>
      </c>
      <c r="I846" s="330"/>
      <c r="J846" s="169">
        <v>2024</v>
      </c>
      <c r="K846" s="1417">
        <v>245013</v>
      </c>
      <c r="L846" s="1417"/>
      <c r="M846" s="170" t="s">
        <v>77</v>
      </c>
      <c r="N846" s="178" t="s">
        <v>6142</v>
      </c>
      <c r="O846" s="172" t="s">
        <v>79</v>
      </c>
      <c r="P846" s="173" t="s">
        <v>6179</v>
      </c>
      <c r="Q846" s="173" t="s">
        <v>3623</v>
      </c>
      <c r="R846" s="594">
        <v>979189.38</v>
      </c>
      <c r="S846" s="590">
        <v>45400</v>
      </c>
      <c r="T846" s="176">
        <v>45418</v>
      </c>
      <c r="U846" s="177">
        <v>45443</v>
      </c>
      <c r="V846" s="105">
        <v>45399</v>
      </c>
      <c r="W846" s="178" t="s">
        <v>1319</v>
      </c>
      <c r="X846" s="170" t="s">
        <v>213</v>
      </c>
      <c r="Y846" s="1813" t="s">
        <v>74</v>
      </c>
      <c r="Z846" s="1383"/>
      <c r="AA846" s="33" t="s">
        <v>6382</v>
      </c>
      <c r="AB846" s="8">
        <v>45379</v>
      </c>
      <c r="AC846" s="4">
        <v>979189.38</v>
      </c>
      <c r="AD846" s="4"/>
      <c r="AE846" s="32"/>
      <c r="AF846" s="34" t="s">
        <v>68</v>
      </c>
      <c r="AG846" s="112" t="s">
        <v>68</v>
      </c>
      <c r="AH846" s="112" t="s">
        <v>68</v>
      </c>
      <c r="AI846" s="7" t="s">
        <v>68</v>
      </c>
      <c r="AJ846" s="109" t="s">
        <v>68</v>
      </c>
      <c r="AK846" s="33" t="s">
        <v>6851</v>
      </c>
      <c r="AL846" s="2" t="s">
        <v>6858</v>
      </c>
      <c r="AM846" s="5">
        <v>45418</v>
      </c>
      <c r="AN846" s="2" t="s">
        <v>6859</v>
      </c>
      <c r="AO846" s="238">
        <v>45418</v>
      </c>
      <c r="AP846" s="2" t="s">
        <v>6860</v>
      </c>
      <c r="AQ846" s="5">
        <v>45443</v>
      </c>
      <c r="AR846" s="279">
        <f>293756.81+97918.94+97918.94</f>
        <v>489594.69</v>
      </c>
      <c r="AS846" s="35">
        <v>0</v>
      </c>
      <c r="AT846" s="895">
        <v>979189.38</v>
      </c>
      <c r="AU846" s="891"/>
      <c r="AV846" s="230"/>
      <c r="AW846" s="11"/>
      <c r="AX846" s="223"/>
      <c r="AY846" s="52"/>
      <c r="AZ846" s="30">
        <v>45446</v>
      </c>
      <c r="BA846" s="5">
        <v>45418</v>
      </c>
      <c r="BB846" s="5">
        <v>45443</v>
      </c>
      <c r="BC846" s="11">
        <v>45443</v>
      </c>
      <c r="BD846" s="30">
        <v>45450</v>
      </c>
      <c r="BE846" s="201" t="s">
        <v>6142</v>
      </c>
      <c r="BF846" s="5">
        <v>45418</v>
      </c>
      <c r="BG846" s="5">
        <v>45443</v>
      </c>
      <c r="BH846" s="5">
        <v>45443</v>
      </c>
      <c r="BI846" s="253">
        <f t="shared" si="24"/>
        <v>979189.38</v>
      </c>
      <c r="BJ846" s="30">
        <v>45457</v>
      </c>
      <c r="BK846" s="1833">
        <v>45815</v>
      </c>
      <c r="BL846" s="336">
        <v>45415</v>
      </c>
      <c r="BM846" s="71">
        <v>45418</v>
      </c>
      <c r="BN846" s="71">
        <v>45418</v>
      </c>
      <c r="BO846" s="914"/>
      <c r="BP846" s="914">
        <v>45418</v>
      </c>
      <c r="BQ846" s="914">
        <v>45418</v>
      </c>
      <c r="BR846" s="914">
        <v>45418</v>
      </c>
      <c r="BS846" s="914">
        <v>45443</v>
      </c>
      <c r="BT846" s="914">
        <v>45444</v>
      </c>
      <c r="BU846" s="1392"/>
      <c r="BV846" s="913"/>
      <c r="BW846" s="13"/>
      <c r="BX846" s="22"/>
      <c r="BY846" s="22"/>
      <c r="BZ846" s="22"/>
      <c r="CA846" s="22"/>
      <c r="CB846" s="1222" t="s">
        <v>3944</v>
      </c>
      <c r="CC846" s="859"/>
      <c r="CD846" s="526"/>
      <c r="CE846" s="526"/>
      <c r="CF846" s="526"/>
      <c r="CG846" s="526"/>
      <c r="CH846" s="526"/>
      <c r="CI846" s="526"/>
      <c r="CJ846" s="526"/>
      <c r="CK846" s="15"/>
    </row>
    <row r="847" spans="2:89" ht="88.5" customHeight="1">
      <c r="B847" s="809"/>
      <c r="C847" s="22"/>
      <c r="D847" s="22"/>
      <c r="E847" s="911"/>
      <c r="F847" s="911"/>
      <c r="G847" s="915">
        <v>45628</v>
      </c>
      <c r="H847" s="1746" t="s">
        <v>6311</v>
      </c>
      <c r="I847" s="330"/>
      <c r="J847" s="169">
        <v>2024</v>
      </c>
      <c r="K847" s="1417">
        <v>245014</v>
      </c>
      <c r="L847" s="1417"/>
      <c r="M847" s="170" t="s">
        <v>166</v>
      </c>
      <c r="N847" s="178" t="s">
        <v>6143</v>
      </c>
      <c r="O847" s="172" t="s">
        <v>79</v>
      </c>
      <c r="P847" s="173" t="s">
        <v>6171</v>
      </c>
      <c r="Q847" s="173" t="s">
        <v>1975</v>
      </c>
      <c r="R847" s="594">
        <v>802898.64</v>
      </c>
      <c r="S847" s="590">
        <v>45419</v>
      </c>
      <c r="T847" s="176">
        <v>45420</v>
      </c>
      <c r="U847" s="177">
        <v>45442</v>
      </c>
      <c r="V847" s="105">
        <v>45418</v>
      </c>
      <c r="W847" s="178" t="s">
        <v>3960</v>
      </c>
      <c r="X847" s="170" t="s">
        <v>449</v>
      </c>
      <c r="Y847" s="1650" t="s">
        <v>1428</v>
      </c>
      <c r="Z847" s="368" t="s">
        <v>68</v>
      </c>
      <c r="AA847" s="33" t="s">
        <v>6367</v>
      </c>
      <c r="AB847" s="8">
        <v>45432</v>
      </c>
      <c r="AC847" s="4">
        <v>900000</v>
      </c>
      <c r="AD847" s="4"/>
      <c r="AE847" s="32"/>
      <c r="AF847" s="34" t="s">
        <v>68</v>
      </c>
      <c r="AG847" s="112" t="s">
        <v>68</v>
      </c>
      <c r="AH847" s="112" t="s">
        <v>68</v>
      </c>
      <c r="AI847" s="7" t="s">
        <v>68</v>
      </c>
      <c r="AJ847" s="109" t="s">
        <v>68</v>
      </c>
      <c r="AK847" s="33" t="s">
        <v>6861</v>
      </c>
      <c r="AL847" s="2" t="s">
        <v>6862</v>
      </c>
      <c r="AM847" s="5">
        <v>45419</v>
      </c>
      <c r="AN847" s="2" t="s">
        <v>6863</v>
      </c>
      <c r="AO847" s="238">
        <v>45419</v>
      </c>
      <c r="AP847" s="2" t="s">
        <v>83</v>
      </c>
      <c r="AQ847" s="5"/>
      <c r="AR847" s="279">
        <f>240869.59+80289.86</f>
        <v>321159.45</v>
      </c>
      <c r="AS847" s="35">
        <v>0</v>
      </c>
      <c r="AT847" s="895">
        <v>802898.41</v>
      </c>
      <c r="AU847" s="891"/>
      <c r="AV847" s="230"/>
      <c r="AW847" s="11"/>
      <c r="AX847" s="223"/>
      <c r="AY847" s="52"/>
      <c r="AZ847" s="70">
        <v>45441</v>
      </c>
      <c r="BA847" s="71">
        <v>45422</v>
      </c>
      <c r="BB847" s="71">
        <v>45441</v>
      </c>
      <c r="BC847" s="127">
        <v>45442</v>
      </c>
      <c r="BD847" s="70">
        <v>45441</v>
      </c>
      <c r="BE847" s="1616" t="s">
        <v>6143</v>
      </c>
      <c r="BF847" s="71">
        <v>45422</v>
      </c>
      <c r="BG847" s="71">
        <v>45442</v>
      </c>
      <c r="BH847" s="71">
        <v>45441</v>
      </c>
      <c r="BI847" s="129">
        <f t="shared" si="24"/>
        <v>802898.41</v>
      </c>
      <c r="BJ847" s="70">
        <v>45441</v>
      </c>
      <c r="BK847" s="1833">
        <v>45806</v>
      </c>
      <c r="BL847" s="336">
        <v>45419</v>
      </c>
      <c r="BM847" s="71">
        <v>45420</v>
      </c>
      <c r="BN847" s="693" t="s">
        <v>74</v>
      </c>
      <c r="BO847" s="1391"/>
      <c r="BP847" s="914">
        <v>45420</v>
      </c>
      <c r="BQ847" s="914">
        <v>45420</v>
      </c>
      <c r="BR847" s="914">
        <v>45420</v>
      </c>
      <c r="BS847" s="914">
        <v>45441</v>
      </c>
      <c r="BT847" s="914">
        <v>45441</v>
      </c>
      <c r="BU847" s="1392"/>
      <c r="BV847" s="913"/>
      <c r="BW847" s="13"/>
      <c r="BX847" s="22"/>
      <c r="BY847" s="22"/>
      <c r="BZ847" s="22"/>
      <c r="CA847" s="22"/>
      <c r="CB847" s="1222" t="s">
        <v>3944</v>
      </c>
      <c r="CC847" s="859"/>
      <c r="CD847" s="526"/>
      <c r="CE847" s="526"/>
      <c r="CF847" s="526"/>
      <c r="CG847" s="526"/>
      <c r="CH847" s="526"/>
      <c r="CI847" s="526"/>
      <c r="CJ847" s="526"/>
      <c r="CK847" s="15"/>
    </row>
    <row r="848" spans="2:89" ht="128.25" customHeight="1">
      <c r="B848" s="809"/>
      <c r="C848" s="22"/>
      <c r="D848" s="22"/>
      <c r="E848" s="911"/>
      <c r="F848" s="911"/>
      <c r="G848" s="915">
        <v>45628</v>
      </c>
      <c r="H848" s="1746" t="s">
        <v>6311</v>
      </c>
      <c r="I848" s="330"/>
      <c r="J848" s="169">
        <v>2024</v>
      </c>
      <c r="K848" s="1417">
        <v>245015</v>
      </c>
      <c r="L848" s="1417"/>
      <c r="M848" s="170" t="s">
        <v>77</v>
      </c>
      <c r="N848" s="178" t="s">
        <v>6144</v>
      </c>
      <c r="O848" s="172" t="s">
        <v>79</v>
      </c>
      <c r="P848" s="173" t="s">
        <v>6180</v>
      </c>
      <c r="Q848" s="173" t="s">
        <v>1975</v>
      </c>
      <c r="R848" s="594">
        <v>944743.84</v>
      </c>
      <c r="S848" s="590">
        <v>45419</v>
      </c>
      <c r="T848" s="176">
        <v>45423</v>
      </c>
      <c r="U848" s="177">
        <v>45443</v>
      </c>
      <c r="V848" s="105">
        <v>45418</v>
      </c>
      <c r="W848" s="178" t="s">
        <v>4450</v>
      </c>
      <c r="X848" s="170" t="s">
        <v>449</v>
      </c>
      <c r="Y848" s="1813" t="s">
        <v>74</v>
      </c>
      <c r="Z848" s="1383"/>
      <c r="AA848" s="337" t="s">
        <v>74</v>
      </c>
      <c r="AB848" s="8"/>
      <c r="AC848" s="4"/>
      <c r="AD848" s="4"/>
      <c r="AE848" s="32"/>
      <c r="AF848" s="34" t="s">
        <v>68</v>
      </c>
      <c r="AG848" s="112" t="s">
        <v>68</v>
      </c>
      <c r="AH848" s="112" t="s">
        <v>68</v>
      </c>
      <c r="AI848" s="7" t="s">
        <v>68</v>
      </c>
      <c r="AJ848" s="109" t="s">
        <v>68</v>
      </c>
      <c r="AK848" s="33" t="s">
        <v>4555</v>
      </c>
      <c r="AL848" s="2" t="s">
        <v>68</v>
      </c>
      <c r="AM848" s="5"/>
      <c r="AN848" s="2">
        <v>2278626</v>
      </c>
      <c r="AO848" s="238">
        <v>45419</v>
      </c>
      <c r="AP848" s="2">
        <v>2280463</v>
      </c>
      <c r="AQ848" s="5">
        <v>45444</v>
      </c>
      <c r="AR848" s="279">
        <f>94474.4+95425.82</f>
        <v>189900.22</v>
      </c>
      <c r="AS848" s="35">
        <v>0</v>
      </c>
      <c r="AT848" s="895">
        <v>954258.28</v>
      </c>
      <c r="AU848" s="891"/>
      <c r="AV848" s="230"/>
      <c r="AW848" s="11"/>
      <c r="AX848" s="223"/>
      <c r="AY848" s="52"/>
      <c r="AZ848" s="30">
        <v>45446</v>
      </c>
      <c r="BA848" s="5">
        <v>45423</v>
      </c>
      <c r="BB848" s="5">
        <v>45443</v>
      </c>
      <c r="BC848" s="11">
        <v>45443</v>
      </c>
      <c r="BD848" s="30">
        <v>45447</v>
      </c>
      <c r="BE848" s="201" t="s">
        <v>6144</v>
      </c>
      <c r="BF848" s="5">
        <v>45423</v>
      </c>
      <c r="BG848" s="5">
        <v>45443</v>
      </c>
      <c r="BH848" s="5">
        <v>45443</v>
      </c>
      <c r="BI848" s="129">
        <f t="shared" si="24"/>
        <v>954258.28</v>
      </c>
      <c r="BJ848" s="30">
        <v>45453</v>
      </c>
      <c r="BK848" s="1833">
        <v>45808</v>
      </c>
      <c r="BL848" s="336">
        <v>45421</v>
      </c>
      <c r="BM848" s="71">
        <v>45420</v>
      </c>
      <c r="BN848" s="71">
        <v>45423</v>
      </c>
      <c r="BO848" s="914"/>
      <c r="BP848" s="914">
        <v>45420</v>
      </c>
      <c r="BQ848" s="914">
        <v>45420</v>
      </c>
      <c r="BR848" s="914">
        <v>45420</v>
      </c>
      <c r="BS848" s="914">
        <v>45443</v>
      </c>
      <c r="BT848" s="914">
        <v>45444</v>
      </c>
      <c r="BU848" s="914" t="s">
        <v>6864</v>
      </c>
      <c r="BV848" s="913"/>
      <c r="BW848" s="13"/>
      <c r="BX848" s="22"/>
      <c r="BY848" s="22"/>
      <c r="BZ848" s="22"/>
      <c r="CA848" s="22"/>
      <c r="CB848" s="1222" t="s">
        <v>3944</v>
      </c>
      <c r="CC848" s="859"/>
      <c r="CD848" s="526"/>
      <c r="CE848" s="526"/>
      <c r="CF848" s="526"/>
      <c r="CG848" s="526"/>
      <c r="CH848" s="526"/>
      <c r="CI848" s="526"/>
      <c r="CJ848" s="526"/>
      <c r="CK848" s="15"/>
    </row>
    <row r="849" spans="2:89" ht="98.25" customHeight="1">
      <c r="B849" s="809"/>
      <c r="C849" s="22"/>
      <c r="D849" s="22"/>
      <c r="E849" s="911"/>
      <c r="F849" s="911"/>
      <c r="G849" s="915">
        <v>45628</v>
      </c>
      <c r="H849" s="1746" t="s">
        <v>6311</v>
      </c>
      <c r="I849" s="330"/>
      <c r="J849" s="169">
        <v>2024</v>
      </c>
      <c r="K849" s="1417">
        <v>245016</v>
      </c>
      <c r="L849" s="1417"/>
      <c r="M849" s="170" t="s">
        <v>166</v>
      </c>
      <c r="N849" s="178" t="s">
        <v>6145</v>
      </c>
      <c r="O849" s="172" t="s">
        <v>79</v>
      </c>
      <c r="P849" s="173" t="s">
        <v>6183</v>
      </c>
      <c r="Q849" s="173" t="s">
        <v>1975</v>
      </c>
      <c r="R849" s="594">
        <v>152167.64000000001</v>
      </c>
      <c r="S849" s="590">
        <v>45446</v>
      </c>
      <c r="T849" s="176">
        <v>45432</v>
      </c>
      <c r="U849" s="177">
        <v>45440</v>
      </c>
      <c r="V849" s="105">
        <v>45443</v>
      </c>
      <c r="W849" s="178" t="s">
        <v>4450</v>
      </c>
      <c r="X849" s="170" t="s">
        <v>1107</v>
      </c>
      <c r="Y849" s="1650">
        <v>45446</v>
      </c>
      <c r="Z849" s="368" t="s">
        <v>68</v>
      </c>
      <c r="AA849" s="33" t="s">
        <v>6368</v>
      </c>
      <c r="AB849" s="8">
        <v>45478</v>
      </c>
      <c r="AC849" s="4">
        <v>152167.64000000001</v>
      </c>
      <c r="AD849" s="4"/>
      <c r="AE849" s="32"/>
      <c r="AF849" s="34" t="s">
        <v>68</v>
      </c>
      <c r="AG849" s="112" t="s">
        <v>68</v>
      </c>
      <c r="AH849" s="112" t="s">
        <v>68</v>
      </c>
      <c r="AI849" s="7" t="s">
        <v>68</v>
      </c>
      <c r="AJ849" s="109" t="s">
        <v>68</v>
      </c>
      <c r="AK849" s="255" t="s">
        <v>4555</v>
      </c>
      <c r="AL849" s="510" t="s">
        <v>68</v>
      </c>
      <c r="AM849" s="5"/>
      <c r="AN849" s="510">
        <v>2283959</v>
      </c>
      <c r="AO849" s="238">
        <v>45443</v>
      </c>
      <c r="AP849" s="510">
        <v>2283948</v>
      </c>
      <c r="AQ849" s="5">
        <v>45456</v>
      </c>
      <c r="AR849" s="534">
        <f>15216.76*2</f>
        <v>30433.52</v>
      </c>
      <c r="AS849" s="35">
        <v>0</v>
      </c>
      <c r="AT849" s="895">
        <v>152167.64000000001</v>
      </c>
      <c r="AU849" s="891"/>
      <c r="AV849" s="230"/>
      <c r="AW849" s="11"/>
      <c r="AX849" s="223"/>
      <c r="AY849" s="52"/>
      <c r="AZ849" s="30">
        <v>45456</v>
      </c>
      <c r="BA849" s="5">
        <v>45446</v>
      </c>
      <c r="BB849" s="5">
        <v>45454</v>
      </c>
      <c r="BC849" s="11">
        <v>45454</v>
      </c>
      <c r="BD849" s="30">
        <v>45460</v>
      </c>
      <c r="BE849" s="201" t="s">
        <v>6145</v>
      </c>
      <c r="BF849" s="5">
        <v>45446</v>
      </c>
      <c r="BG849" s="5">
        <v>45454</v>
      </c>
      <c r="BH849" s="5">
        <v>45454</v>
      </c>
      <c r="BI849" s="129">
        <f t="shared" si="24"/>
        <v>152167.64000000001</v>
      </c>
      <c r="BJ849" s="30">
        <v>45469</v>
      </c>
      <c r="BK849" s="1833">
        <v>45793</v>
      </c>
      <c r="BL849" s="336">
        <v>45442</v>
      </c>
      <c r="BM849" s="693" t="s">
        <v>74</v>
      </c>
      <c r="BN849" s="71">
        <v>45446</v>
      </c>
      <c r="BO849" s="914"/>
      <c r="BP849" s="914">
        <v>45446</v>
      </c>
      <c r="BQ849" s="914">
        <v>45446</v>
      </c>
      <c r="BR849" s="914">
        <v>45446</v>
      </c>
      <c r="BS849" s="914">
        <v>45454</v>
      </c>
      <c r="BT849" s="914">
        <v>45456</v>
      </c>
      <c r="BU849" s="1392"/>
      <c r="BV849" s="913"/>
      <c r="BW849" s="13"/>
      <c r="BX849" s="22"/>
      <c r="BY849" s="22"/>
      <c r="BZ849" s="22"/>
      <c r="CA849" s="22"/>
      <c r="CB849" s="1222" t="s">
        <v>3944</v>
      </c>
      <c r="CC849" s="859"/>
      <c r="CD849" s="526"/>
      <c r="CE849" s="526"/>
      <c r="CF849" s="526"/>
      <c r="CG849" s="526"/>
      <c r="CH849" s="526"/>
      <c r="CI849" s="526"/>
      <c r="CJ849" s="526"/>
      <c r="CK849" s="15"/>
    </row>
    <row r="850" spans="2:89" ht="117" customHeight="1">
      <c r="B850" s="809"/>
      <c r="C850" s="22"/>
      <c r="D850" s="22"/>
      <c r="E850" s="911"/>
      <c r="F850" s="911"/>
      <c r="G850" s="915">
        <v>45628</v>
      </c>
      <c r="H850" s="1746" t="s">
        <v>6311</v>
      </c>
      <c r="I850" s="330"/>
      <c r="J850" s="169">
        <v>2024</v>
      </c>
      <c r="K850" s="1417">
        <v>245017</v>
      </c>
      <c r="L850" s="1417"/>
      <c r="M850" s="170" t="s">
        <v>166</v>
      </c>
      <c r="N850" s="178" t="s">
        <v>6146</v>
      </c>
      <c r="O850" s="172" t="s">
        <v>79</v>
      </c>
      <c r="P850" s="173" t="s">
        <v>6541</v>
      </c>
      <c r="Q850" s="173" t="s">
        <v>1975</v>
      </c>
      <c r="R850" s="594">
        <v>687485.47</v>
      </c>
      <c r="S850" s="590">
        <v>45450</v>
      </c>
      <c r="T850" s="176">
        <v>45453</v>
      </c>
      <c r="U850" s="177">
        <v>45471</v>
      </c>
      <c r="V850" s="105">
        <v>45449</v>
      </c>
      <c r="W850" s="178" t="s">
        <v>4362</v>
      </c>
      <c r="X850" s="170" t="s">
        <v>449</v>
      </c>
      <c r="Y850" s="1650">
        <v>45446</v>
      </c>
      <c r="Z850" s="368" t="s">
        <v>68</v>
      </c>
      <c r="AA850" s="33" t="s">
        <v>6369</v>
      </c>
      <c r="AB850" s="8">
        <v>45448</v>
      </c>
      <c r="AC850" s="4">
        <v>700000</v>
      </c>
      <c r="AD850" s="4"/>
      <c r="AE850" s="32"/>
      <c r="AF850" s="34" t="s">
        <v>68</v>
      </c>
      <c r="AG850" s="112" t="s">
        <v>68</v>
      </c>
      <c r="AH850" s="112" t="s">
        <v>68</v>
      </c>
      <c r="AI850" s="7" t="s">
        <v>68</v>
      </c>
      <c r="AJ850" s="109" t="s">
        <v>68</v>
      </c>
      <c r="AK850" s="33" t="s">
        <v>6865</v>
      </c>
      <c r="AL850" s="2" t="s">
        <v>68</v>
      </c>
      <c r="AM850" s="5"/>
      <c r="AN850" s="2">
        <v>2932473</v>
      </c>
      <c r="AO850" s="238">
        <v>45450</v>
      </c>
      <c r="AP850" s="2">
        <v>2940091</v>
      </c>
      <c r="AQ850" s="5">
        <v>45472</v>
      </c>
      <c r="AR850" s="279">
        <f>68748.54+68748.54</f>
        <v>137497.07999999999</v>
      </c>
      <c r="AS850" s="35">
        <v>0</v>
      </c>
      <c r="AT850" s="895">
        <v>687485.47</v>
      </c>
      <c r="AU850" s="891"/>
      <c r="AV850" s="30">
        <v>45453</v>
      </c>
      <c r="AW850" s="11">
        <v>45470</v>
      </c>
      <c r="AX850" s="223"/>
      <c r="AY850" s="52"/>
      <c r="AZ850" s="70">
        <v>45472</v>
      </c>
      <c r="BA850" s="71">
        <v>45453</v>
      </c>
      <c r="BB850" s="71">
        <v>45471</v>
      </c>
      <c r="BC850" s="127">
        <v>45471</v>
      </c>
      <c r="BD850" s="70">
        <v>45472</v>
      </c>
      <c r="BE850" s="1616" t="s">
        <v>6866</v>
      </c>
      <c r="BF850" s="71">
        <v>45453</v>
      </c>
      <c r="BG850" s="71">
        <v>45471</v>
      </c>
      <c r="BH850" s="71">
        <v>45471</v>
      </c>
      <c r="BI850" s="129">
        <f t="shared" si="24"/>
        <v>687485.47</v>
      </c>
      <c r="BJ850" s="70">
        <v>45472</v>
      </c>
      <c r="BK850" s="1833">
        <v>45837</v>
      </c>
      <c r="BL850" s="336">
        <v>45450</v>
      </c>
      <c r="BM850" s="693" t="s">
        <v>74</v>
      </c>
      <c r="BN850" s="71">
        <v>45450</v>
      </c>
      <c r="BO850" s="914"/>
      <c r="BP850" s="914">
        <v>45450</v>
      </c>
      <c r="BQ850" s="914">
        <v>45450</v>
      </c>
      <c r="BR850" s="914">
        <v>45450</v>
      </c>
      <c r="BS850" s="914">
        <v>45470</v>
      </c>
      <c r="BT850" s="914">
        <v>45474</v>
      </c>
      <c r="BU850" s="1392"/>
      <c r="BV850" s="913"/>
      <c r="BW850" s="13"/>
      <c r="BX850" s="22"/>
      <c r="BY850" s="22"/>
      <c r="BZ850" s="22"/>
      <c r="CA850" s="22"/>
      <c r="CB850" s="1222" t="s">
        <v>3944</v>
      </c>
      <c r="CC850" s="859"/>
      <c r="CD850" s="526"/>
      <c r="CE850" s="526"/>
      <c r="CF850" s="526"/>
      <c r="CG850" s="526"/>
      <c r="CH850" s="526"/>
      <c r="CI850" s="526"/>
      <c r="CJ850" s="526"/>
      <c r="CK850" s="15"/>
    </row>
    <row r="851" spans="2:89" ht="97.5" customHeight="1">
      <c r="B851" s="809"/>
      <c r="C851" s="22"/>
      <c r="D851" s="22"/>
      <c r="E851" s="911"/>
      <c r="F851" s="911"/>
      <c r="G851" s="915">
        <v>45628</v>
      </c>
      <c r="H851" s="1746" t="s">
        <v>6311</v>
      </c>
      <c r="I851" s="330"/>
      <c r="J851" s="169">
        <v>2024</v>
      </c>
      <c r="K851" s="1417">
        <v>245018</v>
      </c>
      <c r="L851" s="1417"/>
      <c r="M851" s="170" t="s">
        <v>5832</v>
      </c>
      <c r="N851" s="178" t="s">
        <v>6147</v>
      </c>
      <c r="O851" s="172" t="s">
        <v>79</v>
      </c>
      <c r="P851" s="173" t="s">
        <v>6542</v>
      </c>
      <c r="Q851" s="173" t="s">
        <v>4824</v>
      </c>
      <c r="R851" s="594">
        <v>1298701.05</v>
      </c>
      <c r="S851" s="590">
        <v>45448</v>
      </c>
      <c r="T851" s="176">
        <v>45450</v>
      </c>
      <c r="U851" s="177">
        <v>45464</v>
      </c>
      <c r="V851" s="105">
        <v>45448</v>
      </c>
      <c r="W851" s="178" t="s">
        <v>6240</v>
      </c>
      <c r="X851" s="170" t="s">
        <v>70</v>
      </c>
      <c r="Y851" s="1650">
        <v>45432</v>
      </c>
      <c r="Z851" s="1383"/>
      <c r="AA851" s="337" t="s">
        <v>74</v>
      </c>
      <c r="AB851" s="8"/>
      <c r="AC851" s="4"/>
      <c r="AD851" s="4"/>
      <c r="AE851" s="32"/>
      <c r="AF851" s="34" t="s">
        <v>68</v>
      </c>
      <c r="AG851" s="112" t="s">
        <v>68</v>
      </c>
      <c r="AH851" s="112" t="s">
        <v>68</v>
      </c>
      <c r="AI851" s="7" t="s">
        <v>68</v>
      </c>
      <c r="AJ851" s="109" t="s">
        <v>68</v>
      </c>
      <c r="AK851" s="33" t="s">
        <v>6865</v>
      </c>
      <c r="AL851" s="2" t="s">
        <v>68</v>
      </c>
      <c r="AM851" s="5"/>
      <c r="AN851" s="2">
        <v>2936994</v>
      </c>
      <c r="AO851" s="238">
        <v>45450</v>
      </c>
      <c r="AP851" s="2">
        <v>2937261</v>
      </c>
      <c r="AQ851" s="5">
        <v>45465</v>
      </c>
      <c r="AR851" s="279">
        <f>129870.1+137812.56</f>
        <v>267682.66000000003</v>
      </c>
      <c r="AS851" s="35">
        <v>0</v>
      </c>
      <c r="AT851" s="895">
        <v>1378125.6</v>
      </c>
      <c r="AU851" s="891"/>
      <c r="AV851" s="230"/>
      <c r="AW851" s="11"/>
      <c r="AX851" s="223"/>
      <c r="AY851" s="52"/>
      <c r="AZ851" s="70">
        <v>45465</v>
      </c>
      <c r="BA851" s="71">
        <v>45450</v>
      </c>
      <c r="BB851" s="71">
        <v>45464</v>
      </c>
      <c r="BC851" s="127">
        <v>45464</v>
      </c>
      <c r="BD851" s="70">
        <v>45465</v>
      </c>
      <c r="BE851" s="1616" t="s">
        <v>6147</v>
      </c>
      <c r="BF851" s="71">
        <v>45450</v>
      </c>
      <c r="BG851" s="71">
        <v>45464</v>
      </c>
      <c r="BH851" s="71">
        <v>45464</v>
      </c>
      <c r="BI851" s="129">
        <f t="shared" si="24"/>
        <v>1378125.6</v>
      </c>
      <c r="BJ851" s="66" t="s">
        <v>74</v>
      </c>
      <c r="BK851" s="1831"/>
      <c r="BL851" s="336">
        <v>45449</v>
      </c>
      <c r="BM851" s="693" t="s">
        <v>74</v>
      </c>
      <c r="BN851" s="71">
        <v>45449</v>
      </c>
      <c r="BO851" s="1391"/>
      <c r="BP851" s="693" t="s">
        <v>74</v>
      </c>
      <c r="BQ851" s="693" t="s">
        <v>74</v>
      </c>
      <c r="BR851" s="693" t="s">
        <v>74</v>
      </c>
      <c r="BS851" s="71">
        <v>45463</v>
      </c>
      <c r="BT851" s="693" t="s">
        <v>74</v>
      </c>
      <c r="BU851" s="914" t="s">
        <v>6867</v>
      </c>
      <c r="BV851" s="913"/>
      <c r="BW851" s="13"/>
      <c r="BX851" s="22"/>
      <c r="BY851" s="22"/>
      <c r="BZ851" s="22"/>
      <c r="CA851" s="22"/>
      <c r="CB851" s="1222" t="s">
        <v>3944</v>
      </c>
      <c r="CC851" s="859"/>
      <c r="CD851" s="526"/>
      <c r="CE851" s="526"/>
      <c r="CF851" s="526"/>
      <c r="CG851" s="526"/>
      <c r="CH851" s="526"/>
      <c r="CI851" s="526"/>
      <c r="CJ851" s="526"/>
      <c r="CK851" s="15"/>
    </row>
    <row r="852" spans="2:89" ht="90" customHeight="1">
      <c r="B852" s="809"/>
      <c r="C852" s="22"/>
      <c r="D852" s="22"/>
      <c r="E852" s="911"/>
      <c r="F852" s="911"/>
      <c r="G852" s="915">
        <v>45629</v>
      </c>
      <c r="H852" s="1746" t="s">
        <v>6311</v>
      </c>
      <c r="I852" s="330"/>
      <c r="J852" s="169">
        <v>2024</v>
      </c>
      <c r="K852" s="1417">
        <v>245019</v>
      </c>
      <c r="L852" s="1417"/>
      <c r="M852" s="170" t="s">
        <v>5832</v>
      </c>
      <c r="N852" s="178" t="s">
        <v>6148</v>
      </c>
      <c r="O852" s="172" t="s">
        <v>79</v>
      </c>
      <c r="P852" s="173" t="s">
        <v>6543</v>
      </c>
      <c r="Q852" s="173" t="s">
        <v>1975</v>
      </c>
      <c r="R852" s="594">
        <v>204310.14</v>
      </c>
      <c r="S852" s="590">
        <v>45470</v>
      </c>
      <c r="T852" s="176">
        <v>45477</v>
      </c>
      <c r="U852" s="177">
        <v>45491</v>
      </c>
      <c r="V852" s="105">
        <v>45469</v>
      </c>
      <c r="W852" s="178" t="s">
        <v>4450</v>
      </c>
      <c r="X852" s="170" t="s">
        <v>1107</v>
      </c>
      <c r="Y852" s="1650">
        <v>45464</v>
      </c>
      <c r="Z852" s="1383"/>
      <c r="AA852" s="33" t="s">
        <v>6384</v>
      </c>
      <c r="AB852" s="8">
        <v>45481</v>
      </c>
      <c r="AC852" s="4">
        <v>204310.14</v>
      </c>
      <c r="AD852" s="4"/>
      <c r="AE852" s="32"/>
      <c r="AF852" s="34" t="s">
        <v>68</v>
      </c>
      <c r="AG852" s="112" t="s">
        <v>68</v>
      </c>
      <c r="AH852" s="112" t="s">
        <v>68</v>
      </c>
      <c r="AI852" s="7" t="s">
        <v>68</v>
      </c>
      <c r="AJ852" s="109" t="s">
        <v>68</v>
      </c>
      <c r="AK852" s="33" t="s">
        <v>4555</v>
      </c>
      <c r="AL852" s="2" t="s">
        <v>68</v>
      </c>
      <c r="AM852" s="5"/>
      <c r="AN852" s="2">
        <v>2290018</v>
      </c>
      <c r="AO852" s="238">
        <v>45477</v>
      </c>
      <c r="AP852" s="2">
        <v>2290020</v>
      </c>
      <c r="AQ852" s="5">
        <v>45492</v>
      </c>
      <c r="AR852" s="279">
        <f>20431.01*2</f>
        <v>40862.019999999997</v>
      </c>
      <c r="AS852" s="35">
        <v>0</v>
      </c>
      <c r="AT852" s="895">
        <v>204310.14</v>
      </c>
      <c r="AU852" s="891"/>
      <c r="AV852" s="230"/>
      <c r="AW852" s="11"/>
      <c r="AX852" s="223"/>
      <c r="AY852" s="52"/>
      <c r="AZ852" s="70">
        <v>45495</v>
      </c>
      <c r="BA852" s="71">
        <v>45477</v>
      </c>
      <c r="BB852" s="71">
        <v>45491</v>
      </c>
      <c r="BC852" s="127">
        <v>45491</v>
      </c>
      <c r="BD852" s="70">
        <v>45495</v>
      </c>
      <c r="BE852" s="1616" t="s">
        <v>6868</v>
      </c>
      <c r="BF852" s="71">
        <v>45477</v>
      </c>
      <c r="BG852" s="71">
        <v>45491</v>
      </c>
      <c r="BH852" s="71">
        <v>45491</v>
      </c>
      <c r="BI852" s="129">
        <f t="shared" si="24"/>
        <v>204310.14</v>
      </c>
      <c r="BJ852" s="70">
        <v>45496</v>
      </c>
      <c r="BK852" s="1833">
        <v>45860</v>
      </c>
      <c r="BL852" s="693" t="s">
        <v>74</v>
      </c>
      <c r="BM852" s="71">
        <v>45476</v>
      </c>
      <c r="BN852" s="71">
        <v>45476</v>
      </c>
      <c r="BO852" s="914"/>
      <c r="BP852" s="914">
        <v>45477</v>
      </c>
      <c r="BQ852" s="914">
        <v>45477</v>
      </c>
      <c r="BR852" s="914">
        <v>45476</v>
      </c>
      <c r="BS852" s="914">
        <v>45492</v>
      </c>
      <c r="BT852" s="914">
        <v>45492</v>
      </c>
      <c r="BU852" s="1392"/>
      <c r="BV852" s="913"/>
      <c r="BW852" s="13"/>
      <c r="BX852" s="22"/>
      <c r="BY852" s="22"/>
      <c r="BZ852" s="22"/>
      <c r="CA852" s="22"/>
      <c r="CB852" s="1222" t="s">
        <v>3944</v>
      </c>
      <c r="CC852" s="859"/>
      <c r="CD852" s="526"/>
      <c r="CE852" s="526"/>
      <c r="CF852" s="526"/>
      <c r="CG852" s="526"/>
      <c r="CH852" s="526"/>
      <c r="CI852" s="526"/>
      <c r="CJ852" s="526"/>
      <c r="CK852" s="15"/>
    </row>
    <row r="853" spans="2:89" ht="69.75" customHeight="1">
      <c r="B853" s="809"/>
      <c r="C853" s="22"/>
      <c r="D853" s="22"/>
      <c r="E853" s="911"/>
      <c r="F853" s="911"/>
      <c r="G853" s="915">
        <v>45629</v>
      </c>
      <c r="H853" s="1746" t="s">
        <v>1405</v>
      </c>
      <c r="I853" s="330"/>
      <c r="J853" s="169">
        <v>2024</v>
      </c>
      <c r="K853" s="1417">
        <v>245020</v>
      </c>
      <c r="L853" s="1417"/>
      <c r="M853" s="170" t="s">
        <v>5832</v>
      </c>
      <c r="N853" s="178" t="s">
        <v>6149</v>
      </c>
      <c r="O853" s="172" t="s">
        <v>79</v>
      </c>
      <c r="P853" s="173" t="s">
        <v>6544</v>
      </c>
      <c r="Q853" s="173" t="s">
        <v>1975</v>
      </c>
      <c r="R853" s="594">
        <v>1801948.36</v>
      </c>
      <c r="S853" s="590">
        <v>45468</v>
      </c>
      <c r="T853" s="176">
        <v>45470</v>
      </c>
      <c r="U853" s="177">
        <v>45548</v>
      </c>
      <c r="V853" s="105">
        <v>45467</v>
      </c>
      <c r="W853" s="178" t="s">
        <v>6240</v>
      </c>
      <c r="X853" s="170" t="s">
        <v>70</v>
      </c>
      <c r="Y853" s="1650">
        <v>45457</v>
      </c>
      <c r="Z853" s="1383"/>
      <c r="AA853" s="33" t="s">
        <v>6385</v>
      </c>
      <c r="AB853" s="8">
        <v>45448</v>
      </c>
      <c r="AC853" s="4">
        <v>2000000</v>
      </c>
      <c r="AD853" s="4"/>
      <c r="AE853" s="32"/>
      <c r="AF853" s="34" t="s">
        <v>68</v>
      </c>
      <c r="AG853" s="112" t="s">
        <v>68</v>
      </c>
      <c r="AH853" s="112" t="s">
        <v>68</v>
      </c>
      <c r="AI853" s="7" t="s">
        <v>68</v>
      </c>
      <c r="AJ853" s="109" t="s">
        <v>68</v>
      </c>
      <c r="AK853" s="33" t="s">
        <v>6865</v>
      </c>
      <c r="AL853" s="2">
        <v>2937476</v>
      </c>
      <c r="AM853" s="5">
        <v>45468</v>
      </c>
      <c r="AN853" s="2">
        <v>2937471</v>
      </c>
      <c r="AO853" s="238">
        <v>45468</v>
      </c>
      <c r="AP853" s="2">
        <v>2960205</v>
      </c>
      <c r="AQ853" s="5">
        <v>45546</v>
      </c>
      <c r="AR853" s="279">
        <f>540584.5+180194.83+193661.83</f>
        <v>914441.15999999992</v>
      </c>
      <c r="AS853" s="35">
        <v>0</v>
      </c>
      <c r="AT853" s="895">
        <v>1936618.31</v>
      </c>
      <c r="AU853" s="891"/>
      <c r="AV853" s="230"/>
      <c r="AW853" s="11"/>
      <c r="AX853" s="223"/>
      <c r="AY853" s="52"/>
      <c r="AZ853" s="70">
        <v>45546</v>
      </c>
      <c r="BA853" s="71">
        <v>45470</v>
      </c>
      <c r="BB853" s="71">
        <v>45548</v>
      </c>
      <c r="BC853" s="127">
        <v>45546</v>
      </c>
      <c r="BD853" s="70">
        <v>45546</v>
      </c>
      <c r="BE853" s="1616" t="s">
        <v>6869</v>
      </c>
      <c r="BF853" s="71">
        <v>45470</v>
      </c>
      <c r="BG853" s="71">
        <v>45548</v>
      </c>
      <c r="BH853" s="71">
        <v>45546</v>
      </c>
      <c r="BI853" s="129">
        <f t="shared" si="24"/>
        <v>1936618.31</v>
      </c>
      <c r="BJ853" s="66" t="s">
        <v>74</v>
      </c>
      <c r="BK853" s="1831"/>
      <c r="BL853" s="336">
        <v>45469</v>
      </c>
      <c r="BM853" s="693" t="s">
        <v>74</v>
      </c>
      <c r="BN853" s="693" t="s">
        <v>74</v>
      </c>
      <c r="BO853" s="1391"/>
      <c r="BP853" s="693" t="s">
        <v>74</v>
      </c>
      <c r="BQ853" s="693" t="s">
        <v>74</v>
      </c>
      <c r="BR853" s="693" t="s">
        <v>74</v>
      </c>
      <c r="BS853" s="693" t="s">
        <v>74</v>
      </c>
      <c r="BT853" s="693" t="s">
        <v>74</v>
      </c>
      <c r="BU853" s="914" t="s">
        <v>6867</v>
      </c>
      <c r="BV853" s="913"/>
      <c r="BW853" s="13"/>
      <c r="BX853" s="22"/>
      <c r="BY853" s="22"/>
      <c r="BZ853" s="22"/>
      <c r="CA853" s="22"/>
      <c r="CB853" s="1222" t="s">
        <v>3944</v>
      </c>
      <c r="CC853" s="859"/>
      <c r="CD853" s="526"/>
      <c r="CE853" s="526"/>
      <c r="CF853" s="526"/>
      <c r="CG853" s="526"/>
      <c r="CH853" s="526"/>
      <c r="CI853" s="526"/>
      <c r="CJ853" s="526"/>
      <c r="CK853" s="15"/>
    </row>
    <row r="854" spans="2:89" ht="85.5" customHeight="1">
      <c r="B854" s="809"/>
      <c r="C854" s="22"/>
      <c r="D854" s="22"/>
      <c r="E854" s="911"/>
      <c r="F854" s="911"/>
      <c r="G854" s="915">
        <v>45629</v>
      </c>
      <c r="H854" s="1746" t="s">
        <v>6311</v>
      </c>
      <c r="I854" s="330"/>
      <c r="J854" s="169">
        <v>2024</v>
      </c>
      <c r="K854" s="1417">
        <v>245021</v>
      </c>
      <c r="L854" s="1417"/>
      <c r="M854" s="170" t="s">
        <v>5832</v>
      </c>
      <c r="N854" s="178" t="s">
        <v>6234</v>
      </c>
      <c r="O854" s="172" t="s">
        <v>79</v>
      </c>
      <c r="P854" s="173" t="s">
        <v>6545</v>
      </c>
      <c r="Q854" s="173" t="s">
        <v>2577</v>
      </c>
      <c r="R854" s="594">
        <v>424277.78</v>
      </c>
      <c r="S854" s="590">
        <v>45470</v>
      </c>
      <c r="T854" s="176">
        <v>45471</v>
      </c>
      <c r="U854" s="177">
        <v>45476</v>
      </c>
      <c r="V854" s="105">
        <v>45469</v>
      </c>
      <c r="W854" s="178" t="s">
        <v>4444</v>
      </c>
      <c r="X854" s="170" t="s">
        <v>70</v>
      </c>
      <c r="Y854" s="1650">
        <v>45460</v>
      </c>
      <c r="Z854" s="1383"/>
      <c r="AA854" s="115" t="s">
        <v>6870</v>
      </c>
      <c r="AB854" s="8">
        <v>45478</v>
      </c>
      <c r="AC854" s="4">
        <v>424244.78</v>
      </c>
      <c r="AD854" s="4"/>
      <c r="AE854" s="32"/>
      <c r="AF854" s="34" t="s">
        <v>68</v>
      </c>
      <c r="AG854" s="112" t="s">
        <v>68</v>
      </c>
      <c r="AH854" s="112" t="s">
        <v>68</v>
      </c>
      <c r="AI854" s="7" t="s">
        <v>68</v>
      </c>
      <c r="AJ854" s="109" t="s">
        <v>68</v>
      </c>
      <c r="AK854" s="33" t="s">
        <v>6865</v>
      </c>
      <c r="AL854" s="2" t="s">
        <v>68</v>
      </c>
      <c r="AM854" s="5"/>
      <c r="AN854" s="2">
        <v>2939565</v>
      </c>
      <c r="AO854" s="238">
        <v>45470</v>
      </c>
      <c r="AP854" s="2">
        <v>2941757</v>
      </c>
      <c r="AQ854" s="5">
        <v>45478</v>
      </c>
      <c r="AR854" s="279">
        <f>42427.77*2</f>
        <v>84855.54</v>
      </c>
      <c r="AS854" s="35">
        <v>0</v>
      </c>
      <c r="AT854" s="895">
        <v>424277.78</v>
      </c>
      <c r="AU854" s="891"/>
      <c r="AV854" s="30">
        <v>45471</v>
      </c>
      <c r="AW854" s="11">
        <v>45476</v>
      </c>
      <c r="AX854" s="223"/>
      <c r="AY854" s="52"/>
      <c r="AZ854" s="70">
        <v>45478</v>
      </c>
      <c r="BA854" s="71">
        <v>45501</v>
      </c>
      <c r="BB854" s="71">
        <v>45476</v>
      </c>
      <c r="BC854" s="127">
        <v>45476</v>
      </c>
      <c r="BD854" s="70">
        <v>45478</v>
      </c>
      <c r="BE854" s="1616" t="s">
        <v>6234</v>
      </c>
      <c r="BF854" s="71">
        <v>45471</v>
      </c>
      <c r="BG854" s="71">
        <v>45476</v>
      </c>
      <c r="BH854" s="71">
        <v>45476</v>
      </c>
      <c r="BI854" s="129">
        <f t="shared" si="24"/>
        <v>424277.78</v>
      </c>
      <c r="BJ854" s="30">
        <v>45490</v>
      </c>
      <c r="BK854" s="1833">
        <v>45843</v>
      </c>
      <c r="BL854" s="336">
        <v>45470</v>
      </c>
      <c r="BM854" s="71">
        <v>45471</v>
      </c>
      <c r="BN854" s="71">
        <v>45471</v>
      </c>
      <c r="BO854" s="914"/>
      <c r="BP854" s="914">
        <v>45471</v>
      </c>
      <c r="BQ854" s="914">
        <v>45471</v>
      </c>
      <c r="BR854" s="914">
        <v>45471</v>
      </c>
      <c r="BS854" s="914">
        <v>45477</v>
      </c>
      <c r="BT854" s="693" t="s">
        <v>74</v>
      </c>
      <c r="BU854" s="1392"/>
      <c r="BV854" s="913"/>
      <c r="BW854" s="13"/>
      <c r="BX854" s="22"/>
      <c r="BY854" s="22"/>
      <c r="BZ854" s="22"/>
      <c r="CA854" s="22"/>
      <c r="CB854" s="1222" t="s">
        <v>3944</v>
      </c>
      <c r="CC854" s="859" t="s">
        <v>1143</v>
      </c>
      <c r="CD854" s="526"/>
      <c r="CE854" s="526"/>
      <c r="CF854" s="526"/>
      <c r="CG854" s="526"/>
      <c r="CH854" s="526"/>
      <c r="CI854" s="526"/>
      <c r="CJ854" s="526"/>
      <c r="CK854" s="15"/>
    </row>
    <row r="855" spans="2:89" ht="102.75" customHeight="1">
      <c r="B855" s="809"/>
      <c r="C855" s="22"/>
      <c r="D855" s="22"/>
      <c r="E855" s="911"/>
      <c r="F855" s="911"/>
      <c r="G855" s="915">
        <v>45629</v>
      </c>
      <c r="H855" s="1746" t="s">
        <v>6311</v>
      </c>
      <c r="I855" s="330"/>
      <c r="J855" s="169">
        <v>2024</v>
      </c>
      <c r="K855" s="1417">
        <v>245022</v>
      </c>
      <c r="L855" s="1417"/>
      <c r="M855" s="170" t="s">
        <v>5832</v>
      </c>
      <c r="N855" s="178" t="s">
        <v>6235</v>
      </c>
      <c r="O855" s="172" t="s">
        <v>79</v>
      </c>
      <c r="P855" s="173" t="s">
        <v>6546</v>
      </c>
      <c r="Q855" s="173" t="s">
        <v>2577</v>
      </c>
      <c r="R855" s="594">
        <v>238287.78</v>
      </c>
      <c r="S855" s="590">
        <v>45470</v>
      </c>
      <c r="T855" s="176">
        <v>45477</v>
      </c>
      <c r="U855" s="177">
        <v>45483</v>
      </c>
      <c r="V855" s="105">
        <v>45469</v>
      </c>
      <c r="W855" s="178" t="s">
        <v>4444</v>
      </c>
      <c r="X855" s="170" t="s">
        <v>70</v>
      </c>
      <c r="Y855" s="1650">
        <v>45460</v>
      </c>
      <c r="Z855" s="1383"/>
      <c r="AA855" s="115" t="s">
        <v>6870</v>
      </c>
      <c r="AB855" s="8">
        <v>45478</v>
      </c>
      <c r="AC855" s="4">
        <v>238287.75</v>
      </c>
      <c r="AD855" s="4"/>
      <c r="AE855" s="32"/>
      <c r="AF855" s="34" t="s">
        <v>68</v>
      </c>
      <c r="AG855" s="112" t="s">
        <v>68</v>
      </c>
      <c r="AH855" s="112" t="s">
        <v>68</v>
      </c>
      <c r="AI855" s="7" t="s">
        <v>68</v>
      </c>
      <c r="AJ855" s="109" t="s">
        <v>68</v>
      </c>
      <c r="AK855" s="33" t="s">
        <v>6865</v>
      </c>
      <c r="AL855" s="2" t="s">
        <v>68</v>
      </c>
      <c r="AM855" s="5"/>
      <c r="AN855" s="2">
        <v>2939576</v>
      </c>
      <c r="AO855" s="238">
        <v>45470</v>
      </c>
      <c r="AP855" s="2">
        <v>2941750</v>
      </c>
      <c r="AQ855" s="5">
        <v>45485</v>
      </c>
      <c r="AR855" s="279">
        <f>23828.77*2</f>
        <v>47657.54</v>
      </c>
      <c r="AS855" s="35">
        <v>0</v>
      </c>
      <c r="AT855" s="895">
        <v>238287.74</v>
      </c>
      <c r="AU855" s="891"/>
      <c r="AV855" s="30">
        <v>45477</v>
      </c>
      <c r="AW855" s="11">
        <v>45483</v>
      </c>
      <c r="AX855" s="223"/>
      <c r="AY855" s="52"/>
      <c r="AZ855" s="70">
        <v>45485</v>
      </c>
      <c r="BA855" s="71">
        <v>45477</v>
      </c>
      <c r="BB855" s="71">
        <v>45484</v>
      </c>
      <c r="BC855" s="127">
        <v>45484</v>
      </c>
      <c r="BD855" s="70">
        <v>45485</v>
      </c>
      <c r="BE855" s="1616" t="s">
        <v>6235</v>
      </c>
      <c r="BF855" s="71">
        <v>45477</v>
      </c>
      <c r="BG855" s="71">
        <v>45484</v>
      </c>
      <c r="BH855" s="71">
        <v>45484</v>
      </c>
      <c r="BI855" s="129">
        <f t="shared" si="24"/>
        <v>238287.74</v>
      </c>
      <c r="BJ855" s="70">
        <v>45490</v>
      </c>
      <c r="BK855" s="1833">
        <v>45850</v>
      </c>
      <c r="BL855" s="336">
        <v>45481</v>
      </c>
      <c r="BM855" s="71">
        <v>45477</v>
      </c>
      <c r="BN855" s="71">
        <v>45477</v>
      </c>
      <c r="BO855" s="914"/>
      <c r="BP855" s="914">
        <v>45477</v>
      </c>
      <c r="BQ855" s="914">
        <v>45477</v>
      </c>
      <c r="BR855" s="914">
        <v>45477</v>
      </c>
      <c r="BS855" s="914">
        <v>45484</v>
      </c>
      <c r="BT855" s="914">
        <v>45484</v>
      </c>
      <c r="BU855" s="1392"/>
      <c r="BV855" s="913"/>
      <c r="BW855" s="13"/>
      <c r="BX855" s="22"/>
      <c r="BY855" s="22"/>
      <c r="BZ855" s="22"/>
      <c r="CA855" s="22"/>
      <c r="CB855" s="1222" t="s">
        <v>3944</v>
      </c>
      <c r="CC855" s="859" t="s">
        <v>1143</v>
      </c>
      <c r="CD855" s="526"/>
      <c r="CE855" s="526"/>
      <c r="CF855" s="526"/>
      <c r="CG855" s="526"/>
      <c r="CH855" s="526"/>
      <c r="CI855" s="526"/>
      <c r="CJ855" s="526"/>
      <c r="CK855" s="15"/>
    </row>
    <row r="856" spans="2:89" ht="99.75" customHeight="1">
      <c r="B856" s="809"/>
      <c r="C856" s="22"/>
      <c r="D856" s="22"/>
      <c r="E856" s="911"/>
      <c r="F856" s="911"/>
      <c r="G856" s="915">
        <v>45629</v>
      </c>
      <c r="H856" s="1746" t="s">
        <v>6311</v>
      </c>
      <c r="I856" s="330"/>
      <c r="J856" s="169">
        <v>2024</v>
      </c>
      <c r="K856" s="1417">
        <v>245023</v>
      </c>
      <c r="L856" s="1417"/>
      <c r="M856" s="170" t="s">
        <v>5832</v>
      </c>
      <c r="N856" s="178" t="s">
        <v>6236</v>
      </c>
      <c r="O856" s="172" t="s">
        <v>79</v>
      </c>
      <c r="P856" s="173" t="s">
        <v>6547</v>
      </c>
      <c r="Q856" s="173" t="s">
        <v>2577</v>
      </c>
      <c r="R856" s="594">
        <v>974176.38</v>
      </c>
      <c r="S856" s="590">
        <v>45470</v>
      </c>
      <c r="T856" s="176">
        <v>45484</v>
      </c>
      <c r="U856" s="177">
        <v>45497</v>
      </c>
      <c r="V856" s="105">
        <v>45469</v>
      </c>
      <c r="W856" s="178" t="s">
        <v>4444</v>
      </c>
      <c r="X856" s="170" t="s">
        <v>70</v>
      </c>
      <c r="Y856" s="1650">
        <v>45460</v>
      </c>
      <c r="Z856" s="1383"/>
      <c r="AA856" s="115" t="s">
        <v>6870</v>
      </c>
      <c r="AB856" s="8">
        <v>45478</v>
      </c>
      <c r="AC856" s="4">
        <v>974176.38</v>
      </c>
      <c r="AD856" s="4"/>
      <c r="AE856" s="32"/>
      <c r="AF856" s="34" t="s">
        <v>68</v>
      </c>
      <c r="AG856" s="112" t="s">
        <v>68</v>
      </c>
      <c r="AH856" s="112" t="s">
        <v>68</v>
      </c>
      <c r="AI856" s="7" t="s">
        <v>68</v>
      </c>
      <c r="AJ856" s="109" t="s">
        <v>68</v>
      </c>
      <c r="AK856" s="33" t="s">
        <v>6865</v>
      </c>
      <c r="AL856" s="2" t="s">
        <v>68</v>
      </c>
      <c r="AM856" s="5"/>
      <c r="AN856" s="2">
        <v>2939547</v>
      </c>
      <c r="AO856" s="238">
        <v>45470</v>
      </c>
      <c r="AP856" s="2">
        <v>2953619</v>
      </c>
      <c r="AQ856" s="5">
        <v>45477</v>
      </c>
      <c r="AR856" s="279">
        <f>97417.63+127047.6</f>
        <v>224465.23</v>
      </c>
      <c r="AS856" s="35">
        <v>0</v>
      </c>
      <c r="AT856" s="895">
        <v>1270476.05</v>
      </c>
      <c r="AU856" s="891"/>
      <c r="AV856" s="30">
        <v>45484</v>
      </c>
      <c r="AW856" s="11">
        <v>45502</v>
      </c>
      <c r="AX856" s="223"/>
      <c r="AY856" s="52"/>
      <c r="AZ856" s="70">
        <v>45503</v>
      </c>
      <c r="BA856" s="71">
        <v>45484</v>
      </c>
      <c r="BB856" s="71">
        <v>45497</v>
      </c>
      <c r="BC856" s="127">
        <v>45502</v>
      </c>
      <c r="BD856" s="70">
        <v>45503</v>
      </c>
      <c r="BE856" s="1616" t="s">
        <v>6871</v>
      </c>
      <c r="BF856" s="71">
        <v>45484</v>
      </c>
      <c r="BG856" s="71">
        <v>45497</v>
      </c>
      <c r="BH856" s="71">
        <v>45502</v>
      </c>
      <c r="BI856" s="129">
        <f>AS856+AT856-0.01</f>
        <v>1270476.04</v>
      </c>
      <c r="BJ856" s="70">
        <v>45503</v>
      </c>
      <c r="BK856" s="1833">
        <v>45868</v>
      </c>
      <c r="BL856" s="336">
        <v>45481</v>
      </c>
      <c r="BM856" s="71">
        <v>45484</v>
      </c>
      <c r="BN856" s="71">
        <v>45484</v>
      </c>
      <c r="BO856" s="914"/>
      <c r="BP856" s="914">
        <v>45484</v>
      </c>
      <c r="BQ856" s="914">
        <v>45484</v>
      </c>
      <c r="BR856" s="914">
        <v>45484</v>
      </c>
      <c r="BS856" s="914">
        <v>45501</v>
      </c>
      <c r="BT856" s="693" t="s">
        <v>74</v>
      </c>
      <c r="BU856" s="1392"/>
      <c r="BV856" s="913"/>
      <c r="BW856" s="13"/>
      <c r="BX856" s="22"/>
      <c r="BY856" s="22"/>
      <c r="BZ856" s="22"/>
      <c r="CA856" s="22"/>
      <c r="CB856" s="1222" t="s">
        <v>3944</v>
      </c>
      <c r="CC856" s="859"/>
      <c r="CD856" s="526"/>
      <c r="CE856" s="526"/>
      <c r="CF856" s="526"/>
      <c r="CG856" s="526"/>
      <c r="CH856" s="526"/>
      <c r="CI856" s="526"/>
      <c r="CJ856" s="526"/>
      <c r="CK856" s="15"/>
    </row>
    <row r="857" spans="2:89" ht="83.25" customHeight="1">
      <c r="B857" s="809"/>
      <c r="C857" s="22"/>
      <c r="D857" s="22"/>
      <c r="E857" s="911"/>
      <c r="F857" s="911"/>
      <c r="G857" s="915">
        <v>45629</v>
      </c>
      <c r="H857" s="1746" t="s">
        <v>6311</v>
      </c>
      <c r="I857" s="330"/>
      <c r="J857" s="169">
        <v>2024</v>
      </c>
      <c r="K857" s="1417">
        <v>245024</v>
      </c>
      <c r="L857" s="1417"/>
      <c r="M857" s="170" t="s">
        <v>166</v>
      </c>
      <c r="N857" s="178" t="s">
        <v>6237</v>
      </c>
      <c r="O857" s="172" t="s">
        <v>79</v>
      </c>
      <c r="P857" s="173" t="s">
        <v>6317</v>
      </c>
      <c r="Q857" s="173" t="s">
        <v>4824</v>
      </c>
      <c r="R857" s="594">
        <v>375226.36</v>
      </c>
      <c r="S857" s="590">
        <v>45485</v>
      </c>
      <c r="T857" s="176">
        <v>45495</v>
      </c>
      <c r="U857" s="177">
        <v>45513</v>
      </c>
      <c r="V857" s="105">
        <v>45484</v>
      </c>
      <c r="W857" s="178" t="s">
        <v>3960</v>
      </c>
      <c r="X857" s="170" t="s">
        <v>1107</v>
      </c>
      <c r="Y857" s="1650">
        <v>45488</v>
      </c>
      <c r="Z857" s="368" t="s">
        <v>68</v>
      </c>
      <c r="AA857" s="337" t="s">
        <v>74</v>
      </c>
      <c r="AB857" s="8"/>
      <c r="AC857" s="4"/>
      <c r="AD857" s="4"/>
      <c r="AE857" s="32"/>
      <c r="AF857" s="34" t="s">
        <v>68</v>
      </c>
      <c r="AG857" s="112" t="s">
        <v>68</v>
      </c>
      <c r="AH857" s="112" t="s">
        <v>68</v>
      </c>
      <c r="AI857" s="7" t="s">
        <v>68</v>
      </c>
      <c r="AJ857" s="109" t="s">
        <v>68</v>
      </c>
      <c r="AK857" s="33" t="s">
        <v>6861</v>
      </c>
      <c r="AL857" s="2" t="s">
        <v>6872</v>
      </c>
      <c r="AM857" s="5">
        <v>45495</v>
      </c>
      <c r="AN857" s="2" t="s">
        <v>6873</v>
      </c>
      <c r="AO857" s="238">
        <v>45495</v>
      </c>
      <c r="AP857" s="2" t="s">
        <v>83</v>
      </c>
      <c r="AQ857" s="5"/>
      <c r="AR857" s="279">
        <f>112567.9+37522.63</f>
        <v>150090.53</v>
      </c>
      <c r="AS857" s="35">
        <v>0</v>
      </c>
      <c r="AT857" s="895">
        <v>370354.35</v>
      </c>
      <c r="AU857" s="891"/>
      <c r="AV857" s="230"/>
      <c r="AW857" s="11"/>
      <c r="AX857" s="223"/>
      <c r="AY857" s="52"/>
      <c r="AZ857" s="70">
        <v>45509</v>
      </c>
      <c r="BA857" s="71">
        <v>45495</v>
      </c>
      <c r="BB857" s="71">
        <v>45513</v>
      </c>
      <c r="BC857" s="127">
        <v>45505</v>
      </c>
      <c r="BD857" s="70">
        <v>45509</v>
      </c>
      <c r="BE857" s="1616" t="s">
        <v>6237</v>
      </c>
      <c r="BF857" s="71">
        <v>45495</v>
      </c>
      <c r="BG857" s="71">
        <v>45513</v>
      </c>
      <c r="BH857" s="71">
        <v>45505</v>
      </c>
      <c r="BI857" s="129">
        <f t="shared" si="24"/>
        <v>370354.35</v>
      </c>
      <c r="BJ857" s="70">
        <v>45510</v>
      </c>
      <c r="BK857" s="1833">
        <v>45874</v>
      </c>
      <c r="BL857" s="336">
        <v>45491</v>
      </c>
      <c r="BM857" s="71">
        <v>45488</v>
      </c>
      <c r="BN857" s="71">
        <v>45488</v>
      </c>
      <c r="BO857" s="914"/>
      <c r="BP857" s="914">
        <v>45488</v>
      </c>
      <c r="BQ857" s="914">
        <v>45488</v>
      </c>
      <c r="BR857" s="914">
        <v>45488</v>
      </c>
      <c r="BS857" s="914">
        <v>45506</v>
      </c>
      <c r="BT857" s="914">
        <v>45509</v>
      </c>
      <c r="BU857" s="1392"/>
      <c r="BV857" s="913"/>
      <c r="BW857" s="13"/>
      <c r="BX857" s="22"/>
      <c r="BY857" s="22"/>
      <c r="BZ857" s="22"/>
      <c r="CA857" s="22"/>
      <c r="CB857" s="1222" t="s">
        <v>3944</v>
      </c>
      <c r="CC857" s="859"/>
      <c r="CD857" s="526"/>
      <c r="CE857" s="526"/>
      <c r="CF857" s="526"/>
      <c r="CG857" s="526"/>
      <c r="CH857" s="526"/>
      <c r="CI857" s="526"/>
      <c r="CJ857" s="526"/>
      <c r="CK857" s="15"/>
    </row>
    <row r="858" spans="2:89" ht="76.5" customHeight="1">
      <c r="B858" s="809"/>
      <c r="C858" s="22"/>
      <c r="D858" s="22"/>
      <c r="E858" s="911"/>
      <c r="F858" s="911"/>
      <c r="G858" s="915">
        <v>45629</v>
      </c>
      <c r="H858" s="1746" t="s">
        <v>6311</v>
      </c>
      <c r="I858" s="330"/>
      <c r="J858" s="169">
        <v>2024</v>
      </c>
      <c r="K858" s="1417">
        <v>245025</v>
      </c>
      <c r="L858" s="1417"/>
      <c r="M858" s="170" t="s">
        <v>166</v>
      </c>
      <c r="N858" s="178" t="s">
        <v>6238</v>
      </c>
      <c r="O858" s="172" t="s">
        <v>79</v>
      </c>
      <c r="P858" s="173" t="s">
        <v>6318</v>
      </c>
      <c r="Q858" s="173" t="s">
        <v>4824</v>
      </c>
      <c r="R858" s="594">
        <v>932099.44</v>
      </c>
      <c r="S858" s="590">
        <v>45490</v>
      </c>
      <c r="T858" s="176">
        <v>45497</v>
      </c>
      <c r="U858" s="177">
        <v>45506</v>
      </c>
      <c r="V858" s="105">
        <v>45489</v>
      </c>
      <c r="W858" s="178" t="s">
        <v>4450</v>
      </c>
      <c r="X858" s="170" t="s">
        <v>1107</v>
      </c>
      <c r="Y858" s="1650">
        <v>45488</v>
      </c>
      <c r="Z858" s="368" t="s">
        <v>68</v>
      </c>
      <c r="AA858" s="337" t="s">
        <v>74</v>
      </c>
      <c r="AB858" s="8"/>
      <c r="AC858" s="4"/>
      <c r="AD858" s="4"/>
      <c r="AE858" s="32"/>
      <c r="AF858" s="34" t="s">
        <v>68</v>
      </c>
      <c r="AG858" s="112" t="s">
        <v>68</v>
      </c>
      <c r="AH858" s="112" t="s">
        <v>68</v>
      </c>
      <c r="AI858" s="7" t="s">
        <v>68</v>
      </c>
      <c r="AJ858" s="109" t="s">
        <v>68</v>
      </c>
      <c r="AK858" s="33" t="s">
        <v>4555</v>
      </c>
      <c r="AL858" s="2">
        <v>2290475</v>
      </c>
      <c r="AM858" s="5">
        <v>45497</v>
      </c>
      <c r="AN858" s="2">
        <v>2290478</v>
      </c>
      <c r="AO858" s="238">
        <v>45497</v>
      </c>
      <c r="AP858" s="2">
        <v>2296786</v>
      </c>
      <c r="AQ858" s="5">
        <v>45512</v>
      </c>
      <c r="AR858" s="279">
        <f>279829.83+93209.94+93209.94</f>
        <v>466249.71</v>
      </c>
      <c r="AS858" s="35">
        <v>0</v>
      </c>
      <c r="AT858" s="895">
        <v>932099.44</v>
      </c>
      <c r="AU858" s="891"/>
      <c r="AV858" s="230"/>
      <c r="AW858" s="11"/>
      <c r="AX858" s="223"/>
      <c r="AY858" s="52"/>
      <c r="AZ858" s="70">
        <v>45510</v>
      </c>
      <c r="BA858" s="71">
        <v>45497</v>
      </c>
      <c r="BB858" s="71">
        <v>45506</v>
      </c>
      <c r="BC858" s="127">
        <v>45506</v>
      </c>
      <c r="BD858" s="70">
        <v>45512</v>
      </c>
      <c r="BE858" s="1616" t="s">
        <v>6238</v>
      </c>
      <c r="BF858" s="71">
        <v>45497</v>
      </c>
      <c r="BG858" s="71">
        <v>45506</v>
      </c>
      <c r="BH858" s="71">
        <v>45506</v>
      </c>
      <c r="BI858" s="129">
        <f t="shared" si="24"/>
        <v>932099.44</v>
      </c>
      <c r="BJ858" s="70">
        <v>45526</v>
      </c>
      <c r="BK858" s="1833">
        <v>45877</v>
      </c>
      <c r="BL858" s="336">
        <v>45495</v>
      </c>
      <c r="BM858" s="71">
        <v>45497</v>
      </c>
      <c r="BN858" s="71">
        <v>45497</v>
      </c>
      <c r="BO858" s="914"/>
      <c r="BP858" s="914">
        <v>45497</v>
      </c>
      <c r="BQ858" s="914">
        <v>45497</v>
      </c>
      <c r="BR858" s="914">
        <v>45497</v>
      </c>
      <c r="BS858" s="914">
        <v>45506</v>
      </c>
      <c r="BT858" s="693" t="s">
        <v>74</v>
      </c>
      <c r="BU858" s="1392"/>
      <c r="BV858" s="913"/>
      <c r="BW858" s="13"/>
      <c r="BX858" s="22"/>
      <c r="BY858" s="22"/>
      <c r="BZ858" s="22"/>
      <c r="CA858" s="22"/>
      <c r="CB858" s="1222" t="s">
        <v>3944</v>
      </c>
      <c r="CC858" s="859"/>
      <c r="CD858" s="526"/>
      <c r="CE858" s="526"/>
      <c r="CF858" s="526"/>
      <c r="CG858" s="526"/>
      <c r="CH858" s="526"/>
      <c r="CI858" s="526"/>
      <c r="CJ858" s="526"/>
      <c r="CK858" s="15"/>
    </row>
    <row r="859" spans="2:89" ht="83.25" customHeight="1">
      <c r="B859" s="809"/>
      <c r="C859" s="22"/>
      <c r="D859" s="22"/>
      <c r="E859" s="911"/>
      <c r="F859" s="911"/>
      <c r="G859" s="915">
        <v>45629</v>
      </c>
      <c r="H859" s="1746" t="s">
        <v>6311</v>
      </c>
      <c r="I859" s="330"/>
      <c r="J859" s="169">
        <v>2024</v>
      </c>
      <c r="K859" s="1417">
        <v>245026</v>
      </c>
      <c r="L859" s="1417"/>
      <c r="M859" s="170" t="s">
        <v>166</v>
      </c>
      <c r="N859" s="178" t="s">
        <v>6312</v>
      </c>
      <c r="O859" s="172" t="s">
        <v>79</v>
      </c>
      <c r="P859" s="173" t="s">
        <v>6319</v>
      </c>
      <c r="Q859" s="173" t="s">
        <v>1975</v>
      </c>
      <c r="R859" s="594">
        <v>759205.81</v>
      </c>
      <c r="S859" s="590">
        <v>45497</v>
      </c>
      <c r="T859" s="176">
        <v>45502</v>
      </c>
      <c r="U859" s="177">
        <v>45535</v>
      </c>
      <c r="V859" s="105">
        <v>45496</v>
      </c>
      <c r="W859" s="178" t="s">
        <v>6336</v>
      </c>
      <c r="X859" s="170" t="s">
        <v>1107</v>
      </c>
      <c r="Y859" s="1650">
        <v>45446</v>
      </c>
      <c r="Z859" s="368" t="s">
        <v>68</v>
      </c>
      <c r="AA859" s="33" t="s">
        <v>6370</v>
      </c>
      <c r="AB859" s="8">
        <v>45495</v>
      </c>
      <c r="AC859" s="4">
        <v>759205.81</v>
      </c>
      <c r="AD859" s="4"/>
      <c r="AE859" s="32"/>
      <c r="AF859" s="34" t="s">
        <v>68</v>
      </c>
      <c r="AG859" s="112" t="s">
        <v>68</v>
      </c>
      <c r="AH859" s="112" t="s">
        <v>68</v>
      </c>
      <c r="AI859" s="7" t="s">
        <v>68</v>
      </c>
      <c r="AJ859" s="109" t="s">
        <v>68</v>
      </c>
      <c r="AK859" s="33" t="s">
        <v>6875</v>
      </c>
      <c r="AL859" s="2" t="s">
        <v>68</v>
      </c>
      <c r="AM859" s="5"/>
      <c r="AN859" s="2" t="s">
        <v>6876</v>
      </c>
      <c r="AO859" s="238">
        <v>45497</v>
      </c>
      <c r="AP859" s="2" t="s">
        <v>6877</v>
      </c>
      <c r="AQ859" s="5">
        <v>45555</v>
      </c>
      <c r="AR859" s="279">
        <f>75920.58+76329.21</f>
        <v>152249.79</v>
      </c>
      <c r="AS859" s="35">
        <v>0</v>
      </c>
      <c r="AT859" s="895">
        <v>763292.06</v>
      </c>
      <c r="AU859" s="891"/>
      <c r="AV859" s="230"/>
      <c r="AW859" s="11"/>
      <c r="AX859" s="223"/>
      <c r="AY859" s="52"/>
      <c r="AZ859" s="70">
        <v>45554</v>
      </c>
      <c r="BA859" s="71">
        <v>45523</v>
      </c>
      <c r="BB859" s="71">
        <v>45555</v>
      </c>
      <c r="BC859" s="127">
        <v>45553</v>
      </c>
      <c r="BD859" s="70">
        <v>45463</v>
      </c>
      <c r="BE859" s="1616" t="s">
        <v>6312</v>
      </c>
      <c r="BF859" s="71">
        <v>45523</v>
      </c>
      <c r="BG859" s="71">
        <v>45555</v>
      </c>
      <c r="BH859" s="71">
        <v>45553</v>
      </c>
      <c r="BI859" s="129">
        <f t="shared" si="24"/>
        <v>763292.06</v>
      </c>
      <c r="BJ859" s="70">
        <v>45555</v>
      </c>
      <c r="BK859" s="1833">
        <v>45920</v>
      </c>
      <c r="BL859" s="1100" t="s">
        <v>74</v>
      </c>
      <c r="BM859" s="234">
        <v>45553</v>
      </c>
      <c r="BN859" s="71">
        <v>45522</v>
      </c>
      <c r="BO859" s="914"/>
      <c r="BP859" s="914">
        <v>45522</v>
      </c>
      <c r="BQ859" s="914">
        <v>45522</v>
      </c>
      <c r="BR859" s="914">
        <v>45522</v>
      </c>
      <c r="BS859" s="914">
        <v>45553</v>
      </c>
      <c r="BT859" s="914">
        <v>45554</v>
      </c>
      <c r="BU859" s="914" t="s">
        <v>6867</v>
      </c>
      <c r="BV859" s="913"/>
      <c r="BW859" s="13"/>
      <c r="BX859" s="22"/>
      <c r="BY859" s="22"/>
      <c r="BZ859" s="22"/>
      <c r="CA859" s="22"/>
      <c r="CB859" s="1222" t="s">
        <v>3944</v>
      </c>
      <c r="CC859" s="859"/>
      <c r="CD859" s="526"/>
      <c r="CE859" s="526"/>
      <c r="CF859" s="526"/>
      <c r="CG859" s="526"/>
      <c r="CH859" s="526"/>
      <c r="CI859" s="526"/>
      <c r="CJ859" s="526"/>
      <c r="CK859" s="15"/>
    </row>
    <row r="860" spans="2:89" ht="74.25" customHeight="1">
      <c r="B860" s="809"/>
      <c r="C860" s="22"/>
      <c r="D860" s="22"/>
      <c r="E860" s="911"/>
      <c r="F860" s="911"/>
      <c r="G860" s="915"/>
      <c r="H860" s="1746" t="s">
        <v>6311</v>
      </c>
      <c r="I860" s="330"/>
      <c r="J860" s="169">
        <v>2024</v>
      </c>
      <c r="K860" s="1417">
        <v>245027</v>
      </c>
      <c r="L860" s="1417"/>
      <c r="M860" s="170" t="s">
        <v>5832</v>
      </c>
      <c r="N860" s="178" t="s">
        <v>6313</v>
      </c>
      <c r="O860" s="172" t="s">
        <v>79</v>
      </c>
      <c r="P860" s="173" t="s">
        <v>6556</v>
      </c>
      <c r="Q860" s="173" t="s">
        <v>2538</v>
      </c>
      <c r="R860" s="1172">
        <v>779373.61</v>
      </c>
      <c r="S860" s="175">
        <v>45507</v>
      </c>
      <c r="T860" s="176">
        <v>45510</v>
      </c>
      <c r="U860" s="177">
        <v>45527</v>
      </c>
      <c r="V860" s="105">
        <v>45506</v>
      </c>
      <c r="W860" s="178" t="s">
        <v>4450</v>
      </c>
      <c r="X860" s="920"/>
      <c r="Y860" s="1650">
        <v>45497</v>
      </c>
      <c r="Z860" s="1383"/>
      <c r="AA860" s="337" t="s">
        <v>74</v>
      </c>
      <c r="AB860" s="8"/>
      <c r="AC860" s="4"/>
      <c r="AD860" s="4"/>
      <c r="AE860" s="32"/>
      <c r="AF860" s="34" t="s">
        <v>68</v>
      </c>
      <c r="AG860" s="112" t="s">
        <v>68</v>
      </c>
      <c r="AH860" s="112" t="s">
        <v>68</v>
      </c>
      <c r="AI860" s="7" t="s">
        <v>68</v>
      </c>
      <c r="AJ860" s="109" t="s">
        <v>68</v>
      </c>
      <c r="AK860" s="255"/>
      <c r="AL860" s="510"/>
      <c r="AM860" s="5"/>
      <c r="AN860" s="510"/>
      <c r="AO860" s="238"/>
      <c r="AP860" s="510"/>
      <c r="AQ860" s="5"/>
      <c r="AR860" s="534"/>
      <c r="AS860" s="35">
        <v>0</v>
      </c>
      <c r="AT860" s="895">
        <v>779373.61</v>
      </c>
      <c r="AU860" s="891"/>
      <c r="AV860" s="230"/>
      <c r="AW860" s="11"/>
      <c r="AX860" s="223"/>
      <c r="AY860" s="52"/>
      <c r="AZ860" s="230"/>
      <c r="BA860" s="5"/>
      <c r="BB860" s="5"/>
      <c r="BC860" s="11"/>
      <c r="BD860" s="230"/>
      <c r="BE860" s="535"/>
      <c r="BF860" s="5"/>
      <c r="BG860" s="5"/>
      <c r="BH860" s="5"/>
      <c r="BI860" s="245">
        <f t="shared" si="24"/>
        <v>779373.61</v>
      </c>
      <c r="BJ860" s="230"/>
      <c r="BK860" s="1831"/>
      <c r="BL860" s="1389"/>
      <c r="BM860" s="1390"/>
      <c r="BN860" s="1390"/>
      <c r="BO860" s="1391"/>
      <c r="BP860" s="1391"/>
      <c r="BQ860" s="1391"/>
      <c r="BR860" s="1391"/>
      <c r="BS860" s="1391"/>
      <c r="BT860" s="1391"/>
      <c r="BU860" s="1392"/>
      <c r="BV860" s="913"/>
      <c r="BW860" s="1809" t="s">
        <v>6356</v>
      </c>
      <c r="BX860" s="22"/>
      <c r="BY860" s="22"/>
      <c r="BZ860" s="22"/>
      <c r="CA860" s="22"/>
      <c r="CB860" s="1222" t="s">
        <v>3944</v>
      </c>
      <c r="CC860" s="859"/>
      <c r="CD860" s="526"/>
      <c r="CE860" s="526"/>
      <c r="CF860" s="526"/>
      <c r="CG860" s="526"/>
      <c r="CH860" s="526"/>
      <c r="CI860" s="526"/>
      <c r="CJ860" s="526"/>
      <c r="CK860" s="15"/>
    </row>
    <row r="861" spans="2:89" ht="103.5" customHeight="1">
      <c r="B861" s="809"/>
      <c r="C861" s="22"/>
      <c r="D861" s="22"/>
      <c r="E861" s="911"/>
      <c r="F861" s="911"/>
      <c r="G861" s="915"/>
      <c r="H861" s="1746" t="s">
        <v>6311</v>
      </c>
      <c r="I861" s="330"/>
      <c r="J861" s="169">
        <v>2024</v>
      </c>
      <c r="K861" s="1417">
        <v>245028</v>
      </c>
      <c r="L861" s="1417"/>
      <c r="M861" s="170" t="s">
        <v>5832</v>
      </c>
      <c r="N861" s="178" t="s">
        <v>6314</v>
      </c>
      <c r="O861" s="172" t="s">
        <v>79</v>
      </c>
      <c r="P861" s="173" t="s">
        <v>6320</v>
      </c>
      <c r="Q861" s="173" t="s">
        <v>2577</v>
      </c>
      <c r="R861" s="594">
        <v>1025125.64</v>
      </c>
      <c r="S861" s="590"/>
      <c r="T861" s="176">
        <v>45516</v>
      </c>
      <c r="U861" s="177">
        <v>45526</v>
      </c>
      <c r="V861" s="105">
        <v>45511</v>
      </c>
      <c r="W861" s="178" t="s">
        <v>3960</v>
      </c>
      <c r="X861" s="170" t="s">
        <v>1107</v>
      </c>
      <c r="Y861" s="1650">
        <v>45505</v>
      </c>
      <c r="Z861" s="1383"/>
      <c r="AA861" s="337" t="s">
        <v>74</v>
      </c>
      <c r="AB861" s="8"/>
      <c r="AC861" s="4"/>
      <c r="AD861" s="4"/>
      <c r="AE861" s="32"/>
      <c r="AF861" s="34" t="s">
        <v>68</v>
      </c>
      <c r="AG861" s="112" t="s">
        <v>68</v>
      </c>
      <c r="AH861" s="112" t="s">
        <v>68</v>
      </c>
      <c r="AI861" s="7" t="s">
        <v>68</v>
      </c>
      <c r="AJ861" s="109" t="s">
        <v>68</v>
      </c>
      <c r="AK861" s="255"/>
      <c r="AL861" s="510"/>
      <c r="AM861" s="5"/>
      <c r="AN861" s="510"/>
      <c r="AO861" s="238"/>
      <c r="AP861" s="510"/>
      <c r="AQ861" s="5"/>
      <c r="AR861" s="534"/>
      <c r="AS861" s="35">
        <v>0</v>
      </c>
      <c r="AT861" s="895">
        <v>1064619</v>
      </c>
      <c r="AU861" s="891"/>
      <c r="AV861" s="230"/>
      <c r="AW861" s="11"/>
      <c r="AX861" s="223"/>
      <c r="AY861" s="52"/>
      <c r="AZ861" s="230"/>
      <c r="BA861" s="5"/>
      <c r="BB861" s="5"/>
      <c r="BC861" s="11"/>
      <c r="BD861" s="230"/>
      <c r="BE861" s="535"/>
      <c r="BF861" s="5"/>
      <c r="BG861" s="5"/>
      <c r="BH861" s="5"/>
      <c r="BI861" s="245">
        <f t="shared" si="24"/>
        <v>1064619</v>
      </c>
      <c r="BJ861" s="230"/>
      <c r="BK861" s="1831"/>
      <c r="BL861" s="1389"/>
      <c r="BM861" s="1390"/>
      <c r="BN861" s="1390"/>
      <c r="BO861" s="1391"/>
      <c r="BP861" s="1391"/>
      <c r="BQ861" s="1391"/>
      <c r="BR861" s="1391"/>
      <c r="BS861" s="1391"/>
      <c r="BT861" s="1391"/>
      <c r="BU861" s="1392"/>
      <c r="BV861" s="913"/>
      <c r="BW861" s="13"/>
      <c r="BX861" s="22"/>
      <c r="BY861" s="22"/>
      <c r="BZ861" s="22"/>
      <c r="CA861" s="22"/>
      <c r="CB861" s="1222" t="s">
        <v>3944</v>
      </c>
      <c r="CC861" s="859"/>
      <c r="CD861" s="526"/>
      <c r="CE861" s="526"/>
      <c r="CF861" s="526"/>
      <c r="CG861" s="526"/>
      <c r="CH861" s="526"/>
      <c r="CI861" s="526"/>
      <c r="CJ861" s="526"/>
      <c r="CK861" s="15"/>
    </row>
    <row r="862" spans="2:89" ht="106.5" customHeight="1">
      <c r="B862" s="809"/>
      <c r="C862" s="22"/>
      <c r="D862" s="22"/>
      <c r="E862" s="911"/>
      <c r="F862" s="911"/>
      <c r="G862" s="915"/>
      <c r="H862" s="1746" t="s">
        <v>6311</v>
      </c>
      <c r="I862" s="330"/>
      <c r="J862" s="169">
        <v>2024</v>
      </c>
      <c r="K862" s="1417">
        <v>245029</v>
      </c>
      <c r="L862" s="1417"/>
      <c r="M862" s="170" t="s">
        <v>166</v>
      </c>
      <c r="N862" s="178" t="s">
        <v>6315</v>
      </c>
      <c r="O862" s="172" t="s">
        <v>79</v>
      </c>
      <c r="P862" s="173" t="s">
        <v>6332</v>
      </c>
      <c r="Q862" s="173" t="s">
        <v>1975</v>
      </c>
      <c r="R862" s="1172">
        <v>347680.34</v>
      </c>
      <c r="S862" s="175">
        <v>45531</v>
      </c>
      <c r="T862" s="176">
        <v>45535</v>
      </c>
      <c r="U862" s="177">
        <v>45551</v>
      </c>
      <c r="V862" s="105">
        <v>45530</v>
      </c>
      <c r="W862" s="178" t="s">
        <v>6333</v>
      </c>
      <c r="X862" s="920"/>
      <c r="Y862" s="1650">
        <v>45523</v>
      </c>
      <c r="Z862" s="368" t="s">
        <v>68</v>
      </c>
      <c r="AA862" s="33" t="s">
        <v>6371</v>
      </c>
      <c r="AB862" s="8">
        <v>45513</v>
      </c>
      <c r="AC862" s="4">
        <v>347680.34</v>
      </c>
      <c r="AD862" s="4"/>
      <c r="AE862" s="32"/>
      <c r="AF862" s="34" t="s">
        <v>68</v>
      </c>
      <c r="AG862" s="112" t="s">
        <v>68</v>
      </c>
      <c r="AH862" s="112" t="s">
        <v>68</v>
      </c>
      <c r="AI862" s="7" t="s">
        <v>68</v>
      </c>
      <c r="AJ862" s="109" t="s">
        <v>68</v>
      </c>
      <c r="AK862" s="255"/>
      <c r="AL862" s="510"/>
      <c r="AM862" s="5"/>
      <c r="AN862" s="510"/>
      <c r="AO862" s="238"/>
      <c r="AP862" s="510"/>
      <c r="AQ862" s="5"/>
      <c r="AR862" s="534"/>
      <c r="AS862" s="35">
        <v>0</v>
      </c>
      <c r="AT862" s="895">
        <v>347680.34</v>
      </c>
      <c r="AU862" s="891"/>
      <c r="AV862" s="230"/>
      <c r="AW862" s="11"/>
      <c r="AX862" s="223"/>
      <c r="AY862" s="52"/>
      <c r="AZ862" s="230"/>
      <c r="BA862" s="5"/>
      <c r="BB862" s="5"/>
      <c r="BC862" s="11"/>
      <c r="BD862" s="230"/>
      <c r="BE862" s="535"/>
      <c r="BF862" s="5"/>
      <c r="BG862" s="5"/>
      <c r="BH862" s="5"/>
      <c r="BI862" s="245">
        <f t="shared" si="24"/>
        <v>347680.34</v>
      </c>
      <c r="BJ862" s="230"/>
      <c r="BK862" s="1831"/>
      <c r="BL862" s="1389"/>
      <c r="BM862" s="1390"/>
      <c r="BN862" s="1390"/>
      <c r="BO862" s="1391"/>
      <c r="BP862" s="1391"/>
      <c r="BQ862" s="1391"/>
      <c r="BR862" s="1391"/>
      <c r="BS862" s="1391"/>
      <c r="BT862" s="1391"/>
      <c r="BU862" s="1392"/>
      <c r="BV862" s="913"/>
      <c r="BW862" s="1809" t="s">
        <v>6356</v>
      </c>
      <c r="BX862" s="22"/>
      <c r="BY862" s="22"/>
      <c r="BZ862" s="22"/>
      <c r="CA862" s="22"/>
      <c r="CB862" s="1222" t="s">
        <v>3944</v>
      </c>
      <c r="CC862" s="859"/>
      <c r="CD862" s="526"/>
      <c r="CE862" s="526"/>
      <c r="CF862" s="526"/>
      <c r="CG862" s="526"/>
      <c r="CH862" s="526"/>
      <c r="CI862" s="526"/>
      <c r="CJ862" s="526"/>
      <c r="CK862" s="15"/>
    </row>
    <row r="863" spans="2:89" ht="83.25" customHeight="1">
      <c r="B863" s="809"/>
      <c r="C863" s="22"/>
      <c r="D863" s="22"/>
      <c r="E863" s="911"/>
      <c r="F863" s="911"/>
      <c r="G863" s="915"/>
      <c r="H863" s="1746" t="s">
        <v>6311</v>
      </c>
      <c r="I863" s="330"/>
      <c r="J863" s="169">
        <v>2024</v>
      </c>
      <c r="K863" s="1417">
        <v>245030</v>
      </c>
      <c r="L863" s="1417"/>
      <c r="M863" s="170" t="s">
        <v>166</v>
      </c>
      <c r="N863" s="178" t="s">
        <v>6316</v>
      </c>
      <c r="O863" s="172" t="s">
        <v>79</v>
      </c>
      <c r="P863" s="173" t="s">
        <v>6341</v>
      </c>
      <c r="Q863" s="173" t="s">
        <v>4409</v>
      </c>
      <c r="R863" s="1172">
        <v>215269.78</v>
      </c>
      <c r="S863" s="175">
        <v>45532</v>
      </c>
      <c r="T863" s="176">
        <v>45534</v>
      </c>
      <c r="U863" s="177">
        <v>45548</v>
      </c>
      <c r="V863" s="105">
        <v>45531</v>
      </c>
      <c r="W863" s="178" t="s">
        <v>1319</v>
      </c>
      <c r="X863" s="920"/>
      <c r="Y863" s="1650">
        <v>45524</v>
      </c>
      <c r="Z863" s="368" t="s">
        <v>68</v>
      </c>
      <c r="AA863" s="33" t="s">
        <v>6372</v>
      </c>
      <c r="AB863" s="8">
        <v>45495</v>
      </c>
      <c r="AC863" s="4">
        <v>132460.4</v>
      </c>
      <c r="AD863" s="4"/>
      <c r="AE863" s="32"/>
      <c r="AF863" s="34" t="s">
        <v>68</v>
      </c>
      <c r="AG863" s="112" t="s">
        <v>68</v>
      </c>
      <c r="AH863" s="112" t="s">
        <v>68</v>
      </c>
      <c r="AI863" s="7" t="s">
        <v>68</v>
      </c>
      <c r="AJ863" s="109" t="s">
        <v>68</v>
      </c>
      <c r="AK863" s="255"/>
      <c r="AL863" s="510"/>
      <c r="AM863" s="5"/>
      <c r="AN863" s="510"/>
      <c r="AO863" s="238"/>
      <c r="AP863" s="510"/>
      <c r="AQ863" s="5"/>
      <c r="AR863" s="534"/>
      <c r="AS863" s="35">
        <v>0</v>
      </c>
      <c r="AT863" s="895">
        <v>215269.78</v>
      </c>
      <c r="AU863" s="891"/>
      <c r="AV863" s="230"/>
      <c r="AW863" s="11"/>
      <c r="AX863" s="223"/>
      <c r="AY863" s="52"/>
      <c r="AZ863" s="230"/>
      <c r="BA863" s="5"/>
      <c r="BB863" s="5"/>
      <c r="BC863" s="11"/>
      <c r="BD863" s="230"/>
      <c r="BE863" s="535"/>
      <c r="BF863" s="5"/>
      <c r="BG863" s="5"/>
      <c r="BH863" s="5"/>
      <c r="BI863" s="245">
        <f t="shared" si="24"/>
        <v>215269.78</v>
      </c>
      <c r="BJ863" s="230"/>
      <c r="BK863" s="1831"/>
      <c r="BL863" s="1389"/>
      <c r="BM863" s="1390"/>
      <c r="BN863" s="1390"/>
      <c r="BO863" s="1391"/>
      <c r="BP863" s="1391"/>
      <c r="BQ863" s="1391"/>
      <c r="BR863" s="1391"/>
      <c r="BS863" s="1391"/>
      <c r="BT863" s="1391"/>
      <c r="BU863" s="1392"/>
      <c r="BV863" s="913"/>
      <c r="BW863" s="1809" t="s">
        <v>6356</v>
      </c>
      <c r="BX863" s="22"/>
      <c r="BY863" s="22"/>
      <c r="BZ863" s="22"/>
      <c r="CA863" s="22"/>
      <c r="CB863" s="1222" t="s">
        <v>3944</v>
      </c>
      <c r="CC863" s="859"/>
      <c r="CD863" s="526"/>
      <c r="CE863" s="526"/>
      <c r="CF863" s="526"/>
      <c r="CG863" s="526"/>
      <c r="CH863" s="526"/>
      <c r="CI863" s="526"/>
      <c r="CJ863" s="526"/>
      <c r="CK863" s="15"/>
    </row>
    <row r="864" spans="2:89" ht="69" customHeight="1">
      <c r="B864" s="809"/>
      <c r="C864" s="22"/>
      <c r="D864" s="22"/>
      <c r="E864" s="911"/>
      <c r="F864" s="911"/>
      <c r="G864" s="915"/>
      <c r="H864" s="1746" t="s">
        <v>6311</v>
      </c>
      <c r="I864" s="330"/>
      <c r="J864" s="169">
        <v>2024</v>
      </c>
      <c r="K864" s="1417">
        <v>245031</v>
      </c>
      <c r="L864" s="1417"/>
      <c r="M864" s="170" t="s">
        <v>166</v>
      </c>
      <c r="N864" s="178" t="s">
        <v>6325</v>
      </c>
      <c r="O864" s="172" t="s">
        <v>79</v>
      </c>
      <c r="P864" s="173" t="s">
        <v>6342</v>
      </c>
      <c r="Q864" s="173" t="s">
        <v>2538</v>
      </c>
      <c r="R864" s="594">
        <v>672254.43</v>
      </c>
      <c r="S864" s="590">
        <v>45532</v>
      </c>
      <c r="T864" s="176">
        <v>45533</v>
      </c>
      <c r="U864" s="177">
        <v>45562</v>
      </c>
      <c r="V864" s="105">
        <v>45531</v>
      </c>
      <c r="W864" s="178" t="s">
        <v>4450</v>
      </c>
      <c r="X864" s="170" t="s">
        <v>1107</v>
      </c>
      <c r="Y864" s="1650">
        <v>45524</v>
      </c>
      <c r="Z864" s="368" t="s">
        <v>68</v>
      </c>
      <c r="AA864" s="337" t="s">
        <v>74</v>
      </c>
      <c r="AB864" s="8"/>
      <c r="AC864" s="4"/>
      <c r="AD864" s="4"/>
      <c r="AE864" s="32"/>
      <c r="AF864" s="34" t="s">
        <v>68</v>
      </c>
      <c r="AG864" s="112" t="s">
        <v>68</v>
      </c>
      <c r="AH864" s="112" t="s">
        <v>68</v>
      </c>
      <c r="AI864" s="7" t="s">
        <v>68</v>
      </c>
      <c r="AJ864" s="109" t="s">
        <v>68</v>
      </c>
      <c r="AK864" s="255"/>
      <c r="AL864" s="510"/>
      <c r="AM864" s="5"/>
      <c r="AN864" s="510"/>
      <c r="AO864" s="238"/>
      <c r="AP864" s="510"/>
      <c r="AQ864" s="5"/>
      <c r="AR864" s="534"/>
      <c r="AS864" s="35">
        <v>0</v>
      </c>
      <c r="AT864" s="895">
        <v>672254.42</v>
      </c>
      <c r="AU864" s="891"/>
      <c r="AV864" s="230"/>
      <c r="AW864" s="11"/>
      <c r="AX864" s="223"/>
      <c r="AY864" s="52"/>
      <c r="AZ864" s="230"/>
      <c r="BA864" s="5"/>
      <c r="BB864" s="5"/>
      <c r="BC864" s="11"/>
      <c r="BD864" s="230"/>
      <c r="BE864" s="535"/>
      <c r="BF864" s="5"/>
      <c r="BG864" s="5"/>
      <c r="BH864" s="5"/>
      <c r="BI864" s="245">
        <f t="shared" si="24"/>
        <v>672254.42</v>
      </c>
      <c r="BJ864" s="230"/>
      <c r="BK864" s="1831"/>
      <c r="BL864" s="1389"/>
      <c r="BM864" s="1390"/>
      <c r="BN864" s="1390"/>
      <c r="BO864" s="1391"/>
      <c r="BP864" s="1391"/>
      <c r="BQ864" s="1391"/>
      <c r="BR864" s="1391"/>
      <c r="BS864" s="1391"/>
      <c r="BT864" s="1391"/>
      <c r="BU864" s="1392"/>
      <c r="BV864" s="913"/>
      <c r="BW864" s="13"/>
      <c r="BX864" s="22"/>
      <c r="BY864" s="22"/>
      <c r="BZ864" s="22"/>
      <c r="CA864" s="22"/>
      <c r="CB864" s="1222" t="s">
        <v>3944</v>
      </c>
      <c r="CC864" s="859"/>
      <c r="CD864" s="526"/>
      <c r="CE864" s="526"/>
      <c r="CF864" s="526"/>
      <c r="CG864" s="526"/>
      <c r="CH864" s="526"/>
      <c r="CI864" s="526"/>
      <c r="CJ864" s="526"/>
      <c r="CK864" s="15"/>
    </row>
    <row r="865" spans="1:89" ht="45" customHeight="1">
      <c r="B865" s="22"/>
      <c r="C865" s="22"/>
      <c r="D865" s="22"/>
      <c r="E865" s="911"/>
      <c r="F865" s="911"/>
      <c r="G865" s="915"/>
      <c r="H865" s="1746" t="s">
        <v>6874</v>
      </c>
      <c r="I865" s="330"/>
      <c r="J865" s="169">
        <v>2024</v>
      </c>
      <c r="K865" s="1417">
        <v>245032</v>
      </c>
      <c r="L865" s="1417"/>
      <c r="M865" s="170"/>
      <c r="N865" s="178" t="s">
        <v>6326</v>
      </c>
      <c r="O865" s="172" t="s">
        <v>251</v>
      </c>
      <c r="P865" s="1191"/>
      <c r="Q865" s="173"/>
      <c r="R865" s="1669"/>
      <c r="S865" s="175"/>
      <c r="T865" s="176"/>
      <c r="U865" s="177"/>
      <c r="V865" s="105"/>
      <c r="W865" s="178" t="s">
        <v>68</v>
      </c>
      <c r="X865" s="920"/>
      <c r="Y865" s="1680"/>
      <c r="Z865" s="1383"/>
      <c r="AA865" s="255"/>
      <c r="AB865" s="8"/>
      <c r="AC865" s="4"/>
      <c r="AD865" s="4"/>
      <c r="AE865" s="32"/>
      <c r="AF865" s="1393"/>
      <c r="AG865" s="616"/>
      <c r="AH865" s="616"/>
      <c r="AI865" s="1394"/>
      <c r="AJ865" s="1361"/>
      <c r="AK865" s="255"/>
      <c r="AL865" s="219"/>
      <c r="AM865" s="5"/>
      <c r="AN865" s="219"/>
      <c r="AO865" s="5"/>
      <c r="AP865" s="219"/>
      <c r="AQ865" s="5"/>
      <c r="AR865" s="534"/>
      <c r="AS865" s="35"/>
      <c r="AT865" s="902"/>
      <c r="AU865" s="891"/>
      <c r="AV865" s="230"/>
      <c r="AW865" s="11"/>
      <c r="AX865" s="223"/>
      <c r="AY865" s="52"/>
      <c r="AZ865" s="230"/>
      <c r="BA865" s="5"/>
      <c r="BB865" s="5"/>
      <c r="BC865" s="11"/>
      <c r="BD865" s="230"/>
      <c r="BE865" s="508"/>
      <c r="BF865" s="5"/>
      <c r="BG865" s="5"/>
      <c r="BH865" s="5"/>
      <c r="BI865" s="64"/>
      <c r="BJ865" s="202"/>
      <c r="BK865" s="1108"/>
      <c r="BL865" s="1389"/>
      <c r="BM865" s="1390"/>
      <c r="BN865" s="1390"/>
      <c r="BO865" s="1391"/>
      <c r="BP865" s="1391"/>
      <c r="BQ865" s="1391"/>
      <c r="BR865" s="1391"/>
      <c r="BS865" s="1391"/>
      <c r="BT865" s="1391"/>
      <c r="BU865" s="1392"/>
      <c r="BV865" s="913"/>
      <c r="BW865" s="13"/>
      <c r="BX865" s="22"/>
      <c r="BY865" s="22"/>
      <c r="BZ865" s="22"/>
      <c r="CA865" s="22"/>
      <c r="CB865" s="1222" t="s">
        <v>3944</v>
      </c>
      <c r="CC865" s="859"/>
      <c r="CD865" s="526"/>
      <c r="CE865" s="526"/>
      <c r="CF865" s="526"/>
      <c r="CG865" s="526"/>
      <c r="CH865" s="526"/>
      <c r="CI865" s="526"/>
      <c r="CJ865" s="526"/>
      <c r="CK865" s="15"/>
    </row>
    <row r="866" spans="1:89" ht="61.5" customHeight="1">
      <c r="B866" s="809"/>
      <c r="C866" s="22"/>
      <c r="D866" s="22"/>
      <c r="E866" s="911"/>
      <c r="F866" s="911"/>
      <c r="G866" s="915"/>
      <c r="H866" s="1746" t="s">
        <v>6311</v>
      </c>
      <c r="I866" s="330"/>
      <c r="J866" s="169">
        <v>2024</v>
      </c>
      <c r="K866" s="1417">
        <v>245033</v>
      </c>
      <c r="L866" s="1417"/>
      <c r="M866" s="170" t="s">
        <v>166</v>
      </c>
      <c r="N866" s="178" t="s">
        <v>6327</v>
      </c>
      <c r="O866" s="172" t="s">
        <v>79</v>
      </c>
      <c r="P866" s="173" t="s">
        <v>6343</v>
      </c>
      <c r="Q866" s="173" t="s">
        <v>4410</v>
      </c>
      <c r="R866" s="594">
        <v>299463.51</v>
      </c>
      <c r="S866" s="590">
        <v>45532</v>
      </c>
      <c r="T866" s="176">
        <v>45536</v>
      </c>
      <c r="U866" s="177">
        <v>45540</v>
      </c>
      <c r="V866" s="105">
        <v>45531</v>
      </c>
      <c r="W866" s="178" t="s">
        <v>4444</v>
      </c>
      <c r="X866" s="170" t="s">
        <v>6339</v>
      </c>
      <c r="Y866" s="1650">
        <v>45531</v>
      </c>
      <c r="Z866" s="368" t="s">
        <v>68</v>
      </c>
      <c r="AA866" s="337" t="s">
        <v>74</v>
      </c>
      <c r="AB866" s="8"/>
      <c r="AC866" s="4"/>
      <c r="AD866" s="4"/>
      <c r="AE866" s="32"/>
      <c r="AF866" s="34" t="s">
        <v>68</v>
      </c>
      <c r="AG866" s="112" t="s">
        <v>68</v>
      </c>
      <c r="AH866" s="112" t="s">
        <v>68</v>
      </c>
      <c r="AI866" s="7" t="s">
        <v>68</v>
      </c>
      <c r="AJ866" s="109" t="s">
        <v>68</v>
      </c>
      <c r="AK866" s="255"/>
      <c r="AL866" s="510"/>
      <c r="AM866" s="5"/>
      <c r="AN866" s="510"/>
      <c r="AO866" s="238"/>
      <c r="AP866" s="510"/>
      <c r="AQ866" s="5"/>
      <c r="AR866" s="534"/>
      <c r="AS866" s="35">
        <v>0</v>
      </c>
      <c r="AT866" s="902"/>
      <c r="AU866" s="891"/>
      <c r="AV866" s="230"/>
      <c r="AW866" s="11"/>
      <c r="AX866" s="223"/>
      <c r="AY866" s="52"/>
      <c r="AZ866" s="230"/>
      <c r="BA866" s="5"/>
      <c r="BB866" s="5"/>
      <c r="BC866" s="11"/>
      <c r="BD866" s="230"/>
      <c r="BE866" s="535"/>
      <c r="BF866" s="5"/>
      <c r="BG866" s="5"/>
      <c r="BH866" s="5"/>
      <c r="BI866" s="245">
        <f t="shared" ref="BI866:BI869" si="25">AS866+AT866</f>
        <v>0</v>
      </c>
      <c r="BJ866" s="230"/>
      <c r="BK866" s="1831"/>
      <c r="BL866" s="1389"/>
      <c r="BM866" s="1390"/>
      <c r="BN866" s="1390"/>
      <c r="BO866" s="1391"/>
      <c r="BP866" s="1391"/>
      <c r="BQ866" s="1391"/>
      <c r="BR866" s="1391"/>
      <c r="BS866" s="1391"/>
      <c r="BT866" s="1391"/>
      <c r="BU866" s="1392"/>
      <c r="BV866" s="913"/>
      <c r="BW866" s="13"/>
      <c r="BX866" s="22"/>
      <c r="BY866" s="22"/>
      <c r="BZ866" s="22"/>
      <c r="CA866" s="22"/>
      <c r="CB866" s="1222" t="s">
        <v>3944</v>
      </c>
      <c r="CC866" s="859"/>
      <c r="CD866" s="526"/>
      <c r="CE866" s="526"/>
      <c r="CF866" s="526"/>
      <c r="CG866" s="526"/>
      <c r="CH866" s="526"/>
      <c r="CI866" s="526"/>
      <c r="CJ866" s="526"/>
      <c r="CK866" s="15"/>
    </row>
    <row r="867" spans="1:89" ht="78.75" customHeight="1">
      <c r="B867" s="809"/>
      <c r="C867" s="22"/>
      <c r="D867" s="22"/>
      <c r="E867" s="911"/>
      <c r="F867" s="911"/>
      <c r="G867" s="915"/>
      <c r="H867" s="1746" t="s">
        <v>6311</v>
      </c>
      <c r="I867" s="330"/>
      <c r="J867" s="169">
        <v>2024</v>
      </c>
      <c r="K867" s="1417">
        <v>245034</v>
      </c>
      <c r="L867" s="1417"/>
      <c r="M867" s="170" t="s">
        <v>166</v>
      </c>
      <c r="N867" s="178" t="s">
        <v>6328</v>
      </c>
      <c r="O867" s="172" t="s">
        <v>79</v>
      </c>
      <c r="P867" s="173" t="s">
        <v>6340</v>
      </c>
      <c r="Q867" s="173" t="s">
        <v>1975</v>
      </c>
      <c r="R867" s="1172">
        <v>109760.7</v>
      </c>
      <c r="S867" s="175">
        <v>45531</v>
      </c>
      <c r="T867" s="176">
        <v>45537</v>
      </c>
      <c r="U867" s="177">
        <v>45555</v>
      </c>
      <c r="V867" s="105">
        <v>45531</v>
      </c>
      <c r="W867" s="178" t="s">
        <v>4362</v>
      </c>
      <c r="X867" s="170" t="s">
        <v>213</v>
      </c>
      <c r="Y867" s="1650">
        <v>45523</v>
      </c>
      <c r="Z867" s="368" t="s">
        <v>68</v>
      </c>
      <c r="AA867" s="337" t="s">
        <v>74</v>
      </c>
      <c r="AB867" s="8"/>
      <c r="AC867" s="4"/>
      <c r="AD867" s="4"/>
      <c r="AE867" s="32"/>
      <c r="AF867" s="34" t="s">
        <v>68</v>
      </c>
      <c r="AG867" s="112" t="s">
        <v>68</v>
      </c>
      <c r="AH867" s="112" t="s">
        <v>68</v>
      </c>
      <c r="AI867" s="7" t="s">
        <v>68</v>
      </c>
      <c r="AJ867" s="109" t="s">
        <v>68</v>
      </c>
      <c r="AK867" s="255"/>
      <c r="AL867" s="510"/>
      <c r="AM867" s="5"/>
      <c r="AN867" s="510"/>
      <c r="AO867" s="238"/>
      <c r="AP867" s="510"/>
      <c r="AQ867" s="5"/>
      <c r="AR867" s="534"/>
      <c r="AS867" s="35">
        <v>0</v>
      </c>
      <c r="AT867" s="895">
        <v>299463.51</v>
      </c>
      <c r="AU867" s="891"/>
      <c r="AV867" s="230"/>
      <c r="AW867" s="11"/>
      <c r="AX867" s="223"/>
      <c r="AY867" s="52"/>
      <c r="AZ867" s="230"/>
      <c r="BA867" s="5"/>
      <c r="BB867" s="5"/>
      <c r="BC867" s="11"/>
      <c r="BD867" s="230"/>
      <c r="BE867" s="535"/>
      <c r="BF867" s="5"/>
      <c r="BG867" s="5"/>
      <c r="BH867" s="5"/>
      <c r="BI867" s="245">
        <f t="shared" si="25"/>
        <v>299463.51</v>
      </c>
      <c r="BJ867" s="230"/>
      <c r="BK867" s="1831"/>
      <c r="BL867" s="1389"/>
      <c r="BM867" s="1390"/>
      <c r="BN867" s="1390"/>
      <c r="BO867" s="1391"/>
      <c r="BP867" s="1391"/>
      <c r="BQ867" s="1391"/>
      <c r="BR867" s="1391"/>
      <c r="BS867" s="1391"/>
      <c r="BT867" s="1391"/>
      <c r="BU867" s="1392"/>
      <c r="BV867" s="913"/>
      <c r="BW867" s="1809" t="s">
        <v>6356</v>
      </c>
      <c r="BX867" s="22"/>
      <c r="BY867" s="22"/>
      <c r="BZ867" s="22"/>
      <c r="CA867" s="22"/>
      <c r="CB867" s="1222" t="s">
        <v>3944</v>
      </c>
      <c r="CC867" s="859"/>
      <c r="CD867" s="526"/>
      <c r="CE867" s="526"/>
      <c r="CF867" s="526"/>
      <c r="CG867" s="526"/>
      <c r="CH867" s="526"/>
      <c r="CI867" s="526"/>
      <c r="CJ867" s="526"/>
      <c r="CK867" s="15"/>
    </row>
    <row r="868" spans="1:89" ht="87" customHeight="1">
      <c r="B868" s="809"/>
      <c r="C868" s="22"/>
      <c r="D868" s="22"/>
      <c r="E868" s="911"/>
      <c r="F868" s="911"/>
      <c r="G868" s="915"/>
      <c r="H868" s="1746" t="s">
        <v>6311</v>
      </c>
      <c r="I868" s="330"/>
      <c r="J868" s="169">
        <v>2024</v>
      </c>
      <c r="K868" s="1417">
        <v>245035</v>
      </c>
      <c r="L868" s="1417"/>
      <c r="M868" s="170" t="s">
        <v>166</v>
      </c>
      <c r="N868" s="178" t="s">
        <v>6329</v>
      </c>
      <c r="O868" s="172" t="s">
        <v>79</v>
      </c>
      <c r="P868" s="173" t="s">
        <v>6344</v>
      </c>
      <c r="Q868" s="173" t="s">
        <v>1975</v>
      </c>
      <c r="R868" s="1172">
        <v>1641205.93</v>
      </c>
      <c r="S868" s="175">
        <v>45537</v>
      </c>
      <c r="T868" s="176">
        <v>45545</v>
      </c>
      <c r="U868" s="177">
        <v>45550</v>
      </c>
      <c r="V868" s="105">
        <v>45534</v>
      </c>
      <c r="W868" s="178" t="s">
        <v>3469</v>
      </c>
      <c r="X868" s="170" t="s">
        <v>6437</v>
      </c>
      <c r="Y868" s="1650">
        <v>45531</v>
      </c>
      <c r="Z868" s="368" t="s">
        <v>68</v>
      </c>
      <c r="AA868" s="337" t="s">
        <v>74</v>
      </c>
      <c r="AB868" s="8"/>
      <c r="AC868" s="4"/>
      <c r="AD868" s="4"/>
      <c r="AE868" s="32"/>
      <c r="AF868" s="34" t="s">
        <v>68</v>
      </c>
      <c r="AG868" s="112" t="s">
        <v>68</v>
      </c>
      <c r="AH868" s="112" t="s">
        <v>68</v>
      </c>
      <c r="AI868" s="7" t="s">
        <v>68</v>
      </c>
      <c r="AJ868" s="109" t="s">
        <v>68</v>
      </c>
      <c r="AK868" s="255"/>
      <c r="AL868" s="510"/>
      <c r="AM868" s="5"/>
      <c r="AN868" s="510"/>
      <c r="AO868" s="238"/>
      <c r="AP868" s="510"/>
      <c r="AQ868" s="5"/>
      <c r="AR868" s="534"/>
      <c r="AS868" s="35">
        <v>0</v>
      </c>
      <c r="AT868" s="902"/>
      <c r="AU868" s="891"/>
      <c r="AV868" s="230"/>
      <c r="AW868" s="11"/>
      <c r="AX868" s="223"/>
      <c r="AY868" s="52"/>
      <c r="AZ868" s="230"/>
      <c r="BA868" s="5"/>
      <c r="BB868" s="5"/>
      <c r="BC868" s="11"/>
      <c r="BD868" s="230"/>
      <c r="BE868" s="535"/>
      <c r="BF868" s="5"/>
      <c r="BG868" s="5"/>
      <c r="BH868" s="5"/>
      <c r="BI868" s="245">
        <f t="shared" si="25"/>
        <v>0</v>
      </c>
      <c r="BJ868" s="230"/>
      <c r="BK868" s="1831"/>
      <c r="BL868" s="1389"/>
      <c r="BM868" s="1390"/>
      <c r="BN868" s="1390"/>
      <c r="BO868" s="1391"/>
      <c r="BP868" s="1391"/>
      <c r="BQ868" s="1391"/>
      <c r="BR868" s="1391"/>
      <c r="BS868" s="1391"/>
      <c r="BT868" s="1391"/>
      <c r="BU868" s="1392"/>
      <c r="BV868" s="913"/>
      <c r="BW868" s="1809" t="s">
        <v>6356</v>
      </c>
      <c r="BX868" s="22"/>
      <c r="BY868" s="22"/>
      <c r="BZ868" s="22"/>
      <c r="CA868" s="22"/>
      <c r="CB868" s="1222" t="s">
        <v>3944</v>
      </c>
      <c r="CC868" s="859"/>
      <c r="CD868" s="526"/>
      <c r="CE868" s="526"/>
      <c r="CF868" s="526"/>
      <c r="CG868" s="526"/>
      <c r="CH868" s="526"/>
      <c r="CI868" s="526"/>
      <c r="CJ868" s="526"/>
      <c r="CK868" s="15"/>
    </row>
    <row r="869" spans="1:89" ht="69.75" customHeight="1">
      <c r="B869" s="809"/>
      <c r="C869" s="22"/>
      <c r="D869" s="22"/>
      <c r="E869" s="911"/>
      <c r="F869" s="911"/>
      <c r="G869" s="915"/>
      <c r="H869" s="1746" t="s">
        <v>6311</v>
      </c>
      <c r="I869" s="330"/>
      <c r="J869" s="169">
        <v>2024</v>
      </c>
      <c r="K869" s="1417">
        <v>245036</v>
      </c>
      <c r="L869" s="1417"/>
      <c r="M869" s="170" t="s">
        <v>166</v>
      </c>
      <c r="N869" s="178" t="s">
        <v>6330</v>
      </c>
      <c r="O869" s="172" t="s">
        <v>79</v>
      </c>
      <c r="P869" s="173" t="s">
        <v>6354</v>
      </c>
      <c r="Q869" s="173" t="s">
        <v>4410</v>
      </c>
      <c r="R869" s="594">
        <v>2600448.56</v>
      </c>
      <c r="S869" s="590">
        <v>45540</v>
      </c>
      <c r="T869" s="176">
        <v>45541</v>
      </c>
      <c r="U869" s="177">
        <v>45551</v>
      </c>
      <c r="V869" s="676"/>
      <c r="W869" s="178" t="s">
        <v>4444</v>
      </c>
      <c r="X869" s="170" t="s">
        <v>6437</v>
      </c>
      <c r="Y869" s="1650">
        <v>45531</v>
      </c>
      <c r="Z869" s="368" t="s">
        <v>68</v>
      </c>
      <c r="AA869" s="337" t="s">
        <v>74</v>
      </c>
      <c r="AB869" s="8"/>
      <c r="AC869" s="4"/>
      <c r="AD869" s="4"/>
      <c r="AE869" s="32"/>
      <c r="AF869" s="34" t="s">
        <v>68</v>
      </c>
      <c r="AG869" s="112" t="s">
        <v>68</v>
      </c>
      <c r="AH869" s="112" t="s">
        <v>68</v>
      </c>
      <c r="AI869" s="7" t="s">
        <v>68</v>
      </c>
      <c r="AJ869" s="109" t="s">
        <v>68</v>
      </c>
      <c r="AK869" s="255"/>
      <c r="AL869" s="510"/>
      <c r="AM869" s="5"/>
      <c r="AN869" s="510"/>
      <c r="AO869" s="238"/>
      <c r="AP869" s="510"/>
      <c r="AQ869" s="5"/>
      <c r="AR869" s="534"/>
      <c r="AS869" s="35">
        <v>0</v>
      </c>
      <c r="AT869" s="902"/>
      <c r="AU869" s="891"/>
      <c r="AV869" s="230"/>
      <c r="AW869" s="11"/>
      <c r="AX869" s="223"/>
      <c r="AY869" s="52"/>
      <c r="AZ869" s="230"/>
      <c r="BA869" s="5"/>
      <c r="BB869" s="5"/>
      <c r="BC869" s="11"/>
      <c r="BD869" s="230"/>
      <c r="BE869" s="535"/>
      <c r="BF869" s="5"/>
      <c r="BG869" s="5"/>
      <c r="BH869" s="5"/>
      <c r="BI869" s="245">
        <f t="shared" si="25"/>
        <v>0</v>
      </c>
      <c r="BJ869" s="230"/>
      <c r="BK869" s="1831"/>
      <c r="BL869" s="1389"/>
      <c r="BM869" s="1390"/>
      <c r="BN869" s="1390"/>
      <c r="BO869" s="1391"/>
      <c r="BP869" s="1391"/>
      <c r="BQ869" s="1391"/>
      <c r="BR869" s="1391"/>
      <c r="BS869" s="1391"/>
      <c r="BT869" s="1391"/>
      <c r="BU869" s="1392"/>
      <c r="BV869" s="913"/>
      <c r="BW869" s="13"/>
      <c r="BX869" s="22"/>
      <c r="BY869" s="22"/>
      <c r="BZ869" s="22"/>
      <c r="CA869" s="22"/>
      <c r="CB869" s="1222" t="s">
        <v>3944</v>
      </c>
      <c r="CC869" s="859"/>
      <c r="CD869" s="526"/>
      <c r="CE869" s="526"/>
      <c r="CF869" s="526"/>
      <c r="CG869" s="526"/>
      <c r="CH869" s="526"/>
      <c r="CI869" s="526"/>
      <c r="CJ869" s="526"/>
      <c r="CK869" s="15"/>
    </row>
    <row r="870" spans="1:89" ht="78" customHeight="1">
      <c r="B870" s="809"/>
      <c r="C870" s="22"/>
      <c r="D870" s="22"/>
      <c r="E870" s="911"/>
      <c r="F870" s="911"/>
      <c r="G870" s="915"/>
      <c r="H870" s="1746" t="s">
        <v>6311</v>
      </c>
      <c r="I870" s="330"/>
      <c r="J870" s="169">
        <v>2024</v>
      </c>
      <c r="K870" s="1417">
        <v>245037</v>
      </c>
      <c r="L870" s="1417"/>
      <c r="M870" s="170" t="s">
        <v>5832</v>
      </c>
      <c r="N870" s="178" t="s">
        <v>6331</v>
      </c>
      <c r="O870" s="172" t="s">
        <v>79</v>
      </c>
      <c r="P870" s="451" t="s">
        <v>6408</v>
      </c>
      <c r="Q870" s="173" t="s">
        <v>1975</v>
      </c>
      <c r="R870" s="1172">
        <v>758548.36</v>
      </c>
      <c r="S870" s="542">
        <v>45562</v>
      </c>
      <c r="T870" s="979">
        <v>45562</v>
      </c>
      <c r="U870" s="980">
        <v>45569</v>
      </c>
      <c r="V870" s="981">
        <v>45562</v>
      </c>
      <c r="W870" s="1044" t="s">
        <v>3960</v>
      </c>
      <c r="X870" s="1045" t="s">
        <v>1107</v>
      </c>
      <c r="Y870" s="1680"/>
      <c r="Z870" s="1383"/>
      <c r="AA870" s="255" t="s">
        <v>6409</v>
      </c>
      <c r="AB870" s="8">
        <v>45562</v>
      </c>
      <c r="AC870" s="4">
        <v>758548.36</v>
      </c>
      <c r="AD870" s="4"/>
      <c r="AE870" s="32"/>
      <c r="AF870" s="34" t="s">
        <v>68</v>
      </c>
      <c r="AG870" s="112" t="s">
        <v>68</v>
      </c>
      <c r="AH870" s="112" t="s">
        <v>68</v>
      </c>
      <c r="AI870" s="7" t="s">
        <v>68</v>
      </c>
      <c r="AJ870" s="109" t="s">
        <v>68</v>
      </c>
      <c r="AK870" s="255"/>
      <c r="AL870" s="219"/>
      <c r="AM870" s="5"/>
      <c r="AN870" s="219"/>
      <c r="AO870" s="5"/>
      <c r="AP870" s="219"/>
      <c r="AQ870" s="5"/>
      <c r="AR870" s="534"/>
      <c r="AS870" s="35"/>
      <c r="AT870" s="902"/>
      <c r="AU870" s="891"/>
      <c r="AV870" s="230"/>
      <c r="AW870" s="11"/>
      <c r="AX870" s="223"/>
      <c r="AY870" s="52"/>
      <c r="AZ870" s="230"/>
      <c r="BA870" s="5"/>
      <c r="BB870" s="5"/>
      <c r="BC870" s="11"/>
      <c r="BD870" s="230"/>
      <c r="BE870" s="535"/>
      <c r="BF870" s="5"/>
      <c r="BG870" s="5"/>
      <c r="BH870" s="5"/>
      <c r="BI870" s="64"/>
      <c r="BJ870" s="202"/>
      <c r="BK870" s="1108"/>
      <c r="BL870" s="1389"/>
      <c r="BM870" s="1390"/>
      <c r="BN870" s="1390"/>
      <c r="BO870" s="1391"/>
      <c r="BP870" s="1391"/>
      <c r="BQ870" s="1391"/>
      <c r="BR870" s="1391"/>
      <c r="BS870" s="1391"/>
      <c r="BT870" s="1391"/>
      <c r="BU870" s="1392"/>
      <c r="BV870" s="913"/>
      <c r="BW870" s="13"/>
      <c r="BX870" s="22"/>
      <c r="BY870" s="22"/>
      <c r="BZ870" s="22"/>
      <c r="CA870" s="22"/>
      <c r="CB870" s="1222" t="s">
        <v>3944</v>
      </c>
      <c r="CC870" s="859"/>
      <c r="CD870" s="526"/>
      <c r="CE870" s="526"/>
      <c r="CF870" s="526"/>
      <c r="CG870" s="526"/>
      <c r="CH870" s="526"/>
      <c r="CI870" s="526"/>
      <c r="CJ870" s="526"/>
      <c r="CK870" s="15"/>
    </row>
    <row r="871" spans="1:89" ht="34.5" hidden="1" customHeight="1">
      <c r="B871" s="22"/>
      <c r="C871" s="22"/>
      <c r="D871" s="22"/>
      <c r="E871" s="911"/>
      <c r="F871" s="911"/>
      <c r="G871" s="915"/>
      <c r="H871" s="1746"/>
      <c r="I871" s="330"/>
      <c r="J871" s="169"/>
      <c r="K871" s="1417"/>
      <c r="L871" s="1417"/>
      <c r="M871" s="170"/>
      <c r="N871" s="178"/>
      <c r="O871" s="172"/>
      <c r="P871" s="1191"/>
      <c r="Q871" s="173"/>
      <c r="R871" s="1669"/>
      <c r="S871" s="175"/>
      <c r="T871" s="176"/>
      <c r="U871" s="177"/>
      <c r="V871" s="676"/>
      <c r="W871" s="1042"/>
      <c r="X871" s="920"/>
      <c r="Y871" s="1680"/>
      <c r="Z871" s="1383"/>
      <c r="AA871" s="255"/>
      <c r="AB871" s="8"/>
      <c r="AC871" s="4"/>
      <c r="AD871" s="4"/>
      <c r="AE871" s="32"/>
      <c r="AF871" s="1393"/>
      <c r="AG871" s="616"/>
      <c r="AH871" s="616"/>
      <c r="AI871" s="1394"/>
      <c r="AJ871" s="1361"/>
      <c r="AK871" s="255"/>
      <c r="AL871" s="219"/>
      <c r="AM871" s="5"/>
      <c r="AN871" s="219"/>
      <c r="AO871" s="5"/>
      <c r="AP871" s="219"/>
      <c r="AQ871" s="5"/>
      <c r="AR871" s="534"/>
      <c r="AS871" s="35"/>
      <c r="AT871" s="902"/>
      <c r="AU871" s="891"/>
      <c r="AV871" s="230"/>
      <c r="AW871" s="11"/>
      <c r="AX871" s="223"/>
      <c r="AY871" s="52"/>
      <c r="AZ871" s="230"/>
      <c r="BA871" s="5"/>
      <c r="BB871" s="5"/>
      <c r="BC871" s="11"/>
      <c r="BD871" s="230"/>
      <c r="BE871" s="508"/>
      <c r="BF871" s="5"/>
      <c r="BG871" s="5"/>
      <c r="BH871" s="5"/>
      <c r="BI871" s="64"/>
      <c r="BJ871" s="202"/>
      <c r="BK871" s="1108"/>
      <c r="BL871" s="1389"/>
      <c r="BM871" s="1390"/>
      <c r="BN871" s="1390"/>
      <c r="BO871" s="1391"/>
      <c r="BP871" s="1391"/>
      <c r="BQ871" s="1391"/>
      <c r="BR871" s="1391"/>
      <c r="BS871" s="1391"/>
      <c r="BT871" s="1391"/>
      <c r="BU871" s="1392"/>
      <c r="BV871" s="913"/>
      <c r="BW871" s="13"/>
      <c r="BX871" s="22"/>
      <c r="BY871" s="22"/>
      <c r="BZ871" s="22"/>
      <c r="CA871" s="22"/>
      <c r="CB871" s="1222" t="s">
        <v>6536</v>
      </c>
      <c r="CC871" s="859"/>
      <c r="CD871" s="526"/>
      <c r="CE871" s="526"/>
      <c r="CF871" s="526"/>
      <c r="CG871" s="526"/>
      <c r="CH871" s="526"/>
      <c r="CI871" s="526"/>
      <c r="CJ871" s="526"/>
      <c r="CK871" s="15"/>
    </row>
    <row r="872" spans="1:89" ht="34.5" hidden="1" customHeight="1">
      <c r="B872" s="22"/>
      <c r="C872" s="22"/>
      <c r="D872" s="22"/>
      <c r="E872" s="911"/>
      <c r="F872" s="911"/>
      <c r="G872" s="915"/>
      <c r="H872" s="1746"/>
      <c r="I872" s="330"/>
      <c r="J872" s="169"/>
      <c r="K872" s="1417"/>
      <c r="L872" s="1417"/>
      <c r="M872" s="170"/>
      <c r="N872" s="178"/>
      <c r="O872" s="172"/>
      <c r="P872" s="1191"/>
      <c r="Q872" s="173"/>
      <c r="R872" s="1669"/>
      <c r="S872" s="175"/>
      <c r="T872" s="176"/>
      <c r="U872" s="177"/>
      <c r="V872" s="676"/>
      <c r="W872" s="1042"/>
      <c r="X872" s="920"/>
      <c r="Y872" s="1680"/>
      <c r="Z872" s="1383"/>
      <c r="AA872" s="255"/>
      <c r="AB872" s="8"/>
      <c r="AC872" s="4"/>
      <c r="AD872" s="4"/>
      <c r="AE872" s="32"/>
      <c r="AF872" s="1393"/>
      <c r="AG872" s="616"/>
      <c r="AH872" s="616"/>
      <c r="AI872" s="1394"/>
      <c r="AJ872" s="1361"/>
      <c r="AK872" s="255"/>
      <c r="AL872" s="219"/>
      <c r="AM872" s="5"/>
      <c r="AN872" s="219"/>
      <c r="AO872" s="5"/>
      <c r="AP872" s="219"/>
      <c r="AQ872" s="5"/>
      <c r="AR872" s="534"/>
      <c r="AS872" s="35"/>
      <c r="AT872" s="902"/>
      <c r="AU872" s="891"/>
      <c r="AV872" s="230"/>
      <c r="AW872" s="11"/>
      <c r="AX872" s="223"/>
      <c r="AY872" s="52"/>
      <c r="AZ872" s="230"/>
      <c r="BA872" s="5"/>
      <c r="BB872" s="5"/>
      <c r="BC872" s="11"/>
      <c r="BD872" s="230"/>
      <c r="BE872" s="508"/>
      <c r="BF872" s="5"/>
      <c r="BG872" s="5"/>
      <c r="BH872" s="5"/>
      <c r="BI872" s="64"/>
      <c r="BJ872" s="202"/>
      <c r="BK872" s="1108"/>
      <c r="BL872" s="1389"/>
      <c r="BM872" s="1390"/>
      <c r="BN872" s="1390"/>
      <c r="BO872" s="1391"/>
      <c r="BP872" s="1391"/>
      <c r="BQ872" s="1391"/>
      <c r="BR872" s="1391"/>
      <c r="BS872" s="1391"/>
      <c r="BT872" s="1391"/>
      <c r="BU872" s="1392"/>
      <c r="BV872" s="913"/>
      <c r="BW872" s="13"/>
      <c r="BX872" s="22"/>
      <c r="BY872" s="22"/>
      <c r="BZ872" s="22"/>
      <c r="CA872" s="22"/>
      <c r="CB872" s="1222" t="s">
        <v>6536</v>
      </c>
      <c r="CC872" s="859"/>
      <c r="CD872" s="526"/>
      <c r="CE872" s="526"/>
      <c r="CF872" s="526"/>
      <c r="CG872" s="526"/>
      <c r="CH872" s="526"/>
      <c r="CI872" s="526"/>
      <c r="CJ872" s="526"/>
      <c r="CK872" s="15"/>
    </row>
    <row r="873" spans="1:89" ht="34.5" hidden="1" customHeight="1">
      <c r="B873" s="22"/>
      <c r="C873" s="22"/>
      <c r="D873" s="22"/>
      <c r="E873" s="911"/>
      <c r="F873" s="911"/>
      <c r="G873" s="915"/>
      <c r="H873" s="1746"/>
      <c r="I873" s="330"/>
      <c r="J873" s="169"/>
      <c r="K873" s="1417"/>
      <c r="L873" s="1417"/>
      <c r="M873" s="170"/>
      <c r="N873" s="178"/>
      <c r="O873" s="172"/>
      <c r="P873" s="1191"/>
      <c r="Q873" s="173"/>
      <c r="R873" s="1669"/>
      <c r="S873" s="175"/>
      <c r="T873" s="176"/>
      <c r="U873" s="177"/>
      <c r="V873" s="676"/>
      <c r="W873" s="1042"/>
      <c r="X873" s="920"/>
      <c r="Y873" s="1680"/>
      <c r="Z873" s="1383"/>
      <c r="AA873" s="255"/>
      <c r="AB873" s="8"/>
      <c r="AC873" s="4"/>
      <c r="AD873" s="4"/>
      <c r="AE873" s="32"/>
      <c r="AF873" s="1393"/>
      <c r="AG873" s="616"/>
      <c r="AH873" s="616"/>
      <c r="AI873" s="1394"/>
      <c r="AJ873" s="1361"/>
      <c r="AK873" s="255"/>
      <c r="AL873" s="219"/>
      <c r="AM873" s="5"/>
      <c r="AN873" s="219"/>
      <c r="AO873" s="5"/>
      <c r="AP873" s="219"/>
      <c r="AQ873" s="5"/>
      <c r="AR873" s="534"/>
      <c r="AS873" s="35"/>
      <c r="AT873" s="902"/>
      <c r="AU873" s="891"/>
      <c r="AV873" s="230"/>
      <c r="AW873" s="11"/>
      <c r="AX873" s="223"/>
      <c r="AY873" s="52"/>
      <c r="AZ873" s="230"/>
      <c r="BA873" s="5"/>
      <c r="BB873" s="5"/>
      <c r="BC873" s="11"/>
      <c r="BD873" s="230"/>
      <c r="BE873" s="508"/>
      <c r="BF873" s="5"/>
      <c r="BG873" s="5"/>
      <c r="BH873" s="5"/>
      <c r="BI873" s="64"/>
      <c r="BJ873" s="202"/>
      <c r="BK873" s="1108"/>
      <c r="BL873" s="1389"/>
      <c r="BM873" s="1390"/>
      <c r="BN873" s="1390"/>
      <c r="BO873" s="1391"/>
      <c r="BP873" s="1391"/>
      <c r="BQ873" s="1391"/>
      <c r="BR873" s="1391"/>
      <c r="BS873" s="1391"/>
      <c r="BT873" s="1391"/>
      <c r="BU873" s="1392"/>
      <c r="BV873" s="913"/>
      <c r="BW873" s="13"/>
      <c r="BX873" s="22"/>
      <c r="BY873" s="22"/>
      <c r="BZ873" s="22"/>
      <c r="CA873" s="22"/>
      <c r="CB873" s="1222" t="s">
        <v>6536</v>
      </c>
      <c r="CC873" s="859"/>
      <c r="CD873" s="526"/>
      <c r="CE873" s="526"/>
      <c r="CF873" s="526"/>
      <c r="CG873" s="526"/>
      <c r="CH873" s="526"/>
      <c r="CI873" s="526"/>
      <c r="CJ873" s="526"/>
      <c r="CK873" s="15"/>
    </row>
    <row r="874" spans="1:89" ht="34.5" hidden="1" customHeight="1">
      <c r="B874" s="22"/>
      <c r="C874" s="22"/>
      <c r="D874" s="22"/>
      <c r="E874" s="911"/>
      <c r="F874" s="911"/>
      <c r="G874" s="915"/>
      <c r="H874" s="1746"/>
      <c r="I874" s="330"/>
      <c r="J874" s="169"/>
      <c r="K874" s="1417"/>
      <c r="L874" s="1417"/>
      <c r="M874" s="170"/>
      <c r="N874" s="178"/>
      <c r="O874" s="172"/>
      <c r="P874" s="1191"/>
      <c r="Q874" s="173"/>
      <c r="R874" s="1669"/>
      <c r="S874" s="175"/>
      <c r="T874" s="176"/>
      <c r="U874" s="177"/>
      <c r="V874" s="676"/>
      <c r="W874" s="1042"/>
      <c r="X874" s="920"/>
      <c r="Y874" s="1680"/>
      <c r="Z874" s="1383"/>
      <c r="AA874" s="255"/>
      <c r="AB874" s="8"/>
      <c r="AC874" s="4"/>
      <c r="AD874" s="4"/>
      <c r="AE874" s="32"/>
      <c r="AF874" s="1393"/>
      <c r="AG874" s="616"/>
      <c r="AH874" s="616"/>
      <c r="AI874" s="1394"/>
      <c r="AJ874" s="1361"/>
      <c r="AK874" s="255"/>
      <c r="AL874" s="219"/>
      <c r="AM874" s="5"/>
      <c r="AN874" s="219"/>
      <c r="AO874" s="5"/>
      <c r="AP874" s="219"/>
      <c r="AQ874" s="5"/>
      <c r="AR874" s="534"/>
      <c r="AS874" s="35"/>
      <c r="AT874" s="902"/>
      <c r="AU874" s="891"/>
      <c r="AV874" s="230"/>
      <c r="AW874" s="11"/>
      <c r="AX874" s="223"/>
      <c r="AY874" s="52"/>
      <c r="AZ874" s="230"/>
      <c r="BA874" s="5"/>
      <c r="BB874" s="5"/>
      <c r="BC874" s="11"/>
      <c r="BD874" s="230"/>
      <c r="BE874" s="508"/>
      <c r="BF874" s="5"/>
      <c r="BG874" s="5"/>
      <c r="BH874" s="5"/>
      <c r="BI874" s="64"/>
      <c r="BJ874" s="202"/>
      <c r="BK874" s="1108"/>
      <c r="BL874" s="1389"/>
      <c r="BM874" s="1390"/>
      <c r="BN874" s="1390"/>
      <c r="BO874" s="1391"/>
      <c r="BP874" s="1391"/>
      <c r="BQ874" s="1391"/>
      <c r="BR874" s="1391"/>
      <c r="BS874" s="1391"/>
      <c r="BT874" s="1391"/>
      <c r="BU874" s="1392"/>
      <c r="BV874" s="913"/>
      <c r="BW874" s="13"/>
      <c r="BX874" s="22"/>
      <c r="BY874" s="22"/>
      <c r="BZ874" s="22"/>
      <c r="CA874" s="22"/>
      <c r="CB874" s="1222" t="s">
        <v>6536</v>
      </c>
      <c r="CC874" s="859"/>
      <c r="CD874" s="526"/>
      <c r="CE874" s="526"/>
      <c r="CF874" s="526"/>
      <c r="CG874" s="526"/>
      <c r="CH874" s="526"/>
      <c r="CI874" s="526"/>
      <c r="CJ874" s="526"/>
      <c r="CK874" s="15"/>
    </row>
    <row r="875" spans="1:89" ht="34.5" hidden="1" customHeight="1">
      <c r="B875" s="1745"/>
      <c r="C875" s="1745"/>
      <c r="D875" s="1745"/>
      <c r="E875" s="1800"/>
      <c r="F875" s="1800"/>
      <c r="G875" s="1746"/>
      <c r="H875" s="1746"/>
      <c r="I875" s="330"/>
      <c r="J875" s="169"/>
      <c r="K875" s="1417"/>
      <c r="L875" s="1417"/>
      <c r="M875" s="170"/>
      <c r="N875" s="178"/>
      <c r="O875" s="172"/>
      <c r="P875" s="173"/>
      <c r="Q875" s="173"/>
      <c r="R875" s="174"/>
      <c r="S875" s="175"/>
      <c r="T875" s="176"/>
      <c r="U875" s="177"/>
      <c r="V875" s="1747"/>
      <c r="W875" s="178"/>
      <c r="X875" s="170"/>
      <c r="Y875" s="1748"/>
      <c r="Z875" s="1365"/>
      <c r="AA875" s="178"/>
      <c r="AB875" s="1749"/>
      <c r="AC875" s="174"/>
      <c r="AD875" s="174"/>
      <c r="AE875" s="1750"/>
      <c r="AF875" s="1751"/>
      <c r="AG875" s="1752"/>
      <c r="AH875" s="1752"/>
      <c r="AI875" s="1753"/>
      <c r="AJ875" s="1754"/>
      <c r="AK875" s="178"/>
      <c r="AL875" s="243"/>
      <c r="AM875" s="176"/>
      <c r="AN875" s="243"/>
      <c r="AO875" s="176"/>
      <c r="AP875" s="243"/>
      <c r="AQ875" s="176"/>
      <c r="AR875" s="282"/>
      <c r="AS875" s="249">
        <v>0</v>
      </c>
      <c r="AT875" s="896"/>
      <c r="AU875" s="885"/>
      <c r="AV875" s="251"/>
      <c r="AW875" s="177"/>
      <c r="AX875" s="1755"/>
      <c r="AY875" s="252"/>
      <c r="AZ875" s="251"/>
      <c r="BA875" s="176"/>
      <c r="BB875" s="176"/>
      <c r="BC875" s="177"/>
      <c r="BD875" s="251"/>
      <c r="BE875" s="1756"/>
      <c r="BF875" s="176"/>
      <c r="BG875" s="176"/>
      <c r="BH875" s="176"/>
      <c r="BI875" s="250">
        <f>AS875+AT875</f>
        <v>0</v>
      </c>
      <c r="BJ875" s="256"/>
      <c r="BK875" s="23"/>
      <c r="BL875" s="1757" t="s">
        <v>68</v>
      </c>
      <c r="BM875" s="1758" t="s">
        <v>68</v>
      </c>
      <c r="BN875" s="1758" t="s">
        <v>68</v>
      </c>
      <c r="BO875" s="1759"/>
      <c r="BP875" s="1759"/>
      <c r="BQ875" s="1759"/>
      <c r="BR875" s="1759"/>
      <c r="BS875" s="1759"/>
      <c r="BT875" s="1759"/>
      <c r="BU875" s="1759"/>
      <c r="BV875" s="1757" t="s">
        <v>68</v>
      </c>
      <c r="BW875" s="256"/>
      <c r="BX875" s="1745"/>
      <c r="BY875" s="1745"/>
      <c r="BZ875" s="1745"/>
      <c r="CA875" s="1745"/>
      <c r="CB875" s="1222" t="s">
        <v>6536</v>
      </c>
      <c r="CC875" s="1760"/>
      <c r="CD875" s="172"/>
      <c r="CE875" s="526"/>
      <c r="CF875" s="678"/>
      <c r="CG875" s="526"/>
      <c r="CH875" s="526"/>
      <c r="CI875" s="526"/>
      <c r="CJ875" s="526"/>
      <c r="CK875" s="15"/>
    </row>
    <row r="876" spans="1:89" ht="18.75">
      <c r="A876"/>
      <c r="B876" s="159"/>
      <c r="C876" s="159"/>
      <c r="D876" s="159"/>
      <c r="E876" s="1761"/>
      <c r="F876" s="1761"/>
      <c r="G876" s="159"/>
      <c r="H876" s="159"/>
      <c r="I876" s="1762"/>
      <c r="J876" s="159"/>
      <c r="K876" s="159"/>
      <c r="L876" s="159"/>
      <c r="N876" s="141"/>
      <c r="P876" s="588"/>
      <c r="Q876" s="588"/>
      <c r="R876" s="538"/>
      <c r="Y876" s="29"/>
      <c r="Z876" s="29"/>
      <c r="AA876" s="25"/>
      <c r="AB876" s="1763"/>
      <c r="AC876" s="1686"/>
      <c r="AD876" s="1686"/>
      <c r="AE876" s="1686"/>
      <c r="AF876" s="1764"/>
      <c r="AG876" s="1764"/>
      <c r="AH876" s="1764"/>
      <c r="AI876" s="1764"/>
      <c r="AJ876" s="1764"/>
      <c r="AK876" s="25"/>
      <c r="AL876" s="23"/>
      <c r="AM876" s="29"/>
      <c r="AN876" s="23"/>
      <c r="AO876" s="29"/>
      <c r="AP876" s="23"/>
      <c r="AQ876" s="29"/>
      <c r="AR876" s="1765"/>
      <c r="AS876" s="1766"/>
      <c r="AT876" s="1766"/>
      <c r="AU876" s="1766"/>
      <c r="AV876" s="29"/>
      <c r="AW876" s="29"/>
      <c r="AX876" s="29"/>
      <c r="AY876" s="29"/>
      <c r="AZ876" s="29"/>
      <c r="BA876" s="29"/>
      <c r="BB876" s="29"/>
      <c r="BC876" s="29"/>
      <c r="BD876" s="29"/>
      <c r="BE876" s="29"/>
      <c r="BF876" s="29"/>
      <c r="BG876" s="29"/>
      <c r="BH876" s="29"/>
      <c r="BI876" s="1766"/>
      <c r="BJ876" s="23"/>
      <c r="BK876" s="23"/>
      <c r="BL876" s="1757"/>
      <c r="BM876" s="1757"/>
      <c r="BN876" s="1757"/>
      <c r="BO876" s="1757"/>
      <c r="BP876" s="1757"/>
      <c r="BQ876" s="1757"/>
      <c r="BR876" s="1757"/>
      <c r="BS876" s="1757"/>
      <c r="BT876" s="1757"/>
      <c r="BU876" s="1757"/>
      <c r="BV876" s="1757"/>
      <c r="CC876" s="1767"/>
    </row>
    <row r="877" spans="1:89" ht="15.75">
      <c r="G877" s="132"/>
      <c r="H877" s="132"/>
      <c r="I877" s="333"/>
      <c r="AU877" s="72"/>
      <c r="BX877" s="1009" t="s">
        <v>1399</v>
      </c>
      <c r="BY877" s="1009"/>
      <c r="BZ877" s="1009"/>
      <c r="CA877" s="1009"/>
      <c r="CB877" s="1009"/>
      <c r="CC877" s="1009" t="s">
        <v>1400</v>
      </c>
    </row>
    <row r="878" spans="1:89" s="993" customFormat="1" ht="33" customHeight="1">
      <c r="A878" s="1439"/>
      <c r="E878" s="994"/>
      <c r="F878" s="994"/>
      <c r="G878" s="746"/>
      <c r="H878" s="746"/>
      <c r="I878" s="995"/>
      <c r="N878" s="996" t="s">
        <v>1401</v>
      </c>
      <c r="P878" s="1975">
        <v>45631</v>
      </c>
      <c r="Q878" s="1975"/>
      <c r="R878" s="1975"/>
      <c r="T878" s="993" t="s">
        <v>524</v>
      </c>
      <c r="X878" s="997"/>
      <c r="AQ878" s="1934"/>
      <c r="AR878" s="1934"/>
      <c r="AU878" s="1399"/>
      <c r="BX878" s="1009" t="s">
        <v>1402</v>
      </c>
      <c r="BY878" s="1009"/>
      <c r="BZ878" s="1009"/>
      <c r="CA878" s="1009"/>
      <c r="CB878" s="1009"/>
      <c r="CC878" s="1009" t="s">
        <v>1403</v>
      </c>
    </row>
    <row r="879" spans="1:89" ht="15.75">
      <c r="G879" s="132"/>
      <c r="H879" s="132"/>
      <c r="I879" s="333"/>
      <c r="R879" s="505"/>
      <c r="X879" s="107"/>
      <c r="AT879" s="72"/>
      <c r="BG879" s="533"/>
      <c r="BX879" s="1009" t="s">
        <v>1404</v>
      </c>
      <c r="BY879" s="1009"/>
      <c r="BZ879" s="1009"/>
      <c r="CA879" s="1009"/>
      <c r="CB879" s="1009"/>
      <c r="CC879" s="1009" t="s">
        <v>1405</v>
      </c>
    </row>
    <row r="880" spans="1:89" ht="15.75">
      <c r="G880" s="132"/>
      <c r="H880" s="132"/>
      <c r="I880" s="333"/>
      <c r="R880" s="505"/>
      <c r="X880" s="107"/>
      <c r="AT880" s="72"/>
      <c r="BG880" s="533"/>
      <c r="BX880" s="1009" t="s">
        <v>1407</v>
      </c>
      <c r="BY880" s="1009"/>
      <c r="BZ880" s="1009"/>
      <c r="CA880" s="1009"/>
      <c r="CB880" s="1009"/>
      <c r="CC880" s="1009" t="s">
        <v>1406</v>
      </c>
    </row>
    <row r="881" spans="5:81" ht="35.25" customHeight="1">
      <c r="E881" s="1941"/>
      <c r="F881" s="1941"/>
      <c r="G881" s="1942"/>
      <c r="H881" s="1942"/>
      <c r="I881" s="1942"/>
      <c r="J881" s="746"/>
      <c r="K881" s="746"/>
      <c r="L881" s="746"/>
      <c r="M881" s="1267"/>
      <c r="N881" s="746"/>
      <c r="O881" s="746"/>
      <c r="P881" s="746"/>
      <c r="Q881" s="746"/>
      <c r="R881" s="1943">
        <f>R761+R763+R764+R765+R769+R824+R825+R826+R834+R835+R836+R837+R838+R839+R840+R841+R842+R843+R844+R845+R846+R847+R848+R849+R850+R851+R853+R854</f>
        <v>50167877.390000001</v>
      </c>
      <c r="S881" s="1942"/>
      <c r="T881" s="1942"/>
      <c r="AT881" s="72">
        <f>AS600+AT600+AS601+AT601</f>
        <v>106348.8</v>
      </c>
      <c r="BI881" s="72"/>
      <c r="BX881" s="1009"/>
    </row>
    <row r="882" spans="5:81" ht="21">
      <c r="I882" s="331"/>
      <c r="M882" s="1267"/>
      <c r="R882" s="505"/>
    </row>
    <row r="883" spans="5:81" ht="15.75">
      <c r="I883" s="331"/>
      <c r="CB883" t="s">
        <v>1295</v>
      </c>
      <c r="CC883" s="1009" t="s">
        <v>3208</v>
      </c>
    </row>
    <row r="884" spans="5:81" ht="15.75">
      <c r="I884" s="331"/>
      <c r="R884" s="107"/>
      <c r="CB884" t="s">
        <v>1404</v>
      </c>
      <c r="CC884" s="1009" t="s">
        <v>3209</v>
      </c>
    </row>
    <row r="885" spans="5:81" ht="15.75">
      <c r="I885" s="331"/>
      <c r="CB885" t="s">
        <v>2249</v>
      </c>
      <c r="CC885" s="1009" t="s">
        <v>3210</v>
      </c>
    </row>
    <row r="886" spans="5:81">
      <c r="I886" s="331"/>
    </row>
    <row r="887" spans="5:81">
      <c r="I887" s="331"/>
    </row>
    <row r="888" spans="5:81">
      <c r="I888" s="331"/>
    </row>
    <row r="889" spans="5:81">
      <c r="I889" s="331"/>
      <c r="R889" s="107"/>
      <c r="T889" s="536"/>
      <c r="U889" s="107"/>
      <c r="V889" s="107"/>
    </row>
    <row r="890" spans="5:81">
      <c r="Q890" s="505"/>
      <c r="S890" s="1976"/>
      <c r="T890" s="1976"/>
      <c r="AT890" s="72"/>
      <c r="AU890" s="72"/>
    </row>
    <row r="891" spans="5:81">
      <c r="Q891" s="505"/>
      <c r="S891" s="1976"/>
      <c r="T891" s="1977"/>
      <c r="AT891" s="72"/>
      <c r="AU891" s="72"/>
    </row>
    <row r="892" spans="5:81">
      <c r="Q892" s="505"/>
      <c r="S892" s="1970"/>
      <c r="T892" s="1970"/>
    </row>
    <row r="893" spans="5:81">
      <c r="S893" s="1970"/>
      <c r="T893" s="1971"/>
    </row>
    <row r="894" spans="5:81" ht="15.75">
      <c r="R894" s="882"/>
    </row>
    <row r="897" spans="17:19">
      <c r="Q897" s="505"/>
    </row>
    <row r="904" spans="17:19">
      <c r="Q904" s="505"/>
    </row>
    <row r="905" spans="17:19" ht="23.25">
      <c r="Q905" s="1690"/>
      <c r="R905" s="1937"/>
      <c r="S905" s="1937"/>
    </row>
  </sheetData>
  <autoFilter ref="B5:CC875" xr:uid="{00000000-0009-0000-0000-000000000000}">
    <filterColumn colId="8">
      <filters>
        <filter val="2024"/>
      </filters>
    </filterColumn>
    <filterColumn colId="13">
      <filters>
        <filter val="ADJUDICACIÓN DIRECTA"/>
        <filter val="ADMINISTRACIÓN DIRECTA"/>
        <filter val="CANCELADA"/>
        <filter val="CONCURSO SIMPLIFICADO SUMARIO"/>
      </filters>
    </filterColumn>
    <filterColumn colId="78">
      <filters>
        <filter val="2021-2024"/>
        <filter val="2024-2027"/>
      </filters>
    </filterColumn>
    <sortState xmlns:xlrd2="http://schemas.microsoft.com/office/spreadsheetml/2017/richdata2" ref="B658:CC843">
      <sortCondition ref="K5:K875"/>
    </sortState>
  </autoFilter>
  <mergeCells count="23">
    <mergeCell ref="BJ3:BK3"/>
    <mergeCell ref="S893:T893"/>
    <mergeCell ref="AS3:AU3"/>
    <mergeCell ref="P878:R878"/>
    <mergeCell ref="S890:T890"/>
    <mergeCell ref="S891:T891"/>
    <mergeCell ref="S892:T892"/>
    <mergeCell ref="C4:D4"/>
    <mergeCell ref="AQ878:AR878"/>
    <mergeCell ref="B1:U1"/>
    <mergeCell ref="R905:S905"/>
    <mergeCell ref="BL3:BV3"/>
    <mergeCell ref="E881:I881"/>
    <mergeCell ref="R881:T881"/>
    <mergeCell ref="AF3:AJ3"/>
    <mergeCell ref="N3:U3"/>
    <mergeCell ref="AV3:AW3"/>
    <mergeCell ref="BD3:BI3"/>
    <mergeCell ref="AA3:AE3"/>
    <mergeCell ref="W3:X3"/>
    <mergeCell ref="AX3:AY3"/>
    <mergeCell ref="AK3:AR3"/>
    <mergeCell ref="AZ3:BC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21"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AT884"/>
  <sheetViews>
    <sheetView view="pageBreakPreview" zoomScale="55" zoomScaleNormal="85" zoomScaleSheetLayoutView="55" workbookViewId="0">
      <selection activeCell="AP589" sqref="AP589"/>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22.85546875" customWidth="1"/>
    <col min="8" max="8" width="23.28515625" style="938" customWidth="1"/>
    <col min="9" max="9" width="23" style="603" customWidth="1"/>
    <col min="10" max="10" width="55.5703125" customWidth="1"/>
    <col min="11" max="11" width="50.42578125" customWidth="1"/>
    <col min="12" max="12" width="26.140625" customWidth="1"/>
    <col min="13" max="14" width="29.140625" style="603"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38" customWidth="1"/>
    <col min="26" max="27" width="22.5703125" style="602" customWidth="1"/>
    <col min="28" max="28" width="20.7109375" customWidth="1"/>
    <col min="29" max="29" width="19.42578125" style="602" customWidth="1"/>
    <col min="30" max="30" width="28.42578125" style="602"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46" width="43.42578125" customWidth="1"/>
  </cols>
  <sheetData>
    <row r="1" spans="1:45" ht="43.5" customHeight="1">
      <c r="A1" s="1978" t="s">
        <v>4305</v>
      </c>
      <c r="B1" s="1979"/>
      <c r="C1" s="1979"/>
      <c r="D1" s="1979"/>
      <c r="E1" s="1979"/>
      <c r="F1" s="1979"/>
      <c r="G1" s="1979"/>
      <c r="H1" s="1979"/>
      <c r="I1" s="1980"/>
      <c r="J1" s="1979"/>
      <c r="K1" s="1979"/>
      <c r="L1" s="1979"/>
      <c r="M1" s="1980"/>
      <c r="N1" s="1980"/>
      <c r="O1" s="1979"/>
      <c r="P1" s="1979"/>
      <c r="Q1" s="1979"/>
      <c r="R1" s="1979"/>
      <c r="S1" s="1979"/>
      <c r="T1" s="1979"/>
      <c r="U1" s="1979"/>
      <c r="V1" s="1979"/>
      <c r="W1" s="1979"/>
      <c r="X1" s="1979"/>
      <c r="Y1" s="1979"/>
      <c r="Z1" s="1981"/>
      <c r="AA1" s="1981"/>
      <c r="AB1" s="1979"/>
      <c r="AC1" s="1981"/>
      <c r="AD1" s="1981"/>
      <c r="AE1" s="1979"/>
      <c r="AF1" s="1979"/>
      <c r="AG1" s="1979"/>
      <c r="AH1" s="1979"/>
      <c r="AI1" s="1979"/>
      <c r="AJ1" s="1979"/>
      <c r="AK1" s="1979"/>
      <c r="AL1" s="1979"/>
      <c r="AM1" s="1979"/>
      <c r="AN1" s="1979"/>
      <c r="AO1" s="1979"/>
      <c r="AP1" s="1979"/>
      <c r="AQ1" s="1979"/>
      <c r="AR1" s="1979"/>
      <c r="AS1" s="1979"/>
    </row>
    <row r="2" spans="1:45" ht="23.25" customHeight="1">
      <c r="A2" s="1982" t="s">
        <v>6153</v>
      </c>
      <c r="B2" s="1983"/>
      <c r="C2" s="1983"/>
      <c r="D2" s="1983"/>
      <c r="E2" s="1983"/>
      <c r="F2" s="1983"/>
      <c r="G2" s="1983"/>
      <c r="H2" s="1984"/>
      <c r="I2" s="1985"/>
      <c r="J2" s="1983"/>
      <c r="K2" s="1983"/>
      <c r="L2" s="1983"/>
      <c r="M2" s="1985"/>
      <c r="N2" s="1985"/>
      <c r="O2" s="1983"/>
      <c r="P2" s="1983"/>
      <c r="Q2" s="1983"/>
      <c r="R2" s="1983"/>
      <c r="S2" s="1983"/>
      <c r="T2" s="1983"/>
      <c r="U2" s="1983"/>
      <c r="V2" s="1983"/>
      <c r="W2" s="1983"/>
      <c r="X2" s="1983"/>
      <c r="Y2" s="1984"/>
      <c r="Z2" s="1986"/>
      <c r="AA2" s="1986"/>
      <c r="AB2" s="1983"/>
      <c r="AC2" s="1986"/>
      <c r="AD2" s="1986"/>
      <c r="AE2" s="1983"/>
      <c r="AF2" s="1983"/>
      <c r="AG2" s="1983"/>
      <c r="AH2" s="1983"/>
      <c r="AI2" s="1983"/>
      <c r="AJ2" s="1983"/>
      <c r="AK2" s="1983"/>
      <c r="AL2" s="1983"/>
      <c r="AM2" s="1983"/>
      <c r="AN2" s="1983"/>
      <c r="AO2" s="1983"/>
      <c r="AP2" s="1983"/>
      <c r="AQ2" s="1983"/>
      <c r="AR2" s="1983"/>
      <c r="AS2" s="1983"/>
    </row>
    <row r="3" spans="1:45" ht="33.75" customHeight="1" thickBot="1">
      <c r="A3" s="1141"/>
      <c r="B3" s="1114"/>
      <c r="C3" s="1114"/>
      <c r="D3" s="1114"/>
      <c r="E3" s="1142" t="s">
        <v>2960</v>
      </c>
      <c r="F3" s="1987">
        <f>E882</f>
        <v>45631</v>
      </c>
      <c r="G3" s="1988"/>
      <c r="H3" s="1989"/>
      <c r="I3" s="1988"/>
      <c r="J3" s="1988"/>
      <c r="K3" s="1114"/>
      <c r="L3" s="1114"/>
      <c r="M3" s="1114"/>
      <c r="N3" s="1114"/>
      <c r="O3" s="1114"/>
      <c r="P3" s="1114"/>
      <c r="Q3" s="1114"/>
      <c r="R3" s="1114"/>
      <c r="S3" s="1114"/>
      <c r="T3" s="1114"/>
      <c r="U3" s="1114"/>
      <c r="V3" s="1114"/>
      <c r="W3" s="1114"/>
      <c r="X3" s="1114"/>
      <c r="Y3" s="1781"/>
      <c r="Z3" s="1114"/>
      <c r="AA3" s="1114"/>
      <c r="AB3" s="1114"/>
      <c r="AC3" s="1114"/>
      <c r="AD3" s="1114"/>
      <c r="AE3" s="1114"/>
      <c r="AF3" s="1114"/>
      <c r="AG3" s="1114"/>
      <c r="AH3" s="1114"/>
      <c r="AI3" s="1114"/>
      <c r="AJ3" s="1114"/>
      <c r="AK3" s="1114"/>
      <c r="AL3" s="1114"/>
      <c r="AM3" s="1114"/>
      <c r="AN3" s="1114"/>
      <c r="AO3" s="1114"/>
      <c r="AP3" s="1114"/>
      <c r="AQ3" s="1114"/>
      <c r="AR3" s="1114"/>
      <c r="AS3" s="1114"/>
    </row>
    <row r="4" spans="1:45" ht="33" customHeight="1" thickTop="1">
      <c r="A4" s="1994"/>
      <c r="B4" s="1995"/>
      <c r="C4" s="1995"/>
      <c r="D4" s="1995"/>
      <c r="E4" s="1995"/>
      <c r="F4" s="1995"/>
      <c r="G4" s="1990" t="s">
        <v>2</v>
      </c>
      <c r="H4" s="1991"/>
      <c r="I4" s="1992"/>
      <c r="J4" s="1992"/>
      <c r="K4" s="1992"/>
      <c r="L4" s="1992"/>
      <c r="M4" s="1992"/>
      <c r="N4" s="1992"/>
      <c r="O4" s="1992"/>
      <c r="P4" s="1992"/>
      <c r="Q4" s="1992"/>
      <c r="R4" s="1992"/>
      <c r="S4" s="1992"/>
      <c r="T4" s="1992"/>
      <c r="U4" s="1992"/>
      <c r="V4" s="1993"/>
      <c r="W4" s="2006" t="s">
        <v>2945</v>
      </c>
      <c r="X4" s="2006"/>
      <c r="Y4" s="2008"/>
      <c r="Z4" s="2010" t="s">
        <v>1408</v>
      </c>
      <c r="AA4" s="2011"/>
      <c r="AB4" s="2011"/>
      <c r="AC4" s="2011"/>
      <c r="AD4" s="2011"/>
      <c r="AE4" s="2011"/>
      <c r="AF4" s="2016" t="s">
        <v>2961</v>
      </c>
      <c r="AG4" s="2017"/>
      <c r="AH4" s="2017"/>
      <c r="AI4" s="2017"/>
      <c r="AJ4" s="2017"/>
      <c r="AK4" s="2017"/>
      <c r="AL4" s="2017"/>
      <c r="AM4" s="2018"/>
      <c r="AN4" s="2021"/>
      <c r="AO4" s="2021"/>
      <c r="AP4" s="2021"/>
      <c r="AQ4" s="2021"/>
      <c r="AR4" s="2021"/>
      <c r="AS4" s="2022"/>
    </row>
    <row r="5" spans="1:45" s="1115" customFormat="1" ht="30" customHeight="1" thickBot="1">
      <c r="A5" s="1996"/>
      <c r="B5" s="1997"/>
      <c r="C5" s="1997"/>
      <c r="D5" s="1997"/>
      <c r="E5" s="1997"/>
      <c r="F5" s="1997"/>
      <c r="G5" s="2001"/>
      <c r="H5" s="2002"/>
      <c r="I5" s="2003"/>
      <c r="J5" s="2003"/>
      <c r="K5" s="2003"/>
      <c r="L5" s="2003"/>
      <c r="M5" s="2003"/>
      <c r="N5" s="2003"/>
      <c r="O5" s="1214"/>
      <c r="P5" s="2004" t="s">
        <v>2953</v>
      </c>
      <c r="Q5" s="2005"/>
      <c r="R5" s="1688"/>
      <c r="S5" s="1998" t="s">
        <v>2948</v>
      </c>
      <c r="T5" s="1999"/>
      <c r="U5" s="1999"/>
      <c r="V5" s="2000"/>
      <c r="W5" s="2007"/>
      <c r="X5" s="2007"/>
      <c r="Y5" s="2009"/>
      <c r="Z5" s="2012"/>
      <c r="AA5" s="2013"/>
      <c r="AB5" s="2013"/>
      <c r="AC5" s="2013"/>
      <c r="AD5" s="2013"/>
      <c r="AE5" s="2013"/>
      <c r="AF5" s="1162"/>
      <c r="AG5" s="1163"/>
      <c r="AH5" s="1164"/>
      <c r="AI5" s="2019" t="s">
        <v>2962</v>
      </c>
      <c r="AJ5" s="2020"/>
      <c r="AK5" s="1887"/>
      <c r="AL5" s="2014" t="s">
        <v>4158</v>
      </c>
      <c r="AM5" s="2015"/>
      <c r="AN5" s="2023"/>
      <c r="AO5" s="2023"/>
      <c r="AP5" s="2023"/>
      <c r="AQ5" s="2023"/>
      <c r="AR5" s="2023"/>
      <c r="AS5" s="2024"/>
    </row>
    <row r="6" spans="1:45" s="637" customFormat="1" ht="43.5" customHeight="1" thickTop="1" thickBot="1">
      <c r="A6" s="1143" t="s">
        <v>19</v>
      </c>
      <c r="B6" s="780" t="s">
        <v>1409</v>
      </c>
      <c r="C6" s="780" t="s">
        <v>3968</v>
      </c>
      <c r="D6" s="1744" t="s">
        <v>6014</v>
      </c>
      <c r="E6" s="521" t="s">
        <v>20</v>
      </c>
      <c r="F6" s="1116" t="s">
        <v>467</v>
      </c>
      <c r="G6" s="1165" t="s">
        <v>2853</v>
      </c>
      <c r="H6" s="1129" t="s">
        <v>21</v>
      </c>
      <c r="I6" s="1128" t="s">
        <v>1410</v>
      </c>
      <c r="J6" s="1127" t="s">
        <v>23</v>
      </c>
      <c r="K6" s="1127" t="s">
        <v>1411</v>
      </c>
      <c r="L6" s="1127"/>
      <c r="M6" s="1129" t="s">
        <v>2967</v>
      </c>
      <c r="N6" s="1129" t="s">
        <v>2958</v>
      </c>
      <c r="O6" s="1130" t="s">
        <v>1412</v>
      </c>
      <c r="P6" s="1131" t="s">
        <v>2946</v>
      </c>
      <c r="Q6" s="1131" t="s">
        <v>2947</v>
      </c>
      <c r="R6" s="1687" t="s">
        <v>5587</v>
      </c>
      <c r="S6" s="1132" t="s">
        <v>2949</v>
      </c>
      <c r="T6" s="1132" t="s">
        <v>2952</v>
      </c>
      <c r="U6" s="1133" t="s">
        <v>2950</v>
      </c>
      <c r="V6" s="1150" t="s">
        <v>2951</v>
      </c>
      <c r="W6" s="111" t="s">
        <v>1413</v>
      </c>
      <c r="X6" s="364" t="s">
        <v>2954</v>
      </c>
      <c r="Y6" s="1782" t="s">
        <v>1414</v>
      </c>
      <c r="Z6" s="51" t="s">
        <v>28</v>
      </c>
      <c r="AA6" s="51" t="s">
        <v>5664</v>
      </c>
      <c r="AB6" s="43" t="s">
        <v>1415</v>
      </c>
      <c r="AC6" s="51" t="s">
        <v>1416</v>
      </c>
      <c r="AD6" s="43" t="s">
        <v>2747</v>
      </c>
      <c r="AE6" s="108" t="s">
        <v>29</v>
      </c>
      <c r="AF6" s="1159" t="s">
        <v>1417</v>
      </c>
      <c r="AG6" s="1160" t="s">
        <v>1418</v>
      </c>
      <c r="AH6" s="1161" t="s">
        <v>1419</v>
      </c>
      <c r="AI6" s="1160" t="s">
        <v>2963</v>
      </c>
      <c r="AJ6" s="1506" t="s">
        <v>2964</v>
      </c>
      <c r="AK6" s="1699" t="s">
        <v>5799</v>
      </c>
      <c r="AL6" s="1510" t="s">
        <v>6759</v>
      </c>
      <c r="AM6" s="1511" t="s">
        <v>4160</v>
      </c>
      <c r="AN6" s="706" t="s">
        <v>4397</v>
      </c>
      <c r="AO6" s="154" t="s">
        <v>1421</v>
      </c>
      <c r="AP6" s="154" t="s">
        <v>1422</v>
      </c>
      <c r="AQ6" s="378" t="s">
        <v>1423</v>
      </c>
      <c r="AR6" s="1895" t="s">
        <v>6557</v>
      </c>
      <c r="AS6" s="921" t="s">
        <v>1424</v>
      </c>
    </row>
    <row r="7" spans="1:45" s="729" customFormat="1" ht="27" customHeight="1" thickTop="1" thickBot="1">
      <c r="A7" s="1144"/>
      <c r="B7" s="730"/>
      <c r="C7" s="730"/>
      <c r="D7" s="730"/>
      <c r="E7" s="739"/>
      <c r="F7" s="1117"/>
      <c r="G7" s="1122"/>
      <c r="H7" s="1125"/>
      <c r="I7" s="1124"/>
      <c r="J7" s="1123"/>
      <c r="K7" s="1123"/>
      <c r="L7" s="1123"/>
      <c r="M7" s="1787"/>
      <c r="N7" s="1125"/>
      <c r="O7" s="1126"/>
      <c r="P7" s="1123"/>
      <c r="Q7" s="1123"/>
      <c r="R7" s="1123"/>
      <c r="S7" s="1123"/>
      <c r="T7" s="1123"/>
      <c r="U7" s="1123"/>
      <c r="V7" s="1151"/>
      <c r="W7" s="724"/>
      <c r="X7" s="722"/>
      <c r="Y7" s="714"/>
      <c r="Z7" s="723"/>
      <c r="AA7" s="723"/>
      <c r="AB7" s="725"/>
      <c r="AC7" s="723"/>
      <c r="AD7" s="1046"/>
      <c r="AE7" s="739"/>
      <c r="AF7" s="747"/>
      <c r="AG7" s="748"/>
      <c r="AH7" s="749"/>
      <c r="AI7" s="748"/>
      <c r="AJ7" s="750"/>
      <c r="AK7" s="750"/>
      <c r="AL7" s="1509"/>
      <c r="AM7" s="1512"/>
      <c r="AN7" s="714"/>
      <c r="AO7" s="714"/>
      <c r="AP7" s="714"/>
      <c r="AQ7" s="750"/>
      <c r="AR7" s="1509"/>
      <c r="AS7" s="750"/>
    </row>
    <row r="8" spans="1:45" s="299" customFormat="1" ht="75.75" hidden="1" customHeight="1" thickTop="1" thickBot="1">
      <c r="A8" s="1145">
        <f>OBRA!J6</f>
        <v>2013</v>
      </c>
      <c r="B8" s="782" t="s">
        <v>1427</v>
      </c>
      <c r="C8" s="782"/>
      <c r="D8" s="782"/>
      <c r="E8" s="291" t="str">
        <f>OBRA!M6</f>
        <v>FONDEREG</v>
      </c>
      <c r="F8" s="289"/>
      <c r="G8" s="301"/>
      <c r="H8" s="792" t="str">
        <f>OBRA!N6</f>
        <v>GMJ 015C OP/2013</v>
      </c>
      <c r="I8" s="302" t="str">
        <f>OBRA!O6</f>
        <v>INVITACIÓN</v>
      </c>
      <c r="J8" s="1118" t="str">
        <f>OBRA!P6</f>
        <v>RED DE AGUA POTABLE, DRENAJE Y EMPEDRADO EN CEMENTO, EN PROLONGACIÓN MORELOS, EN LA LOCALIDAD DE CHANTEPEC</v>
      </c>
      <c r="K8" s="1118"/>
      <c r="L8" s="1118"/>
      <c r="M8" s="1118"/>
      <c r="N8" s="1118"/>
      <c r="O8" s="1118"/>
      <c r="P8" s="1119">
        <f>OBRA!R6</f>
        <v>2564102.67</v>
      </c>
      <c r="Q8" s="1119"/>
      <c r="R8" s="1119"/>
      <c r="S8" s="1120">
        <f>OBRA!S6</f>
        <v>41501</v>
      </c>
      <c r="T8" s="1134" t="str">
        <f>OBRA!V6</f>
        <v>-</v>
      </c>
      <c r="U8" s="1121">
        <f>OBRA!T6</f>
        <v>41518</v>
      </c>
      <c r="V8" s="1152">
        <f>OBRA!U6</f>
        <v>41608</v>
      </c>
      <c r="W8" s="1153"/>
      <c r="X8" s="1140">
        <f>OBRA!AS6+OBRA!AT6</f>
        <v>2564102.67</v>
      </c>
      <c r="Y8" s="805"/>
      <c r="Z8" s="291" t="str">
        <f>OBRA!W6</f>
        <v>C. URIEL PALOS CUEVAS</v>
      </c>
      <c r="AA8" s="302"/>
      <c r="AB8" s="302" t="str">
        <f>Z8</f>
        <v>C. URIEL PALOS CUEVAS</v>
      </c>
      <c r="AC8" s="302" t="s">
        <v>2955</v>
      </c>
      <c r="AD8" s="301" t="s">
        <v>2955</v>
      </c>
      <c r="AE8" s="297" t="str">
        <f>OBRA!X6</f>
        <v>C. DANIEL RODRIGUEZ VALENZUELA</v>
      </c>
      <c r="AF8" s="792"/>
      <c r="AG8" s="302"/>
      <c r="AH8" s="297" t="e">
        <f t="shared" ref="AH8:AH71" si="0">X8/AF8</f>
        <v>#DIV/0!</v>
      </c>
      <c r="AI8" s="1135"/>
      <c r="AJ8" s="793"/>
      <c r="AK8" s="301"/>
      <c r="AL8" s="301"/>
      <c r="AM8" s="301"/>
      <c r="AN8" s="301"/>
      <c r="AO8" s="291"/>
      <c r="AP8" s="291"/>
      <c r="AQ8" s="291"/>
      <c r="AR8" s="301"/>
      <c r="AS8" s="794"/>
    </row>
    <row r="9" spans="1:45" s="299" customFormat="1" ht="75.75" hidden="1" customHeight="1">
      <c r="A9" s="1145">
        <f>OBRA!J7</f>
        <v>2013</v>
      </c>
      <c r="B9" s="782" t="s">
        <v>1427</v>
      </c>
      <c r="C9" s="782"/>
      <c r="D9" s="782"/>
      <c r="E9" s="291" t="str">
        <f>OBRA!M7</f>
        <v>RAMO 33</v>
      </c>
      <c r="F9" s="289"/>
      <c r="G9" s="515"/>
      <c r="H9" s="290" t="str">
        <f>OBRA!N7</f>
        <v>GMJ 022C OP/2013</v>
      </c>
      <c r="I9" s="291" t="str">
        <f>OBRA!O7</f>
        <v>ADJUDICACIÓN DIRECTA</v>
      </c>
      <c r="J9" s="292" t="str">
        <f>OBRA!P7</f>
        <v>REHABILITACIÓN DE UNIDAD DEPORTIVA, UBICADA EN ESQUINA DE AVENIDA DEL PARQUE Y CALLE ARTE EN LA DELEGACIÓN DE HUEJOTITAN</v>
      </c>
      <c r="K9" s="292"/>
      <c r="L9" s="292"/>
      <c r="M9" s="292"/>
      <c r="N9" s="292"/>
      <c r="O9" s="292"/>
      <c r="P9" s="293">
        <f>OBRA!R7</f>
        <v>666000</v>
      </c>
      <c r="Q9" s="293"/>
      <c r="R9" s="293"/>
      <c r="S9" s="294">
        <f>OBRA!S7</f>
        <v>41610</v>
      </c>
      <c r="T9" s="1134">
        <f>OBRA!V7</f>
        <v>41610</v>
      </c>
      <c r="U9" s="295">
        <f>OBRA!T7</f>
        <v>41612</v>
      </c>
      <c r="V9" s="296">
        <f>OBRA!U7</f>
        <v>41638</v>
      </c>
      <c r="W9" s="1153"/>
      <c r="X9" s="795">
        <f>OBRA!AS7+OBRA!AT7</f>
        <v>636723.75</v>
      </c>
      <c r="Y9" s="805"/>
      <c r="Z9" s="301" t="str">
        <f>OBRA!W7</f>
        <v>CONSTRUCTORA TGV, S.A. DE C.V.</v>
      </c>
      <c r="AA9" s="301"/>
      <c r="AB9" s="302" t="str">
        <f t="shared" ref="AB9:AB72" si="1">Z9</f>
        <v>CONSTRUCTORA TGV, S.A. DE C.V.</v>
      </c>
      <c r="AC9" s="301" t="e">
        <f>#REF!</f>
        <v>#REF!</v>
      </c>
      <c r="AD9" s="301"/>
      <c r="AE9" s="297" t="str">
        <f>OBRA!X7</f>
        <v>C. DANIEL RODRIGUEZ VALENZUELA</v>
      </c>
      <c r="AF9" s="290"/>
      <c r="AG9" s="291"/>
      <c r="AH9" s="297" t="e">
        <f t="shared" si="0"/>
        <v>#DIV/0!</v>
      </c>
      <c r="AI9" s="291"/>
      <c r="AJ9" s="572"/>
      <c r="AK9" s="515"/>
      <c r="AL9" s="515"/>
      <c r="AM9" s="515"/>
      <c r="AN9" s="515"/>
      <c r="AO9" s="291"/>
      <c r="AP9" s="291"/>
      <c r="AQ9" s="291"/>
      <c r="AR9" s="515"/>
      <c r="AS9" s="572"/>
    </row>
    <row r="10" spans="1:45" s="299" customFormat="1" ht="75.75" hidden="1" customHeight="1">
      <c r="A10" s="1145">
        <f>OBRA!J8</f>
        <v>2013</v>
      </c>
      <c r="B10" s="782" t="s">
        <v>1427</v>
      </c>
      <c r="C10" s="782"/>
      <c r="D10" s="782"/>
      <c r="E10" s="291" t="str">
        <f>OBRA!M8</f>
        <v>RAMO 33</v>
      </c>
      <c r="F10" s="289"/>
      <c r="G10" s="515"/>
      <c r="H10" s="290" t="str">
        <f>OBRA!N8</f>
        <v>GMJ 023C OP/2013</v>
      </c>
      <c r="I10" s="291" t="str">
        <f>OBRA!O8</f>
        <v>ADJUDICACIÓN DIRECTA</v>
      </c>
      <c r="J10" s="292" t="str">
        <f>OBRA!P8</f>
        <v>CONSTRUCCIÓN DE MODULOS DE BAÑOS JUNTO A LA UNIDAD DEPORTIVA, EN LA AGENCIA MUNICIPAL DE EL MOLINO</v>
      </c>
      <c r="K10" s="292"/>
      <c r="L10" s="292"/>
      <c r="M10" s="292"/>
      <c r="N10" s="292"/>
      <c r="O10" s="292"/>
      <c r="P10" s="293">
        <f>OBRA!R8</f>
        <v>160000</v>
      </c>
      <c r="Q10" s="293"/>
      <c r="R10" s="293"/>
      <c r="S10" s="294">
        <f>OBRA!S8</f>
        <v>41610</v>
      </c>
      <c r="T10" s="1134">
        <f>OBRA!V8</f>
        <v>41610</v>
      </c>
      <c r="U10" s="295">
        <f>OBRA!T8</f>
        <v>41617</v>
      </c>
      <c r="V10" s="296">
        <f>OBRA!U8</f>
        <v>41638</v>
      </c>
      <c r="W10" s="1153"/>
      <c r="X10" s="795">
        <f>OBRA!AS8+OBRA!AT8</f>
        <v>152401.41</v>
      </c>
      <c r="Y10" s="805"/>
      <c r="Z10" s="301" t="str">
        <f>OBRA!W8</f>
        <v>CONSTRUCTORA TGV, S.A. DE C.V.</v>
      </c>
      <c r="AA10" s="301"/>
      <c r="AB10" s="302" t="str">
        <f t="shared" si="1"/>
        <v>CONSTRUCTORA TGV, S.A. DE C.V.</v>
      </c>
      <c r="AC10" s="301" t="e">
        <f>#REF!</f>
        <v>#REF!</v>
      </c>
      <c r="AD10" s="301"/>
      <c r="AE10" s="297" t="str">
        <f>OBRA!X8</f>
        <v>C. DANIEL RODRIGUEZ VALENZUELA</v>
      </c>
      <c r="AF10" s="290"/>
      <c r="AG10" s="291"/>
      <c r="AH10" s="297" t="e">
        <f t="shared" si="0"/>
        <v>#DIV/0!</v>
      </c>
      <c r="AI10" s="291"/>
      <c r="AJ10" s="572"/>
      <c r="AK10" s="515"/>
      <c r="AL10" s="515"/>
      <c r="AM10" s="515"/>
      <c r="AN10" s="515"/>
      <c r="AO10" s="291"/>
      <c r="AP10" s="291"/>
      <c r="AQ10" s="291"/>
      <c r="AR10" s="515"/>
      <c r="AS10" s="572"/>
    </row>
    <row r="11" spans="1:45" s="104" customFormat="1" ht="75.75" hidden="1" customHeight="1">
      <c r="A11" s="1146">
        <f>OBRA!J9</f>
        <v>2013</v>
      </c>
      <c r="B11" s="781" t="s">
        <v>1427</v>
      </c>
      <c r="C11" s="781"/>
      <c r="D11" s="781"/>
      <c r="E11" s="85" t="str">
        <f>OBRA!M9</f>
        <v>RAMO 33</v>
      </c>
      <c r="F11" s="83"/>
      <c r="G11" s="514"/>
      <c r="H11" s="84" t="str">
        <f>OBRA!N9</f>
        <v>DOP/AD/011/2013</v>
      </c>
      <c r="I11" s="185" t="s">
        <v>251</v>
      </c>
      <c r="J11" s="125" t="str">
        <f>OBRA!P9</f>
        <v>BACHEO DE EMPEDRADO NORMAL EN CALLES: ALLENE, PORFIRIO DIAZ Y MATAMOROS, EN SAN CRISTOBAL ZAPOTITLAN</v>
      </c>
      <c r="K11" s="125"/>
      <c r="L11" s="125"/>
      <c r="M11" s="125"/>
      <c r="N11" s="125"/>
      <c r="O11" s="125"/>
      <c r="P11" s="86">
        <f>OBRA!R9</f>
        <v>0</v>
      </c>
      <c r="Q11" s="86"/>
      <c r="R11" s="86"/>
      <c r="S11" s="87" t="s">
        <v>68</v>
      </c>
      <c r="T11" s="1134" t="str">
        <f>OBRA!V9</f>
        <v>-</v>
      </c>
      <c r="U11" s="88" t="s">
        <v>68</v>
      </c>
      <c r="V11" s="89" t="s">
        <v>68</v>
      </c>
      <c r="W11" s="338"/>
      <c r="X11" s="810">
        <f>OBRA!AS9+OBRA!AT9</f>
        <v>0</v>
      </c>
      <c r="Y11" s="821"/>
      <c r="Z11" s="147" t="str">
        <f>OBRA!W9</f>
        <v>-</v>
      </c>
      <c r="AA11" s="147"/>
      <c r="AB11" s="149" t="str">
        <f t="shared" si="1"/>
        <v>-</v>
      </c>
      <c r="AC11" s="147" t="e">
        <f>#REF!</f>
        <v>#REF!</v>
      </c>
      <c r="AD11" s="147"/>
      <c r="AE11" s="275" t="s">
        <v>251</v>
      </c>
      <c r="AF11" s="84"/>
      <c r="AG11" s="85"/>
      <c r="AH11" s="184" t="e">
        <f t="shared" si="0"/>
        <v>#DIV/0!</v>
      </c>
      <c r="AI11" s="85"/>
      <c r="AJ11" s="575"/>
      <c r="AK11" s="514"/>
      <c r="AL11" s="514"/>
      <c r="AM11" s="514"/>
      <c r="AN11" s="514"/>
      <c r="AO11" s="514"/>
      <c r="AP11" s="514"/>
      <c r="AQ11" s="514"/>
      <c r="AR11" s="514"/>
      <c r="AS11" s="514"/>
    </row>
    <row r="12" spans="1:45" s="299" customFormat="1" ht="75.75" hidden="1" customHeight="1">
      <c r="A12" s="288">
        <f>OBRA!J10</f>
        <v>2013</v>
      </c>
      <c r="B12" s="782" t="s">
        <v>1427</v>
      </c>
      <c r="C12" s="782"/>
      <c r="D12" s="782"/>
      <c r="E12" s="291" t="str">
        <f>OBRA!M10</f>
        <v>RAMO 33</v>
      </c>
      <c r="F12" s="289"/>
      <c r="G12" s="515"/>
      <c r="H12" s="290" t="str">
        <f>OBRA!N10</f>
        <v>DOP/AD/010/2013</v>
      </c>
      <c r="I12" s="291" t="str">
        <f>OBRA!O10</f>
        <v>ADMINISTRACIÓN DIRECTA</v>
      </c>
      <c r="J12" s="292" t="str">
        <f>OBRA!P10</f>
        <v>COLOCACIÓN DE CARPETA ASFALTICA EN C. ZARAGOZA Y C. RAMÓN CORONA, EN LA LOCALIDAD DE SAN CRISTOBAL ZAPOTITLAN</v>
      </c>
      <c r="K12" s="292"/>
      <c r="L12" s="292"/>
      <c r="M12" s="292"/>
      <c r="N12" s="292"/>
      <c r="O12" s="292"/>
      <c r="P12" s="293">
        <f>OBRA!R10</f>
        <v>234538.12</v>
      </c>
      <c r="Q12" s="293"/>
      <c r="R12" s="293"/>
      <c r="S12" s="294">
        <f>OBRA!S10</f>
        <v>41479</v>
      </c>
      <c r="T12" s="1134" t="str">
        <f>OBRA!V10</f>
        <v>-</v>
      </c>
      <c r="U12" s="295">
        <f>OBRA!T10</f>
        <v>41479</v>
      </c>
      <c r="V12" s="296">
        <f>OBRA!U10</f>
        <v>41486</v>
      </c>
      <c r="W12" s="1157"/>
      <c r="X12" s="795">
        <f>OBRA!AS10+OBRA!AT10</f>
        <v>234538.08000000002</v>
      </c>
      <c r="Y12" s="805"/>
      <c r="Z12" s="301" t="str">
        <f>OBRA!W10</f>
        <v>-</v>
      </c>
      <c r="AA12" s="301"/>
      <c r="AB12" s="302" t="str">
        <f t="shared" si="1"/>
        <v>-</v>
      </c>
      <c r="AC12" s="301" t="e">
        <f>#REF!</f>
        <v>#REF!</v>
      </c>
      <c r="AD12" s="301"/>
      <c r="AE12" s="297">
        <f>OBRA!X10</f>
        <v>0</v>
      </c>
      <c r="AF12" s="290"/>
      <c r="AG12" s="291"/>
      <c r="AH12" s="297" t="e">
        <f t="shared" si="0"/>
        <v>#DIV/0!</v>
      </c>
      <c r="AI12" s="291"/>
      <c r="AJ12" s="572"/>
      <c r="AK12" s="515"/>
      <c r="AL12" s="515"/>
      <c r="AM12" s="515"/>
      <c r="AN12" s="515"/>
      <c r="AO12" s="291"/>
      <c r="AP12" s="291"/>
      <c r="AQ12" s="291"/>
      <c r="AR12" s="515"/>
      <c r="AS12" s="572"/>
    </row>
    <row r="13" spans="1:45" s="299" customFormat="1" ht="75.75" hidden="1" customHeight="1">
      <c r="A13" s="288">
        <f>OBRA!J11</f>
        <v>2013</v>
      </c>
      <c r="B13" s="782" t="s">
        <v>1427</v>
      </c>
      <c r="C13" s="782"/>
      <c r="D13" s="782"/>
      <c r="E13" s="291" t="str">
        <f>OBRA!M11</f>
        <v>RAMO 33</v>
      </c>
      <c r="F13" s="289"/>
      <c r="G13" s="515"/>
      <c r="H13" s="290" t="str">
        <f>OBRA!N11</f>
        <v>DOP/AD/007/2013</v>
      </c>
      <c r="I13" s="291" t="str">
        <f>OBRA!O11</f>
        <v>ADMINISTRACIÓN DIRECTA</v>
      </c>
      <c r="J13" s="292" t="str">
        <f>OBRA!P11</f>
        <v>EMPEDRADO AHOGADO EN CEMENTO EN C. GALEANA DE ZARGOZA AL NORTE, EN LA LOCALIDAD DE SAN JUAN COSALA</v>
      </c>
      <c r="K13" s="292"/>
      <c r="L13" s="292"/>
      <c r="M13" s="292"/>
      <c r="N13" s="292"/>
      <c r="O13" s="292"/>
      <c r="P13" s="293">
        <f>OBRA!R11</f>
        <v>270189.96000000002</v>
      </c>
      <c r="Q13" s="293"/>
      <c r="R13" s="293"/>
      <c r="S13" s="294">
        <f>OBRA!S11</f>
        <v>41484</v>
      </c>
      <c r="T13" s="1134" t="str">
        <f>OBRA!V11</f>
        <v>-</v>
      </c>
      <c r="U13" s="295">
        <f>OBRA!T11</f>
        <v>41479</v>
      </c>
      <c r="V13" s="296">
        <f>OBRA!U11</f>
        <v>41510</v>
      </c>
      <c r="W13" s="1153"/>
      <c r="X13" s="795">
        <f>OBRA!AS11+OBRA!AT11</f>
        <v>269982.81</v>
      </c>
      <c r="Y13" s="805"/>
      <c r="Z13" s="301" t="str">
        <f>OBRA!W11</f>
        <v>-</v>
      </c>
      <c r="AA13" s="301"/>
      <c r="AB13" s="302" t="str">
        <f t="shared" si="1"/>
        <v>-</v>
      </c>
      <c r="AC13" s="301" t="e">
        <f>#REF!</f>
        <v>#REF!</v>
      </c>
      <c r="AD13" s="301"/>
      <c r="AE13" s="297">
        <f>OBRA!X11</f>
        <v>0</v>
      </c>
      <c r="AF13" s="290"/>
      <c r="AG13" s="291"/>
      <c r="AH13" s="297" t="e">
        <f t="shared" si="0"/>
        <v>#DIV/0!</v>
      </c>
      <c r="AI13" s="291"/>
      <c r="AJ13" s="572"/>
      <c r="AK13" s="515"/>
      <c r="AL13" s="515"/>
      <c r="AM13" s="515"/>
      <c r="AN13" s="515"/>
      <c r="AO13" s="291"/>
      <c r="AP13" s="291"/>
      <c r="AQ13" s="291"/>
      <c r="AR13" s="515"/>
      <c r="AS13" s="572"/>
    </row>
    <row r="14" spans="1:45" s="299" customFormat="1" ht="75.75" hidden="1" customHeight="1">
      <c r="A14" s="288">
        <f>OBRA!J12</f>
        <v>2013</v>
      </c>
      <c r="B14" s="782" t="s">
        <v>1427</v>
      </c>
      <c r="C14" s="782"/>
      <c r="D14" s="782"/>
      <c r="E14" s="291" t="str">
        <f>OBRA!M12</f>
        <v>RAMO 33</v>
      </c>
      <c r="F14" s="289"/>
      <c r="G14" s="515"/>
      <c r="H14" s="290" t="str">
        <f>OBRA!N12</f>
        <v>DOP/AD/006/2013</v>
      </c>
      <c r="I14" s="291" t="str">
        <f>OBRA!O12</f>
        <v>ADMINISTRACIÓN DIRECTA</v>
      </c>
      <c r="J14" s="292" t="str">
        <f>OBRA!P12</f>
        <v>EMPEDRADO AHOGADO EN CEMENTO, MURO Y BANQUETA CALLEJON ALLENDE EN LA LOCALIDAD DE CHANTEPEC</v>
      </c>
      <c r="K14" s="292"/>
      <c r="L14" s="292"/>
      <c r="M14" s="292"/>
      <c r="N14" s="292"/>
      <c r="O14" s="292"/>
      <c r="P14" s="293">
        <f>OBRA!R12</f>
        <v>297377.52</v>
      </c>
      <c r="Q14" s="293"/>
      <c r="R14" s="293"/>
      <c r="S14" s="294">
        <f>OBRA!S12</f>
        <v>41479</v>
      </c>
      <c r="T14" s="1134" t="str">
        <f>OBRA!V12</f>
        <v>-</v>
      </c>
      <c r="U14" s="295">
        <f>OBRA!T12</f>
        <v>41479</v>
      </c>
      <c r="V14" s="296">
        <f>OBRA!U12</f>
        <v>41501</v>
      </c>
      <c r="W14" s="1153"/>
      <c r="X14" s="795">
        <f>OBRA!AS12+OBRA!AT12</f>
        <v>294351.64</v>
      </c>
      <c r="Y14" s="805"/>
      <c r="Z14" s="301" t="str">
        <f>OBRA!W12</f>
        <v>-</v>
      </c>
      <c r="AA14" s="301"/>
      <c r="AB14" s="302" t="str">
        <f t="shared" si="1"/>
        <v>-</v>
      </c>
      <c r="AC14" s="301" t="e">
        <f>#REF!</f>
        <v>#REF!</v>
      </c>
      <c r="AD14" s="301"/>
      <c r="AE14" s="297">
        <f>OBRA!X12</f>
        <v>0</v>
      </c>
      <c r="AF14" s="290"/>
      <c r="AG14" s="291"/>
      <c r="AH14" s="297" t="e">
        <f t="shared" si="0"/>
        <v>#DIV/0!</v>
      </c>
      <c r="AI14" s="291"/>
      <c r="AJ14" s="572"/>
      <c r="AK14" s="515"/>
      <c r="AL14" s="515"/>
      <c r="AM14" s="515"/>
      <c r="AN14" s="515"/>
      <c r="AO14" s="291"/>
      <c r="AP14" s="291"/>
      <c r="AQ14" s="291"/>
      <c r="AR14" s="515"/>
      <c r="AS14" s="572"/>
    </row>
    <row r="15" spans="1:45" s="299" customFormat="1" ht="75.75" hidden="1" customHeight="1">
      <c r="A15" s="288">
        <f>OBRA!J13</f>
        <v>2013</v>
      </c>
      <c r="B15" s="782" t="s">
        <v>1427</v>
      </c>
      <c r="C15" s="782"/>
      <c r="D15" s="782"/>
      <c r="E15" s="291" t="str">
        <f>OBRA!M13</f>
        <v>RAMO 33</v>
      </c>
      <c r="F15" s="289"/>
      <c r="G15" s="515"/>
      <c r="H15" s="290" t="str">
        <f>OBRA!N13</f>
        <v>DOP/AD/018/2013</v>
      </c>
      <c r="I15" s="291" t="str">
        <f>OBRA!O13</f>
        <v>ADMINISTRACIÓN DIRECTA</v>
      </c>
      <c r="J15" s="292" t="str">
        <f>OBRA!P13</f>
        <v>EMPEDRADO NORMAL EN C. VICENTE GUERRERO, EN LA DELEGACIÓN DE ZAPOTITAN DE HIDALGO</v>
      </c>
      <c r="K15" s="292"/>
      <c r="L15" s="292"/>
      <c r="M15" s="292"/>
      <c r="N15" s="292"/>
      <c r="O15" s="292"/>
      <c r="P15" s="293">
        <f>OBRA!R13</f>
        <v>371000</v>
      </c>
      <c r="Q15" s="293"/>
      <c r="R15" s="293"/>
      <c r="S15" s="294">
        <f>OBRA!S13</f>
        <v>41502</v>
      </c>
      <c r="T15" s="1134" t="str">
        <f>OBRA!V13</f>
        <v>-</v>
      </c>
      <c r="U15" s="295">
        <f>OBRA!T13</f>
        <v>41507</v>
      </c>
      <c r="V15" s="296">
        <f>OBRA!U13</f>
        <v>41538</v>
      </c>
      <c r="W15" s="1153"/>
      <c r="X15" s="795">
        <f>OBRA!AS13+OBRA!AT13</f>
        <v>187724.11</v>
      </c>
      <c r="Y15" s="805"/>
      <c r="Z15" s="301" t="str">
        <f>OBRA!W13</f>
        <v>-</v>
      </c>
      <c r="AA15" s="301"/>
      <c r="AB15" s="302" t="str">
        <f t="shared" si="1"/>
        <v>-</v>
      </c>
      <c r="AC15" s="301" t="e">
        <f>#REF!</f>
        <v>#REF!</v>
      </c>
      <c r="AD15" s="301"/>
      <c r="AE15" s="297">
        <f>OBRA!X13</f>
        <v>0</v>
      </c>
      <c r="AF15" s="290"/>
      <c r="AG15" s="291"/>
      <c r="AH15" s="297" t="e">
        <f t="shared" si="0"/>
        <v>#DIV/0!</v>
      </c>
      <c r="AI15" s="291"/>
      <c r="AJ15" s="572"/>
      <c r="AK15" s="515"/>
      <c r="AL15" s="515"/>
      <c r="AM15" s="515"/>
      <c r="AN15" s="515"/>
      <c r="AO15" s="291"/>
      <c r="AP15" s="291"/>
      <c r="AQ15" s="291"/>
      <c r="AR15" s="515"/>
      <c r="AS15" s="572"/>
    </row>
    <row r="16" spans="1:45" s="299" customFormat="1" ht="75.75" hidden="1" customHeight="1">
      <c r="A16" s="288">
        <f>OBRA!J14</f>
        <v>2013</v>
      </c>
      <c r="B16" s="782" t="s">
        <v>1427</v>
      </c>
      <c r="C16" s="782"/>
      <c r="D16" s="782"/>
      <c r="E16" s="291" t="str">
        <f>OBRA!M14</f>
        <v>RAMO 33</v>
      </c>
      <c r="F16" s="289"/>
      <c r="G16" s="515"/>
      <c r="H16" s="290" t="str">
        <f>OBRA!N14</f>
        <v>DOP/AD/016/2013</v>
      </c>
      <c r="I16" s="291" t="str">
        <f>OBRA!O14</f>
        <v>ADMINISTRACIÓN DIRECTA</v>
      </c>
      <c r="J16" s="292" t="str">
        <f>OBRA!P14</f>
        <v>EMPEDRADO NORMAL CON PIEDRA BRAZA EN C. JUAREZ ENTRE INGRESO Y PLAZA, EN LA DELEGACIÓN DE EL SAUZ</v>
      </c>
      <c r="K16" s="292"/>
      <c r="L16" s="292"/>
      <c r="M16" s="292"/>
      <c r="N16" s="292"/>
      <c r="O16" s="292"/>
      <c r="P16" s="293">
        <f>OBRA!R14</f>
        <v>355866.93</v>
      </c>
      <c r="Q16" s="293"/>
      <c r="R16" s="293"/>
      <c r="S16" s="294">
        <f>OBRA!S14</f>
        <v>41479</v>
      </c>
      <c r="T16" s="1134" t="str">
        <f>OBRA!V14</f>
        <v>-</v>
      </c>
      <c r="U16" s="295">
        <f>OBRA!T14</f>
        <v>41479</v>
      </c>
      <c r="V16" s="296">
        <f>OBRA!U14</f>
        <v>41493</v>
      </c>
      <c r="W16" s="1153"/>
      <c r="X16" s="795">
        <f>OBRA!AS14+OBRA!AT14</f>
        <v>312401.74</v>
      </c>
      <c r="Y16" s="805"/>
      <c r="Z16" s="301" t="str">
        <f>OBRA!W14</f>
        <v>-</v>
      </c>
      <c r="AA16" s="301"/>
      <c r="AB16" s="302" t="str">
        <f t="shared" si="1"/>
        <v>-</v>
      </c>
      <c r="AC16" s="301" t="e">
        <f>#REF!</f>
        <v>#REF!</v>
      </c>
      <c r="AD16" s="301"/>
      <c r="AE16" s="297">
        <f>OBRA!X14</f>
        <v>0</v>
      </c>
      <c r="AF16" s="290"/>
      <c r="AG16" s="291"/>
      <c r="AH16" s="297" t="e">
        <f t="shared" si="0"/>
        <v>#DIV/0!</v>
      </c>
      <c r="AI16" s="291"/>
      <c r="AJ16" s="572"/>
      <c r="AK16" s="515"/>
      <c r="AL16" s="515"/>
      <c r="AM16" s="515"/>
      <c r="AN16" s="515"/>
      <c r="AO16" s="291"/>
      <c r="AP16" s="291"/>
      <c r="AQ16" s="291"/>
      <c r="AR16" s="515"/>
      <c r="AS16" s="572"/>
    </row>
    <row r="17" spans="1:45" s="299" customFormat="1" ht="75.75" hidden="1" customHeight="1">
      <c r="A17" s="288">
        <f>OBRA!J15</f>
        <v>2013</v>
      </c>
      <c r="B17" s="782" t="s">
        <v>1427</v>
      </c>
      <c r="C17" s="782"/>
      <c r="D17" s="782"/>
      <c r="E17" s="291" t="str">
        <f>OBRA!M15</f>
        <v>RAMO 33</v>
      </c>
      <c r="F17" s="289"/>
      <c r="G17" s="515"/>
      <c r="H17" s="290" t="str">
        <f>OBRA!N15</f>
        <v>DOP/AD/015/2013</v>
      </c>
      <c r="I17" s="291" t="str">
        <f>OBRA!O15</f>
        <v>ADMINISTRACIÓN DIRECTA</v>
      </c>
      <c r="J17" s="292" t="str">
        <f>OBRA!P15</f>
        <v>COLECTOR DE ALEJAMIENTO DE AGUAS RESIDUALES EN LA AGENCIA MUNICIPAL DE EL MOLINO</v>
      </c>
      <c r="K17" s="292"/>
      <c r="L17" s="292"/>
      <c r="M17" s="292"/>
      <c r="N17" s="292"/>
      <c r="O17" s="292"/>
      <c r="P17" s="293">
        <f>OBRA!R15</f>
        <v>73286.47</v>
      </c>
      <c r="Q17" s="293"/>
      <c r="R17" s="293"/>
      <c r="S17" s="294">
        <f>OBRA!S15</f>
        <v>41488</v>
      </c>
      <c r="T17" s="1134" t="str">
        <f>OBRA!V15</f>
        <v>-</v>
      </c>
      <c r="U17" s="295">
        <f>OBRA!T15</f>
        <v>41507</v>
      </c>
      <c r="V17" s="296">
        <f>OBRA!U15</f>
        <v>41538</v>
      </c>
      <c r="W17" s="1153"/>
      <c r="X17" s="795">
        <f>OBRA!AS15+OBRA!AT15</f>
        <v>42421</v>
      </c>
      <c r="Y17" s="805"/>
      <c r="Z17" s="301" t="str">
        <f>OBRA!W15</f>
        <v>-</v>
      </c>
      <c r="AA17" s="301"/>
      <c r="AB17" s="302" t="str">
        <f t="shared" si="1"/>
        <v>-</v>
      </c>
      <c r="AC17" s="301" t="e">
        <f>#REF!</f>
        <v>#REF!</v>
      </c>
      <c r="AD17" s="301"/>
      <c r="AE17" s="297">
        <f>OBRA!X15</f>
        <v>0</v>
      </c>
      <c r="AF17" s="290"/>
      <c r="AG17" s="291"/>
      <c r="AH17" s="297" t="e">
        <f t="shared" si="0"/>
        <v>#DIV/0!</v>
      </c>
      <c r="AI17" s="291"/>
      <c r="AJ17" s="572"/>
      <c r="AK17" s="515"/>
      <c r="AL17" s="515"/>
      <c r="AM17" s="515"/>
      <c r="AN17" s="515"/>
      <c r="AO17" s="291"/>
      <c r="AP17" s="291"/>
      <c r="AQ17" s="291"/>
      <c r="AR17" s="515"/>
      <c r="AS17" s="572"/>
    </row>
    <row r="18" spans="1:45" s="299" customFormat="1" ht="75.75" hidden="1" customHeight="1">
      <c r="A18" s="288">
        <f>OBRA!J16</f>
        <v>2013</v>
      </c>
      <c r="B18" s="782" t="s">
        <v>1427</v>
      </c>
      <c r="C18" s="782"/>
      <c r="D18" s="782"/>
      <c r="E18" s="291" t="str">
        <f>OBRA!M16</f>
        <v>RAMO 33</v>
      </c>
      <c r="F18" s="289"/>
      <c r="G18" s="515"/>
      <c r="H18" s="290" t="str">
        <f>OBRA!N16</f>
        <v>DOP/AD/014/2013</v>
      </c>
      <c r="I18" s="291" t="str">
        <f>OBRA!O16</f>
        <v>ADMINISTRACIÓN DIRECTA</v>
      </c>
      <c r="J18" s="292" t="str">
        <f>OBRA!P16</f>
        <v>EMPEDRADO NORMAL C. 16 DE SEPTIEMBRE LA LOMA</v>
      </c>
      <c r="K18" s="292"/>
      <c r="L18" s="292"/>
      <c r="M18" s="292"/>
      <c r="N18" s="292"/>
      <c r="O18" s="292"/>
      <c r="P18" s="293">
        <f>OBRA!R16</f>
        <v>172000</v>
      </c>
      <c r="Q18" s="293"/>
      <c r="R18" s="293"/>
      <c r="S18" s="294">
        <f>OBRA!S16</f>
        <v>41488</v>
      </c>
      <c r="T18" s="1134" t="str">
        <f>OBRA!V16</f>
        <v>-</v>
      </c>
      <c r="U18" s="295">
        <f>OBRA!T16</f>
        <v>41493</v>
      </c>
      <c r="V18" s="296">
        <f>OBRA!U16</f>
        <v>41506</v>
      </c>
      <c r="W18" s="1153"/>
      <c r="X18" s="795">
        <f>OBRA!AS16+OBRA!AT16</f>
        <v>170153.3</v>
      </c>
      <c r="Y18" s="805"/>
      <c r="Z18" s="301" t="str">
        <f>OBRA!W16</f>
        <v>-</v>
      </c>
      <c r="AA18" s="301"/>
      <c r="AB18" s="302" t="str">
        <f t="shared" si="1"/>
        <v>-</v>
      </c>
      <c r="AC18" s="301" t="e">
        <f>#REF!</f>
        <v>#REF!</v>
      </c>
      <c r="AD18" s="301"/>
      <c r="AE18" s="297">
        <f>OBRA!X16</f>
        <v>0</v>
      </c>
      <c r="AF18" s="290"/>
      <c r="AG18" s="291"/>
      <c r="AH18" s="297" t="e">
        <f t="shared" si="0"/>
        <v>#DIV/0!</v>
      </c>
      <c r="AI18" s="291"/>
      <c r="AJ18" s="572"/>
      <c r="AK18" s="515"/>
      <c r="AL18" s="515"/>
      <c r="AM18" s="515"/>
      <c r="AN18" s="515"/>
      <c r="AO18" s="291"/>
      <c r="AP18" s="291"/>
      <c r="AQ18" s="291"/>
      <c r="AR18" s="515"/>
      <c r="AS18" s="572"/>
    </row>
    <row r="19" spans="1:45" s="299" customFormat="1" ht="75.75" hidden="1" customHeight="1">
      <c r="A19" s="288">
        <f>OBRA!J17</f>
        <v>2013</v>
      </c>
      <c r="B19" s="782" t="s">
        <v>1427</v>
      </c>
      <c r="C19" s="782"/>
      <c r="D19" s="782"/>
      <c r="E19" s="291" t="str">
        <f>OBRA!M17</f>
        <v>RAMO 33</v>
      </c>
      <c r="F19" s="289"/>
      <c r="G19" s="515"/>
      <c r="H19" s="290" t="str">
        <f>OBRA!N17</f>
        <v>GMJ 017C OP/2013</v>
      </c>
      <c r="I19" s="291" t="str">
        <f>OBRA!O17</f>
        <v>INVITACIÓN</v>
      </c>
      <c r="J19" s="292" t="str">
        <f>OBRA!P17</f>
        <v>ELECTRIFICACIÓN Y EQUIPAMIENTO DE POZO PROFUNDO, EN EL FRACCIONAMIENTO UBICADO EN LA ZONO OESTE DE LA MAGISTERIAL CABECERA MUNICIPAL</v>
      </c>
      <c r="K19" s="292"/>
      <c r="L19" s="292"/>
      <c r="M19" s="292"/>
      <c r="N19" s="292"/>
      <c r="O19" s="292"/>
      <c r="P19" s="293">
        <f>OBRA!R17</f>
        <v>1084867.96</v>
      </c>
      <c r="Q19" s="293"/>
      <c r="R19" s="293"/>
      <c r="S19" s="294">
        <f>OBRA!S17</f>
        <v>41516</v>
      </c>
      <c r="T19" s="1134" t="str">
        <f>OBRA!V17</f>
        <v>-</v>
      </c>
      <c r="U19" s="295">
        <f>OBRA!T17</f>
        <v>41553</v>
      </c>
      <c r="V19" s="296">
        <f>OBRA!U17</f>
        <v>41623</v>
      </c>
      <c r="W19" s="1153"/>
      <c r="X19" s="795">
        <f>OBRA!AS17+OBRA!AT17</f>
        <v>1084867.96</v>
      </c>
      <c r="Y19" s="805"/>
      <c r="Z19" s="962" t="str">
        <f>OBRA!W17</f>
        <v>EQUIPO MANTENIMIENTO Y PLANEACION ELECTRICA S.A. DE C.V.</v>
      </c>
      <c r="AA19" s="962"/>
      <c r="AB19" s="302" t="str">
        <f t="shared" si="1"/>
        <v>EQUIPO MANTENIMIENTO Y PLANEACION ELECTRICA S.A. DE C.V.</v>
      </c>
      <c r="AC19" s="301" t="e">
        <f>#REF!</f>
        <v>#REF!</v>
      </c>
      <c r="AD19" s="301"/>
      <c r="AE19" s="297" t="str">
        <f>OBRA!X17</f>
        <v>C. DANIEL RODRIGUEZ VALENZUELA</v>
      </c>
      <c r="AF19" s="290"/>
      <c r="AG19" s="291"/>
      <c r="AH19" s="297" t="e">
        <f t="shared" si="0"/>
        <v>#DIV/0!</v>
      </c>
      <c r="AI19" s="291"/>
      <c r="AJ19" s="572"/>
      <c r="AK19" s="515"/>
      <c r="AL19" s="515"/>
      <c r="AM19" s="515"/>
      <c r="AN19" s="515"/>
      <c r="AO19" s="291"/>
      <c r="AP19" s="291"/>
      <c r="AQ19" s="291"/>
      <c r="AR19" s="515"/>
      <c r="AS19" s="572"/>
    </row>
    <row r="20" spans="1:45" s="299" customFormat="1" ht="75.75" hidden="1" customHeight="1">
      <c r="A20" s="288">
        <f>OBRA!J18</f>
        <v>2013</v>
      </c>
      <c r="B20" s="782" t="s">
        <v>1427</v>
      </c>
      <c r="C20" s="782"/>
      <c r="D20" s="782"/>
      <c r="E20" s="291" t="str">
        <f>OBRA!M18</f>
        <v>RAMO 33</v>
      </c>
      <c r="F20" s="289"/>
      <c r="G20" s="515"/>
      <c r="H20" s="290" t="str">
        <f>OBRA!N18</f>
        <v>GMJ 018C OP/2013</v>
      </c>
      <c r="I20" s="291" t="str">
        <f>OBRA!O18</f>
        <v>ADJUDICACIÓN DIRECTA</v>
      </c>
      <c r="J20" s="292" t="str">
        <f>OBRA!P18</f>
        <v>ELECTRIFICACIÓN EN BARRIO DEL RICON EN LA AGENCIA MUNICIPAL DE LAS TROJES</v>
      </c>
      <c r="K20" s="292"/>
      <c r="L20" s="292"/>
      <c r="M20" s="292"/>
      <c r="N20" s="292"/>
      <c r="O20" s="292"/>
      <c r="P20" s="293">
        <f>OBRA!R18</f>
        <v>223854.45</v>
      </c>
      <c r="Q20" s="293"/>
      <c r="R20" s="293"/>
      <c r="S20" s="294">
        <f>OBRA!S18</f>
        <v>41501</v>
      </c>
      <c r="T20" s="1134">
        <f>OBRA!V18</f>
        <v>41501</v>
      </c>
      <c r="U20" s="295">
        <f>OBRA!T18</f>
        <v>41505</v>
      </c>
      <c r="V20" s="296">
        <f>OBRA!U18</f>
        <v>41547</v>
      </c>
      <c r="W20" s="1157"/>
      <c r="X20" s="795">
        <f>OBRA!AS18+OBRA!AT18</f>
        <v>223853.44</v>
      </c>
      <c r="Y20" s="805"/>
      <c r="Z20" s="291" t="str">
        <f>OBRA!W18</f>
        <v>C. JOSE LUIS VILLALPANDO GARCIA</v>
      </c>
      <c r="AA20" s="302"/>
      <c r="AB20" s="302" t="str">
        <f t="shared" si="1"/>
        <v>C. JOSE LUIS VILLALPANDO GARCIA</v>
      </c>
      <c r="AC20" s="302" t="s">
        <v>2955</v>
      </c>
      <c r="AD20" s="301" t="s">
        <v>2955</v>
      </c>
      <c r="AE20" s="297" t="str">
        <f>OBRA!X18</f>
        <v>ING. RIGOBERTO OLMEDO RAMOS</v>
      </c>
      <c r="AF20" s="290"/>
      <c r="AG20" s="291"/>
      <c r="AH20" s="297" t="e">
        <f t="shared" si="0"/>
        <v>#DIV/0!</v>
      </c>
      <c r="AI20" s="291"/>
      <c r="AJ20" s="572"/>
      <c r="AK20" s="515"/>
      <c r="AL20" s="515"/>
      <c r="AM20" s="515"/>
      <c r="AN20" s="515"/>
      <c r="AO20" s="291"/>
      <c r="AP20" s="291"/>
      <c r="AQ20" s="291"/>
      <c r="AR20" s="515"/>
      <c r="AS20" s="572"/>
    </row>
    <row r="21" spans="1:45" s="299" customFormat="1" ht="75.75" hidden="1" customHeight="1">
      <c r="A21" s="288">
        <f>OBRA!J19</f>
        <v>2013</v>
      </c>
      <c r="B21" s="782" t="s">
        <v>1427</v>
      </c>
      <c r="C21" s="782"/>
      <c r="D21" s="782"/>
      <c r="E21" s="291" t="str">
        <f>OBRA!M19</f>
        <v>RAMO 33</v>
      </c>
      <c r="F21" s="289"/>
      <c r="G21" s="515"/>
      <c r="H21" s="290" t="str">
        <f>OBRA!N19</f>
        <v>GMJ 013C OP/2013</v>
      </c>
      <c r="I21" s="291" t="str">
        <f>OBRA!O19</f>
        <v>ADJUDICACIÓN DIRECTA</v>
      </c>
      <c r="J21" s="292" t="str">
        <f>OBRA!P19</f>
        <v>ELECTRIFICACIÓN EN C. CUAHUTEMOC, EN LA AGENCIA MUNICIPAL DE LAS TROJES</v>
      </c>
      <c r="K21" s="292"/>
      <c r="L21" s="292"/>
      <c r="M21" s="292"/>
      <c r="N21" s="292"/>
      <c r="O21" s="292"/>
      <c r="P21" s="293">
        <f>OBRA!R19</f>
        <v>318371.84999999998</v>
      </c>
      <c r="Q21" s="293"/>
      <c r="R21" s="293"/>
      <c r="S21" s="294">
        <f>OBRA!S19</f>
        <v>41501</v>
      </c>
      <c r="T21" s="1134">
        <f>OBRA!V19</f>
        <v>41501</v>
      </c>
      <c r="U21" s="295">
        <f>OBRA!T19</f>
        <v>41519</v>
      </c>
      <c r="V21" s="296">
        <f>OBRA!U19</f>
        <v>41573</v>
      </c>
      <c r="W21" s="1153"/>
      <c r="X21" s="795">
        <f>OBRA!AS19+OBRA!AT19</f>
        <v>318370.37</v>
      </c>
      <c r="Y21" s="805"/>
      <c r="Z21" s="291" t="str">
        <f>OBRA!W19</f>
        <v>C. JOSE LUIS VILLALPANDO GARCIA</v>
      </c>
      <c r="AA21" s="302"/>
      <c r="AB21" s="302" t="str">
        <f t="shared" si="1"/>
        <v>C. JOSE LUIS VILLALPANDO GARCIA</v>
      </c>
      <c r="AC21" s="302" t="s">
        <v>2955</v>
      </c>
      <c r="AD21" s="301" t="s">
        <v>2955</v>
      </c>
      <c r="AE21" s="297" t="str">
        <f>OBRA!X19</f>
        <v>ING. RIGOBERTO OLMEDO RAMOS</v>
      </c>
      <c r="AF21" s="290"/>
      <c r="AG21" s="291"/>
      <c r="AH21" s="297" t="e">
        <f t="shared" si="0"/>
        <v>#DIV/0!</v>
      </c>
      <c r="AI21" s="291"/>
      <c r="AJ21" s="572"/>
      <c r="AK21" s="515"/>
      <c r="AL21" s="515"/>
      <c r="AM21" s="515"/>
      <c r="AN21" s="515"/>
      <c r="AO21" s="291"/>
      <c r="AP21" s="291"/>
      <c r="AQ21" s="291"/>
      <c r="AR21" s="515"/>
      <c r="AS21" s="572"/>
    </row>
    <row r="22" spans="1:45" s="299" customFormat="1" ht="75.75" hidden="1" customHeight="1">
      <c r="A22" s="288">
        <f>OBRA!J20</f>
        <v>2013</v>
      </c>
      <c r="B22" s="782" t="s">
        <v>1427</v>
      </c>
      <c r="C22" s="782"/>
      <c r="D22" s="782"/>
      <c r="E22" s="291" t="str">
        <f>OBRA!M20</f>
        <v>RAMO 33</v>
      </c>
      <c r="F22" s="289"/>
      <c r="G22" s="515"/>
      <c r="H22" s="290" t="str">
        <f>OBRA!N20</f>
        <v>DOP/AD/028/2013</v>
      </c>
      <c r="I22" s="291" t="str">
        <f>OBRA!O20</f>
        <v>ADMINISTRACIÓN DIRECTA</v>
      </c>
      <c r="J22" s="292" t="str">
        <f>OBRA!P20</f>
        <v>CONST. MURO PERIMETRAL FRACC. MAGISTERIAL CABECERA MUNICIPAL</v>
      </c>
      <c r="K22" s="292"/>
      <c r="L22" s="292"/>
      <c r="M22" s="292"/>
      <c r="N22" s="292"/>
      <c r="O22" s="292"/>
      <c r="P22" s="293">
        <f>OBRA!R20</f>
        <v>65000</v>
      </c>
      <c r="Q22" s="293"/>
      <c r="R22" s="293"/>
      <c r="S22" s="294">
        <f>OBRA!S20</f>
        <v>41596</v>
      </c>
      <c r="T22" s="1134" t="str">
        <f>OBRA!V20</f>
        <v>-</v>
      </c>
      <c r="U22" s="295">
        <f>OBRA!T20</f>
        <v>41589</v>
      </c>
      <c r="V22" s="296">
        <f>OBRA!U20</f>
        <v>41638</v>
      </c>
      <c r="W22" s="1153"/>
      <c r="X22" s="795">
        <f>OBRA!AS20+OBRA!AT20</f>
        <v>109432.73000000001</v>
      </c>
      <c r="Y22" s="805"/>
      <c r="Z22" s="301" t="str">
        <f>OBRA!W20</f>
        <v>-</v>
      </c>
      <c r="AA22" s="301"/>
      <c r="AB22" s="302" t="str">
        <f t="shared" si="1"/>
        <v>-</v>
      </c>
      <c r="AC22" s="301" t="e">
        <f>#REF!</f>
        <v>#REF!</v>
      </c>
      <c r="AD22" s="301"/>
      <c r="AE22" s="297">
        <f>OBRA!X20</f>
        <v>0</v>
      </c>
      <c r="AF22" s="290"/>
      <c r="AG22" s="291"/>
      <c r="AH22" s="297" t="e">
        <f t="shared" si="0"/>
        <v>#DIV/0!</v>
      </c>
      <c r="AI22" s="291"/>
      <c r="AJ22" s="572"/>
      <c r="AK22" s="515"/>
      <c r="AL22" s="515"/>
      <c r="AM22" s="515"/>
      <c r="AN22" s="515"/>
      <c r="AO22" s="291"/>
      <c r="AP22" s="291"/>
      <c r="AQ22" s="291"/>
      <c r="AR22" s="515"/>
      <c r="AS22" s="572"/>
    </row>
    <row r="23" spans="1:45" s="104" customFormat="1" ht="75.75" hidden="1" customHeight="1">
      <c r="A23" s="82">
        <f>OBRA!J21</f>
        <v>2013</v>
      </c>
      <c r="B23" s="781" t="s">
        <v>1427</v>
      </c>
      <c r="C23" s="781"/>
      <c r="D23" s="781"/>
      <c r="E23" s="85" t="str">
        <f>OBRA!M21</f>
        <v>RAMO 33</v>
      </c>
      <c r="F23" s="83"/>
      <c r="G23" s="514"/>
      <c r="H23" s="84" t="str">
        <f>OBRA!N21</f>
        <v>OP/AD/027/2013</v>
      </c>
      <c r="I23" s="185" t="s">
        <v>251</v>
      </c>
      <c r="J23" s="125" t="str">
        <f>OBRA!P21</f>
        <v>CASETA DE CONTROL Y CLORACION DEL POZO FRACC. MAGISTERIAL CABECERA MUNICIPAL</v>
      </c>
      <c r="K23" s="125"/>
      <c r="L23" s="125"/>
      <c r="M23" s="125"/>
      <c r="N23" s="125"/>
      <c r="O23" s="125"/>
      <c r="P23" s="86" t="str">
        <f>OBRA!R21</f>
        <v>FALTA</v>
      </c>
      <c r="Q23" s="86"/>
      <c r="R23" s="86"/>
      <c r="S23" s="87" t="s">
        <v>68</v>
      </c>
      <c r="T23" s="1134" t="str">
        <f>OBRA!V21</f>
        <v>-</v>
      </c>
      <c r="U23" s="88" t="s">
        <v>68</v>
      </c>
      <c r="V23" s="89" t="s">
        <v>68</v>
      </c>
      <c r="W23" s="338"/>
      <c r="X23" s="810">
        <f>OBRA!AS21+OBRA!AT21</f>
        <v>0</v>
      </c>
      <c r="Y23" s="821"/>
      <c r="Z23" s="147" t="str">
        <f>OBRA!W21</f>
        <v>-</v>
      </c>
      <c r="AA23" s="147"/>
      <c r="AB23" s="149" t="str">
        <f t="shared" si="1"/>
        <v>-</v>
      </c>
      <c r="AC23" s="147" t="e">
        <f>#REF!</f>
        <v>#REF!</v>
      </c>
      <c r="AD23" s="147"/>
      <c r="AE23" s="275" t="s">
        <v>251</v>
      </c>
      <c r="AF23" s="84"/>
      <c r="AG23" s="85"/>
      <c r="AH23" s="184" t="e">
        <f t="shared" si="0"/>
        <v>#DIV/0!</v>
      </c>
      <c r="AI23" s="85"/>
      <c r="AJ23" s="575"/>
      <c r="AK23" s="527"/>
      <c r="AL23" s="527"/>
      <c r="AM23" s="527"/>
      <c r="AN23" s="527"/>
      <c r="AO23" s="527"/>
      <c r="AP23" s="527"/>
      <c r="AQ23" s="527"/>
      <c r="AR23" s="527"/>
      <c r="AS23" s="514"/>
    </row>
    <row r="24" spans="1:45" s="299" customFormat="1" ht="75.75" hidden="1" customHeight="1">
      <c r="A24" s="288">
        <f>OBRA!J22</f>
        <v>2013</v>
      </c>
      <c r="B24" s="782" t="s">
        <v>1427</v>
      </c>
      <c r="C24" s="782"/>
      <c r="D24" s="782"/>
      <c r="E24" s="291" t="str">
        <f>OBRA!M22</f>
        <v>RAMO 33</v>
      </c>
      <c r="F24" s="289"/>
      <c r="G24" s="515"/>
      <c r="H24" s="290" t="str">
        <f>OBRA!N22</f>
        <v>GMJ 020C OP/2013</v>
      </c>
      <c r="I24" s="291" t="str">
        <f>OBRA!O22</f>
        <v>ADJUDICACIÓN DIRECTA</v>
      </c>
      <c r="J24" s="292" t="str">
        <f>OBRA!P22</f>
        <v xml:space="preserve">RENOVACION DE RED DE DRENAJE EN LA CALLE RAMON CORONA ENTRE MORELOS Y LOPEZ COTILLA EN LA DELEGACION DE POTRERILLOS </v>
      </c>
      <c r="K24" s="292"/>
      <c r="L24" s="292"/>
      <c r="M24" s="292"/>
      <c r="N24" s="292"/>
      <c r="O24" s="292"/>
      <c r="P24" s="293">
        <f>OBRA!R22</f>
        <v>99364.64</v>
      </c>
      <c r="Q24" s="293"/>
      <c r="R24" s="293"/>
      <c r="S24" s="294">
        <f>OBRA!S22</f>
        <v>41547</v>
      </c>
      <c r="T24" s="1134">
        <f>OBRA!V22</f>
        <v>41547</v>
      </c>
      <c r="U24" s="295">
        <f>OBRA!T22</f>
        <v>41548</v>
      </c>
      <c r="V24" s="296">
        <f>OBRA!U22</f>
        <v>41580</v>
      </c>
      <c r="W24" s="1157"/>
      <c r="X24" s="795">
        <f>OBRA!AS22+OBRA!AT22</f>
        <v>91694.8</v>
      </c>
      <c r="Y24" s="805"/>
      <c r="Z24" s="301" t="str">
        <f>OBRA!W22</f>
        <v>C. JUAN MANUEL PALOS VACA</v>
      </c>
      <c r="AA24" s="301"/>
      <c r="AB24" s="302" t="str">
        <f t="shared" si="1"/>
        <v>C. JUAN MANUEL PALOS VACA</v>
      </c>
      <c r="AC24" s="302" t="s">
        <v>2955</v>
      </c>
      <c r="AD24" s="301" t="s">
        <v>2955</v>
      </c>
      <c r="AE24" s="297" t="str">
        <f>OBRA!X22</f>
        <v>ING. ISER RANGEL REVILLA</v>
      </c>
      <c r="AF24" s="290"/>
      <c r="AG24" s="291"/>
      <c r="AH24" s="297" t="e">
        <f t="shared" si="0"/>
        <v>#DIV/0!</v>
      </c>
      <c r="AI24" s="291"/>
      <c r="AJ24" s="572"/>
      <c r="AK24" s="515"/>
      <c r="AL24" s="515"/>
      <c r="AM24" s="515"/>
      <c r="AN24" s="515"/>
      <c r="AO24" s="291"/>
      <c r="AP24" s="291"/>
      <c r="AQ24" s="291"/>
      <c r="AR24" s="515"/>
      <c r="AS24" s="572"/>
    </row>
    <row r="25" spans="1:45" s="299" customFormat="1" ht="75.75" hidden="1" customHeight="1">
      <c r="A25" s="288">
        <f>OBRA!J23</f>
        <v>2013</v>
      </c>
      <c r="B25" s="782" t="s">
        <v>1427</v>
      </c>
      <c r="C25" s="782"/>
      <c r="D25" s="782"/>
      <c r="E25" s="291" t="str">
        <f>OBRA!M23</f>
        <v>RAMO 33</v>
      </c>
      <c r="F25" s="289"/>
      <c r="G25" s="515"/>
      <c r="H25" s="290" t="str">
        <f>OBRA!N23</f>
        <v>GMJ 019C OP/2013</v>
      </c>
      <c r="I25" s="291" t="str">
        <f>OBRA!O23</f>
        <v>ADJUDICACIÓN DIRECTA</v>
      </c>
      <c r="J25" s="292" t="str">
        <f>OBRA!P23</f>
        <v xml:space="preserve">PAVIMENTO DE EMPEDRADO AHOGADO EN CEMENTO EN LA CALLE RAMON CORONA ENTRE MORELOS Y LOPEZ COTILLAEN LA DELEGACION DE POTRERILLOS </v>
      </c>
      <c r="K25" s="292"/>
      <c r="L25" s="292"/>
      <c r="M25" s="292"/>
      <c r="N25" s="292"/>
      <c r="O25" s="292"/>
      <c r="P25" s="293">
        <f>OBRA!R23</f>
        <v>363453.99</v>
      </c>
      <c r="Q25" s="293"/>
      <c r="R25" s="293"/>
      <c r="S25" s="294">
        <f>OBRA!S23</f>
        <v>41547</v>
      </c>
      <c r="T25" s="1134">
        <f>OBRA!V23</f>
        <v>41547</v>
      </c>
      <c r="U25" s="295">
        <f>OBRA!T23</f>
        <v>41548</v>
      </c>
      <c r="V25" s="296">
        <f>OBRA!U23</f>
        <v>41580</v>
      </c>
      <c r="W25" s="1153"/>
      <c r="X25" s="795">
        <f>OBRA!AS23+OBRA!AT23</f>
        <v>361775.26</v>
      </c>
      <c r="Y25" s="805"/>
      <c r="Z25" s="301" t="str">
        <f>OBRA!W23</f>
        <v>C. JUAN MANUEL PALOS VACA</v>
      </c>
      <c r="AA25" s="301"/>
      <c r="AB25" s="302" t="str">
        <f t="shared" si="1"/>
        <v>C. JUAN MANUEL PALOS VACA</v>
      </c>
      <c r="AC25" s="302" t="s">
        <v>2955</v>
      </c>
      <c r="AD25" s="301" t="s">
        <v>2955</v>
      </c>
      <c r="AE25" s="297" t="str">
        <f>OBRA!X23</f>
        <v>ING. ISER RANGEL REVILLA</v>
      </c>
      <c r="AF25" s="290"/>
      <c r="AG25" s="291"/>
      <c r="AH25" s="297" t="e">
        <f t="shared" si="0"/>
        <v>#DIV/0!</v>
      </c>
      <c r="AI25" s="291"/>
      <c r="AJ25" s="572"/>
      <c r="AK25" s="515"/>
      <c r="AL25" s="515"/>
      <c r="AM25" s="515"/>
      <c r="AN25" s="515"/>
      <c r="AO25" s="291"/>
      <c r="AP25" s="291"/>
      <c r="AQ25" s="291"/>
      <c r="AR25" s="515"/>
      <c r="AS25" s="572"/>
    </row>
    <row r="26" spans="1:45" s="299" customFormat="1" ht="75.75" hidden="1" customHeight="1">
      <c r="A26" s="288">
        <f>OBRA!J24</f>
        <v>2013</v>
      </c>
      <c r="B26" s="782" t="s">
        <v>1427</v>
      </c>
      <c r="C26" s="782"/>
      <c r="D26" s="782"/>
      <c r="E26" s="291" t="str">
        <f>OBRA!M24</f>
        <v>RAMO 33</v>
      </c>
      <c r="F26" s="289"/>
      <c r="G26" s="515"/>
      <c r="H26" s="290" t="str">
        <f>OBRA!N24</f>
        <v>DOP/AD/022/2013</v>
      </c>
      <c r="I26" s="291" t="str">
        <f>OBRA!O24</f>
        <v>ADMINISTRACIÓN DIRECTA</v>
      </c>
      <c r="J26" s="292" t="str">
        <f>OBRA!P24</f>
        <v>COLOCACION DE ADOQUIN EN CALLE JUAREZ Y 5 DE MAYO, EN LA LOCALIDAD DE SAN PEDRO TESISTAN</v>
      </c>
      <c r="K26" s="292"/>
      <c r="L26" s="292"/>
      <c r="M26" s="292"/>
      <c r="N26" s="292"/>
      <c r="O26" s="292"/>
      <c r="P26" s="293">
        <f>OBRA!R24</f>
        <v>339164.5</v>
      </c>
      <c r="Q26" s="293"/>
      <c r="R26" s="293"/>
      <c r="S26" s="294">
        <f>OBRA!S24</f>
        <v>41599</v>
      </c>
      <c r="T26" s="1134" t="str">
        <f>OBRA!V24</f>
        <v>-</v>
      </c>
      <c r="U26" s="295">
        <f>OBRA!T24</f>
        <v>41600</v>
      </c>
      <c r="V26" s="296">
        <f>OBRA!U24</f>
        <v>41623</v>
      </c>
      <c r="W26" s="1153"/>
      <c r="X26" s="795">
        <f>OBRA!AS24+OBRA!AT24</f>
        <v>327010.77</v>
      </c>
      <c r="Y26" s="805"/>
      <c r="Z26" s="301" t="str">
        <f>OBRA!W24</f>
        <v>-</v>
      </c>
      <c r="AA26" s="301"/>
      <c r="AB26" s="302" t="str">
        <f t="shared" si="1"/>
        <v>-</v>
      </c>
      <c r="AC26" s="301" t="e">
        <f>#REF!</f>
        <v>#REF!</v>
      </c>
      <c r="AD26" s="301"/>
      <c r="AE26" s="297">
        <f>OBRA!X24</f>
        <v>0</v>
      </c>
      <c r="AF26" s="290"/>
      <c r="AG26" s="291"/>
      <c r="AH26" s="297" t="e">
        <f t="shared" si="0"/>
        <v>#DIV/0!</v>
      </c>
      <c r="AI26" s="291"/>
      <c r="AJ26" s="572"/>
      <c r="AK26" s="515"/>
      <c r="AL26" s="515"/>
      <c r="AM26" s="515"/>
      <c r="AN26" s="515"/>
      <c r="AO26" s="291"/>
      <c r="AP26" s="291"/>
      <c r="AQ26" s="291"/>
      <c r="AR26" s="515"/>
      <c r="AS26" s="572"/>
    </row>
    <row r="27" spans="1:45" s="299" customFormat="1" ht="75.75" hidden="1" customHeight="1">
      <c r="A27" s="288">
        <f>OBRA!J25</f>
        <v>2013</v>
      </c>
      <c r="B27" s="782" t="s">
        <v>1427</v>
      </c>
      <c r="C27" s="782"/>
      <c r="D27" s="782"/>
      <c r="E27" s="291" t="str">
        <f>OBRA!M25</f>
        <v>RAMO 33</v>
      </c>
      <c r="F27" s="289"/>
      <c r="G27" s="515"/>
      <c r="H27" s="290" t="str">
        <f>OBRA!N25</f>
        <v>DOP/AD/023/2013</v>
      </c>
      <c r="I27" s="291" t="str">
        <f>OBRA!O25</f>
        <v>ADMINISTRACIÓN DIRECTA</v>
      </c>
      <c r="J27" s="292" t="str">
        <f>OBRA!P25</f>
        <v>RENOVACION DE AGUA POTABLE, EN C. 16 DE SEPTIEMBRE EN LA AGENCIA MUNICIPAL DE NEXTIPAC</v>
      </c>
      <c r="K27" s="292"/>
      <c r="L27" s="292"/>
      <c r="M27" s="292"/>
      <c r="N27" s="292"/>
      <c r="O27" s="292"/>
      <c r="P27" s="293">
        <f>OBRA!R25</f>
        <v>108190</v>
      </c>
      <c r="Q27" s="293"/>
      <c r="R27" s="293"/>
      <c r="S27" s="294">
        <f>OBRA!S25</f>
        <v>41593</v>
      </c>
      <c r="T27" s="1134" t="str">
        <f>OBRA!V25</f>
        <v>-</v>
      </c>
      <c r="U27" s="295">
        <f>OBRA!T25</f>
        <v>41596</v>
      </c>
      <c r="V27" s="296">
        <f>OBRA!U25</f>
        <v>41610</v>
      </c>
      <c r="W27" s="1153"/>
      <c r="X27" s="795">
        <f>OBRA!AS25+OBRA!AT25</f>
        <v>26940</v>
      </c>
      <c r="Y27" s="805"/>
      <c r="Z27" s="301" t="str">
        <f>OBRA!W25</f>
        <v>-</v>
      </c>
      <c r="AA27" s="301"/>
      <c r="AB27" s="302" t="str">
        <f t="shared" si="1"/>
        <v>-</v>
      </c>
      <c r="AC27" s="301" t="e">
        <f>#REF!</f>
        <v>#REF!</v>
      </c>
      <c r="AD27" s="301"/>
      <c r="AE27" s="297">
        <f>OBRA!X25</f>
        <v>0</v>
      </c>
      <c r="AF27" s="290"/>
      <c r="AG27" s="291"/>
      <c r="AH27" s="297" t="e">
        <f t="shared" si="0"/>
        <v>#DIV/0!</v>
      </c>
      <c r="AI27" s="291"/>
      <c r="AJ27" s="572"/>
      <c r="AK27" s="515"/>
      <c r="AL27" s="515"/>
      <c r="AM27" s="515"/>
      <c r="AN27" s="515"/>
      <c r="AO27" s="291"/>
      <c r="AP27" s="291"/>
      <c r="AQ27" s="291"/>
      <c r="AR27" s="515"/>
      <c r="AS27" s="572"/>
    </row>
    <row r="28" spans="1:45" s="299" customFormat="1" ht="75.75" hidden="1" customHeight="1">
      <c r="A28" s="288">
        <f>OBRA!J26</f>
        <v>2013</v>
      </c>
      <c r="B28" s="782" t="s">
        <v>1427</v>
      </c>
      <c r="C28" s="782"/>
      <c r="D28" s="782"/>
      <c r="E28" s="291" t="str">
        <f>OBRA!M26</f>
        <v>RAMO 33</v>
      </c>
      <c r="F28" s="289"/>
      <c r="G28" s="515"/>
      <c r="H28" s="290" t="str">
        <f>OBRA!N26</f>
        <v>DOP/AD/017/2013</v>
      </c>
      <c r="I28" s="291" t="str">
        <f>OBRA!O26</f>
        <v>ADMINISTRACIÓN DIRECTA</v>
      </c>
      <c r="J28" s="292" t="str">
        <f>OBRA!P26</f>
        <v>RENOVACION DE RED DE DRENAJE, EN C. 16 DE SEPTIEMBRE EN LA AGENCIA MUNICIPAL DE NEXTIPAC</v>
      </c>
      <c r="K28" s="292"/>
      <c r="L28" s="292"/>
      <c r="M28" s="292"/>
      <c r="N28" s="292"/>
      <c r="O28" s="292"/>
      <c r="P28" s="293">
        <f>OBRA!R26</f>
        <v>120948.09</v>
      </c>
      <c r="Q28" s="293"/>
      <c r="R28" s="293"/>
      <c r="S28" s="294">
        <f>OBRA!S26</f>
        <v>41593</v>
      </c>
      <c r="T28" s="1134" t="str">
        <f>OBRA!V26</f>
        <v>-</v>
      </c>
      <c r="U28" s="295">
        <f>OBRA!T26</f>
        <v>41596</v>
      </c>
      <c r="V28" s="296">
        <f>OBRA!U26</f>
        <v>41610</v>
      </c>
      <c r="W28" s="1153"/>
      <c r="X28" s="795">
        <f>OBRA!AS26+OBRA!AT26</f>
        <v>42298</v>
      </c>
      <c r="Y28" s="805"/>
      <c r="Z28" s="301" t="str">
        <f>OBRA!W26</f>
        <v>-</v>
      </c>
      <c r="AA28" s="301"/>
      <c r="AB28" s="302" t="str">
        <f t="shared" si="1"/>
        <v>-</v>
      </c>
      <c r="AC28" s="301" t="e">
        <f>#REF!</f>
        <v>#REF!</v>
      </c>
      <c r="AD28" s="301"/>
      <c r="AE28" s="297">
        <f>OBRA!X26</f>
        <v>0</v>
      </c>
      <c r="AF28" s="290"/>
      <c r="AG28" s="291"/>
      <c r="AH28" s="297" t="e">
        <f t="shared" si="0"/>
        <v>#DIV/0!</v>
      </c>
      <c r="AI28" s="291"/>
      <c r="AJ28" s="572"/>
      <c r="AK28" s="515"/>
      <c r="AL28" s="515"/>
      <c r="AM28" s="515"/>
      <c r="AN28" s="515"/>
      <c r="AO28" s="291"/>
      <c r="AP28" s="291"/>
      <c r="AQ28" s="291"/>
      <c r="AR28" s="515"/>
      <c r="AS28" s="572"/>
    </row>
    <row r="29" spans="1:45" s="299" customFormat="1" ht="75.75" hidden="1" customHeight="1">
      <c r="A29" s="288">
        <f>OBRA!J27</f>
        <v>2013</v>
      </c>
      <c r="B29" s="782" t="s">
        <v>1427</v>
      </c>
      <c r="C29" s="782"/>
      <c r="D29" s="782"/>
      <c r="E29" s="291" t="str">
        <f>OBRA!M27</f>
        <v>RAMO 33</v>
      </c>
      <c r="F29" s="289"/>
      <c r="G29" s="515"/>
      <c r="H29" s="290" t="str">
        <f>OBRA!N27</f>
        <v>DOP/AD/021/2013</v>
      </c>
      <c r="I29" s="291" t="str">
        <f>OBRA!O27</f>
        <v>ADMINISTRACIÓN DIRECTA</v>
      </c>
      <c r="J29" s="292" t="str">
        <f>OBRA!P27</f>
        <v>REEMPEDRADO NORMALEN CALLE LAZARO CARDENAS ENTRE C. PERO MORENO Y C. 16 DE SEPTIEMPRE, EN LA LOCALIDAD DE ZAPOTITAN DE HIDALGO</v>
      </c>
      <c r="K29" s="292"/>
      <c r="L29" s="292"/>
      <c r="M29" s="292"/>
      <c r="N29" s="292"/>
      <c r="O29" s="292"/>
      <c r="P29" s="293">
        <f>OBRA!R27</f>
        <v>150310.03</v>
      </c>
      <c r="Q29" s="293"/>
      <c r="R29" s="293"/>
      <c r="S29" s="294">
        <f>OBRA!S27</f>
        <v>41588</v>
      </c>
      <c r="T29" s="1134" t="str">
        <f>OBRA!V27</f>
        <v>-</v>
      </c>
      <c r="U29" s="295">
        <f>OBRA!T27</f>
        <v>41589</v>
      </c>
      <c r="V29" s="296">
        <f>OBRA!U27</f>
        <v>41608</v>
      </c>
      <c r="W29" s="1153"/>
      <c r="X29" s="795">
        <f>OBRA!AS27+OBRA!AT27</f>
        <v>121970.39</v>
      </c>
      <c r="Y29" s="805"/>
      <c r="Z29" s="301" t="str">
        <f>OBRA!W27</f>
        <v>-</v>
      </c>
      <c r="AA29" s="301"/>
      <c r="AB29" s="302" t="str">
        <f t="shared" si="1"/>
        <v>-</v>
      </c>
      <c r="AC29" s="301" t="e">
        <f>#REF!</f>
        <v>#REF!</v>
      </c>
      <c r="AD29" s="301"/>
      <c r="AE29" s="297">
        <f>OBRA!X27</f>
        <v>0</v>
      </c>
      <c r="AF29" s="290"/>
      <c r="AG29" s="291"/>
      <c r="AH29" s="297" t="e">
        <f t="shared" si="0"/>
        <v>#DIV/0!</v>
      </c>
      <c r="AI29" s="291"/>
      <c r="AJ29" s="572"/>
      <c r="AK29" s="515"/>
      <c r="AL29" s="515"/>
      <c r="AM29" s="515"/>
      <c r="AN29" s="515"/>
      <c r="AO29" s="291"/>
      <c r="AP29" s="291"/>
      <c r="AQ29" s="291"/>
      <c r="AR29" s="515"/>
      <c r="AS29" s="572"/>
    </row>
    <row r="30" spans="1:45" s="299" customFormat="1" ht="75.75" hidden="1" customHeight="1">
      <c r="A30" s="288">
        <f>OBRA!J28</f>
        <v>2013</v>
      </c>
      <c r="B30" s="782" t="s">
        <v>1427</v>
      </c>
      <c r="C30" s="782"/>
      <c r="D30" s="782"/>
      <c r="E30" s="291" t="str">
        <f>OBRA!M28</f>
        <v>RAMO 33</v>
      </c>
      <c r="F30" s="289"/>
      <c r="G30" s="515"/>
      <c r="H30" s="290" t="str">
        <f>OBRA!N28</f>
        <v>DOP/AD/019/2013</v>
      </c>
      <c r="I30" s="291" t="str">
        <f>OBRA!O28</f>
        <v>ADMINISTRACIÓN DIRECTA</v>
      </c>
      <c r="J30" s="292" t="str">
        <f>OBRA!P28</f>
        <v>REMODELACION DE DELEGACION EN LA POBLACION DE SAN PEDRO TESISTAN</v>
      </c>
      <c r="K30" s="292"/>
      <c r="L30" s="292"/>
      <c r="M30" s="292"/>
      <c r="N30" s="292"/>
      <c r="O30" s="292"/>
      <c r="P30" s="293">
        <f>OBRA!R28</f>
        <v>93916.43</v>
      </c>
      <c r="Q30" s="293"/>
      <c r="R30" s="293"/>
      <c r="S30" s="294">
        <f>OBRA!S28</f>
        <v>41502</v>
      </c>
      <c r="T30" s="1134" t="str">
        <f>OBRA!V28</f>
        <v>-</v>
      </c>
      <c r="U30" s="295">
        <f>OBRA!T28</f>
        <v>41507</v>
      </c>
      <c r="V30" s="296">
        <f>OBRA!U28</f>
        <v>41545</v>
      </c>
      <c r="W30" s="1153"/>
      <c r="X30" s="795">
        <f>OBRA!AS28+OBRA!AT28</f>
        <v>105062.06</v>
      </c>
      <c r="Y30" s="805"/>
      <c r="Z30" s="301" t="str">
        <f>OBRA!W28</f>
        <v>-</v>
      </c>
      <c r="AA30" s="301"/>
      <c r="AB30" s="302" t="str">
        <f t="shared" si="1"/>
        <v>-</v>
      </c>
      <c r="AC30" s="301" t="e">
        <f>#REF!</f>
        <v>#REF!</v>
      </c>
      <c r="AD30" s="301"/>
      <c r="AE30" s="297">
        <f>OBRA!X28</f>
        <v>0</v>
      </c>
      <c r="AF30" s="290"/>
      <c r="AG30" s="291"/>
      <c r="AH30" s="297" t="e">
        <f t="shared" si="0"/>
        <v>#DIV/0!</v>
      </c>
      <c r="AI30" s="291"/>
      <c r="AJ30" s="572"/>
      <c r="AK30" s="515"/>
      <c r="AL30" s="515"/>
      <c r="AM30" s="515"/>
      <c r="AN30" s="515"/>
      <c r="AO30" s="291"/>
      <c r="AP30" s="291"/>
      <c r="AQ30" s="291"/>
      <c r="AR30" s="515"/>
      <c r="AS30" s="572"/>
    </row>
    <row r="31" spans="1:45" s="299" customFormat="1" ht="75.75" hidden="1" customHeight="1">
      <c r="A31" s="288">
        <f>OBRA!J29</f>
        <v>2013</v>
      </c>
      <c r="B31" s="782" t="s">
        <v>1427</v>
      </c>
      <c r="C31" s="782"/>
      <c r="D31" s="782"/>
      <c r="E31" s="291" t="str">
        <f>OBRA!M29</f>
        <v>RAMO 33</v>
      </c>
      <c r="F31" s="289"/>
      <c r="G31" s="515"/>
      <c r="H31" s="290" t="str">
        <f>OBRA!N29</f>
        <v>DOP/AD/024/2013</v>
      </c>
      <c r="I31" s="291" t="str">
        <f>OBRA!O29</f>
        <v>ADMINISTRACIÓN DIRECTA</v>
      </c>
      <c r="J31" s="292" t="str">
        <f>OBRA!P29</f>
        <v>EMPEDRADO AHOGADO EN CEMENTO EN LA CALLE DONATO GUERRA DE CHURUBUSCO HASTA ARROYO EN LA AGENCIA MUNICIPAL DE; LA LOMA</v>
      </c>
      <c r="K31" s="292"/>
      <c r="L31" s="292"/>
      <c r="M31" s="292"/>
      <c r="N31" s="292"/>
      <c r="O31" s="292"/>
      <c r="P31" s="293">
        <f>OBRA!R29</f>
        <v>300000</v>
      </c>
      <c r="Q31" s="293"/>
      <c r="R31" s="293"/>
      <c r="S31" s="294">
        <f>OBRA!S29</f>
        <v>41614</v>
      </c>
      <c r="T31" s="1134" t="str">
        <f>OBRA!V29</f>
        <v>-</v>
      </c>
      <c r="U31" s="295">
        <f>OBRA!T29</f>
        <v>41617</v>
      </c>
      <c r="V31" s="296">
        <f>OBRA!U29</f>
        <v>41638</v>
      </c>
      <c r="W31" s="1153"/>
      <c r="X31" s="795">
        <f>OBRA!AS29+OBRA!AT29</f>
        <v>276090.09999999998</v>
      </c>
      <c r="Y31" s="805"/>
      <c r="Z31" s="301" t="str">
        <f>OBRA!W29</f>
        <v>-</v>
      </c>
      <c r="AA31" s="301"/>
      <c r="AB31" s="302" t="str">
        <f t="shared" si="1"/>
        <v>-</v>
      </c>
      <c r="AC31" s="301" t="e">
        <f>#REF!</f>
        <v>#REF!</v>
      </c>
      <c r="AD31" s="301"/>
      <c r="AE31" s="297">
        <f>OBRA!X29</f>
        <v>0</v>
      </c>
      <c r="AF31" s="290"/>
      <c r="AG31" s="291"/>
      <c r="AH31" s="297" t="e">
        <f t="shared" si="0"/>
        <v>#DIV/0!</v>
      </c>
      <c r="AI31" s="291"/>
      <c r="AJ31" s="572"/>
      <c r="AK31" s="515"/>
      <c r="AL31" s="515"/>
      <c r="AM31" s="515"/>
      <c r="AN31" s="515"/>
      <c r="AO31" s="291"/>
      <c r="AP31" s="291"/>
      <c r="AQ31" s="291"/>
      <c r="AR31" s="515"/>
      <c r="AS31" s="572"/>
    </row>
    <row r="32" spans="1:45" s="299" customFormat="1" ht="75.75" hidden="1" customHeight="1">
      <c r="A32" s="288">
        <f>OBRA!J30</f>
        <v>2013</v>
      </c>
      <c r="B32" s="782" t="s">
        <v>1427</v>
      </c>
      <c r="C32" s="782"/>
      <c r="D32" s="782"/>
      <c r="E32" s="291" t="str">
        <f>OBRA!M30</f>
        <v>RAMO 33</v>
      </c>
      <c r="F32" s="289"/>
      <c r="G32" s="515"/>
      <c r="H32" s="290" t="str">
        <f>OBRA!N30</f>
        <v>DOP/AD/026/2013</v>
      </c>
      <c r="I32" s="291" t="str">
        <f>OBRA!O30</f>
        <v>ADMINISTRACIÓN DIRECTA</v>
      </c>
      <c r="J32" s="292" t="str">
        <f>OBRA!P30</f>
        <v>CONSTRUCCION DE RED DE AGUA POTABLE EN LA CALLE DONATO GUERRA DE CHURUBUSCO HASTA ARROYO, EN LA AGENCIA MUNICIPAL DE; LA LOMA</v>
      </c>
      <c r="K32" s="292"/>
      <c r="L32" s="292"/>
      <c r="M32" s="292"/>
      <c r="N32" s="292"/>
      <c r="O32" s="292"/>
      <c r="P32" s="293">
        <f>OBRA!R30</f>
        <v>51673.18</v>
      </c>
      <c r="Q32" s="293"/>
      <c r="R32" s="293"/>
      <c r="S32" s="294">
        <f>OBRA!S30</f>
        <v>41614</v>
      </c>
      <c r="T32" s="1134" t="str">
        <f>OBRA!V30</f>
        <v>-</v>
      </c>
      <c r="U32" s="295">
        <f>OBRA!T30</f>
        <v>41617</v>
      </c>
      <c r="V32" s="296">
        <f>OBRA!U30</f>
        <v>41638</v>
      </c>
      <c r="W32" s="1153"/>
      <c r="X32" s="795">
        <f>OBRA!AS30+OBRA!AT30</f>
        <v>33148.15</v>
      </c>
      <c r="Y32" s="805"/>
      <c r="Z32" s="301" t="str">
        <f>OBRA!W30</f>
        <v>-</v>
      </c>
      <c r="AA32" s="301"/>
      <c r="AB32" s="302" t="str">
        <f t="shared" si="1"/>
        <v>-</v>
      </c>
      <c r="AC32" s="301" t="e">
        <f>#REF!</f>
        <v>#REF!</v>
      </c>
      <c r="AD32" s="301"/>
      <c r="AE32" s="297">
        <f>OBRA!X30</f>
        <v>0</v>
      </c>
      <c r="AF32" s="290"/>
      <c r="AG32" s="291"/>
      <c r="AH32" s="297" t="e">
        <f t="shared" si="0"/>
        <v>#DIV/0!</v>
      </c>
      <c r="AI32" s="291"/>
      <c r="AJ32" s="572"/>
      <c r="AK32" s="515"/>
      <c r="AL32" s="515"/>
      <c r="AM32" s="515"/>
      <c r="AN32" s="515"/>
      <c r="AO32" s="291"/>
      <c r="AP32" s="291"/>
      <c r="AQ32" s="291"/>
      <c r="AR32" s="515"/>
      <c r="AS32" s="572"/>
    </row>
    <row r="33" spans="1:45" s="299" customFormat="1" ht="75.75" hidden="1" customHeight="1">
      <c r="A33" s="288">
        <f>OBRA!J31</f>
        <v>2013</v>
      </c>
      <c r="B33" s="782" t="s">
        <v>1427</v>
      </c>
      <c r="C33" s="782"/>
      <c r="D33" s="782"/>
      <c r="E33" s="291" t="str">
        <f>OBRA!M31</f>
        <v>RAMO 33</v>
      </c>
      <c r="F33" s="289"/>
      <c r="G33" s="515"/>
      <c r="H33" s="290" t="str">
        <f>OBRA!N31</f>
        <v>DOP/AD/025/2013</v>
      </c>
      <c r="I33" s="291" t="str">
        <f>OBRA!O31</f>
        <v>ADMINISTRACIÓN DIRECTA</v>
      </c>
      <c r="J33" s="292" t="str">
        <f>OBRA!P31</f>
        <v>CONSTRUCCION DE DRENAJE, EN LA C. DONATO GUERRA DE CHURUBUSCO HASTA EL ARROYO EN LA AGENCIA MUNICIPAL DE LA LOMA</v>
      </c>
      <c r="K33" s="292"/>
      <c r="L33" s="292"/>
      <c r="M33" s="292"/>
      <c r="N33" s="292"/>
      <c r="O33" s="292"/>
      <c r="P33" s="293">
        <f>OBRA!R31</f>
        <v>63457.87</v>
      </c>
      <c r="Q33" s="293"/>
      <c r="R33" s="293"/>
      <c r="S33" s="294">
        <f>OBRA!S31</f>
        <v>41614</v>
      </c>
      <c r="T33" s="1134" t="str">
        <f>OBRA!V31</f>
        <v>-</v>
      </c>
      <c r="U33" s="295">
        <f>OBRA!T31</f>
        <v>41617</v>
      </c>
      <c r="V33" s="296">
        <f>OBRA!U31</f>
        <v>41638</v>
      </c>
      <c r="W33" s="1153"/>
      <c r="X33" s="795">
        <f>OBRA!AS31+OBRA!AT31</f>
        <v>63707.45</v>
      </c>
      <c r="Y33" s="805"/>
      <c r="Z33" s="301" t="str">
        <f>OBRA!W31</f>
        <v>-</v>
      </c>
      <c r="AA33" s="301"/>
      <c r="AB33" s="302" t="str">
        <f t="shared" si="1"/>
        <v>-</v>
      </c>
      <c r="AC33" s="301" t="e">
        <f>#REF!</f>
        <v>#REF!</v>
      </c>
      <c r="AD33" s="301"/>
      <c r="AE33" s="297">
        <f>OBRA!X31</f>
        <v>0</v>
      </c>
      <c r="AF33" s="290"/>
      <c r="AG33" s="291"/>
      <c r="AH33" s="297" t="e">
        <f t="shared" si="0"/>
        <v>#DIV/0!</v>
      </c>
      <c r="AI33" s="291"/>
      <c r="AJ33" s="572"/>
      <c r="AK33" s="515"/>
      <c r="AL33" s="515"/>
      <c r="AM33" s="515"/>
      <c r="AN33" s="515"/>
      <c r="AO33" s="291"/>
      <c r="AP33" s="291"/>
      <c r="AQ33" s="291"/>
      <c r="AR33" s="515"/>
      <c r="AS33" s="572"/>
    </row>
    <row r="34" spans="1:45" s="299" customFormat="1" ht="75.75" hidden="1" customHeight="1">
      <c r="A34" s="288">
        <f>OBRA!J32</f>
        <v>2013</v>
      </c>
      <c r="B34" s="782" t="s">
        <v>1427</v>
      </c>
      <c r="C34" s="782"/>
      <c r="D34" s="782"/>
      <c r="E34" s="291" t="str">
        <f>OBRA!M32</f>
        <v>RAMO 33</v>
      </c>
      <c r="F34" s="289"/>
      <c r="G34" s="515"/>
      <c r="H34" s="290" t="str">
        <f>OBRA!N32</f>
        <v>DOP/AD/008/2013</v>
      </c>
      <c r="I34" s="291" t="str">
        <f>OBRA!O32</f>
        <v>ADMINISTRACIÓN DIRECTA</v>
      </c>
      <c r="J34" s="292" t="str">
        <f>OBRA!P32</f>
        <v>EMPEDRADO NORMAL, EN C. 16 DE SEPTIEMBRE EN LA AGENCIA MUNICIPAL DE NEXTIPAC</v>
      </c>
      <c r="K34" s="292"/>
      <c r="L34" s="292"/>
      <c r="M34" s="292"/>
      <c r="N34" s="292"/>
      <c r="O34" s="292"/>
      <c r="P34" s="293">
        <f>OBRA!R32</f>
        <v>387451.67</v>
      </c>
      <c r="Q34" s="293"/>
      <c r="R34" s="293"/>
      <c r="S34" s="294">
        <f>OBRA!S32</f>
        <v>41600</v>
      </c>
      <c r="T34" s="1134" t="str">
        <f>OBRA!V32</f>
        <v>-</v>
      </c>
      <c r="U34" s="295">
        <f>OBRA!T32</f>
        <v>41603</v>
      </c>
      <c r="V34" s="296">
        <f>OBRA!U32</f>
        <v>41608</v>
      </c>
      <c r="W34" s="1153"/>
      <c r="X34" s="795">
        <f>OBRA!AS32+OBRA!AT32</f>
        <v>218839.88</v>
      </c>
      <c r="Y34" s="805"/>
      <c r="Z34" s="301" t="str">
        <f>OBRA!W32</f>
        <v>-</v>
      </c>
      <c r="AA34" s="301"/>
      <c r="AB34" s="302" t="str">
        <f t="shared" si="1"/>
        <v>-</v>
      </c>
      <c r="AC34" s="301" t="e">
        <f>#REF!</f>
        <v>#REF!</v>
      </c>
      <c r="AD34" s="301"/>
      <c r="AE34" s="297">
        <f>OBRA!X32</f>
        <v>0</v>
      </c>
      <c r="AF34" s="290"/>
      <c r="AG34" s="291"/>
      <c r="AH34" s="297" t="e">
        <f t="shared" si="0"/>
        <v>#DIV/0!</v>
      </c>
      <c r="AI34" s="291"/>
      <c r="AJ34" s="572"/>
      <c r="AK34" s="515"/>
      <c r="AL34" s="515"/>
      <c r="AM34" s="515"/>
      <c r="AN34" s="515"/>
      <c r="AO34" s="291"/>
      <c r="AP34" s="291"/>
      <c r="AQ34" s="291"/>
      <c r="AR34" s="515"/>
      <c r="AS34" s="572"/>
    </row>
    <row r="35" spans="1:45" s="299" customFormat="1" ht="75.75" hidden="1" customHeight="1">
      <c r="A35" s="288">
        <f>OBRA!J33</f>
        <v>2013</v>
      </c>
      <c r="B35" s="782" t="s">
        <v>1427</v>
      </c>
      <c r="C35" s="782"/>
      <c r="D35" s="782"/>
      <c r="E35" s="291" t="str">
        <f>OBRA!M33</f>
        <v>Resc Esp Pub</v>
      </c>
      <c r="F35" s="289"/>
      <c r="G35" s="515"/>
      <c r="H35" s="290" t="str">
        <f>OBRA!N33</f>
        <v>GMJ 021C OP/2013</v>
      </c>
      <c r="I35" s="291" t="str">
        <f>OBRA!O33</f>
        <v>ADJUDICACIÓN DIRECTA</v>
      </c>
      <c r="J35" s="292" t="str">
        <f>OBRA!P33</f>
        <v>RESCATE DE LA UNIDAD DEPORTIVA ZARAGOZA, EN LA CABECERA MUNICIPAL, DEL MUNICIPIO DE JOCOTEPEC, JALISCO</v>
      </c>
      <c r="K35" s="292"/>
      <c r="L35" s="292"/>
      <c r="M35" s="292"/>
      <c r="N35" s="292"/>
      <c r="O35" s="292"/>
      <c r="P35" s="293">
        <f>OBRA!R33</f>
        <v>1299999</v>
      </c>
      <c r="Q35" s="293"/>
      <c r="R35" s="293"/>
      <c r="S35" s="294">
        <f>OBRA!S33</f>
        <v>41547</v>
      </c>
      <c r="T35" s="1134">
        <f>OBRA!V33</f>
        <v>41547</v>
      </c>
      <c r="U35" s="295">
        <f>OBRA!T33</f>
        <v>41547</v>
      </c>
      <c r="V35" s="296">
        <f>OBRA!U33</f>
        <v>41608</v>
      </c>
      <c r="W35" s="1153"/>
      <c r="X35" s="795">
        <f>OBRA!AS33+OBRA!AT33</f>
        <v>1299411.1499999999</v>
      </c>
      <c r="Y35" s="805"/>
      <c r="Z35" s="301" t="str">
        <f>OBRA!W33</f>
        <v>KARLAY S.A. DE S.V.</v>
      </c>
      <c r="AA35" s="301"/>
      <c r="AB35" s="302" t="str">
        <f t="shared" si="1"/>
        <v>KARLAY S.A. DE S.V.</v>
      </c>
      <c r="AC35" s="301" t="e">
        <f>#REF!</f>
        <v>#REF!</v>
      </c>
      <c r="AD35" s="301"/>
      <c r="AE35" s="297" t="str">
        <f>OBRA!X33</f>
        <v>C. DANIEL RODRIGUEZ VALENZUELA</v>
      </c>
      <c r="AF35" s="290"/>
      <c r="AG35" s="291"/>
      <c r="AH35" s="297" t="e">
        <f t="shared" si="0"/>
        <v>#DIV/0!</v>
      </c>
      <c r="AI35" s="291"/>
      <c r="AJ35" s="572"/>
      <c r="AK35" s="515"/>
      <c r="AL35" s="515"/>
      <c r="AM35" s="515"/>
      <c r="AN35" s="515"/>
      <c r="AO35" s="291"/>
      <c r="AP35" s="291"/>
      <c r="AQ35" s="291"/>
      <c r="AR35" s="515"/>
      <c r="AS35" s="572"/>
    </row>
    <row r="36" spans="1:45" s="299" customFormat="1" ht="75.75" hidden="1" customHeight="1">
      <c r="A36" s="288">
        <f>OBRA!J34</f>
        <v>2013</v>
      </c>
      <c r="B36" s="782" t="s">
        <v>1427</v>
      </c>
      <c r="C36" s="782"/>
      <c r="D36" s="782"/>
      <c r="E36" s="291" t="str">
        <f>OBRA!M34</f>
        <v>3X1 PARA MIGRANTES</v>
      </c>
      <c r="F36" s="289"/>
      <c r="G36" s="515"/>
      <c r="H36" s="290" t="str">
        <f>OBRA!N34</f>
        <v>DOP/AD/030/2013</v>
      </c>
      <c r="I36" s="291" t="str">
        <f>OBRA!O34</f>
        <v>ADMINISTRACIÓN DIRECTA</v>
      </c>
      <c r="J36" s="292" t="str">
        <f>OBRA!P34</f>
        <v>REHABILITACIÓN DE RED DE AGUA POTBLE EN C. VICENTE GUERRERO, DE CARR. FED. #15 HASTA ZONA FEDERAL (LAGO) EN LA DELEGACIÓN DE SAN PEDRO TESISTAN</v>
      </c>
      <c r="K36" s="292"/>
      <c r="L36" s="292"/>
      <c r="M36" s="292"/>
      <c r="N36" s="292"/>
      <c r="O36" s="292"/>
      <c r="P36" s="293">
        <f>OBRA!R34</f>
        <v>125188</v>
      </c>
      <c r="Q36" s="293"/>
      <c r="R36" s="293"/>
      <c r="S36" s="294">
        <f>OBRA!S34</f>
        <v>41617</v>
      </c>
      <c r="T36" s="1134" t="str">
        <f>OBRA!V34</f>
        <v>-</v>
      </c>
      <c r="U36" s="295">
        <f>OBRA!T34</f>
        <v>41612</v>
      </c>
      <c r="V36" s="296">
        <f>OBRA!U34</f>
        <v>41638</v>
      </c>
      <c r="W36" s="1153"/>
      <c r="X36" s="795">
        <f>OBRA!AS34+OBRA!AT34</f>
        <v>125188</v>
      </c>
      <c r="Y36" s="805"/>
      <c r="Z36" s="301" t="str">
        <f>OBRA!W34</f>
        <v>-</v>
      </c>
      <c r="AA36" s="301"/>
      <c r="AB36" s="302" t="str">
        <f t="shared" si="1"/>
        <v>-</v>
      </c>
      <c r="AC36" s="301" t="e">
        <f>#REF!</f>
        <v>#REF!</v>
      </c>
      <c r="AD36" s="301"/>
      <c r="AE36" s="297">
        <f>OBRA!X34</f>
        <v>0</v>
      </c>
      <c r="AF36" s="290"/>
      <c r="AG36" s="291"/>
      <c r="AH36" s="297" t="e">
        <f t="shared" si="0"/>
        <v>#DIV/0!</v>
      </c>
      <c r="AI36" s="291"/>
      <c r="AJ36" s="572"/>
      <c r="AK36" s="515"/>
      <c r="AL36" s="515"/>
      <c r="AM36" s="515"/>
      <c r="AN36" s="515"/>
      <c r="AO36" s="291"/>
      <c r="AP36" s="291"/>
      <c r="AQ36" s="291"/>
      <c r="AR36" s="515"/>
      <c r="AS36" s="572"/>
    </row>
    <row r="37" spans="1:45" s="299" customFormat="1" ht="75.75" hidden="1" customHeight="1">
      <c r="A37" s="288">
        <f>OBRA!J35</f>
        <v>2013</v>
      </c>
      <c r="B37" s="782" t="s">
        <v>1427</v>
      </c>
      <c r="C37" s="782"/>
      <c r="D37" s="782"/>
      <c r="E37" s="291" t="str">
        <f>OBRA!M35</f>
        <v>CUENTA CORRIENTE</v>
      </c>
      <c r="F37" s="289"/>
      <c r="G37" s="515"/>
      <c r="H37" s="290" t="str">
        <f>OBRA!N35</f>
        <v>DOP/AD/001/2013</v>
      </c>
      <c r="I37" s="291" t="str">
        <f>OBRA!O35</f>
        <v>ADMINISTRACIÓN DIRECTA</v>
      </c>
      <c r="J37" s="292" t="str">
        <f>OBRA!P35</f>
        <v>REHABILITACIÓN DE RED DE AGUA POTABLE EN C.  FRANCISCO I. MADERO ENTRE ITURBIDE Y VICENTE GUERRERO EN L LOCALIDAD DE; SAN JUAN COSALA</v>
      </c>
      <c r="K37" s="292"/>
      <c r="L37" s="292"/>
      <c r="M37" s="292"/>
      <c r="N37" s="292"/>
      <c r="O37" s="292"/>
      <c r="P37" s="293">
        <f>OBRA!R35</f>
        <v>75847.88</v>
      </c>
      <c r="Q37" s="293"/>
      <c r="R37" s="293"/>
      <c r="S37" s="294">
        <f>OBRA!S35</f>
        <v>41447</v>
      </c>
      <c r="T37" s="1134" t="str">
        <f>OBRA!V35</f>
        <v>-</v>
      </c>
      <c r="U37" s="295">
        <f>OBRA!T35</f>
        <v>41447</v>
      </c>
      <c r="V37" s="296">
        <f>OBRA!U35</f>
        <v>41460</v>
      </c>
      <c r="W37" s="1153"/>
      <c r="X37" s="795">
        <f>OBRA!AS35+OBRA!AT35</f>
        <v>0</v>
      </c>
      <c r="Y37" s="805"/>
      <c r="Z37" s="301" t="str">
        <f>OBRA!W35</f>
        <v>-</v>
      </c>
      <c r="AA37" s="301"/>
      <c r="AB37" s="302" t="str">
        <f t="shared" si="1"/>
        <v>-</v>
      </c>
      <c r="AC37" s="301" t="e">
        <f>#REF!</f>
        <v>#REF!</v>
      </c>
      <c r="AD37" s="301"/>
      <c r="AE37" s="297">
        <f>OBRA!X35</f>
        <v>0</v>
      </c>
      <c r="AF37" s="290"/>
      <c r="AG37" s="291"/>
      <c r="AH37" s="297" t="e">
        <f t="shared" si="0"/>
        <v>#DIV/0!</v>
      </c>
      <c r="AI37" s="291"/>
      <c r="AJ37" s="572"/>
      <c r="AK37" s="515"/>
      <c r="AL37" s="515"/>
      <c r="AM37" s="515"/>
      <c r="AN37" s="515"/>
      <c r="AO37" s="291"/>
      <c r="AP37" s="291"/>
      <c r="AQ37" s="291"/>
      <c r="AR37" s="515"/>
      <c r="AS37" s="572"/>
    </row>
    <row r="38" spans="1:45" s="299" customFormat="1" ht="75.75" hidden="1" customHeight="1">
      <c r="A38" s="288">
        <f>OBRA!J36</f>
        <v>2013</v>
      </c>
      <c r="B38" s="782" t="s">
        <v>1427</v>
      </c>
      <c r="C38" s="782"/>
      <c r="D38" s="782"/>
      <c r="E38" s="291" t="str">
        <f>OBRA!M36</f>
        <v>CUENTA CORRIENTE</v>
      </c>
      <c r="F38" s="289"/>
      <c r="G38" s="515"/>
      <c r="H38" s="290" t="str">
        <f>OBRA!N36</f>
        <v>DOP/AD/002/2013</v>
      </c>
      <c r="I38" s="291" t="str">
        <f>OBRA!O36</f>
        <v>ADMINISTRACIÓN DIRECTA</v>
      </c>
      <c r="J38" s="292" t="str">
        <f>OBRA!P36</f>
        <v>BACHEO DE EMPEDRADO NORMAL EN ZANJA EN  C. FRANCISCO I. MADERO ENTRE ITURBIDE Y VICENTE GUERRERO EN LA LOCALIDAD DE SAN JUAN COSALA</v>
      </c>
      <c r="K38" s="292"/>
      <c r="L38" s="292"/>
      <c r="M38" s="292"/>
      <c r="N38" s="292"/>
      <c r="O38" s="292"/>
      <c r="P38" s="293">
        <f>OBRA!R36</f>
        <v>38585.949999999997</v>
      </c>
      <c r="Q38" s="293"/>
      <c r="R38" s="293"/>
      <c r="S38" s="294">
        <f>OBRA!S36</f>
        <v>41446</v>
      </c>
      <c r="T38" s="1134" t="str">
        <f>OBRA!V36</f>
        <v>-</v>
      </c>
      <c r="U38" s="295">
        <f>OBRA!T36</f>
        <v>41446</v>
      </c>
      <c r="V38" s="296">
        <f>OBRA!U36</f>
        <v>41453</v>
      </c>
      <c r="W38" s="1153"/>
      <c r="X38" s="795">
        <f>OBRA!AS36+OBRA!AT36</f>
        <v>0</v>
      </c>
      <c r="Y38" s="805"/>
      <c r="Z38" s="301" t="str">
        <f>OBRA!W36</f>
        <v>-</v>
      </c>
      <c r="AA38" s="301"/>
      <c r="AB38" s="302" t="str">
        <f t="shared" si="1"/>
        <v>-</v>
      </c>
      <c r="AC38" s="301" t="e">
        <f>#REF!</f>
        <v>#REF!</v>
      </c>
      <c r="AD38" s="301"/>
      <c r="AE38" s="297">
        <f>OBRA!X36</f>
        <v>0</v>
      </c>
      <c r="AF38" s="290"/>
      <c r="AG38" s="291"/>
      <c r="AH38" s="297" t="e">
        <f t="shared" si="0"/>
        <v>#DIV/0!</v>
      </c>
      <c r="AI38" s="291"/>
      <c r="AJ38" s="572"/>
      <c r="AK38" s="515"/>
      <c r="AL38" s="515"/>
      <c r="AM38" s="515"/>
      <c r="AN38" s="515"/>
      <c r="AO38" s="291"/>
      <c r="AP38" s="291"/>
      <c r="AQ38" s="291"/>
      <c r="AR38" s="515"/>
      <c r="AS38" s="572"/>
    </row>
    <row r="39" spans="1:45" s="299" customFormat="1" ht="75.75" hidden="1" customHeight="1">
      <c r="A39" s="288">
        <f>OBRA!J37</f>
        <v>2013</v>
      </c>
      <c r="B39" s="782" t="s">
        <v>1427</v>
      </c>
      <c r="C39" s="782"/>
      <c r="D39" s="782"/>
      <c r="E39" s="291" t="str">
        <f>OBRA!M37</f>
        <v>CUENTA CORRIENTE</v>
      </c>
      <c r="F39" s="289"/>
      <c r="G39" s="515"/>
      <c r="H39" s="290" t="str">
        <f>OBRA!N37</f>
        <v>DOP/AD/003/2013</v>
      </c>
      <c r="I39" s="291" t="str">
        <f>OBRA!O37</f>
        <v>ADMINISTRACIÓN DIRECTA</v>
      </c>
      <c r="J39" s="292" t="str">
        <f>OBRA!P37</f>
        <v>EMPEDRADO AHOGADO EN PRIVADA MATAMOROS EN L LOCALIDAD DE SAN JUAN COSALA</v>
      </c>
      <c r="K39" s="292"/>
      <c r="L39" s="292"/>
      <c r="M39" s="292"/>
      <c r="N39" s="292"/>
      <c r="O39" s="292"/>
      <c r="P39" s="293">
        <f>OBRA!R37</f>
        <v>396797.76</v>
      </c>
      <c r="Q39" s="293"/>
      <c r="R39" s="293"/>
      <c r="S39" s="294">
        <f>OBRA!S37</f>
        <v>41446</v>
      </c>
      <c r="T39" s="1134" t="str">
        <f>OBRA!V37</f>
        <v>-</v>
      </c>
      <c r="U39" s="295">
        <f>OBRA!T37</f>
        <v>41446</v>
      </c>
      <c r="V39" s="296">
        <f>OBRA!U37</f>
        <v>41460</v>
      </c>
      <c r="W39" s="1153"/>
      <c r="X39" s="795">
        <f>OBRA!AS37+OBRA!AT37</f>
        <v>0</v>
      </c>
      <c r="Y39" s="805"/>
      <c r="Z39" s="301" t="str">
        <f>OBRA!W37</f>
        <v>-</v>
      </c>
      <c r="AA39" s="301"/>
      <c r="AB39" s="302" t="str">
        <f t="shared" si="1"/>
        <v>-</v>
      </c>
      <c r="AC39" s="301" t="e">
        <f>#REF!</f>
        <v>#REF!</v>
      </c>
      <c r="AD39" s="301"/>
      <c r="AE39" s="297">
        <f>OBRA!X37</f>
        <v>0</v>
      </c>
      <c r="AF39" s="290"/>
      <c r="AG39" s="291"/>
      <c r="AH39" s="297" t="e">
        <f t="shared" si="0"/>
        <v>#DIV/0!</v>
      </c>
      <c r="AI39" s="291"/>
      <c r="AJ39" s="572"/>
      <c r="AK39" s="515"/>
      <c r="AL39" s="515"/>
      <c r="AM39" s="515"/>
      <c r="AN39" s="515"/>
      <c r="AO39" s="291"/>
      <c r="AP39" s="291"/>
      <c r="AQ39" s="291"/>
      <c r="AR39" s="515"/>
      <c r="AS39" s="572"/>
    </row>
    <row r="40" spans="1:45" s="299" customFormat="1" ht="75.75" hidden="1" customHeight="1">
      <c r="A40" s="288">
        <f>OBRA!J38</f>
        <v>2013</v>
      </c>
      <c r="B40" s="782" t="s">
        <v>1427</v>
      </c>
      <c r="C40" s="782"/>
      <c r="D40" s="782"/>
      <c r="E40" s="291" t="str">
        <f>OBRA!M38</f>
        <v>CUENTA CORRIENTE</v>
      </c>
      <c r="F40" s="289"/>
      <c r="G40" s="515"/>
      <c r="H40" s="290" t="str">
        <f>OBRA!N38</f>
        <v>DOP/AD/004/2013</v>
      </c>
      <c r="I40" s="291" t="str">
        <f>OBRA!O38</f>
        <v>ADMINISTRACIÓN DIRECTA</v>
      </c>
      <c r="J40" s="292" t="str">
        <f>OBRA!P38</f>
        <v>DESASOLVES PREVENTIVOS PARA EVITAR INUNDCIONES EN CBECERA Y SUS LOCALIDADES</v>
      </c>
      <c r="K40" s="292"/>
      <c r="L40" s="292"/>
      <c r="M40" s="292"/>
      <c r="N40" s="292"/>
      <c r="O40" s="292"/>
      <c r="P40" s="293">
        <f>OBRA!R38</f>
        <v>300000</v>
      </c>
      <c r="Q40" s="293"/>
      <c r="R40" s="293"/>
      <c r="S40" s="294">
        <f>OBRA!S38</f>
        <v>41449</v>
      </c>
      <c r="T40" s="1134" t="str">
        <f>OBRA!V38</f>
        <v>-</v>
      </c>
      <c r="U40" s="295">
        <f>OBRA!T38</f>
        <v>41449</v>
      </c>
      <c r="V40" s="296">
        <f>OBRA!U38</f>
        <v>41517</v>
      </c>
      <c r="W40" s="1153"/>
      <c r="X40" s="795">
        <f>OBRA!AS38+OBRA!AT38</f>
        <v>0</v>
      </c>
      <c r="Y40" s="805"/>
      <c r="Z40" s="301" t="str">
        <f>OBRA!W38</f>
        <v>-</v>
      </c>
      <c r="AA40" s="301"/>
      <c r="AB40" s="302" t="str">
        <f t="shared" si="1"/>
        <v>-</v>
      </c>
      <c r="AC40" s="301" t="e">
        <f>#REF!</f>
        <v>#REF!</v>
      </c>
      <c r="AD40" s="301"/>
      <c r="AE40" s="297">
        <f>OBRA!X38</f>
        <v>0</v>
      </c>
      <c r="AF40" s="290"/>
      <c r="AG40" s="291"/>
      <c r="AH40" s="297" t="e">
        <f t="shared" si="0"/>
        <v>#DIV/0!</v>
      </c>
      <c r="AI40" s="291"/>
      <c r="AJ40" s="572"/>
      <c r="AK40" s="515"/>
      <c r="AL40" s="515"/>
      <c r="AM40" s="515"/>
      <c r="AN40" s="515"/>
      <c r="AO40" s="291"/>
      <c r="AP40" s="291"/>
      <c r="AQ40" s="291"/>
      <c r="AR40" s="515"/>
      <c r="AS40" s="572"/>
    </row>
    <row r="41" spans="1:45" s="104" customFormat="1" ht="75.75" hidden="1" customHeight="1">
      <c r="A41" s="82">
        <f>OBRA!J39</f>
        <v>2013</v>
      </c>
      <c r="B41" s="781" t="s">
        <v>1427</v>
      </c>
      <c r="C41" s="781"/>
      <c r="D41" s="781"/>
      <c r="E41" s="85" t="str">
        <f>OBRA!M39</f>
        <v>CUENTA CORRIENTE</v>
      </c>
      <c r="F41" s="83"/>
      <c r="G41" s="514"/>
      <c r="H41" s="84" t="str">
        <f>OBRA!N39</f>
        <v>DOP/AD/012/2013</v>
      </c>
      <c r="I41" s="185" t="s">
        <v>251</v>
      </c>
      <c r="J41" s="125" t="str">
        <f>OBRA!P39</f>
        <v>REMODELACION DE FACHADA EN ZONA CENTRO 1ª ETAPA, EN LA  CABECERA MUNICIPAL</v>
      </c>
      <c r="K41" s="125"/>
      <c r="L41" s="125"/>
      <c r="M41" s="125"/>
      <c r="N41" s="125"/>
      <c r="O41" s="125"/>
      <c r="P41" s="86">
        <f>OBRA!R39</f>
        <v>0</v>
      </c>
      <c r="Q41" s="86"/>
      <c r="R41" s="86"/>
      <c r="S41" s="87" t="s">
        <v>68</v>
      </c>
      <c r="T41" s="1134" t="str">
        <f>OBRA!V39</f>
        <v>-</v>
      </c>
      <c r="U41" s="88" t="s">
        <v>68</v>
      </c>
      <c r="V41" s="89" t="s">
        <v>68</v>
      </c>
      <c r="W41" s="338"/>
      <c r="X41" s="810">
        <f>OBRA!AS39+OBRA!AT39</f>
        <v>0</v>
      </c>
      <c r="Y41" s="821"/>
      <c r="Z41" s="147" t="str">
        <f>OBRA!W39</f>
        <v>-</v>
      </c>
      <c r="AA41" s="147"/>
      <c r="AB41" s="149" t="str">
        <f t="shared" si="1"/>
        <v>-</v>
      </c>
      <c r="AC41" s="147" t="e">
        <f>#REF!</f>
        <v>#REF!</v>
      </c>
      <c r="AD41" s="147"/>
      <c r="AE41" s="275" t="s">
        <v>251</v>
      </c>
      <c r="AF41" s="84"/>
      <c r="AG41" s="85"/>
      <c r="AH41" s="184" t="e">
        <f t="shared" si="0"/>
        <v>#DIV/0!</v>
      </c>
      <c r="AI41" s="85"/>
      <c r="AJ41" s="575"/>
      <c r="AK41" s="527"/>
      <c r="AL41" s="527"/>
      <c r="AM41" s="527"/>
      <c r="AN41" s="527"/>
      <c r="AO41" s="527"/>
      <c r="AP41" s="527"/>
      <c r="AQ41" s="527"/>
      <c r="AR41" s="527"/>
      <c r="AS41" s="514"/>
    </row>
    <row r="42" spans="1:45" s="299" customFormat="1" ht="75.75" hidden="1" customHeight="1">
      <c r="A42" s="288">
        <f>OBRA!J40</f>
        <v>2013</v>
      </c>
      <c r="B42" s="782" t="s">
        <v>1427</v>
      </c>
      <c r="C42" s="782"/>
      <c r="D42" s="782"/>
      <c r="E42" s="291" t="str">
        <f>OBRA!M40</f>
        <v>CUENTA CORRIENTE</v>
      </c>
      <c r="F42" s="289"/>
      <c r="G42" s="515"/>
      <c r="H42" s="290" t="str">
        <f>OBRA!N40</f>
        <v>DOP/AD/013/2013</v>
      </c>
      <c r="I42" s="291" t="str">
        <f>OBRA!O40</f>
        <v>ADMINISTRACIÓN DIRECTA</v>
      </c>
      <c r="J42" s="292" t="str">
        <f>OBRA!P40</f>
        <v>CONST. DE LOCAL COMERCIAL MALECON CABECERA MUNICIPAL</v>
      </c>
      <c r="K42" s="292"/>
      <c r="L42" s="292"/>
      <c r="M42" s="292"/>
      <c r="N42" s="292"/>
      <c r="O42" s="292"/>
      <c r="P42" s="293">
        <f>OBRA!R40</f>
        <v>60000</v>
      </c>
      <c r="Q42" s="293"/>
      <c r="R42" s="293"/>
      <c r="S42" s="294">
        <f>OBRA!S40</f>
        <v>41463</v>
      </c>
      <c r="T42" s="1134" t="str">
        <f>OBRA!V40</f>
        <v>-</v>
      </c>
      <c r="U42" s="295">
        <f>OBRA!T40</f>
        <v>41433</v>
      </c>
      <c r="V42" s="296">
        <f>OBRA!U40</f>
        <v>41501</v>
      </c>
      <c r="W42" s="1153"/>
      <c r="X42" s="795">
        <f>OBRA!AS40+OBRA!AT40</f>
        <v>0</v>
      </c>
      <c r="Y42" s="805"/>
      <c r="Z42" s="301" t="str">
        <f>OBRA!W40</f>
        <v>-</v>
      </c>
      <c r="AA42" s="301"/>
      <c r="AB42" s="302" t="str">
        <f t="shared" si="1"/>
        <v>-</v>
      </c>
      <c r="AC42" s="301" t="e">
        <f>#REF!</f>
        <v>#REF!</v>
      </c>
      <c r="AD42" s="301"/>
      <c r="AE42" s="297">
        <f>OBRA!X40</f>
        <v>0</v>
      </c>
      <c r="AF42" s="290"/>
      <c r="AG42" s="291"/>
      <c r="AH42" s="297" t="e">
        <f t="shared" si="0"/>
        <v>#DIV/0!</v>
      </c>
      <c r="AI42" s="291"/>
      <c r="AJ42" s="572"/>
      <c r="AK42" s="515"/>
      <c r="AL42" s="515"/>
      <c r="AM42" s="515"/>
      <c r="AN42" s="515"/>
      <c r="AO42" s="291"/>
      <c r="AP42" s="291"/>
      <c r="AQ42" s="291"/>
      <c r="AR42" s="515"/>
      <c r="AS42" s="572"/>
    </row>
    <row r="43" spans="1:45" s="299" customFormat="1" ht="75.75" hidden="1" customHeight="1">
      <c r="A43" s="288">
        <f>OBRA!J41</f>
        <v>2013</v>
      </c>
      <c r="B43" s="782" t="s">
        <v>1427</v>
      </c>
      <c r="C43" s="782"/>
      <c r="D43" s="782"/>
      <c r="E43" s="291" t="str">
        <f>OBRA!M41</f>
        <v>CUENTA CORRIENTE</v>
      </c>
      <c r="F43" s="289"/>
      <c r="G43" s="515"/>
      <c r="H43" s="290" t="str">
        <f>OBRA!N41</f>
        <v>DOP/AD/028/2013</v>
      </c>
      <c r="I43" s="291" t="str">
        <f>OBRA!O41</f>
        <v>ADMINISTRACIÓN DIRECTA</v>
      </c>
      <c r="J43" s="292" t="str">
        <f>OBRA!P41</f>
        <v>CONST. MURO PERIMETRAL FRACC. MAGISTERIAL CABECERA MUNICIPAL</v>
      </c>
      <c r="K43" s="292"/>
      <c r="L43" s="292"/>
      <c r="M43" s="292"/>
      <c r="N43" s="292"/>
      <c r="O43" s="292"/>
      <c r="P43" s="293">
        <f>OBRA!R41</f>
        <v>65000</v>
      </c>
      <c r="Q43" s="293"/>
      <c r="R43" s="293"/>
      <c r="S43" s="294">
        <f>OBRA!S41</f>
        <v>41596</v>
      </c>
      <c r="T43" s="1134" t="str">
        <f>OBRA!V41</f>
        <v>-</v>
      </c>
      <c r="U43" s="295">
        <f>OBRA!T41</f>
        <v>41589</v>
      </c>
      <c r="V43" s="296">
        <f>OBRA!U41</f>
        <v>41638</v>
      </c>
      <c r="W43" s="1153"/>
      <c r="X43" s="795">
        <f>OBRA!AS41+OBRA!AT41</f>
        <v>0</v>
      </c>
      <c r="Y43" s="805"/>
      <c r="Z43" s="301" t="str">
        <f>OBRA!W41</f>
        <v>-</v>
      </c>
      <c r="AA43" s="301"/>
      <c r="AB43" s="302" t="str">
        <f t="shared" si="1"/>
        <v>-</v>
      </c>
      <c r="AC43" s="301" t="e">
        <f>#REF!</f>
        <v>#REF!</v>
      </c>
      <c r="AD43" s="301"/>
      <c r="AE43" s="297">
        <f>OBRA!X41</f>
        <v>0</v>
      </c>
      <c r="AF43" s="290"/>
      <c r="AG43" s="291"/>
      <c r="AH43" s="297" t="e">
        <f t="shared" si="0"/>
        <v>#DIV/0!</v>
      </c>
      <c r="AI43" s="291"/>
      <c r="AJ43" s="572"/>
      <c r="AK43" s="515"/>
      <c r="AL43" s="515"/>
      <c r="AM43" s="515"/>
      <c r="AN43" s="515"/>
      <c r="AO43" s="291"/>
      <c r="AP43" s="291"/>
      <c r="AQ43" s="291"/>
      <c r="AR43" s="515"/>
      <c r="AS43" s="572"/>
    </row>
    <row r="44" spans="1:45" s="299" customFormat="1" ht="75.75" hidden="1" customHeight="1">
      <c r="A44" s="288">
        <f>OBRA!J42</f>
        <v>2013</v>
      </c>
      <c r="B44" s="782" t="s">
        <v>1427</v>
      </c>
      <c r="C44" s="782"/>
      <c r="D44" s="782"/>
      <c r="E44" s="291" t="str">
        <f>OBRA!M42</f>
        <v>CUENTA CORRIENTE</v>
      </c>
      <c r="F44" s="289"/>
      <c r="G44" s="515"/>
      <c r="H44" s="290" t="str">
        <f>OBRA!N42</f>
        <v>GMJ 001C OP/2013</v>
      </c>
      <c r="I44" s="291" t="str">
        <f>OBRA!O42</f>
        <v>INVITACIÓN</v>
      </c>
      <c r="J44" s="292" t="str">
        <f>OBRA!P42</f>
        <v>TERMINACION DEL CENTRO DE SALUD, EN LA POBLACION LAS TROJES</v>
      </c>
      <c r="K44" s="292"/>
      <c r="L44" s="292"/>
      <c r="M44" s="292"/>
      <c r="N44" s="292"/>
      <c r="O44" s="292"/>
      <c r="P44" s="293">
        <f>OBRA!R42</f>
        <v>977397.28</v>
      </c>
      <c r="Q44" s="293"/>
      <c r="R44" s="293"/>
      <c r="S44" s="294">
        <f>OBRA!S42</f>
        <v>41278</v>
      </c>
      <c r="T44" s="1134">
        <f>OBRA!V42</f>
        <v>41278</v>
      </c>
      <c r="U44" s="295">
        <f>OBRA!T42</f>
        <v>41316</v>
      </c>
      <c r="V44" s="296">
        <f>OBRA!U42</f>
        <v>41394</v>
      </c>
      <c r="W44" s="1153"/>
      <c r="X44" s="795">
        <f>OBRA!AS42+OBRA!AT42</f>
        <v>785224.53</v>
      </c>
      <c r="Y44" s="805"/>
      <c r="Z44" s="301" t="str">
        <f>OBRA!W42</f>
        <v>BRAILOGA CONSTRUCTORES S.A. DE C.V.</v>
      </c>
      <c r="AA44" s="301"/>
      <c r="AB44" s="302" t="str">
        <f t="shared" si="1"/>
        <v>BRAILOGA CONSTRUCTORES S.A. DE C.V.</v>
      </c>
      <c r="AC44" s="301" t="e">
        <f>#REF!</f>
        <v>#REF!</v>
      </c>
      <c r="AD44" s="301"/>
      <c r="AE44" s="297" t="str">
        <f>OBRA!X42</f>
        <v>ING. RIGOBERTO OLMEDO RAMOS</v>
      </c>
      <c r="AF44" s="290"/>
      <c r="AG44" s="291"/>
      <c r="AH44" s="297" t="e">
        <f t="shared" si="0"/>
        <v>#DIV/0!</v>
      </c>
      <c r="AI44" s="291"/>
      <c r="AJ44" s="572"/>
      <c r="AK44" s="515"/>
      <c r="AL44" s="515"/>
      <c r="AM44" s="515"/>
      <c r="AN44" s="515"/>
      <c r="AO44" s="291"/>
      <c r="AP44" s="291"/>
      <c r="AQ44" s="291"/>
      <c r="AR44" s="515"/>
      <c r="AS44" s="572"/>
    </row>
    <row r="45" spans="1:45" s="299" customFormat="1" ht="75.75" hidden="1" customHeight="1">
      <c r="A45" s="288">
        <f>OBRA!J43</f>
        <v>2013</v>
      </c>
      <c r="B45" s="782" t="s">
        <v>1427</v>
      </c>
      <c r="C45" s="782"/>
      <c r="D45" s="782"/>
      <c r="E45" s="291" t="str">
        <f>OBRA!M43</f>
        <v>CUENTA CORRIENTE</v>
      </c>
      <c r="F45" s="289"/>
      <c r="G45" s="515"/>
      <c r="H45" s="290" t="str">
        <f>OBRA!N43</f>
        <v>GMJ 003C OP/2013</v>
      </c>
      <c r="I45" s="291" t="str">
        <f>OBRA!O43</f>
        <v>ADJUDICACIÓN DIRECTA</v>
      </c>
      <c r="J45" s="292" t="str">
        <f>OBRA!P43</f>
        <v>ELABORACION DE TOPES EN CARRETERA A CHAPALA Y BACHEO EN ASFALTO C. MORELOS ENTRE INDEPENDENCIA Y ALLENDE EN LA POBLACION DE LA CABECERA</v>
      </c>
      <c r="K45" s="292"/>
      <c r="L45" s="292"/>
      <c r="M45" s="292"/>
      <c r="N45" s="292"/>
      <c r="O45" s="292"/>
      <c r="P45" s="293">
        <f>OBRA!R43</f>
        <v>253692.08</v>
      </c>
      <c r="Q45" s="293"/>
      <c r="R45" s="293"/>
      <c r="S45" s="294">
        <f>OBRA!S43</f>
        <v>41278</v>
      </c>
      <c r="T45" s="1134">
        <f>OBRA!V43</f>
        <v>41278</v>
      </c>
      <c r="U45" s="295">
        <f>OBRA!T43</f>
        <v>41281</v>
      </c>
      <c r="V45" s="296">
        <f>OBRA!U43</f>
        <v>41286</v>
      </c>
      <c r="W45" s="1153"/>
      <c r="X45" s="795">
        <f>OBRA!AS43+OBRA!AT43</f>
        <v>253692.07</v>
      </c>
      <c r="Y45" s="805"/>
      <c r="Z45" s="301" t="str">
        <f>OBRA!W43</f>
        <v>BRAILOGA CONSTRUCTORES S.A. DE C.V.</v>
      </c>
      <c r="AA45" s="301"/>
      <c r="AB45" s="302" t="str">
        <f t="shared" si="1"/>
        <v>BRAILOGA CONSTRUCTORES S.A. DE C.V.</v>
      </c>
      <c r="AC45" s="301" t="e">
        <f>#REF!</f>
        <v>#REF!</v>
      </c>
      <c r="AD45" s="301"/>
      <c r="AE45" s="297" t="str">
        <f>OBRA!X43</f>
        <v>ING. LUIS JOEL HUERTA LOMA</v>
      </c>
      <c r="AF45" s="290"/>
      <c r="AG45" s="291"/>
      <c r="AH45" s="297" t="e">
        <f t="shared" si="0"/>
        <v>#DIV/0!</v>
      </c>
      <c r="AI45" s="291"/>
      <c r="AJ45" s="572"/>
      <c r="AK45" s="515"/>
      <c r="AL45" s="515"/>
      <c r="AM45" s="515"/>
      <c r="AN45" s="515"/>
      <c r="AO45" s="291"/>
      <c r="AP45" s="291"/>
      <c r="AQ45" s="291"/>
      <c r="AR45" s="515"/>
      <c r="AS45" s="572"/>
    </row>
    <row r="46" spans="1:45" s="299" customFormat="1" ht="75.75" hidden="1" customHeight="1">
      <c r="A46" s="288">
        <f>OBRA!J44</f>
        <v>2013</v>
      </c>
      <c r="B46" s="782" t="s">
        <v>1427</v>
      </c>
      <c r="C46" s="782"/>
      <c r="D46" s="782"/>
      <c r="E46" s="291" t="str">
        <f>OBRA!M44</f>
        <v>CUENTA CORRIENTE</v>
      </c>
      <c r="F46" s="289"/>
      <c r="G46" s="515"/>
      <c r="H46" s="290" t="str">
        <f>OBRA!N44</f>
        <v>GMJ 004C OP/2013</v>
      </c>
      <c r="I46" s="291" t="str">
        <f>OBRA!O44</f>
        <v>ADJUDICACIÓN DIRECTA</v>
      </c>
      <c r="J46" s="292" t="str">
        <f>OBRA!P44</f>
        <v>BACHEO EN ASFALTO EN C. MORELOS ENTRE ALLENDE Y PEDRO MORENO EN LA POBLACION DE LA CABECERA</v>
      </c>
      <c r="K46" s="292"/>
      <c r="L46" s="292"/>
      <c r="M46" s="292"/>
      <c r="N46" s="292"/>
      <c r="O46" s="292"/>
      <c r="P46" s="293">
        <f>OBRA!R44</f>
        <v>213963.7</v>
      </c>
      <c r="Q46" s="293"/>
      <c r="R46" s="293"/>
      <c r="S46" s="294">
        <f>OBRA!S44</f>
        <v>41278</v>
      </c>
      <c r="T46" s="1134">
        <f>OBRA!V44</f>
        <v>41278</v>
      </c>
      <c r="U46" s="295">
        <f>OBRA!T44</f>
        <v>41281</v>
      </c>
      <c r="V46" s="296">
        <f>OBRA!U44</f>
        <v>41286</v>
      </c>
      <c r="W46" s="1153"/>
      <c r="X46" s="795">
        <f>OBRA!AS44+OBRA!AT44</f>
        <v>213963.69</v>
      </c>
      <c r="Y46" s="805"/>
      <c r="Z46" s="301" t="str">
        <f>OBRA!W44</f>
        <v>BRAILOGA CONSTRUCTORES S.A. DE C.V.</v>
      </c>
      <c r="AA46" s="301"/>
      <c r="AB46" s="302" t="str">
        <f t="shared" si="1"/>
        <v>BRAILOGA CONSTRUCTORES S.A. DE C.V.</v>
      </c>
      <c r="AC46" s="301" t="e">
        <f>#REF!</f>
        <v>#REF!</v>
      </c>
      <c r="AD46" s="301"/>
      <c r="AE46" s="297" t="str">
        <f>OBRA!X44</f>
        <v>ING. LUIS JOEL HUERTA LOMA</v>
      </c>
      <c r="AF46" s="290"/>
      <c r="AG46" s="291"/>
      <c r="AH46" s="297" t="e">
        <f t="shared" si="0"/>
        <v>#DIV/0!</v>
      </c>
      <c r="AI46" s="291"/>
      <c r="AJ46" s="572"/>
      <c r="AK46" s="515"/>
      <c r="AL46" s="515"/>
      <c r="AM46" s="515"/>
      <c r="AN46" s="515"/>
      <c r="AO46" s="291"/>
      <c r="AP46" s="291"/>
      <c r="AQ46" s="291"/>
      <c r="AR46" s="515"/>
      <c r="AS46" s="572"/>
    </row>
    <row r="47" spans="1:45" s="299" customFormat="1" ht="75.75" hidden="1" customHeight="1">
      <c r="A47" s="288">
        <f>OBRA!J45</f>
        <v>2013</v>
      </c>
      <c r="B47" s="782" t="s">
        <v>1427</v>
      </c>
      <c r="C47" s="782"/>
      <c r="D47" s="782"/>
      <c r="E47" s="291" t="str">
        <f>OBRA!M45</f>
        <v>CUENTA CORRIENTE</v>
      </c>
      <c r="F47" s="289"/>
      <c r="G47" s="515"/>
      <c r="H47" s="290" t="str">
        <f>OBRA!N45</f>
        <v>GMJ 005C OP/2013</v>
      </c>
      <c r="I47" s="291" t="str">
        <f>OBRA!O45</f>
        <v>ADJUDICACIÓN DIRECTA</v>
      </c>
      <c r="J47" s="292"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2"/>
      <c r="L47" s="292"/>
      <c r="M47" s="292"/>
      <c r="N47" s="292"/>
      <c r="O47" s="292"/>
      <c r="P47" s="293">
        <f>OBRA!R45</f>
        <v>318104.90999999997</v>
      </c>
      <c r="Q47" s="293"/>
      <c r="R47" s="293"/>
      <c r="S47" s="294">
        <f>OBRA!S45</f>
        <v>41324</v>
      </c>
      <c r="T47" s="1134">
        <f>OBRA!V45</f>
        <v>41324</v>
      </c>
      <c r="U47" s="295">
        <f>OBRA!T45</f>
        <v>41324</v>
      </c>
      <c r="V47" s="296">
        <f>OBRA!U45</f>
        <v>41344</v>
      </c>
      <c r="W47" s="1153"/>
      <c r="X47" s="795">
        <f>OBRA!AS45+OBRA!AT45</f>
        <v>318104.90999999997</v>
      </c>
      <c r="Y47" s="805"/>
      <c r="Z47" s="301" t="str">
        <f>OBRA!W45</f>
        <v>C. JOSÉ MIGUEL GARCIA VALLE</v>
      </c>
      <c r="AA47" s="301"/>
      <c r="AB47" s="302" t="str">
        <f t="shared" si="1"/>
        <v>C. JOSÉ MIGUEL GARCIA VALLE</v>
      </c>
      <c r="AC47" s="302" t="s">
        <v>2955</v>
      </c>
      <c r="AD47" s="301" t="s">
        <v>2955</v>
      </c>
      <c r="AE47" s="297" t="str">
        <f>OBRA!X45</f>
        <v>ING. ISER RANGEL REVILLA</v>
      </c>
      <c r="AF47" s="290"/>
      <c r="AG47" s="291"/>
      <c r="AH47" s="297" t="e">
        <f t="shared" si="0"/>
        <v>#DIV/0!</v>
      </c>
      <c r="AI47" s="291"/>
      <c r="AJ47" s="572"/>
      <c r="AK47" s="515"/>
      <c r="AL47" s="515"/>
      <c r="AM47" s="515"/>
      <c r="AN47" s="515"/>
      <c r="AO47" s="291"/>
      <c r="AP47" s="291"/>
      <c r="AQ47" s="291"/>
      <c r="AR47" s="515"/>
      <c r="AS47" s="572"/>
    </row>
    <row r="48" spans="1:45" s="299" customFormat="1" ht="75.75" hidden="1" customHeight="1">
      <c r="A48" s="288">
        <f>OBRA!J46</f>
        <v>2013</v>
      </c>
      <c r="B48" s="782" t="s">
        <v>1427</v>
      </c>
      <c r="C48" s="782"/>
      <c r="D48" s="782"/>
      <c r="E48" s="291" t="str">
        <f>OBRA!M46</f>
        <v>CUENTA CORRIENTE</v>
      </c>
      <c r="F48" s="289"/>
      <c r="G48" s="515"/>
      <c r="H48" s="290" t="str">
        <f>OBRA!N46</f>
        <v>GMJ 006C OP/2013</v>
      </c>
      <c r="I48" s="291" t="str">
        <f>OBRA!O46</f>
        <v>INVITACIÓN</v>
      </c>
      <c r="J48" s="292" t="str">
        <f>OBRA!P46</f>
        <v>COLOCACIÓN DE CARPETA ASFALTICA EN AV. DEL TRABAJO (EN EL INGRESO PRINCIPAL A LA LOCLIDAD) EN LA POBLCIÓN DE ZAPOTITAN DE HIDALGO</v>
      </c>
      <c r="K48" s="292"/>
      <c r="L48" s="292"/>
      <c r="M48" s="292"/>
      <c r="N48" s="292"/>
      <c r="O48" s="292"/>
      <c r="P48" s="293">
        <f>OBRA!R46</f>
        <v>1807551.01</v>
      </c>
      <c r="Q48" s="293"/>
      <c r="R48" s="293"/>
      <c r="S48" s="294">
        <f>OBRA!S46</f>
        <v>41327</v>
      </c>
      <c r="T48" s="1134" t="str">
        <f>OBRA!V46</f>
        <v>-</v>
      </c>
      <c r="U48" s="295">
        <f>OBRA!T46</f>
        <v>41328</v>
      </c>
      <c r="V48" s="296">
        <f>OBRA!U46</f>
        <v>41337</v>
      </c>
      <c r="W48" s="1153"/>
      <c r="X48" s="795">
        <f>OBRA!AS46+OBRA!AT46</f>
        <v>1807515.27</v>
      </c>
      <c r="Y48" s="805"/>
      <c r="Z48" s="301" t="str">
        <f>OBRA!W46</f>
        <v>BRAILOGA CONSTRUCTORES S.A. DE C.V.</v>
      </c>
      <c r="AA48" s="301"/>
      <c r="AB48" s="302" t="str">
        <f t="shared" si="1"/>
        <v>BRAILOGA CONSTRUCTORES S.A. DE C.V.</v>
      </c>
      <c r="AC48" s="301" t="e">
        <f>#REF!</f>
        <v>#REF!</v>
      </c>
      <c r="AD48" s="301"/>
      <c r="AE48" s="297" t="str">
        <f>OBRA!X46</f>
        <v>ING. LUIS JOEL HUERTA LOMA</v>
      </c>
      <c r="AF48" s="290"/>
      <c r="AG48" s="291"/>
      <c r="AH48" s="297" t="e">
        <f t="shared" si="0"/>
        <v>#DIV/0!</v>
      </c>
      <c r="AI48" s="291"/>
      <c r="AJ48" s="572"/>
      <c r="AK48" s="515"/>
      <c r="AL48" s="515"/>
      <c r="AM48" s="515"/>
      <c r="AN48" s="515"/>
      <c r="AO48" s="291"/>
      <c r="AP48" s="291"/>
      <c r="AQ48" s="291"/>
      <c r="AR48" s="515"/>
      <c r="AS48" s="572"/>
    </row>
    <row r="49" spans="1:45" s="299" customFormat="1" ht="75.75" hidden="1" customHeight="1">
      <c r="A49" s="288">
        <f>OBRA!J47</f>
        <v>2013</v>
      </c>
      <c r="B49" s="782" t="s">
        <v>1427</v>
      </c>
      <c r="C49" s="782"/>
      <c r="D49" s="782"/>
      <c r="E49" s="291" t="str">
        <f>OBRA!M47</f>
        <v>CUENTA CORRIENTE</v>
      </c>
      <c r="F49" s="289"/>
      <c r="G49" s="515"/>
      <c r="H49" s="290" t="str">
        <f>OBRA!N47</f>
        <v>GMJ 007C OP/2013</v>
      </c>
      <c r="I49" s="291" t="str">
        <f>OBRA!O47</f>
        <v>ADJUDICACIÓN DIRECTA</v>
      </c>
      <c r="J49" s="292" t="str">
        <f>OBRA!P47</f>
        <v>BACHEO CON ASFALTO EN C. XOCHILT ENTRE CARRETERA CHAPALA-JOCOTEPEC Y CALLE CUAHUTEMOC, EN LA POBLACION CHANTEPEC EN EL MUNICIPIO DE JOCOTEPEC, JALISCO</v>
      </c>
      <c r="K49" s="292"/>
      <c r="L49" s="292"/>
      <c r="M49" s="292"/>
      <c r="N49" s="292"/>
      <c r="O49" s="292"/>
      <c r="P49" s="293">
        <f>OBRA!R47</f>
        <v>224365</v>
      </c>
      <c r="Q49" s="293"/>
      <c r="R49" s="293"/>
      <c r="S49" s="294">
        <f>OBRA!S47</f>
        <v>41353</v>
      </c>
      <c r="T49" s="1134">
        <f>OBRA!V47</f>
        <v>41353</v>
      </c>
      <c r="U49" s="295">
        <f>OBRA!T47</f>
        <v>41358</v>
      </c>
      <c r="V49" s="296">
        <f>OBRA!U47</f>
        <v>41378</v>
      </c>
      <c r="W49" s="1153"/>
      <c r="X49" s="795">
        <f>OBRA!AS47+OBRA!AT47</f>
        <v>224365.83</v>
      </c>
      <c r="Y49" s="805"/>
      <c r="Z49" s="301" t="str">
        <f>OBRA!W47</f>
        <v>C. JOSÉ MIGUEL GARCIA VALLE</v>
      </c>
      <c r="AA49" s="301"/>
      <c r="AB49" s="302" t="str">
        <f t="shared" si="1"/>
        <v>C. JOSÉ MIGUEL GARCIA VALLE</v>
      </c>
      <c r="AC49" s="302" t="s">
        <v>2955</v>
      </c>
      <c r="AD49" s="301" t="s">
        <v>2955</v>
      </c>
      <c r="AE49" s="297" t="str">
        <f>OBRA!X47</f>
        <v>ING. ISER RANGEL REVILLA</v>
      </c>
      <c r="AF49" s="290"/>
      <c r="AG49" s="291"/>
      <c r="AH49" s="297" t="e">
        <f t="shared" si="0"/>
        <v>#DIV/0!</v>
      </c>
      <c r="AI49" s="291"/>
      <c r="AJ49" s="572"/>
      <c r="AK49" s="515"/>
      <c r="AL49" s="515"/>
      <c r="AM49" s="515"/>
      <c r="AN49" s="515"/>
      <c r="AO49" s="291"/>
      <c r="AP49" s="291"/>
      <c r="AQ49" s="291"/>
      <c r="AR49" s="515"/>
      <c r="AS49" s="572"/>
    </row>
    <row r="50" spans="1:45" s="299" customFormat="1" ht="75.75" hidden="1" customHeight="1">
      <c r="A50" s="288">
        <f>OBRA!J48</f>
        <v>2013</v>
      </c>
      <c r="B50" s="782" t="s">
        <v>1427</v>
      </c>
      <c r="C50" s="782"/>
      <c r="D50" s="782"/>
      <c r="E50" s="291" t="str">
        <f>OBRA!M48</f>
        <v>FOPEDEM</v>
      </c>
      <c r="F50" s="289"/>
      <c r="G50" s="515"/>
      <c r="H50" s="290" t="str">
        <f>OBRA!N48</f>
        <v>GMJ 008C OP/2013</v>
      </c>
      <c r="I50" s="291" t="str">
        <f>OBRA!O48</f>
        <v>INVITACIÓN</v>
      </c>
      <c r="J50" s="292" t="str">
        <f>OBRA!P48</f>
        <v>COLOCACIÓN DE CARPETA ASFALTICA C. ZARAGOZA ENTRE VICENTE GUERRERO Y JOSE SANTANA, EN LA CABECERA MUNICIPAL</v>
      </c>
      <c r="K50" s="292"/>
      <c r="L50" s="292"/>
      <c r="M50" s="292"/>
      <c r="N50" s="292"/>
      <c r="O50" s="292"/>
      <c r="P50" s="293">
        <f>OBRA!R48</f>
        <v>1998053.6</v>
      </c>
      <c r="Q50" s="293"/>
      <c r="R50" s="293"/>
      <c r="S50" s="294">
        <f>OBRA!S48</f>
        <v>41407</v>
      </c>
      <c r="T50" s="1134" t="str">
        <f>OBRA!V48</f>
        <v>-</v>
      </c>
      <c r="U50" s="295">
        <f>OBRA!T48</f>
        <v>41407</v>
      </c>
      <c r="V50" s="296">
        <f>OBRA!U48</f>
        <v>41468</v>
      </c>
      <c r="W50" s="1153"/>
      <c r="X50" s="795">
        <f>OBRA!AS48+OBRA!AT48</f>
        <v>1998053.6</v>
      </c>
      <c r="Y50" s="805"/>
      <c r="Z50" s="301" t="str">
        <f>OBRA!W48</f>
        <v>C. MIGUEL RAFAEL RODRIGUEZ ALLENDE</v>
      </c>
      <c r="AA50" s="301"/>
      <c r="AB50" s="302" t="str">
        <f t="shared" si="1"/>
        <v>C. MIGUEL RAFAEL RODRIGUEZ ALLENDE</v>
      </c>
      <c r="AC50" s="302" t="s">
        <v>2955</v>
      </c>
      <c r="AD50" s="301" t="s">
        <v>2955</v>
      </c>
      <c r="AE50" s="297" t="str">
        <f>OBRA!X48</f>
        <v>ARQ. JAIME CONDE GOMEZ</v>
      </c>
      <c r="AF50" s="290"/>
      <c r="AG50" s="291"/>
      <c r="AH50" s="297" t="e">
        <f t="shared" si="0"/>
        <v>#DIV/0!</v>
      </c>
      <c r="AI50" s="291"/>
      <c r="AJ50" s="572"/>
      <c r="AK50" s="515"/>
      <c r="AL50" s="515"/>
      <c r="AM50" s="515"/>
      <c r="AN50" s="515"/>
      <c r="AO50" s="291"/>
      <c r="AP50" s="291"/>
      <c r="AQ50" s="291"/>
      <c r="AR50" s="515"/>
      <c r="AS50" s="572"/>
    </row>
    <row r="51" spans="1:45" s="299" customFormat="1" ht="75.75" hidden="1" customHeight="1">
      <c r="A51" s="288">
        <f>OBRA!J49</f>
        <v>2013</v>
      </c>
      <c r="B51" s="782" t="s">
        <v>1427</v>
      </c>
      <c r="C51" s="782"/>
      <c r="D51" s="782"/>
      <c r="E51" s="291" t="str">
        <f>OBRA!M49</f>
        <v>CUENTA CORRIENTE</v>
      </c>
      <c r="F51" s="289"/>
      <c r="G51" s="515"/>
      <c r="H51" s="290" t="str">
        <f>OBRA!N49</f>
        <v>GMJ 009C OP/2013</v>
      </c>
      <c r="I51" s="291" t="str">
        <f>OBRA!O49</f>
        <v>ADJUDICACIÓN DIRECTA</v>
      </c>
      <c r="J51" s="292"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2"/>
      <c r="L51" s="292"/>
      <c r="M51" s="292"/>
      <c r="N51" s="292"/>
      <c r="O51" s="292"/>
      <c r="P51" s="293">
        <f>OBRA!R49</f>
        <v>572707.94999999995</v>
      </c>
      <c r="Q51" s="293"/>
      <c r="R51" s="293"/>
      <c r="S51" s="294">
        <f>OBRA!S49</f>
        <v>41402</v>
      </c>
      <c r="T51" s="1134">
        <f>OBRA!V49</f>
        <v>41402</v>
      </c>
      <c r="U51" s="295">
        <f>OBRA!T49</f>
        <v>41404</v>
      </c>
      <c r="V51" s="296">
        <f>OBRA!U49</f>
        <v>41424</v>
      </c>
      <c r="W51" s="1153"/>
      <c r="X51" s="795">
        <f>OBRA!AS49+OBRA!AT49</f>
        <v>545676.13</v>
      </c>
      <c r="Y51" s="805"/>
      <c r="Z51" s="301" t="str">
        <f>OBRA!W49</f>
        <v>C. JOSÉ MIGUEL GARCIA VALLE</v>
      </c>
      <c r="AA51" s="301"/>
      <c r="AB51" s="302" t="str">
        <f t="shared" si="1"/>
        <v>C. JOSÉ MIGUEL GARCIA VALLE</v>
      </c>
      <c r="AC51" s="302" t="s">
        <v>2955</v>
      </c>
      <c r="AD51" s="301" t="s">
        <v>2955</v>
      </c>
      <c r="AE51" s="297" t="str">
        <f>OBRA!X49</f>
        <v>ING. LUIS JOEL HUERTA LOMA</v>
      </c>
      <c r="AF51" s="290"/>
      <c r="AG51" s="291"/>
      <c r="AH51" s="297" t="e">
        <f t="shared" si="0"/>
        <v>#DIV/0!</v>
      </c>
      <c r="AI51" s="291"/>
      <c r="AJ51" s="572"/>
      <c r="AK51" s="515"/>
      <c r="AL51" s="515"/>
      <c r="AM51" s="515"/>
      <c r="AN51" s="515"/>
      <c r="AO51" s="291"/>
      <c r="AP51" s="291"/>
      <c r="AQ51" s="291"/>
      <c r="AR51" s="515"/>
      <c r="AS51" s="572"/>
    </row>
    <row r="52" spans="1:45" s="299" customFormat="1" ht="75.75" hidden="1" customHeight="1">
      <c r="A52" s="288">
        <f>OBRA!J50</f>
        <v>2013</v>
      </c>
      <c r="B52" s="782" t="s">
        <v>1427</v>
      </c>
      <c r="C52" s="782"/>
      <c r="D52" s="782"/>
      <c r="E52" s="291" t="str">
        <f>OBRA!M50</f>
        <v>CUENTA CORRIENTE</v>
      </c>
      <c r="F52" s="289"/>
      <c r="G52" s="515"/>
      <c r="H52" s="290" t="str">
        <f>OBRA!N50</f>
        <v>GMJ 010C OP/2013</v>
      </c>
      <c r="I52" s="291" t="str">
        <f>OBRA!O50</f>
        <v>INVITACIÓN</v>
      </c>
      <c r="J52" s="292" t="str">
        <f>OBRA!P50</f>
        <v>PERFORACION Y ADEME DE POZO PROFUNDO EN EL FRACCIONMIENTO MAGISTERIAL UBICDO EN L ZONA OESTE DE LA CABECERA MUNICIPAL</v>
      </c>
      <c r="K52" s="292"/>
      <c r="L52" s="292"/>
      <c r="M52" s="292"/>
      <c r="N52" s="292"/>
      <c r="O52" s="292"/>
      <c r="P52" s="293">
        <f>OBRA!R50</f>
        <v>1398728</v>
      </c>
      <c r="Q52" s="293"/>
      <c r="R52" s="293"/>
      <c r="S52" s="294">
        <f>OBRA!S50</f>
        <v>41428</v>
      </c>
      <c r="T52" s="1134" t="str">
        <f>OBRA!V50</f>
        <v>-</v>
      </c>
      <c r="U52" s="295">
        <f>OBRA!T50</f>
        <v>41436</v>
      </c>
      <c r="V52" s="296">
        <f>OBRA!U50</f>
        <v>41466</v>
      </c>
      <c r="W52" s="1153"/>
      <c r="X52" s="795">
        <f>OBRA!AS50+OBRA!AT50</f>
        <v>1337359.6000000001</v>
      </c>
      <c r="Y52" s="805"/>
      <c r="Z52" s="301" t="str">
        <f>OBRA!W50</f>
        <v>RAMPER DRILLINGS S.A. DE C.V.</v>
      </c>
      <c r="AA52" s="301"/>
      <c r="AB52" s="302" t="str">
        <f t="shared" si="1"/>
        <v>RAMPER DRILLINGS S.A. DE C.V.</v>
      </c>
      <c r="AC52" s="301" t="e">
        <f>#REF!</f>
        <v>#REF!</v>
      </c>
      <c r="AD52" s="301"/>
      <c r="AE52" s="297" t="str">
        <f>OBRA!X50</f>
        <v>C. DANIEL RODRIGUEZ VALENZUELA</v>
      </c>
      <c r="AF52" s="290"/>
      <c r="AG52" s="291"/>
      <c r="AH52" s="297" t="e">
        <f t="shared" si="0"/>
        <v>#DIV/0!</v>
      </c>
      <c r="AI52" s="291"/>
      <c r="AJ52" s="572"/>
      <c r="AK52" s="515"/>
      <c r="AL52" s="515"/>
      <c r="AM52" s="515"/>
      <c r="AN52" s="515"/>
      <c r="AO52" s="291"/>
      <c r="AP52" s="291"/>
      <c r="AQ52" s="291"/>
      <c r="AR52" s="515"/>
      <c r="AS52" s="572"/>
    </row>
    <row r="53" spans="1:45" s="299" customFormat="1" ht="75.75" hidden="1" customHeight="1">
      <c r="A53" s="288">
        <f>OBRA!J51</f>
        <v>2013</v>
      </c>
      <c r="B53" s="782" t="s">
        <v>1427</v>
      </c>
      <c r="C53" s="782"/>
      <c r="D53" s="782"/>
      <c r="E53" s="291" t="str">
        <f>OBRA!M51</f>
        <v>CUENTA CORRIENTE</v>
      </c>
      <c r="F53" s="289"/>
      <c r="G53" s="515"/>
      <c r="H53" s="290" t="str">
        <f>OBRA!N51</f>
        <v>GMJ 011C OP/2013</v>
      </c>
      <c r="I53" s="291" t="str">
        <f>OBRA!O51</f>
        <v>ADJUDICACIÓN DIRECTA</v>
      </c>
      <c r="J53" s="292" t="str">
        <f>OBRA!P51</f>
        <v>EMPEDRADO AHOGADO EN CEMENTO PRIVADA FRANCISCO I. MADERO, EN LA DELEGACION SAN JUAN COSALA</v>
      </c>
      <c r="K53" s="292"/>
      <c r="L53" s="292"/>
      <c r="M53" s="292"/>
      <c r="N53" s="292"/>
      <c r="O53" s="292"/>
      <c r="P53" s="293">
        <f>OBRA!R51</f>
        <v>97904</v>
      </c>
      <c r="Q53" s="293"/>
      <c r="R53" s="293"/>
      <c r="S53" s="294">
        <f>OBRA!S51</f>
        <v>41404</v>
      </c>
      <c r="T53" s="1134">
        <f>OBRA!V51</f>
        <v>41404</v>
      </c>
      <c r="U53" s="295">
        <f>OBRA!T51</f>
        <v>41407</v>
      </c>
      <c r="V53" s="296">
        <f>OBRA!U51</f>
        <v>41412</v>
      </c>
      <c r="W53" s="1153"/>
      <c r="X53" s="795">
        <f>OBRA!AS51+OBRA!AT51</f>
        <v>97904</v>
      </c>
      <c r="Y53" s="805"/>
      <c r="Z53" s="301" t="str">
        <f>OBRA!W51</f>
        <v>C. URIEL PALOS CUEVAS</v>
      </c>
      <c r="AA53" s="301"/>
      <c r="AB53" s="302" t="str">
        <f t="shared" si="1"/>
        <v>C. URIEL PALOS CUEVAS</v>
      </c>
      <c r="AC53" s="302" t="s">
        <v>2955</v>
      </c>
      <c r="AD53" s="301" t="s">
        <v>2955</v>
      </c>
      <c r="AE53" s="297" t="str">
        <f>OBRA!X51</f>
        <v>C. DANIEL RODRIGUEZ VALENZUELA</v>
      </c>
      <c r="AF53" s="290"/>
      <c r="AG53" s="291"/>
      <c r="AH53" s="297" t="e">
        <f t="shared" si="0"/>
        <v>#DIV/0!</v>
      </c>
      <c r="AI53" s="291"/>
      <c r="AJ53" s="572"/>
      <c r="AK53" s="515"/>
      <c r="AL53" s="515"/>
      <c r="AM53" s="515"/>
      <c r="AN53" s="515"/>
      <c r="AO53" s="291"/>
      <c r="AP53" s="291"/>
      <c r="AQ53" s="291"/>
      <c r="AR53" s="515"/>
      <c r="AS53" s="572"/>
    </row>
    <row r="54" spans="1:45" s="299" customFormat="1" ht="75.75" hidden="1" customHeight="1">
      <c r="A54" s="288">
        <f>OBRA!J52</f>
        <v>2013</v>
      </c>
      <c r="B54" s="782" t="s">
        <v>1427</v>
      </c>
      <c r="C54" s="782"/>
      <c r="D54" s="782"/>
      <c r="E54" s="291" t="str">
        <f>OBRA!M52</f>
        <v>CUENTA CORRIENTE</v>
      </c>
      <c r="F54" s="289"/>
      <c r="G54" s="515"/>
      <c r="H54" s="290" t="str">
        <f>OBRA!N52</f>
        <v>GMJ 012C OP/2013</v>
      </c>
      <c r="I54" s="291" t="str">
        <f>OBRA!O52</f>
        <v>ADJUDICACIÓN DIRECTA</v>
      </c>
      <c r="J54" s="292" t="str">
        <f>OBRA!P52</f>
        <v>COLOCACIÓN DE CARPETA ASFALTICA EN C. JUAREZ ENTRE C. ZARAAGOZA Y C. NIÑOS HEROES, EN LA CABECERA MUNICIPAL</v>
      </c>
      <c r="K54" s="292"/>
      <c r="L54" s="292"/>
      <c r="M54" s="292"/>
      <c r="N54" s="292"/>
      <c r="O54" s="292"/>
      <c r="P54" s="293">
        <f>OBRA!R52</f>
        <v>427449.56</v>
      </c>
      <c r="Q54" s="293"/>
      <c r="R54" s="293"/>
      <c r="S54" s="294">
        <f>OBRA!S52</f>
        <v>41435</v>
      </c>
      <c r="T54" s="1134">
        <f>OBRA!V52</f>
        <v>41428</v>
      </c>
      <c r="U54" s="295">
        <f>OBRA!T52</f>
        <v>41435</v>
      </c>
      <c r="V54" s="296">
        <f>OBRA!U52</f>
        <v>41453</v>
      </c>
      <c r="W54" s="1153"/>
      <c r="X54" s="795">
        <f>OBRA!AS52+OBRA!AT52</f>
        <v>427449.56</v>
      </c>
      <c r="Y54" s="805"/>
      <c r="Z54" s="301" t="str">
        <f>OBRA!W52</f>
        <v>C. MIGUEL RAFAEL RODRIGUEZ ALLENDE</v>
      </c>
      <c r="AA54" s="301"/>
      <c r="AB54" s="302" t="str">
        <f t="shared" si="1"/>
        <v>C. MIGUEL RAFAEL RODRIGUEZ ALLENDE</v>
      </c>
      <c r="AC54" s="302" t="s">
        <v>2955</v>
      </c>
      <c r="AD54" s="301" t="s">
        <v>2955</v>
      </c>
      <c r="AE54" s="297" t="str">
        <f>OBRA!X52</f>
        <v>ARQ. JAIME CONDE GOMEZ</v>
      </c>
      <c r="AF54" s="290"/>
      <c r="AG54" s="291"/>
      <c r="AH54" s="297" t="e">
        <f t="shared" si="0"/>
        <v>#DIV/0!</v>
      </c>
      <c r="AI54" s="291"/>
      <c r="AJ54" s="572"/>
      <c r="AK54" s="515"/>
      <c r="AL54" s="515"/>
      <c r="AM54" s="515"/>
      <c r="AN54" s="515"/>
      <c r="AO54" s="291"/>
      <c r="AP54" s="291"/>
      <c r="AQ54" s="291"/>
      <c r="AR54" s="515"/>
      <c r="AS54" s="572"/>
    </row>
    <row r="55" spans="1:45" s="299" customFormat="1" ht="75.75" hidden="1" customHeight="1">
      <c r="A55" s="288">
        <f>OBRA!J53</f>
        <v>2013</v>
      </c>
      <c r="B55" s="782" t="s">
        <v>1427</v>
      </c>
      <c r="C55" s="782"/>
      <c r="D55" s="782"/>
      <c r="E55" s="291" t="str">
        <f>OBRA!M53</f>
        <v>CUENTA CORRIENTE</v>
      </c>
      <c r="F55" s="289"/>
      <c r="G55" s="515"/>
      <c r="H55" s="290" t="str">
        <f>OBRA!N53</f>
        <v>GMJ 016C OP/2013</v>
      </c>
      <c r="I55" s="291" t="str">
        <f>OBRA!O53</f>
        <v>ADJUDICACIÓN DIRECTA</v>
      </c>
      <c r="J55" s="292"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2"/>
      <c r="L55" s="292"/>
      <c r="M55" s="292"/>
      <c r="N55" s="292"/>
      <c r="O55" s="292"/>
      <c r="P55" s="293">
        <f>OBRA!R53</f>
        <v>418619.7</v>
      </c>
      <c r="Q55" s="293"/>
      <c r="R55" s="293"/>
      <c r="S55" s="294">
        <f>OBRA!S53</f>
        <v>41516</v>
      </c>
      <c r="T55" s="1134">
        <f>OBRA!V53</f>
        <v>41516</v>
      </c>
      <c r="U55" s="295">
        <f>OBRA!T53</f>
        <v>41519</v>
      </c>
      <c r="V55" s="296">
        <f>OBRA!U53</f>
        <v>41530</v>
      </c>
      <c r="W55" s="1153"/>
      <c r="X55" s="795">
        <f>OBRA!AS53+OBRA!AT53</f>
        <v>415204.98</v>
      </c>
      <c r="Y55" s="805"/>
      <c r="Z55" s="301" t="str">
        <f>OBRA!W53</f>
        <v>BRAILOGA CONSTRUCTORES S.A. DE C.V.</v>
      </c>
      <c r="AA55" s="301"/>
      <c r="AB55" s="302" t="str">
        <f t="shared" si="1"/>
        <v>BRAILOGA CONSTRUCTORES S.A. DE C.V.</v>
      </c>
      <c r="AC55" s="301" t="e">
        <f>#REF!</f>
        <v>#REF!</v>
      </c>
      <c r="AD55" s="301"/>
      <c r="AE55" s="297" t="str">
        <f>OBRA!X53</f>
        <v>ING. ISER RANGEL REVILLA</v>
      </c>
      <c r="AF55" s="290"/>
      <c r="AG55" s="291"/>
      <c r="AH55" s="297" t="e">
        <f t="shared" si="0"/>
        <v>#DIV/0!</v>
      </c>
      <c r="AI55" s="291"/>
      <c r="AJ55" s="572"/>
      <c r="AK55" s="515"/>
      <c r="AL55" s="515"/>
      <c r="AM55" s="515"/>
      <c r="AN55" s="515"/>
      <c r="AO55" s="291"/>
      <c r="AP55" s="291"/>
      <c r="AQ55" s="291"/>
      <c r="AR55" s="515"/>
      <c r="AS55" s="572"/>
    </row>
    <row r="56" spans="1:45" s="299" customFormat="1" ht="75.75" hidden="1" customHeight="1">
      <c r="A56" s="288">
        <f>OBRA!J54</f>
        <v>2013</v>
      </c>
      <c r="B56" s="782" t="s">
        <v>1427</v>
      </c>
      <c r="C56" s="782"/>
      <c r="D56" s="782"/>
      <c r="E56" s="291" t="str">
        <f>OBRA!M54</f>
        <v>CUENTA CORRIENTE</v>
      </c>
      <c r="F56" s="289"/>
      <c r="G56" s="515"/>
      <c r="H56" s="290" t="str">
        <f>OBRA!N54</f>
        <v>DOP/AD/020/2013</v>
      </c>
      <c r="I56" s="291" t="str">
        <f>OBRA!O54</f>
        <v>ADMINISTRACIÓN DIRECTA</v>
      </c>
      <c r="J56" s="292" t="str">
        <f>OBRA!P54</f>
        <v>"DESASOLVES PREVENTIVOS PARA EVITAR INUNDACIONES" EN LA CABECERA Y SUS LOCALIDADES 2ª ETAPA</v>
      </c>
      <c r="K56" s="292"/>
      <c r="L56" s="292"/>
      <c r="M56" s="292"/>
      <c r="N56" s="292"/>
      <c r="O56" s="292"/>
      <c r="P56" s="293">
        <f>OBRA!R54</f>
        <v>100000</v>
      </c>
      <c r="Q56" s="293"/>
      <c r="R56" s="293"/>
      <c r="S56" s="294">
        <f>OBRA!S54</f>
        <v>41465</v>
      </c>
      <c r="T56" s="1134" t="str">
        <f>OBRA!V54</f>
        <v>-</v>
      </c>
      <c r="U56" s="295">
        <f>OBRA!T54</f>
        <v>41465</v>
      </c>
      <c r="V56" s="296">
        <f>OBRA!U54</f>
        <v>41479</v>
      </c>
      <c r="W56" s="1153"/>
      <c r="X56" s="795">
        <f>OBRA!AS54+OBRA!AT54</f>
        <v>0</v>
      </c>
      <c r="Y56" s="805"/>
      <c r="Z56" s="301" t="str">
        <f>OBRA!W54</f>
        <v>-</v>
      </c>
      <c r="AA56" s="301"/>
      <c r="AB56" s="302" t="str">
        <f t="shared" si="1"/>
        <v>-</v>
      </c>
      <c r="AC56" s="301" t="e">
        <f>#REF!</f>
        <v>#REF!</v>
      </c>
      <c r="AD56" s="301"/>
      <c r="AE56" s="297">
        <f>OBRA!X54</f>
        <v>0</v>
      </c>
      <c r="AF56" s="290"/>
      <c r="AG56" s="291"/>
      <c r="AH56" s="297" t="e">
        <f t="shared" si="0"/>
        <v>#DIV/0!</v>
      </c>
      <c r="AI56" s="291"/>
      <c r="AJ56" s="572"/>
      <c r="AK56" s="515"/>
      <c r="AL56" s="515"/>
      <c r="AM56" s="515"/>
      <c r="AN56" s="515"/>
      <c r="AO56" s="291"/>
      <c r="AP56" s="291"/>
      <c r="AQ56" s="291"/>
      <c r="AR56" s="515"/>
      <c r="AS56" s="572"/>
    </row>
    <row r="57" spans="1:45" s="299" customFormat="1" ht="75.75" hidden="1" customHeight="1">
      <c r="A57" s="288">
        <f>OBRA!J55</f>
        <v>2013</v>
      </c>
      <c r="B57" s="782" t="s">
        <v>1427</v>
      </c>
      <c r="C57" s="782"/>
      <c r="D57" s="782"/>
      <c r="E57" s="291" t="str">
        <f>OBRA!M55</f>
        <v>3X1 PARA MIGRANTES</v>
      </c>
      <c r="F57" s="289"/>
      <c r="G57" s="515"/>
      <c r="H57" s="290" t="str">
        <f>OBRA!N55</f>
        <v>DOP/AD/029/2013</v>
      </c>
      <c r="I57" s="291" t="str">
        <f>OBRA!O55</f>
        <v>ADMINISTRACIÓN DIRECTA</v>
      </c>
      <c r="J57" s="292" t="str">
        <f>OBRA!P55</f>
        <v>REHABILITACIÓN DE RED DE DRENAJE EN C. VICENTE GUERRERO, DE CARR. FED. #15 HASTA ZONA FEDERAL (LAGO) EN LA DELEGACIÓN DE SAN PEDRO TESISTAN</v>
      </c>
      <c r="K57" s="292"/>
      <c r="L57" s="292"/>
      <c r="M57" s="292"/>
      <c r="N57" s="292"/>
      <c r="O57" s="292"/>
      <c r="P57" s="293">
        <f>OBRA!R55</f>
        <v>280952</v>
      </c>
      <c r="Q57" s="293"/>
      <c r="R57" s="293"/>
      <c r="S57" s="294">
        <f>OBRA!S55</f>
        <v>41617</v>
      </c>
      <c r="T57" s="1134" t="str">
        <f>OBRA!V55</f>
        <v>-</v>
      </c>
      <c r="U57" s="295">
        <f>OBRA!T55</f>
        <v>41612</v>
      </c>
      <c r="V57" s="296">
        <f>OBRA!U55</f>
        <v>41635</v>
      </c>
      <c r="W57" s="1153"/>
      <c r="X57" s="795">
        <f>OBRA!AS55+OBRA!AT55</f>
        <v>280952</v>
      </c>
      <c r="Y57" s="805"/>
      <c r="Z57" s="301" t="str">
        <f>OBRA!W55</f>
        <v>-</v>
      </c>
      <c r="AA57" s="301"/>
      <c r="AB57" s="302" t="str">
        <f t="shared" si="1"/>
        <v>-</v>
      </c>
      <c r="AC57" s="301" t="e">
        <f>#REF!</f>
        <v>#REF!</v>
      </c>
      <c r="AD57" s="301"/>
      <c r="AE57" s="297">
        <f>OBRA!X55</f>
        <v>0</v>
      </c>
      <c r="AF57" s="290"/>
      <c r="AG57" s="291"/>
      <c r="AH57" s="297" t="e">
        <f t="shared" si="0"/>
        <v>#DIV/0!</v>
      </c>
      <c r="AI57" s="291"/>
      <c r="AJ57" s="572"/>
      <c r="AK57" s="515"/>
      <c r="AL57" s="515"/>
      <c r="AM57" s="515"/>
      <c r="AN57" s="515"/>
      <c r="AO57" s="291"/>
      <c r="AP57" s="291"/>
      <c r="AQ57" s="291"/>
      <c r="AR57" s="515"/>
      <c r="AS57" s="572"/>
    </row>
    <row r="58" spans="1:45" s="299" customFormat="1" ht="75.75" hidden="1" customHeight="1">
      <c r="A58" s="288">
        <f>OBRA!J56</f>
        <v>2013</v>
      </c>
      <c r="B58" s="782" t="s">
        <v>1427</v>
      </c>
      <c r="C58" s="782"/>
      <c r="D58" s="782"/>
      <c r="E58" s="291" t="str">
        <f>OBRA!M56</f>
        <v>3X1 PARA MIGRANTES</v>
      </c>
      <c r="F58" s="289"/>
      <c r="G58" s="515"/>
      <c r="H58" s="290" t="str">
        <f>OBRA!N56</f>
        <v>DOP/AD/031/2013</v>
      </c>
      <c r="I58" s="291" t="str">
        <f>OBRA!O56</f>
        <v>ADMINISTRACIÓN DIRECTA</v>
      </c>
      <c r="J58" s="292" t="str">
        <f>OBRA!P56</f>
        <v>REHABILITACIÓN DE SUPERFICIE DE RODAMIENTO CON EMPEDRDO AHOGADO EN CEMENTO EN C. VICENTE GUERRERO, DE CARR. FED. #15 HASTA ZONA FEDERAL (LAGO) EN LA DELEGACIÓN DE SAN PEDRO TESISTAN</v>
      </c>
      <c r="K58" s="292"/>
      <c r="L58" s="292"/>
      <c r="M58" s="292"/>
      <c r="N58" s="292"/>
      <c r="O58" s="292"/>
      <c r="P58" s="293">
        <f>OBRA!R56</f>
        <v>670884</v>
      </c>
      <c r="Q58" s="293"/>
      <c r="R58" s="293"/>
      <c r="S58" s="294">
        <f>OBRA!S56</f>
        <v>41617</v>
      </c>
      <c r="T58" s="1134" t="str">
        <f>OBRA!V56</f>
        <v>-</v>
      </c>
      <c r="U58" s="295">
        <f>OBRA!T56</f>
        <v>41612</v>
      </c>
      <c r="V58" s="296">
        <f>OBRA!U56</f>
        <v>41638</v>
      </c>
      <c r="W58" s="1153"/>
      <c r="X58" s="795">
        <f>OBRA!AS56+OBRA!AT56</f>
        <v>670884</v>
      </c>
      <c r="Y58" s="805"/>
      <c r="Z58" s="301" t="str">
        <f>OBRA!W56</f>
        <v>-</v>
      </c>
      <c r="AA58" s="301"/>
      <c r="AB58" s="302" t="str">
        <f t="shared" si="1"/>
        <v>-</v>
      </c>
      <c r="AC58" s="301" t="e">
        <f>#REF!</f>
        <v>#REF!</v>
      </c>
      <c r="AD58" s="301"/>
      <c r="AE58" s="297">
        <f>OBRA!X56</f>
        <v>0</v>
      </c>
      <c r="AF58" s="290"/>
      <c r="AG58" s="291"/>
      <c r="AH58" s="297" t="e">
        <f t="shared" si="0"/>
        <v>#DIV/0!</v>
      </c>
      <c r="AI58" s="291"/>
      <c r="AJ58" s="572"/>
      <c r="AK58" s="515"/>
      <c r="AL58" s="515"/>
      <c r="AM58" s="515"/>
      <c r="AN58" s="515"/>
      <c r="AO58" s="291"/>
      <c r="AP58" s="291"/>
      <c r="AQ58" s="291"/>
      <c r="AR58" s="515"/>
      <c r="AS58" s="572"/>
    </row>
    <row r="59" spans="1:45" s="299" customFormat="1" ht="75.75" hidden="1" customHeight="1">
      <c r="A59" s="288">
        <f>OBRA!J57</f>
        <v>2013</v>
      </c>
      <c r="B59" s="782" t="s">
        <v>1427</v>
      </c>
      <c r="C59" s="782"/>
      <c r="D59" s="782"/>
      <c r="E59" s="291" t="str">
        <f>OBRA!M57</f>
        <v>FISE</v>
      </c>
      <c r="F59" s="289"/>
      <c r="G59" s="515"/>
      <c r="H59" s="290" t="str">
        <f>OBRA!N57</f>
        <v>GMJ 024 OP/2013</v>
      </c>
      <c r="I59" s="291" t="str">
        <f>OBRA!O57</f>
        <v>ADJUDICACIÓN DIRECTA</v>
      </c>
      <c r="J59" s="292" t="str">
        <f>OBRA!P57</f>
        <v>PERFORACIÓN DE POZO PROFUNDO, EN EL PREDIO NO. 10 AL FINAL DE LA CALLE ALLENDE EN LA LOCALIDAD DE LAS TROJES</v>
      </c>
      <c r="K59" s="292"/>
      <c r="L59" s="292"/>
      <c r="M59" s="292"/>
      <c r="N59" s="292"/>
      <c r="O59" s="292"/>
      <c r="P59" s="293">
        <f>OBRA!R57</f>
        <v>667000</v>
      </c>
      <c r="Q59" s="293"/>
      <c r="R59" s="293"/>
      <c r="S59" s="294">
        <f>OBRA!S57</f>
        <v>41516</v>
      </c>
      <c r="T59" s="1134" t="str">
        <f>OBRA!V57</f>
        <v>FALTA</v>
      </c>
      <c r="U59" s="295">
        <f>OBRA!T57</f>
        <v>41638</v>
      </c>
      <c r="V59" s="296">
        <f>OBRA!U57</f>
        <v>41691</v>
      </c>
      <c r="W59" s="1153"/>
      <c r="X59" s="795">
        <f>OBRA!AS57+OBRA!AT57</f>
        <v>0</v>
      </c>
      <c r="Y59" s="805"/>
      <c r="Z59" s="301" t="str">
        <f>OBRA!W57</f>
        <v>EQUIPO MANTENIMIENTO Y PLANEACION ELECTRICA S.A. DE C.V.</v>
      </c>
      <c r="AA59" s="301"/>
      <c r="AB59" s="302" t="str">
        <f t="shared" si="1"/>
        <v>EQUIPO MANTENIMIENTO Y PLANEACION ELECTRICA S.A. DE C.V.</v>
      </c>
      <c r="AC59" s="301" t="e">
        <f>#REF!</f>
        <v>#REF!</v>
      </c>
      <c r="AD59" s="301"/>
      <c r="AE59" s="297">
        <f>OBRA!X57</f>
        <v>0</v>
      </c>
      <c r="AF59" s="290"/>
      <c r="AG59" s="291"/>
      <c r="AH59" s="297" t="e">
        <f t="shared" si="0"/>
        <v>#DIV/0!</v>
      </c>
      <c r="AI59" s="291"/>
      <c r="AJ59" s="572"/>
      <c r="AK59" s="515"/>
      <c r="AL59" s="515"/>
      <c r="AM59" s="515"/>
      <c r="AN59" s="515"/>
      <c r="AO59" s="291"/>
      <c r="AP59" s="291"/>
      <c r="AQ59" s="291"/>
      <c r="AR59" s="515"/>
      <c r="AS59" s="572"/>
    </row>
    <row r="60" spans="1:45" s="104" customFormat="1" ht="75.75" hidden="1" customHeight="1">
      <c r="A60" s="82">
        <f>OBRA!J58</f>
        <v>2013</v>
      </c>
      <c r="B60" s="781" t="s">
        <v>1427</v>
      </c>
      <c r="C60" s="781"/>
      <c r="D60" s="781"/>
      <c r="E60" s="85" t="str">
        <f>OBRA!M58</f>
        <v>FODIM</v>
      </c>
      <c r="F60" s="83"/>
      <c r="G60" s="514"/>
      <c r="H60" s="84">
        <f>OBRA!N58</f>
        <v>0</v>
      </c>
      <c r="I60" s="185" t="s">
        <v>251</v>
      </c>
      <c r="J60" s="125" t="str">
        <f>OBRA!P58</f>
        <v>FABRICACIÓN DE LOZA DE CONCRETO HIDRAULICO CON RENOVACIÓN DE REDES DE AGUA POTABLE Y RED DE DRENAJE EN CALLE MORELOS ENTRE C. NICOLAS BRAVO Y NIÑOS HEROES 1ERA ETAPA</v>
      </c>
      <c r="K60" s="125"/>
      <c r="L60" s="125"/>
      <c r="M60" s="125"/>
      <c r="N60" s="125"/>
      <c r="O60" s="125"/>
      <c r="P60" s="86">
        <f>OBRA!R58</f>
        <v>0</v>
      </c>
      <c r="Q60" s="86"/>
      <c r="R60" s="86"/>
      <c r="S60" s="87" t="s">
        <v>68</v>
      </c>
      <c r="T60" s="1134" t="str">
        <f>OBRA!V58</f>
        <v>-</v>
      </c>
      <c r="U60" s="88" t="s">
        <v>68</v>
      </c>
      <c r="V60" s="89" t="s">
        <v>68</v>
      </c>
      <c r="W60" s="338"/>
      <c r="X60" s="810">
        <f>OBRA!AS58+OBRA!AT58</f>
        <v>0</v>
      </c>
      <c r="Y60" s="821"/>
      <c r="Z60" s="147">
        <f>OBRA!W58</f>
        <v>0</v>
      </c>
      <c r="AA60" s="147"/>
      <c r="AB60" s="149">
        <f t="shared" si="1"/>
        <v>0</v>
      </c>
      <c r="AC60" s="147" t="e">
        <f>#REF!</f>
        <v>#REF!</v>
      </c>
      <c r="AD60" s="147"/>
      <c r="AE60" s="275" t="s">
        <v>251</v>
      </c>
      <c r="AF60" s="84"/>
      <c r="AG60" s="85"/>
      <c r="AH60" s="184" t="e">
        <f t="shared" si="0"/>
        <v>#DIV/0!</v>
      </c>
      <c r="AI60" s="85"/>
      <c r="AJ60" s="575"/>
      <c r="AK60" s="527"/>
      <c r="AL60" s="527"/>
      <c r="AM60" s="527"/>
      <c r="AN60" s="527"/>
      <c r="AO60" s="527"/>
      <c r="AP60" s="527"/>
      <c r="AQ60" s="527"/>
      <c r="AR60" s="527"/>
      <c r="AS60" s="514"/>
    </row>
    <row r="61" spans="1:45" s="299" customFormat="1" ht="75.75" hidden="1" customHeight="1">
      <c r="A61" s="288">
        <f>OBRA!J59</f>
        <v>2014</v>
      </c>
      <c r="B61" s="782" t="s">
        <v>1427</v>
      </c>
      <c r="C61" s="782"/>
      <c r="D61" s="782"/>
      <c r="E61" s="291" t="str">
        <f>OBRA!M59</f>
        <v>R33 - FODIM</v>
      </c>
      <c r="F61" s="289"/>
      <c r="G61" s="515"/>
      <c r="H61" s="290" t="str">
        <f>OBRA!N59</f>
        <v>GMJ 002C OP/2014</v>
      </c>
      <c r="I61" s="291" t="str">
        <f>OBRA!O59</f>
        <v>INVITACIÓN</v>
      </c>
      <c r="J61" s="292" t="str">
        <f>OBRA!P59</f>
        <v>FABRICACION DE LOZA DE CONCRETO HIDRAULICO, CON RENOVACIÓN DE REDES DE AGUA POTABLE Y RED DE DRENAJE EN LA CALLE MORELOS DE CALLE INDEPENDENCIA A CALLE MATAMOROS EN LA CABECERA MUNICIPAL</v>
      </c>
      <c r="K61" s="292"/>
      <c r="L61" s="292"/>
      <c r="M61" s="292"/>
      <c r="N61" s="292"/>
      <c r="O61" s="292"/>
      <c r="P61" s="293">
        <f>OBRA!R59</f>
        <v>5400000</v>
      </c>
      <c r="Q61" s="293"/>
      <c r="R61" s="293"/>
      <c r="S61" s="294">
        <f>OBRA!S59</f>
        <v>41690</v>
      </c>
      <c r="T61" s="1134" t="str">
        <f>OBRA!V59</f>
        <v>-</v>
      </c>
      <c r="U61" s="295">
        <f>OBRA!T59</f>
        <v>41694</v>
      </c>
      <c r="V61" s="296">
        <f>OBRA!U59</f>
        <v>41783</v>
      </c>
      <c r="W61" s="1153"/>
      <c r="X61" s="795">
        <f>OBRA!AS59+OBRA!AT59</f>
        <v>0</v>
      </c>
      <c r="Y61" s="805"/>
      <c r="Z61" s="301" t="str">
        <f>OBRA!W59</f>
        <v>JOSE LUIS RANGEL GALVEZ</v>
      </c>
      <c r="AA61" s="301"/>
      <c r="AB61" s="302" t="str">
        <f t="shared" si="1"/>
        <v>JOSE LUIS RANGEL GALVEZ</v>
      </c>
      <c r="AC61" s="302" t="s">
        <v>2955</v>
      </c>
      <c r="AD61" s="301" t="s">
        <v>2955</v>
      </c>
      <c r="AE61" s="297" t="str">
        <f>OBRA!X59</f>
        <v>C. DANIEL RODRIGUEZ VALENZUELA</v>
      </c>
      <c r="AF61" s="290"/>
      <c r="AG61" s="291"/>
      <c r="AH61" s="297" t="e">
        <f t="shared" si="0"/>
        <v>#DIV/0!</v>
      </c>
      <c r="AI61" s="291"/>
      <c r="AJ61" s="572"/>
      <c r="AK61" s="515"/>
      <c r="AL61" s="515"/>
      <c r="AM61" s="515"/>
      <c r="AN61" s="515"/>
      <c r="AO61" s="291"/>
      <c r="AP61" s="291"/>
      <c r="AQ61" s="291"/>
      <c r="AR61" s="515"/>
      <c r="AS61" s="572"/>
    </row>
    <row r="62" spans="1:45" s="299" customFormat="1" ht="75.75" hidden="1" customHeight="1">
      <c r="A62" s="288">
        <f>OBRA!J60</f>
        <v>2014</v>
      </c>
      <c r="B62" s="781" t="s">
        <v>1427</v>
      </c>
      <c r="C62" s="781"/>
      <c r="D62" s="781"/>
      <c r="E62" s="291" t="str">
        <f>OBRA!M60</f>
        <v>RAMO 33</v>
      </c>
      <c r="F62" s="289"/>
      <c r="G62" s="515"/>
      <c r="H62" s="290" t="str">
        <f>OBRA!N60</f>
        <v>GMJ 001C OP/2014</v>
      </c>
      <c r="I62" s="291" t="str">
        <f>OBRA!O60</f>
        <v>LICITACION</v>
      </c>
      <c r="J62" s="292" t="str">
        <f>OBRA!P60</f>
        <v>LINEA DE CONEXIÓN ENTRE POZO DEL FRACCIONAMIENTO MAGISTERIAL Y LA RED DE AGUA MUNICIPAL EN LA CABECERA MUNICIPAL</v>
      </c>
      <c r="K62" s="292"/>
      <c r="L62" s="292"/>
      <c r="M62" s="292"/>
      <c r="N62" s="292"/>
      <c r="O62" s="292"/>
      <c r="P62" s="293">
        <f>OBRA!R60</f>
        <v>1489185.94</v>
      </c>
      <c r="Q62" s="293"/>
      <c r="R62" s="293"/>
      <c r="S62" s="294">
        <f>OBRA!S60</f>
        <v>41683</v>
      </c>
      <c r="T62" s="1134">
        <f>OBRA!V60</f>
        <v>41683</v>
      </c>
      <c r="U62" s="295">
        <f>OBRA!T60</f>
        <v>41687</v>
      </c>
      <c r="V62" s="296">
        <f>OBRA!U60</f>
        <v>41734</v>
      </c>
      <c r="W62" s="1153"/>
      <c r="X62" s="795">
        <f>OBRA!AS60+OBRA!AT60</f>
        <v>1408849.34</v>
      </c>
      <c r="Y62" s="805"/>
      <c r="Z62" s="301" t="str">
        <f>OBRA!W60</f>
        <v>HIDRAULICOS TRUJILLO S.A. DE C.V.</v>
      </c>
      <c r="AA62" s="301"/>
      <c r="AB62" s="302" t="str">
        <f t="shared" si="1"/>
        <v>HIDRAULICOS TRUJILLO S.A. DE C.V.</v>
      </c>
      <c r="AC62" s="301" t="e">
        <f>#REF!</f>
        <v>#REF!</v>
      </c>
      <c r="AD62" s="301"/>
      <c r="AE62" s="297" t="str">
        <f>OBRA!X60</f>
        <v>C. DANIEL RODRIGUEZ VALENZUELA</v>
      </c>
      <c r="AF62" s="290"/>
      <c r="AG62" s="291"/>
      <c r="AH62" s="297" t="e">
        <f t="shared" si="0"/>
        <v>#DIV/0!</v>
      </c>
      <c r="AI62" s="291"/>
      <c r="AJ62" s="572"/>
      <c r="AK62" s="803"/>
      <c r="AL62" s="803"/>
      <c r="AM62" s="803"/>
      <c r="AN62" s="803"/>
      <c r="AO62" s="803"/>
      <c r="AP62" s="803"/>
      <c r="AQ62" s="803"/>
      <c r="AR62" s="803"/>
      <c r="AS62" s="515"/>
    </row>
    <row r="63" spans="1:45" s="299" customFormat="1" ht="75.75" hidden="1" customHeight="1">
      <c r="A63" s="288">
        <f>OBRA!J61</f>
        <v>2014</v>
      </c>
      <c r="B63" s="782" t="s">
        <v>1427</v>
      </c>
      <c r="C63" s="782"/>
      <c r="D63" s="782"/>
      <c r="E63" s="291" t="str">
        <f>OBRA!M61</f>
        <v>POA</v>
      </c>
      <c r="F63" s="289" t="s">
        <v>1428</v>
      </c>
      <c r="G63" s="515"/>
      <c r="H63" s="290" t="str">
        <f>OBRA!N61</f>
        <v>DOP/AD/004/2014</v>
      </c>
      <c r="I63" s="291" t="str">
        <f>OBRA!O61</f>
        <v>ADMINISTRACIÓN DIRECTA</v>
      </c>
      <c r="J63" s="292" t="str">
        <f>OBRA!P61</f>
        <v>REHABILITACIÓN DE AUDITORIO ANTONIA PALOMARES</v>
      </c>
      <c r="K63" s="292"/>
      <c r="L63" s="292"/>
      <c r="M63" s="292"/>
      <c r="N63" s="292"/>
      <c r="O63" s="465"/>
      <c r="P63" s="293">
        <f>OBRA!R61</f>
        <v>450000</v>
      </c>
      <c r="Q63" s="293"/>
      <c r="R63" s="293"/>
      <c r="S63" s="294">
        <f>OBRA!S61</f>
        <v>41781</v>
      </c>
      <c r="T63" s="1134" t="str">
        <f>OBRA!V61</f>
        <v>-</v>
      </c>
      <c r="U63" s="295">
        <f>OBRA!T61</f>
        <v>41705</v>
      </c>
      <c r="V63" s="296">
        <f>OBRA!U61</f>
        <v>41789</v>
      </c>
      <c r="W63" s="1153"/>
      <c r="X63" s="795">
        <f>OBRA!AS61+OBRA!AT61</f>
        <v>0</v>
      </c>
      <c r="Y63" s="805"/>
      <c r="Z63" s="301" t="str">
        <f>OBRA!W61</f>
        <v>-</v>
      </c>
      <c r="AA63" s="301"/>
      <c r="AB63" s="302" t="str">
        <f t="shared" si="1"/>
        <v>-</v>
      </c>
      <c r="AC63" s="301" t="e">
        <f>#REF!</f>
        <v>#REF!</v>
      </c>
      <c r="AD63" s="301"/>
      <c r="AE63" s="297" t="str">
        <f>OBRA!X61</f>
        <v>ARQ. JAIME CONDE GOMEZ</v>
      </c>
      <c r="AF63" s="290">
        <v>100</v>
      </c>
      <c r="AG63" s="291" t="s">
        <v>1429</v>
      </c>
      <c r="AH63" s="297">
        <f t="shared" si="0"/>
        <v>0</v>
      </c>
      <c r="AI63" s="291">
        <v>21128</v>
      </c>
      <c r="AJ63" s="572"/>
      <c r="AK63" s="515"/>
      <c r="AL63" s="515"/>
      <c r="AM63" s="515"/>
      <c r="AN63" s="515"/>
      <c r="AO63" s="291"/>
      <c r="AP63" s="291"/>
      <c r="AQ63" s="291"/>
      <c r="AR63" s="515"/>
      <c r="AS63" s="572"/>
    </row>
    <row r="64" spans="1:45" s="299" customFormat="1" ht="75.75" hidden="1" customHeight="1">
      <c r="A64" s="288">
        <f>OBRA!J62</f>
        <v>2014</v>
      </c>
      <c r="B64" s="782" t="s">
        <v>1427</v>
      </c>
      <c r="C64" s="782"/>
      <c r="D64" s="782"/>
      <c r="E64" s="291" t="str">
        <f>OBRA!M62</f>
        <v>POA</v>
      </c>
      <c r="F64" s="289" t="s">
        <v>1428</v>
      </c>
      <c r="G64" s="515"/>
      <c r="H64" s="290" t="str">
        <f>OBRA!N62</f>
        <v>DOP/AD/003/2014</v>
      </c>
      <c r="I64" s="291" t="str">
        <f>OBRA!O62</f>
        <v>ADMINISTRACIÓN DIRECTA</v>
      </c>
      <c r="J64" s="292" t="str">
        <f>OBRA!P62</f>
        <v>CONSTRUCCION DE AREA DE LECTURA AL AIRE LIBRE DE LA BIBLIOTECA</v>
      </c>
      <c r="K64" s="292"/>
      <c r="L64" s="292"/>
      <c r="M64" s="292"/>
      <c r="N64" s="292"/>
      <c r="O64" s="465"/>
      <c r="P64" s="293">
        <f>OBRA!R62</f>
        <v>300000</v>
      </c>
      <c r="Q64" s="293"/>
      <c r="R64" s="293"/>
      <c r="S64" s="294">
        <f>OBRA!S62</f>
        <v>41761</v>
      </c>
      <c r="T64" s="1134" t="str">
        <f>OBRA!V62</f>
        <v>-</v>
      </c>
      <c r="U64" s="295">
        <f>OBRA!T62</f>
        <v>41761</v>
      </c>
      <c r="V64" s="296">
        <f>OBRA!U62</f>
        <v>41822</v>
      </c>
      <c r="W64" s="1153"/>
      <c r="X64" s="795">
        <f>OBRA!AS62+OBRA!AT62</f>
        <v>0</v>
      </c>
      <c r="Y64" s="805"/>
      <c r="Z64" s="301" t="str">
        <f>OBRA!W62</f>
        <v>-</v>
      </c>
      <c r="AA64" s="301"/>
      <c r="AB64" s="302" t="str">
        <f t="shared" si="1"/>
        <v>-</v>
      </c>
      <c r="AC64" s="301" t="e">
        <f>#REF!</f>
        <v>#REF!</v>
      </c>
      <c r="AD64" s="301"/>
      <c r="AE64" s="297" t="str">
        <f>OBRA!X62</f>
        <v>ARQ. JAIME CONDE GOMEZ</v>
      </c>
      <c r="AF64" s="290">
        <v>194</v>
      </c>
      <c r="AG64" s="291" t="s">
        <v>1429</v>
      </c>
      <c r="AH64" s="297">
        <f t="shared" si="0"/>
        <v>0</v>
      </c>
      <c r="AI64" s="569">
        <v>21128</v>
      </c>
      <c r="AJ64" s="291"/>
      <c r="AK64" s="515"/>
      <c r="AL64" s="515"/>
      <c r="AM64" s="515"/>
      <c r="AN64" s="515"/>
      <c r="AO64" s="291"/>
      <c r="AP64" s="291"/>
      <c r="AQ64" s="291"/>
      <c r="AR64" s="515"/>
      <c r="AS64" s="572"/>
    </row>
    <row r="65" spans="1:45" s="299" customFormat="1" ht="75.75" hidden="1" customHeight="1">
      <c r="A65" s="288">
        <f>OBRA!J63</f>
        <v>2014</v>
      </c>
      <c r="B65" s="782" t="s">
        <v>1427</v>
      </c>
      <c r="C65" s="782"/>
      <c r="D65" s="782"/>
      <c r="E65" s="291" t="str">
        <f>OBRA!M63</f>
        <v>CUENTA CORRIENTE</v>
      </c>
      <c r="F65" s="289" t="s">
        <v>1428</v>
      </c>
      <c r="G65" s="515"/>
      <c r="H65" s="290" t="str">
        <f>OBRA!N63</f>
        <v>DOP/AD/001/2014</v>
      </c>
      <c r="I65" s="291" t="str">
        <f>OBRA!O63</f>
        <v>ADMINISTRACIÓN DIRECTA</v>
      </c>
      <c r="J65" s="292" t="str">
        <f>OBRA!P63</f>
        <v>REHABILITACIÓN DE BAÑOS EN CAMPO MEXICO, EN LA CABECERA MUNICIPAL</v>
      </c>
      <c r="K65" s="292"/>
      <c r="L65" s="292"/>
      <c r="M65" s="292"/>
      <c r="N65" s="292"/>
      <c r="O65" s="465"/>
      <c r="P65" s="293">
        <f>OBRA!R63</f>
        <v>91000</v>
      </c>
      <c r="Q65" s="293"/>
      <c r="R65" s="293"/>
      <c r="S65" s="294">
        <f>OBRA!S63</f>
        <v>41705</v>
      </c>
      <c r="T65" s="1134" t="str">
        <f>OBRA!V63</f>
        <v>-</v>
      </c>
      <c r="U65" s="295">
        <f>OBRA!T63</f>
        <v>41705</v>
      </c>
      <c r="V65" s="296">
        <f>OBRA!U63</f>
        <v>41789</v>
      </c>
      <c r="W65" s="1153"/>
      <c r="X65" s="795">
        <f>OBRA!AS63+OBRA!AT63</f>
        <v>0</v>
      </c>
      <c r="Y65" s="805"/>
      <c r="Z65" s="301" t="str">
        <f>OBRA!W63</f>
        <v>-</v>
      </c>
      <c r="AA65" s="301"/>
      <c r="AB65" s="302" t="str">
        <f t="shared" si="1"/>
        <v>-</v>
      </c>
      <c r="AC65" s="301" t="e">
        <f>#REF!</f>
        <v>#REF!</v>
      </c>
      <c r="AD65" s="301"/>
      <c r="AE65" s="297" t="str">
        <f>OBRA!X63</f>
        <v>ARQ. JAIME CONDE GOMEZ</v>
      </c>
      <c r="AF65" s="290">
        <v>193</v>
      </c>
      <c r="AG65" s="291" t="s">
        <v>1430</v>
      </c>
      <c r="AH65" s="297">
        <f t="shared" si="0"/>
        <v>0</v>
      </c>
      <c r="AI65" s="569">
        <v>5359</v>
      </c>
      <c r="AJ65" s="291"/>
      <c r="AK65" s="515"/>
      <c r="AL65" s="515"/>
      <c r="AM65" s="515"/>
      <c r="AN65" s="515"/>
      <c r="AO65" s="291"/>
      <c r="AP65" s="291"/>
      <c r="AQ65" s="291"/>
      <c r="AR65" s="515"/>
      <c r="AS65" s="572"/>
    </row>
    <row r="66" spans="1:45" s="104" customFormat="1" ht="75.75" hidden="1" customHeight="1">
      <c r="A66" s="82">
        <f>OBRA!J64</f>
        <v>2014</v>
      </c>
      <c r="B66" s="781" t="s">
        <v>1427</v>
      </c>
      <c r="C66" s="781"/>
      <c r="D66" s="781"/>
      <c r="E66" s="85" t="str">
        <f>OBRA!M64</f>
        <v>RAMO 33</v>
      </c>
      <c r="F66" s="83" t="s">
        <v>1428</v>
      </c>
      <c r="G66" s="514"/>
      <c r="H66" s="84" t="str">
        <f>OBRA!N64</f>
        <v>DOP/AD/009/2014</v>
      </c>
      <c r="I66" s="185" t="str">
        <f>OBRA!O64</f>
        <v>CANCELADA</v>
      </c>
      <c r="J66" s="125" t="str">
        <f>OBRA!P64</f>
        <v>REHABILITACIÓN DE RED DE AGUA POTABLE EN C. NIÑOS HEROES DE C. HIDALGO HASTA LA ESCUELA TELESECUNDARIA NIÑOS HEROES, EN LA AGENCIA MUNICIPAL DE "EL MOLINO"</v>
      </c>
      <c r="K66" s="125"/>
      <c r="L66" s="125"/>
      <c r="M66" s="125"/>
      <c r="N66" s="125"/>
      <c r="O66" s="811"/>
      <c r="P66" s="86">
        <f>OBRA!R64</f>
        <v>48856.42</v>
      </c>
      <c r="Q66" s="86"/>
      <c r="R66" s="86"/>
      <c r="S66" s="87">
        <f>OBRA!S64</f>
        <v>41859</v>
      </c>
      <c r="T66" s="1134" t="str">
        <f>OBRA!V64</f>
        <v>-</v>
      </c>
      <c r="U66" s="88">
        <f>OBRA!T64</f>
        <v>41862</v>
      </c>
      <c r="V66" s="89">
        <f>OBRA!U64</f>
        <v>41874</v>
      </c>
      <c r="W66" s="338"/>
      <c r="X66" s="810">
        <f>OBRA!AS64+OBRA!AT64</f>
        <v>0</v>
      </c>
      <c r="Y66" s="821"/>
      <c r="Z66" s="147" t="str">
        <f>OBRA!W64</f>
        <v>-</v>
      </c>
      <c r="AA66" s="147"/>
      <c r="AB66" s="149" t="str">
        <f t="shared" si="1"/>
        <v>-</v>
      </c>
      <c r="AC66" s="147" t="e">
        <f>#REF!</f>
        <v>#REF!</v>
      </c>
      <c r="AD66" s="147"/>
      <c r="AE66" s="184" t="str">
        <f>OBRA!X64</f>
        <v>ING. RIGOBERTO OLMEDO RAMOS</v>
      </c>
      <c r="AF66" s="84">
        <v>84</v>
      </c>
      <c r="AG66" s="85" t="s">
        <v>1430</v>
      </c>
      <c r="AH66" s="184">
        <f t="shared" si="0"/>
        <v>0</v>
      </c>
      <c r="AI66" s="570">
        <v>250</v>
      </c>
      <c r="AJ66" s="85"/>
      <c r="AK66" s="514"/>
      <c r="AL66" s="514"/>
      <c r="AM66" s="514"/>
      <c r="AN66" s="514"/>
      <c r="AO66" s="514"/>
      <c r="AP66" s="514"/>
      <c r="AQ66" s="421"/>
      <c r="AR66" s="514"/>
      <c r="AS66" s="514"/>
    </row>
    <row r="67" spans="1:45" s="104" customFormat="1" ht="75.75" hidden="1" customHeight="1">
      <c r="A67" s="82">
        <f>OBRA!J65</f>
        <v>2014</v>
      </c>
      <c r="B67" s="781" t="s">
        <v>1427</v>
      </c>
      <c r="C67" s="781"/>
      <c r="D67" s="781"/>
      <c r="E67" s="85" t="str">
        <f>OBRA!M65</f>
        <v>RAMO 33</v>
      </c>
      <c r="F67" s="83" t="s">
        <v>1428</v>
      </c>
      <c r="G67" s="514"/>
      <c r="H67" s="84" t="str">
        <f>OBRA!N65</f>
        <v>DOP/AD/006/2014</v>
      </c>
      <c r="I67" s="185" t="str">
        <f>OBRA!O65</f>
        <v>CANCELADA</v>
      </c>
      <c r="J67" s="125" t="str">
        <f>OBRA!P65</f>
        <v>REHABILITACIÓN DE RED DE AGUA POTABLE EN C. HIDALGO DE C. NIÑOS HEROES HASTA ESCUELA J. VICENTE NEGRETE, EN LA AGENCIA MUNICIPAL DE "EL MOLINO"</v>
      </c>
      <c r="K67" s="125"/>
      <c r="L67" s="125"/>
      <c r="M67" s="125"/>
      <c r="N67" s="125"/>
      <c r="O67" s="812"/>
      <c r="P67" s="86">
        <f>OBRA!R65</f>
        <v>75328.27</v>
      </c>
      <c r="Q67" s="86"/>
      <c r="R67" s="86"/>
      <c r="S67" s="87">
        <f>OBRA!S65</f>
        <v>41831</v>
      </c>
      <c r="T67" s="1134" t="str">
        <f>OBRA!V65</f>
        <v>-</v>
      </c>
      <c r="U67" s="88">
        <f>OBRA!T65</f>
        <v>41834</v>
      </c>
      <c r="V67" s="89">
        <f>OBRA!U65</f>
        <v>41846</v>
      </c>
      <c r="W67" s="338"/>
      <c r="X67" s="810">
        <f>OBRA!AS65+OBRA!AT65</f>
        <v>32802.239999999998</v>
      </c>
      <c r="Y67" s="821"/>
      <c r="Z67" s="147" t="str">
        <f>OBRA!W65</f>
        <v>-</v>
      </c>
      <c r="AA67" s="147"/>
      <c r="AB67" s="149" t="str">
        <f t="shared" si="1"/>
        <v>-</v>
      </c>
      <c r="AC67" s="147" t="e">
        <f>#REF!</f>
        <v>#REF!</v>
      </c>
      <c r="AD67" s="147"/>
      <c r="AE67" s="184" t="str">
        <f>OBRA!X65</f>
        <v>ING. RIGOBERTO OLMEDO RAMOS</v>
      </c>
      <c r="AF67" s="84">
        <v>185</v>
      </c>
      <c r="AG67" s="85" t="s">
        <v>1430</v>
      </c>
      <c r="AH67" s="184">
        <f t="shared" si="0"/>
        <v>177.30940540540539</v>
      </c>
      <c r="AI67" s="570">
        <v>250</v>
      </c>
      <c r="AJ67" s="85"/>
      <c r="AK67" s="514"/>
      <c r="AL67" s="514"/>
      <c r="AM67" s="514"/>
      <c r="AN67" s="514"/>
      <c r="AO67" s="514"/>
      <c r="AP67" s="514"/>
      <c r="AQ67" s="421"/>
      <c r="AR67" s="514"/>
      <c r="AS67" s="514"/>
    </row>
    <row r="68" spans="1:45" s="104" customFormat="1" ht="75.75" hidden="1" customHeight="1">
      <c r="A68" s="82">
        <f>OBRA!J66</f>
        <v>2014</v>
      </c>
      <c r="B68" s="781" t="s">
        <v>1427</v>
      </c>
      <c r="C68" s="781"/>
      <c r="D68" s="781"/>
      <c r="E68" s="85" t="str">
        <f>OBRA!M66</f>
        <v>RAMO 33</v>
      </c>
      <c r="F68" s="83" t="s">
        <v>1428</v>
      </c>
      <c r="G68" s="514"/>
      <c r="H68" s="84" t="str">
        <f>OBRA!N66</f>
        <v>DOP/AD/005/2014</v>
      </c>
      <c r="I68" s="185" t="str">
        <f>OBRA!O66</f>
        <v>CANCELADA</v>
      </c>
      <c r="J68" s="125" t="str">
        <f>OBRA!P66</f>
        <v>REHABILITACIÓN DE RED DE DRENAJE EN C. HIDALGO DE C. NIÑOS HEROES HASTA ESCUELA J. VICENTE NEGRETE, EN LA AGENCIA MUNICIPAL DE "EL MOLINO"</v>
      </c>
      <c r="K68" s="125"/>
      <c r="L68" s="125"/>
      <c r="M68" s="125"/>
      <c r="N68" s="125"/>
      <c r="O68" s="812"/>
      <c r="P68" s="86">
        <f>OBRA!R66</f>
        <v>109593.60000000001</v>
      </c>
      <c r="Q68" s="86"/>
      <c r="R68" s="86"/>
      <c r="S68" s="87">
        <f>OBRA!S66</f>
        <v>41817</v>
      </c>
      <c r="T68" s="1134" t="str">
        <f>OBRA!V66</f>
        <v>-</v>
      </c>
      <c r="U68" s="88">
        <f>OBRA!T66</f>
        <v>41821</v>
      </c>
      <c r="V68" s="89">
        <f>OBRA!U66</f>
        <v>41834</v>
      </c>
      <c r="W68" s="338"/>
      <c r="X68" s="810">
        <f>OBRA!AS66+OBRA!AT66</f>
        <v>99446.87999999999</v>
      </c>
      <c r="Y68" s="821"/>
      <c r="Z68" s="147" t="str">
        <f>OBRA!W66</f>
        <v>-</v>
      </c>
      <c r="AA68" s="147"/>
      <c r="AB68" s="149" t="str">
        <f t="shared" si="1"/>
        <v>-</v>
      </c>
      <c r="AC68" s="147" t="e">
        <f>#REF!</f>
        <v>#REF!</v>
      </c>
      <c r="AD68" s="147"/>
      <c r="AE68" s="184" t="str">
        <f>OBRA!X66</f>
        <v>ING. RIGOBERTO OLMEDO RAMOS</v>
      </c>
      <c r="AF68" s="84">
        <v>185</v>
      </c>
      <c r="AG68" s="85" t="s">
        <v>1430</v>
      </c>
      <c r="AH68" s="184">
        <f t="shared" si="0"/>
        <v>537.55070270270267</v>
      </c>
      <c r="AI68" s="570">
        <v>250</v>
      </c>
      <c r="AJ68" s="85"/>
      <c r="AK68" s="514"/>
      <c r="AL68" s="514"/>
      <c r="AM68" s="514"/>
      <c r="AN68" s="514"/>
      <c r="AO68" s="514"/>
      <c r="AP68" s="514"/>
      <c r="AQ68" s="421"/>
      <c r="AR68" s="514"/>
      <c r="AS68" s="514"/>
    </row>
    <row r="69" spans="1:45" s="104" customFormat="1" ht="75.75" hidden="1" customHeight="1">
      <c r="A69" s="82">
        <f>OBRA!J67</f>
        <v>2014</v>
      </c>
      <c r="B69" s="781" t="s">
        <v>1427</v>
      </c>
      <c r="C69" s="781"/>
      <c r="D69" s="781"/>
      <c r="E69" s="85" t="str">
        <f>OBRA!M67</f>
        <v>RAMO 33</v>
      </c>
      <c r="F69" s="83" t="s">
        <v>1428</v>
      </c>
      <c r="G69" s="514"/>
      <c r="H69" s="84" t="str">
        <f>OBRA!N67</f>
        <v>DOP/AD/008/2014</v>
      </c>
      <c r="I69" s="185" t="str">
        <f>OBRA!O67</f>
        <v>CANCELADA</v>
      </c>
      <c r="J69" s="125" t="str">
        <f>OBRA!P67</f>
        <v>REHABILITACIÓN DE RED DE DRENAJE EN C. NIÑOS HEROES DE C. HIDALGO HASTA LA ESCUELA TELESECUNDARIA NIÑOS HEROES, EN LA AGENCIA MUNICIPAL DE "EL MOLINO"</v>
      </c>
      <c r="K69" s="125"/>
      <c r="L69" s="125"/>
      <c r="M69" s="125"/>
      <c r="N69" s="125"/>
      <c r="O69" s="811"/>
      <c r="P69" s="86">
        <f>OBRA!R67</f>
        <v>56400.28</v>
      </c>
      <c r="Q69" s="86"/>
      <c r="R69" s="86"/>
      <c r="S69" s="87">
        <f>OBRA!S67</f>
        <v>41845</v>
      </c>
      <c r="T69" s="1134" t="str">
        <f>OBRA!V67</f>
        <v>-</v>
      </c>
      <c r="U69" s="88">
        <f>OBRA!T67</f>
        <v>41848</v>
      </c>
      <c r="V69" s="89">
        <f>OBRA!U67</f>
        <v>41860</v>
      </c>
      <c r="W69" s="338"/>
      <c r="X69" s="810">
        <f>OBRA!AS67+OBRA!AT67</f>
        <v>0</v>
      </c>
      <c r="Y69" s="821"/>
      <c r="Z69" s="147" t="str">
        <f>OBRA!W67</f>
        <v>-</v>
      </c>
      <c r="AA69" s="147"/>
      <c r="AB69" s="149" t="str">
        <f t="shared" si="1"/>
        <v>-</v>
      </c>
      <c r="AC69" s="147" t="e">
        <f>#REF!</f>
        <v>#REF!</v>
      </c>
      <c r="AD69" s="147"/>
      <c r="AE69" s="184" t="str">
        <f>OBRA!X67</f>
        <v>ING. RIGOBERTO OLMEDO RAMOS</v>
      </c>
      <c r="AF69" s="84">
        <v>84</v>
      </c>
      <c r="AG69" s="85" t="s">
        <v>1430</v>
      </c>
      <c r="AH69" s="184">
        <f t="shared" si="0"/>
        <v>0</v>
      </c>
      <c r="AI69" s="570">
        <v>250</v>
      </c>
      <c r="AJ69" s="85"/>
      <c r="AK69" s="514"/>
      <c r="AL69" s="514"/>
      <c r="AM69" s="514"/>
      <c r="AN69" s="514"/>
      <c r="AO69" s="514"/>
      <c r="AP69" s="514"/>
      <c r="AQ69" s="421"/>
      <c r="AR69" s="514"/>
      <c r="AS69" s="514"/>
    </row>
    <row r="70" spans="1:45" s="104" customFormat="1" ht="75.75" hidden="1" customHeight="1">
      <c r="A70" s="82">
        <f>OBRA!J68</f>
        <v>2014</v>
      </c>
      <c r="B70" s="781" t="s">
        <v>1427</v>
      </c>
      <c r="C70" s="781"/>
      <c r="D70" s="781"/>
      <c r="E70" s="85" t="str">
        <f>OBRA!M68</f>
        <v>RAMO 33</v>
      </c>
      <c r="F70" s="83" t="s">
        <v>1428</v>
      </c>
      <c r="G70" s="514"/>
      <c r="H70" s="84" t="str">
        <f>OBRA!N68</f>
        <v>DOP/AD/007/2014</v>
      </c>
      <c r="I70" s="185" t="str">
        <f>OBRA!O68</f>
        <v>CANCELADA</v>
      </c>
      <c r="J70" s="125" t="str">
        <f>OBRA!P68</f>
        <v>EMPEDRADO AHOGADO EN CEMENTO C. HIDALGO DE C. NIÑOS HEROES HASTA ESCUELA J. VICENTE NEGRETE, EN LA AGENCIA MUNICIPAL DE "EL MOLINO"</v>
      </c>
      <c r="K70" s="125"/>
      <c r="L70" s="125"/>
      <c r="M70" s="125"/>
      <c r="N70" s="125"/>
      <c r="O70" s="812"/>
      <c r="P70" s="86">
        <f>OBRA!R68</f>
        <v>592587.04</v>
      </c>
      <c r="Q70" s="86"/>
      <c r="R70" s="86"/>
      <c r="S70" s="87">
        <f>OBRA!S68</f>
        <v>41831</v>
      </c>
      <c r="T70" s="1134" t="str">
        <f>OBRA!V68</f>
        <v>-</v>
      </c>
      <c r="U70" s="88">
        <f>OBRA!T68</f>
        <v>41848</v>
      </c>
      <c r="V70" s="89">
        <f>OBRA!U68</f>
        <v>41874</v>
      </c>
      <c r="W70" s="338"/>
      <c r="X70" s="810">
        <f>OBRA!AS68+OBRA!AT68</f>
        <v>291070.43</v>
      </c>
      <c r="Y70" s="821"/>
      <c r="Z70" s="147" t="str">
        <f>OBRA!W68</f>
        <v>-</v>
      </c>
      <c r="AA70" s="147"/>
      <c r="AB70" s="149" t="str">
        <f t="shared" si="1"/>
        <v>-</v>
      </c>
      <c r="AC70" s="147" t="e">
        <f>#REF!</f>
        <v>#REF!</v>
      </c>
      <c r="AD70" s="147"/>
      <c r="AE70" s="184" t="str">
        <f>OBRA!X68</f>
        <v>ING. RIGOBERTO OLMEDO RAMOS</v>
      </c>
      <c r="AF70" s="84"/>
      <c r="AG70" s="85"/>
      <c r="AH70" s="184" t="e">
        <f t="shared" si="0"/>
        <v>#DIV/0!</v>
      </c>
      <c r="AI70" s="570"/>
      <c r="AJ70" s="85"/>
      <c r="AK70" s="514"/>
      <c r="AL70" s="514"/>
      <c r="AM70" s="514"/>
      <c r="AN70" s="514"/>
      <c r="AO70" s="514"/>
      <c r="AP70" s="514"/>
      <c r="AQ70" s="421" t="s">
        <v>68</v>
      </c>
      <c r="AR70" s="514"/>
      <c r="AS70" s="514" t="s">
        <v>68</v>
      </c>
    </row>
    <row r="71" spans="1:45" s="104" customFormat="1" ht="75.75" hidden="1" customHeight="1">
      <c r="A71" s="82">
        <f>OBRA!J69</f>
        <v>2014</v>
      </c>
      <c r="B71" s="781" t="s">
        <v>1427</v>
      </c>
      <c r="C71" s="781"/>
      <c r="D71" s="781"/>
      <c r="E71" s="85" t="str">
        <f>OBRA!M69</f>
        <v>RAMO 33</v>
      </c>
      <c r="F71" s="83" t="s">
        <v>1428</v>
      </c>
      <c r="G71" s="514"/>
      <c r="H71" s="84" t="str">
        <f>OBRA!N69</f>
        <v>DOP/AD/010/2014</v>
      </c>
      <c r="I71" s="185" t="str">
        <f>OBRA!O69</f>
        <v>CANCELADA</v>
      </c>
      <c r="J71" s="125" t="str">
        <f>OBRA!P69</f>
        <v>EMPEDRADO AHOGADO EN CEMENTO C. NIÑOS HEROES DE C. HIDALGO HASTA LA ESCUELA TELESECUNDARIA NIÑOS HEROES, EN LA AGENCIA MUNICIPAL DE "EL MOLINO"</v>
      </c>
      <c r="K71" s="125"/>
      <c r="L71" s="125"/>
      <c r="M71" s="125"/>
      <c r="N71" s="125"/>
      <c r="O71" s="811"/>
      <c r="P71" s="86">
        <f>OBRA!R69</f>
        <v>346618.19</v>
      </c>
      <c r="Q71" s="86"/>
      <c r="R71" s="86"/>
      <c r="S71" s="87">
        <f>OBRA!S69</f>
        <v>41873</v>
      </c>
      <c r="T71" s="1134" t="str">
        <f>OBRA!V69</f>
        <v>-</v>
      </c>
      <c r="U71" s="88">
        <f>OBRA!T69</f>
        <v>41876</v>
      </c>
      <c r="V71" s="89">
        <f>OBRA!U69</f>
        <v>41902</v>
      </c>
      <c r="W71" s="338"/>
      <c r="X71" s="810">
        <f>OBRA!AS69+OBRA!AT69</f>
        <v>0</v>
      </c>
      <c r="Y71" s="821"/>
      <c r="Z71" s="147" t="str">
        <f>OBRA!W69</f>
        <v>-</v>
      </c>
      <c r="AA71" s="147"/>
      <c r="AB71" s="149" t="str">
        <f t="shared" si="1"/>
        <v>-</v>
      </c>
      <c r="AC71" s="147" t="e">
        <f>#REF!</f>
        <v>#REF!</v>
      </c>
      <c r="AD71" s="147"/>
      <c r="AE71" s="184" t="str">
        <f>OBRA!X69</f>
        <v>ING. RIGOBERTO OLMEDO RAMOS</v>
      </c>
      <c r="AF71" s="84"/>
      <c r="AG71" s="85"/>
      <c r="AH71" s="184" t="e">
        <f t="shared" si="0"/>
        <v>#DIV/0!</v>
      </c>
      <c r="AI71" s="570"/>
      <c r="AJ71" s="85"/>
      <c r="AK71" s="514"/>
      <c r="AL71" s="514"/>
      <c r="AM71" s="514"/>
      <c r="AN71" s="514"/>
      <c r="AO71" s="514"/>
      <c r="AP71" s="514"/>
      <c r="AQ71" s="421" t="s">
        <v>68</v>
      </c>
      <c r="AR71" s="514"/>
      <c r="AS71" s="514" t="s">
        <v>68</v>
      </c>
    </row>
    <row r="72" spans="1:45" s="104" customFormat="1" ht="75.75" hidden="1" customHeight="1">
      <c r="A72" s="82">
        <f>OBRA!J70</f>
        <v>2014</v>
      </c>
      <c r="B72" s="781" t="s">
        <v>1427</v>
      </c>
      <c r="C72" s="781"/>
      <c r="D72" s="781"/>
      <c r="E72" s="85" t="str">
        <f>OBRA!M70</f>
        <v>RAMO 33</v>
      </c>
      <c r="F72" s="83" t="s">
        <v>1428</v>
      </c>
      <c r="G72" s="514"/>
      <c r="H72" s="84" t="str">
        <f>OBRA!N70</f>
        <v>DOP/AD/012/2014</v>
      </c>
      <c r="I72" s="185" t="str">
        <f>OBRA!O70</f>
        <v>CANCELADA</v>
      </c>
      <c r="J72" s="125" t="str">
        <f>OBRA!P70</f>
        <v>REHABILITACIÓN DE RED DE AGUA POTABLE EN C. VICENTE SUAREZ ENTRE C. INDEPENDENCIA Y NIÑOS HEROES, EN LA AGENCIA MUNICIPAL DE "EL MOLINO"</v>
      </c>
      <c r="K72" s="125"/>
      <c r="L72" s="125"/>
      <c r="M72" s="125"/>
      <c r="N72" s="125"/>
      <c r="O72" s="811"/>
      <c r="P72" s="86">
        <f>OBRA!R70</f>
        <v>100696.44</v>
      </c>
      <c r="Q72" s="86"/>
      <c r="R72" s="86"/>
      <c r="S72" s="87">
        <f>OBRA!S70</f>
        <v>41887</v>
      </c>
      <c r="T72" s="1134" t="str">
        <f>OBRA!V70</f>
        <v>-</v>
      </c>
      <c r="U72" s="88">
        <f>OBRA!T70</f>
        <v>41890</v>
      </c>
      <c r="V72" s="89">
        <f>OBRA!U70</f>
        <v>41902</v>
      </c>
      <c r="W72" s="338"/>
      <c r="X72" s="810">
        <f>OBRA!AS70+OBRA!AT70</f>
        <v>54985.64</v>
      </c>
      <c r="Y72" s="821"/>
      <c r="Z72" s="147" t="str">
        <f>OBRA!W70</f>
        <v>-</v>
      </c>
      <c r="AA72" s="147"/>
      <c r="AB72" s="149" t="str">
        <f t="shared" si="1"/>
        <v>-</v>
      </c>
      <c r="AC72" s="147" t="e">
        <f>#REF!</f>
        <v>#REF!</v>
      </c>
      <c r="AD72" s="147"/>
      <c r="AE72" s="184" t="str">
        <f>OBRA!X70</f>
        <v>ING. RIGOBERTO OLMEDO RAMOS</v>
      </c>
      <c r="AF72" s="84">
        <v>143</v>
      </c>
      <c r="AG72" s="85" t="s">
        <v>1430</v>
      </c>
      <c r="AH72" s="184">
        <f t="shared" ref="AH72:AH135" si="2">X72/AF72</f>
        <v>384.51496503496503</v>
      </c>
      <c r="AI72" s="570">
        <v>121</v>
      </c>
      <c r="AJ72" s="85"/>
      <c r="AK72" s="514"/>
      <c r="AL72" s="514"/>
      <c r="AM72" s="514"/>
      <c r="AN72" s="514"/>
      <c r="AO72" s="514"/>
      <c r="AP72" s="514"/>
      <c r="AQ72" s="421"/>
      <c r="AR72" s="514"/>
      <c r="AS72" s="514"/>
    </row>
    <row r="73" spans="1:45" s="104" customFormat="1" ht="75.75" hidden="1" customHeight="1">
      <c r="A73" s="82">
        <f>OBRA!J71</f>
        <v>2014</v>
      </c>
      <c r="B73" s="781" t="s">
        <v>1427</v>
      </c>
      <c r="C73" s="781"/>
      <c r="D73" s="781"/>
      <c r="E73" s="85" t="str">
        <f>OBRA!M71</f>
        <v>RAMO 33</v>
      </c>
      <c r="F73" s="83" t="s">
        <v>1428</v>
      </c>
      <c r="G73" s="514"/>
      <c r="H73" s="84" t="str">
        <f>OBRA!N71</f>
        <v>DOP/AD/011/2014</v>
      </c>
      <c r="I73" s="185" t="str">
        <f>OBRA!O71</f>
        <v>CANCELADA</v>
      </c>
      <c r="J73" s="125" t="str">
        <f>OBRA!P71</f>
        <v>REHABILITACIÓN DE RED DE DRENAJE EN C. VICENTE SUAREZ ENTRE C. INDEPENDENCIA Y NIÑOS HEROES, EN LA AGENCIA MUNICIPAL DE "EL MOLINO"</v>
      </c>
      <c r="K73" s="125"/>
      <c r="L73" s="125"/>
      <c r="M73" s="125"/>
      <c r="N73" s="125"/>
      <c r="O73" s="811"/>
      <c r="P73" s="86">
        <f>OBRA!R71</f>
        <v>129939.7</v>
      </c>
      <c r="Q73" s="86"/>
      <c r="R73" s="86"/>
      <c r="S73" s="87">
        <f>OBRA!S71</f>
        <v>41873</v>
      </c>
      <c r="T73" s="1134" t="str">
        <f>OBRA!V71</f>
        <v>-</v>
      </c>
      <c r="U73" s="88">
        <f>OBRA!T71</f>
        <v>41876</v>
      </c>
      <c r="V73" s="89">
        <f>OBRA!U71</f>
        <v>41888</v>
      </c>
      <c r="W73" s="338"/>
      <c r="X73" s="810">
        <f>OBRA!AS71+OBRA!AT71</f>
        <v>87342.25</v>
      </c>
      <c r="Y73" s="821"/>
      <c r="Z73" s="147" t="str">
        <f>OBRA!W71</f>
        <v>-</v>
      </c>
      <c r="AA73" s="147"/>
      <c r="AB73" s="149" t="str">
        <f t="shared" ref="AB73:AB135" si="3">Z73</f>
        <v>-</v>
      </c>
      <c r="AC73" s="147" t="e">
        <f>#REF!</f>
        <v>#REF!</v>
      </c>
      <c r="AD73" s="147"/>
      <c r="AE73" s="184" t="str">
        <f>OBRA!X71</f>
        <v>ING. RIGOBERTO OLMEDO RAMOS</v>
      </c>
      <c r="AF73" s="84">
        <v>143</v>
      </c>
      <c r="AG73" s="85" t="s">
        <v>1430</v>
      </c>
      <c r="AH73" s="184">
        <f t="shared" si="2"/>
        <v>610.78496503496501</v>
      </c>
      <c r="AI73" s="570">
        <v>121</v>
      </c>
      <c r="AJ73" s="85"/>
      <c r="AK73" s="514"/>
      <c r="AL73" s="514"/>
      <c r="AM73" s="514"/>
      <c r="AN73" s="514"/>
      <c r="AO73" s="514"/>
      <c r="AP73" s="514"/>
      <c r="AQ73" s="421"/>
      <c r="AR73" s="514"/>
      <c r="AS73" s="514"/>
    </row>
    <row r="74" spans="1:45" s="104" customFormat="1" ht="75.75" hidden="1" customHeight="1">
      <c r="A74" s="82">
        <f>OBRA!J72</f>
        <v>2014</v>
      </c>
      <c r="B74" s="781" t="s">
        <v>1427</v>
      </c>
      <c r="C74" s="781"/>
      <c r="D74" s="781"/>
      <c r="E74" s="85" t="str">
        <f>OBRA!M72</f>
        <v>RAMO 33</v>
      </c>
      <c r="F74" s="83" t="s">
        <v>1428</v>
      </c>
      <c r="G74" s="514"/>
      <c r="H74" s="84" t="str">
        <f>OBRA!N72</f>
        <v>DOP/AD/013/2014</v>
      </c>
      <c r="I74" s="185" t="str">
        <f>OBRA!O72</f>
        <v>CANCELADA</v>
      </c>
      <c r="J74" s="125" t="str">
        <f>OBRA!P72</f>
        <v>EMPEDRADO AHOGADO EN CEMENTO C. VICENTE SUAREZ ENTRE C. INDEPENDENCIA Y NIÑOS HEROES, EN LA AGENCIA MUNICIPAL DE "EL MOLINO"</v>
      </c>
      <c r="K74" s="125"/>
      <c r="L74" s="125"/>
      <c r="M74" s="125"/>
      <c r="N74" s="125"/>
      <c r="O74" s="811"/>
      <c r="P74" s="86">
        <f>OBRA!R72</f>
        <v>659302.69999999995</v>
      </c>
      <c r="Q74" s="86"/>
      <c r="R74" s="86"/>
      <c r="S74" s="87">
        <f>OBRA!S72</f>
        <v>41901</v>
      </c>
      <c r="T74" s="1134" t="str">
        <f>OBRA!V72</f>
        <v>-</v>
      </c>
      <c r="U74" s="88">
        <f>OBRA!T72</f>
        <v>41904</v>
      </c>
      <c r="V74" s="89">
        <f>OBRA!U72</f>
        <v>41930</v>
      </c>
      <c r="W74" s="338"/>
      <c r="X74" s="810">
        <f>OBRA!AS72+OBRA!AT72</f>
        <v>241336.84</v>
      </c>
      <c r="Y74" s="821"/>
      <c r="Z74" s="147" t="str">
        <f>OBRA!W72</f>
        <v>-</v>
      </c>
      <c r="AA74" s="147"/>
      <c r="AB74" s="149" t="str">
        <f t="shared" si="3"/>
        <v>-</v>
      </c>
      <c r="AC74" s="147" t="e">
        <f>#REF!</f>
        <v>#REF!</v>
      </c>
      <c r="AD74" s="147"/>
      <c r="AE74" s="184" t="str">
        <f>OBRA!X72</f>
        <v>ING. RIGOBERTO OLMEDO RAMOS</v>
      </c>
      <c r="AF74" s="84">
        <v>1615.23</v>
      </c>
      <c r="AG74" s="85" t="s">
        <v>1429</v>
      </c>
      <c r="AH74" s="184">
        <f t="shared" si="2"/>
        <v>149.41329717749176</v>
      </c>
      <c r="AI74" s="570">
        <v>121</v>
      </c>
      <c r="AJ74" s="85"/>
      <c r="AK74" s="527"/>
      <c r="AL74" s="527"/>
      <c r="AM74" s="527"/>
      <c r="AN74" s="527"/>
      <c r="AO74" s="527"/>
      <c r="AP74" s="527"/>
      <c r="AQ74" s="813"/>
      <c r="AR74" s="527"/>
      <c r="AS74" s="514"/>
    </row>
    <row r="75" spans="1:45" s="299" customFormat="1" ht="75.75" hidden="1" customHeight="1">
      <c r="A75" s="288">
        <f>OBRA!J73</f>
        <v>2014</v>
      </c>
      <c r="B75" s="782" t="s">
        <v>1427</v>
      </c>
      <c r="C75" s="782"/>
      <c r="D75" s="782"/>
      <c r="E75" s="291" t="str">
        <f>OBRA!M73</f>
        <v>FONDEREG</v>
      </c>
      <c r="F75" s="289"/>
      <c r="G75" s="515"/>
      <c r="H75" s="290" t="str">
        <f>OBRA!N73</f>
        <v>GMJ 003C OP/2014</v>
      </c>
      <c r="I75" s="291" t="str">
        <f>OBRA!O73</f>
        <v>INVITACIÓN</v>
      </c>
      <c r="J75" s="292" t="str">
        <f>OBRA!P73</f>
        <v>COLOCACIÓN DE ADOQUIN ASENTADO EN ARENA DE RIO EN LA CALLE PROFIRIO DÍAZ Y RENOVACIÓN DE REDES DE AGUA POTABLE Y DRENAJE, QUE SE LLEVARA A CABO EN LA LOCALIDAD DE SAN JUAN COSALA</v>
      </c>
      <c r="K75" s="292"/>
      <c r="L75" s="292"/>
      <c r="M75" s="292"/>
      <c r="N75" s="292"/>
      <c r="O75" s="438"/>
      <c r="P75" s="293">
        <f>OBRA!R73</f>
        <v>2564100.69</v>
      </c>
      <c r="Q75" s="293"/>
      <c r="R75" s="293"/>
      <c r="S75" s="294">
        <f>OBRA!S73</f>
        <v>41824</v>
      </c>
      <c r="T75" s="1134" t="str">
        <f>OBRA!V73</f>
        <v>-</v>
      </c>
      <c r="U75" s="295">
        <f>OBRA!T73</f>
        <v>41855</v>
      </c>
      <c r="V75" s="296">
        <f>OBRA!U73</f>
        <v>41884</v>
      </c>
      <c r="W75" s="1153"/>
      <c r="X75" s="795">
        <f>OBRA!AS73+OBRA!AT73</f>
        <v>2586760.2200000002</v>
      </c>
      <c r="Y75" s="805"/>
      <c r="Z75" s="301" t="str">
        <f>OBRA!W73</f>
        <v>C. URIEL PALOS CUEVAS</v>
      </c>
      <c r="AA75" s="301"/>
      <c r="AB75" s="302" t="str">
        <f t="shared" si="3"/>
        <v>C. URIEL PALOS CUEVAS</v>
      </c>
      <c r="AC75" s="302" t="s">
        <v>2955</v>
      </c>
      <c r="AD75" s="301" t="s">
        <v>2955</v>
      </c>
      <c r="AE75" s="297" t="str">
        <f>OBRA!X73</f>
        <v>C. DANIEL RODRIGUEZ VALENZUELA</v>
      </c>
      <c r="AF75" s="290"/>
      <c r="AG75" s="291"/>
      <c r="AH75" s="297" t="e">
        <f t="shared" si="2"/>
        <v>#DIV/0!</v>
      </c>
      <c r="AI75" s="291"/>
      <c r="AJ75" s="572"/>
      <c r="AK75" s="515"/>
      <c r="AL75" s="515"/>
      <c r="AM75" s="515"/>
      <c r="AN75" s="515"/>
      <c r="AO75" s="291"/>
      <c r="AP75" s="291"/>
      <c r="AQ75" s="291"/>
      <c r="AR75" s="515"/>
      <c r="AS75" s="572"/>
    </row>
    <row r="76" spans="1:45" s="299" customFormat="1" ht="75.75" hidden="1" customHeight="1">
      <c r="A76" s="288">
        <f>OBRA!J74</f>
        <v>2014</v>
      </c>
      <c r="B76" s="782" t="s">
        <v>1427</v>
      </c>
      <c r="C76" s="782"/>
      <c r="D76" s="782"/>
      <c r="E76" s="291" t="str">
        <f>OBRA!M74</f>
        <v>CUENTA CORRIENTE</v>
      </c>
      <c r="F76" s="289" t="s">
        <v>1428</v>
      </c>
      <c r="G76" s="515"/>
      <c r="H76" s="290" t="str">
        <f>OBRA!N74</f>
        <v>DOP/AD/014/2014</v>
      </c>
      <c r="I76" s="291" t="str">
        <f>OBRA!O74</f>
        <v>ADMINISTRACIÓN DIRECTA</v>
      </c>
      <c r="J76" s="292" t="str">
        <f>OBRA!P74</f>
        <v>CONSTRUCCIÓN DE BANQUETAS EN C. MORELOS ENTRE HIDALGO Y JOSEFA ORTIZ DE DOMÍNGUEZ (1 LADO) SUR, EN LA CABECERA MUNICIPAL</v>
      </c>
      <c r="K76" s="292"/>
      <c r="L76" s="292"/>
      <c r="M76" s="292"/>
      <c r="N76" s="292"/>
      <c r="O76" s="465"/>
      <c r="P76" s="293">
        <f>OBRA!R74</f>
        <v>119790.69</v>
      </c>
      <c r="Q76" s="293"/>
      <c r="R76" s="293"/>
      <c r="S76" s="294">
        <f>OBRA!S74</f>
        <v>41876</v>
      </c>
      <c r="T76" s="1134" t="str">
        <f>OBRA!V74</f>
        <v>-</v>
      </c>
      <c r="U76" s="295">
        <f>OBRA!T74</f>
        <v>41876</v>
      </c>
      <c r="V76" s="296">
        <f>OBRA!U74</f>
        <v>41907</v>
      </c>
      <c r="W76" s="1153"/>
      <c r="X76" s="795">
        <f>OBRA!AS74+OBRA!AT74</f>
        <v>0</v>
      </c>
      <c r="Y76" s="805"/>
      <c r="Z76" s="301" t="str">
        <f>OBRA!W74</f>
        <v>-</v>
      </c>
      <c r="AA76" s="301"/>
      <c r="AB76" s="302" t="str">
        <f t="shared" si="3"/>
        <v>-</v>
      </c>
      <c r="AC76" s="301" t="e">
        <f>#REF!</f>
        <v>#REF!</v>
      </c>
      <c r="AD76" s="301"/>
      <c r="AE76" s="297" t="str">
        <f>OBRA!X74</f>
        <v>C. DANIEL RODRIGUEZ VALENZUELA</v>
      </c>
      <c r="AF76" s="290">
        <v>135</v>
      </c>
      <c r="AG76" s="291" t="s">
        <v>1429</v>
      </c>
      <c r="AH76" s="297">
        <f t="shared" si="2"/>
        <v>0</v>
      </c>
      <c r="AI76" s="291">
        <v>21128</v>
      </c>
      <c r="AJ76" s="572"/>
      <c r="AK76" s="515"/>
      <c r="AL76" s="515"/>
      <c r="AM76" s="515"/>
      <c r="AN76" s="515"/>
      <c r="AO76" s="291"/>
      <c r="AP76" s="291"/>
      <c r="AQ76" s="291"/>
      <c r="AR76" s="515"/>
      <c r="AS76" s="572"/>
    </row>
    <row r="77" spans="1:45" s="299" customFormat="1" ht="75.75" hidden="1" customHeight="1">
      <c r="A77" s="288">
        <f>OBRA!J75</f>
        <v>2014</v>
      </c>
      <c r="B77" s="782" t="s">
        <v>1427</v>
      </c>
      <c r="C77" s="782"/>
      <c r="D77" s="782"/>
      <c r="E77" s="291" t="str">
        <f>OBRA!M75</f>
        <v>RAMO 33</v>
      </c>
      <c r="F77" s="289" t="s">
        <v>1428</v>
      </c>
      <c r="G77" s="515"/>
      <c r="H77" s="290" t="str">
        <f>OBRA!N75</f>
        <v>DOP/AD/015/2014</v>
      </c>
      <c r="I77" s="291" t="str">
        <f>OBRA!O75</f>
        <v>ADMINISTRACIÓN DIRECTA</v>
      </c>
      <c r="J77" s="292" t="str">
        <f>OBRA!P75</f>
        <v>AMPLIACIÓN DE COLECTOR DE ALEJAMIENTO DEL DRENAJE SANITARIO (ENTRE AVE. DEL TRABAJO HASTA ARROYO) EN LA DELEGACIÓN DE ZAPOTITAN DE HIDALGO</v>
      </c>
      <c r="K77" s="292"/>
      <c r="L77" s="292"/>
      <c r="M77" s="292"/>
      <c r="N77" s="292"/>
      <c r="O77" s="465"/>
      <c r="P77" s="293">
        <f>OBRA!R75</f>
        <v>1543344.7</v>
      </c>
      <c r="Q77" s="293"/>
      <c r="R77" s="293"/>
      <c r="S77" s="294">
        <f>OBRA!S75</f>
        <v>41883</v>
      </c>
      <c r="T77" s="1134" t="str">
        <f>OBRA!V75</f>
        <v>-</v>
      </c>
      <c r="U77" s="295">
        <f>OBRA!T75</f>
        <v>41883</v>
      </c>
      <c r="V77" s="296">
        <f>OBRA!U75</f>
        <v>41912</v>
      </c>
      <c r="W77" s="1153"/>
      <c r="X77" s="795">
        <f>OBRA!AS75+OBRA!AT75</f>
        <v>1128935.3</v>
      </c>
      <c r="Y77" s="805"/>
      <c r="Z77" s="301" t="str">
        <f>OBRA!W75</f>
        <v>-</v>
      </c>
      <c r="AA77" s="301"/>
      <c r="AB77" s="302" t="str">
        <f t="shared" si="3"/>
        <v>-</v>
      </c>
      <c r="AC77" s="301" t="e">
        <f>#REF!</f>
        <v>#REF!</v>
      </c>
      <c r="AD77" s="301"/>
      <c r="AE77" s="297" t="str">
        <f>OBRA!X75</f>
        <v>ING. RIGOBERTO OLMEDO RAMOS</v>
      </c>
      <c r="AF77" s="290">
        <v>1291.6500000000001</v>
      </c>
      <c r="AG77" s="291" t="s">
        <v>1430</v>
      </c>
      <c r="AH77" s="297">
        <f t="shared" si="2"/>
        <v>874.02570355746525</v>
      </c>
      <c r="AI77" s="291">
        <v>3449</v>
      </c>
      <c r="AJ77" s="572"/>
      <c r="AK77" s="515"/>
      <c r="AL77" s="515"/>
      <c r="AM77" s="515"/>
      <c r="AN77" s="515"/>
      <c r="AO77" s="291"/>
      <c r="AP77" s="291"/>
      <c r="AQ77" s="291"/>
      <c r="AR77" s="515"/>
      <c r="AS77" s="572"/>
    </row>
    <row r="78" spans="1:45" s="299" customFormat="1" ht="142.5" hidden="1" customHeight="1">
      <c r="A78" s="288">
        <f>OBRA!J76</f>
        <v>2014</v>
      </c>
      <c r="B78" s="782" t="s">
        <v>1427</v>
      </c>
      <c r="C78" s="782"/>
      <c r="D78" s="782"/>
      <c r="E78" s="291" t="str">
        <f>OBRA!M76</f>
        <v>CUENTA CORRIENTE</v>
      </c>
      <c r="F78" s="289" t="s">
        <v>1428</v>
      </c>
      <c r="G78" s="515"/>
      <c r="H78" s="290" t="str">
        <f>OBRA!N76</f>
        <v>DOP/AD/016/2014</v>
      </c>
      <c r="I78" s="291" t="str">
        <f>OBRA!O76</f>
        <v>ADMINISTRACIÓN DIRECTA</v>
      </c>
      <c r="J78" s="292"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2"/>
      <c r="L78" s="292"/>
      <c r="M78" s="292"/>
      <c r="N78" s="292"/>
      <c r="O78" s="465"/>
      <c r="P78" s="293">
        <f>OBRA!R76</f>
        <v>200000</v>
      </c>
      <c r="Q78" s="293"/>
      <c r="R78" s="293"/>
      <c r="S78" s="294">
        <f>OBRA!S76</f>
        <v>41830</v>
      </c>
      <c r="T78" s="1134" t="str">
        <f>OBRA!V76</f>
        <v>-</v>
      </c>
      <c r="U78" s="295">
        <f>OBRA!T76</f>
        <v>41834</v>
      </c>
      <c r="V78" s="296">
        <f>OBRA!U76</f>
        <v>41897</v>
      </c>
      <c r="W78" s="1153"/>
      <c r="X78" s="795">
        <f>OBRA!AS76+OBRA!AT76</f>
        <v>0</v>
      </c>
      <c r="Y78" s="805"/>
      <c r="Z78" s="301" t="str">
        <f>OBRA!W76</f>
        <v>-</v>
      </c>
      <c r="AA78" s="301"/>
      <c r="AB78" s="302" t="str">
        <f t="shared" si="3"/>
        <v>-</v>
      </c>
      <c r="AC78" s="301" t="e">
        <f>#REF!</f>
        <v>#REF!</v>
      </c>
      <c r="AD78" s="301"/>
      <c r="AE78" s="297" t="str">
        <f>OBRA!X76</f>
        <v>ARQ. JUAN MANUEL PIRUL CORTÉS</v>
      </c>
      <c r="AF78" s="290"/>
      <c r="AG78" s="291"/>
      <c r="AH78" s="297" t="e">
        <f t="shared" si="2"/>
        <v>#DIV/0!</v>
      </c>
      <c r="AI78" s="291">
        <v>21128</v>
      </c>
      <c r="AJ78" s="572"/>
      <c r="AK78" s="515"/>
      <c r="AL78" s="515"/>
      <c r="AM78" s="515"/>
      <c r="AN78" s="515"/>
      <c r="AO78" s="291"/>
      <c r="AP78" s="291"/>
      <c r="AQ78" s="291"/>
      <c r="AR78" s="515"/>
      <c r="AS78" s="572"/>
    </row>
    <row r="79" spans="1:45" s="299" customFormat="1" ht="75.75" hidden="1" customHeight="1">
      <c r="A79" s="288">
        <f>OBRA!J77</f>
        <v>2014</v>
      </c>
      <c r="B79" s="782" t="s">
        <v>1427</v>
      </c>
      <c r="C79" s="782"/>
      <c r="D79" s="782"/>
      <c r="E79" s="291" t="str">
        <f>OBRA!M77</f>
        <v>PET</v>
      </c>
      <c r="F79" s="289"/>
      <c r="G79" s="515"/>
      <c r="H79" s="290" t="str">
        <f>OBRA!N77</f>
        <v>DOP/AD/017/2014</v>
      </c>
      <c r="I79" s="291" t="str">
        <f>OBRA!O77</f>
        <v>ADMINISTRACIÓN DIRECTA</v>
      </c>
      <c r="J79" s="292" t="str">
        <f>OBRA!P77</f>
        <v xml:space="preserve">CONSTRUCCIÓN DE PISO FIRME EN LA LOCALIDAD DE POTRERILLOS </v>
      </c>
      <c r="K79" s="292"/>
      <c r="L79" s="292"/>
      <c r="M79" s="292"/>
      <c r="N79" s="292"/>
      <c r="O79" s="465"/>
      <c r="P79" s="293">
        <f>OBRA!R77</f>
        <v>3311850</v>
      </c>
      <c r="Q79" s="293"/>
      <c r="R79" s="293"/>
      <c r="S79" s="294">
        <f>OBRA!S77</f>
        <v>41922</v>
      </c>
      <c r="T79" s="1134" t="str">
        <f>OBRA!V77</f>
        <v>-</v>
      </c>
      <c r="U79" s="295">
        <f>OBRA!T77</f>
        <v>41927</v>
      </c>
      <c r="V79" s="296">
        <f>OBRA!U77</f>
        <v>41988</v>
      </c>
      <c r="W79" s="1153"/>
      <c r="X79" s="795">
        <f>OBRA!AS77+OBRA!AT77</f>
        <v>0</v>
      </c>
      <c r="Y79" s="805"/>
      <c r="Z79" s="301" t="str">
        <f>OBRA!W77</f>
        <v>-</v>
      </c>
      <c r="AA79" s="301"/>
      <c r="AB79" s="302" t="str">
        <f t="shared" si="3"/>
        <v>-</v>
      </c>
      <c r="AC79" s="301" t="e">
        <f>#REF!</f>
        <v>#REF!</v>
      </c>
      <c r="AD79" s="301"/>
      <c r="AE79" s="297" t="str">
        <f>OBRA!X77</f>
        <v>DANIEL RODRIGUEZ</v>
      </c>
      <c r="AF79" s="290">
        <v>2190</v>
      </c>
      <c r="AG79" s="291" t="s">
        <v>1429</v>
      </c>
      <c r="AH79" s="297">
        <f t="shared" si="2"/>
        <v>0</v>
      </c>
      <c r="AI79" s="291">
        <v>200</v>
      </c>
      <c r="AJ79" s="572"/>
      <c r="AK79" s="515"/>
      <c r="AL79" s="515"/>
      <c r="AM79" s="515"/>
      <c r="AN79" s="515"/>
      <c r="AO79" s="291"/>
      <c r="AP79" s="291"/>
      <c r="AQ79" s="452" t="s">
        <v>1431</v>
      </c>
      <c r="AR79" s="491"/>
      <c r="AS79" s="572" t="s">
        <v>1432</v>
      </c>
    </row>
    <row r="80" spans="1:45" s="299" customFormat="1" ht="75.75" hidden="1" customHeight="1">
      <c r="A80" s="288">
        <f>OBRA!J78</f>
        <v>2014</v>
      </c>
      <c r="B80" s="782" t="s">
        <v>1427</v>
      </c>
      <c r="C80" s="782"/>
      <c r="D80" s="782"/>
      <c r="E80" s="291" t="str">
        <f>OBRA!M78</f>
        <v>PET</v>
      </c>
      <c r="F80" s="289"/>
      <c r="G80" s="515"/>
      <c r="H80" s="290" t="str">
        <f>OBRA!N78</f>
        <v>DOP/AD/018/2014</v>
      </c>
      <c r="I80" s="291" t="str">
        <f>OBRA!O78</f>
        <v>ADMINISTRACIÓN DIRECTA</v>
      </c>
      <c r="J80" s="292" t="str">
        <f>OBRA!P78</f>
        <v xml:space="preserve">CONSTRUCCIÓN DE PISO FIRME EN LA LOCALIDAD LAS TROJES </v>
      </c>
      <c r="K80" s="292"/>
      <c r="L80" s="292"/>
      <c r="M80" s="292"/>
      <c r="N80" s="292"/>
      <c r="O80" s="465"/>
      <c r="P80" s="293">
        <f>OBRA!R78</f>
        <v>540540</v>
      </c>
      <c r="Q80" s="293"/>
      <c r="R80" s="293"/>
      <c r="S80" s="294">
        <f>OBRA!S78</f>
        <v>41922</v>
      </c>
      <c r="T80" s="1134" t="str">
        <f>OBRA!V78</f>
        <v>-</v>
      </c>
      <c r="U80" s="295">
        <f>OBRA!T78</f>
        <v>41927</v>
      </c>
      <c r="V80" s="296">
        <f>OBRA!U78</f>
        <v>41988</v>
      </c>
      <c r="W80" s="1153"/>
      <c r="X80" s="795">
        <f>OBRA!AS78+OBRA!AT78</f>
        <v>0</v>
      </c>
      <c r="Y80" s="805"/>
      <c r="Z80" s="301" t="str">
        <f>OBRA!W78</f>
        <v>-</v>
      </c>
      <c r="AA80" s="301"/>
      <c r="AB80" s="302" t="str">
        <f t="shared" si="3"/>
        <v>-</v>
      </c>
      <c r="AC80" s="301" t="e">
        <f>#REF!</f>
        <v>#REF!</v>
      </c>
      <c r="AD80" s="301"/>
      <c r="AE80" s="297" t="str">
        <f>OBRA!X78</f>
        <v>DANIEL RODRIGUEZ</v>
      </c>
      <c r="AF80" s="290">
        <v>963</v>
      </c>
      <c r="AG80" s="291" t="s">
        <v>1429</v>
      </c>
      <c r="AH80" s="297">
        <f t="shared" si="2"/>
        <v>0</v>
      </c>
      <c r="AI80" s="291">
        <v>160</v>
      </c>
      <c r="AJ80" s="572"/>
      <c r="AK80" s="515"/>
      <c r="AL80" s="515"/>
      <c r="AM80" s="515"/>
      <c r="AN80" s="515"/>
      <c r="AO80" s="291"/>
      <c r="AP80" s="291"/>
      <c r="AQ80" s="452" t="s">
        <v>1433</v>
      </c>
      <c r="AR80" s="491"/>
      <c r="AS80" s="572" t="s">
        <v>1432</v>
      </c>
    </row>
    <row r="81" spans="1:45" s="299" customFormat="1" ht="75.75" hidden="1" customHeight="1">
      <c r="A81" s="288">
        <f>OBRA!J79</f>
        <v>2014</v>
      </c>
      <c r="B81" s="782" t="s">
        <v>1427</v>
      </c>
      <c r="C81" s="782"/>
      <c r="D81" s="782"/>
      <c r="E81" s="291" t="s">
        <v>166</v>
      </c>
      <c r="F81" s="289" t="s">
        <v>1428</v>
      </c>
      <c r="G81" s="515"/>
      <c r="H81" s="290" t="str">
        <f>OBRA!N79</f>
        <v>DOP/AD/021/2014</v>
      </c>
      <c r="I81" s="291" t="str">
        <f>OBRA!O79</f>
        <v>ADMINISTRACIÓN DIRECTA</v>
      </c>
      <c r="J81" s="292" t="str">
        <f>OBRA!P79</f>
        <v>REHABILITACION DE BANQUETAS EN C. HIDALGO CRUCE CON CALLE DONATO GUERRA EN LA CABECERA MUNICIPAL</v>
      </c>
      <c r="K81" s="292"/>
      <c r="L81" s="292"/>
      <c r="M81" s="292"/>
      <c r="N81" s="292"/>
      <c r="O81" s="465"/>
      <c r="P81" s="293">
        <f>OBRA!R79</f>
        <v>40279.599999999999</v>
      </c>
      <c r="Q81" s="293"/>
      <c r="R81" s="293"/>
      <c r="S81" s="294">
        <f>OBRA!S79</f>
        <v>41939</v>
      </c>
      <c r="T81" s="1134" t="str">
        <f>OBRA!V79</f>
        <v>-</v>
      </c>
      <c r="U81" s="295">
        <f>OBRA!T79</f>
        <v>41939</v>
      </c>
      <c r="V81" s="296">
        <f>OBRA!U79</f>
        <v>41954</v>
      </c>
      <c r="W81" s="1153"/>
      <c r="X81" s="795">
        <f>OBRA!AS79+OBRA!AT79</f>
        <v>0</v>
      </c>
      <c r="Y81" s="805"/>
      <c r="Z81" s="301" t="str">
        <f>OBRA!W79</f>
        <v>-</v>
      </c>
      <c r="AA81" s="301"/>
      <c r="AB81" s="302" t="str">
        <f t="shared" si="3"/>
        <v>-</v>
      </c>
      <c r="AC81" s="301" t="e">
        <f>#REF!</f>
        <v>#REF!</v>
      </c>
      <c r="AD81" s="301"/>
      <c r="AE81" s="297" t="str">
        <f>OBRA!X79</f>
        <v>ARQ. JAIME CONDE GOMEZ</v>
      </c>
      <c r="AF81" s="290" t="s">
        <v>68</v>
      </c>
      <c r="AG81" s="291" t="s">
        <v>68</v>
      </c>
      <c r="AH81" s="297" t="e">
        <f t="shared" si="2"/>
        <v>#VALUE!</v>
      </c>
      <c r="AI81" s="291">
        <v>80</v>
      </c>
      <c r="AJ81" s="572"/>
      <c r="AK81" s="515"/>
      <c r="AL81" s="515"/>
      <c r="AM81" s="515"/>
      <c r="AN81" s="515"/>
      <c r="AO81" s="291"/>
      <c r="AP81" s="291"/>
      <c r="AQ81" s="291"/>
      <c r="AR81" s="515"/>
      <c r="AS81" s="572"/>
    </row>
    <row r="82" spans="1:45" s="299" customFormat="1" ht="75.75" hidden="1" customHeight="1">
      <c r="A82" s="288">
        <f>OBRA!J80</f>
        <v>2014</v>
      </c>
      <c r="B82" s="782" t="s">
        <v>1427</v>
      </c>
      <c r="C82" s="782"/>
      <c r="D82" s="782"/>
      <c r="E82" s="291" t="str">
        <f>OBRA!M80</f>
        <v>3X1 PARA MIGRANTES</v>
      </c>
      <c r="F82" s="289"/>
      <c r="G82" s="515"/>
      <c r="H82" s="290" t="str">
        <f>OBRA!N80</f>
        <v>GMJ 004C OP/2014</v>
      </c>
      <c r="I82" s="291" t="str">
        <f>OBRA!O80</f>
        <v>INVITACIÓN</v>
      </c>
      <c r="J82" s="292" t="str">
        <f>OBRA!P80</f>
        <v>TERMINACION DE GUARDERIA EN LA CABECERA MUNICIPAL DE JOCOTEPEC</v>
      </c>
      <c r="K82" s="292"/>
      <c r="L82" s="292"/>
      <c r="M82" s="292"/>
      <c r="N82" s="292"/>
      <c r="O82" s="438"/>
      <c r="P82" s="293">
        <f>OBRA!R80</f>
        <v>3006508.94</v>
      </c>
      <c r="Q82" s="293"/>
      <c r="R82" s="293"/>
      <c r="S82" s="294">
        <f>OBRA!S80</f>
        <v>41848</v>
      </c>
      <c r="T82" s="1134" t="str">
        <f>OBRA!V80</f>
        <v>-</v>
      </c>
      <c r="U82" s="295">
        <f>OBRA!T80</f>
        <v>41855</v>
      </c>
      <c r="V82" s="296">
        <f>OBRA!U80</f>
        <v>41975</v>
      </c>
      <c r="W82" s="1153"/>
      <c r="X82" s="795">
        <f>OBRA!AS80+OBRA!AT80</f>
        <v>0</v>
      </c>
      <c r="Y82" s="805"/>
      <c r="Z82" s="301" t="str">
        <f>OBRA!W80</f>
        <v>ESTUDIO CASA Y CIUDAD SA DE CV</v>
      </c>
      <c r="AA82" s="301"/>
      <c r="AB82" s="302" t="str">
        <f t="shared" si="3"/>
        <v>ESTUDIO CASA Y CIUDAD SA DE CV</v>
      </c>
      <c r="AC82" s="301" t="e">
        <f>#REF!</f>
        <v>#REF!</v>
      </c>
      <c r="AD82" s="301"/>
      <c r="AE82" s="297" t="str">
        <f>OBRA!X80</f>
        <v>C. DANIEL RODRIGUEZ VALENZUELA</v>
      </c>
      <c r="AF82" s="290"/>
      <c r="AG82" s="291"/>
      <c r="AH82" s="297" t="e">
        <f t="shared" si="2"/>
        <v>#DIV/0!</v>
      </c>
      <c r="AI82" s="291"/>
      <c r="AJ82" s="572"/>
      <c r="AK82" s="515"/>
      <c r="AL82" s="515"/>
      <c r="AM82" s="515"/>
      <c r="AN82" s="515"/>
      <c r="AO82" s="291"/>
      <c r="AP82" s="291"/>
      <c r="AQ82" s="291"/>
      <c r="AR82" s="515"/>
      <c r="AS82" s="572"/>
    </row>
    <row r="83" spans="1:45" s="299" customFormat="1" ht="75.75" hidden="1" customHeight="1">
      <c r="A83" s="288">
        <f>OBRA!J81</f>
        <v>2014</v>
      </c>
      <c r="B83" s="782" t="s">
        <v>1427</v>
      </c>
      <c r="C83" s="782"/>
      <c r="D83" s="782"/>
      <c r="E83" s="291" t="str">
        <f>OBRA!M81</f>
        <v>RAMO 33</v>
      </c>
      <c r="F83" s="289"/>
      <c r="G83" s="515"/>
      <c r="H83" s="290" t="str">
        <f>OBRA!N81</f>
        <v>GMJ 005C OP/2014</v>
      </c>
      <c r="I83" s="291" t="str">
        <f>OBRA!O81</f>
        <v>ADJUDICACIÓN DIRECTA</v>
      </c>
      <c r="J83" s="292" t="str">
        <f>OBRA!P81</f>
        <v>ALUMBRADO PUBLICO EN AV. DEL TRABAJO, EN LA DELEGACIÓN DE ZAPOTITAN DE HIDALGO, DEL MUNICIPIO DE JOCOTEPEC, JALISCO</v>
      </c>
      <c r="K83" s="292"/>
      <c r="L83" s="292"/>
      <c r="M83" s="292"/>
      <c r="N83" s="292"/>
      <c r="O83" s="438"/>
      <c r="P83" s="293">
        <f>OBRA!R81</f>
        <v>887908.66</v>
      </c>
      <c r="Q83" s="293"/>
      <c r="R83" s="293"/>
      <c r="S83" s="294">
        <f>OBRA!S81</f>
        <v>41901</v>
      </c>
      <c r="T83" s="1134">
        <f>OBRA!V81</f>
        <v>41877</v>
      </c>
      <c r="U83" s="295">
        <f>OBRA!T81</f>
        <v>41911</v>
      </c>
      <c r="V83" s="296">
        <f>OBRA!U81</f>
        <v>41954</v>
      </c>
      <c r="W83" s="1153"/>
      <c r="X83" s="795">
        <f>OBRA!AS81+OBRA!AT81</f>
        <v>987415.17</v>
      </c>
      <c r="Y83" s="805"/>
      <c r="Z83" s="301" t="str">
        <f>OBRA!W81</f>
        <v>PROYECTO DISEÑO Y CONSTRUCCION</v>
      </c>
      <c r="AA83" s="301"/>
      <c r="AB83" s="302" t="str">
        <f t="shared" si="3"/>
        <v>PROYECTO DISEÑO Y CONSTRUCCION</v>
      </c>
      <c r="AC83" s="301" t="e">
        <f>#REF!</f>
        <v>#REF!</v>
      </c>
      <c r="AD83" s="301"/>
      <c r="AE83" s="297" t="str">
        <f>OBRA!X81</f>
        <v>C. DANIEL RODRIGUEZ VALENZUELA</v>
      </c>
      <c r="AF83" s="290"/>
      <c r="AG83" s="291"/>
      <c r="AH83" s="297" t="e">
        <f t="shared" si="2"/>
        <v>#DIV/0!</v>
      </c>
      <c r="AI83" s="291"/>
      <c r="AJ83" s="572"/>
      <c r="AK83" s="515"/>
      <c r="AL83" s="515"/>
      <c r="AM83" s="515"/>
      <c r="AN83" s="515"/>
      <c r="AO83" s="291"/>
      <c r="AP83" s="291"/>
      <c r="AQ83" s="291"/>
      <c r="AR83" s="515"/>
      <c r="AS83" s="572"/>
    </row>
    <row r="84" spans="1:45" s="299" customFormat="1" ht="89.25" hidden="1" customHeight="1">
      <c r="A84" s="288">
        <f>OBRA!J82</f>
        <v>2014</v>
      </c>
      <c r="B84" s="782" t="s">
        <v>1427</v>
      </c>
      <c r="C84" s="782"/>
      <c r="D84" s="782"/>
      <c r="E84" s="291" t="str">
        <f>OBRA!M82</f>
        <v>RAMO 33</v>
      </c>
      <c r="F84" s="289" t="s">
        <v>1428</v>
      </c>
      <c r="G84" s="515"/>
      <c r="H84" s="290" t="str">
        <f>OBRA!N82</f>
        <v>DOP/AD/029/2014</v>
      </c>
      <c r="I84" s="291" t="str">
        <f>OBRA!O82</f>
        <v>ADMINISTRACIÓN DIRECTA</v>
      </c>
      <c r="J84" s="292" t="str">
        <f>OBRA!P82</f>
        <v>REHABILITACIÓN DE RED DE DRENAJE EN C. HIDALGO, CON REPOSICIÓN DE EMPEDRADO DE; C. NIÑOS HEROES HASTA ESCUELA J. VICENTE NEGRETE, EN LA AGENCIA MUNICIPAL DE EL MOLINO.</v>
      </c>
      <c r="K84" s="292"/>
      <c r="L84" s="292"/>
      <c r="M84" s="292"/>
      <c r="N84" s="292"/>
      <c r="O84" s="465"/>
      <c r="P84" s="293">
        <f>OBRA!R82</f>
        <v>295674.09999999998</v>
      </c>
      <c r="Q84" s="293"/>
      <c r="R84" s="293"/>
      <c r="S84" s="294">
        <f>OBRA!S82</f>
        <v>41823</v>
      </c>
      <c r="T84" s="1134" t="str">
        <f>OBRA!V82</f>
        <v>-</v>
      </c>
      <c r="U84" s="295">
        <f>OBRA!T82</f>
        <v>41823</v>
      </c>
      <c r="V84" s="296">
        <f>OBRA!U82</f>
        <v>41850</v>
      </c>
      <c r="W84" s="1153"/>
      <c r="X84" s="795">
        <f>OBRA!AS82+OBRA!AT82</f>
        <v>274203.5</v>
      </c>
      <c r="Y84" s="805"/>
      <c r="Z84" s="301" t="str">
        <f>OBRA!W82</f>
        <v>-</v>
      </c>
      <c r="AA84" s="301"/>
      <c r="AB84" s="302" t="str">
        <f t="shared" si="3"/>
        <v>-</v>
      </c>
      <c r="AC84" s="301" t="e">
        <f>#REF!</f>
        <v>#REF!</v>
      </c>
      <c r="AD84" s="301"/>
      <c r="AE84" s="297" t="str">
        <f>OBRA!X82</f>
        <v>ING. RIGOBERTO OLMEDO RAMOS</v>
      </c>
      <c r="AF84" s="290">
        <v>185</v>
      </c>
      <c r="AG84" s="291" t="s">
        <v>1430</v>
      </c>
      <c r="AH84" s="297">
        <f t="shared" si="2"/>
        <v>1482.1810810810812</v>
      </c>
      <c r="AI84" s="291">
        <v>2002</v>
      </c>
      <c r="AJ84" s="572"/>
      <c r="AK84" s="515"/>
      <c r="AL84" s="515"/>
      <c r="AM84" s="515"/>
      <c r="AN84" s="515"/>
      <c r="AO84" s="291"/>
      <c r="AP84" s="291"/>
      <c r="AQ84" s="452" t="s">
        <v>1434</v>
      </c>
      <c r="AR84" s="491"/>
      <c r="AS84" s="796" t="s">
        <v>1435</v>
      </c>
    </row>
    <row r="85" spans="1:45" s="299" customFormat="1" ht="75.75" hidden="1" customHeight="1">
      <c r="A85" s="288">
        <f>OBRA!J83</f>
        <v>2014</v>
      </c>
      <c r="B85" s="782" t="s">
        <v>1427</v>
      </c>
      <c r="C85" s="782"/>
      <c r="D85" s="782"/>
      <c r="E85" s="291" t="str">
        <f>OBRA!M83</f>
        <v>RAMO 33</v>
      </c>
      <c r="F85" s="289" t="s">
        <v>1428</v>
      </c>
      <c r="G85" s="515"/>
      <c r="H85" s="290" t="str">
        <f>OBRA!N83</f>
        <v>DOP/AD/030/2014</v>
      </c>
      <c r="I85" s="291" t="str">
        <f>OBRA!O83</f>
        <v>ADMINISTRACIÓN DIRECTA</v>
      </c>
      <c r="J85" s="292" t="str">
        <f>OBRA!P83</f>
        <v>REHABILITACIÓN DE RED DE AGUA POTABLE EN C. HIDALGO, CON REPOSICIÓN DE EMPEDRADO DE; C. NIÑOS HEROES HASTA ESCUELA J. VICENTE NEGRETE, EN LA AGENCIA MUNICIPAL DE EL MOLINO.</v>
      </c>
      <c r="K85" s="292"/>
      <c r="L85" s="292"/>
      <c r="M85" s="292"/>
      <c r="N85" s="292"/>
      <c r="O85" s="465"/>
      <c r="P85" s="293">
        <f>OBRA!R83</f>
        <v>220909.46</v>
      </c>
      <c r="Q85" s="293"/>
      <c r="R85" s="293"/>
      <c r="S85" s="294">
        <f>OBRA!S83</f>
        <v>41823</v>
      </c>
      <c r="T85" s="1134" t="str">
        <f>OBRA!V83</f>
        <v>-</v>
      </c>
      <c r="U85" s="295">
        <f>OBRA!T83</f>
        <v>41841</v>
      </c>
      <c r="V85" s="296">
        <f>OBRA!U83</f>
        <v>41881</v>
      </c>
      <c r="W85" s="1153"/>
      <c r="X85" s="795">
        <f>OBRA!AS83+OBRA!AT83</f>
        <v>231494.67</v>
      </c>
      <c r="Y85" s="805"/>
      <c r="Z85" s="301" t="str">
        <f>OBRA!W83</f>
        <v>-</v>
      </c>
      <c r="AA85" s="301"/>
      <c r="AB85" s="302" t="str">
        <f t="shared" si="3"/>
        <v>-</v>
      </c>
      <c r="AC85" s="301" t="e">
        <f>#REF!</f>
        <v>#REF!</v>
      </c>
      <c r="AD85" s="301"/>
      <c r="AE85" s="297" t="str">
        <f>OBRA!X83</f>
        <v>ING. RIGOBERTO OLMEDO RAMOS</v>
      </c>
      <c r="AF85" s="290">
        <v>185</v>
      </c>
      <c r="AG85" s="291" t="s">
        <v>1430</v>
      </c>
      <c r="AH85" s="297">
        <f t="shared" si="2"/>
        <v>1251.3225405405406</v>
      </c>
      <c r="AI85" s="291">
        <v>2002</v>
      </c>
      <c r="AJ85" s="572"/>
      <c r="AK85" s="515"/>
      <c r="AL85" s="515"/>
      <c r="AM85" s="515"/>
      <c r="AN85" s="515"/>
      <c r="AO85" s="291"/>
      <c r="AP85" s="291"/>
      <c r="AQ85" s="291"/>
      <c r="AR85" s="515"/>
      <c r="AS85" s="572"/>
    </row>
    <row r="86" spans="1:45" s="299" customFormat="1" ht="75.75" hidden="1" customHeight="1">
      <c r="A86" s="288">
        <f>OBRA!J84</f>
        <v>2014</v>
      </c>
      <c r="B86" s="782" t="s">
        <v>1427</v>
      </c>
      <c r="C86" s="782"/>
      <c r="D86" s="782"/>
      <c r="E86" s="291" t="str">
        <f>OBRA!M84</f>
        <v>RAMO 33</v>
      </c>
      <c r="F86" s="289" t="s">
        <v>1428</v>
      </c>
      <c r="G86" s="515"/>
      <c r="H86" s="290" t="str">
        <f>OBRA!N84</f>
        <v>DOP/AD/031/2014</v>
      </c>
      <c r="I86" s="291" t="str">
        <f>OBRA!O84</f>
        <v>ADMINISTRACIÓN DIRECTA</v>
      </c>
      <c r="J86" s="292" t="str">
        <f>OBRA!P84</f>
        <v>REHABILITACIÓN DE RED DE DRENAJE EN C. NIÑOS HEROES , CON REPOSICIÓN DE EMPEDRADO DE; C. HIDALGO HASTA ESCUELATELESECUNDARIA NIÑOS HEROES, EN LA AGENCIA MUNICIPAL DE EL MOLINO.</v>
      </c>
      <c r="K86" s="292"/>
      <c r="L86" s="292"/>
      <c r="M86" s="292"/>
      <c r="N86" s="292"/>
      <c r="O86" s="465"/>
      <c r="P86" s="293">
        <f>OBRA!R84</f>
        <v>200492.77</v>
      </c>
      <c r="Q86" s="293"/>
      <c r="R86" s="293"/>
      <c r="S86" s="294">
        <f>OBRA!S84</f>
        <v>41823</v>
      </c>
      <c r="T86" s="1134" t="str">
        <f>OBRA!V84</f>
        <v>-</v>
      </c>
      <c r="U86" s="295">
        <f>OBRA!T84</f>
        <v>41827</v>
      </c>
      <c r="V86" s="296">
        <f>OBRA!U84</f>
        <v>41881</v>
      </c>
      <c r="W86" s="1153"/>
      <c r="X86" s="795">
        <f>OBRA!AS84+OBRA!AT84</f>
        <v>226560.28</v>
      </c>
      <c r="Y86" s="805"/>
      <c r="Z86" s="301" t="str">
        <f>OBRA!W84</f>
        <v>-</v>
      </c>
      <c r="AA86" s="301"/>
      <c r="AB86" s="302" t="str">
        <f t="shared" si="3"/>
        <v>-</v>
      </c>
      <c r="AC86" s="301" t="e">
        <f>#REF!</f>
        <v>#REF!</v>
      </c>
      <c r="AD86" s="301"/>
      <c r="AE86" s="297" t="str">
        <f>OBRA!X84</f>
        <v>ING. RIGOBERTO OLMEDO RAMOS</v>
      </c>
      <c r="AF86" s="290">
        <v>119</v>
      </c>
      <c r="AG86" s="291" t="s">
        <v>1430</v>
      </c>
      <c r="AH86" s="297">
        <f t="shared" si="2"/>
        <v>1903.8678991596639</v>
      </c>
      <c r="AI86" s="291">
        <v>2002</v>
      </c>
      <c r="AJ86" s="572"/>
      <c r="AK86" s="515"/>
      <c r="AL86" s="515"/>
      <c r="AM86" s="515"/>
      <c r="AN86" s="515"/>
      <c r="AO86" s="291"/>
      <c r="AP86" s="291"/>
      <c r="AQ86" s="291"/>
      <c r="AR86" s="515"/>
      <c r="AS86" s="572"/>
    </row>
    <row r="87" spans="1:45" s="299" customFormat="1" ht="87" hidden="1" customHeight="1">
      <c r="A87" s="288">
        <f>OBRA!J85</f>
        <v>2014</v>
      </c>
      <c r="B87" s="782" t="s">
        <v>1427</v>
      </c>
      <c r="C87" s="782"/>
      <c r="D87" s="782"/>
      <c r="E87" s="291" t="str">
        <f>OBRA!M85</f>
        <v>RAMO 33</v>
      </c>
      <c r="F87" s="289" t="s">
        <v>1428</v>
      </c>
      <c r="G87" s="515"/>
      <c r="H87" s="290" t="str">
        <f>OBRA!N85</f>
        <v>DOP/AD/032/2014</v>
      </c>
      <c r="I87" s="291" t="str">
        <f>OBRA!O85</f>
        <v>ADMINISTRACIÓN DIRECTA</v>
      </c>
      <c r="J87" s="292" t="str">
        <f>OBRA!P85</f>
        <v>REHABILITACIÓN DE RED DE AGUA POTABLE EN C. NIÑOS HEROES , CON REPOSICIÓN DE EMPEDRADO DE; C. HIDALGO HASTA ESCUELA TELESECUNDARIA NIÑOS HEROES, EN LA AGENCIA MUNICIPAL DE EL MOLINO.</v>
      </c>
      <c r="K87" s="292"/>
      <c r="L87" s="292"/>
      <c r="M87" s="292"/>
      <c r="N87" s="292"/>
      <c r="O87" s="465"/>
      <c r="P87" s="293">
        <f>OBRA!R85</f>
        <v>191497.02</v>
      </c>
      <c r="Q87" s="293"/>
      <c r="R87" s="293"/>
      <c r="S87" s="294">
        <f>OBRA!S85</f>
        <v>41823</v>
      </c>
      <c r="T87" s="1134" t="str">
        <f>OBRA!V85</f>
        <v>-</v>
      </c>
      <c r="U87" s="295">
        <f>OBRA!T85</f>
        <v>41865</v>
      </c>
      <c r="V87" s="296">
        <f>OBRA!U85</f>
        <v>41881</v>
      </c>
      <c r="W87" s="1153"/>
      <c r="X87" s="795">
        <f>OBRA!AS85+OBRA!AT85</f>
        <v>268616.08</v>
      </c>
      <c r="Y87" s="805"/>
      <c r="Z87" s="301" t="str">
        <f>OBRA!W85</f>
        <v>-</v>
      </c>
      <c r="AA87" s="301"/>
      <c r="AB87" s="302" t="str">
        <f t="shared" si="3"/>
        <v>-</v>
      </c>
      <c r="AC87" s="301" t="e">
        <f>#REF!</f>
        <v>#REF!</v>
      </c>
      <c r="AD87" s="301"/>
      <c r="AE87" s="297" t="str">
        <f>OBRA!X85</f>
        <v>ING. RIGOBERTO OLMEDO RAMOS</v>
      </c>
      <c r="AF87" s="290">
        <v>119</v>
      </c>
      <c r="AG87" s="291" t="s">
        <v>1430</v>
      </c>
      <c r="AH87" s="297">
        <f t="shared" si="2"/>
        <v>2257.2779831932776</v>
      </c>
      <c r="AI87" s="291">
        <v>2002</v>
      </c>
      <c r="AJ87" s="572"/>
      <c r="AK87" s="515"/>
      <c r="AL87" s="515"/>
      <c r="AM87" s="515"/>
      <c r="AN87" s="515"/>
      <c r="AO87" s="291"/>
      <c r="AP87" s="291"/>
      <c r="AQ87" s="291"/>
      <c r="AR87" s="515"/>
      <c r="AS87" s="572"/>
    </row>
    <row r="88" spans="1:45" s="299" customFormat="1" ht="75.75" hidden="1" customHeight="1">
      <c r="A88" s="288">
        <f>OBRA!J86</f>
        <v>2014</v>
      </c>
      <c r="B88" s="782" t="s">
        <v>1427</v>
      </c>
      <c r="C88" s="782"/>
      <c r="D88" s="782"/>
      <c r="E88" s="291" t="str">
        <f>OBRA!M86</f>
        <v>RAMO 33</v>
      </c>
      <c r="F88" s="289" t="s">
        <v>1428</v>
      </c>
      <c r="G88" s="515"/>
      <c r="H88" s="290" t="str">
        <f>OBRA!N86</f>
        <v>DOP/AD/033/2014</v>
      </c>
      <c r="I88" s="291" t="str">
        <f>OBRA!O86</f>
        <v>ADMINISTRACIÓN DIRECTA</v>
      </c>
      <c r="J88" s="292" t="str">
        <f>OBRA!P86</f>
        <v>REHABILITACIÓN DE RED DE DRENAJE EN C. VICENTE SUAREZ, CON REPOSICIÓN DE EMPEDRADO; ENTRE C. INDEPENDENCIA Y NIÑOS HEROES, EN LA AGENCIA MUNICIPAL DE EL MOLINO.</v>
      </c>
      <c r="K88" s="292"/>
      <c r="L88" s="292"/>
      <c r="M88" s="292"/>
      <c r="N88" s="292"/>
      <c r="O88" s="465"/>
      <c r="P88" s="293">
        <f>OBRA!R86</f>
        <v>278434.27</v>
      </c>
      <c r="Q88" s="293"/>
      <c r="R88" s="293"/>
      <c r="S88" s="294">
        <f>OBRA!S86</f>
        <v>41823</v>
      </c>
      <c r="T88" s="1134" t="str">
        <f>OBRA!V86</f>
        <v>-</v>
      </c>
      <c r="U88" s="295">
        <f>OBRA!T86</f>
        <v>41848</v>
      </c>
      <c r="V88" s="296">
        <f>OBRA!U86</f>
        <v>41912</v>
      </c>
      <c r="W88" s="1153"/>
      <c r="X88" s="795">
        <f>OBRA!AS86+OBRA!AT86</f>
        <v>291425.38</v>
      </c>
      <c r="Y88" s="805"/>
      <c r="Z88" s="301" t="str">
        <f>OBRA!W86</f>
        <v>-</v>
      </c>
      <c r="AA88" s="301"/>
      <c r="AB88" s="302" t="str">
        <f t="shared" si="3"/>
        <v>-</v>
      </c>
      <c r="AC88" s="301" t="e">
        <f>#REF!</f>
        <v>#REF!</v>
      </c>
      <c r="AD88" s="301"/>
      <c r="AE88" s="297" t="str">
        <f>OBRA!X86</f>
        <v>ING. RIGOBERTO OLMEDO RAMOS</v>
      </c>
      <c r="AF88" s="290">
        <v>127.4</v>
      </c>
      <c r="AG88" s="291" t="s">
        <v>1430</v>
      </c>
      <c r="AH88" s="297">
        <f t="shared" si="2"/>
        <v>2287.4833594976453</v>
      </c>
      <c r="AI88" s="291">
        <v>2002</v>
      </c>
      <c r="AJ88" s="572"/>
      <c r="AK88" s="515"/>
      <c r="AL88" s="515"/>
      <c r="AM88" s="515"/>
      <c r="AN88" s="515"/>
      <c r="AO88" s="291"/>
      <c r="AP88" s="291"/>
      <c r="AQ88" s="291"/>
      <c r="AR88" s="515"/>
      <c r="AS88" s="572"/>
    </row>
    <row r="89" spans="1:45" s="299" customFormat="1" ht="75.75" hidden="1" customHeight="1">
      <c r="A89" s="288">
        <f>OBRA!J87</f>
        <v>2014</v>
      </c>
      <c r="B89" s="782" t="s">
        <v>1427</v>
      </c>
      <c r="C89" s="782"/>
      <c r="D89" s="782"/>
      <c r="E89" s="291" t="str">
        <f>OBRA!M87</f>
        <v>RAMO 33</v>
      </c>
      <c r="F89" s="289" t="s">
        <v>1428</v>
      </c>
      <c r="G89" s="515"/>
      <c r="H89" s="290" t="str">
        <f>OBRA!N87</f>
        <v>DOP/AD/034/2014</v>
      </c>
      <c r="I89" s="291" t="str">
        <f>OBRA!O87</f>
        <v>ADMINISTRACIÓN DIRECTA</v>
      </c>
      <c r="J89" s="292" t="str">
        <f>OBRA!P87</f>
        <v>REHABILITACIÓN DE RED DE AGUA POTABLE EN C. VICENTE SUAREZ, CON REPOSICIÓN DE EMPEDRADO; ENTRE C. INDEPENDENCIA Y NIÑOS HEROES, EN LA AGENCIA MUNICIPAL DE EL MOLINO.</v>
      </c>
      <c r="K89" s="292"/>
      <c r="L89" s="292"/>
      <c r="M89" s="292"/>
      <c r="N89" s="292"/>
      <c r="O89" s="465"/>
      <c r="P89" s="293">
        <f>OBRA!R87</f>
        <v>231798.06</v>
      </c>
      <c r="Q89" s="293"/>
      <c r="R89" s="293"/>
      <c r="S89" s="294">
        <f>OBRA!S87</f>
        <v>41823</v>
      </c>
      <c r="T89" s="1134" t="str">
        <f>OBRA!V87</f>
        <v>-</v>
      </c>
      <c r="U89" s="295">
        <f>OBRA!T87</f>
        <v>41862</v>
      </c>
      <c r="V89" s="296">
        <f>OBRA!U87</f>
        <v>41912</v>
      </c>
      <c r="W89" s="1153"/>
      <c r="X89" s="795">
        <f>OBRA!AS87+OBRA!AT87</f>
        <v>238914.30000000002</v>
      </c>
      <c r="Y89" s="805"/>
      <c r="Z89" s="301" t="str">
        <f>OBRA!W87</f>
        <v>-</v>
      </c>
      <c r="AA89" s="301"/>
      <c r="AB89" s="302" t="str">
        <f t="shared" si="3"/>
        <v>-</v>
      </c>
      <c r="AC89" s="301" t="e">
        <f>#REF!</f>
        <v>#REF!</v>
      </c>
      <c r="AD89" s="301"/>
      <c r="AE89" s="297" t="str">
        <f>OBRA!X87</f>
        <v>ING. RIGOBERTO OLMEDO RAMOS</v>
      </c>
      <c r="AF89" s="290">
        <v>127.4</v>
      </c>
      <c r="AG89" s="291" t="s">
        <v>1430</v>
      </c>
      <c r="AH89" s="297">
        <f t="shared" si="2"/>
        <v>1875.3084772370487</v>
      </c>
      <c r="AI89" s="291">
        <v>2002</v>
      </c>
      <c r="AJ89" s="572"/>
      <c r="AK89" s="515"/>
      <c r="AL89" s="515"/>
      <c r="AM89" s="515"/>
      <c r="AN89" s="515"/>
      <c r="AO89" s="291"/>
      <c r="AP89" s="291"/>
      <c r="AQ89" s="452" t="s">
        <v>1436</v>
      </c>
      <c r="AR89" s="491"/>
      <c r="AS89" s="796" t="s">
        <v>1437</v>
      </c>
    </row>
    <row r="90" spans="1:45" s="299" customFormat="1" ht="75.75" hidden="1" customHeight="1">
      <c r="A90" s="288">
        <f>OBRA!J88</f>
        <v>2014</v>
      </c>
      <c r="B90" s="782" t="s">
        <v>1427</v>
      </c>
      <c r="C90" s="782"/>
      <c r="D90" s="782"/>
      <c r="E90" s="291" t="str">
        <f>OBRA!M88</f>
        <v>CUENTA CORRIENTE</v>
      </c>
      <c r="F90" s="289"/>
      <c r="G90" s="515"/>
      <c r="H90" s="290" t="str">
        <f>OBRA!N88</f>
        <v>GMJ 006C OP/2014</v>
      </c>
      <c r="I90" s="291" t="str">
        <f>OBRA!O88</f>
        <v>ADJUDICACIÓN DIRECTA</v>
      </c>
      <c r="J90" s="292" t="str">
        <f>OBRA!P88</f>
        <v>CONSTRUCCION DE BANQUETAS EN LA CALLE MORELOS ENTRE C. MATAMOROS Y C. GUADALUPE VICTORIA, (2 LADOS) NORTE Y SUR, CONSTRUCCIONDE BANQUETS EN  LA CALLE MORELOS ENTRE C. HIDALGO Y JOSEFA ORTIZ DE DOMINGUEZ, (1 LADO) NORTE EN LA CABECERA MUNICIPAL DE JOCOTEPEC, JALISCO</v>
      </c>
      <c r="K90" s="292"/>
      <c r="L90" s="292"/>
      <c r="M90" s="292"/>
      <c r="N90" s="292"/>
      <c r="O90" s="438"/>
      <c r="P90" s="293">
        <f>OBRA!R88</f>
        <v>425152.03</v>
      </c>
      <c r="Q90" s="293"/>
      <c r="R90" s="293"/>
      <c r="S90" s="294">
        <f>OBRA!S88</f>
        <v>41901</v>
      </c>
      <c r="T90" s="1134">
        <f>OBRA!V88</f>
        <v>41901</v>
      </c>
      <c r="U90" s="295">
        <f>OBRA!T88</f>
        <v>41904</v>
      </c>
      <c r="V90" s="296">
        <f>OBRA!U88</f>
        <v>41941</v>
      </c>
      <c r="W90" s="1153"/>
      <c r="X90" s="795">
        <f>OBRA!AS88+OBRA!AT88</f>
        <v>0</v>
      </c>
      <c r="Y90" s="805"/>
      <c r="Z90" s="301" t="str">
        <f>OBRA!W88</f>
        <v>JOSE LUIS RANGEL GALVEZ</v>
      </c>
      <c r="AA90" s="301"/>
      <c r="AB90" s="302" t="str">
        <f t="shared" si="3"/>
        <v>JOSE LUIS RANGEL GALVEZ</v>
      </c>
      <c r="AC90" s="302" t="s">
        <v>2955</v>
      </c>
      <c r="AD90" s="301" t="s">
        <v>2955</v>
      </c>
      <c r="AE90" s="297" t="str">
        <f>OBRA!X88</f>
        <v>C. DANIEL RODRIGUEZ VALENZUELA</v>
      </c>
      <c r="AF90" s="290"/>
      <c r="AG90" s="291"/>
      <c r="AH90" s="297" t="e">
        <f t="shared" si="2"/>
        <v>#DIV/0!</v>
      </c>
      <c r="AI90" s="291"/>
      <c r="AJ90" s="572"/>
      <c r="AK90" s="515"/>
      <c r="AL90" s="515"/>
      <c r="AM90" s="515"/>
      <c r="AN90" s="515"/>
      <c r="AO90" s="291"/>
      <c r="AP90" s="291"/>
      <c r="AQ90" s="291"/>
      <c r="AR90" s="515"/>
      <c r="AS90" s="572"/>
    </row>
    <row r="91" spans="1:45" s="299" customFormat="1" ht="75.75" hidden="1" customHeight="1">
      <c r="A91" s="288">
        <f>OBRA!J89</f>
        <v>2014</v>
      </c>
      <c r="B91" s="782" t="s">
        <v>1427</v>
      </c>
      <c r="C91" s="782"/>
      <c r="D91" s="782"/>
      <c r="E91" s="291" t="str">
        <f>OBRA!M89</f>
        <v>CUENTA CORRIENTE</v>
      </c>
      <c r="F91" s="289" t="s">
        <v>1428</v>
      </c>
      <c r="G91" s="515"/>
      <c r="H91" s="290" t="str">
        <f>OBRA!N89</f>
        <v>DOP/AD/039/2014</v>
      </c>
      <c r="I91" s="291" t="str">
        <f>OBRA!O89</f>
        <v>ADMINISTRACIÓN DIRECTA</v>
      </c>
      <c r="J91" s="292" t="str">
        <f>OBRA!P89</f>
        <v>CONSTRUCCION DE PLAZOLETA EN CALLE HIDALGO, EN LA DELEGACION DE SAN PERO TESISTAN, DEL MUNICIPIO DE JOCOTEPEC, JALISCO</v>
      </c>
      <c r="K91" s="292"/>
      <c r="L91" s="292"/>
      <c r="M91" s="292"/>
      <c r="N91" s="292"/>
      <c r="O91" s="465"/>
      <c r="P91" s="293">
        <f>OBRA!R89</f>
        <v>40000</v>
      </c>
      <c r="Q91" s="293"/>
      <c r="R91" s="293"/>
      <c r="S91" s="294">
        <f>OBRA!S89</f>
        <v>41974</v>
      </c>
      <c r="T91" s="1134" t="str">
        <f>OBRA!V89</f>
        <v>-</v>
      </c>
      <c r="U91" s="295">
        <f>OBRA!T89</f>
        <v>41976</v>
      </c>
      <c r="V91" s="296">
        <f>OBRA!U89</f>
        <v>41997</v>
      </c>
      <c r="W91" s="1153"/>
      <c r="X91" s="795">
        <f>OBRA!AS89+OBRA!AT89</f>
        <v>0</v>
      </c>
      <c r="Y91" s="805"/>
      <c r="Z91" s="301" t="str">
        <f>OBRA!W89</f>
        <v>-</v>
      </c>
      <c r="AA91" s="301"/>
      <c r="AB91" s="302" t="str">
        <f t="shared" si="3"/>
        <v>-</v>
      </c>
      <c r="AC91" s="301" t="e">
        <f>#REF!</f>
        <v>#REF!</v>
      </c>
      <c r="AD91" s="301"/>
      <c r="AE91" s="297" t="str">
        <f>OBRA!X89</f>
        <v>C. DANIEL RODRIGUEZ VALENZUELA</v>
      </c>
      <c r="AF91" s="290">
        <v>1</v>
      </c>
      <c r="AG91" s="291" t="s">
        <v>1438</v>
      </c>
      <c r="AH91" s="297">
        <f t="shared" si="2"/>
        <v>0</v>
      </c>
      <c r="AI91" s="291">
        <v>1391</v>
      </c>
      <c r="AJ91" s="572"/>
      <c r="AK91" s="515"/>
      <c r="AL91" s="515"/>
      <c r="AM91" s="515"/>
      <c r="AN91" s="515"/>
      <c r="AO91" s="291"/>
      <c r="AP91" s="291"/>
      <c r="AQ91" s="291"/>
      <c r="AR91" s="515"/>
      <c r="AS91" s="572"/>
    </row>
    <row r="92" spans="1:45" s="299" customFormat="1" ht="75.75" hidden="1" customHeight="1">
      <c r="A92" s="288">
        <f>OBRA!J90</f>
        <v>2014</v>
      </c>
      <c r="B92" s="782" t="s">
        <v>1427</v>
      </c>
      <c r="C92" s="782"/>
      <c r="D92" s="782"/>
      <c r="E92" s="291" t="str">
        <f>OBRA!M90</f>
        <v>CUENTA CORRIENTE</v>
      </c>
      <c r="F92" s="289" t="s">
        <v>1428</v>
      </c>
      <c r="G92" s="515"/>
      <c r="H92" s="290" t="str">
        <f>OBRA!N90</f>
        <v>DOP/AD/040/2014</v>
      </c>
      <c r="I92" s="291" t="str">
        <f>OBRA!O90</f>
        <v>ADMINISTRACIÓN DIRECTA</v>
      </c>
      <c r="J92" s="292" t="str">
        <f>OBRA!P90</f>
        <v>APOYO PARA LA CONSTRUCCION DE ESCATOPISTAS EN EL MALECON</v>
      </c>
      <c r="K92" s="292"/>
      <c r="L92" s="292"/>
      <c r="M92" s="292"/>
      <c r="N92" s="292"/>
      <c r="O92" s="465"/>
      <c r="P92" s="293">
        <f>OBRA!R90</f>
        <v>15000</v>
      </c>
      <c r="Q92" s="293"/>
      <c r="R92" s="293"/>
      <c r="S92" s="294">
        <f>OBRA!S90</f>
        <v>41974</v>
      </c>
      <c r="T92" s="1134" t="str">
        <f>OBRA!V90</f>
        <v>-</v>
      </c>
      <c r="U92" s="295">
        <f>OBRA!T90</f>
        <v>41981</v>
      </c>
      <c r="V92" s="296">
        <f>OBRA!U90</f>
        <v>41995</v>
      </c>
      <c r="W92" s="1153"/>
      <c r="X92" s="795">
        <f>OBRA!AS90+OBRA!AT90</f>
        <v>0</v>
      </c>
      <c r="Y92" s="805"/>
      <c r="Z92" s="301" t="str">
        <f>OBRA!W90</f>
        <v>-</v>
      </c>
      <c r="AA92" s="301"/>
      <c r="AB92" s="302" t="str">
        <f t="shared" si="3"/>
        <v>-</v>
      </c>
      <c r="AC92" s="301" t="e">
        <f>#REF!</f>
        <v>#REF!</v>
      </c>
      <c r="AD92" s="301"/>
      <c r="AE92" s="297">
        <f>OBRA!X90</f>
        <v>0</v>
      </c>
      <c r="AF92" s="290">
        <v>1</v>
      </c>
      <c r="AG92" s="291" t="s">
        <v>1438</v>
      </c>
      <c r="AH92" s="297">
        <f t="shared" si="2"/>
        <v>0</v>
      </c>
      <c r="AI92" s="291">
        <v>1000</v>
      </c>
      <c r="AJ92" s="572"/>
      <c r="AK92" s="515"/>
      <c r="AL92" s="515"/>
      <c r="AM92" s="515"/>
      <c r="AN92" s="515"/>
      <c r="AO92" s="291"/>
      <c r="AP92" s="291"/>
      <c r="AQ92" s="291"/>
      <c r="AR92" s="515"/>
      <c r="AS92" s="572"/>
    </row>
    <row r="93" spans="1:45" s="104" customFormat="1" ht="75.75" hidden="1" customHeight="1">
      <c r="A93" s="82">
        <f>OBRA!J91</f>
        <v>2014</v>
      </c>
      <c r="B93" s="781" t="s">
        <v>1427</v>
      </c>
      <c r="C93" s="781"/>
      <c r="D93" s="781"/>
      <c r="E93" s="85" t="str">
        <f>OBRA!M91</f>
        <v>CUENTA CORRIENTE</v>
      </c>
      <c r="F93" s="83"/>
      <c r="G93" s="514"/>
      <c r="H93" s="84" t="str">
        <f>OBRA!N91</f>
        <v>DOP/AD/041/2014</v>
      </c>
      <c r="I93" s="185" t="s">
        <v>251</v>
      </c>
      <c r="J93" s="125" t="str">
        <f>OBRA!P91</f>
        <v>DEMOLICION Y REUBICACION DE NICHO DE IMAGEN RELIGIOSA EN PRIVADA ALLENDE ESQUINA MORELOS, EN AGENCIA DE CHANTEPEC</v>
      </c>
      <c r="K93" s="125"/>
      <c r="L93" s="125"/>
      <c r="M93" s="125"/>
      <c r="N93" s="125"/>
      <c r="O93" s="812"/>
      <c r="P93" s="86">
        <f>OBRA!R91</f>
        <v>15000</v>
      </c>
      <c r="Q93" s="86"/>
      <c r="R93" s="86"/>
      <c r="S93" s="87">
        <f>OBRA!S91</f>
        <v>41974</v>
      </c>
      <c r="T93" s="1134" t="str">
        <f>OBRA!V91</f>
        <v>-</v>
      </c>
      <c r="U93" s="88">
        <f>OBRA!T91</f>
        <v>41981</v>
      </c>
      <c r="V93" s="89">
        <f>OBRA!U91</f>
        <v>41988</v>
      </c>
      <c r="W93" s="338"/>
      <c r="X93" s="810">
        <f>OBRA!AS91+OBRA!AT91</f>
        <v>0</v>
      </c>
      <c r="Y93" s="821"/>
      <c r="Z93" s="147" t="str">
        <f>OBRA!W91</f>
        <v>-</v>
      </c>
      <c r="AA93" s="147"/>
      <c r="AB93" s="149" t="str">
        <f t="shared" si="3"/>
        <v>-</v>
      </c>
      <c r="AC93" s="147" t="e">
        <f>#REF!</f>
        <v>#REF!</v>
      </c>
      <c r="AD93" s="147"/>
      <c r="AE93" s="275" t="s">
        <v>251</v>
      </c>
      <c r="AF93" s="84"/>
      <c r="AG93" s="85"/>
      <c r="AH93" s="184" t="e">
        <f t="shared" si="2"/>
        <v>#DIV/0!</v>
      </c>
      <c r="AI93" s="85"/>
      <c r="AJ93" s="575"/>
      <c r="AK93" s="514"/>
      <c r="AL93" s="514"/>
      <c r="AM93" s="514"/>
      <c r="AN93" s="514"/>
      <c r="AO93" s="514"/>
      <c r="AP93" s="514"/>
      <c r="AQ93" s="514"/>
      <c r="AR93" s="514"/>
      <c r="AS93" s="514"/>
    </row>
    <row r="94" spans="1:45" s="299" customFormat="1" ht="75.75" hidden="1" customHeight="1">
      <c r="A94" s="288">
        <f>OBRA!J92</f>
        <v>2014</v>
      </c>
      <c r="B94" s="781" t="s">
        <v>1427</v>
      </c>
      <c r="C94" s="781"/>
      <c r="D94" s="781"/>
      <c r="E94" s="291" t="str">
        <f>OBRA!M92</f>
        <v>FISE</v>
      </c>
      <c r="F94" s="289"/>
      <c r="G94" s="515"/>
      <c r="H94" s="290" t="str">
        <f>OBRA!N92</f>
        <v>CONT X ESTADO</v>
      </c>
      <c r="I94" s="291" t="str">
        <f>OBRA!O92</f>
        <v>CONT X ESTADO</v>
      </c>
      <c r="J94" s="292" t="str">
        <f>OBRA!P92</f>
        <v>CONSTRUCCION DE RED DE AGUA POTABLE, DRENAJE SANITARIO Y/O ELECTRIFICACIÓN EN AV. TULE, ZAPOTITAN DE HIDALGO</v>
      </c>
      <c r="K94" s="292"/>
      <c r="L94" s="292"/>
      <c r="M94" s="292"/>
      <c r="N94" s="292"/>
      <c r="O94" s="438"/>
      <c r="P94" s="293" t="str">
        <f>OBRA!R92</f>
        <v>-</v>
      </c>
      <c r="Q94" s="293"/>
      <c r="R94" s="293"/>
      <c r="S94" s="294" t="str">
        <f>OBRA!S92</f>
        <v>-</v>
      </c>
      <c r="T94" s="1134" t="str">
        <f>OBRA!V92</f>
        <v>-</v>
      </c>
      <c r="U94" s="295" t="str">
        <f>OBRA!T92</f>
        <v>-</v>
      </c>
      <c r="V94" s="296" t="str">
        <f>OBRA!U92</f>
        <v>-</v>
      </c>
      <c r="W94" s="1153"/>
      <c r="X94" s="795" t="e">
        <f>OBRA!AS92+OBRA!AT92</f>
        <v>#VALUE!</v>
      </c>
      <c r="Y94" s="805"/>
      <c r="Z94" s="301" t="str">
        <f>OBRA!W92</f>
        <v>SIOP</v>
      </c>
      <c r="AA94" s="301"/>
      <c r="AB94" s="302" t="str">
        <f t="shared" si="3"/>
        <v>SIOP</v>
      </c>
      <c r="AC94" s="301" t="e">
        <f>#REF!</f>
        <v>#REF!</v>
      </c>
      <c r="AD94" s="301"/>
      <c r="AE94" s="297" t="str">
        <f>OBRA!X92</f>
        <v>SIOP</v>
      </c>
      <c r="AF94" s="290"/>
      <c r="AG94" s="291"/>
      <c r="AH94" s="297" t="e">
        <f t="shared" si="2"/>
        <v>#VALUE!</v>
      </c>
      <c r="AI94" s="291"/>
      <c r="AJ94" s="572"/>
      <c r="AK94" s="515"/>
      <c r="AL94" s="515"/>
      <c r="AM94" s="515"/>
      <c r="AN94" s="515"/>
      <c r="AO94" s="515"/>
      <c r="AP94" s="515"/>
      <c r="AQ94" s="515"/>
      <c r="AR94" s="515"/>
      <c r="AS94" s="515"/>
    </row>
    <row r="95" spans="1:45" s="299" customFormat="1" ht="75.75" hidden="1" customHeight="1">
      <c r="A95" s="288">
        <f>OBRA!J93</f>
        <v>2014</v>
      </c>
      <c r="B95" s="781" t="s">
        <v>1427</v>
      </c>
      <c r="C95" s="781"/>
      <c r="D95" s="781"/>
      <c r="E95" s="291" t="str">
        <f>OBRA!M93</f>
        <v>FISE</v>
      </c>
      <c r="F95" s="289"/>
      <c r="G95" s="515"/>
      <c r="H95" s="290" t="str">
        <f>OBRA!N93</f>
        <v>CONT X ESTADO</v>
      </c>
      <c r="I95" s="291" t="str">
        <f>OBRA!O93</f>
        <v>CONT X ESTADO</v>
      </c>
      <c r="J95" s="292" t="str">
        <f>OBRA!P93</f>
        <v>CONSTRUCCION DE RED DE AGUA POTABLE, DRENAJE SANITARIO Y/O ELECTRIFICACIÓN EN AV. TULE 2, ZAPOTITAN DE HIDALGO</v>
      </c>
      <c r="K95" s="292"/>
      <c r="L95" s="292"/>
      <c r="M95" s="292"/>
      <c r="N95" s="292"/>
      <c r="O95" s="438"/>
      <c r="P95" s="293" t="str">
        <f>OBRA!R93</f>
        <v>-</v>
      </c>
      <c r="Q95" s="293"/>
      <c r="R95" s="293"/>
      <c r="S95" s="294" t="str">
        <f>OBRA!S93</f>
        <v>-</v>
      </c>
      <c r="T95" s="1134" t="str">
        <f>OBRA!V93</f>
        <v>-</v>
      </c>
      <c r="U95" s="295" t="str">
        <f>OBRA!T93</f>
        <v>-</v>
      </c>
      <c r="V95" s="296" t="str">
        <f>OBRA!U93</f>
        <v>-</v>
      </c>
      <c r="W95" s="1153"/>
      <c r="X95" s="795" t="e">
        <f>OBRA!AS93+OBRA!AT93</f>
        <v>#VALUE!</v>
      </c>
      <c r="Y95" s="805"/>
      <c r="Z95" s="301" t="str">
        <f>OBRA!W93</f>
        <v>SIOP</v>
      </c>
      <c r="AA95" s="301"/>
      <c r="AB95" s="302" t="str">
        <f t="shared" si="3"/>
        <v>SIOP</v>
      </c>
      <c r="AC95" s="301" t="e">
        <f>#REF!</f>
        <v>#REF!</v>
      </c>
      <c r="AD95" s="301"/>
      <c r="AE95" s="297" t="str">
        <f>OBRA!X93</f>
        <v>SIOP</v>
      </c>
      <c r="AF95" s="290"/>
      <c r="AG95" s="291"/>
      <c r="AH95" s="297" t="e">
        <f t="shared" si="2"/>
        <v>#VALUE!</v>
      </c>
      <c r="AI95" s="291"/>
      <c r="AJ95" s="572"/>
      <c r="AK95" s="515"/>
      <c r="AL95" s="515"/>
      <c r="AM95" s="515"/>
      <c r="AN95" s="515"/>
      <c r="AO95" s="515"/>
      <c r="AP95" s="515"/>
      <c r="AQ95" s="515"/>
      <c r="AR95" s="515"/>
      <c r="AS95" s="515"/>
    </row>
    <row r="96" spans="1:45" s="299" customFormat="1" ht="75.75" hidden="1" customHeight="1">
      <c r="A96" s="288">
        <f>OBRA!J94</f>
        <v>2014</v>
      </c>
      <c r="B96" s="781" t="s">
        <v>1427</v>
      </c>
      <c r="C96" s="781"/>
      <c r="D96" s="781"/>
      <c r="E96" s="291" t="str">
        <f>OBRA!M94</f>
        <v>FISE</v>
      </c>
      <c r="F96" s="289"/>
      <c r="G96" s="515"/>
      <c r="H96" s="290" t="str">
        <f>OBRA!N94</f>
        <v>CONT X ESTADO</v>
      </c>
      <c r="I96" s="291" t="str">
        <f>OBRA!O94</f>
        <v>CONT X ESTADO</v>
      </c>
      <c r="J96" s="292" t="str">
        <f>OBRA!P94</f>
        <v>CONSTRUCCION DE RED DE AGUA POTABLE, DRENAJE SANITARIO Y/O ELECTRIFICACIÓN EN C. FRATERNIDAD, ZAPOTITAN DE HIDALGO</v>
      </c>
      <c r="K96" s="292"/>
      <c r="L96" s="292"/>
      <c r="M96" s="292"/>
      <c r="N96" s="292"/>
      <c r="O96" s="438"/>
      <c r="P96" s="293" t="str">
        <f>OBRA!R94</f>
        <v>-</v>
      </c>
      <c r="Q96" s="293"/>
      <c r="R96" s="293"/>
      <c r="S96" s="294" t="str">
        <f>OBRA!S94</f>
        <v>-</v>
      </c>
      <c r="T96" s="1134" t="str">
        <f>OBRA!V94</f>
        <v>-</v>
      </c>
      <c r="U96" s="295" t="str">
        <f>OBRA!T94</f>
        <v>-</v>
      </c>
      <c r="V96" s="296" t="str">
        <f>OBRA!U94</f>
        <v>-</v>
      </c>
      <c r="W96" s="1153"/>
      <c r="X96" s="795" t="e">
        <f>OBRA!AS94+OBRA!AT94</f>
        <v>#VALUE!</v>
      </c>
      <c r="Y96" s="805"/>
      <c r="Z96" s="301" t="str">
        <f>OBRA!W94</f>
        <v>SIOP</v>
      </c>
      <c r="AA96" s="301"/>
      <c r="AB96" s="302" t="str">
        <f t="shared" si="3"/>
        <v>SIOP</v>
      </c>
      <c r="AC96" s="301" t="e">
        <f>#REF!</f>
        <v>#REF!</v>
      </c>
      <c r="AD96" s="301"/>
      <c r="AE96" s="297" t="str">
        <f>OBRA!X94</f>
        <v>SIOP</v>
      </c>
      <c r="AF96" s="290"/>
      <c r="AG96" s="291"/>
      <c r="AH96" s="297" t="e">
        <f t="shared" si="2"/>
        <v>#VALUE!</v>
      </c>
      <c r="AI96" s="291"/>
      <c r="AJ96" s="572"/>
      <c r="AK96" s="803"/>
      <c r="AL96" s="803"/>
      <c r="AM96" s="803"/>
      <c r="AN96" s="803"/>
      <c r="AO96" s="803"/>
      <c r="AP96" s="803"/>
      <c r="AQ96" s="803"/>
      <c r="AR96" s="803"/>
      <c r="AS96" s="515"/>
    </row>
    <row r="97" spans="1:45" s="299" customFormat="1" ht="69" hidden="1" customHeight="1">
      <c r="A97" s="288">
        <f>OBRA!J95</f>
        <v>2015</v>
      </c>
      <c r="B97" s="782" t="s">
        <v>1427</v>
      </c>
      <c r="C97" s="782"/>
      <c r="D97" s="782"/>
      <c r="E97" s="291" t="str">
        <f>OBRA!M95</f>
        <v>RAMO 33</v>
      </c>
      <c r="F97" s="289" t="s">
        <v>1428</v>
      </c>
      <c r="G97" s="515"/>
      <c r="H97" s="290" t="str">
        <f>OBRA!N95</f>
        <v>GMJ 001C OP/2015</v>
      </c>
      <c r="I97" s="291" t="str">
        <f>OBRA!O95</f>
        <v>ADJUDICACIÓN DIRECTA</v>
      </c>
      <c r="J97" s="292" t="str">
        <f>OBRA!P95</f>
        <v>ELECTRIFICACIÓN DE MEDIA Y BAJA TENSION EN EL BARRIO "LA BECERRERA", EN LA AGENCIA DE EL MOLINO</v>
      </c>
      <c r="K97" s="292" t="s">
        <v>1439</v>
      </c>
      <c r="L97" s="292"/>
      <c r="M97" s="292" t="s">
        <v>1440</v>
      </c>
      <c r="N97" s="292"/>
      <c r="O97" s="438"/>
      <c r="P97" s="293">
        <f>OBRA!R95</f>
        <v>265913.18</v>
      </c>
      <c r="Q97" s="293"/>
      <c r="R97" s="293"/>
      <c r="S97" s="294">
        <f>OBRA!S95</f>
        <v>42010</v>
      </c>
      <c r="T97" s="1134">
        <f>OBRA!V95</f>
        <v>42010</v>
      </c>
      <c r="U97" s="295">
        <f>OBRA!T95</f>
        <v>42016</v>
      </c>
      <c r="V97" s="296">
        <f>OBRA!U95</f>
        <v>42030</v>
      </c>
      <c r="W97" s="1153"/>
      <c r="X97" s="795">
        <f>OBRA!AS95+OBRA!AT95</f>
        <v>264744.99</v>
      </c>
      <c r="Y97" s="805"/>
      <c r="Z97" s="301" t="s">
        <v>368</v>
      </c>
      <c r="AA97" s="301"/>
      <c r="AB97" s="302" t="s">
        <v>357</v>
      </c>
      <c r="AC97" s="301" t="s">
        <v>1442</v>
      </c>
      <c r="AD97" s="301"/>
      <c r="AE97" s="297" t="str">
        <f>OBRA!X95</f>
        <v>ING. RIGOBERTO OLMEDO RAMOS</v>
      </c>
      <c r="AF97" s="290">
        <v>14</v>
      </c>
      <c r="AG97" s="291" t="s">
        <v>1443</v>
      </c>
      <c r="AH97" s="297">
        <f t="shared" si="2"/>
        <v>18910.356428571427</v>
      </c>
      <c r="AI97" s="291">
        <v>400</v>
      </c>
      <c r="AJ97" s="572" t="s">
        <v>1444</v>
      </c>
      <c r="AK97" s="515"/>
      <c r="AL97" s="515"/>
      <c r="AM97" s="515"/>
      <c r="AN97" s="491"/>
      <c r="AO97" s="291" t="s">
        <v>68</v>
      </c>
      <c r="AP97" s="291" t="s">
        <v>68</v>
      </c>
      <c r="AQ97" s="291" t="s">
        <v>68</v>
      </c>
      <c r="AR97" s="515"/>
      <c r="AS97" s="798" t="s">
        <v>1445</v>
      </c>
    </row>
    <row r="98" spans="1:45" s="299" customFormat="1" ht="75.75" hidden="1" customHeight="1">
      <c r="A98" s="288">
        <f>OBRA!J96</f>
        <v>2015</v>
      </c>
      <c r="B98" s="782" t="s">
        <v>1427</v>
      </c>
      <c r="C98" s="782"/>
      <c r="D98" s="782"/>
      <c r="E98" s="291" t="str">
        <f>OBRA!M96</f>
        <v>CUENTA CORRIENTE</v>
      </c>
      <c r="F98" s="289" t="s">
        <v>1428</v>
      </c>
      <c r="G98" s="515"/>
      <c r="H98" s="290" t="str">
        <f>OBRA!N96</f>
        <v>GMJ 002C OP/2015</v>
      </c>
      <c r="I98" s="291" t="str">
        <f>OBRA!O96</f>
        <v>ADJUDICACIÓN DIRECTA</v>
      </c>
      <c r="J98" s="292" t="str">
        <f>OBRA!P96</f>
        <v>CONEXIÓN DE DRENAJE A PLANTA DE TRATAMIENTO PARALELO A CARRETERA CHAPALA-JOCOTEPEC, EN LA LOCALIDD DE: SAN JUAN COSALA</v>
      </c>
      <c r="K98" s="292" t="s">
        <v>1446</v>
      </c>
      <c r="L98" s="292"/>
      <c r="M98" s="292" t="s">
        <v>1447</v>
      </c>
      <c r="N98" s="292"/>
      <c r="O98" s="465"/>
      <c r="P98" s="293">
        <f>OBRA!R96</f>
        <v>95412.78</v>
      </c>
      <c r="Q98" s="293"/>
      <c r="R98" s="293"/>
      <c r="S98" s="294">
        <f>OBRA!S96</f>
        <v>42006</v>
      </c>
      <c r="T98" s="1134">
        <f>OBRA!V96</f>
        <v>42006</v>
      </c>
      <c r="U98" s="295">
        <f>OBRA!T96</f>
        <v>42006</v>
      </c>
      <c r="V98" s="296">
        <f>OBRA!U96</f>
        <v>42015</v>
      </c>
      <c r="W98" s="1153"/>
      <c r="X98" s="795">
        <f>OBRA!AS96+OBRA!AT96</f>
        <v>94772.53</v>
      </c>
      <c r="Y98" s="805"/>
      <c r="Z98" s="301" t="str">
        <f>OBRA!W96</f>
        <v>HIDRAULICOS TRUJILLO S.A. DE C.V.</v>
      </c>
      <c r="AA98" s="301"/>
      <c r="AB98" s="302" t="s">
        <v>1449</v>
      </c>
      <c r="AC98" s="301" t="s">
        <v>1450</v>
      </c>
      <c r="AD98" s="301"/>
      <c r="AE98" s="297" t="str">
        <f>OBRA!X96</f>
        <v>ING. RIGOBERTO OLMEDO RAMOS</v>
      </c>
      <c r="AF98" s="290">
        <v>87</v>
      </c>
      <c r="AG98" s="291" t="s">
        <v>1451</v>
      </c>
      <c r="AH98" s="297">
        <f t="shared" si="2"/>
        <v>1089.3394252873563</v>
      </c>
      <c r="AI98" s="291">
        <v>2552</v>
      </c>
      <c r="AJ98" s="572" t="s">
        <v>1452</v>
      </c>
      <c r="AK98" s="515"/>
      <c r="AL98" s="515"/>
      <c r="AM98" s="515"/>
      <c r="AN98" s="491"/>
      <c r="AO98" s="291" t="s">
        <v>68</v>
      </c>
      <c r="AP98" s="291" t="s">
        <v>68</v>
      </c>
      <c r="AQ98" s="291" t="s">
        <v>68</v>
      </c>
      <c r="AR98" s="515"/>
      <c r="AS98" s="798" t="s">
        <v>1453</v>
      </c>
    </row>
    <row r="99" spans="1:45" s="299" customFormat="1" ht="75.75" hidden="1" customHeight="1">
      <c r="A99" s="288">
        <f>OBRA!J97</f>
        <v>2015</v>
      </c>
      <c r="B99" s="782" t="s">
        <v>1427</v>
      </c>
      <c r="C99" s="782"/>
      <c r="D99" s="782"/>
      <c r="E99" s="291" t="str">
        <f>OBRA!M97</f>
        <v>RAMO 33</v>
      </c>
      <c r="F99" s="289" t="s">
        <v>1428</v>
      </c>
      <c r="G99" s="515"/>
      <c r="H99" s="290" t="str">
        <f>OBRA!N97</f>
        <v>GMJ 003C OP/2015</v>
      </c>
      <c r="I99" s="291" t="str">
        <f>OBRA!O97</f>
        <v>INVITACIÓN</v>
      </c>
      <c r="J99" s="292" t="str">
        <f>OBRA!P97</f>
        <v>PERFORACIÓN, ADEME, AFORO, ELECTRIFICACIÓN Y EQUIPAMIENTO DE POZO PROFUNDO Y CONSTRUCCION DE CASETA DE CONTROL EN LA AGENCIA DE SAN LUCIANO</v>
      </c>
      <c r="K99" s="292" t="s">
        <v>1454</v>
      </c>
      <c r="L99" s="292"/>
      <c r="M99" s="292" t="s">
        <v>1455</v>
      </c>
      <c r="N99" s="1118"/>
      <c r="O99" s="768"/>
      <c r="P99" s="293">
        <f>OBRA!R97</f>
        <v>2359096.67</v>
      </c>
      <c r="Q99" s="293"/>
      <c r="R99" s="293"/>
      <c r="S99" s="294">
        <f>OBRA!S97</f>
        <v>42046</v>
      </c>
      <c r="T99" s="1134" t="str">
        <f>OBRA!V97</f>
        <v>-</v>
      </c>
      <c r="U99" s="295">
        <f>OBRA!T97</f>
        <v>42051</v>
      </c>
      <c r="V99" s="296">
        <f>OBRA!U97</f>
        <v>42080</v>
      </c>
      <c r="W99" s="1153"/>
      <c r="X99" s="795">
        <f>OBRA!AS97+OBRA!AT97</f>
        <v>2336472.5699999998</v>
      </c>
      <c r="Y99" s="805"/>
      <c r="Z99" s="301" t="str">
        <f>OBRA!W97</f>
        <v>G I LANDING S.A. DE C.V.</v>
      </c>
      <c r="AA99" s="301"/>
      <c r="AB99" s="302" t="s">
        <v>1457</v>
      </c>
      <c r="AC99" s="301" t="s">
        <v>1458</v>
      </c>
      <c r="AD99" s="301"/>
      <c r="AE99" s="297" t="str">
        <f>OBRA!X97</f>
        <v>C. DANIEL RODRIGUEZ VALENZUELA</v>
      </c>
      <c r="AF99" s="290">
        <v>210</v>
      </c>
      <c r="AG99" s="291" t="s">
        <v>1451</v>
      </c>
      <c r="AH99" s="297">
        <f t="shared" si="2"/>
        <v>11126.059857142856</v>
      </c>
      <c r="AI99" s="291">
        <v>394</v>
      </c>
      <c r="AJ99" s="572" t="s">
        <v>1452</v>
      </c>
      <c r="AK99" s="515"/>
      <c r="AL99" s="515"/>
      <c r="AM99" s="515"/>
      <c r="AN99" s="491"/>
      <c r="AO99" s="291" t="s">
        <v>68</v>
      </c>
      <c r="AP99" s="452" t="s">
        <v>1459</v>
      </c>
      <c r="AQ99" s="291" t="s">
        <v>68</v>
      </c>
      <c r="AR99" s="301"/>
      <c r="AS99" s="1136" t="s">
        <v>1460</v>
      </c>
    </row>
    <row r="100" spans="1:45" s="299" customFormat="1" ht="51" hidden="1" customHeight="1">
      <c r="A100" s="288">
        <f>OBRA!J98</f>
        <v>2015</v>
      </c>
      <c r="B100" s="782" t="s">
        <v>1427</v>
      </c>
      <c r="C100" s="782"/>
      <c r="D100" s="782"/>
      <c r="E100" s="291" t="str">
        <f>OBRA!M98</f>
        <v>RAMO 33</v>
      </c>
      <c r="F100" s="289" t="s">
        <v>1428</v>
      </c>
      <c r="G100" s="515"/>
      <c r="H100" s="290" t="str">
        <f>OBRA!N98</f>
        <v>GMJ 004C OP/2015</v>
      </c>
      <c r="I100" s="291" t="str">
        <f>OBRA!O98</f>
        <v>ADJUDICACIÓN DIRECTA</v>
      </c>
      <c r="J100" s="292" t="str">
        <f>OBRA!P98</f>
        <v>ELECTRIFICACIÓN DE POZO PROFUNDO  EN LA AGENCIA DE SAN LUCIANO</v>
      </c>
      <c r="K100" s="292" t="s">
        <v>1461</v>
      </c>
      <c r="L100" s="292"/>
      <c r="M100" s="292" t="s">
        <v>1455</v>
      </c>
      <c r="N100" s="292"/>
      <c r="O100" s="465"/>
      <c r="P100" s="293">
        <f>OBRA!R98</f>
        <v>260536.84</v>
      </c>
      <c r="Q100" s="293"/>
      <c r="R100" s="293"/>
      <c r="S100" s="294">
        <f>OBRA!S98</f>
        <v>42209</v>
      </c>
      <c r="T100" s="1134">
        <f>OBRA!V98</f>
        <v>42209</v>
      </c>
      <c r="U100" s="295">
        <f>OBRA!T98</f>
        <v>42212</v>
      </c>
      <c r="V100" s="296">
        <f>OBRA!U98</f>
        <v>42225</v>
      </c>
      <c r="W100" s="1153"/>
      <c r="X100" s="795">
        <f>OBRA!AS98+OBRA!AT98</f>
        <v>227660.7</v>
      </c>
      <c r="Y100" s="805"/>
      <c r="Z100" s="301" t="str">
        <f>OBRA!W98</f>
        <v>GECLAN, S.A. DE C.V.</v>
      </c>
      <c r="AA100" s="301"/>
      <c r="AB100" s="302" t="s">
        <v>357</v>
      </c>
      <c r="AC100" s="301" t="s">
        <v>1442</v>
      </c>
      <c r="AD100" s="301"/>
      <c r="AE100" s="297" t="str">
        <f>OBRA!X98</f>
        <v>C. DANIEL RODRIGUEZ VALENZUELA</v>
      </c>
      <c r="AF100" s="290">
        <v>1</v>
      </c>
      <c r="AG100" s="291" t="s">
        <v>1463</v>
      </c>
      <c r="AH100" s="297">
        <f t="shared" si="2"/>
        <v>227660.7</v>
      </c>
      <c r="AI100" s="291">
        <v>394</v>
      </c>
      <c r="AJ100" s="572" t="s">
        <v>1452</v>
      </c>
      <c r="AK100" s="515"/>
      <c r="AL100" s="515"/>
      <c r="AM100" s="515"/>
      <c r="AN100" s="491"/>
      <c r="AO100" s="291" t="s">
        <v>68</v>
      </c>
      <c r="AP100" s="291" t="s">
        <v>68</v>
      </c>
      <c r="AQ100" s="452" t="s">
        <v>1464</v>
      </c>
      <c r="AR100" s="491"/>
      <c r="AS100" s="798" t="s">
        <v>1465</v>
      </c>
    </row>
    <row r="101" spans="1:45" s="299" customFormat="1" ht="75.75" hidden="1" customHeight="1">
      <c r="A101" s="288">
        <f>OBRA!J99</f>
        <v>2015</v>
      </c>
      <c r="B101" s="782" t="s">
        <v>1427</v>
      </c>
      <c r="C101" s="782"/>
      <c r="D101" s="782"/>
      <c r="E101" s="291" t="str">
        <f>OBRA!M99</f>
        <v>RAMO 33</v>
      </c>
      <c r="F101" s="289" t="s">
        <v>1428</v>
      </c>
      <c r="G101" s="515"/>
      <c r="H101" s="290" t="str">
        <f>OBRA!N99</f>
        <v>GMJ 005C OP/2015</v>
      </c>
      <c r="I101" s="291" t="str">
        <f>OBRA!O99</f>
        <v>ADJUDICACIÓN DIRECTA</v>
      </c>
      <c r="J101" s="292" t="str">
        <f>OBRA!P99</f>
        <v>ELECTRIFICACIÓN DE MEDIA Y BAJA TENSION EN CALLES RAMÓN CORONA Y 12 DE OCTUBRE (BARRIO MEZQUITITO 1ER. ETAPA) EN LA DELEGACIÓN DE POTRERILLOS</v>
      </c>
      <c r="K101" s="292" t="s">
        <v>1439</v>
      </c>
      <c r="L101" s="292"/>
      <c r="M101" s="292" t="s">
        <v>1466</v>
      </c>
      <c r="N101" s="292"/>
      <c r="O101" s="465"/>
      <c r="P101" s="293">
        <f>OBRA!R99</f>
        <v>307899.96000000002</v>
      </c>
      <c r="Q101" s="293"/>
      <c r="R101" s="293"/>
      <c r="S101" s="294">
        <f>OBRA!S99</f>
        <v>42047</v>
      </c>
      <c r="T101" s="1134">
        <f>OBRA!V99</f>
        <v>42047</v>
      </c>
      <c r="U101" s="295">
        <f>OBRA!T99</f>
        <v>42051</v>
      </c>
      <c r="V101" s="296">
        <f>OBRA!U99</f>
        <v>42065</v>
      </c>
      <c r="W101" s="1153"/>
      <c r="X101" s="795">
        <f>OBRA!AS99+OBRA!AT99</f>
        <v>306551.53999999998</v>
      </c>
      <c r="Y101" s="805"/>
      <c r="Z101" s="301" t="s">
        <v>368</v>
      </c>
      <c r="AA101" s="301"/>
      <c r="AB101" s="302" t="s">
        <v>357</v>
      </c>
      <c r="AC101" s="301" t="s">
        <v>1442</v>
      </c>
      <c r="AD101" s="301"/>
      <c r="AE101" s="297" t="str">
        <f>OBRA!X99</f>
        <v>ING. RIGOBERTO OLMEDO RAMOS</v>
      </c>
      <c r="AF101" s="290">
        <v>4</v>
      </c>
      <c r="AG101" s="291" t="s">
        <v>1468</v>
      </c>
      <c r="AH101" s="297">
        <f t="shared" si="2"/>
        <v>76637.884999999995</v>
      </c>
      <c r="AI101" s="291">
        <v>140</v>
      </c>
      <c r="AJ101" s="572" t="s">
        <v>1444</v>
      </c>
      <c r="AK101" s="515"/>
      <c r="AL101" s="515"/>
      <c r="AM101" s="515"/>
      <c r="AN101" s="491"/>
      <c r="AO101" s="291" t="s">
        <v>68</v>
      </c>
      <c r="AP101" s="291" t="s">
        <v>68</v>
      </c>
      <c r="AQ101" s="452" t="s">
        <v>1469</v>
      </c>
      <c r="AR101" s="491"/>
      <c r="AS101" s="798" t="s">
        <v>1470</v>
      </c>
    </row>
    <row r="102" spans="1:45" s="299" customFormat="1" ht="75.75" hidden="1" customHeight="1">
      <c r="A102" s="288">
        <f>OBRA!J100</f>
        <v>2015</v>
      </c>
      <c r="B102" s="782" t="s">
        <v>1427</v>
      </c>
      <c r="C102" s="782"/>
      <c r="D102" s="782"/>
      <c r="E102" s="291" t="str">
        <f>OBRA!M100</f>
        <v>RAMO 33</v>
      </c>
      <c r="F102" s="289" t="s">
        <v>1428</v>
      </c>
      <c r="G102" s="515"/>
      <c r="H102" s="290" t="str">
        <f>OBRA!N100</f>
        <v>GMJ 006C OP/2015</v>
      </c>
      <c r="I102" s="291" t="str">
        <f>OBRA!O100</f>
        <v>ADJUDICACIÓN DIRECTA</v>
      </c>
      <c r="J102" s="292" t="str">
        <f>OBRA!P100</f>
        <v>ELECTRIFICACIÓN DE MEDIA Y BAJA TENSION EN EL BARRIO "LA BECERRERA" 2DA ETAPA, EN LA AGENCIA DE EL MOLINO</v>
      </c>
      <c r="K102" s="292" t="s">
        <v>1439</v>
      </c>
      <c r="L102" s="292"/>
      <c r="M102" s="292" t="s">
        <v>1440</v>
      </c>
      <c r="N102" s="292"/>
      <c r="O102" s="465"/>
      <c r="P102" s="293">
        <f>OBRA!R100</f>
        <v>422690.66</v>
      </c>
      <c r="Q102" s="293"/>
      <c r="R102" s="293"/>
      <c r="S102" s="294">
        <f>OBRA!S100</f>
        <v>42109</v>
      </c>
      <c r="T102" s="1134">
        <f>OBRA!V100</f>
        <v>42109</v>
      </c>
      <c r="U102" s="295">
        <f>OBRA!T100</f>
        <v>42114</v>
      </c>
      <c r="V102" s="296">
        <f>OBRA!U100</f>
        <v>42128</v>
      </c>
      <c r="W102" s="1153"/>
      <c r="X102" s="795">
        <f>OBRA!AS100+OBRA!AT100</f>
        <v>375226.96</v>
      </c>
      <c r="Y102" s="805"/>
      <c r="Z102" s="301" t="s">
        <v>368</v>
      </c>
      <c r="AA102" s="301"/>
      <c r="AB102" s="302" t="s">
        <v>357</v>
      </c>
      <c r="AC102" s="301" t="s">
        <v>1442</v>
      </c>
      <c r="AD102" s="301"/>
      <c r="AE102" s="297" t="str">
        <f>OBRA!X100</f>
        <v>ING. RIGOBERTO OLMEDO RAMOS</v>
      </c>
      <c r="AF102" s="290">
        <v>23</v>
      </c>
      <c r="AG102" s="291" t="s">
        <v>1443</v>
      </c>
      <c r="AH102" s="297">
        <f t="shared" si="2"/>
        <v>16314.215652173914</v>
      </c>
      <c r="AI102" s="291">
        <v>400</v>
      </c>
      <c r="AJ102" s="572" t="s">
        <v>1444</v>
      </c>
      <c r="AK102" s="515"/>
      <c r="AL102" s="515"/>
      <c r="AM102" s="515"/>
      <c r="AN102" s="491"/>
      <c r="AO102" s="291" t="s">
        <v>68</v>
      </c>
      <c r="AP102" s="291" t="s">
        <v>68</v>
      </c>
      <c r="AQ102" s="452" t="s">
        <v>1472</v>
      </c>
      <c r="AR102" s="491"/>
      <c r="AS102" s="798" t="s">
        <v>1473</v>
      </c>
    </row>
    <row r="103" spans="1:45" s="299" customFormat="1" ht="75.75" hidden="1" customHeight="1">
      <c r="A103" s="288">
        <f>OBRA!J101</f>
        <v>2015</v>
      </c>
      <c r="B103" s="782" t="s">
        <v>1427</v>
      </c>
      <c r="C103" s="782"/>
      <c r="D103" s="782"/>
      <c r="E103" s="291" t="str">
        <f>OBRA!M101</f>
        <v>RAMO 33</v>
      </c>
      <c r="F103" s="289" t="s">
        <v>1428</v>
      </c>
      <c r="G103" s="515"/>
      <c r="H103" s="290" t="str">
        <f>OBRA!N101</f>
        <v>GMJ 011C OP/2015</v>
      </c>
      <c r="I103" s="291" t="str">
        <f>OBRA!O101</f>
        <v>ADJUDICACIÓN DIRECTA</v>
      </c>
      <c r="J103" s="292" t="str">
        <f>OBRA!P101</f>
        <v>ALUMBRADO PUBLICO AL INGRESO DEL POBLADO DE HUEJOTITAN</v>
      </c>
      <c r="K103" s="292" t="s">
        <v>1474</v>
      </c>
      <c r="L103" s="292"/>
      <c r="M103" s="292" t="s">
        <v>1475</v>
      </c>
      <c r="N103" s="292"/>
      <c r="O103" s="465"/>
      <c r="P103" s="293">
        <f>OBRA!R101</f>
        <v>1182630</v>
      </c>
      <c r="Q103" s="293"/>
      <c r="R103" s="293"/>
      <c r="S103" s="294">
        <f>OBRA!S101</f>
        <v>42209</v>
      </c>
      <c r="T103" s="1134">
        <f>OBRA!V101</f>
        <v>42209</v>
      </c>
      <c r="U103" s="295">
        <f>OBRA!T101</f>
        <v>42212</v>
      </c>
      <c r="V103" s="296">
        <f>OBRA!U101</f>
        <v>42239</v>
      </c>
      <c r="W103" s="1153"/>
      <c r="X103" s="795">
        <f>OBRA!AS101+OBRA!AT101</f>
        <v>232729.26</v>
      </c>
      <c r="Y103" s="805"/>
      <c r="Z103" s="301" t="s">
        <v>368</v>
      </c>
      <c r="AA103" s="301"/>
      <c r="AB103" s="302" t="s">
        <v>357</v>
      </c>
      <c r="AC103" s="301" t="s">
        <v>1442</v>
      </c>
      <c r="AD103" s="301"/>
      <c r="AE103" s="297" t="str">
        <f>OBRA!X101</f>
        <v>ING. RIGOBERTO OLMEDO RAMOS</v>
      </c>
      <c r="AF103" s="290">
        <v>200</v>
      </c>
      <c r="AG103" s="291" t="s">
        <v>1451</v>
      </c>
      <c r="AH103" s="297">
        <f t="shared" si="2"/>
        <v>1163.6463000000001</v>
      </c>
      <c r="AI103" s="291">
        <v>1130</v>
      </c>
      <c r="AJ103" s="572" t="s">
        <v>1444</v>
      </c>
      <c r="AK103" s="515"/>
      <c r="AL103" s="515"/>
      <c r="AM103" s="515"/>
      <c r="AN103" s="491"/>
      <c r="AO103" s="291" t="s">
        <v>68</v>
      </c>
      <c r="AP103" s="291" t="s">
        <v>68</v>
      </c>
      <c r="AQ103" s="452" t="s">
        <v>1477</v>
      </c>
      <c r="AR103" s="491"/>
      <c r="AS103" s="798" t="s">
        <v>1478</v>
      </c>
    </row>
    <row r="104" spans="1:45" s="104" customFormat="1" ht="75.75" hidden="1" customHeight="1">
      <c r="A104" s="82">
        <f>OBRA!J102</f>
        <v>2015</v>
      </c>
      <c r="B104" s="781" t="s">
        <v>1427</v>
      </c>
      <c r="C104" s="781"/>
      <c r="D104" s="781"/>
      <c r="E104" s="85" t="str">
        <f>OBRA!M102</f>
        <v>CUENTA CORRIENTE</v>
      </c>
      <c r="F104" s="83" t="s">
        <v>1428</v>
      </c>
      <c r="G104" s="514"/>
      <c r="H104" s="84" t="str">
        <f>OBRA!N102</f>
        <v>GMJ 011C OP/2015</v>
      </c>
      <c r="I104" s="185" t="str">
        <f>OBRA!O102</f>
        <v>CANCELADA</v>
      </c>
      <c r="J104" s="125" t="str">
        <f>OBRA!P102</f>
        <v>AMPLIACIÓN DE ELECTRIFICACION EN BARRIO EL TORIL DE ZAPOTITAN DE HIDALGO</v>
      </c>
      <c r="K104" s="125"/>
      <c r="L104" s="125"/>
      <c r="M104" s="125"/>
      <c r="N104" s="125"/>
      <c r="O104" s="812"/>
      <c r="P104" s="86">
        <f>OBRA!R102</f>
        <v>0</v>
      </c>
      <c r="Q104" s="86"/>
      <c r="R104" s="86"/>
      <c r="S104" s="87" t="s">
        <v>68</v>
      </c>
      <c r="T104" s="1134" t="str">
        <f>OBRA!V102</f>
        <v>-</v>
      </c>
      <c r="U104" s="88" t="s">
        <v>68</v>
      </c>
      <c r="V104" s="89" t="s">
        <v>68</v>
      </c>
      <c r="W104" s="338"/>
      <c r="X104" s="810">
        <f>OBRA!AS102+OBRA!AT102</f>
        <v>0</v>
      </c>
      <c r="Y104" s="821"/>
      <c r="Z104" s="147" t="str">
        <f>OBRA!W102</f>
        <v>-</v>
      </c>
      <c r="AA104" s="147"/>
      <c r="AB104" s="149" t="str">
        <f t="shared" si="3"/>
        <v>-</v>
      </c>
      <c r="AC104" s="147" t="s">
        <v>68</v>
      </c>
      <c r="AD104" s="147"/>
      <c r="AE104" s="275" t="s">
        <v>251</v>
      </c>
      <c r="AF104" s="84"/>
      <c r="AG104" s="85"/>
      <c r="AH104" s="184" t="e">
        <f t="shared" si="2"/>
        <v>#DIV/0!</v>
      </c>
      <c r="AI104" s="85"/>
      <c r="AJ104" s="575"/>
      <c r="AK104" s="527"/>
      <c r="AL104" s="527"/>
      <c r="AM104" s="527"/>
      <c r="AN104" s="527"/>
      <c r="AO104" s="527"/>
      <c r="AP104" s="527"/>
      <c r="AQ104" s="421"/>
      <c r="AR104" s="514"/>
      <c r="AS104" s="514"/>
    </row>
    <row r="105" spans="1:45" s="299" customFormat="1" ht="75.75" hidden="1" customHeight="1">
      <c r="A105" s="288">
        <f>OBRA!J103</f>
        <v>2015</v>
      </c>
      <c r="B105" s="782" t="s">
        <v>1427</v>
      </c>
      <c r="C105" s="782"/>
      <c r="D105" s="782"/>
      <c r="E105" s="291" t="str">
        <f>OBRA!M103</f>
        <v>CUENTA CORRIENTE</v>
      </c>
      <c r="F105" s="289" t="s">
        <v>1428</v>
      </c>
      <c r="G105" s="515"/>
      <c r="H105" s="290" t="str">
        <f>OBRA!N103</f>
        <v>DOP/AD/001/2015</v>
      </c>
      <c r="I105" s="291" t="str">
        <f>OBRA!O103</f>
        <v>ADMINISTRACIÓN DIRECTA</v>
      </c>
      <c r="J105" s="292" t="str">
        <f>OBRA!P103</f>
        <v>BACHEO CON MEZCLA ASFALTICA CALIENTE EN LAS CALLES ALLENDE, JUAREZ, HIDALGO Y PERO MORENO, EN LA DELEGCION DE ZAPOTITAN DE HIDALGO</v>
      </c>
      <c r="K105" s="292" t="s">
        <v>1479</v>
      </c>
      <c r="L105" s="292"/>
      <c r="M105" s="292" t="s">
        <v>1480</v>
      </c>
      <c r="N105" s="292"/>
      <c r="O105" s="438"/>
      <c r="P105" s="293">
        <f>OBRA!R103</f>
        <v>92000</v>
      </c>
      <c r="Q105" s="293"/>
      <c r="R105" s="293"/>
      <c r="S105" s="294">
        <f>OBRA!S103</f>
        <v>42128</v>
      </c>
      <c r="T105" s="1134" t="str">
        <f>OBRA!V103</f>
        <v>-</v>
      </c>
      <c r="U105" s="295">
        <f>OBRA!T103</f>
        <v>42128</v>
      </c>
      <c r="V105" s="296">
        <f>OBRA!U103</f>
        <v>42133</v>
      </c>
      <c r="W105" s="1153"/>
      <c r="X105" s="795">
        <f>OBRA!AS103+OBRA!AT103</f>
        <v>91219.3</v>
      </c>
      <c r="Y105" s="805"/>
      <c r="Z105" s="301" t="str">
        <f>OBRA!W103</f>
        <v>-</v>
      </c>
      <c r="AA105" s="301"/>
      <c r="AB105" s="302" t="str">
        <f t="shared" si="3"/>
        <v>-</v>
      </c>
      <c r="AC105" s="301" t="s">
        <v>68</v>
      </c>
      <c r="AD105" s="301"/>
      <c r="AE105" s="297" t="str">
        <f>OBRA!X103</f>
        <v>ING. RIGOBERTO OLMEDO RAMOS</v>
      </c>
      <c r="AF105" s="290">
        <v>178.6</v>
      </c>
      <c r="AG105" s="291" t="s">
        <v>1429</v>
      </c>
      <c r="AH105" s="297">
        <f t="shared" si="2"/>
        <v>510.74636058230686</v>
      </c>
      <c r="AI105" s="291">
        <v>3794</v>
      </c>
      <c r="AJ105" s="572" t="s">
        <v>1452</v>
      </c>
      <c r="AK105" s="515"/>
      <c r="AL105" s="515"/>
      <c r="AM105" s="515"/>
      <c r="AN105" s="491"/>
      <c r="AO105" s="291" t="s">
        <v>68</v>
      </c>
      <c r="AP105" s="291" t="s">
        <v>68</v>
      </c>
      <c r="AQ105" s="864" t="s">
        <v>68</v>
      </c>
      <c r="AR105" s="963"/>
      <c r="AS105" s="1137" t="s">
        <v>68</v>
      </c>
    </row>
    <row r="106" spans="1:45" s="299" customFormat="1" ht="75.75" hidden="1" customHeight="1">
      <c r="A106" s="288">
        <f>OBRA!J104</f>
        <v>2015</v>
      </c>
      <c r="B106" s="782" t="s">
        <v>1427</v>
      </c>
      <c r="C106" s="782"/>
      <c r="D106" s="782"/>
      <c r="E106" s="291" t="str">
        <f>OBRA!M104</f>
        <v>CUENTA CORRIENTE</v>
      </c>
      <c r="F106" s="289" t="s">
        <v>1428</v>
      </c>
      <c r="G106" s="515"/>
      <c r="H106" s="290" t="str">
        <f>OBRA!N104</f>
        <v>DOP/AD/002/2015</v>
      </c>
      <c r="I106" s="291" t="str">
        <f>OBRA!O104</f>
        <v>ADMINISTRACIÓN DIRECTA</v>
      </c>
      <c r="J106" s="292" t="str">
        <f>OBRA!P104</f>
        <v>CONSTRUCCION DE RED DE DRENAJE EN C. ZARAGOZA DE PRIVADA ZARAGOZA A AVENIDA DEL TRABAJO, EN LA DELEGACION DE SAN CRISTOBAL ZAPOTITLAN</v>
      </c>
      <c r="K106" s="292" t="s">
        <v>1481</v>
      </c>
      <c r="L106" s="292"/>
      <c r="M106" s="292" t="s">
        <v>1482</v>
      </c>
      <c r="N106" s="292"/>
      <c r="O106" s="438"/>
      <c r="P106" s="293">
        <f>OBRA!R104</f>
        <v>180484.7</v>
      </c>
      <c r="Q106" s="293"/>
      <c r="R106" s="293"/>
      <c r="S106" s="294">
        <f>OBRA!S104</f>
        <v>42186</v>
      </c>
      <c r="T106" s="1134" t="str">
        <f>OBRA!V104</f>
        <v>-</v>
      </c>
      <c r="U106" s="295">
        <f>OBRA!T104</f>
        <v>42186</v>
      </c>
      <c r="V106" s="296">
        <f>OBRA!U104</f>
        <v>42195</v>
      </c>
      <c r="W106" s="1153"/>
      <c r="X106" s="795">
        <f>OBRA!AS104+OBRA!AT104</f>
        <v>176723.04</v>
      </c>
      <c r="Y106" s="805"/>
      <c r="Z106" s="301" t="str">
        <f>OBRA!W104</f>
        <v>-</v>
      </c>
      <c r="AA106" s="301"/>
      <c r="AB106" s="302" t="str">
        <f t="shared" si="3"/>
        <v>-</v>
      </c>
      <c r="AC106" s="301" t="s">
        <v>68</v>
      </c>
      <c r="AD106" s="301"/>
      <c r="AE106" s="297" t="str">
        <f>OBRA!X104</f>
        <v>JUAN CARLOS NAVARRO ROSALES</v>
      </c>
      <c r="AF106" s="290">
        <v>100</v>
      </c>
      <c r="AG106" s="291" t="s">
        <v>1430</v>
      </c>
      <c r="AH106" s="297">
        <f t="shared" si="2"/>
        <v>1767.2304000000001</v>
      </c>
      <c r="AI106" s="291">
        <v>60</v>
      </c>
      <c r="AJ106" s="572" t="s">
        <v>1444</v>
      </c>
      <c r="AK106" s="515"/>
      <c r="AL106" s="515"/>
      <c r="AM106" s="515"/>
      <c r="AN106" s="491"/>
      <c r="AO106" s="291" t="s">
        <v>68</v>
      </c>
      <c r="AP106" s="291" t="s">
        <v>68</v>
      </c>
      <c r="AQ106" s="438" t="s">
        <v>1483</v>
      </c>
      <c r="AR106" s="964"/>
      <c r="AS106" s="1138" t="s">
        <v>1484</v>
      </c>
    </row>
    <row r="107" spans="1:45" s="299" customFormat="1" ht="75.75" hidden="1" customHeight="1">
      <c r="A107" s="288">
        <f>OBRA!J105</f>
        <v>2015</v>
      </c>
      <c r="B107" s="782" t="s">
        <v>1427</v>
      </c>
      <c r="C107" s="782"/>
      <c r="D107" s="782"/>
      <c r="E107" s="291" t="str">
        <f>OBRA!M105</f>
        <v>CUENTA CORRIENTE</v>
      </c>
      <c r="F107" s="289" t="s">
        <v>1428</v>
      </c>
      <c r="G107" s="515"/>
      <c r="H107" s="290" t="str">
        <f>OBRA!N105</f>
        <v>DOP/AD/003/2015</v>
      </c>
      <c r="I107" s="291" t="str">
        <f>OBRA!O105</f>
        <v>ADMINISTRACIÓN DIRECTA</v>
      </c>
      <c r="J107" s="292" t="str">
        <f>OBRA!P105</f>
        <v>CONSTRUCCION DE RED DE DRENAJE EN PRIVADA ZARAGOZA ENTRE VICENTE GUERRERO Y C. ZARAGOZA A AVENIDA DEL TRABAJO EN LA DELEGACION DE SAN CRISTOBAL ZAPOTITLAN</v>
      </c>
      <c r="K107" s="292" t="s">
        <v>1481</v>
      </c>
      <c r="L107" s="292"/>
      <c r="M107" s="292" t="s">
        <v>1485</v>
      </c>
      <c r="N107" s="292"/>
      <c r="O107" s="438"/>
      <c r="P107" s="293">
        <f>OBRA!R105</f>
        <v>117631.84</v>
      </c>
      <c r="Q107" s="293"/>
      <c r="R107" s="293"/>
      <c r="S107" s="294">
        <f>OBRA!S105</f>
        <v>42186</v>
      </c>
      <c r="T107" s="1134" t="str">
        <f>OBRA!V105</f>
        <v>-</v>
      </c>
      <c r="U107" s="295">
        <f>OBRA!T105</f>
        <v>42186</v>
      </c>
      <c r="V107" s="296">
        <f>OBRA!U105</f>
        <v>42195</v>
      </c>
      <c r="W107" s="1153"/>
      <c r="X107" s="795">
        <f>OBRA!AS105+OBRA!AT105</f>
        <v>115384.29</v>
      </c>
      <c r="Y107" s="805"/>
      <c r="Z107" s="301" t="str">
        <f>OBRA!W105</f>
        <v>-</v>
      </c>
      <c r="AA107" s="301"/>
      <c r="AB107" s="302" t="str">
        <f t="shared" si="3"/>
        <v>-</v>
      </c>
      <c r="AC107" s="301" t="s">
        <v>68</v>
      </c>
      <c r="AD107" s="301"/>
      <c r="AE107" s="297" t="str">
        <f>OBRA!X105</f>
        <v>JUAN CARLOS NAVARRO ROSALES</v>
      </c>
      <c r="AF107" s="290">
        <v>85</v>
      </c>
      <c r="AG107" s="291" t="s">
        <v>1430</v>
      </c>
      <c r="AH107" s="297">
        <f t="shared" si="2"/>
        <v>1357.4622352941176</v>
      </c>
      <c r="AI107" s="291">
        <v>15</v>
      </c>
      <c r="AJ107" s="572" t="s">
        <v>1444</v>
      </c>
      <c r="AK107" s="515"/>
      <c r="AL107" s="515"/>
      <c r="AM107" s="515"/>
      <c r="AN107" s="491"/>
      <c r="AO107" s="291" t="s">
        <v>68</v>
      </c>
      <c r="AP107" s="291" t="s">
        <v>68</v>
      </c>
      <c r="AQ107" s="438" t="s">
        <v>1486</v>
      </c>
      <c r="AR107" s="964"/>
      <c r="AS107" s="1138" t="s">
        <v>1487</v>
      </c>
    </row>
    <row r="108" spans="1:45" s="299" customFormat="1" ht="75.75" hidden="1" customHeight="1">
      <c r="A108" s="288">
        <f>OBRA!J106</f>
        <v>2015</v>
      </c>
      <c r="B108" s="782" t="s">
        <v>1427</v>
      </c>
      <c r="C108" s="782"/>
      <c r="D108" s="782"/>
      <c r="E108" s="291" t="str">
        <f>OBRA!M106</f>
        <v>RAMO 33</v>
      </c>
      <c r="F108" s="289" t="s">
        <v>1428</v>
      </c>
      <c r="G108" s="515"/>
      <c r="H108" s="290" t="str">
        <f>OBRA!N106</f>
        <v>DOP/AD/004/2015</v>
      </c>
      <c r="I108" s="291" t="str">
        <f>OBRA!O106</f>
        <v>ADMINISTRACIÓN DIRECTA</v>
      </c>
      <c r="J108" s="292" t="str">
        <f>OBRA!P106</f>
        <v>CONSTRUCCION DE RED DE DRENAJE EN C. VENUSTIANO CARRANZA Y JAVIER MINA DE C. ITURBIDE  A FRANCISCO VILLA, EN LA CABECERA MUNICIPAL</v>
      </c>
      <c r="K108" s="292" t="s">
        <v>1481</v>
      </c>
      <c r="L108" s="292"/>
      <c r="M108" s="292" t="s">
        <v>1482</v>
      </c>
      <c r="N108" s="292"/>
      <c r="O108" s="465"/>
      <c r="P108" s="293">
        <f>OBRA!R106</f>
        <v>315420.59999999998</v>
      </c>
      <c r="Q108" s="293"/>
      <c r="R108" s="293"/>
      <c r="S108" s="294">
        <f>OBRA!S106</f>
        <v>42193</v>
      </c>
      <c r="T108" s="1134" t="str">
        <f>OBRA!V106</f>
        <v>-</v>
      </c>
      <c r="U108" s="295">
        <f>OBRA!T106</f>
        <v>42193</v>
      </c>
      <c r="V108" s="296">
        <f>OBRA!U106</f>
        <v>42200</v>
      </c>
      <c r="W108" s="1153"/>
      <c r="X108" s="795">
        <f>OBRA!AS106+OBRA!AT106</f>
        <v>172769.33</v>
      </c>
      <c r="Y108" s="805"/>
      <c r="Z108" s="301" t="str">
        <f>OBRA!W106</f>
        <v>-</v>
      </c>
      <c r="AA108" s="301"/>
      <c r="AB108" s="302" t="str">
        <f t="shared" si="3"/>
        <v>-</v>
      </c>
      <c r="AC108" s="301" t="s">
        <v>68</v>
      </c>
      <c r="AD108" s="301"/>
      <c r="AE108" s="297" t="str">
        <f>OBRA!X106</f>
        <v>JUAN CARLOS NAVARRO ROSALES</v>
      </c>
      <c r="AF108" s="290">
        <v>207</v>
      </c>
      <c r="AG108" s="291" t="s">
        <v>1430</v>
      </c>
      <c r="AH108" s="297">
        <f t="shared" si="2"/>
        <v>834.6344444444444</v>
      </c>
      <c r="AI108" s="291">
        <v>120</v>
      </c>
      <c r="AJ108" s="572" t="s">
        <v>1444</v>
      </c>
      <c r="AK108" s="515"/>
      <c r="AL108" s="515"/>
      <c r="AM108" s="515"/>
      <c r="AN108" s="491"/>
      <c r="AO108" s="291" t="s">
        <v>68</v>
      </c>
      <c r="AP108" s="291" t="s">
        <v>68</v>
      </c>
      <c r="AQ108" s="465" t="s">
        <v>1488</v>
      </c>
      <c r="AR108" s="456"/>
      <c r="AS108" s="798" t="s">
        <v>1489</v>
      </c>
    </row>
    <row r="109" spans="1:45" s="299" customFormat="1" ht="75.75" hidden="1" customHeight="1">
      <c r="A109" s="288">
        <f>OBRA!J107</f>
        <v>2015</v>
      </c>
      <c r="B109" s="782" t="s">
        <v>1427</v>
      </c>
      <c r="C109" s="782"/>
      <c r="D109" s="782"/>
      <c r="E109" s="291" t="str">
        <f>OBRA!M107</f>
        <v>RAMO 33</v>
      </c>
      <c r="F109" s="289" t="s">
        <v>1428</v>
      </c>
      <c r="G109" s="515"/>
      <c r="H109" s="290" t="str">
        <f>OBRA!N107</f>
        <v>DOP/AD/005/2015</v>
      </c>
      <c r="I109" s="291" t="str">
        <f>OBRA!O107</f>
        <v>ADMINISTRACIÓN DIRECTA</v>
      </c>
      <c r="J109" s="292" t="str">
        <f>OBRA!P107</f>
        <v>CONSTRUCCION DE RED DE DRENAJE EN C. 21 DE MARZO E ITURBIDE DE C. VERANO A 20 DE NOVIEMBRE, EN LA CABECERA MUNICIPAL</v>
      </c>
      <c r="K109" s="292" t="s">
        <v>1481</v>
      </c>
      <c r="L109" s="292"/>
      <c r="M109" s="292" t="s">
        <v>1490</v>
      </c>
      <c r="N109" s="292"/>
      <c r="O109" s="465"/>
      <c r="P109" s="293">
        <f>OBRA!R107</f>
        <v>144879.81</v>
      </c>
      <c r="Q109" s="293"/>
      <c r="R109" s="293"/>
      <c r="S109" s="294">
        <f>OBRA!S107</f>
        <v>42201</v>
      </c>
      <c r="T109" s="1134" t="str">
        <f>OBRA!V107</f>
        <v>-</v>
      </c>
      <c r="U109" s="295">
        <f>OBRA!T107</f>
        <v>42201</v>
      </c>
      <c r="V109" s="296">
        <f>OBRA!U107</f>
        <v>42216</v>
      </c>
      <c r="W109" s="1153"/>
      <c r="X109" s="795">
        <f>OBRA!AS107+OBRA!AT107</f>
        <v>138640.54</v>
      </c>
      <c r="Y109" s="805"/>
      <c r="Z109" s="301" t="str">
        <f>OBRA!W107</f>
        <v>-</v>
      </c>
      <c r="AA109" s="301"/>
      <c r="AB109" s="302" t="str">
        <f t="shared" si="3"/>
        <v>-</v>
      </c>
      <c r="AC109" s="301" t="s">
        <v>68</v>
      </c>
      <c r="AD109" s="301"/>
      <c r="AE109" s="297" t="str">
        <f>OBRA!X107</f>
        <v>JUAN CARLOS NAVARRO ROSALES</v>
      </c>
      <c r="AF109" s="290">
        <v>179.7</v>
      </c>
      <c r="AG109" s="291" t="s">
        <v>1430</v>
      </c>
      <c r="AH109" s="297">
        <f t="shared" si="2"/>
        <v>771.51107401224272</v>
      </c>
      <c r="AI109" s="291">
        <v>120</v>
      </c>
      <c r="AJ109" s="572" t="s">
        <v>1444</v>
      </c>
      <c r="AK109" s="515"/>
      <c r="AL109" s="515"/>
      <c r="AM109" s="515"/>
      <c r="AN109" s="491"/>
      <c r="AO109" s="291" t="s">
        <v>68</v>
      </c>
      <c r="AP109" s="291" t="s">
        <v>68</v>
      </c>
      <c r="AQ109" s="465" t="s">
        <v>1491</v>
      </c>
      <c r="AR109" s="456"/>
      <c r="AS109" s="798" t="s">
        <v>1492</v>
      </c>
    </row>
    <row r="110" spans="1:45" s="299" customFormat="1" ht="75.75" hidden="1" customHeight="1">
      <c r="A110" s="288">
        <f>OBRA!J108</f>
        <v>2015</v>
      </c>
      <c r="B110" s="782" t="s">
        <v>1427</v>
      </c>
      <c r="C110" s="782"/>
      <c r="D110" s="782"/>
      <c r="E110" s="291" t="str">
        <f>OBRA!M108</f>
        <v>RAMO 33</v>
      </c>
      <c r="F110" s="289" t="s">
        <v>1428</v>
      </c>
      <c r="G110" s="515"/>
      <c r="H110" s="290" t="str">
        <f>OBRA!N108</f>
        <v>DOP/AD/006/2015</v>
      </c>
      <c r="I110" s="291" t="str">
        <f>OBRA!O108</f>
        <v>ADMINISTRACIÓN DIRECTA</v>
      </c>
      <c r="J110" s="292" t="str">
        <f>OBRA!P108</f>
        <v>CONSTRUCCION DE RED DE DRENAJE EN LA PRIVADA VERANO, EN LA CABECERA MUNICIPAL</v>
      </c>
      <c r="K110" s="292" t="s">
        <v>1481</v>
      </c>
      <c r="L110" s="292"/>
      <c r="M110" s="292" t="s">
        <v>1493</v>
      </c>
      <c r="N110" s="292"/>
      <c r="O110" s="465"/>
      <c r="P110" s="293">
        <f>OBRA!R108</f>
        <v>74934.460000000006</v>
      </c>
      <c r="Q110" s="293"/>
      <c r="R110" s="293"/>
      <c r="S110" s="294">
        <f>OBRA!S108</f>
        <v>42201</v>
      </c>
      <c r="T110" s="1134" t="str">
        <f>OBRA!V108</f>
        <v>-</v>
      </c>
      <c r="U110" s="295">
        <f>OBRA!T108</f>
        <v>42201</v>
      </c>
      <c r="V110" s="296">
        <f>OBRA!U108</f>
        <v>42216</v>
      </c>
      <c r="W110" s="1153"/>
      <c r="X110" s="795">
        <f>OBRA!AS108+OBRA!AT108</f>
        <v>69164.95</v>
      </c>
      <c r="Y110" s="805"/>
      <c r="Z110" s="301" t="str">
        <f>OBRA!W108</f>
        <v>-</v>
      </c>
      <c r="AA110" s="301"/>
      <c r="AB110" s="302" t="str">
        <f t="shared" si="3"/>
        <v>-</v>
      </c>
      <c r="AC110" s="301" t="s">
        <v>68</v>
      </c>
      <c r="AD110" s="301"/>
      <c r="AE110" s="297" t="str">
        <f>OBRA!X108</f>
        <v>JUAN CARLOS NAVARRO ROSALES</v>
      </c>
      <c r="AF110" s="290">
        <v>60</v>
      </c>
      <c r="AG110" s="291" t="s">
        <v>1430</v>
      </c>
      <c r="AH110" s="297">
        <f t="shared" si="2"/>
        <v>1152.7491666666667</v>
      </c>
      <c r="AI110" s="291">
        <v>40</v>
      </c>
      <c r="AJ110" s="572" t="s">
        <v>1444</v>
      </c>
      <c r="AK110" s="515"/>
      <c r="AL110" s="515"/>
      <c r="AM110" s="515"/>
      <c r="AN110" s="491"/>
      <c r="AO110" s="291" t="s">
        <v>68</v>
      </c>
      <c r="AP110" s="291" t="s">
        <v>68</v>
      </c>
      <c r="AQ110" s="465" t="s">
        <v>1494</v>
      </c>
      <c r="AR110" s="456"/>
      <c r="AS110" s="798" t="s">
        <v>1495</v>
      </c>
    </row>
    <row r="111" spans="1:45" s="299" customFormat="1" ht="75.75" hidden="1" customHeight="1">
      <c r="A111" s="288">
        <f>OBRA!J109</f>
        <v>2015</v>
      </c>
      <c r="B111" s="782" t="s">
        <v>1427</v>
      </c>
      <c r="C111" s="782"/>
      <c r="D111" s="782"/>
      <c r="E111" s="291" t="str">
        <f>OBRA!M109</f>
        <v>RAMO 33</v>
      </c>
      <c r="F111" s="289" t="s">
        <v>1428</v>
      </c>
      <c r="G111" s="515"/>
      <c r="H111" s="290" t="str">
        <f>OBRA!N109</f>
        <v>DOP/AD/007/2015</v>
      </c>
      <c r="I111" s="291" t="str">
        <f>OBRA!O109</f>
        <v>ADMINISTRACIÓN DIRECTA</v>
      </c>
      <c r="J111" s="292" t="str">
        <f>OBRA!P109</f>
        <v>CONSTRUCCION DE RED DE AGUA POTABL EEN LA CALLE PRIVADA VERANO, EN LA CABECERA MUNICIPAL</v>
      </c>
      <c r="K111" s="292" t="s">
        <v>1496</v>
      </c>
      <c r="L111" s="292"/>
      <c r="M111" s="292" t="s">
        <v>1493</v>
      </c>
      <c r="N111" s="292"/>
      <c r="O111" s="465"/>
      <c r="P111" s="293">
        <f>OBRA!R109</f>
        <v>116511.12</v>
      </c>
      <c r="Q111" s="293"/>
      <c r="R111" s="293"/>
      <c r="S111" s="294">
        <f>OBRA!S109</f>
        <v>42219</v>
      </c>
      <c r="T111" s="1134" t="str">
        <f>OBRA!V109</f>
        <v>-</v>
      </c>
      <c r="U111" s="295">
        <f>OBRA!T109</f>
        <v>42219</v>
      </c>
      <c r="V111" s="296">
        <f>OBRA!U109</f>
        <v>42226</v>
      </c>
      <c r="W111" s="1153"/>
      <c r="X111" s="795">
        <f>OBRA!AS109+OBRA!AT109</f>
        <v>47908.56</v>
      </c>
      <c r="Y111" s="805"/>
      <c r="Z111" s="301" t="str">
        <f>OBRA!W109</f>
        <v>-</v>
      </c>
      <c r="AA111" s="301"/>
      <c r="AB111" s="302" t="str">
        <f t="shared" si="3"/>
        <v>-</v>
      </c>
      <c r="AC111" s="301" t="s">
        <v>68</v>
      </c>
      <c r="AD111" s="301"/>
      <c r="AE111" s="297" t="str">
        <f>OBRA!X109</f>
        <v>JUAN CARLOS NAVARRO ROSALES</v>
      </c>
      <c r="AF111" s="290">
        <v>60</v>
      </c>
      <c r="AG111" s="291" t="s">
        <v>1430</v>
      </c>
      <c r="AH111" s="297">
        <f t="shared" si="2"/>
        <v>798.476</v>
      </c>
      <c r="AI111" s="291">
        <v>40</v>
      </c>
      <c r="AJ111" s="572" t="s">
        <v>1444</v>
      </c>
      <c r="AK111" s="515"/>
      <c r="AL111" s="515"/>
      <c r="AM111" s="515"/>
      <c r="AN111" s="491"/>
      <c r="AO111" s="291" t="s">
        <v>68</v>
      </c>
      <c r="AP111" s="291" t="s">
        <v>68</v>
      </c>
      <c r="AQ111" s="465" t="s">
        <v>1497</v>
      </c>
      <c r="AR111" s="1836"/>
      <c r="AS111" s="455" t="s">
        <v>1498</v>
      </c>
    </row>
    <row r="112" spans="1:45" s="299" customFormat="1" ht="75.75" hidden="1" customHeight="1">
      <c r="A112" s="288">
        <f>OBRA!J110</f>
        <v>2015</v>
      </c>
      <c r="B112" s="782" t="s">
        <v>1427</v>
      </c>
      <c r="C112" s="782"/>
      <c r="D112" s="782"/>
      <c r="E112" s="291" t="str">
        <f>OBRA!M110</f>
        <v>RAMO 33</v>
      </c>
      <c r="F112" s="289" t="s">
        <v>1428</v>
      </c>
      <c r="G112" s="515"/>
      <c r="H112" s="290" t="str">
        <f>OBRA!N110</f>
        <v>DOP/AD/008/2015</v>
      </c>
      <c r="I112" s="291" t="str">
        <f>OBRA!O110</f>
        <v>ADMINISTRACIÓN DIRECTA</v>
      </c>
      <c r="J112" s="292" t="str">
        <f>OBRA!P110</f>
        <v>CONSTRUCCION DE RED DE DRENAJE EN LA C. VERANO DE C. LOPEZ RAYON A NIÑOS HEROES, EN LA CABECERA MUNICIPAL</v>
      </c>
      <c r="K112" s="292" t="s">
        <v>1481</v>
      </c>
      <c r="L112" s="292"/>
      <c r="M112" s="292" t="s">
        <v>1499</v>
      </c>
      <c r="N112" s="292"/>
      <c r="O112" s="465"/>
      <c r="P112" s="293">
        <f>OBRA!R110</f>
        <v>256635.81</v>
      </c>
      <c r="Q112" s="293"/>
      <c r="R112" s="293"/>
      <c r="S112" s="294">
        <f>OBRA!S110</f>
        <v>42201</v>
      </c>
      <c r="T112" s="1134" t="str">
        <f>OBRA!V110</f>
        <v>-</v>
      </c>
      <c r="U112" s="295">
        <f>OBRA!T110</f>
        <v>42201</v>
      </c>
      <c r="V112" s="296">
        <f>OBRA!U110</f>
        <v>42216</v>
      </c>
      <c r="W112" s="1153"/>
      <c r="X112" s="795">
        <f>OBRA!AS110+OBRA!AT110</f>
        <v>259847.94</v>
      </c>
      <c r="Y112" s="805"/>
      <c r="Z112" s="301" t="str">
        <f>OBRA!W110</f>
        <v>-</v>
      </c>
      <c r="AA112" s="301"/>
      <c r="AB112" s="302" t="str">
        <f t="shared" si="3"/>
        <v>-</v>
      </c>
      <c r="AC112" s="301" t="s">
        <v>68</v>
      </c>
      <c r="AD112" s="301"/>
      <c r="AE112" s="297" t="str">
        <f>OBRA!X110</f>
        <v>JUAN CARLOS NAVARRO ROSALES</v>
      </c>
      <c r="AF112" s="290">
        <v>143.30000000000001</v>
      </c>
      <c r="AG112" s="291" t="s">
        <v>1430</v>
      </c>
      <c r="AH112" s="297">
        <f t="shared" si="2"/>
        <v>1813.3143056524773</v>
      </c>
      <c r="AI112" s="291">
        <v>19</v>
      </c>
      <c r="AJ112" s="572" t="s">
        <v>1444</v>
      </c>
      <c r="AK112" s="515"/>
      <c r="AL112" s="515"/>
      <c r="AM112" s="515"/>
      <c r="AN112" s="491"/>
      <c r="AO112" s="291" t="s">
        <v>68</v>
      </c>
      <c r="AP112" s="291" t="s">
        <v>68</v>
      </c>
      <c r="AQ112" s="465" t="s">
        <v>1500</v>
      </c>
      <c r="AR112" s="1836"/>
      <c r="AS112" s="455" t="s">
        <v>1501</v>
      </c>
    </row>
    <row r="113" spans="1:45" s="299" customFormat="1" ht="75.75" hidden="1" customHeight="1">
      <c r="A113" s="288">
        <f>OBRA!J111</f>
        <v>2015</v>
      </c>
      <c r="B113" s="782" t="s">
        <v>1427</v>
      </c>
      <c r="C113" s="782"/>
      <c r="D113" s="782"/>
      <c r="E113" s="291" t="str">
        <f>OBRA!M111</f>
        <v>RAMO 33</v>
      </c>
      <c r="F113" s="289" t="s">
        <v>1428</v>
      </c>
      <c r="G113" s="515"/>
      <c r="H113" s="290" t="str">
        <f>OBRA!N111</f>
        <v>DOP/AD/009/2015</v>
      </c>
      <c r="I113" s="291" t="str">
        <f>OBRA!O111</f>
        <v>ADMINISTRACIÓN DIRECTA</v>
      </c>
      <c r="J113" s="292" t="str">
        <f>OBRA!P111</f>
        <v>CONSTRUCCION DE RED DE AGUA POTABLE EN C. VERANO DE C. LOPEZ RAYON A NIÑOS HEROES</v>
      </c>
      <c r="K113" s="292" t="s">
        <v>1496</v>
      </c>
      <c r="L113" s="292"/>
      <c r="M113" s="292" t="s">
        <v>1499</v>
      </c>
      <c r="N113" s="292"/>
      <c r="O113" s="438"/>
      <c r="P113" s="293">
        <f>OBRA!R111</f>
        <v>186751.07</v>
      </c>
      <c r="Q113" s="293"/>
      <c r="R113" s="293"/>
      <c r="S113" s="294">
        <f>OBRA!S111</f>
        <v>42188</v>
      </c>
      <c r="T113" s="1134" t="str">
        <f>OBRA!V111</f>
        <v>-</v>
      </c>
      <c r="U113" s="295">
        <f>OBRA!T111</f>
        <v>42191</v>
      </c>
      <c r="V113" s="296">
        <f>OBRA!U111</f>
        <v>42210</v>
      </c>
      <c r="W113" s="1153"/>
      <c r="X113" s="795">
        <f>OBRA!AS111+OBRA!AT111</f>
        <v>152162.73000000001</v>
      </c>
      <c r="Y113" s="805"/>
      <c r="Z113" s="301" t="str">
        <f>OBRA!W111</f>
        <v>-</v>
      </c>
      <c r="AA113" s="301"/>
      <c r="AB113" s="302" t="str">
        <f t="shared" si="3"/>
        <v>-</v>
      </c>
      <c r="AC113" s="301" t="s">
        <v>68</v>
      </c>
      <c r="AD113" s="301"/>
      <c r="AE113" s="297" t="str">
        <f>OBRA!X111</f>
        <v>JUAN CARLOS NAVARRO ROSALES</v>
      </c>
      <c r="AF113" s="290">
        <v>143.30000000000001</v>
      </c>
      <c r="AG113" s="291" t="s">
        <v>1430</v>
      </c>
      <c r="AH113" s="297">
        <f t="shared" si="2"/>
        <v>1061.8473831123517</v>
      </c>
      <c r="AI113" s="291">
        <v>19</v>
      </c>
      <c r="AJ113" s="572" t="s">
        <v>1444</v>
      </c>
      <c r="AK113" s="515"/>
      <c r="AL113" s="515"/>
      <c r="AM113" s="515"/>
      <c r="AN113" s="491"/>
      <c r="AO113" s="291" t="s">
        <v>68</v>
      </c>
      <c r="AP113" s="291" t="s">
        <v>68</v>
      </c>
      <c r="AQ113" s="438" t="s">
        <v>1502</v>
      </c>
      <c r="AR113" s="1837"/>
      <c r="AS113" s="799" t="s">
        <v>1503</v>
      </c>
    </row>
    <row r="114" spans="1:45" s="299" customFormat="1" ht="75.75" hidden="1" customHeight="1">
      <c r="A114" s="288">
        <f>OBRA!J112</f>
        <v>2015</v>
      </c>
      <c r="B114" s="782" t="s">
        <v>1427</v>
      </c>
      <c r="C114" s="782"/>
      <c r="D114" s="782"/>
      <c r="E114" s="291" t="str">
        <f>OBRA!M112</f>
        <v>RAMO 33</v>
      </c>
      <c r="F114" s="289" t="s">
        <v>1428</v>
      </c>
      <c r="G114" s="515"/>
      <c r="H114" s="290" t="str">
        <f>OBRA!N112</f>
        <v>DOP/AD/010/2015</v>
      </c>
      <c r="I114" s="291" t="str">
        <f>OBRA!O112</f>
        <v>ADMINISTRACIÓN DIRECTA</v>
      </c>
      <c r="J114" s="292" t="str">
        <f>OBRA!P112</f>
        <v>CONSTRUCCION DE RED DE DRENAJE EN LA C. LOPEZ RAYON ENTRE PRIVADA INDEPENDENCIA A OTOÑO, EN LA CABECERA MUNICIPAL</v>
      </c>
      <c r="K114" s="292" t="s">
        <v>1481</v>
      </c>
      <c r="L114" s="292"/>
      <c r="M114" s="292" t="s">
        <v>1504</v>
      </c>
      <c r="N114" s="292"/>
      <c r="O114" s="438"/>
      <c r="P114" s="293">
        <f>OBRA!R112</f>
        <v>359833.1</v>
      </c>
      <c r="Q114" s="293"/>
      <c r="R114" s="293"/>
      <c r="S114" s="294">
        <f>OBRA!S112</f>
        <v>42210</v>
      </c>
      <c r="T114" s="1134" t="str">
        <f>OBRA!V112</f>
        <v>-</v>
      </c>
      <c r="U114" s="295">
        <f>OBRA!T112</f>
        <v>42210</v>
      </c>
      <c r="V114" s="296">
        <f>OBRA!U112</f>
        <v>42226</v>
      </c>
      <c r="W114" s="1153"/>
      <c r="X114" s="795">
        <f>OBRA!AS112+OBRA!AT112</f>
        <v>351798.17</v>
      </c>
      <c r="Y114" s="805"/>
      <c r="Z114" s="301" t="str">
        <f>OBRA!W112</f>
        <v>-</v>
      </c>
      <c r="AA114" s="301"/>
      <c r="AB114" s="302" t="str">
        <f t="shared" si="3"/>
        <v>-</v>
      </c>
      <c r="AC114" s="301" t="s">
        <v>68</v>
      </c>
      <c r="AD114" s="301"/>
      <c r="AE114" s="297" t="str">
        <f>OBRA!X112</f>
        <v>JUAN CARLOS NAVARRO ROSALES</v>
      </c>
      <c r="AF114" s="290">
        <v>210</v>
      </c>
      <c r="AG114" s="291" t="s">
        <v>1430</v>
      </c>
      <c r="AH114" s="297">
        <f t="shared" si="2"/>
        <v>1675.2293809523808</v>
      </c>
      <c r="AI114" s="291">
        <v>80</v>
      </c>
      <c r="AJ114" s="572" t="s">
        <v>1444</v>
      </c>
      <c r="AK114" s="515"/>
      <c r="AL114" s="515"/>
      <c r="AM114" s="515"/>
      <c r="AN114" s="491"/>
      <c r="AO114" s="291" t="s">
        <v>68</v>
      </c>
      <c r="AP114" s="291" t="s">
        <v>68</v>
      </c>
      <c r="AQ114" s="438" t="s">
        <v>1505</v>
      </c>
      <c r="AR114" s="1837"/>
      <c r="AS114" s="799" t="s">
        <v>1506</v>
      </c>
    </row>
    <row r="115" spans="1:45" s="299" customFormat="1" ht="75.75" hidden="1" customHeight="1">
      <c r="A115" s="288">
        <f>OBRA!J113</f>
        <v>2015</v>
      </c>
      <c r="B115" s="782" t="s">
        <v>1427</v>
      </c>
      <c r="C115" s="782"/>
      <c r="D115" s="782"/>
      <c r="E115" s="291" t="str">
        <f>OBRA!M113</f>
        <v>RAMO 33</v>
      </c>
      <c r="F115" s="289" t="s">
        <v>1428</v>
      </c>
      <c r="G115" s="515"/>
      <c r="H115" s="290" t="str">
        <f>OBRA!N113</f>
        <v>DOP/AD/011/2015</v>
      </c>
      <c r="I115" s="291" t="str">
        <f>OBRA!O113</f>
        <v>ADMINISTRACIÓN DIRECTA</v>
      </c>
      <c r="J115" s="292" t="str">
        <f>OBRA!P113</f>
        <v>CONSTRUCCION DE RED DE AGUA POTABLE EN C. LOPEZ RAYON ENTRE PRIVADA INDEPENDENCIA Y OTOÑO, EN LA CABECERA MUNICIPAL</v>
      </c>
      <c r="K115" s="292" t="s">
        <v>1496</v>
      </c>
      <c r="L115" s="292"/>
      <c r="M115" s="292" t="s">
        <v>1504</v>
      </c>
      <c r="N115" s="292"/>
      <c r="O115" s="438"/>
      <c r="P115" s="293">
        <f>OBRA!R113</f>
        <v>225508.89</v>
      </c>
      <c r="Q115" s="293"/>
      <c r="R115" s="293"/>
      <c r="S115" s="294">
        <f>OBRA!S113</f>
        <v>42226</v>
      </c>
      <c r="T115" s="1134" t="str">
        <f>OBRA!V113</f>
        <v>-</v>
      </c>
      <c r="U115" s="295">
        <f>OBRA!T113</f>
        <v>42226</v>
      </c>
      <c r="V115" s="296">
        <f>OBRA!U113</f>
        <v>42238</v>
      </c>
      <c r="W115" s="1153"/>
      <c r="X115" s="795">
        <f>OBRA!AS113+OBRA!AT113</f>
        <v>232729.26</v>
      </c>
      <c r="Y115" s="805"/>
      <c r="Z115" s="301" t="str">
        <f>OBRA!W113</f>
        <v>-</v>
      </c>
      <c r="AA115" s="301"/>
      <c r="AB115" s="302" t="str">
        <f t="shared" si="3"/>
        <v>-</v>
      </c>
      <c r="AC115" s="301" t="s">
        <v>68</v>
      </c>
      <c r="AD115" s="301"/>
      <c r="AE115" s="297" t="str">
        <f>OBRA!X113</f>
        <v>JUAN CARLOS NAVARRO ROSALES</v>
      </c>
      <c r="AF115" s="290">
        <v>200</v>
      </c>
      <c r="AG115" s="291" t="s">
        <v>1430</v>
      </c>
      <c r="AH115" s="297">
        <f t="shared" si="2"/>
        <v>1163.6463000000001</v>
      </c>
      <c r="AI115" s="291">
        <v>80</v>
      </c>
      <c r="AJ115" s="572" t="s">
        <v>1444</v>
      </c>
      <c r="AK115" s="515"/>
      <c r="AL115" s="515"/>
      <c r="AM115" s="515"/>
      <c r="AN115" s="491"/>
      <c r="AO115" s="291" t="s">
        <v>68</v>
      </c>
      <c r="AP115" s="291" t="s">
        <v>68</v>
      </c>
      <c r="AQ115" s="438" t="s">
        <v>1507</v>
      </c>
      <c r="AR115" s="1837"/>
      <c r="AS115" s="799" t="s">
        <v>1508</v>
      </c>
    </row>
    <row r="116" spans="1:45" s="299" customFormat="1" ht="75.75" hidden="1" customHeight="1">
      <c r="A116" s="288">
        <f>OBRA!J114</f>
        <v>2015</v>
      </c>
      <c r="B116" s="782" t="s">
        <v>1427</v>
      </c>
      <c r="C116" s="782"/>
      <c r="D116" s="782"/>
      <c r="E116" s="291" t="str">
        <f>OBRA!M114</f>
        <v>RAMO 33</v>
      </c>
      <c r="F116" s="289" t="s">
        <v>1428</v>
      </c>
      <c r="G116" s="515"/>
      <c r="H116" s="290" t="str">
        <f>OBRA!N114</f>
        <v>DOP/AD/012/2015</v>
      </c>
      <c r="I116" s="291" t="str">
        <f>OBRA!O114</f>
        <v>ADMINISTRACIÓN DIRECTA</v>
      </c>
      <c r="J116" s="292" t="str">
        <f>OBRA!P114</f>
        <v>CONSTRUCCIÓN DE RED DE AGUA POTABLE EN C. CARDENAL DE CARRETERA CHAPALA-JOCOTEPEC HASTA FINAL, EN LA DELEGACIÓN DE SAN JUAN COSALA</v>
      </c>
      <c r="K116" s="292" t="s">
        <v>1496</v>
      </c>
      <c r="L116" s="292"/>
      <c r="M116" s="292" t="s">
        <v>1509</v>
      </c>
      <c r="N116" s="292"/>
      <c r="O116" s="438"/>
      <c r="P116" s="293">
        <f>OBRA!R114</f>
        <v>373029.23</v>
      </c>
      <c r="Q116" s="293"/>
      <c r="R116" s="293"/>
      <c r="S116" s="294">
        <f>OBRA!S114</f>
        <v>42188</v>
      </c>
      <c r="T116" s="1134" t="str">
        <f>OBRA!V114</f>
        <v>-</v>
      </c>
      <c r="U116" s="295">
        <f>OBRA!T114</f>
        <v>42191</v>
      </c>
      <c r="V116" s="296">
        <f>OBRA!U114</f>
        <v>42210</v>
      </c>
      <c r="W116" s="1153"/>
      <c r="X116" s="795">
        <f>OBRA!AS114+OBRA!AT114</f>
        <v>374361.23</v>
      </c>
      <c r="Y116" s="805"/>
      <c r="Z116" s="301" t="str">
        <f>OBRA!W114</f>
        <v>-</v>
      </c>
      <c r="AA116" s="301"/>
      <c r="AB116" s="302" t="str">
        <f t="shared" si="3"/>
        <v>-</v>
      </c>
      <c r="AC116" s="301" t="s">
        <v>68</v>
      </c>
      <c r="AD116" s="301"/>
      <c r="AE116" s="297" t="str">
        <f>OBRA!X114</f>
        <v>JUAN CARLOS NAVARRO ROSALES</v>
      </c>
      <c r="AF116" s="290">
        <v>367</v>
      </c>
      <c r="AG116" s="291" t="s">
        <v>1430</v>
      </c>
      <c r="AH116" s="297">
        <f t="shared" si="2"/>
        <v>1020.0578474114441</v>
      </c>
      <c r="AI116" s="291">
        <v>150</v>
      </c>
      <c r="AJ116" s="572" t="s">
        <v>1444</v>
      </c>
      <c r="AK116" s="515"/>
      <c r="AL116" s="515"/>
      <c r="AM116" s="515"/>
      <c r="AN116" s="491"/>
      <c r="AO116" s="291" t="s">
        <v>68</v>
      </c>
      <c r="AP116" s="291" t="s">
        <v>68</v>
      </c>
      <c r="AQ116" s="438" t="s">
        <v>1510</v>
      </c>
      <c r="AR116" s="1837"/>
      <c r="AS116" s="799" t="s">
        <v>1511</v>
      </c>
    </row>
    <row r="117" spans="1:45" s="299" customFormat="1" ht="75.75" hidden="1" customHeight="1">
      <c r="A117" s="288">
        <f>OBRA!J115</f>
        <v>2015</v>
      </c>
      <c r="B117" s="782" t="s">
        <v>1427</v>
      </c>
      <c r="C117" s="782"/>
      <c r="D117" s="782"/>
      <c r="E117" s="291" t="str">
        <f>OBRA!M115</f>
        <v>RAMO 33</v>
      </c>
      <c r="F117" s="289" t="s">
        <v>1428</v>
      </c>
      <c r="G117" s="515"/>
      <c r="H117" s="290" t="str">
        <f>OBRA!N115</f>
        <v>DOP/AD/013/2015</v>
      </c>
      <c r="I117" s="291" t="str">
        <f>OBRA!O115</f>
        <v>ADMINISTRACIÓN DIRECTA</v>
      </c>
      <c r="J117" s="292" t="str">
        <f>OBRA!P115</f>
        <v>CONSTRUCCION DE RED DE DRENAJE EN LA C. 20 DE NOVIEMBRE DE ANIMA SOLA A INVIERNO, EN LA CABECERA MUNICIPAL</v>
      </c>
      <c r="K117" s="292" t="s">
        <v>1481</v>
      </c>
      <c r="L117" s="292"/>
      <c r="M117" s="292" t="s">
        <v>1512</v>
      </c>
      <c r="N117" s="292"/>
      <c r="O117" s="438"/>
      <c r="P117" s="293">
        <f>OBRA!R115</f>
        <v>847454.56</v>
      </c>
      <c r="Q117" s="293"/>
      <c r="R117" s="293"/>
      <c r="S117" s="294">
        <f>OBRA!S115</f>
        <v>42219</v>
      </c>
      <c r="T117" s="1134" t="str">
        <f>OBRA!V115</f>
        <v>-</v>
      </c>
      <c r="U117" s="295">
        <f>OBRA!T115</f>
        <v>42219</v>
      </c>
      <c r="V117" s="296">
        <f>OBRA!U115</f>
        <v>42231</v>
      </c>
      <c r="W117" s="1153"/>
      <c r="X117" s="795">
        <f>OBRA!AS115+OBRA!AT115</f>
        <v>733036.8</v>
      </c>
      <c r="Y117" s="805"/>
      <c r="Z117" s="301" t="str">
        <f>OBRA!W115</f>
        <v>-</v>
      </c>
      <c r="AA117" s="301"/>
      <c r="AB117" s="302" t="str">
        <f t="shared" si="3"/>
        <v>-</v>
      </c>
      <c r="AC117" s="301" t="s">
        <v>68</v>
      </c>
      <c r="AD117" s="301"/>
      <c r="AE117" s="297" t="str">
        <f>OBRA!X115</f>
        <v>JUAN CARLOS NAVARRO ROSALES</v>
      </c>
      <c r="AF117" s="290">
        <v>500</v>
      </c>
      <c r="AG117" s="291" t="s">
        <v>1430</v>
      </c>
      <c r="AH117" s="297">
        <f t="shared" si="2"/>
        <v>1466.0736000000002</v>
      </c>
      <c r="AI117" s="291">
        <v>90</v>
      </c>
      <c r="AJ117" s="572" t="s">
        <v>1444</v>
      </c>
      <c r="AK117" s="515"/>
      <c r="AL117" s="515"/>
      <c r="AM117" s="515"/>
      <c r="AN117" s="491"/>
      <c r="AO117" s="291" t="s">
        <v>68</v>
      </c>
      <c r="AP117" s="291" t="s">
        <v>68</v>
      </c>
      <c r="AQ117" s="438" t="s">
        <v>1513</v>
      </c>
      <c r="AR117" s="1837"/>
      <c r="AS117" s="799" t="s">
        <v>1514</v>
      </c>
    </row>
    <row r="118" spans="1:45" s="299" customFormat="1" ht="75.75" hidden="1" customHeight="1">
      <c r="A118" s="288">
        <f>OBRA!J116</f>
        <v>2015</v>
      </c>
      <c r="B118" s="782" t="s">
        <v>1427</v>
      </c>
      <c r="C118" s="782"/>
      <c r="D118" s="782"/>
      <c r="E118" s="291" t="str">
        <f>OBRA!M116</f>
        <v>RAMO 33</v>
      </c>
      <c r="F118" s="289" t="s">
        <v>1428</v>
      </c>
      <c r="G118" s="515"/>
      <c r="H118" s="290" t="str">
        <f>OBRA!N116</f>
        <v>DOP/AD/014/2015</v>
      </c>
      <c r="I118" s="291" t="str">
        <f>OBRA!O116</f>
        <v>ADMINISTRACIÓN DIRECTA</v>
      </c>
      <c r="J118" s="292" t="str">
        <f>OBRA!P116</f>
        <v>CONSTRUCION DE RED DE AGUA POTABLE EN LA C. 20 DE NOVIEMBRE DE ANIMA SOLA A INVIERNO, EN LA CABECERA MUNICIPAL</v>
      </c>
      <c r="K118" s="292" t="s">
        <v>1496</v>
      </c>
      <c r="L118" s="292"/>
      <c r="M118" s="292" t="s">
        <v>1512</v>
      </c>
      <c r="N118" s="292"/>
      <c r="O118" s="864"/>
      <c r="P118" s="293">
        <f>OBRA!R116</f>
        <v>510072.99</v>
      </c>
      <c r="Q118" s="293"/>
      <c r="R118" s="293"/>
      <c r="S118" s="294">
        <f>OBRA!S116</f>
        <v>42186</v>
      </c>
      <c r="T118" s="1134" t="str">
        <f>OBRA!V116</f>
        <v>-</v>
      </c>
      <c r="U118" s="295">
        <f>OBRA!T116</f>
        <v>42233</v>
      </c>
      <c r="V118" s="296">
        <f>OBRA!U116</f>
        <v>42247</v>
      </c>
      <c r="W118" s="1153"/>
      <c r="X118" s="795">
        <f>OBRA!AS116+OBRA!AT116</f>
        <v>508166.97</v>
      </c>
      <c r="Y118" s="805"/>
      <c r="Z118" s="301" t="str">
        <f>OBRA!W116</f>
        <v>-</v>
      </c>
      <c r="AA118" s="301"/>
      <c r="AB118" s="302" t="str">
        <f t="shared" si="3"/>
        <v>-</v>
      </c>
      <c r="AC118" s="301" t="s">
        <v>68</v>
      </c>
      <c r="AD118" s="301"/>
      <c r="AE118" s="297" t="str">
        <f>OBRA!X116</f>
        <v>JUAN CARLOS NAVARRO ROSALES</v>
      </c>
      <c r="AF118" s="290">
        <v>500</v>
      </c>
      <c r="AG118" s="291" t="s">
        <v>1430</v>
      </c>
      <c r="AH118" s="297">
        <f t="shared" si="2"/>
        <v>1016.33394</v>
      </c>
      <c r="AI118" s="291">
        <v>90</v>
      </c>
      <c r="AJ118" s="572" t="s">
        <v>1444</v>
      </c>
      <c r="AK118" s="515"/>
      <c r="AL118" s="515"/>
      <c r="AM118" s="515"/>
      <c r="AN118" s="491"/>
      <c r="AO118" s="291" t="s">
        <v>68</v>
      </c>
      <c r="AP118" s="291" t="s">
        <v>68</v>
      </c>
      <c r="AQ118" s="465" t="s">
        <v>1515</v>
      </c>
      <c r="AR118" s="1836"/>
      <c r="AS118" s="865" t="s">
        <v>68</v>
      </c>
    </row>
    <row r="119" spans="1:45" s="299" customFormat="1" ht="75.75" hidden="1" customHeight="1">
      <c r="A119" s="288">
        <f>OBRA!J117</f>
        <v>2015</v>
      </c>
      <c r="B119" s="782" t="s">
        <v>1427</v>
      </c>
      <c r="C119" s="782"/>
      <c r="D119" s="782"/>
      <c r="E119" s="291" t="str">
        <f>OBRA!M117</f>
        <v>RAMO 33</v>
      </c>
      <c r="F119" s="289" t="s">
        <v>1428</v>
      </c>
      <c r="G119" s="515"/>
      <c r="H119" s="290" t="str">
        <f>OBRA!N117</f>
        <v>DOP/AD/015/2015</v>
      </c>
      <c r="I119" s="291" t="str">
        <f>OBRA!O117</f>
        <v>ADMINISTRACIÓN DIRECTA</v>
      </c>
      <c r="J119" s="292" t="str">
        <f>OBRA!P117</f>
        <v>CONSTRUCCION DE RED DE DRENAJE EN C. JAVIER MINA DE C. 20 DE NOVIEMBRE A VENUSTIANO CARRANZA, EN LA CABECERA MUNICIPAL</v>
      </c>
      <c r="K119" s="292" t="s">
        <v>1446</v>
      </c>
      <c r="L119" s="292"/>
      <c r="M119" s="292" t="s">
        <v>1516</v>
      </c>
      <c r="N119" s="292"/>
      <c r="O119" s="438"/>
      <c r="P119" s="293">
        <f>OBRA!R117</f>
        <v>125552.88</v>
      </c>
      <c r="Q119" s="293"/>
      <c r="R119" s="293"/>
      <c r="S119" s="294">
        <f>OBRA!S117</f>
        <v>42219</v>
      </c>
      <c r="T119" s="1134" t="str">
        <f>OBRA!V117</f>
        <v>-</v>
      </c>
      <c r="U119" s="295">
        <f>OBRA!T117</f>
        <v>42219</v>
      </c>
      <c r="V119" s="296">
        <f>OBRA!U117</f>
        <v>42231</v>
      </c>
      <c r="W119" s="1153"/>
      <c r="X119" s="795">
        <f>OBRA!AS117+OBRA!AT117</f>
        <v>113692.02</v>
      </c>
      <c r="Y119" s="805"/>
      <c r="Z119" s="301" t="str">
        <f>OBRA!W117</f>
        <v>-</v>
      </c>
      <c r="AA119" s="301"/>
      <c r="AB119" s="302" t="str">
        <f t="shared" si="3"/>
        <v>-</v>
      </c>
      <c r="AC119" s="301" t="s">
        <v>68</v>
      </c>
      <c r="AD119" s="301"/>
      <c r="AE119" s="297" t="str">
        <f>OBRA!X117</f>
        <v>JUAN CARLOS NAVARRO ROSALES</v>
      </c>
      <c r="AF119" s="290">
        <v>68</v>
      </c>
      <c r="AG119" s="291" t="s">
        <v>1430</v>
      </c>
      <c r="AH119" s="297">
        <f t="shared" si="2"/>
        <v>1671.9414705882355</v>
      </c>
      <c r="AI119" s="291">
        <v>20</v>
      </c>
      <c r="AJ119" s="572" t="s">
        <v>1444</v>
      </c>
      <c r="AK119" s="515"/>
      <c r="AL119" s="515"/>
      <c r="AM119" s="515"/>
      <c r="AN119" s="491"/>
      <c r="AO119" s="291" t="s">
        <v>68</v>
      </c>
      <c r="AP119" s="291" t="s">
        <v>68</v>
      </c>
      <c r="AQ119" s="438" t="s">
        <v>1517</v>
      </c>
      <c r="AR119" s="1837"/>
      <c r="AS119" s="455" t="s">
        <v>1518</v>
      </c>
    </row>
    <row r="120" spans="1:45" s="299" customFormat="1" ht="75.75" hidden="1" customHeight="1">
      <c r="A120" s="288">
        <f>OBRA!J118</f>
        <v>2015</v>
      </c>
      <c r="B120" s="782" t="s">
        <v>1427</v>
      </c>
      <c r="C120" s="782"/>
      <c r="D120" s="782"/>
      <c r="E120" s="291" t="str">
        <f>OBRA!M118</f>
        <v>RAMO 33</v>
      </c>
      <c r="F120" s="289" t="s">
        <v>1428</v>
      </c>
      <c r="G120" s="515"/>
      <c r="H120" s="290" t="str">
        <f>OBRA!N118</f>
        <v>DOP/AD/016/2015</v>
      </c>
      <c r="I120" s="291" t="str">
        <f>OBRA!O118</f>
        <v>ADMINISTRACIÓN DIRECTA</v>
      </c>
      <c r="J120" s="292" t="str">
        <f>OBRA!P118</f>
        <v>CONSTRUCCION DE RED DE AGUA POTABLE EN LA C. JAVIER MINA DE C. 20 E NOVIEMBRE A FRANCISCO VILLA, EN LA CABECERA MUNICIPAL</v>
      </c>
      <c r="K120" s="292" t="s">
        <v>1496</v>
      </c>
      <c r="L120" s="292"/>
      <c r="M120" s="292" t="s">
        <v>1516</v>
      </c>
      <c r="N120" s="292"/>
      <c r="O120" s="438"/>
      <c r="P120" s="293">
        <f>OBRA!R118</f>
        <v>152209.54999999999</v>
      </c>
      <c r="Q120" s="293"/>
      <c r="R120" s="293"/>
      <c r="S120" s="294">
        <f>OBRA!S118</f>
        <v>42225</v>
      </c>
      <c r="T120" s="1134" t="str">
        <f>OBRA!V118</f>
        <v>-</v>
      </c>
      <c r="U120" s="295">
        <f>OBRA!T118</f>
        <v>42225</v>
      </c>
      <c r="V120" s="296">
        <f>OBRA!U118</f>
        <v>42247</v>
      </c>
      <c r="W120" s="1153"/>
      <c r="X120" s="795">
        <f>OBRA!AS118+OBRA!AT118</f>
        <v>115900.93</v>
      </c>
      <c r="Y120" s="805"/>
      <c r="Z120" s="301" t="str">
        <f>OBRA!W118</f>
        <v>-</v>
      </c>
      <c r="AA120" s="301"/>
      <c r="AB120" s="302" t="str">
        <f t="shared" si="3"/>
        <v>-</v>
      </c>
      <c r="AC120" s="301" t="s">
        <v>68</v>
      </c>
      <c r="AD120" s="301"/>
      <c r="AE120" s="297" t="str">
        <f>OBRA!X118</f>
        <v>JUAN CARLOS NAVARRO ROSALES</v>
      </c>
      <c r="AF120" s="290">
        <v>127</v>
      </c>
      <c r="AG120" s="291" t="s">
        <v>1430</v>
      </c>
      <c r="AH120" s="297">
        <f t="shared" si="2"/>
        <v>912.60574803149598</v>
      </c>
      <c r="AI120" s="291">
        <v>10</v>
      </c>
      <c r="AJ120" s="572" t="s">
        <v>1452</v>
      </c>
      <c r="AK120" s="515"/>
      <c r="AL120" s="515"/>
      <c r="AM120" s="515"/>
      <c r="AN120" s="491"/>
      <c r="AO120" s="291" t="s">
        <v>68</v>
      </c>
      <c r="AP120" s="291" t="s">
        <v>68</v>
      </c>
      <c r="AQ120" s="438" t="s">
        <v>1519</v>
      </c>
      <c r="AR120" s="1837"/>
      <c r="AS120" s="799" t="s">
        <v>1520</v>
      </c>
    </row>
    <row r="121" spans="1:45" s="299" customFormat="1" ht="75.75" hidden="1" customHeight="1">
      <c r="A121" s="288">
        <f>OBRA!J119</f>
        <v>2015</v>
      </c>
      <c r="B121" s="782" t="s">
        <v>1427</v>
      </c>
      <c r="C121" s="782"/>
      <c r="D121" s="782"/>
      <c r="E121" s="291" t="str">
        <f>OBRA!M119</f>
        <v>RAMO 33</v>
      </c>
      <c r="F121" s="289" t="s">
        <v>1428</v>
      </c>
      <c r="G121" s="515"/>
      <c r="H121" s="290" t="str">
        <f>OBRA!N119</f>
        <v>GMJ 007C OP/2015</v>
      </c>
      <c r="I121" s="291" t="str">
        <f>OBRA!O119</f>
        <v>ADJUDICACIÓN DIRECTA</v>
      </c>
      <c r="J121" s="292" t="str">
        <f>OBRA!P119</f>
        <v>PERFORACIÓN DE POZO PROFUNDO EN FRACCIONAMIENTO PASEO EL CARDENAL, EN LA DELEGACION DE SAN JUAN COSALA</v>
      </c>
      <c r="K121" s="292" t="s">
        <v>1521</v>
      </c>
      <c r="L121" s="292"/>
      <c r="M121" s="292" t="s">
        <v>1522</v>
      </c>
      <c r="N121" s="292"/>
      <c r="O121" s="465"/>
      <c r="P121" s="293">
        <f>OBRA!R119</f>
        <v>1093156.1599999999</v>
      </c>
      <c r="Q121" s="293"/>
      <c r="R121" s="293"/>
      <c r="S121" s="294">
        <f>OBRA!S119</f>
        <v>42208</v>
      </c>
      <c r="T121" s="1134">
        <f>OBRA!V119</f>
        <v>42208</v>
      </c>
      <c r="U121" s="295">
        <f>OBRA!T119</f>
        <v>42212</v>
      </c>
      <c r="V121" s="296">
        <f>OBRA!U119</f>
        <v>42263</v>
      </c>
      <c r="W121" s="1153"/>
      <c r="X121" s="795">
        <f>OBRA!AS119+OBRA!AT119</f>
        <v>862676.78</v>
      </c>
      <c r="Y121" s="805"/>
      <c r="Z121" s="301" t="str">
        <f>OBRA!W119</f>
        <v>HIDROLOGIAA PERFORACION Y GESTION DEL AGUA SA DE CV</v>
      </c>
      <c r="AA121" s="301"/>
      <c r="AB121" s="302" t="s">
        <v>1524</v>
      </c>
      <c r="AC121" s="301" t="s">
        <v>1525</v>
      </c>
      <c r="AD121" s="301"/>
      <c r="AE121" s="297" t="str">
        <f>OBRA!X119</f>
        <v>ING. RIGOBERTO OLMEDO RAMOS</v>
      </c>
      <c r="AF121" s="290">
        <v>1</v>
      </c>
      <c r="AG121" s="291" t="s">
        <v>1463</v>
      </c>
      <c r="AH121" s="297">
        <f t="shared" si="2"/>
        <v>862676.78</v>
      </c>
      <c r="AI121" s="291">
        <v>1000</v>
      </c>
      <c r="AJ121" s="572" t="s">
        <v>1452</v>
      </c>
      <c r="AK121" s="515"/>
      <c r="AL121" s="515"/>
      <c r="AM121" s="515"/>
      <c r="AN121" s="491"/>
      <c r="AO121" s="291" t="s">
        <v>68</v>
      </c>
      <c r="AP121" s="291" t="s">
        <v>68</v>
      </c>
      <c r="AQ121" s="452" t="s">
        <v>1526</v>
      </c>
      <c r="AR121" s="491"/>
      <c r="AS121" s="798" t="s">
        <v>1527</v>
      </c>
    </row>
    <row r="122" spans="1:45" s="299" customFormat="1" ht="75.75" hidden="1" customHeight="1">
      <c r="A122" s="288">
        <f>OBRA!J120</f>
        <v>2015</v>
      </c>
      <c r="B122" s="782" t="s">
        <v>1427</v>
      </c>
      <c r="C122" s="782"/>
      <c r="D122" s="782"/>
      <c r="E122" s="291" t="str">
        <f>OBRA!M120</f>
        <v>RAMO 33</v>
      </c>
      <c r="F122" s="289" t="s">
        <v>1428</v>
      </c>
      <c r="G122" s="515"/>
      <c r="H122" s="290" t="str">
        <f>OBRA!N120</f>
        <v>DOP/AD/017/2015</v>
      </c>
      <c r="I122" s="291" t="str">
        <f>OBRA!O120</f>
        <v>ADMINISTRACIÓN DIRECTA</v>
      </c>
      <c r="J122" s="292" t="str">
        <f>OBRA!P120</f>
        <v>CONSTRUCCION DE RED DE AGUA POTABLE EN LA C. CHAPULTEPEC ENTRE C. VICENTE GUERRERO HASTA EL DEPOSITO DE AGUA</v>
      </c>
      <c r="K122" s="292" t="s">
        <v>1496</v>
      </c>
      <c r="L122" s="292"/>
      <c r="M122" s="292" t="s">
        <v>1528</v>
      </c>
      <c r="N122" s="292"/>
      <c r="O122" s="438"/>
      <c r="P122" s="293">
        <f>OBRA!R120</f>
        <v>652283.77</v>
      </c>
      <c r="Q122" s="293"/>
      <c r="R122" s="293"/>
      <c r="S122" s="294">
        <f>OBRA!S120</f>
        <v>42212</v>
      </c>
      <c r="T122" s="1134" t="str">
        <f>OBRA!V120</f>
        <v>-</v>
      </c>
      <c r="U122" s="295">
        <f>OBRA!T120</f>
        <v>42219</v>
      </c>
      <c r="V122" s="296">
        <f>OBRA!U120</f>
        <v>42231</v>
      </c>
      <c r="W122" s="1153"/>
      <c r="X122" s="795">
        <f>OBRA!AS120+OBRA!AT120</f>
        <v>652262.11</v>
      </c>
      <c r="Y122" s="805"/>
      <c r="Z122" s="301" t="str">
        <f>OBRA!W120</f>
        <v>-</v>
      </c>
      <c r="AA122" s="301"/>
      <c r="AB122" s="302" t="str">
        <f t="shared" si="3"/>
        <v>-</v>
      </c>
      <c r="AC122" s="301" t="s">
        <v>68</v>
      </c>
      <c r="AD122" s="301"/>
      <c r="AE122" s="297" t="str">
        <f>OBRA!X120</f>
        <v>JUAN CARLOS NAVARRO ROSALES</v>
      </c>
      <c r="AF122" s="290">
        <v>788</v>
      </c>
      <c r="AG122" s="291" t="s">
        <v>1430</v>
      </c>
      <c r="AH122" s="297">
        <f t="shared" si="2"/>
        <v>827.74379441624365</v>
      </c>
      <c r="AI122" s="291">
        <v>2500</v>
      </c>
      <c r="AJ122" s="572" t="s">
        <v>1452</v>
      </c>
      <c r="AK122" s="515"/>
      <c r="AL122" s="515"/>
      <c r="AM122" s="515"/>
      <c r="AN122" s="491"/>
      <c r="AO122" s="291" t="s">
        <v>68</v>
      </c>
      <c r="AP122" s="291" t="s">
        <v>68</v>
      </c>
      <c r="AQ122" s="438" t="s">
        <v>1529</v>
      </c>
      <c r="AR122" s="1837"/>
      <c r="AS122" s="799" t="s">
        <v>1530</v>
      </c>
    </row>
    <row r="123" spans="1:45" s="299" customFormat="1" ht="75.75" hidden="1" customHeight="1">
      <c r="A123" s="288">
        <f>OBRA!J121</f>
        <v>2015</v>
      </c>
      <c r="B123" s="782" t="s">
        <v>1427</v>
      </c>
      <c r="C123" s="782"/>
      <c r="D123" s="782"/>
      <c r="E123" s="291" t="str">
        <f>OBRA!M121</f>
        <v>RAMO 33</v>
      </c>
      <c r="F123" s="289" t="s">
        <v>1428</v>
      </c>
      <c r="G123" s="515"/>
      <c r="H123" s="290" t="str">
        <f>OBRA!N121</f>
        <v>DOP/AD/018/2015</v>
      </c>
      <c r="I123" s="291" t="str">
        <f>OBRA!O121</f>
        <v>ADMINISTRACIÓN DIRECTA</v>
      </c>
      <c r="J123" s="292" t="str">
        <f>OBRA!P121</f>
        <v>CONSTRUCCION DE RED DE AGUA POTABLE EN C. CUAHAUTEMOC NORTE Y TRE PRIVADAS SIN NOMBRES EN LA DELEGACION DE SAN JUAN COSALA</v>
      </c>
      <c r="K123" s="292" t="s">
        <v>1496</v>
      </c>
      <c r="L123" s="292"/>
      <c r="M123" s="292" t="s">
        <v>1531</v>
      </c>
      <c r="N123" s="292"/>
      <c r="O123" s="438"/>
      <c r="P123" s="293">
        <f>OBRA!R121</f>
        <v>363720.15</v>
      </c>
      <c r="Q123" s="293"/>
      <c r="R123" s="293"/>
      <c r="S123" s="294">
        <f>OBRA!S121</f>
        <v>42186</v>
      </c>
      <c r="T123" s="1134" t="str">
        <f>OBRA!V121</f>
        <v>-</v>
      </c>
      <c r="U123" s="295">
        <f>OBRA!T121</f>
        <v>42186</v>
      </c>
      <c r="V123" s="296">
        <f>OBRA!U121</f>
        <v>42195</v>
      </c>
      <c r="W123" s="1153"/>
      <c r="X123" s="795">
        <f>OBRA!AS121+OBRA!AT121</f>
        <v>362678.32</v>
      </c>
      <c r="Y123" s="805"/>
      <c r="Z123" s="301" t="str">
        <f>OBRA!W121</f>
        <v>-</v>
      </c>
      <c r="AA123" s="301"/>
      <c r="AB123" s="302" t="str">
        <f t="shared" si="3"/>
        <v>-</v>
      </c>
      <c r="AC123" s="301" t="s">
        <v>68</v>
      </c>
      <c r="AD123" s="301"/>
      <c r="AE123" s="297" t="str">
        <f>OBRA!X121</f>
        <v>JUAN CARLOS NAVARRO ROSALES</v>
      </c>
      <c r="AF123" s="290">
        <v>365</v>
      </c>
      <c r="AG123" s="291" t="s">
        <v>1430</v>
      </c>
      <c r="AH123" s="297">
        <f t="shared" si="2"/>
        <v>993.6392328767123</v>
      </c>
      <c r="AI123" s="291">
        <v>120</v>
      </c>
      <c r="AJ123" s="572" t="s">
        <v>1444</v>
      </c>
      <c r="AK123" s="515"/>
      <c r="AL123" s="515"/>
      <c r="AM123" s="515"/>
      <c r="AN123" s="491"/>
      <c r="AO123" s="291" t="s">
        <v>68</v>
      </c>
      <c r="AP123" s="291" t="s">
        <v>68</v>
      </c>
      <c r="AQ123" s="438" t="s">
        <v>1532</v>
      </c>
      <c r="AR123" s="1837"/>
      <c r="AS123" s="799" t="s">
        <v>1533</v>
      </c>
    </row>
    <row r="124" spans="1:45" s="299" customFormat="1" ht="75.75" hidden="1" customHeight="1">
      <c r="A124" s="288">
        <f>OBRA!J122</f>
        <v>2015</v>
      </c>
      <c r="B124" s="782" t="s">
        <v>1427</v>
      </c>
      <c r="C124" s="782"/>
      <c r="D124" s="782"/>
      <c r="E124" s="291" t="str">
        <f>OBRA!M122</f>
        <v>RAMO 33</v>
      </c>
      <c r="F124" s="289" t="s">
        <v>1428</v>
      </c>
      <c r="G124" s="515"/>
      <c r="H124" s="290" t="str">
        <f>OBRA!N122</f>
        <v>DOP/AD/019/2015</v>
      </c>
      <c r="I124" s="291" t="str">
        <f>OBRA!O122</f>
        <v>ADMINISTRACIÓN DIRECTA</v>
      </c>
      <c r="J124" s="292" t="str">
        <f>OBRA!P122</f>
        <v>CONSTRUCCION DE RED DE DRENAJE EN C. CARDENAL DEL PANTEON HASTA EL FINAL, EN LA DELEGCION DE SAN JUAN COSALA</v>
      </c>
      <c r="K124" s="292" t="s">
        <v>1481</v>
      </c>
      <c r="L124" s="292"/>
      <c r="M124" s="292" t="s">
        <v>1509</v>
      </c>
      <c r="N124" s="292"/>
      <c r="O124" s="465"/>
      <c r="P124" s="293">
        <f>OBRA!R122</f>
        <v>410196.06</v>
      </c>
      <c r="Q124" s="293"/>
      <c r="R124" s="293"/>
      <c r="S124" s="294">
        <f>OBRA!S122</f>
        <v>42219</v>
      </c>
      <c r="T124" s="1134" t="str">
        <f>OBRA!V122</f>
        <v>-</v>
      </c>
      <c r="U124" s="295">
        <f>OBRA!T122</f>
        <v>42219</v>
      </c>
      <c r="V124" s="296">
        <f>OBRA!U122</f>
        <v>42231</v>
      </c>
      <c r="W124" s="1153"/>
      <c r="X124" s="795">
        <f>OBRA!AS122+OBRA!AT122</f>
        <v>383228.64</v>
      </c>
      <c r="Y124" s="805"/>
      <c r="Z124" s="301" t="str">
        <f>OBRA!W122</f>
        <v>-</v>
      </c>
      <c r="AA124" s="301"/>
      <c r="AB124" s="302" t="str">
        <f t="shared" si="3"/>
        <v>-</v>
      </c>
      <c r="AC124" s="301" t="s">
        <v>68</v>
      </c>
      <c r="AD124" s="301"/>
      <c r="AE124" s="297" t="str">
        <f>OBRA!X122</f>
        <v>JUAN CARLOS NAVARRO ROSALES</v>
      </c>
      <c r="AF124" s="290">
        <v>367</v>
      </c>
      <c r="AG124" s="291" t="s">
        <v>1430</v>
      </c>
      <c r="AH124" s="297">
        <f t="shared" si="2"/>
        <v>1044.219727520436</v>
      </c>
      <c r="AI124" s="291">
        <v>150</v>
      </c>
      <c r="AJ124" s="572" t="s">
        <v>1444</v>
      </c>
      <c r="AK124" s="515"/>
      <c r="AL124" s="515"/>
      <c r="AM124" s="515"/>
      <c r="AN124" s="491"/>
      <c r="AO124" s="291" t="s">
        <v>68</v>
      </c>
      <c r="AP124" s="291" t="s">
        <v>68</v>
      </c>
      <c r="AQ124" s="465" t="s">
        <v>1534</v>
      </c>
      <c r="AR124" s="1836"/>
      <c r="AS124" s="455" t="s">
        <v>1535</v>
      </c>
    </row>
    <row r="125" spans="1:45" s="299" customFormat="1" ht="75.75" hidden="1" customHeight="1">
      <c r="A125" s="288">
        <f>OBRA!J123</f>
        <v>2015</v>
      </c>
      <c r="B125" s="782" t="s">
        <v>1427</v>
      </c>
      <c r="C125" s="782"/>
      <c r="D125" s="782"/>
      <c r="E125" s="291" t="str">
        <f>OBRA!M123</f>
        <v>RAMO 33</v>
      </c>
      <c r="F125" s="289" t="s">
        <v>1428</v>
      </c>
      <c r="G125" s="515"/>
      <c r="H125" s="290" t="str">
        <f>OBRA!N123</f>
        <v>DOP/AD/020/2015</v>
      </c>
      <c r="I125" s="291" t="str">
        <f>OBRA!O123</f>
        <v>ADMINISTRACIÓN DIRECTA</v>
      </c>
      <c r="J125" s="292" t="str">
        <f>OBRA!P123</f>
        <v>CONSTRUCCION DE LA RED DE DRENAJE EN C. JUAREZ, PRIVADA LA GUASIMA Y NARCISO MENDOZA, EN LA DELEGACION DE SAN JUAN COSALA</v>
      </c>
      <c r="K125" s="292" t="s">
        <v>1481</v>
      </c>
      <c r="L125" s="292"/>
      <c r="M125" s="292" t="s">
        <v>1536</v>
      </c>
      <c r="N125" s="292"/>
      <c r="O125" s="465"/>
      <c r="P125" s="293">
        <f>OBRA!R123</f>
        <v>471720.45</v>
      </c>
      <c r="Q125" s="293"/>
      <c r="R125" s="293"/>
      <c r="S125" s="294">
        <f>OBRA!S123</f>
        <v>42230</v>
      </c>
      <c r="T125" s="1134" t="str">
        <f>OBRA!V123</f>
        <v>-</v>
      </c>
      <c r="U125" s="295">
        <f>OBRA!T123</f>
        <v>42232</v>
      </c>
      <c r="V125" s="296">
        <f>OBRA!U123</f>
        <v>42247</v>
      </c>
      <c r="W125" s="1153"/>
      <c r="X125" s="795">
        <f>OBRA!AS123+OBRA!AT123</f>
        <v>158385.24</v>
      </c>
      <c r="Y125" s="805"/>
      <c r="Z125" s="301" t="str">
        <f>OBRA!W123</f>
        <v>-</v>
      </c>
      <c r="AA125" s="301"/>
      <c r="AB125" s="302" t="str">
        <f t="shared" si="3"/>
        <v>-</v>
      </c>
      <c r="AC125" s="301" t="s">
        <v>68</v>
      </c>
      <c r="AD125" s="301"/>
      <c r="AE125" s="297" t="str">
        <f>OBRA!X123</f>
        <v>JUAN CARLOS NAVARRO ROSALES</v>
      </c>
      <c r="AF125" s="290">
        <v>277.89999999999998</v>
      </c>
      <c r="AG125" s="291" t="s">
        <v>1430</v>
      </c>
      <c r="AH125" s="297">
        <f t="shared" si="2"/>
        <v>569.9360921194675</v>
      </c>
      <c r="AI125" s="291">
        <v>250</v>
      </c>
      <c r="AJ125" s="572" t="s">
        <v>1444</v>
      </c>
      <c r="AK125" s="515"/>
      <c r="AL125" s="515"/>
      <c r="AM125" s="515"/>
      <c r="AN125" s="491"/>
      <c r="AO125" s="291" t="s">
        <v>68</v>
      </c>
      <c r="AP125" s="291" t="s">
        <v>68</v>
      </c>
      <c r="AQ125" s="465" t="s">
        <v>1537</v>
      </c>
      <c r="AR125" s="1836"/>
      <c r="AS125" s="455" t="s">
        <v>1538</v>
      </c>
    </row>
    <row r="126" spans="1:45" s="299" customFormat="1" ht="75.75" hidden="1" customHeight="1">
      <c r="A126" s="288">
        <f>OBRA!J124</f>
        <v>2015</v>
      </c>
      <c r="B126" s="782" t="s">
        <v>1427</v>
      </c>
      <c r="C126" s="782"/>
      <c r="D126" s="782"/>
      <c r="E126" s="291" t="str">
        <f>OBRA!M124</f>
        <v>RAMO 33</v>
      </c>
      <c r="F126" s="289" t="s">
        <v>1428</v>
      </c>
      <c r="G126" s="515"/>
      <c r="H126" s="290" t="str">
        <f>OBRA!N124</f>
        <v>DOP/AD/021/2015</v>
      </c>
      <c r="I126" s="291" t="str">
        <f>OBRA!O124</f>
        <v>ADMINISTRACIÓN DIRECTA</v>
      </c>
      <c r="J126" s="292" t="str">
        <f>OBRA!P124</f>
        <v>CONSTRUCCION DE RED DE AGUA POTABLE EN C. JUAREZ, PRIVADA LA GUASIMA Y NARCISO MENDOZA, EN LA DELEGACION DE SAN JUAN COSALA</v>
      </c>
      <c r="K126" s="292" t="s">
        <v>1496</v>
      </c>
      <c r="L126" s="292"/>
      <c r="M126" s="292" t="s">
        <v>1539</v>
      </c>
      <c r="N126" s="292"/>
      <c r="O126" s="465"/>
      <c r="P126" s="293">
        <f>OBRA!R124</f>
        <v>247047.85</v>
      </c>
      <c r="Q126" s="293"/>
      <c r="R126" s="293"/>
      <c r="S126" s="294">
        <f>OBRA!S124</f>
        <v>42230</v>
      </c>
      <c r="T126" s="1134" t="str">
        <f>OBRA!V124</f>
        <v>-</v>
      </c>
      <c r="U126" s="295">
        <f>OBRA!T124</f>
        <v>42233</v>
      </c>
      <c r="V126" s="296">
        <f>OBRA!U124</f>
        <v>42245</v>
      </c>
      <c r="W126" s="1153"/>
      <c r="X126" s="795">
        <f>OBRA!AS124+OBRA!AT124</f>
        <v>256750.89</v>
      </c>
      <c r="Y126" s="805"/>
      <c r="Z126" s="301" t="str">
        <f>OBRA!W124</f>
        <v>-</v>
      </c>
      <c r="AA126" s="301"/>
      <c r="AB126" s="302" t="str">
        <f t="shared" si="3"/>
        <v>-</v>
      </c>
      <c r="AC126" s="301" t="s">
        <v>68</v>
      </c>
      <c r="AD126" s="301"/>
      <c r="AE126" s="297" t="str">
        <f>OBRA!X124</f>
        <v>JUAN CARLOS NAVARRO ROSALES</v>
      </c>
      <c r="AF126" s="290">
        <v>277.89999999999998</v>
      </c>
      <c r="AG126" s="291" t="s">
        <v>1430</v>
      </c>
      <c r="AH126" s="297">
        <f t="shared" si="2"/>
        <v>923.89668945663925</v>
      </c>
      <c r="AI126" s="291">
        <v>250</v>
      </c>
      <c r="AJ126" s="572" t="s">
        <v>1444</v>
      </c>
      <c r="AK126" s="515"/>
      <c r="AL126" s="515"/>
      <c r="AM126" s="515"/>
      <c r="AN126" s="491"/>
      <c r="AO126" s="291" t="s">
        <v>68</v>
      </c>
      <c r="AP126" s="291" t="s">
        <v>68</v>
      </c>
      <c r="AQ126" s="465" t="s">
        <v>1540</v>
      </c>
      <c r="AR126" s="1836"/>
      <c r="AS126" s="455" t="s">
        <v>1541</v>
      </c>
    </row>
    <row r="127" spans="1:45" s="299" customFormat="1" ht="75.75" hidden="1" customHeight="1">
      <c r="A127" s="288">
        <f>OBRA!J125</f>
        <v>2015</v>
      </c>
      <c r="B127" s="782" t="s">
        <v>1427</v>
      </c>
      <c r="C127" s="782"/>
      <c r="D127" s="782"/>
      <c r="E127" s="291" t="str">
        <f>OBRA!M125</f>
        <v>RAMO 33</v>
      </c>
      <c r="F127" s="289" t="s">
        <v>1428</v>
      </c>
      <c r="G127" s="515"/>
      <c r="H127" s="290" t="str">
        <f>OBRA!N125</f>
        <v>DOP/AD/022/2015</v>
      </c>
      <c r="I127" s="291" t="str">
        <f>OBRA!O125</f>
        <v>ADMINISTRACIÓN DIRECTA</v>
      </c>
      <c r="J127" s="292" t="str">
        <f>OBRA!P125</f>
        <v>CONSTRUCCION DE RED DE AGUA POTABLE EN LA RANCHERIA DE EL SALITRE, DEL MUNICIPIO E JOCOTEPEC</v>
      </c>
      <c r="K127" s="292" t="s">
        <v>1496</v>
      </c>
      <c r="L127" s="292"/>
      <c r="M127" s="292" t="s">
        <v>1542</v>
      </c>
      <c r="N127" s="292"/>
      <c r="O127" s="438"/>
      <c r="P127" s="293">
        <f>OBRA!R125</f>
        <v>650294</v>
      </c>
      <c r="Q127" s="293"/>
      <c r="R127" s="293"/>
      <c r="S127" s="294">
        <f>OBRA!S125</f>
        <v>42228</v>
      </c>
      <c r="T127" s="1134" t="str">
        <f>OBRA!V125</f>
        <v>-</v>
      </c>
      <c r="U127" s="295">
        <f>OBRA!T125</f>
        <v>42231</v>
      </c>
      <c r="V127" s="296">
        <f>OBRA!U125</f>
        <v>42247</v>
      </c>
      <c r="W127" s="1153"/>
      <c r="X127" s="795">
        <f>OBRA!AS125+OBRA!AT125</f>
        <v>362580.86</v>
      </c>
      <c r="Y127" s="805"/>
      <c r="Z127" s="301" t="str">
        <f>OBRA!W125</f>
        <v>-</v>
      </c>
      <c r="AA127" s="301"/>
      <c r="AB127" s="302" t="str">
        <f t="shared" si="3"/>
        <v>-</v>
      </c>
      <c r="AC127" s="301" t="s">
        <v>68</v>
      </c>
      <c r="AD127" s="301"/>
      <c r="AE127" s="297" t="str">
        <f>OBRA!X125</f>
        <v>JUAN CARLOS NAVARRO ROSALES</v>
      </c>
      <c r="AF127" s="290">
        <v>1346</v>
      </c>
      <c r="AG127" s="291" t="s">
        <v>1430</v>
      </c>
      <c r="AH127" s="297">
        <f t="shared" si="2"/>
        <v>269.3765676077266</v>
      </c>
      <c r="AI127" s="291">
        <v>15</v>
      </c>
      <c r="AJ127" s="572" t="s">
        <v>1444</v>
      </c>
      <c r="AK127" s="515"/>
      <c r="AL127" s="515"/>
      <c r="AM127" s="515"/>
      <c r="AN127" s="491"/>
      <c r="AO127" s="291" t="s">
        <v>68</v>
      </c>
      <c r="AP127" s="291" t="s">
        <v>68</v>
      </c>
      <c r="AQ127" s="438" t="s">
        <v>1543</v>
      </c>
      <c r="AR127" s="1837"/>
      <c r="AS127" s="799" t="s">
        <v>1544</v>
      </c>
    </row>
    <row r="128" spans="1:45" s="299" customFormat="1" ht="75.75" hidden="1" customHeight="1">
      <c r="A128" s="288">
        <f>OBRA!J126</f>
        <v>2015</v>
      </c>
      <c r="B128" s="782" t="s">
        <v>1427</v>
      </c>
      <c r="C128" s="782"/>
      <c r="D128" s="782"/>
      <c r="E128" s="291" t="str">
        <f>OBRA!M126</f>
        <v>CUENTA CORRIENTE</v>
      </c>
      <c r="F128" s="289" t="s">
        <v>1428</v>
      </c>
      <c r="G128" s="515"/>
      <c r="H128" s="290" t="str">
        <f>OBRA!N126</f>
        <v>DOP/AD/023/2015</v>
      </c>
      <c r="I128" s="291" t="s">
        <v>87</v>
      </c>
      <c r="J128" s="292" t="str">
        <f>OBRA!P126</f>
        <v>REMODELACIÓN DE BANQUETAS EN CALLE MORELOS ENTRE CALLES HIDALGO Y JOSEFA ORTIZ DE DOMINGUEZ (LADO NORTE), EN LA CABECERA MUNICIPAL DE JOCOTEPEC, JALISCO</v>
      </c>
      <c r="K128" s="292" t="s">
        <v>1545</v>
      </c>
      <c r="L128" s="292"/>
      <c r="M128" s="292" t="s">
        <v>1546</v>
      </c>
      <c r="N128" s="292"/>
      <c r="O128" s="438"/>
      <c r="P128" s="293">
        <f>OBRA!R126</f>
        <v>425150</v>
      </c>
      <c r="Q128" s="293"/>
      <c r="R128" s="293"/>
      <c r="S128" s="294" t="s">
        <v>68</v>
      </c>
      <c r="T128" s="1134" t="str">
        <f>OBRA!V126</f>
        <v>-</v>
      </c>
      <c r="U128" s="295" t="s">
        <v>68</v>
      </c>
      <c r="V128" s="296" t="s">
        <v>68</v>
      </c>
      <c r="W128" s="1153"/>
      <c r="X128" s="795">
        <f>OBRA!AS126+OBRA!AT126</f>
        <v>56113.77</v>
      </c>
      <c r="Y128" s="805"/>
      <c r="Z128" s="301" t="str">
        <f>OBRA!W126</f>
        <v>-</v>
      </c>
      <c r="AA128" s="301"/>
      <c r="AB128" s="302" t="str">
        <f t="shared" si="3"/>
        <v>-</v>
      </c>
      <c r="AC128" s="301" t="s">
        <v>68</v>
      </c>
      <c r="AD128" s="301"/>
      <c r="AE128" s="297" t="str">
        <f>OBRA!X126</f>
        <v>ING. RIGOBERTO OLMEDO RAMOS</v>
      </c>
      <c r="AF128" s="290">
        <v>375</v>
      </c>
      <c r="AG128" s="291" t="s">
        <v>1548</v>
      </c>
      <c r="AH128" s="297">
        <f t="shared" si="2"/>
        <v>149.63672</v>
      </c>
      <c r="AI128" s="291">
        <v>10000</v>
      </c>
      <c r="AJ128" s="572" t="s">
        <v>1452</v>
      </c>
      <c r="AK128" s="515"/>
      <c r="AL128" s="515"/>
      <c r="AM128" s="515"/>
      <c r="AN128" s="491"/>
      <c r="AO128" s="291" t="s">
        <v>68</v>
      </c>
      <c r="AP128" s="291" t="s">
        <v>68</v>
      </c>
      <c r="AQ128" s="438" t="s">
        <v>1547</v>
      </c>
      <c r="AR128" s="1837"/>
      <c r="AS128" s="799" t="s">
        <v>1549</v>
      </c>
    </row>
    <row r="129" spans="1:45" s="299" customFormat="1" ht="75.75" hidden="1" customHeight="1">
      <c r="A129" s="288">
        <f>OBRA!J127</f>
        <v>2015</v>
      </c>
      <c r="B129" s="782" t="s">
        <v>1427</v>
      </c>
      <c r="C129" s="782"/>
      <c r="D129" s="782"/>
      <c r="E129" s="291" t="str">
        <f>OBRA!M127</f>
        <v>RAMO 33</v>
      </c>
      <c r="F129" s="289" t="s">
        <v>1428</v>
      </c>
      <c r="G129" s="515"/>
      <c r="H129" s="290" t="str">
        <f>OBRA!N127</f>
        <v>DOP/AD/024/2015</v>
      </c>
      <c r="I129" s="291" t="str">
        <f>OBRA!O127</f>
        <v>ADMINISTRACIÓN DIRECTA</v>
      </c>
      <c r="J129" s="292" t="str">
        <f>OBRA!P127</f>
        <v>EMPEDRADO NORMAL EN CALLE JUAREZ Y CALLEJON LA GUASIMA, EN LA DELEGCION DE SAN JUAN COSALA</v>
      </c>
      <c r="K129" s="292" t="s">
        <v>1550</v>
      </c>
      <c r="L129" s="292"/>
      <c r="M129" s="292" t="s">
        <v>1551</v>
      </c>
      <c r="N129" s="292"/>
      <c r="O129" s="438"/>
      <c r="P129" s="293">
        <f>OBRA!R127</f>
        <v>365900.18</v>
      </c>
      <c r="Q129" s="293"/>
      <c r="R129" s="293"/>
      <c r="S129" s="294">
        <f>OBRA!S127</f>
        <v>42254</v>
      </c>
      <c r="T129" s="1134" t="str">
        <f>OBRA!V127</f>
        <v>-</v>
      </c>
      <c r="U129" s="295">
        <f>OBRA!T127</f>
        <v>42254</v>
      </c>
      <c r="V129" s="296">
        <f>OBRA!U127</f>
        <v>42210</v>
      </c>
      <c r="W129" s="1153"/>
      <c r="X129" s="795">
        <f>OBRA!AS127+OBRA!AT127</f>
        <v>121302.28</v>
      </c>
      <c r="Y129" s="805"/>
      <c r="Z129" s="301" t="str">
        <f>OBRA!W127</f>
        <v>-</v>
      </c>
      <c r="AA129" s="301"/>
      <c r="AB129" s="302" t="str">
        <f t="shared" si="3"/>
        <v>-</v>
      </c>
      <c r="AC129" s="301" t="s">
        <v>68</v>
      </c>
      <c r="AD129" s="301"/>
      <c r="AE129" s="297" t="str">
        <f>OBRA!X127</f>
        <v>ING. RIGOBERTO OLMEDO RAMOS</v>
      </c>
      <c r="AF129" s="290">
        <v>1978.84</v>
      </c>
      <c r="AG129" s="291" t="s">
        <v>1429</v>
      </c>
      <c r="AH129" s="297">
        <f t="shared" si="2"/>
        <v>61.299690727901194</v>
      </c>
      <c r="AI129" s="291">
        <v>250</v>
      </c>
      <c r="AJ129" s="572" t="s">
        <v>1444</v>
      </c>
      <c r="AK129" s="515"/>
      <c r="AL129" s="515"/>
      <c r="AM129" s="515"/>
      <c r="AN129" s="491"/>
      <c r="AO129" s="291" t="s">
        <v>68</v>
      </c>
      <c r="AP129" s="291" t="s">
        <v>68</v>
      </c>
      <c r="AQ129" s="438" t="s">
        <v>1552</v>
      </c>
      <c r="AR129" s="1837"/>
      <c r="AS129" s="799" t="s">
        <v>1553</v>
      </c>
    </row>
    <row r="130" spans="1:45" s="299" customFormat="1" ht="75.75" hidden="1" customHeight="1">
      <c r="A130" s="288">
        <f>OBRA!J128</f>
        <v>2015</v>
      </c>
      <c r="B130" s="782" t="s">
        <v>1427</v>
      </c>
      <c r="C130" s="782"/>
      <c r="D130" s="782"/>
      <c r="E130" s="291" t="str">
        <f>OBRA!M128</f>
        <v>RAMO 33</v>
      </c>
      <c r="F130" s="289" t="s">
        <v>1428</v>
      </c>
      <c r="G130" s="515"/>
      <c r="H130" s="290" t="str">
        <f>OBRA!N128</f>
        <v>DOP/AD/025/2015</v>
      </c>
      <c r="I130" s="291" t="str">
        <f>OBRA!O128</f>
        <v>ADMINISTRACIÓN DIRECTA</v>
      </c>
      <c r="J130" s="292" t="str">
        <f>OBRA!P128</f>
        <v xml:space="preserve">CONSTRUCCION DE RED DE DRENAJE EN C. FILOSOFOS ENTRE INDEPENDENCIA Y ALLENDE, EN CABECERA MUNICIPAL </v>
      </c>
      <c r="K130" s="292" t="s">
        <v>1481</v>
      </c>
      <c r="L130" s="292"/>
      <c r="M130" s="292" t="s">
        <v>1554</v>
      </c>
      <c r="N130" s="292"/>
      <c r="O130" s="438"/>
      <c r="P130" s="293">
        <f>OBRA!R128</f>
        <v>289480.24</v>
      </c>
      <c r="Q130" s="293"/>
      <c r="R130" s="293"/>
      <c r="S130" s="294">
        <f>OBRA!S128</f>
        <v>42258</v>
      </c>
      <c r="T130" s="1134" t="str">
        <f>OBRA!V128</f>
        <v>-</v>
      </c>
      <c r="U130" s="295">
        <f>OBRA!T128</f>
        <v>42258</v>
      </c>
      <c r="V130" s="296">
        <f>OBRA!U128</f>
        <v>42272</v>
      </c>
      <c r="W130" s="1153"/>
      <c r="X130" s="795">
        <f>OBRA!AS128+OBRA!AT128</f>
        <v>289195.57</v>
      </c>
      <c r="Y130" s="805"/>
      <c r="Z130" s="301" t="str">
        <f>OBRA!W128</f>
        <v>-</v>
      </c>
      <c r="AA130" s="301"/>
      <c r="AB130" s="302" t="str">
        <f t="shared" si="3"/>
        <v>-</v>
      </c>
      <c r="AC130" s="301" t="s">
        <v>68</v>
      </c>
      <c r="AD130" s="301"/>
      <c r="AE130" s="297" t="str">
        <f>OBRA!X128</f>
        <v>JUAN CARLOS NAVARRO ROSALES</v>
      </c>
      <c r="AF130" s="290">
        <v>344.28</v>
      </c>
      <c r="AG130" s="291" t="s">
        <v>1429</v>
      </c>
      <c r="AH130" s="297">
        <f t="shared" si="2"/>
        <v>840.0010747066342</v>
      </c>
      <c r="AI130" s="291">
        <v>100</v>
      </c>
      <c r="AJ130" s="572" t="s">
        <v>1444</v>
      </c>
      <c r="AK130" s="515"/>
      <c r="AL130" s="515"/>
      <c r="AM130" s="515"/>
      <c r="AN130" s="491"/>
      <c r="AO130" s="291" t="s">
        <v>68</v>
      </c>
      <c r="AP130" s="291" t="s">
        <v>68</v>
      </c>
      <c r="AQ130" s="438" t="s">
        <v>1555</v>
      </c>
      <c r="AR130" s="1837"/>
      <c r="AS130" s="799" t="s">
        <v>1556</v>
      </c>
    </row>
    <row r="131" spans="1:45" s="299" customFormat="1" ht="141" hidden="1" customHeight="1">
      <c r="A131" s="288">
        <f>OBRA!J129</f>
        <v>2015</v>
      </c>
      <c r="B131" s="782" t="s">
        <v>1427</v>
      </c>
      <c r="C131" s="782"/>
      <c r="D131" s="782"/>
      <c r="E131" s="291" t="str">
        <f>OBRA!M129</f>
        <v>RAMO 33</v>
      </c>
      <c r="F131" s="289" t="s">
        <v>1428</v>
      </c>
      <c r="G131" s="515"/>
      <c r="H131" s="290" t="str">
        <f>OBRA!N129</f>
        <v>DOP/AD/012/2015</v>
      </c>
      <c r="I131" s="291" t="str">
        <f>OBRA!O129</f>
        <v>ADMINISTRACIÓN DIRECTA</v>
      </c>
      <c r="J131" s="292" t="str">
        <f>OBRA!P129</f>
        <v>COLOCACIÓN DE ADOQUÍN Y REHABILITACIÓN DE REDES DE AGUA POTABLE Y DRENAJE CALLE PORFIRIO DÍAZ, 2DA ETAPA EN LA DELEGACIÓN DE SAN JUAN COSALA, MUNICIPIO DE JOCOTEPEC, JALISCO</v>
      </c>
      <c r="K131" s="292" t="s">
        <v>1557</v>
      </c>
      <c r="L131" s="292"/>
      <c r="M131" s="292" t="s">
        <v>1558</v>
      </c>
      <c r="N131" s="292"/>
      <c r="O131" s="866"/>
      <c r="P131" s="293">
        <f>OBRA!R129</f>
        <v>1538461.54</v>
      </c>
      <c r="Q131" s="293"/>
      <c r="R131" s="293"/>
      <c r="S131" s="294">
        <f>OBRA!S129</f>
        <v>42320</v>
      </c>
      <c r="T131" s="1134" t="str">
        <f>OBRA!V129</f>
        <v>-</v>
      </c>
      <c r="U131" s="295">
        <f>OBRA!T129</f>
        <v>42321</v>
      </c>
      <c r="V131" s="296">
        <f>OBRA!U129</f>
        <v>42369</v>
      </c>
      <c r="W131" s="1153"/>
      <c r="X131" s="795">
        <f>OBRA!AS129+OBRA!AT129</f>
        <v>2564102.5699999998</v>
      </c>
      <c r="Y131" s="805"/>
      <c r="Z131" s="301" t="str">
        <f>OBRA!W129</f>
        <v>-</v>
      </c>
      <c r="AA131" s="301"/>
      <c r="AB131" s="302" t="str">
        <f t="shared" si="3"/>
        <v>-</v>
      </c>
      <c r="AC131" s="301" t="s">
        <v>68</v>
      </c>
      <c r="AD131" s="301"/>
      <c r="AE131" s="297" t="str">
        <f>OBRA!X129</f>
        <v>ING. J. GUADALUPE IBARRA RAMIREZ</v>
      </c>
      <c r="AF131" s="290">
        <v>200</v>
      </c>
      <c r="AG131" s="291" t="s">
        <v>1451</v>
      </c>
      <c r="AH131" s="800">
        <f t="shared" si="2"/>
        <v>12820.512849999999</v>
      </c>
      <c r="AI131" s="291">
        <v>7800</v>
      </c>
      <c r="AJ131" s="572" t="s">
        <v>1452</v>
      </c>
      <c r="AK131" s="515"/>
      <c r="AL131" s="515"/>
      <c r="AM131" s="515"/>
      <c r="AN131" s="491"/>
      <c r="AO131" s="291" t="s">
        <v>68</v>
      </c>
      <c r="AP131" s="291" t="s">
        <v>68</v>
      </c>
      <c r="AQ131" s="465" t="s">
        <v>1559</v>
      </c>
      <c r="AR131" s="1836"/>
      <c r="AS131" s="455" t="s">
        <v>1560</v>
      </c>
    </row>
    <row r="132" spans="1:45" s="299" customFormat="1" ht="111.75" hidden="1" customHeight="1">
      <c r="A132" s="288">
        <v>2015</v>
      </c>
      <c r="B132" s="782" t="s">
        <v>1427</v>
      </c>
      <c r="C132" s="782"/>
      <c r="D132" s="782"/>
      <c r="E132" s="291" t="str">
        <f>OBRA!M130</f>
        <v>CUENTA CORRIENTE</v>
      </c>
      <c r="F132" s="289" t="s">
        <v>1428</v>
      </c>
      <c r="G132" s="515"/>
      <c r="H132" s="290" t="str">
        <f>OBRA!N130</f>
        <v>DOP/AD/026/2015</v>
      </c>
      <c r="I132" s="291" t="str">
        <f>OBRA!O130</f>
        <v>ADMINISTRACIÓN DIRECTA</v>
      </c>
      <c r="J132" s="292" t="str">
        <f>OBRA!P130</f>
        <v xml:space="preserve">BACHEO CON MEZCLA PREMIUM Y BACHEO CON MEZCLA ASFALTICA CALIENTE EN DIVERSAS CALLES, DE LA CABECERA MUNICIPAL, SUS DELEGACIONES Y AGENCIAS MUNICIPALES </v>
      </c>
      <c r="K132" s="292" t="s">
        <v>1479</v>
      </c>
      <c r="L132" s="292"/>
      <c r="M132" s="292" t="s">
        <v>1561</v>
      </c>
      <c r="N132" s="292"/>
      <c r="O132" s="438"/>
      <c r="P132" s="293">
        <f>OBRA!R130</f>
        <v>162687</v>
      </c>
      <c r="Q132" s="293"/>
      <c r="R132" s="293"/>
      <c r="S132" s="294">
        <f>OBRA!S130</f>
        <v>42278</v>
      </c>
      <c r="T132" s="1134" t="str">
        <f>OBRA!V130</f>
        <v>-</v>
      </c>
      <c r="U132" s="295">
        <f>OBRA!T130</f>
        <v>42278</v>
      </c>
      <c r="V132" s="296">
        <f>OBRA!U130</f>
        <v>42338</v>
      </c>
      <c r="W132" s="1153"/>
      <c r="X132" s="795">
        <f>OBRA!AS130+OBRA!AT130</f>
        <v>264410.83</v>
      </c>
      <c r="Y132" s="805"/>
      <c r="Z132" s="301" t="str">
        <f>OBRA!W130</f>
        <v>-</v>
      </c>
      <c r="AA132" s="301"/>
      <c r="AB132" s="302" t="str">
        <f>Z132</f>
        <v>-</v>
      </c>
      <c r="AC132" s="301" t="s">
        <v>68</v>
      </c>
      <c r="AD132" s="301"/>
      <c r="AE132" s="297" t="str">
        <f>OBRA!X130</f>
        <v>ING. J. GUADALUPE IBARRA RAMIREZ</v>
      </c>
      <c r="AF132" s="290">
        <v>40</v>
      </c>
      <c r="AG132" s="291" t="s">
        <v>1562</v>
      </c>
      <c r="AH132" s="297">
        <f t="shared" si="2"/>
        <v>6610.2707500000006</v>
      </c>
      <c r="AI132" s="291">
        <v>22000</v>
      </c>
      <c r="AJ132" s="572" t="s">
        <v>1452</v>
      </c>
      <c r="AK132" s="515"/>
      <c r="AL132" s="515"/>
      <c r="AM132" s="515"/>
      <c r="AN132" s="491"/>
      <c r="AO132" s="291" t="s">
        <v>68</v>
      </c>
      <c r="AP132" s="291" t="s">
        <v>68</v>
      </c>
      <c r="AQ132" s="801" t="s">
        <v>68</v>
      </c>
      <c r="AR132" s="1838"/>
      <c r="AS132" s="802" t="s">
        <v>68</v>
      </c>
    </row>
    <row r="133" spans="1:45" ht="122.25" hidden="1" customHeight="1">
      <c r="A133" s="16">
        <f>OBRA!J131</f>
        <v>2015</v>
      </c>
      <c r="B133" s="783" t="s">
        <v>1563</v>
      </c>
      <c r="C133" s="783"/>
      <c r="D133" s="783"/>
      <c r="E133" s="2" t="str">
        <f>OBRA!M131</f>
        <v>R33 - FONDEREG</v>
      </c>
      <c r="F133" s="416" t="s">
        <v>1564</v>
      </c>
      <c r="G133" s="520"/>
      <c r="H133" s="33" t="str">
        <f>OBRA!N131</f>
        <v xml:space="preserve">DOP/AD/027/2015 </v>
      </c>
      <c r="I133" s="2" t="str">
        <f>OBRA!O131</f>
        <v>ADMINISTRACIÓN DIRECTA</v>
      </c>
      <c r="J133" s="3" t="str">
        <f>OBRA!P131</f>
        <v>COLOCACIÓN DE ADOQUÍN Y REHABILITACIÓN DE REDES DE AGUA POTABLE Y DRENAJE CALLE PORFIRIO DÍAZ, 2DA ETAPA EN LA DELEGACIÓN DE SAN JUAN COSALA, MUNICIPIO DE JOCOTEPEC, JALISCO</v>
      </c>
      <c r="K133" s="3" t="s">
        <v>1557</v>
      </c>
      <c r="L133" s="3"/>
      <c r="M133" s="3" t="s">
        <v>1558</v>
      </c>
      <c r="N133" s="3"/>
      <c r="O133" s="466"/>
      <c r="P133" s="79">
        <f>OBRA!R131</f>
        <v>1538461.54</v>
      </c>
      <c r="Q133" s="79"/>
      <c r="R133" s="79"/>
      <c r="S133" s="67">
        <f>OBRA!S131</f>
        <v>42320</v>
      </c>
      <c r="T133" s="1134" t="str">
        <f>OBRA!V131</f>
        <v>-</v>
      </c>
      <c r="U133" s="5">
        <f>OBRA!T131</f>
        <v>42321</v>
      </c>
      <c r="V133" s="11">
        <f>OBRA!U131</f>
        <v>42369</v>
      </c>
      <c r="W133" s="223"/>
      <c r="X133" s="663">
        <f>OBRA!AS131+OBRA!AT131</f>
        <v>1950134.25</v>
      </c>
      <c r="Y133" s="1014"/>
      <c r="Z133" s="146" t="str">
        <f>OBRA!W131</f>
        <v>-</v>
      </c>
      <c r="AA133" s="146"/>
      <c r="AB133" s="148" t="str">
        <f t="shared" si="3"/>
        <v>-</v>
      </c>
      <c r="AC133" s="146" t="s">
        <v>68</v>
      </c>
      <c r="AD133" s="146"/>
      <c r="AE133" s="183" t="str">
        <f>OBRA!X131</f>
        <v>ING. J. GUADALUPE IBARRA RAMIREZ</v>
      </c>
      <c r="AF133" s="19">
        <v>393.17</v>
      </c>
      <c r="AG133" s="2" t="s">
        <v>1451</v>
      </c>
      <c r="AH133" s="664">
        <f t="shared" si="2"/>
        <v>4960.0281048910138</v>
      </c>
      <c r="AI133" s="2">
        <v>7800</v>
      </c>
      <c r="AJ133" s="156" t="s">
        <v>1452</v>
      </c>
      <c r="AK133" s="513"/>
      <c r="AL133" s="513"/>
      <c r="AM133" s="513"/>
      <c r="AN133" s="493"/>
      <c r="AO133" s="2" t="s">
        <v>68</v>
      </c>
      <c r="AP133" s="2" t="s">
        <v>68</v>
      </c>
      <c r="AQ133" s="466" t="s">
        <v>1559</v>
      </c>
      <c r="AR133" s="1295"/>
      <c r="AS133" s="701" t="s">
        <v>1560</v>
      </c>
    </row>
    <row r="134" spans="1:45" ht="118.5" hidden="1" customHeight="1">
      <c r="A134" s="16">
        <f>OBRA!J132</f>
        <v>2015</v>
      </c>
      <c r="B134" s="783" t="s">
        <v>1563</v>
      </c>
      <c r="C134" s="783"/>
      <c r="D134" s="783"/>
      <c r="E134" s="2" t="str">
        <f>OBRA!M132</f>
        <v>FONDEREG</v>
      </c>
      <c r="F134" s="416" t="s">
        <v>1564</v>
      </c>
      <c r="G134" s="520"/>
      <c r="H134" s="33" t="str">
        <f>OBRA!N132</f>
        <v>DOP/AD/028/2015</v>
      </c>
      <c r="I134" s="2" t="str">
        <f>OBRA!O132</f>
        <v>ADMINISTRACIÓN DIRECTA</v>
      </c>
      <c r="J134" s="3" t="str">
        <f>OBRA!P132</f>
        <v>COLOCACIÓN DE ADOQUIN Y REHABILITACIÓN DE REDES DE AGUA POTABLE Y DRENAJE EN CALLE PROFIRIO DÍAZ, 2DA. ETAPA EN LA DELEGACIÓN DE SAN JUAN COSALA, MUNICIPIO DE JOCOTEPEC, JALISCO</v>
      </c>
      <c r="K134" s="3" t="s">
        <v>1557</v>
      </c>
      <c r="L134" s="3"/>
      <c r="M134" s="3" t="s">
        <v>1558</v>
      </c>
      <c r="N134" s="3"/>
      <c r="O134" s="504"/>
      <c r="P134" s="79">
        <f>OBRA!R132</f>
        <v>1025641.03</v>
      </c>
      <c r="Q134" s="79"/>
      <c r="R134" s="79"/>
      <c r="S134" s="67">
        <f>OBRA!S132</f>
        <v>42320</v>
      </c>
      <c r="T134" s="1134" t="str">
        <f>OBRA!V132</f>
        <v>-</v>
      </c>
      <c r="U134" s="5">
        <f>OBRA!T132</f>
        <v>42321</v>
      </c>
      <c r="V134" s="11">
        <f>OBRA!U132</f>
        <v>42369</v>
      </c>
      <c r="W134" s="223"/>
      <c r="X134" s="578">
        <v>1536121.05</v>
      </c>
      <c r="Y134" s="278"/>
      <c r="Z134" s="146" t="str">
        <f>OBRA!W132</f>
        <v>-</v>
      </c>
      <c r="AA134" s="146"/>
      <c r="AB134" s="148" t="str">
        <f t="shared" si="3"/>
        <v>-</v>
      </c>
      <c r="AC134" s="146" t="s">
        <v>68</v>
      </c>
      <c r="AD134" s="146"/>
      <c r="AE134" s="183" t="str">
        <f>OBRA!X132</f>
        <v>ING. J. GUADALUPE IBARRA RAMIREZ</v>
      </c>
      <c r="AF134" s="19">
        <v>393.17</v>
      </c>
      <c r="AG134" s="2" t="s">
        <v>1451</v>
      </c>
      <c r="AH134" s="615">
        <f t="shared" si="2"/>
        <v>3907.0149044942391</v>
      </c>
      <c r="AI134" s="2">
        <v>7800</v>
      </c>
      <c r="AJ134" s="156" t="s">
        <v>1452</v>
      </c>
      <c r="AK134" s="513"/>
      <c r="AL134" s="513"/>
      <c r="AM134" s="513"/>
      <c r="AN134" s="493"/>
      <c r="AO134" s="2" t="s">
        <v>68</v>
      </c>
      <c r="AP134" s="2" t="s">
        <v>68</v>
      </c>
      <c r="AQ134" s="466" t="s">
        <v>1565</v>
      </c>
      <c r="AR134" s="1295"/>
      <c r="AS134" s="699" t="s">
        <v>1566</v>
      </c>
    </row>
    <row r="135" spans="1:45" ht="51" hidden="1" customHeight="1">
      <c r="A135" s="16">
        <f>OBRA!J133</f>
        <v>2015</v>
      </c>
      <c r="B135" s="783" t="s">
        <v>1563</v>
      </c>
      <c r="C135" s="783"/>
      <c r="D135" s="783"/>
      <c r="E135" s="2" t="str">
        <f>OBRA!M133</f>
        <v>FOREMODA</v>
      </c>
      <c r="F135" s="511"/>
      <c r="G135" s="506"/>
      <c r="H135" s="19" t="str">
        <f>OBRA!N133</f>
        <v>CNCA/GDSPC/COLAB/03422</v>
      </c>
      <c r="I135" s="2" t="str">
        <f>OBRA!O133</f>
        <v>CONVENIO</v>
      </c>
      <c r="J135" s="3" t="str">
        <f>OBRA!P133</f>
        <v>TRABAJOS DE RESTAURACION DE LA PARROQUIA DEL SEÑOR DEL MONETE, UBICADO EN CALLE MIGUEL ARANA Nº 76 EN JOCOTEPEC, JAL</v>
      </c>
      <c r="K135" s="3"/>
      <c r="L135" s="3"/>
      <c r="M135" s="3"/>
      <c r="N135" s="3"/>
      <c r="O135" s="504"/>
      <c r="P135" s="4">
        <f>OBRA!R133</f>
        <v>1500000</v>
      </c>
      <c r="Q135" s="4"/>
      <c r="R135" s="4"/>
      <c r="S135" s="6">
        <f>OBRA!S133</f>
        <v>42307</v>
      </c>
      <c r="T135" s="1134" t="str">
        <f>OBRA!V133</f>
        <v>-</v>
      </c>
      <c r="U135" s="5">
        <f>OBRA!T133</f>
        <v>42338</v>
      </c>
      <c r="V135" s="11">
        <f>OBRA!U133</f>
        <v>42696</v>
      </c>
      <c r="W135" s="223"/>
      <c r="X135" s="578">
        <f>OBRA!AS133+OBRA!AT133</f>
        <v>0</v>
      </c>
      <c r="Y135" s="278"/>
      <c r="Z135" s="146" t="str">
        <f>OBRA!W133</f>
        <v>-</v>
      </c>
      <c r="AA135" s="146"/>
      <c r="AB135" s="148" t="str">
        <f t="shared" si="3"/>
        <v>-</v>
      </c>
      <c r="AC135" s="146" t="s">
        <v>68</v>
      </c>
      <c r="AD135" s="146"/>
      <c r="AE135" s="183" t="str">
        <f>OBRA!X133</f>
        <v>-</v>
      </c>
      <c r="AF135" s="19"/>
      <c r="AG135" s="2"/>
      <c r="AH135" s="183" t="e">
        <f t="shared" si="2"/>
        <v>#DIV/0!</v>
      </c>
      <c r="AI135" s="2"/>
      <c r="AJ135" s="156"/>
      <c r="AK135" s="526"/>
      <c r="AL135" s="526"/>
      <c r="AM135" s="526"/>
      <c r="AN135" s="526"/>
      <c r="AO135" s="526"/>
      <c r="AP135" s="526"/>
      <c r="AQ135" s="788"/>
      <c r="AR135" s="788"/>
      <c r="AS135" s="504"/>
    </row>
    <row r="136" spans="1:45" ht="64.5" hidden="1" customHeight="1">
      <c r="A136" s="16">
        <f>OBRA!J134</f>
        <v>2015</v>
      </c>
      <c r="B136" s="783" t="s">
        <v>1563</v>
      </c>
      <c r="C136" s="783"/>
      <c r="D136" s="783"/>
      <c r="E136" s="2" t="str">
        <f>OBRA!M134</f>
        <v>FOREMODA</v>
      </c>
      <c r="F136" s="701" t="s">
        <v>1567</v>
      </c>
      <c r="G136" s="972" t="s">
        <v>2206</v>
      </c>
      <c r="H136" s="19" t="str">
        <f>OBRA!N134</f>
        <v>GMJC001OP-2015</v>
      </c>
      <c r="I136" s="2" t="str">
        <f>OBRA!O134</f>
        <v>ADJUDICACIÓN DIRECTA</v>
      </c>
      <c r="J136" s="3" t="str">
        <f>OBRA!P134</f>
        <v>TRABAJOS DE RESTAURACION DE LA PARROQUIA DEL SEÑOR DEL MONTE, UBICADO EN CALLE MIGUEL ARANA Nº 76 EN JOCOTEPEC, JAL</v>
      </c>
      <c r="K136" s="3" t="s">
        <v>1568</v>
      </c>
      <c r="L136" s="3"/>
      <c r="M136" s="3" t="s">
        <v>1569</v>
      </c>
      <c r="N136" s="3" t="s">
        <v>1975</v>
      </c>
      <c r="O136" s="466"/>
      <c r="P136" s="79">
        <f>OBRA!R134</f>
        <v>1500000</v>
      </c>
      <c r="Q136" s="79"/>
      <c r="R136" s="79"/>
      <c r="S136" s="67">
        <f>OBRA!S134</f>
        <v>42339</v>
      </c>
      <c r="T136" s="1134">
        <f>OBRA!V134</f>
        <v>42701</v>
      </c>
      <c r="U136" s="5">
        <f>OBRA!T134</f>
        <v>42338</v>
      </c>
      <c r="V136" s="11">
        <f>OBRA!U134</f>
        <v>42704</v>
      </c>
      <c r="W136" s="223"/>
      <c r="X136" s="578">
        <f>OBRA!AS134+OBRA!AT134</f>
        <v>1500100</v>
      </c>
      <c r="Y136" s="278"/>
      <c r="Z136" s="146" t="str">
        <f>OBRA!W134</f>
        <v>ARGUELLES ARQUITECTOS S.A. DE C.V.</v>
      </c>
      <c r="AA136" s="146"/>
      <c r="AB136" s="148" t="s">
        <v>1571</v>
      </c>
      <c r="AC136" s="146" t="s">
        <v>1572</v>
      </c>
      <c r="AD136" s="146"/>
      <c r="AE136" s="183" t="str">
        <f>OBRA!X134</f>
        <v>ARQ. FRANCISCO SALAZAR</v>
      </c>
      <c r="AF136" s="607">
        <v>1</v>
      </c>
      <c r="AG136" s="2" t="s">
        <v>1573</v>
      </c>
      <c r="AH136" s="615">
        <f t="shared" ref="AH136:AH199" si="4">X136/AF136</f>
        <v>1500100</v>
      </c>
      <c r="AI136" s="2">
        <v>18000</v>
      </c>
      <c r="AJ136" s="156" t="s">
        <v>1452</v>
      </c>
      <c r="AK136" s="513"/>
      <c r="AL136" s="513"/>
      <c r="AM136" s="513"/>
      <c r="AN136" s="493"/>
      <c r="AO136" s="2" t="s">
        <v>68</v>
      </c>
      <c r="AP136" s="2" t="s">
        <v>68</v>
      </c>
      <c r="AQ136" s="495" t="s">
        <v>1574</v>
      </c>
      <c r="AR136" s="1505"/>
      <c r="AS136" s="597" t="s">
        <v>1575</v>
      </c>
    </row>
    <row r="137" spans="1:45" s="104" customFormat="1" ht="60" hidden="1" customHeight="1">
      <c r="A137" s="82">
        <f>OBRA!J135</f>
        <v>2015</v>
      </c>
      <c r="B137" s="781" t="s">
        <v>1427</v>
      </c>
      <c r="C137" s="781"/>
      <c r="D137" s="781"/>
      <c r="E137" s="85" t="str">
        <f>OBRA!M135</f>
        <v>RAMO 33</v>
      </c>
      <c r="F137" s="83" t="s">
        <v>1428</v>
      </c>
      <c r="G137" s="514"/>
      <c r="H137" s="84" t="str">
        <f>OBRA!N135</f>
        <v>GMJ 003C OP/2015</v>
      </c>
      <c r="I137" s="185" t="str">
        <f>OBRA!O135</f>
        <v>CANCELADA</v>
      </c>
      <c r="J137" s="125" t="str">
        <f>OBRA!P135</f>
        <v>1 ER ETAPA DE REHABILITACION, RED DE DRENAJE Y REPOCISION DE EMPEDRADO AHOGADO EN CEMENTO EN LA CALLE ANIMA SOLA DE LA CABECERA MUNICIPAL DE JOCOTEPEC</v>
      </c>
      <c r="K137" s="125"/>
      <c r="L137" s="125"/>
      <c r="M137" s="125"/>
      <c r="N137" s="125"/>
      <c r="O137" s="812"/>
      <c r="P137" s="86">
        <f>OBRA!R135</f>
        <v>369433.09</v>
      </c>
      <c r="Q137" s="86"/>
      <c r="R137" s="86"/>
      <c r="S137" s="87">
        <f>OBRA!S135</f>
        <v>42593</v>
      </c>
      <c r="T137" s="1134" t="str">
        <f>OBRA!V135</f>
        <v>FALTA</v>
      </c>
      <c r="U137" s="88">
        <f>OBRA!T135</f>
        <v>42597</v>
      </c>
      <c r="V137" s="89">
        <f>OBRA!U135</f>
        <v>42704</v>
      </c>
      <c r="W137" s="338"/>
      <c r="X137" s="810">
        <f>OBRA!AS135+OBRA!AT135</f>
        <v>0</v>
      </c>
      <c r="Y137" s="821"/>
      <c r="Z137" s="147" t="str">
        <f>OBRA!W135</f>
        <v>CONSTRUCCIONES VIKBRAK, S.A. DE C.V.</v>
      </c>
      <c r="AA137" s="147"/>
      <c r="AB137" s="149" t="s">
        <v>1576</v>
      </c>
      <c r="AC137" s="147" t="s">
        <v>1577</v>
      </c>
      <c r="AD137" s="147"/>
      <c r="AE137" s="184" t="str">
        <f>OBRA!X135</f>
        <v xml:space="preserve">LIC. SALVADOR CONTRERAS </v>
      </c>
      <c r="AF137" s="187"/>
      <c r="AG137" s="185"/>
      <c r="AH137" s="184" t="e">
        <f t="shared" si="4"/>
        <v>#DIV/0!</v>
      </c>
      <c r="AI137" s="185"/>
      <c r="AJ137" s="576"/>
      <c r="AK137" s="528"/>
      <c r="AL137" s="528"/>
      <c r="AM137" s="528"/>
      <c r="AN137" s="528"/>
      <c r="AO137" s="528"/>
      <c r="AP137" s="528"/>
      <c r="AQ137" s="814"/>
      <c r="AR137" s="814"/>
      <c r="AS137" s="812"/>
    </row>
    <row r="138" spans="1:45" ht="93.75" hidden="1" customHeight="1">
      <c r="A138" s="16">
        <f>OBRA!J136</f>
        <v>2016</v>
      </c>
      <c r="B138" s="783" t="s">
        <v>1563</v>
      </c>
      <c r="C138" s="783"/>
      <c r="D138" s="783"/>
      <c r="E138" s="2" t="str">
        <f>OBRA!M136</f>
        <v>CUENTA CORRIENTE</v>
      </c>
      <c r="F138" s="18" t="s">
        <v>1428</v>
      </c>
      <c r="G138" s="513"/>
      <c r="H138" s="19" t="str">
        <f>OBRA!N136</f>
        <v>DOP/AD/001/2016</v>
      </c>
      <c r="I138" s="2" t="str">
        <f>OBRA!O136</f>
        <v>ADMINISTRACIÓN DIRECTA</v>
      </c>
      <c r="J138" s="3" t="str">
        <f>OBRA!P136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6"/>
      <c r="P138" s="79">
        <f>OBRA!R136</f>
        <v>375407.88</v>
      </c>
      <c r="Q138" s="1023">
        <f>P138/1.16</f>
        <v>323627.4827586207</v>
      </c>
      <c r="R138" s="1023"/>
      <c r="S138" s="67">
        <f>OBRA!S136</f>
        <v>42403</v>
      </c>
      <c r="T138" s="1134" t="str">
        <f>OBRA!V136</f>
        <v>-</v>
      </c>
      <c r="U138" s="5">
        <f>OBRA!T136</f>
        <v>42405</v>
      </c>
      <c r="V138" s="11">
        <f>OBRA!U136</f>
        <v>42441</v>
      </c>
      <c r="W138" s="223"/>
      <c r="X138" s="578">
        <f>OBRA!AS136+OBRA!AT136</f>
        <v>182210.81</v>
      </c>
      <c r="Y138" s="278"/>
      <c r="Z138" s="146" t="str">
        <f>OBRA!W136</f>
        <v>-</v>
      </c>
      <c r="AA138" s="146"/>
      <c r="AB138" s="148" t="str">
        <f t="shared" ref="AB138:AB200" si="5">Z138</f>
        <v>-</v>
      </c>
      <c r="AC138" s="146" t="s">
        <v>68</v>
      </c>
      <c r="AD138" s="146"/>
      <c r="AE138" s="183" t="str">
        <f>OBRA!X136</f>
        <v>ING. J. GUADALUPE IBARRA RAMIREZ</v>
      </c>
      <c r="AF138" s="19">
        <v>244</v>
      </c>
      <c r="AG138" s="2" t="s">
        <v>1451</v>
      </c>
      <c r="AH138" s="183">
        <f t="shared" si="4"/>
        <v>746.76561475409835</v>
      </c>
      <c r="AI138" s="2">
        <v>400</v>
      </c>
      <c r="AJ138" s="156" t="s">
        <v>1452</v>
      </c>
      <c r="AK138" s="513"/>
      <c r="AL138" s="513"/>
      <c r="AM138" s="513"/>
      <c r="AN138" s="786"/>
      <c r="AO138" s="786" t="s">
        <v>1580</v>
      </c>
      <c r="AP138" s="786" t="s">
        <v>1581</v>
      </c>
      <c r="AQ138" s="466" t="s">
        <v>1582</v>
      </c>
      <c r="AR138" s="1295"/>
      <c r="AS138" s="699" t="s">
        <v>1583</v>
      </c>
    </row>
    <row r="139" spans="1:45" ht="63.75" hidden="1" customHeight="1">
      <c r="A139" s="16">
        <f>OBRA!J137</f>
        <v>2016</v>
      </c>
      <c r="B139" s="783" t="s">
        <v>1563</v>
      </c>
      <c r="C139" s="783"/>
      <c r="D139" s="783"/>
      <c r="E139" s="2" t="str">
        <f>OBRA!M137</f>
        <v>CUENTA CORRIENTE</v>
      </c>
      <c r="F139" s="18" t="s">
        <v>1428</v>
      </c>
      <c r="G139" s="513"/>
      <c r="H139" s="19" t="str">
        <f>OBRA!N137</f>
        <v>DOP/AD/002/2016</v>
      </c>
      <c r="I139" s="2" t="str">
        <f>OBRA!O137</f>
        <v>ADMINISTRACIÓN DIRECTA</v>
      </c>
      <c r="J139" s="3" t="str">
        <f>OBRA!P137</f>
        <v>RELLENO Y REPARACIÓN DE SOCAVON, DESLAVE LATERAL EN CARRETERA DE SAN LUCIANO</v>
      </c>
      <c r="K139" s="3" t="s">
        <v>1584</v>
      </c>
      <c r="L139" s="3"/>
      <c r="M139" s="3" t="s">
        <v>1585</v>
      </c>
      <c r="N139" s="3" t="s">
        <v>2613</v>
      </c>
      <c r="O139" s="466"/>
      <c r="P139" s="79">
        <f>OBRA!R137</f>
        <v>46400</v>
      </c>
      <c r="Q139" s="1023">
        <f t="shared" ref="Q139:Q175" si="6">P139/1.16</f>
        <v>40000</v>
      </c>
      <c r="R139" s="1023"/>
      <c r="S139" s="67">
        <f>OBRA!S137</f>
        <v>42433</v>
      </c>
      <c r="T139" s="1134" t="str">
        <f>OBRA!V137</f>
        <v>-</v>
      </c>
      <c r="U139" s="5">
        <f>OBRA!T137</f>
        <v>42434</v>
      </c>
      <c r="V139" s="11">
        <f>OBRA!U137</f>
        <v>42439</v>
      </c>
      <c r="W139" s="223"/>
      <c r="X139" s="578">
        <f>OBRA!AS137+OBRA!AT137</f>
        <v>24800</v>
      </c>
      <c r="Y139" s="278"/>
      <c r="Z139" s="146" t="str">
        <f>OBRA!W137</f>
        <v>-</v>
      </c>
      <c r="AA139" s="146"/>
      <c r="AB139" s="148" t="str">
        <f t="shared" si="5"/>
        <v>-</v>
      </c>
      <c r="AC139" s="146" t="s">
        <v>68</v>
      </c>
      <c r="AD139" s="146"/>
      <c r="AE139" s="183" t="str">
        <f>OBRA!X137</f>
        <v>ING. J. GUADALUPE IBARRA RAMIREZ</v>
      </c>
      <c r="AF139" s="19">
        <v>1</v>
      </c>
      <c r="AG139" s="2" t="s">
        <v>1573</v>
      </c>
      <c r="AH139" s="183">
        <f t="shared" si="4"/>
        <v>24800</v>
      </c>
      <c r="AI139" s="2">
        <v>2800</v>
      </c>
      <c r="AJ139" s="156" t="s">
        <v>1452</v>
      </c>
      <c r="AK139" s="513"/>
      <c r="AL139" s="513"/>
      <c r="AM139" s="513"/>
      <c r="AN139" s="786"/>
      <c r="AO139" s="529"/>
      <c r="AP139" s="529"/>
      <c r="AQ139" s="791" t="s">
        <v>68</v>
      </c>
      <c r="AR139" s="1839"/>
      <c r="AS139" s="699" t="s">
        <v>1586</v>
      </c>
    </row>
    <row r="140" spans="1:45" ht="45" hidden="1" customHeight="1">
      <c r="A140" s="16">
        <f>OBRA!J138</f>
        <v>2016</v>
      </c>
      <c r="B140" s="783" t="s">
        <v>1563</v>
      </c>
      <c r="C140" s="783"/>
      <c r="D140" s="783"/>
      <c r="E140" s="2" t="str">
        <f>OBRA!M138</f>
        <v>CUENTA CORRIENTE</v>
      </c>
      <c r="F140" s="18" t="s">
        <v>1428</v>
      </c>
      <c r="G140" s="513"/>
      <c r="H140" s="19" t="str">
        <f>OBRA!N138</f>
        <v>DOP/AD/003/2016</v>
      </c>
      <c r="I140" s="2" t="str">
        <f>OBRA!O138</f>
        <v>ADMINISTRACIÓN DIRECTA</v>
      </c>
      <c r="J140" s="3" t="str">
        <f>OBRA!P138</f>
        <v>ACONDICIONAMIENTO DE INGRESO AL HOSPITAL COMUNITARIO DEL MUNICIPIO DE JOCOTEPEC, EN LA LOCALIDAD DE CHANTEPEC</v>
      </c>
      <c r="K140" s="3" t="s">
        <v>1587</v>
      </c>
      <c r="L140" s="3"/>
      <c r="M140" s="3" t="s">
        <v>1588</v>
      </c>
      <c r="N140" s="3" t="s">
        <v>2538</v>
      </c>
      <c r="O140" s="504"/>
      <c r="P140" s="79">
        <f>OBRA!R138</f>
        <v>192889.77</v>
      </c>
      <c r="Q140" s="1023">
        <f t="shared" si="6"/>
        <v>166284.28448275861</v>
      </c>
      <c r="R140" s="1023"/>
      <c r="S140" s="67">
        <f>OBRA!S138</f>
        <v>42498</v>
      </c>
      <c r="T140" s="1134" t="str">
        <f>OBRA!V138</f>
        <v>-</v>
      </c>
      <c r="U140" s="5">
        <f>OBRA!T138</f>
        <v>42499</v>
      </c>
      <c r="V140" s="11">
        <f>OBRA!U138</f>
        <v>42560</v>
      </c>
      <c r="W140" s="223"/>
      <c r="X140" s="578">
        <f>OBRA!AS138+OBRA!AT138</f>
        <v>205633.06</v>
      </c>
      <c r="Y140" s="278"/>
      <c r="Z140" s="146" t="str">
        <f>OBRA!W138</f>
        <v>-</v>
      </c>
      <c r="AA140" s="146"/>
      <c r="AB140" s="148" t="str">
        <f t="shared" si="5"/>
        <v>-</v>
      </c>
      <c r="AC140" s="146" t="s">
        <v>68</v>
      </c>
      <c r="AD140" s="146"/>
      <c r="AE140" s="183" t="str">
        <f>OBRA!X138</f>
        <v>ING. J. GUADALUPE IBARRA RAMIREZ</v>
      </c>
      <c r="AF140" s="19">
        <v>1</v>
      </c>
      <c r="AG140" s="2" t="s">
        <v>1573</v>
      </c>
      <c r="AH140" s="183">
        <f t="shared" si="4"/>
        <v>205633.06</v>
      </c>
      <c r="AI140" s="2">
        <v>60000</v>
      </c>
      <c r="AJ140" s="156" t="s">
        <v>1452</v>
      </c>
      <c r="AK140" s="513"/>
      <c r="AL140" s="513"/>
      <c r="AM140" s="513"/>
      <c r="AN140" s="786"/>
      <c r="AO140" s="529"/>
      <c r="AP140" s="529"/>
      <c r="AQ140" s="504" t="s">
        <v>1589</v>
      </c>
      <c r="AR140" s="1840"/>
      <c r="AS140" s="701" t="s">
        <v>1590</v>
      </c>
    </row>
    <row r="141" spans="1:45" ht="75.75" hidden="1" customHeight="1">
      <c r="A141" s="16">
        <f>OBRA!J139</f>
        <v>2016</v>
      </c>
      <c r="B141" s="783" t="s">
        <v>1563</v>
      </c>
      <c r="C141" s="783"/>
      <c r="D141" s="783"/>
      <c r="E141" s="2" t="str">
        <f>OBRA!M139</f>
        <v>FORTALECE</v>
      </c>
      <c r="F141" s="704" t="s">
        <v>1591</v>
      </c>
      <c r="G141" s="501"/>
      <c r="H141" s="19" t="str">
        <f>OBRA!N139</f>
        <v>DOP/AD/004/2016</v>
      </c>
      <c r="I141" s="2" t="str">
        <f>OBRA!O139</f>
        <v>ADMINISTRACIÓN DIRECTA</v>
      </c>
      <c r="J141" s="3" t="str">
        <f>OBRA!P139</f>
        <v>PROYECTO EMPEDRADO AHOGADO EN CEMENTO DE LA CALLE LÓPEZ RAYÓN ENTRE PRIV. ITURBIDE Y VERANO EN LA CABECERA MUNICIPAL</v>
      </c>
      <c r="K141" s="3" t="s">
        <v>1592</v>
      </c>
      <c r="L141" s="3"/>
      <c r="M141" s="3" t="s">
        <v>1504</v>
      </c>
      <c r="N141" s="3" t="s">
        <v>1975</v>
      </c>
      <c r="O141" s="466"/>
      <c r="P141" s="79">
        <f>OBRA!R139</f>
        <v>509990.89</v>
      </c>
      <c r="Q141" s="1023">
        <f t="shared" si="6"/>
        <v>439647.31896551728</v>
      </c>
      <c r="R141" s="1023"/>
      <c r="S141" s="67">
        <f>OBRA!S139</f>
        <v>42521</v>
      </c>
      <c r="T141" s="1134" t="str">
        <f>OBRA!V139</f>
        <v>-</v>
      </c>
      <c r="U141" s="5">
        <f>OBRA!T139</f>
        <v>42522</v>
      </c>
      <c r="V141" s="11">
        <f>OBRA!U139</f>
        <v>42578</v>
      </c>
      <c r="W141" s="223"/>
      <c r="X141" s="578">
        <f>OBRA!AS139+OBRA!AT139</f>
        <v>468510.42</v>
      </c>
      <c r="Y141" s="278"/>
      <c r="Z141" s="146" t="str">
        <f>OBRA!W139</f>
        <v>-</v>
      </c>
      <c r="AA141" s="146"/>
      <c r="AB141" s="148" t="str">
        <f t="shared" ref="AB141:AB147" si="7">Z141</f>
        <v>-</v>
      </c>
      <c r="AC141" s="146" t="s">
        <v>68</v>
      </c>
      <c r="AD141" s="146"/>
      <c r="AE141" s="183" t="str">
        <f>OBRA!X139</f>
        <v>ING. J. GUADALUPE IBARRA RAMIREZ</v>
      </c>
      <c r="AF141" s="19">
        <v>1069.9000000000001</v>
      </c>
      <c r="AG141" s="2" t="s">
        <v>1548</v>
      </c>
      <c r="AH141" s="183">
        <f t="shared" si="4"/>
        <v>437.90113094681743</v>
      </c>
      <c r="AI141" s="2">
        <v>100</v>
      </c>
      <c r="AJ141" s="156" t="s">
        <v>1444</v>
      </c>
      <c r="AK141" s="513"/>
      <c r="AL141" s="513"/>
      <c r="AM141" s="513"/>
      <c r="AN141" s="786"/>
      <c r="AO141" s="786" t="s">
        <v>1593</v>
      </c>
      <c r="AP141" s="786" t="s">
        <v>1594</v>
      </c>
      <c r="AQ141" s="466" t="s">
        <v>1595</v>
      </c>
      <c r="AR141" s="1295"/>
      <c r="AS141" s="699" t="s">
        <v>1596</v>
      </c>
    </row>
    <row r="142" spans="1:45" ht="91.5" hidden="1" customHeight="1">
      <c r="A142" s="16">
        <f>OBRA!J140</f>
        <v>2016</v>
      </c>
      <c r="B142" s="783" t="s">
        <v>1563</v>
      </c>
      <c r="C142" s="783"/>
      <c r="D142" s="783"/>
      <c r="E142" s="2" t="str">
        <f>OBRA!M140</f>
        <v>FORTALECE</v>
      </c>
      <c r="F142" s="704" t="s">
        <v>1591</v>
      </c>
      <c r="G142" s="501"/>
      <c r="H142" s="19" t="str">
        <f>OBRA!N140</f>
        <v>DOP/AD/005/2016</v>
      </c>
      <c r="I142" s="2" t="str">
        <f>OBRA!O140</f>
        <v>ADMINISTRACIÓN DIRECTA</v>
      </c>
      <c r="J142" s="3" t="str">
        <f>OBRA!P140</f>
        <v>PROYECTO EMPEDRADO AHOGADO EN CEMENTO Y CONSTRUCCIÓN DE GUARNICIÓN EN DIFERENTES CALLES DEL FRACCIONAMIENTO "EL CARRIZAL" 1ERA. ETAPA, EN LA CABECERA MUNICIPAL</v>
      </c>
      <c r="K142" s="3" t="s">
        <v>1592</v>
      </c>
      <c r="L142" s="3"/>
      <c r="M142" s="3" t="s">
        <v>1597</v>
      </c>
      <c r="N142" s="3" t="s">
        <v>1975</v>
      </c>
      <c r="O142" s="466"/>
      <c r="P142" s="79">
        <f>OBRA!R140</f>
        <v>1080009.1200000001</v>
      </c>
      <c r="Q142" s="1023">
        <f t="shared" si="6"/>
        <v>931042.34482758632</v>
      </c>
      <c r="R142" s="1023"/>
      <c r="S142" s="67">
        <f>OBRA!S140</f>
        <v>42524</v>
      </c>
      <c r="T142" s="1134" t="str">
        <f>OBRA!V140</f>
        <v>-</v>
      </c>
      <c r="U142" s="5">
        <f>OBRA!T140</f>
        <v>42527</v>
      </c>
      <c r="V142" s="11">
        <f>OBRA!U140</f>
        <v>42710</v>
      </c>
      <c r="W142" s="223"/>
      <c r="X142" s="578">
        <f>OBRA!AS140+OBRA!AT140</f>
        <v>1079215.31</v>
      </c>
      <c r="Y142" s="278"/>
      <c r="Z142" s="146" t="str">
        <f>OBRA!W140</f>
        <v>-</v>
      </c>
      <c r="AA142" s="146"/>
      <c r="AB142" s="148" t="str">
        <f t="shared" si="7"/>
        <v>-</v>
      </c>
      <c r="AC142" s="146" t="s">
        <v>68</v>
      </c>
      <c r="AD142" s="146"/>
      <c r="AE142" s="183" t="str">
        <f>OBRA!X140</f>
        <v>ING. J. GUADALUPE IBARRA RAMIREZ</v>
      </c>
      <c r="AF142" s="19">
        <v>1584.56</v>
      </c>
      <c r="AG142" s="2" t="s">
        <v>1548</v>
      </c>
      <c r="AH142" s="183">
        <f t="shared" si="4"/>
        <v>681.08201014792758</v>
      </c>
      <c r="AI142" s="2">
        <v>500</v>
      </c>
      <c r="AJ142" s="156" t="s">
        <v>1452</v>
      </c>
      <c r="AK142" s="513"/>
      <c r="AL142" s="513"/>
      <c r="AM142" s="513"/>
      <c r="AN142" s="786"/>
      <c r="AO142" s="786" t="s">
        <v>1598</v>
      </c>
      <c r="AP142" s="786" t="s">
        <v>1599</v>
      </c>
      <c r="AQ142" s="466" t="s">
        <v>1600</v>
      </c>
      <c r="AR142" s="1295"/>
      <c r="AS142" s="699" t="s">
        <v>1601</v>
      </c>
    </row>
    <row r="143" spans="1:45" ht="56.25" hidden="1" customHeight="1">
      <c r="A143" s="16">
        <f>OBRA!J141</f>
        <v>2016</v>
      </c>
      <c r="B143" s="783" t="s">
        <v>1563</v>
      </c>
      <c r="C143" s="783"/>
      <c r="D143" s="783"/>
      <c r="E143" s="2" t="str">
        <f>OBRA!M141</f>
        <v>RAMO 33</v>
      </c>
      <c r="F143" s="18" t="s">
        <v>1428</v>
      </c>
      <c r="G143" s="513"/>
      <c r="H143" s="19" t="str">
        <f>OBRA!N141</f>
        <v>DOP/AD/006/2016</v>
      </c>
      <c r="I143" s="2" t="str">
        <f>OBRA!O141</f>
        <v>ADMINISTRACIÓN DIRECTA</v>
      </c>
      <c r="J143" s="3" t="str">
        <f>OBRA!P141</f>
        <v>EMPEDRADO AHOGADO EN CEMENTO EN LA C. LÓPEZ RAYON ENTRE VERANO Y CERRADA EN LA CABECERA MUNICIPAL</v>
      </c>
      <c r="K143" s="3" t="s">
        <v>1592</v>
      </c>
      <c r="L143" s="3"/>
      <c r="M143" s="3" t="s">
        <v>1504</v>
      </c>
      <c r="N143" s="3" t="s">
        <v>1975</v>
      </c>
      <c r="O143" s="466"/>
      <c r="P143" s="79">
        <f>OBRA!R141</f>
        <v>204355.89</v>
      </c>
      <c r="Q143" s="1023">
        <f t="shared" si="6"/>
        <v>176168.87068965519</v>
      </c>
      <c r="R143" s="1023"/>
      <c r="S143" s="67">
        <f>OBRA!S141</f>
        <v>42499</v>
      </c>
      <c r="T143" s="1134" t="str">
        <f>OBRA!V141</f>
        <v>-</v>
      </c>
      <c r="U143" s="5">
        <f>OBRA!T141</f>
        <v>42502</v>
      </c>
      <c r="V143" s="11">
        <f>OBRA!U141</f>
        <v>42665</v>
      </c>
      <c r="W143" s="223"/>
      <c r="X143" s="578">
        <f>OBRA!BI141</f>
        <v>242715.04</v>
      </c>
      <c r="Y143" s="278"/>
      <c r="Z143" s="146" t="str">
        <f>OBRA!W141</f>
        <v>-</v>
      </c>
      <c r="AA143" s="146"/>
      <c r="AB143" s="148" t="str">
        <f t="shared" si="7"/>
        <v>-</v>
      </c>
      <c r="AC143" s="146" t="s">
        <v>68</v>
      </c>
      <c r="AD143" s="146"/>
      <c r="AE143" s="183" t="str">
        <f>OBRA!X141</f>
        <v>ING. J. GUADALUPE IBARRA RAMIREZ</v>
      </c>
      <c r="AF143" s="19">
        <v>379.68</v>
      </c>
      <c r="AG143" s="2" t="s">
        <v>1548</v>
      </c>
      <c r="AH143" s="183">
        <f t="shared" si="4"/>
        <v>639.26211546565526</v>
      </c>
      <c r="AI143" s="2">
        <v>100</v>
      </c>
      <c r="AJ143" s="156" t="s">
        <v>1444</v>
      </c>
      <c r="AK143" s="513"/>
      <c r="AL143" s="513"/>
      <c r="AM143" s="513"/>
      <c r="AN143" s="786"/>
      <c r="AO143" s="786" t="s">
        <v>1602</v>
      </c>
      <c r="AP143" s="786" t="s">
        <v>1603</v>
      </c>
      <c r="AQ143" s="466" t="s">
        <v>1604</v>
      </c>
      <c r="AR143" s="1295"/>
      <c r="AS143" s="699" t="s">
        <v>1605</v>
      </c>
    </row>
    <row r="144" spans="1:45" ht="58.5" hidden="1" customHeight="1">
      <c r="A144" s="16">
        <f>OBRA!J142</f>
        <v>2016</v>
      </c>
      <c r="B144" s="783" t="s">
        <v>1563</v>
      </c>
      <c r="C144" s="783"/>
      <c r="D144" s="783"/>
      <c r="E144" s="2" t="str">
        <f>OBRA!M142</f>
        <v>CUENTA CORRIENTE</v>
      </c>
      <c r="F144" s="18" t="s">
        <v>1428</v>
      </c>
      <c r="G144" s="513"/>
      <c r="H144" s="19" t="str">
        <f>OBRA!N142</f>
        <v>DOP/AD/007/2016</v>
      </c>
      <c r="I144" s="2" t="str">
        <f>OBRA!O142</f>
        <v>ADMINISTRACIÓN DIRECTA</v>
      </c>
      <c r="J144" s="3" t="str">
        <f>OBRA!P142</f>
        <v>AMPLIACIÓN DE COLECTOR DE ALEJAMIENTO DEL DRENAJE SANITARIO" EN LA LOCALIDAD DE HUEJOTITAN.</v>
      </c>
      <c r="K144" s="3" t="s">
        <v>1606</v>
      </c>
      <c r="L144" s="3"/>
      <c r="M144" s="3" t="s">
        <v>1607</v>
      </c>
      <c r="N144" s="3" t="s">
        <v>2506</v>
      </c>
      <c r="O144" s="466"/>
      <c r="P144" s="79">
        <f>OBRA!R142</f>
        <v>426643.27</v>
      </c>
      <c r="Q144" s="1023">
        <f t="shared" si="6"/>
        <v>367795.92241379316</v>
      </c>
      <c r="R144" s="1023"/>
      <c r="S144" s="67">
        <f>OBRA!S142</f>
        <v>42524</v>
      </c>
      <c r="T144" s="1134" t="str">
        <f>OBRA!V142</f>
        <v>-</v>
      </c>
      <c r="U144" s="5">
        <f>OBRA!T142</f>
        <v>42527</v>
      </c>
      <c r="V144" s="11">
        <f>OBRA!U142</f>
        <v>42581</v>
      </c>
      <c r="W144" s="223"/>
      <c r="X144" s="578">
        <f>OBRA!AS142+OBRA!AT142</f>
        <v>313036.55</v>
      </c>
      <c r="Y144" s="278"/>
      <c r="Z144" s="146" t="str">
        <f>OBRA!W142</f>
        <v>-</v>
      </c>
      <c r="AA144" s="146"/>
      <c r="AB144" s="148" t="str">
        <f t="shared" si="7"/>
        <v>-</v>
      </c>
      <c r="AC144" s="146" t="s">
        <v>68</v>
      </c>
      <c r="AD144" s="146"/>
      <c r="AE144" s="183" t="str">
        <f>OBRA!X142</f>
        <v>ING. RIGOBERTO OLMEDO RAMOS</v>
      </c>
      <c r="AF144" s="19">
        <v>510</v>
      </c>
      <c r="AG144" s="2" t="s">
        <v>1451</v>
      </c>
      <c r="AH144" s="183">
        <f t="shared" si="4"/>
        <v>613.79715686274506</v>
      </c>
      <c r="AI144" s="2">
        <v>1270</v>
      </c>
      <c r="AJ144" s="156" t="s">
        <v>1452</v>
      </c>
      <c r="AK144" s="513"/>
      <c r="AL144" s="513"/>
      <c r="AM144" s="513"/>
      <c r="AN144" s="786"/>
      <c r="AO144" s="529"/>
      <c r="AP144" s="529"/>
      <c r="AQ144" s="466" t="s">
        <v>1608</v>
      </c>
      <c r="AR144" s="1295"/>
      <c r="AS144" s="699" t="s">
        <v>1609</v>
      </c>
    </row>
    <row r="145" spans="1:45" ht="76.5" hidden="1" customHeight="1">
      <c r="A145" s="16">
        <f>OBRA!J143</f>
        <v>2016</v>
      </c>
      <c r="B145" s="783" t="s">
        <v>1563</v>
      </c>
      <c r="C145" s="783"/>
      <c r="D145" s="783"/>
      <c r="E145" s="2" t="str">
        <f>OBRA!M143</f>
        <v>RAMO 33</v>
      </c>
      <c r="F145" s="18" t="s">
        <v>1428</v>
      </c>
      <c r="G145" s="513"/>
      <c r="H145" s="19" t="str">
        <f>OBRA!N143</f>
        <v>DOP/AD/008/2016</v>
      </c>
      <c r="I145" s="2" t="str">
        <f>OBRA!O143</f>
        <v>ADMINISTRACIÓN DIRECTA</v>
      </c>
      <c r="J145" s="3" t="str">
        <f>OBRA!P143</f>
        <v>AMPLIACIÓN DE RED DE DRENAJE PARALELO  A CARRETERA DESDE EL HOSPITAL COMUNITARIO HACIA EL ORIENTE, EN LA LOCALIDAD DE CHANTEPEC</v>
      </c>
      <c r="K145" s="3" t="s">
        <v>1446</v>
      </c>
      <c r="L145" s="3"/>
      <c r="M145" s="3" t="s">
        <v>1588</v>
      </c>
      <c r="N145" s="3" t="s">
        <v>2538</v>
      </c>
      <c r="O145" s="466"/>
      <c r="P145" s="79">
        <f>OBRA!R143</f>
        <v>291113.12</v>
      </c>
      <c r="Q145" s="1023">
        <f t="shared" si="6"/>
        <v>250959.58620689655</v>
      </c>
      <c r="R145" s="1023"/>
      <c r="S145" s="67">
        <f>OBRA!S143</f>
        <v>42531</v>
      </c>
      <c r="T145" s="1134" t="str">
        <f>OBRA!V143</f>
        <v>-</v>
      </c>
      <c r="U145" s="5">
        <f>OBRA!T143</f>
        <v>42534</v>
      </c>
      <c r="V145" s="11">
        <f>OBRA!U143</f>
        <v>42546</v>
      </c>
      <c r="W145" s="223"/>
      <c r="X145" s="578">
        <f>OBRA!AS143+OBRA!AT143</f>
        <v>229880.15999999997</v>
      </c>
      <c r="Y145" s="278"/>
      <c r="Z145" s="146" t="str">
        <f>OBRA!W143</f>
        <v>-</v>
      </c>
      <c r="AA145" s="146"/>
      <c r="AB145" s="148" t="str">
        <f t="shared" si="7"/>
        <v>-</v>
      </c>
      <c r="AC145" s="146" t="s">
        <v>68</v>
      </c>
      <c r="AD145" s="146"/>
      <c r="AE145" s="183" t="str">
        <f>OBRA!X143</f>
        <v>ING. J. GUADALUPE IBARRA RAMIREZ</v>
      </c>
      <c r="AF145" s="19">
        <v>348</v>
      </c>
      <c r="AG145" s="2" t="s">
        <v>1451</v>
      </c>
      <c r="AH145" s="183">
        <f t="shared" si="4"/>
        <v>660.57517241379298</v>
      </c>
      <c r="AI145" s="2">
        <v>60000</v>
      </c>
      <c r="AJ145" s="156" t="s">
        <v>1452</v>
      </c>
      <c r="AK145" s="513"/>
      <c r="AL145" s="513"/>
      <c r="AM145" s="513"/>
      <c r="AN145" s="786"/>
      <c r="AO145" s="786" t="s">
        <v>1610</v>
      </c>
      <c r="AP145" s="786" t="s">
        <v>1611</v>
      </c>
      <c r="AQ145" s="466" t="s">
        <v>1612</v>
      </c>
      <c r="AR145" s="1295"/>
      <c r="AS145" s="699" t="s">
        <v>1613</v>
      </c>
    </row>
    <row r="146" spans="1:45" ht="72.75" hidden="1" customHeight="1">
      <c r="A146" s="16">
        <f>OBRA!J144</f>
        <v>2016</v>
      </c>
      <c r="B146" s="783" t="s">
        <v>1563</v>
      </c>
      <c r="C146" s="783"/>
      <c r="D146" s="783"/>
      <c r="E146" s="2" t="str">
        <f>OBRA!M144</f>
        <v>RAMO 33</v>
      </c>
      <c r="F146" s="18" t="s">
        <v>1428</v>
      </c>
      <c r="G146" s="513"/>
      <c r="H146" s="19" t="str">
        <f>OBRA!N144</f>
        <v>DOP/AD/009/2016</v>
      </c>
      <c r="I146" s="2" t="str">
        <f>OBRA!O144</f>
        <v>ADMINISTRACIÓN DIRECTA</v>
      </c>
      <c r="J146" s="3" t="str">
        <f>OBRA!P144</f>
        <v>EMPEDRADO AHOGADO EN CEMENTO DE LA CALLE VERANO DE LÓPEZ RAYÓN HASTA EL EMPEDRADO EXISTENTE, EN LA CABECERA MUNICIPAL</v>
      </c>
      <c r="K146" s="3" t="s">
        <v>1592</v>
      </c>
      <c r="L146" s="3"/>
      <c r="M146" s="3" t="s">
        <v>1499</v>
      </c>
      <c r="N146" s="3" t="s">
        <v>1975</v>
      </c>
      <c r="O146" s="466"/>
      <c r="P146" s="79">
        <f>OBRA!R144</f>
        <v>292744.34000000003</v>
      </c>
      <c r="Q146" s="1023">
        <f t="shared" si="6"/>
        <v>252365.81034482762</v>
      </c>
      <c r="R146" s="1023"/>
      <c r="S146" s="67">
        <f>OBRA!S144</f>
        <v>42499</v>
      </c>
      <c r="T146" s="1134" t="str">
        <f>OBRA!V144</f>
        <v>-</v>
      </c>
      <c r="U146" s="5">
        <f>OBRA!T144</f>
        <v>42502</v>
      </c>
      <c r="V146" s="11">
        <f>OBRA!U144</f>
        <v>42665</v>
      </c>
      <c r="W146" s="223"/>
      <c r="X146" s="578">
        <f>OBRA!BI144</f>
        <v>214265.43</v>
      </c>
      <c r="Y146" s="278"/>
      <c r="Z146" s="146" t="str">
        <f>OBRA!W144</f>
        <v>-</v>
      </c>
      <c r="AA146" s="146"/>
      <c r="AB146" s="148" t="str">
        <f t="shared" si="7"/>
        <v>-</v>
      </c>
      <c r="AC146" s="146" t="s">
        <v>68</v>
      </c>
      <c r="AD146" s="146"/>
      <c r="AE146" s="183" t="str">
        <f>OBRA!X144</f>
        <v>ING. J. GUADALUPE IBARRA RAMIREZ</v>
      </c>
      <c r="AF146" s="19">
        <v>543.9</v>
      </c>
      <c r="AG146" s="2" t="s">
        <v>1548</v>
      </c>
      <c r="AH146" s="183">
        <f t="shared" si="4"/>
        <v>393.94269167126311</v>
      </c>
      <c r="AI146" s="2">
        <v>250</v>
      </c>
      <c r="AJ146" s="156" t="s">
        <v>1444</v>
      </c>
      <c r="AK146" s="513"/>
      <c r="AL146" s="513"/>
      <c r="AM146" s="513"/>
      <c r="AN146" s="786"/>
      <c r="AO146" s="786" t="s">
        <v>1614</v>
      </c>
      <c r="AP146" s="786" t="s">
        <v>1615</v>
      </c>
      <c r="AQ146" s="466" t="s">
        <v>1616</v>
      </c>
      <c r="AR146" s="1295"/>
      <c r="AS146" s="699" t="s">
        <v>1617</v>
      </c>
    </row>
    <row r="147" spans="1:45" ht="75" hidden="1" customHeight="1">
      <c r="A147" s="16">
        <f>OBRA!J145</f>
        <v>2016</v>
      </c>
      <c r="B147" s="783" t="s">
        <v>1563</v>
      </c>
      <c r="C147" s="783"/>
      <c r="D147" s="783"/>
      <c r="E147" s="2" t="str">
        <f>OBRA!M145</f>
        <v>RAMO 33</v>
      </c>
      <c r="F147" s="18" t="s">
        <v>1428</v>
      </c>
      <c r="G147" s="513"/>
      <c r="H147" s="19" t="str">
        <f>OBRA!N145</f>
        <v>DOP/AD/010/2016</v>
      </c>
      <c r="I147" s="2" t="str">
        <f>OBRA!O145</f>
        <v>ADMINISTRACIÓN DIRECTA</v>
      </c>
      <c r="J147" s="3" t="str">
        <f>OBRA!P145</f>
        <v>"AMPLIACIÓN DE RED DE AGUA POTABLE (LINEA ALIMENTADORA) EN AV. DE LOS MAESTROS ENTRE PEDRO MORENO Y NICOLAS BRAVO", EN LA CABECERA MUNICIPAL</v>
      </c>
      <c r="K147" s="3" t="s">
        <v>1496</v>
      </c>
      <c r="L147" s="3"/>
      <c r="M147" s="3" t="s">
        <v>1618</v>
      </c>
      <c r="N147" s="3" t="s">
        <v>1975</v>
      </c>
      <c r="O147" s="466"/>
      <c r="P147" s="79">
        <f>OBRA!R145</f>
        <v>93972.47</v>
      </c>
      <c r="Q147" s="1023">
        <f t="shared" si="6"/>
        <v>81010.75</v>
      </c>
      <c r="R147" s="1023"/>
      <c r="S147" s="67">
        <f>OBRA!S145</f>
        <v>42552</v>
      </c>
      <c r="T147" s="1134" t="str">
        <f>OBRA!V145</f>
        <v>-</v>
      </c>
      <c r="U147" s="5">
        <f>OBRA!T145</f>
        <v>42555</v>
      </c>
      <c r="V147" s="11">
        <f>OBRA!U145</f>
        <v>42586</v>
      </c>
      <c r="W147" s="223"/>
      <c r="X147" s="578">
        <f>OBRA!AS145+OBRA!AT145</f>
        <v>78618.739999999991</v>
      </c>
      <c r="Y147" s="278"/>
      <c r="Z147" s="146" t="str">
        <f>OBRA!W145</f>
        <v>-</v>
      </c>
      <c r="AA147" s="146"/>
      <c r="AB147" s="148" t="str">
        <f t="shared" si="7"/>
        <v>-</v>
      </c>
      <c r="AC147" s="146" t="s">
        <v>68</v>
      </c>
      <c r="AD147" s="146"/>
      <c r="AE147" s="183" t="str">
        <f>OBRA!X145</f>
        <v>ING. J. GUADALUPE IBARRA RAMIREZ</v>
      </c>
      <c r="AF147" s="19">
        <v>151.11000000000001</v>
      </c>
      <c r="AG147" s="2" t="s">
        <v>1451</v>
      </c>
      <c r="AH147" s="183">
        <f t="shared" si="4"/>
        <v>520.27489908014013</v>
      </c>
      <c r="AI147" s="2">
        <v>400</v>
      </c>
      <c r="AJ147" s="156" t="s">
        <v>1452</v>
      </c>
      <c r="AK147" s="513"/>
      <c r="AL147" s="513"/>
      <c r="AM147" s="513"/>
      <c r="AN147" s="786"/>
      <c r="AO147" s="466" t="s">
        <v>1619</v>
      </c>
      <c r="AP147" s="466" t="s">
        <v>1620</v>
      </c>
      <c r="AQ147" s="466" t="s">
        <v>1621</v>
      </c>
      <c r="AR147" s="1295"/>
      <c r="AS147" s="699" t="s">
        <v>1622</v>
      </c>
    </row>
    <row r="148" spans="1:45" ht="125.25" hidden="1" customHeight="1">
      <c r="A148" s="16">
        <f>OBRA!J146</f>
        <v>2016</v>
      </c>
      <c r="B148" s="783" t="s">
        <v>1563</v>
      </c>
      <c r="C148" s="783"/>
      <c r="D148" s="783"/>
      <c r="E148" s="2" t="str">
        <f>OBRA!M146</f>
        <v>CUENTA CORRIENTE</v>
      </c>
      <c r="F148" s="18" t="s">
        <v>1428</v>
      </c>
      <c r="G148" s="513"/>
      <c r="H148" s="19" t="str">
        <f>OBRA!N146</f>
        <v>DOP/AD/011/2016</v>
      </c>
      <c r="I148" s="2" t="str">
        <f>OBRA!O146</f>
        <v>ADMINISTRACIÓN DIRECTA</v>
      </c>
      <c r="J148" s="3" t="str">
        <f>OBRA!P146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6"/>
      <c r="P148" s="79">
        <f>OBRA!R146</f>
        <v>550572.48</v>
      </c>
      <c r="Q148" s="1023">
        <f t="shared" si="6"/>
        <v>474631.44827586209</v>
      </c>
      <c r="R148" s="1023"/>
      <c r="S148" s="67">
        <f>OBRA!S146</f>
        <v>42531</v>
      </c>
      <c r="T148" s="1134" t="str">
        <f>OBRA!V146</f>
        <v>-</v>
      </c>
      <c r="U148" s="5">
        <f>OBRA!T146</f>
        <v>42534</v>
      </c>
      <c r="V148" s="11">
        <f>OBRA!U146</f>
        <v>42582</v>
      </c>
      <c r="W148" s="223"/>
      <c r="X148" s="578">
        <f>OBRA!AS146+OBRA!AT146</f>
        <v>416263.56999999995</v>
      </c>
      <c r="Y148" s="278"/>
      <c r="Z148" s="146" t="str">
        <f>OBRA!W146</f>
        <v>-</v>
      </c>
      <c r="AA148" s="146"/>
      <c r="AB148" s="148" t="str">
        <f t="shared" si="5"/>
        <v>-</v>
      </c>
      <c r="AC148" s="146" t="s">
        <v>68</v>
      </c>
      <c r="AD148" s="146"/>
      <c r="AE148" s="183" t="str">
        <f>OBRA!X146</f>
        <v>ING. J. GUADALUPE IBARRA RAMIREZ</v>
      </c>
      <c r="AF148" s="19">
        <v>950</v>
      </c>
      <c r="AG148" s="2" t="s">
        <v>1451</v>
      </c>
      <c r="AH148" s="615">
        <f t="shared" si="4"/>
        <v>438.17217894736837</v>
      </c>
      <c r="AI148" s="2">
        <v>320</v>
      </c>
      <c r="AJ148" s="156" t="s">
        <v>1444</v>
      </c>
      <c r="AK148" s="513"/>
      <c r="AL148" s="513"/>
      <c r="AM148" s="513"/>
      <c r="AN148" s="786"/>
      <c r="AO148" s="466" t="s">
        <v>1625</v>
      </c>
      <c r="AP148" s="466" t="s">
        <v>1626</v>
      </c>
      <c r="AQ148" s="466" t="s">
        <v>1627</v>
      </c>
      <c r="AR148" s="1295"/>
      <c r="AS148" s="699" t="s">
        <v>1628</v>
      </c>
    </row>
    <row r="149" spans="1:45" ht="105" hidden="1" customHeight="1">
      <c r="A149" s="16">
        <f>OBRA!J147</f>
        <v>2016</v>
      </c>
      <c r="B149" s="783" t="s">
        <v>1563</v>
      </c>
      <c r="C149" s="783"/>
      <c r="D149" s="783"/>
      <c r="E149" s="2" t="str">
        <f>OBRA!M147</f>
        <v>FONDEREG</v>
      </c>
      <c r="F149" s="704" t="s">
        <v>1629</v>
      </c>
      <c r="G149" s="501"/>
      <c r="H149" s="19" t="str">
        <f>OBRA!N147</f>
        <v>DOP/AD/012/2016</v>
      </c>
      <c r="I149" s="2" t="str">
        <f>OBRA!O147</f>
        <v>ADMINISTRACIÓN DIRECTA</v>
      </c>
      <c r="J149" s="3" t="str">
        <f>OBRA!P147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6"/>
      <c r="P149" s="79">
        <f>OBRA!R147</f>
        <v>165675.38</v>
      </c>
      <c r="Q149" s="1023">
        <f t="shared" si="6"/>
        <v>142823.60344827588</v>
      </c>
      <c r="R149" s="1023"/>
      <c r="S149" s="67">
        <f>OBRA!S147</f>
        <v>42591</v>
      </c>
      <c r="T149" s="1134" t="str">
        <f>OBRA!V147</f>
        <v>-</v>
      </c>
      <c r="U149" s="5">
        <f>OBRA!T147</f>
        <v>42618</v>
      </c>
      <c r="V149" s="11">
        <f>OBRA!U147</f>
        <v>42643</v>
      </c>
      <c r="W149" s="223"/>
      <c r="X149" s="578">
        <f>OBRA!AS147+OBRA!AT147</f>
        <v>150230.81</v>
      </c>
      <c r="Y149" s="278"/>
      <c r="Z149" s="146" t="str">
        <f>OBRA!W147</f>
        <v>-</v>
      </c>
      <c r="AA149" s="146"/>
      <c r="AB149" s="148" t="str">
        <f>Z149</f>
        <v>-</v>
      </c>
      <c r="AC149" s="146" t="s">
        <v>68</v>
      </c>
      <c r="AD149" s="146"/>
      <c r="AE149" s="183" t="str">
        <f>OBRA!X147</f>
        <v>ING. RIGOBERTO OLMEDO RAMOS</v>
      </c>
      <c r="AF149" s="19">
        <v>200</v>
      </c>
      <c r="AG149" s="2" t="s">
        <v>1451</v>
      </c>
      <c r="AH149" s="615">
        <f t="shared" si="4"/>
        <v>751.15404999999998</v>
      </c>
      <c r="AI149" s="2">
        <v>2373</v>
      </c>
      <c r="AJ149" s="156" t="s">
        <v>1452</v>
      </c>
      <c r="AK149" s="513"/>
      <c r="AL149" s="513"/>
      <c r="AM149" s="513"/>
      <c r="AN149" s="786"/>
      <c r="AO149" s="529"/>
      <c r="AP149" s="466" t="s">
        <v>1630</v>
      </c>
      <c r="AQ149" s="466" t="s">
        <v>1631</v>
      </c>
      <c r="AR149" s="1295"/>
      <c r="AS149" s="699" t="s">
        <v>1632</v>
      </c>
    </row>
    <row r="150" spans="1:45" ht="99.75" hidden="1" customHeight="1">
      <c r="A150" s="16">
        <f>OBRA!J148</f>
        <v>2016</v>
      </c>
      <c r="B150" s="783" t="s">
        <v>1563</v>
      </c>
      <c r="C150" s="783"/>
      <c r="D150" s="783"/>
      <c r="E150" s="2" t="str">
        <f>OBRA!M148</f>
        <v>FONDEREG</v>
      </c>
      <c r="F150" s="704" t="s">
        <v>1629</v>
      </c>
      <c r="G150" s="501"/>
      <c r="H150" s="19" t="str">
        <f>OBRA!N148</f>
        <v>DOP/AD/013/2016</v>
      </c>
      <c r="I150" s="2" t="str">
        <f>OBRA!O148</f>
        <v>ADMINISTRACIÓN DIRECTA</v>
      </c>
      <c r="J150" s="3" t="str">
        <f>OBRA!P148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4"/>
      <c r="P150" s="79">
        <f>OBRA!R148</f>
        <v>127975.51</v>
      </c>
      <c r="Q150" s="1023">
        <f t="shared" si="6"/>
        <v>110323.71551724138</v>
      </c>
      <c r="R150" s="1023"/>
      <c r="S150" s="67">
        <f>OBRA!S148</f>
        <v>42591</v>
      </c>
      <c r="T150" s="1134" t="str">
        <f>OBRA!V148</f>
        <v>-</v>
      </c>
      <c r="U150" s="5">
        <f>OBRA!T148</f>
        <v>42632</v>
      </c>
      <c r="V150" s="11">
        <f>OBRA!U148</f>
        <v>42651</v>
      </c>
      <c r="W150" s="223"/>
      <c r="X150" s="578">
        <f>OBRA!AS148+OBRA!AT148</f>
        <v>180784.87</v>
      </c>
      <c r="Y150" s="278"/>
      <c r="Z150" s="146" t="str">
        <f>OBRA!W148</f>
        <v>-</v>
      </c>
      <c r="AA150" s="146"/>
      <c r="AB150" s="148" t="str">
        <f>Z150</f>
        <v>-</v>
      </c>
      <c r="AC150" s="146" t="s">
        <v>68</v>
      </c>
      <c r="AD150" s="146"/>
      <c r="AE150" s="183" t="str">
        <f>OBRA!X148</f>
        <v>ING. RIGOBERTO OLMEDO RAMOS</v>
      </c>
      <c r="AF150" s="19">
        <v>200</v>
      </c>
      <c r="AG150" s="2" t="s">
        <v>1451</v>
      </c>
      <c r="AH150" s="615">
        <f t="shared" si="4"/>
        <v>903.92435</v>
      </c>
      <c r="AI150" s="2">
        <v>2373</v>
      </c>
      <c r="AJ150" s="156" t="s">
        <v>1452</v>
      </c>
      <c r="AK150" s="513"/>
      <c r="AL150" s="513"/>
      <c r="AM150" s="513"/>
      <c r="AN150" s="786"/>
      <c r="AO150" s="529"/>
      <c r="AP150" s="466" t="s">
        <v>1633</v>
      </c>
      <c r="AQ150" s="504" t="s">
        <v>1634</v>
      </c>
      <c r="AR150" s="1840"/>
      <c r="AS150" s="699" t="s">
        <v>1635</v>
      </c>
    </row>
    <row r="151" spans="1:45" ht="60" hidden="1" customHeight="1">
      <c r="A151" s="16">
        <f>OBRA!J149</f>
        <v>2016</v>
      </c>
      <c r="B151" s="783" t="s">
        <v>1563</v>
      </c>
      <c r="C151" s="783"/>
      <c r="D151" s="783"/>
      <c r="E151" s="2" t="str">
        <f>OBRA!M149</f>
        <v>FONDEREG</v>
      </c>
      <c r="F151" s="704" t="s">
        <v>1629</v>
      </c>
      <c r="G151" s="501"/>
      <c r="H151" s="19" t="str">
        <f>OBRA!N149</f>
        <v>DOP/AD/014/2016</v>
      </c>
      <c r="I151" s="2" t="str">
        <f>OBRA!O149</f>
        <v>ADMINISTRACIÓN DIRECTA</v>
      </c>
      <c r="J151" s="3" t="str">
        <f>OBRA!P149</f>
        <v>EMPEDRADO ECÓLOGICO CON HUELLAS DE CONCRETO HIDRAULICO EN LA CALLE ZARAGOZA DE LA LOCALIDAD DE SAN CRISTOBAL ZAPOTITLAN</v>
      </c>
      <c r="K151" s="3" t="s">
        <v>1636</v>
      </c>
      <c r="L151" s="3"/>
      <c r="M151" s="3" t="s">
        <v>1482</v>
      </c>
      <c r="N151" s="3" t="s">
        <v>1976</v>
      </c>
      <c r="O151" s="466"/>
      <c r="P151" s="79">
        <f>OBRA!R149</f>
        <v>2597533.2999999998</v>
      </c>
      <c r="Q151" s="1023">
        <f t="shared" si="6"/>
        <v>2239252.8448275863</v>
      </c>
      <c r="R151" s="1023"/>
      <c r="S151" s="67">
        <f>OBRA!S149</f>
        <v>42591</v>
      </c>
      <c r="T151" s="1134" t="str">
        <f>OBRA!V149</f>
        <v>-</v>
      </c>
      <c r="U151" s="5">
        <f>OBRA!T149</f>
        <v>42592</v>
      </c>
      <c r="V151" s="11">
        <f>OBRA!U149</f>
        <v>42719</v>
      </c>
      <c r="W151" s="223"/>
      <c r="X151" s="578">
        <f>OBRA!AS149+OBRA!AT149</f>
        <v>2015508.1099999999</v>
      </c>
      <c r="Y151" s="278"/>
      <c r="Z151" s="146" t="str">
        <f>OBRA!W149</f>
        <v>-</v>
      </c>
      <c r="AA151" s="146"/>
      <c r="AB151" s="148" t="str">
        <f>Z151</f>
        <v>-</v>
      </c>
      <c r="AC151" s="146" t="s">
        <v>68</v>
      </c>
      <c r="AD151" s="146"/>
      <c r="AE151" s="183" t="str">
        <f>OBRA!X149</f>
        <v>ING. RIGOBERTO OLMEDO RAMOS</v>
      </c>
      <c r="AF151" s="19">
        <v>4280.59</v>
      </c>
      <c r="AG151" s="2" t="s">
        <v>1548</v>
      </c>
      <c r="AH151" s="615">
        <f t="shared" si="4"/>
        <v>470.84820316825477</v>
      </c>
      <c r="AI151" s="2">
        <v>2373</v>
      </c>
      <c r="AJ151" s="156" t="s">
        <v>1452</v>
      </c>
      <c r="AK151" s="513"/>
      <c r="AL151" s="513"/>
      <c r="AM151" s="513"/>
      <c r="AN151" s="786"/>
      <c r="AO151" s="529"/>
      <c r="AP151" s="466" t="s">
        <v>1637</v>
      </c>
      <c r="AQ151" s="466" t="s">
        <v>1638</v>
      </c>
      <c r="AR151" s="1295"/>
      <c r="AS151" s="699" t="s">
        <v>1639</v>
      </c>
    </row>
    <row r="152" spans="1:45" ht="71.25" hidden="1" customHeight="1">
      <c r="A152" s="16">
        <f>OBRA!J150</f>
        <v>2016</v>
      </c>
      <c r="B152" s="783" t="s">
        <v>1563</v>
      </c>
      <c r="C152" s="783"/>
      <c r="D152" s="783"/>
      <c r="E152" s="2" t="str">
        <f>OBRA!M150</f>
        <v>CUENTA CORRIENTE</v>
      </c>
      <c r="F152" s="18" t="s">
        <v>1428</v>
      </c>
      <c r="G152" s="513"/>
      <c r="H152" s="19" t="str">
        <f>OBRA!N150</f>
        <v>DOP/AD/015/2016</v>
      </c>
      <c r="I152" s="2" t="str">
        <f>OBRA!O150</f>
        <v>ADMINISTRACIÓN DIRECTA</v>
      </c>
      <c r="J152" s="3" t="str">
        <f>OBRA!P150</f>
        <v>INSTALACIÓN DE DESCARGAS DOMICILIARIAS EN LA CALLE LÓPEZ RAYÓN DE PRIVADA INDEPENDENCIA HACIA CALLE VERANO EN LA CABECERA MUNICIPAL</v>
      </c>
      <c r="K152" s="3" t="s">
        <v>1640</v>
      </c>
      <c r="L152" s="3"/>
      <c r="M152" s="3" t="s">
        <v>1504</v>
      </c>
      <c r="N152" s="3" t="s">
        <v>1975</v>
      </c>
      <c r="O152" s="466"/>
      <c r="P152" s="79">
        <f>OBRA!R150</f>
        <v>12001.68</v>
      </c>
      <c r="Q152" s="1023">
        <f t="shared" si="6"/>
        <v>10346.275862068966</v>
      </c>
      <c r="R152" s="1023"/>
      <c r="S152" s="67">
        <f>OBRA!S150</f>
        <v>42548</v>
      </c>
      <c r="T152" s="1134" t="str">
        <f>OBRA!V150</f>
        <v>-</v>
      </c>
      <c r="U152" s="5">
        <f>OBRA!T150</f>
        <v>42549</v>
      </c>
      <c r="V152" s="11">
        <f>OBRA!U150</f>
        <v>42622</v>
      </c>
      <c r="W152" s="223"/>
      <c r="X152" s="578">
        <f>OBRA!AS150+OBRA!AT150</f>
        <v>18363.989999999998</v>
      </c>
      <c r="Y152" s="278"/>
      <c r="Z152" s="146" t="str">
        <f>OBRA!W150</f>
        <v>-</v>
      </c>
      <c r="AA152" s="146"/>
      <c r="AB152" s="148" t="str">
        <f>Z152</f>
        <v>-</v>
      </c>
      <c r="AC152" s="146" t="s">
        <v>68</v>
      </c>
      <c r="AD152" s="146"/>
      <c r="AE152" s="183" t="str">
        <f>OBRA!X150</f>
        <v>ING. J. GUADALUPE IBARRA RAMIREZ</v>
      </c>
      <c r="AF152" s="19">
        <v>10</v>
      </c>
      <c r="AG152" s="601" t="s">
        <v>1641</v>
      </c>
      <c r="AH152" s="615">
        <f t="shared" si="4"/>
        <v>1836.3989999999999</v>
      </c>
      <c r="AI152" s="601">
        <v>250</v>
      </c>
      <c r="AJ152" s="156" t="s">
        <v>1444</v>
      </c>
      <c r="AK152" s="513"/>
      <c r="AL152" s="513"/>
      <c r="AM152" s="513"/>
      <c r="AN152" s="786"/>
      <c r="AO152" s="466" t="s">
        <v>1642</v>
      </c>
      <c r="AP152" s="466" t="s">
        <v>1643</v>
      </c>
      <c r="AQ152" s="466" t="s">
        <v>1644</v>
      </c>
      <c r="AR152" s="1295"/>
      <c r="AS152" s="699" t="s">
        <v>1645</v>
      </c>
    </row>
    <row r="153" spans="1:45" ht="71.25" hidden="1" customHeight="1">
      <c r="A153" s="16">
        <f>OBRA!J151</f>
        <v>2016</v>
      </c>
      <c r="B153" s="783" t="s">
        <v>1563</v>
      </c>
      <c r="C153" s="783"/>
      <c r="D153" s="783"/>
      <c r="E153" s="2" t="str">
        <f>OBRA!M151</f>
        <v>CUENTA CORRIENTE</v>
      </c>
      <c r="F153" s="18" t="s">
        <v>1428</v>
      </c>
      <c r="G153" s="513"/>
      <c r="H153" s="19" t="str">
        <f>OBRA!N151</f>
        <v>DOP/AD/016/2016</v>
      </c>
      <c r="I153" s="2" t="str">
        <f>OBRA!O151</f>
        <v>ADMINISTRACIÓN DIRECTA</v>
      </c>
      <c r="J153" s="3" t="str">
        <f>OBRA!P151</f>
        <v>"AMPLIACIÓN DE RED DE AGUA POTABLE Y TOMAS DOMICILIARIAS EN LA CALLE LÓPEZ RAYÓN, PRIVADA INDEPENDENCIA HACIA CALLE VERANO" EN LA CABECERA MUNICIPAL</v>
      </c>
      <c r="K153" s="3" t="s">
        <v>1496</v>
      </c>
      <c r="L153" s="3"/>
      <c r="M153" s="3" t="s">
        <v>1504</v>
      </c>
      <c r="N153" s="3" t="s">
        <v>1975</v>
      </c>
      <c r="O153" s="504"/>
      <c r="P153" s="79">
        <f>OBRA!R151</f>
        <v>27133.54</v>
      </c>
      <c r="Q153" s="1023">
        <f t="shared" si="6"/>
        <v>23390.982758620692</v>
      </c>
      <c r="R153" s="1023"/>
      <c r="S153" s="67">
        <f>OBRA!S151</f>
        <v>42548</v>
      </c>
      <c r="T153" s="1134" t="str">
        <f>OBRA!V151</f>
        <v>-</v>
      </c>
      <c r="U153" s="5">
        <f>OBRA!T151</f>
        <v>42549</v>
      </c>
      <c r="V153" s="11">
        <f>OBRA!U151</f>
        <v>42622</v>
      </c>
      <c r="W153" s="223"/>
      <c r="X153" s="578">
        <f>OBRA!AS151+OBRA!AT151</f>
        <v>18890.98</v>
      </c>
      <c r="Y153" s="278"/>
      <c r="Z153" s="146" t="str">
        <f>OBRA!W151</f>
        <v>-</v>
      </c>
      <c r="AA153" s="146"/>
      <c r="AB153" s="148" t="str">
        <f t="shared" si="5"/>
        <v>-</v>
      </c>
      <c r="AC153" s="146" t="s">
        <v>68</v>
      </c>
      <c r="AD153" s="146"/>
      <c r="AE153" s="183" t="str">
        <f>OBRA!X151</f>
        <v>ING. J. GUADALUPE IBARRA RAMIREZ</v>
      </c>
      <c r="AF153" s="19">
        <v>33</v>
      </c>
      <c r="AG153" s="2" t="s">
        <v>1451</v>
      </c>
      <c r="AH153" s="615">
        <f t="shared" si="4"/>
        <v>572.45393939393944</v>
      </c>
      <c r="AI153" s="2">
        <v>250</v>
      </c>
      <c r="AJ153" s="156" t="s">
        <v>1444</v>
      </c>
      <c r="AK153" s="513"/>
      <c r="AL153" s="513"/>
      <c r="AM153" s="513"/>
      <c r="AN153" s="786"/>
      <c r="AO153" s="466" t="s">
        <v>1646</v>
      </c>
      <c r="AP153" s="466" t="s">
        <v>1647</v>
      </c>
      <c r="AQ153" s="504" t="s">
        <v>1648</v>
      </c>
      <c r="AR153" s="1840"/>
      <c r="AS153" s="699" t="s">
        <v>1649</v>
      </c>
    </row>
    <row r="154" spans="1:45" ht="69.75" hidden="1" customHeight="1">
      <c r="A154" s="16">
        <f>OBRA!J152</f>
        <v>2016</v>
      </c>
      <c r="B154" s="783" t="s">
        <v>1563</v>
      </c>
      <c r="C154" s="783"/>
      <c r="D154" s="783"/>
      <c r="E154" s="2" t="str">
        <f>OBRA!M152</f>
        <v>3X1 PARA MIGRANTES</v>
      </c>
      <c r="F154" s="613" t="s">
        <v>1650</v>
      </c>
      <c r="G154" s="493"/>
      <c r="H154" s="19" t="str">
        <f>OBRA!N152</f>
        <v>DOP/AD/017/2016</v>
      </c>
      <c r="I154" s="2" t="str">
        <f>OBRA!O152</f>
        <v>ADMINISTRACIÓN DIRECTA</v>
      </c>
      <c r="J154" s="3" t="str">
        <f>OBRA!P152</f>
        <v>REHABILITACIÓN DE RED DE DRENAJE EN CALLE RAMON CORONA DESDE PINO SUAREZ HASTA ZONA FEDERAL DEL LAGO, EN LA LOCALIDAD DE SAN PEDRO TESISTAN</v>
      </c>
      <c r="K154" s="3" t="s">
        <v>1481</v>
      </c>
      <c r="L154" s="3"/>
      <c r="M154" s="3" t="s">
        <v>1651</v>
      </c>
      <c r="N154" s="3" t="s">
        <v>2532</v>
      </c>
      <c r="O154" s="466"/>
      <c r="P154" s="79">
        <f>OBRA!R152</f>
        <v>136120</v>
      </c>
      <c r="Q154" s="1023">
        <f t="shared" si="6"/>
        <v>117344.8275862069</v>
      </c>
      <c r="R154" s="1023"/>
      <c r="S154" s="67">
        <f>OBRA!S152</f>
        <v>42627</v>
      </c>
      <c r="T154" s="1134" t="str">
        <f>OBRA!V152</f>
        <v>-</v>
      </c>
      <c r="U154" s="5">
        <f>OBRA!T152</f>
        <v>42627</v>
      </c>
      <c r="V154" s="11">
        <f>OBRA!U152</f>
        <v>42643</v>
      </c>
      <c r="W154" s="223"/>
      <c r="X154" s="578">
        <f>OBRA!AS152+OBRA!AT152</f>
        <v>136152.1</v>
      </c>
      <c r="Y154" s="278"/>
      <c r="Z154" s="146" t="str">
        <f>OBRA!W152</f>
        <v>-</v>
      </c>
      <c r="AA154" s="146"/>
      <c r="AB154" s="148" t="str">
        <f t="shared" si="5"/>
        <v>-</v>
      </c>
      <c r="AC154" s="146" t="s">
        <v>68</v>
      </c>
      <c r="AD154" s="146"/>
      <c r="AE154" s="183" t="str">
        <f>OBRA!X152</f>
        <v>ING. RIGOBERTO OLMEDO RAMOS</v>
      </c>
      <c r="AF154" s="19">
        <v>76</v>
      </c>
      <c r="AG154" s="2" t="s">
        <v>1451</v>
      </c>
      <c r="AH154" s="183">
        <f t="shared" si="4"/>
        <v>1791.4750000000001</v>
      </c>
      <c r="AI154" s="2">
        <v>70</v>
      </c>
      <c r="AJ154" s="156" t="s">
        <v>1444</v>
      </c>
      <c r="AK154" s="513"/>
      <c r="AL154" s="513"/>
      <c r="AM154" s="513"/>
      <c r="AN154" s="786"/>
      <c r="AO154" s="529"/>
      <c r="AP154" s="529"/>
      <c r="AQ154" s="466" t="s">
        <v>1652</v>
      </c>
      <c r="AR154" s="1295"/>
      <c r="AS154" s="699" t="s">
        <v>1653</v>
      </c>
    </row>
    <row r="155" spans="1:45" ht="69.75" hidden="1" customHeight="1">
      <c r="A155" s="16">
        <f>OBRA!J153</f>
        <v>2016</v>
      </c>
      <c r="B155" s="783" t="s">
        <v>1563</v>
      </c>
      <c r="C155" s="783"/>
      <c r="D155" s="783"/>
      <c r="E155" s="2" t="str">
        <f>OBRA!M153</f>
        <v>3X1 PARA MIGRANTES</v>
      </c>
      <c r="F155" s="613" t="s">
        <v>1654</v>
      </c>
      <c r="G155" s="493"/>
      <c r="H155" s="19" t="str">
        <f>OBRA!N153</f>
        <v>DOP/AD/018/2016</v>
      </c>
      <c r="I155" s="2" t="str">
        <f>OBRA!O153</f>
        <v>ADMINISTRACIÓN DIRECTA</v>
      </c>
      <c r="J155" s="3" t="str">
        <f>OBRA!P153</f>
        <v>REHABILITACION DE RED DE AGUA POTABLE EN CALLE RAMON CORONA DESDE PINO SUAREZ HASTA ZONA FEDERAL DEL LAGO, EN LA LOCALIDAD DE SAN PEDRO TESISTAN</v>
      </c>
      <c r="K155" s="3" t="s">
        <v>1496</v>
      </c>
      <c r="L155" s="3"/>
      <c r="M155" s="3" t="s">
        <v>1651</v>
      </c>
      <c r="N155" s="3" t="s">
        <v>2532</v>
      </c>
      <c r="O155" s="504"/>
      <c r="P155" s="79">
        <f>OBRA!R153</f>
        <v>100336</v>
      </c>
      <c r="Q155" s="1023">
        <f t="shared" si="6"/>
        <v>86496.551724137942</v>
      </c>
      <c r="R155" s="1023"/>
      <c r="S155" s="67">
        <f>OBRA!S153</f>
        <v>42639</v>
      </c>
      <c r="T155" s="1134" t="str">
        <f>OBRA!V153</f>
        <v>-</v>
      </c>
      <c r="U155" s="5">
        <f>OBRA!T153</f>
        <v>42639</v>
      </c>
      <c r="V155" s="11">
        <f>OBRA!U153</f>
        <v>42651</v>
      </c>
      <c r="W155" s="223"/>
      <c r="X155" s="578">
        <f>OBRA!AS153+OBRA!AT153</f>
        <v>85974.98000000001</v>
      </c>
      <c r="Y155" s="278"/>
      <c r="Z155" s="146" t="str">
        <f>OBRA!W153</f>
        <v>-</v>
      </c>
      <c r="AA155" s="146"/>
      <c r="AB155" s="148" t="str">
        <f t="shared" si="5"/>
        <v>-</v>
      </c>
      <c r="AC155" s="146" t="s">
        <v>68</v>
      </c>
      <c r="AD155" s="146"/>
      <c r="AE155" s="183" t="str">
        <f>OBRA!X153</f>
        <v>ING. RIGOBERTO OLMEDO RAMOS</v>
      </c>
      <c r="AF155" s="19">
        <v>76</v>
      </c>
      <c r="AG155" s="2" t="s">
        <v>1451</v>
      </c>
      <c r="AH155" s="183">
        <f t="shared" si="4"/>
        <v>1131.2497368421054</v>
      </c>
      <c r="AI155" s="2">
        <v>70</v>
      </c>
      <c r="AJ155" s="156" t="s">
        <v>1444</v>
      </c>
      <c r="AK155" s="513"/>
      <c r="AL155" s="513"/>
      <c r="AM155" s="513"/>
      <c r="AN155" s="786"/>
      <c r="AO155" s="466" t="s">
        <v>1655</v>
      </c>
      <c r="AP155" s="466" t="s">
        <v>1656</v>
      </c>
      <c r="AQ155" s="504" t="s">
        <v>1657</v>
      </c>
      <c r="AR155" s="1840"/>
      <c r="AS155" s="701" t="s">
        <v>1658</v>
      </c>
    </row>
    <row r="156" spans="1:45" ht="90.75" hidden="1" customHeight="1">
      <c r="A156" s="16">
        <f>OBRA!J154</f>
        <v>2016</v>
      </c>
      <c r="B156" s="783" t="s">
        <v>1563</v>
      </c>
      <c r="C156" s="783"/>
      <c r="D156" s="783"/>
      <c r="E156" s="2" t="str">
        <f>OBRA!M154</f>
        <v>3X1 PARA MIGRANTES</v>
      </c>
      <c r="F156" s="613" t="s">
        <v>1659</v>
      </c>
      <c r="G156" s="493"/>
      <c r="H156" s="19" t="str">
        <f>OBRA!N154</f>
        <v>DOP/AD/019/2016</v>
      </c>
      <c r="I156" s="2" t="str">
        <f>OBRA!O154</f>
        <v>ADMINISTRACIÓN DIRECTA</v>
      </c>
      <c r="J156" s="3" t="str">
        <f>OBRA!P154</f>
        <v>COLOCACIÓN DE EMPEDRADO AHOGADO EN CEMENTO EN CALLE RAMON CORONA DESDE PINO SUAREZ HASTA ZONA FEDERAL DEL LAGO, EN LA LOCALIDAD DE SAN PEDRO TESISTAN</v>
      </c>
      <c r="K156" s="3" t="s">
        <v>1496</v>
      </c>
      <c r="L156" s="3"/>
      <c r="M156" s="3" t="s">
        <v>1651</v>
      </c>
      <c r="N156" s="3" t="s">
        <v>2532</v>
      </c>
      <c r="O156" s="466"/>
      <c r="P156" s="79">
        <f>OBRA!R154</f>
        <v>236752</v>
      </c>
      <c r="Q156" s="1023">
        <f t="shared" si="6"/>
        <v>204096.55172413794</v>
      </c>
      <c r="R156" s="1023"/>
      <c r="S156" s="67">
        <f>OBRA!S154</f>
        <v>42641</v>
      </c>
      <c r="T156" s="1134" t="str">
        <f>OBRA!V154</f>
        <v>-</v>
      </c>
      <c r="U156" s="5">
        <f>OBRA!T154</f>
        <v>42639</v>
      </c>
      <c r="V156" s="11">
        <f>OBRA!U154</f>
        <v>42663</v>
      </c>
      <c r="W156" s="223"/>
      <c r="X156" s="578">
        <f>OBRA!AS154+OBRA!AT154</f>
        <v>236873.78</v>
      </c>
      <c r="Y156" s="278"/>
      <c r="Z156" s="146" t="str">
        <f>OBRA!W154</f>
        <v>-</v>
      </c>
      <c r="AA156" s="146"/>
      <c r="AB156" s="148" t="str">
        <f t="shared" si="5"/>
        <v>-</v>
      </c>
      <c r="AC156" s="146" t="s">
        <v>68</v>
      </c>
      <c r="AD156" s="146"/>
      <c r="AE156" s="183" t="str">
        <f>OBRA!X154</f>
        <v>ING. RIGOBERTO OLMEDO RAMOS</v>
      </c>
      <c r="AF156" s="19">
        <v>381.31</v>
      </c>
      <c r="AG156" s="2" t="s">
        <v>1548</v>
      </c>
      <c r="AH156" s="183">
        <f t="shared" si="4"/>
        <v>621.21051113267424</v>
      </c>
      <c r="AI156" s="2">
        <v>70</v>
      </c>
      <c r="AJ156" s="156" t="s">
        <v>1444</v>
      </c>
      <c r="AK156" s="513"/>
      <c r="AL156" s="513"/>
      <c r="AM156" s="513"/>
      <c r="AN156" s="786"/>
      <c r="AO156" s="529"/>
      <c r="AP156" s="529"/>
      <c r="AQ156" s="466" t="s">
        <v>1660</v>
      </c>
      <c r="AR156" s="1295"/>
      <c r="AS156" s="699" t="s">
        <v>1661</v>
      </c>
    </row>
    <row r="157" spans="1:45" ht="73.5" hidden="1" customHeight="1">
      <c r="A157" s="16">
        <f>OBRA!J155</f>
        <v>2016</v>
      </c>
      <c r="B157" s="783" t="s">
        <v>1563</v>
      </c>
      <c r="C157" s="783"/>
      <c r="D157" s="783"/>
      <c r="E157" s="2" t="str">
        <f>OBRA!M155</f>
        <v>3X1 PARA MIGRANTES</v>
      </c>
      <c r="F157" s="613" t="s">
        <v>1662</v>
      </c>
      <c r="G157" s="493"/>
      <c r="H157" s="19" t="str">
        <f>OBRA!N155</f>
        <v>DOP/AD/020/2016</v>
      </c>
      <c r="I157" s="2" t="str">
        <f>OBRA!O155</f>
        <v>ADMINISTRACIÓN DIRECTA</v>
      </c>
      <c r="J157" s="3" t="str">
        <f>OBRA!P155</f>
        <v xml:space="preserve">REHABILITACION DE RED DE DRENAJE EN CALLE GUADALUPE VICTORIA DESDE HIDALGO HASTA ZONA FEDERAL DEL LAGO, EN LA LOCALIDAD DE SAN PEDRO TESISTAN </v>
      </c>
      <c r="K157" s="3" t="s">
        <v>1481</v>
      </c>
      <c r="L157" s="3"/>
      <c r="M157" s="3" t="s">
        <v>1663</v>
      </c>
      <c r="N157" s="3" t="s">
        <v>2532</v>
      </c>
      <c r="O157" s="466"/>
      <c r="P157" s="79">
        <f>OBRA!R155</f>
        <v>214516</v>
      </c>
      <c r="Q157" s="1023">
        <f t="shared" si="6"/>
        <v>184927.58620689655</v>
      </c>
      <c r="R157" s="1023"/>
      <c r="S157" s="67">
        <f>OBRA!S155</f>
        <v>42639</v>
      </c>
      <c r="T157" s="1134" t="str">
        <f>OBRA!V155</f>
        <v>-</v>
      </c>
      <c r="U157" s="5">
        <f>OBRA!T155</f>
        <v>42641</v>
      </c>
      <c r="V157" s="11">
        <f>OBRA!U155</f>
        <v>42663</v>
      </c>
      <c r="W157" s="223"/>
      <c r="X157" s="578">
        <f>OBRA!AS155+OBRA!AT155</f>
        <v>183666.38</v>
      </c>
      <c r="Y157" s="278"/>
      <c r="Z157" s="146" t="str">
        <f>OBRA!W155</f>
        <v>-</v>
      </c>
      <c r="AA157" s="146"/>
      <c r="AB157" s="148" t="str">
        <f t="shared" si="5"/>
        <v>-</v>
      </c>
      <c r="AC157" s="146" t="s">
        <v>68</v>
      </c>
      <c r="AD157" s="146"/>
      <c r="AE157" s="183" t="str">
        <f>OBRA!X155</f>
        <v>ING. RIGOBERTO OLMEDO RAMOS</v>
      </c>
      <c r="AF157" s="19">
        <v>120</v>
      </c>
      <c r="AG157" s="2" t="s">
        <v>1451</v>
      </c>
      <c r="AH157" s="183">
        <f t="shared" si="4"/>
        <v>1530.5531666666668</v>
      </c>
      <c r="AI157" s="2">
        <v>90</v>
      </c>
      <c r="AJ157" s="156" t="s">
        <v>1444</v>
      </c>
      <c r="AK157" s="513"/>
      <c r="AL157" s="513"/>
      <c r="AM157" s="513"/>
      <c r="AN157" s="786"/>
      <c r="AO157" s="466" t="s">
        <v>1664</v>
      </c>
      <c r="AP157" s="466" t="s">
        <v>1665</v>
      </c>
      <c r="AQ157" s="466" t="s">
        <v>1666</v>
      </c>
      <c r="AR157" s="1295"/>
      <c r="AS157" s="699" t="s">
        <v>1667</v>
      </c>
    </row>
    <row r="158" spans="1:45" ht="74.25" hidden="1" customHeight="1">
      <c r="A158" s="16">
        <f>OBRA!J156</f>
        <v>2016</v>
      </c>
      <c r="B158" s="783" t="s">
        <v>1563</v>
      </c>
      <c r="C158" s="783"/>
      <c r="D158" s="783"/>
      <c r="E158" s="2" t="str">
        <f>OBRA!M156</f>
        <v>3X1 PARA MIGRANTES</v>
      </c>
      <c r="F158" s="613" t="s">
        <v>1668</v>
      </c>
      <c r="G158" s="493"/>
      <c r="H158" s="19" t="str">
        <f>OBRA!N156</f>
        <v>DOP/AD/021/2016</v>
      </c>
      <c r="I158" s="2" t="str">
        <f>OBRA!O156</f>
        <v>ADMINISTRACIÓN DIRECTA</v>
      </c>
      <c r="J158" s="3" t="str">
        <f>OBRA!P156</f>
        <v>REHABILITACION DE RED DE AGUA POTABLE EN CALLE GUADALUPE VICTORIA ENTRE HIDALGO Y ZONA FEDERAL DEL LAGO, EN LA LOCALIDAD DE SAN PEDRO TESISTAN</v>
      </c>
      <c r="K158" s="3" t="s">
        <v>1496</v>
      </c>
      <c r="L158" s="3"/>
      <c r="M158" s="3" t="s">
        <v>1663</v>
      </c>
      <c r="N158" s="3" t="s">
        <v>2532</v>
      </c>
      <c r="O158" s="504"/>
      <c r="P158" s="79">
        <f>OBRA!R156</f>
        <v>245400</v>
      </c>
      <c r="Q158" s="1023">
        <f t="shared" si="6"/>
        <v>211551.72413793104</v>
      </c>
      <c r="R158" s="1023"/>
      <c r="S158" s="67">
        <f>OBRA!S156</f>
        <v>42646</v>
      </c>
      <c r="T158" s="1134" t="str">
        <f>OBRA!V156</f>
        <v>-</v>
      </c>
      <c r="U158" s="5">
        <f>OBRA!T156</f>
        <v>42648</v>
      </c>
      <c r="V158" s="11">
        <f>OBRA!U156</f>
        <v>42669</v>
      </c>
      <c r="W158" s="223"/>
      <c r="X158" s="578">
        <f>OBRA!AS156+OBRA!AT156</f>
        <v>108938.53</v>
      </c>
      <c r="Y158" s="278"/>
      <c r="Z158" s="146" t="str">
        <f>OBRA!W156</f>
        <v>-</v>
      </c>
      <c r="AA158" s="146"/>
      <c r="AB158" s="148" t="str">
        <f t="shared" si="5"/>
        <v>-</v>
      </c>
      <c r="AC158" s="146" t="s">
        <v>68</v>
      </c>
      <c r="AD158" s="146"/>
      <c r="AE158" s="183" t="str">
        <f>OBRA!X156</f>
        <v>ING. RIGOBERTO OLMEDO RAMOS</v>
      </c>
      <c r="AF158" s="19">
        <v>120</v>
      </c>
      <c r="AG158" s="2" t="s">
        <v>1451</v>
      </c>
      <c r="AH158" s="183">
        <f t="shared" si="4"/>
        <v>907.82108333333338</v>
      </c>
      <c r="AI158" s="2">
        <v>90</v>
      </c>
      <c r="AJ158" s="156" t="s">
        <v>1444</v>
      </c>
      <c r="AK158" s="513"/>
      <c r="AL158" s="513"/>
      <c r="AM158" s="513"/>
      <c r="AN158" s="786"/>
      <c r="AO158" s="466" t="s">
        <v>1669</v>
      </c>
      <c r="AP158" s="466" t="s">
        <v>1670</v>
      </c>
      <c r="AQ158" s="504" t="s">
        <v>1671</v>
      </c>
      <c r="AR158" s="1840"/>
      <c r="AS158" s="701" t="s">
        <v>1672</v>
      </c>
    </row>
    <row r="159" spans="1:45" ht="93" hidden="1" customHeight="1">
      <c r="A159" s="16">
        <f>OBRA!J157</f>
        <v>2016</v>
      </c>
      <c r="B159" s="783" t="s">
        <v>1563</v>
      </c>
      <c r="C159" s="783"/>
      <c r="D159" s="783"/>
      <c r="E159" s="2" t="str">
        <f>OBRA!M157</f>
        <v>3X1 PARA MIGRANTES</v>
      </c>
      <c r="F159" s="613" t="s">
        <v>1673</v>
      </c>
      <c r="G159" s="493"/>
      <c r="H159" s="19" t="str">
        <f>OBRA!N157</f>
        <v>DOP/AD/022/2016</v>
      </c>
      <c r="I159" s="2" t="str">
        <f>OBRA!O157</f>
        <v>ADMINISTRACIÓN DIRECTA</v>
      </c>
      <c r="J159" s="3" t="str">
        <f>OBRA!P157</f>
        <v>COLOCACIÓN DE EMPEDRADO AHOGADO EN CEMENTO EN CALLE GUADALUPE VICTORIA DESDE HIDALGO HASTA ZONA FEDERAL DEL LAGO, EN LA LOCALIDAD DE SAN PEDRO TESISTAN</v>
      </c>
      <c r="K159" s="3" t="s">
        <v>1592</v>
      </c>
      <c r="L159" s="3"/>
      <c r="M159" s="3" t="s">
        <v>1663</v>
      </c>
      <c r="N159" s="3" t="s">
        <v>2532</v>
      </c>
      <c r="O159" s="466"/>
      <c r="P159" s="79">
        <f>OBRA!R157</f>
        <v>259860</v>
      </c>
      <c r="Q159" s="1023">
        <f t="shared" si="6"/>
        <v>224017.24137931035</v>
      </c>
      <c r="R159" s="1023"/>
      <c r="S159" s="67">
        <f>OBRA!S157</f>
        <v>42657</v>
      </c>
      <c r="T159" s="1134" t="str">
        <f>OBRA!V157</f>
        <v>-</v>
      </c>
      <c r="U159" s="5">
        <f>OBRA!T157</f>
        <v>42660</v>
      </c>
      <c r="V159" s="11">
        <f>OBRA!U157</f>
        <v>42684</v>
      </c>
      <c r="W159" s="223"/>
      <c r="X159" s="578">
        <f>OBRA!AS157+OBRA!AT157</f>
        <v>199394.11</v>
      </c>
      <c r="Y159" s="278"/>
      <c r="Z159" s="146" t="str">
        <f>OBRA!W157</f>
        <v>-</v>
      </c>
      <c r="AA159" s="146"/>
      <c r="AB159" s="148" t="str">
        <f t="shared" si="5"/>
        <v>-</v>
      </c>
      <c r="AC159" s="146" t="s">
        <v>68</v>
      </c>
      <c r="AD159" s="146"/>
      <c r="AE159" s="183" t="str">
        <f>OBRA!X157</f>
        <v>ING. RIGOBERTO OLMEDO RAMOS</v>
      </c>
      <c r="AF159" s="19">
        <v>418.8</v>
      </c>
      <c r="AG159" s="2" t="s">
        <v>1548</v>
      </c>
      <c r="AH159" s="183">
        <f t="shared" si="4"/>
        <v>476.10819006685762</v>
      </c>
      <c r="AI159" s="2">
        <v>90</v>
      </c>
      <c r="AJ159" s="156" t="s">
        <v>1444</v>
      </c>
      <c r="AK159" s="513"/>
      <c r="AL159" s="513"/>
      <c r="AM159" s="513"/>
      <c r="AN159" s="786"/>
      <c r="AO159" s="466" t="s">
        <v>1674</v>
      </c>
      <c r="AP159" s="466" t="s">
        <v>1675</v>
      </c>
      <c r="AQ159" s="466" t="s">
        <v>1676</v>
      </c>
      <c r="AR159" s="1295"/>
      <c r="AS159" s="699" t="s">
        <v>1677</v>
      </c>
    </row>
    <row r="160" spans="1:45" ht="63.75" hidden="1" customHeight="1">
      <c r="A160" s="16">
        <f>OBRA!J158</f>
        <v>2016</v>
      </c>
      <c r="B160" s="783" t="s">
        <v>1563</v>
      </c>
      <c r="C160" s="783"/>
      <c r="D160" s="783"/>
      <c r="E160" s="2" t="str">
        <f>OBRA!M158</f>
        <v>3X1 PARA MIGRANTES</v>
      </c>
      <c r="F160" s="613" t="s">
        <v>1678</v>
      </c>
      <c r="G160" s="493"/>
      <c r="H160" s="19" t="str">
        <f>OBRA!N158</f>
        <v>DOP/AD/023/2016</v>
      </c>
      <c r="I160" s="2" t="str">
        <f>OBRA!O158</f>
        <v>ADMINISTRACIÓN DIRECTA</v>
      </c>
      <c r="J160" s="3" t="str">
        <f>OBRA!P158</f>
        <v>CONSTRUCCIÓN DE DRENAJE PLUVIAL EN CALLE PRIVADA CAMICHINES DE LA CABECERA</v>
      </c>
      <c r="K160" s="3" t="s">
        <v>1481</v>
      </c>
      <c r="L160" s="3"/>
      <c r="M160" s="3" t="s">
        <v>1679</v>
      </c>
      <c r="N160" s="3" t="s">
        <v>1975</v>
      </c>
      <c r="O160" s="466"/>
      <c r="P160" s="79">
        <f>OBRA!R158</f>
        <v>233400</v>
      </c>
      <c r="Q160" s="1023">
        <f t="shared" si="6"/>
        <v>201206.89655172414</v>
      </c>
      <c r="R160" s="1023"/>
      <c r="S160" s="67">
        <f>OBRA!S158</f>
        <v>42627</v>
      </c>
      <c r="T160" s="1134" t="str">
        <f>OBRA!V158</f>
        <v>-</v>
      </c>
      <c r="U160" s="5">
        <f>OBRA!T158</f>
        <v>42690</v>
      </c>
      <c r="V160" s="11">
        <f>OBRA!U158</f>
        <v>42700</v>
      </c>
      <c r="W160" s="223"/>
      <c r="X160" s="578">
        <f>OBRA!AS158+OBRA!AT158</f>
        <v>183800.47999999998</v>
      </c>
      <c r="Y160" s="278"/>
      <c r="Z160" s="146" t="str">
        <f>OBRA!W158</f>
        <v>-</v>
      </c>
      <c r="AA160" s="146"/>
      <c r="AB160" s="148" t="str">
        <f t="shared" si="5"/>
        <v>-</v>
      </c>
      <c r="AC160" s="146" t="s">
        <v>68</v>
      </c>
      <c r="AD160" s="146"/>
      <c r="AE160" s="183" t="str">
        <f>OBRA!X158</f>
        <v>ING. RIGOBERTO OLMEDO RAMOS</v>
      </c>
      <c r="AF160" s="19">
        <v>147.32</v>
      </c>
      <c r="AG160" s="2" t="s">
        <v>1451</v>
      </c>
      <c r="AH160" s="183">
        <f t="shared" si="4"/>
        <v>1247.6274775997827</v>
      </c>
      <c r="AI160" s="2">
        <v>70</v>
      </c>
      <c r="AJ160" s="156" t="s">
        <v>1444</v>
      </c>
      <c r="AK160" s="513"/>
      <c r="AL160" s="513"/>
      <c r="AM160" s="513"/>
      <c r="AN160" s="786"/>
      <c r="AO160" s="466" t="s">
        <v>1680</v>
      </c>
      <c r="AP160" s="466" t="s">
        <v>1681</v>
      </c>
      <c r="AQ160" s="466" t="s">
        <v>1682</v>
      </c>
      <c r="AR160" s="1295"/>
      <c r="AS160" s="699" t="s">
        <v>1683</v>
      </c>
    </row>
    <row r="161" spans="1:45" ht="62.25" hidden="1" customHeight="1">
      <c r="A161" s="16">
        <f>OBRA!J159</f>
        <v>2016</v>
      </c>
      <c r="B161" s="783" t="s">
        <v>1563</v>
      </c>
      <c r="C161" s="783"/>
      <c r="D161" s="783"/>
      <c r="E161" s="2" t="str">
        <f>OBRA!M159</f>
        <v>3X1 PARA MIGRANTES</v>
      </c>
      <c r="F161" s="613" t="s">
        <v>1684</v>
      </c>
      <c r="G161" s="493"/>
      <c r="H161" s="19" t="str">
        <f>OBRA!N159</f>
        <v>DOP/AD/024/2016</v>
      </c>
      <c r="I161" s="2" t="str">
        <f>OBRA!O159</f>
        <v>ADMINISTRACIÓN DIRECTA</v>
      </c>
      <c r="J161" s="3" t="str">
        <f>OBRA!P159</f>
        <v>COLOCACIÓN DE ADOQUÍN EN CALLE PRIVADA CAMICHINES, EN LA CABECERA</v>
      </c>
      <c r="K161" s="3" t="s">
        <v>1685</v>
      </c>
      <c r="L161" s="3"/>
      <c r="M161" s="3" t="s">
        <v>1679</v>
      </c>
      <c r="N161" s="3" t="s">
        <v>1975</v>
      </c>
      <c r="O161" s="504"/>
      <c r="P161" s="79">
        <f>OBRA!R159</f>
        <v>456248</v>
      </c>
      <c r="Q161" s="1023">
        <f t="shared" si="6"/>
        <v>393317.24137931038</v>
      </c>
      <c r="R161" s="1023"/>
      <c r="S161" s="67">
        <f>OBRA!S159</f>
        <v>42641</v>
      </c>
      <c r="T161" s="1134" t="str">
        <f>OBRA!V159</f>
        <v>-</v>
      </c>
      <c r="U161" s="5">
        <f>OBRA!T159</f>
        <v>42702</v>
      </c>
      <c r="V161" s="11">
        <f>OBRA!U159</f>
        <v>42721</v>
      </c>
      <c r="W161" s="223"/>
      <c r="X161" s="578">
        <f>OBRA!AS159+OBRA!AT159</f>
        <v>437166.63</v>
      </c>
      <c r="Y161" s="278"/>
      <c r="Z161" s="146" t="str">
        <f>OBRA!W159</f>
        <v>-</v>
      </c>
      <c r="AA161" s="146"/>
      <c r="AB161" s="148" t="str">
        <f t="shared" si="5"/>
        <v>-</v>
      </c>
      <c r="AC161" s="146" t="s">
        <v>68</v>
      </c>
      <c r="AD161" s="146"/>
      <c r="AE161" s="183" t="str">
        <f>OBRA!X159</f>
        <v>ING. RIGOBERTO OLMEDO RAMOS</v>
      </c>
      <c r="AF161" s="19">
        <v>71</v>
      </c>
      <c r="AG161" s="2" t="s">
        <v>1548</v>
      </c>
      <c r="AH161" s="183">
        <f t="shared" si="4"/>
        <v>6157.2764788732393</v>
      </c>
      <c r="AI161" s="2">
        <v>70</v>
      </c>
      <c r="AJ161" s="156" t="s">
        <v>1444</v>
      </c>
      <c r="AK161" s="513"/>
      <c r="AL161" s="513"/>
      <c r="AM161" s="513"/>
      <c r="AN161" s="786"/>
      <c r="AO161" s="466" t="s">
        <v>1686</v>
      </c>
      <c r="AP161" s="466" t="s">
        <v>1687</v>
      </c>
      <c r="AQ161" s="504" t="s">
        <v>1688</v>
      </c>
      <c r="AR161" s="1840"/>
      <c r="AS161" s="701" t="s">
        <v>1689</v>
      </c>
    </row>
    <row r="162" spans="1:45" ht="70.5" hidden="1" customHeight="1">
      <c r="A162" s="16">
        <f>OBRA!J160</f>
        <v>2016</v>
      </c>
      <c r="B162" s="783" t="s">
        <v>1563</v>
      </c>
      <c r="C162" s="783"/>
      <c r="D162" s="783"/>
      <c r="E162" s="2" t="str">
        <f>OBRA!M160</f>
        <v>3X1 PARA MIGRANTES</v>
      </c>
      <c r="F162" s="613" t="s">
        <v>1690</v>
      </c>
      <c r="G162" s="493"/>
      <c r="H162" s="19" t="str">
        <f>OBRA!N160</f>
        <v>DOP/AD/025/2016</v>
      </c>
      <c r="I162" s="2" t="str">
        <f>OBRA!O160</f>
        <v>ADMINISTRACIÓN DIRECTA</v>
      </c>
      <c r="J162" s="3" t="str">
        <f>OBRA!P160</f>
        <v>REHABILITACIÓN DE RED DE DRENAJE EN CALLE RIVERA DEL LAGO DEL PARQUE LÍNEAL HASTA CALLE CHUECA, EN LA AGENCIA MUNICIPAL DE CHANTEPEC</v>
      </c>
      <c r="K162" s="3" t="s">
        <v>1481</v>
      </c>
      <c r="L162" s="3"/>
      <c r="M162" s="3" t="s">
        <v>1691</v>
      </c>
      <c r="N162" s="3" t="s">
        <v>2538</v>
      </c>
      <c r="O162" s="466"/>
      <c r="P162" s="79">
        <f>OBRA!R160</f>
        <v>525186</v>
      </c>
      <c r="Q162" s="1023">
        <f t="shared" si="6"/>
        <v>452746.55172413797</v>
      </c>
      <c r="R162" s="1023"/>
      <c r="S162" s="67">
        <f>OBRA!S160</f>
        <v>42630</v>
      </c>
      <c r="T162" s="1134" t="str">
        <f>OBRA!V160</f>
        <v>-</v>
      </c>
      <c r="U162" s="5">
        <f>OBRA!T160</f>
        <v>42662</v>
      </c>
      <c r="V162" s="11">
        <f>OBRA!U160</f>
        <v>42672</v>
      </c>
      <c r="W162" s="223"/>
      <c r="X162" s="578">
        <f>OBRA!AS160+OBRA!AT160</f>
        <v>526264.59</v>
      </c>
      <c r="Y162" s="278"/>
      <c r="Z162" s="146" t="str">
        <f>OBRA!W160</f>
        <v>-</v>
      </c>
      <c r="AA162" s="146"/>
      <c r="AB162" s="148" t="str">
        <f t="shared" si="5"/>
        <v>-</v>
      </c>
      <c r="AC162" s="146" t="s">
        <v>68</v>
      </c>
      <c r="AD162" s="146"/>
      <c r="AE162" s="183" t="str">
        <f>OBRA!X160</f>
        <v>ING. RIGOBERTO OLMEDO RAMOS</v>
      </c>
      <c r="AF162" s="19">
        <v>309</v>
      </c>
      <c r="AG162" s="2" t="s">
        <v>1451</v>
      </c>
      <c r="AH162" s="183">
        <f t="shared" si="4"/>
        <v>1703.1216504854367</v>
      </c>
      <c r="AI162" s="2">
        <v>1500</v>
      </c>
      <c r="AJ162" s="156" t="s">
        <v>1452</v>
      </c>
      <c r="AK162" s="513"/>
      <c r="AL162" s="513"/>
      <c r="AM162" s="513"/>
      <c r="AN162" s="786"/>
      <c r="AO162" s="466" t="s">
        <v>1692</v>
      </c>
      <c r="AP162" s="466" t="s">
        <v>1693</v>
      </c>
      <c r="AQ162" s="466" t="s">
        <v>1694</v>
      </c>
      <c r="AR162" s="1295"/>
      <c r="AS162" s="699" t="s">
        <v>1695</v>
      </c>
    </row>
    <row r="163" spans="1:45" ht="61.5" hidden="1" customHeight="1">
      <c r="A163" s="16">
        <f>OBRA!J161</f>
        <v>2016</v>
      </c>
      <c r="B163" s="783" t="s">
        <v>1563</v>
      </c>
      <c r="C163" s="783"/>
      <c r="D163" s="783"/>
      <c r="E163" s="2" t="str">
        <f>OBRA!M161</f>
        <v>3X1 PARA MIGRANTES</v>
      </c>
      <c r="F163" s="613" t="s">
        <v>1696</v>
      </c>
      <c r="G163" s="493"/>
      <c r="H163" s="19" t="str">
        <f>OBRA!N161</f>
        <v>DOP/AD/026/2016</v>
      </c>
      <c r="I163" s="2" t="str">
        <f>OBRA!O161</f>
        <v>ADMINISTRACIÓN DIRECTA</v>
      </c>
      <c r="J163" s="3" t="str">
        <f>OBRA!P161</f>
        <v xml:space="preserve">REHABILITACIÓN DE RED DE DRENAJE CALLE INSURGENTES, EN LA LOCALIDAD DE ZAPOTITAN DE HIDALGO </v>
      </c>
      <c r="K163" s="3" t="s">
        <v>1481</v>
      </c>
      <c r="L163" s="3"/>
      <c r="M163" s="3" t="s">
        <v>1697</v>
      </c>
      <c r="N163" s="3" t="s">
        <v>2604</v>
      </c>
      <c r="O163" s="466"/>
      <c r="P163" s="79">
        <f>OBRA!R161</f>
        <v>678342</v>
      </c>
      <c r="Q163" s="1023">
        <f t="shared" si="6"/>
        <v>584777.58620689658</v>
      </c>
      <c r="R163" s="1023"/>
      <c r="S163" s="67">
        <f>OBRA!S161</f>
        <v>42678</v>
      </c>
      <c r="T163" s="1134" t="str">
        <f>OBRA!V161</f>
        <v>-</v>
      </c>
      <c r="U163" s="5">
        <f>OBRA!T161</f>
        <v>42682</v>
      </c>
      <c r="V163" s="11">
        <f>OBRA!U161</f>
        <v>42704</v>
      </c>
      <c r="W163" s="223"/>
      <c r="X163" s="578">
        <f>OBRA!AS161+OBRA!AT161</f>
        <v>680199.78</v>
      </c>
      <c r="Y163" s="278"/>
      <c r="Z163" s="146" t="str">
        <f>OBRA!W161</f>
        <v>-</v>
      </c>
      <c r="AA163" s="146"/>
      <c r="AB163" s="148" t="str">
        <f t="shared" si="5"/>
        <v>-</v>
      </c>
      <c r="AC163" s="146" t="s">
        <v>68</v>
      </c>
      <c r="AD163" s="146"/>
      <c r="AE163" s="183" t="str">
        <f>OBRA!X161</f>
        <v>ING. RIGOBERTO OLMEDO RAMOS</v>
      </c>
      <c r="AF163" s="19">
        <v>300</v>
      </c>
      <c r="AG163" s="2" t="s">
        <v>1451</v>
      </c>
      <c r="AH163" s="183">
        <f t="shared" si="4"/>
        <v>2267.3326000000002</v>
      </c>
      <c r="AI163" s="2">
        <v>150</v>
      </c>
      <c r="AJ163" s="156" t="s">
        <v>1444</v>
      </c>
      <c r="AK163" s="513"/>
      <c r="AL163" s="513"/>
      <c r="AM163" s="513"/>
      <c r="AN163" s="786"/>
      <c r="AO163" s="466" t="s">
        <v>1698</v>
      </c>
      <c r="AP163" s="466" t="s">
        <v>1699</v>
      </c>
      <c r="AQ163" s="466" t="s">
        <v>1700</v>
      </c>
      <c r="AR163" s="1295"/>
      <c r="AS163" s="699" t="s">
        <v>1701</v>
      </c>
    </row>
    <row r="164" spans="1:45" ht="93" hidden="1" customHeight="1">
      <c r="A164" s="16">
        <f>OBRA!J162</f>
        <v>2016</v>
      </c>
      <c r="B164" s="783" t="s">
        <v>1563</v>
      </c>
      <c r="C164" s="783"/>
      <c r="D164" s="783"/>
      <c r="E164" s="2" t="str">
        <f>OBRA!M162</f>
        <v xml:space="preserve">Fortalecimiento Financiero Para La Inversion </v>
      </c>
      <c r="F164" s="704" t="s">
        <v>1702</v>
      </c>
      <c r="G164" s="501"/>
      <c r="H164" s="19" t="str">
        <f>OBRA!N162</f>
        <v>DOP/AD/027/2016</v>
      </c>
      <c r="I164" s="2" t="str">
        <f>OBRA!O162</f>
        <v>ADMINISTRACIÓN DIRECTA</v>
      </c>
      <c r="J164" s="3" t="str">
        <f>OBRA!P162</f>
        <v>REHABILITACIÓN DE BANQUETAS, RAMPAS, GUARNICIONES Y JARDINERÍA EN LA CALLE DEGOLLADO ENTRE JOSEFA ORTIZ DE DOMINGUEZ Y NICOLAS BRAVO, EN EL MUNICIPIO DE JOCOTEPEC, JALISCO</v>
      </c>
      <c r="K164" s="3" t="s">
        <v>1703</v>
      </c>
      <c r="L164" s="3"/>
      <c r="M164" s="3" t="s">
        <v>1704</v>
      </c>
      <c r="N164" s="3" t="s">
        <v>1975</v>
      </c>
      <c r="O164" s="466"/>
      <c r="P164" s="79">
        <f>OBRA!R162</f>
        <v>275569.48</v>
      </c>
      <c r="Q164" s="1023">
        <f t="shared" si="6"/>
        <v>237559.89655172414</v>
      </c>
      <c r="R164" s="1023"/>
      <c r="S164" s="67">
        <f>OBRA!S162</f>
        <v>43053</v>
      </c>
      <c r="T164" s="1134" t="str">
        <f>OBRA!V162</f>
        <v>-</v>
      </c>
      <c r="U164" s="5">
        <f>OBRA!T162</f>
        <v>42689</v>
      </c>
      <c r="V164" s="11">
        <f>OBRA!U162</f>
        <v>42734</v>
      </c>
      <c r="W164" s="223"/>
      <c r="X164" s="578">
        <f>OBRA!AS162+OBRA!AT162</f>
        <v>273171.55000000005</v>
      </c>
      <c r="Y164" s="278"/>
      <c r="Z164" s="146" t="str">
        <f>OBRA!W162</f>
        <v>-</v>
      </c>
      <c r="AA164" s="146"/>
      <c r="AB164" s="148" t="str">
        <f t="shared" si="5"/>
        <v>-</v>
      </c>
      <c r="AC164" s="146" t="s">
        <v>68</v>
      </c>
      <c r="AD164" s="146"/>
      <c r="AE164" s="183" t="str">
        <f>OBRA!X162</f>
        <v>ING. J. GUADALUPE IBARRA RAMIREZ</v>
      </c>
      <c r="AF164" s="19">
        <v>573</v>
      </c>
      <c r="AG164" s="2" t="s">
        <v>1429</v>
      </c>
      <c r="AH164" s="183">
        <f t="shared" si="4"/>
        <v>476.73917975567196</v>
      </c>
      <c r="AI164" s="2">
        <v>1000</v>
      </c>
      <c r="AJ164" s="156" t="s">
        <v>1452</v>
      </c>
      <c r="AK164" s="513"/>
      <c r="AL164" s="513"/>
      <c r="AM164" s="513"/>
      <c r="AN164" s="786"/>
      <c r="AO164" s="466" t="s">
        <v>1705</v>
      </c>
      <c r="AP164" s="529"/>
      <c r="AQ164" s="466" t="s">
        <v>1706</v>
      </c>
      <c r="AR164" s="1295"/>
      <c r="AS164" s="699" t="s">
        <v>1707</v>
      </c>
    </row>
    <row r="165" spans="1:45" ht="67.5" hidden="1" customHeight="1">
      <c r="A165" s="16">
        <f>OBRA!J163</f>
        <v>2016</v>
      </c>
      <c r="B165" s="783" t="s">
        <v>1563</v>
      </c>
      <c r="C165" s="783"/>
      <c r="D165" s="783"/>
      <c r="E165" s="2" t="str">
        <f>OBRA!M163</f>
        <v>RAMO 33</v>
      </c>
      <c r="F165" s="18" t="s">
        <v>1428</v>
      </c>
      <c r="G165" s="513"/>
      <c r="H165" s="19" t="str">
        <f>OBRA!N163</f>
        <v>DOP/AD/028/2016</v>
      </c>
      <c r="I165" s="2" t="str">
        <f>OBRA!O163</f>
        <v>ADMINISTRACIÓN DIRECTA</v>
      </c>
      <c r="J165" s="3" t="str">
        <f>OBRA!P163</f>
        <v>CONSTRUCCIÓN DE RED DE AGUA POTABLE EN CALLE HIDALGO A SAN LUCIANO DE ABAJO, EN LA LOCALIDAD DE SAN LUCIANO</v>
      </c>
      <c r="K165" s="3" t="s">
        <v>1496</v>
      </c>
      <c r="L165" s="3"/>
      <c r="M165" s="3" t="s">
        <v>1708</v>
      </c>
      <c r="N165" s="3" t="s">
        <v>2613</v>
      </c>
      <c r="O165" s="466"/>
      <c r="P165" s="79">
        <f>OBRA!R163</f>
        <v>504950.57</v>
      </c>
      <c r="Q165" s="1023">
        <f t="shared" si="6"/>
        <v>435302.21551724139</v>
      </c>
      <c r="R165" s="1023"/>
      <c r="S165" s="67">
        <f>OBRA!S163</f>
        <v>42704</v>
      </c>
      <c r="T165" s="1134" t="str">
        <f>OBRA!V163</f>
        <v>-</v>
      </c>
      <c r="U165" s="5">
        <f>OBRA!T163</f>
        <v>42705</v>
      </c>
      <c r="V165" s="11">
        <f>OBRA!U163</f>
        <v>42735</v>
      </c>
      <c r="W165" s="223"/>
      <c r="X165" s="578">
        <f>OBRA!AS163+OBRA!AT163</f>
        <v>496119.14</v>
      </c>
      <c r="Y165" s="278"/>
      <c r="Z165" s="146" t="str">
        <f>OBRA!W163</f>
        <v>-</v>
      </c>
      <c r="AA165" s="146"/>
      <c r="AB165" s="148" t="str">
        <f t="shared" si="5"/>
        <v>-</v>
      </c>
      <c r="AC165" s="146" t="s">
        <v>68</v>
      </c>
      <c r="AD165" s="146"/>
      <c r="AE165" s="183" t="str">
        <f>OBRA!X163</f>
        <v>ING. J. GUADALUPE IBARRA RAMIREZ</v>
      </c>
      <c r="AF165" s="19">
        <v>1299</v>
      </c>
      <c r="AG165" s="2" t="s">
        <v>1451</v>
      </c>
      <c r="AH165" s="183">
        <f t="shared" si="4"/>
        <v>381.92389530408008</v>
      </c>
      <c r="AI165" s="2">
        <v>290</v>
      </c>
      <c r="AJ165" s="156" t="s">
        <v>1452</v>
      </c>
      <c r="AK165" s="513"/>
      <c r="AL165" s="513"/>
      <c r="AM165" s="513"/>
      <c r="AN165" s="786"/>
      <c r="AO165" s="466" t="s">
        <v>1709</v>
      </c>
      <c r="AP165" s="466" t="s">
        <v>1710</v>
      </c>
      <c r="AQ165" s="466" t="s">
        <v>1711</v>
      </c>
      <c r="AR165" s="1295"/>
      <c r="AS165" s="701" t="s">
        <v>1712</v>
      </c>
    </row>
    <row r="166" spans="1:45" ht="105" hidden="1" customHeight="1">
      <c r="A166" s="16">
        <f>OBRA!J164</f>
        <v>2016</v>
      </c>
      <c r="B166" s="783" t="s">
        <v>1563</v>
      </c>
      <c r="C166" s="783"/>
      <c r="D166" s="783"/>
      <c r="E166" s="2" t="str">
        <f>OBRA!M164</f>
        <v>CUENTA CORRIENTE</v>
      </c>
      <c r="F166" s="18" t="s">
        <v>1428</v>
      </c>
      <c r="G166" s="513"/>
      <c r="H166" s="19" t="str">
        <f>OBRA!N164</f>
        <v>DOP/AD/029/2016</v>
      </c>
      <c r="I166" s="2" t="str">
        <f>OBRA!O164</f>
        <v>ADMINISTRACIÓN DIRECTA</v>
      </c>
      <c r="J166" s="3" t="str">
        <f>OBRA!P164</f>
        <v>AMPLIACIÓN DE RED DE AGUA POTABLE EN CALLES BUGAMBILIAS, ROSAS, EL JARAL Y GUADALUPE VICTORIA EN EL "BARRIO EL POTRERITO" EN LA LOCALIDAD DE HUEJOTITAN, DEL MUNICIPIO DE JOCOTEPEC, JALISCO.</v>
      </c>
      <c r="K166" s="3" t="s">
        <v>1496</v>
      </c>
      <c r="L166" s="3"/>
      <c r="M166" s="3" t="s">
        <v>1713</v>
      </c>
      <c r="N166" s="3" t="s">
        <v>2506</v>
      </c>
      <c r="O166" s="466"/>
      <c r="P166" s="79">
        <f>OBRA!R164</f>
        <v>160904.73000000001</v>
      </c>
      <c r="Q166" s="1023">
        <f t="shared" si="6"/>
        <v>138710.97413793104</v>
      </c>
      <c r="R166" s="1023"/>
      <c r="S166" s="67">
        <f>OBRA!S164</f>
        <v>42702</v>
      </c>
      <c r="T166" s="1134" t="str">
        <f>OBRA!V164</f>
        <v>-</v>
      </c>
      <c r="U166" s="5">
        <f>OBRA!T164</f>
        <v>42702</v>
      </c>
      <c r="V166" s="11">
        <f>OBRA!U164</f>
        <v>42711</v>
      </c>
      <c r="W166" s="223"/>
      <c r="X166" s="578">
        <f>OBRA!AS164+OBRA!AT164</f>
        <v>55233.380000000005</v>
      </c>
      <c r="Y166" s="278"/>
      <c r="Z166" s="146" t="str">
        <f>OBRA!W164</f>
        <v>-</v>
      </c>
      <c r="AA166" s="146"/>
      <c r="AB166" s="148" t="str">
        <f t="shared" si="5"/>
        <v>-</v>
      </c>
      <c r="AC166" s="146" t="s">
        <v>68</v>
      </c>
      <c r="AD166" s="146"/>
      <c r="AE166" s="183" t="str">
        <f>OBRA!X164</f>
        <v>ING. ANGEL ALBERTO HERNANDEZ MORA</v>
      </c>
      <c r="AF166" s="19">
        <v>260</v>
      </c>
      <c r="AG166" s="2" t="s">
        <v>1451</v>
      </c>
      <c r="AH166" s="615">
        <f t="shared" si="4"/>
        <v>212.43607692307694</v>
      </c>
      <c r="AI166" s="2">
        <v>250</v>
      </c>
      <c r="AJ166" s="156" t="s">
        <v>1452</v>
      </c>
      <c r="AK166" s="513"/>
      <c r="AL166" s="513"/>
      <c r="AM166" s="513"/>
      <c r="AN166" s="786"/>
      <c r="AO166" s="529"/>
      <c r="AP166" s="529"/>
      <c r="AQ166" s="466" t="s">
        <v>1714</v>
      </c>
      <c r="AR166" s="1295"/>
      <c r="AS166" s="699" t="s">
        <v>1715</v>
      </c>
    </row>
    <row r="167" spans="1:45" ht="93.75" hidden="1" customHeight="1">
      <c r="A167" s="16">
        <f>OBRA!J165</f>
        <v>2016</v>
      </c>
      <c r="B167" s="783" t="s">
        <v>1563</v>
      </c>
      <c r="C167" s="783"/>
      <c r="D167" s="783"/>
      <c r="E167" s="2" t="str">
        <f>OBRA!M165</f>
        <v>RAMO 33</v>
      </c>
      <c r="F167" s="18" t="s">
        <v>1428</v>
      </c>
      <c r="G167" s="513"/>
      <c r="H167" s="19" t="str">
        <f>OBRA!N165</f>
        <v>DOP/AD/030/2016</v>
      </c>
      <c r="I167" s="2" t="str">
        <f>OBRA!O165</f>
        <v>ADMINISTRACIÓN DIRECTA</v>
      </c>
      <c r="J167" s="3" t="str">
        <f>OBRA!P165</f>
        <v>REHABILITACIÓN DE RED DE DRENAJE 2DA. ETAPA DE LA CALLE CUAUHTEMOC ENTRE C. PLAYAS DE LA LAGUNA A CARCAMO DE BOMBEO, CON REPOSICIÓN DE EMPEDRADO AHOGADO, EN LA LOCALIDAD DE CHANTEPEC</v>
      </c>
      <c r="K167" s="3" t="s">
        <v>1716</v>
      </c>
      <c r="L167" s="3"/>
      <c r="M167" s="3" t="s">
        <v>1717</v>
      </c>
      <c r="N167" s="3" t="s">
        <v>2538</v>
      </c>
      <c r="O167" s="466"/>
      <c r="P167" s="79">
        <f>OBRA!R165</f>
        <v>587787.4</v>
      </c>
      <c r="Q167" s="1023">
        <f t="shared" si="6"/>
        <v>506713.27586206904</v>
      </c>
      <c r="R167" s="1023"/>
      <c r="S167" s="67">
        <f>OBRA!S165</f>
        <v>42688</v>
      </c>
      <c r="T167" s="1134" t="str">
        <f>OBRA!V165</f>
        <v>-</v>
      </c>
      <c r="U167" s="5">
        <f>OBRA!T165</f>
        <v>42689</v>
      </c>
      <c r="V167" s="11">
        <f>OBRA!U165</f>
        <v>42705</v>
      </c>
      <c r="W167" s="223"/>
      <c r="X167" s="578">
        <f>OBRA!AS165+OBRA!AT165</f>
        <v>586232.12</v>
      </c>
      <c r="Y167" s="278"/>
      <c r="Z167" s="146" t="str">
        <f>OBRA!W165</f>
        <v>-</v>
      </c>
      <c r="AA167" s="146"/>
      <c r="AB167" s="148" t="str">
        <f>Z167</f>
        <v>-</v>
      </c>
      <c r="AC167" s="146" t="s">
        <v>68</v>
      </c>
      <c r="AD167" s="146"/>
      <c r="AE167" s="183" t="str">
        <f>OBRA!X165</f>
        <v>ING. J. GUADALUPE IBARRA RAMIREZ</v>
      </c>
      <c r="AF167" s="19">
        <v>290</v>
      </c>
      <c r="AG167" s="2" t="s">
        <v>1451</v>
      </c>
      <c r="AH167" s="183">
        <f t="shared" si="4"/>
        <v>2021.4900689655171</v>
      </c>
      <c r="AI167" s="2">
        <v>1000</v>
      </c>
      <c r="AJ167" s="156" t="s">
        <v>1452</v>
      </c>
      <c r="AK167" s="513"/>
      <c r="AL167" s="513"/>
      <c r="AM167" s="513"/>
      <c r="AN167" s="786"/>
      <c r="AO167" s="466" t="s">
        <v>1718</v>
      </c>
      <c r="AP167" s="466" t="s">
        <v>1719</v>
      </c>
      <c r="AQ167" s="466" t="s">
        <v>1720</v>
      </c>
      <c r="AR167" s="1295"/>
      <c r="AS167" s="699" t="s">
        <v>1721</v>
      </c>
    </row>
    <row r="168" spans="1:45" ht="95.25" hidden="1" customHeight="1">
      <c r="A168" s="16">
        <f>OBRA!J166</f>
        <v>2016</v>
      </c>
      <c r="B168" s="783" t="s">
        <v>1563</v>
      </c>
      <c r="C168" s="783"/>
      <c r="D168" s="783"/>
      <c r="E168" s="2" t="str">
        <f>OBRA!M166</f>
        <v>RAMO 33</v>
      </c>
      <c r="F168" s="18" t="s">
        <v>1428</v>
      </c>
      <c r="G168" s="513"/>
      <c r="H168" s="19" t="str">
        <f>OBRA!N166</f>
        <v>DOP/AD/031/2016</v>
      </c>
      <c r="I168" s="2" t="str">
        <f>OBRA!O166</f>
        <v>ADMINISTRACIÓN DIRECTA</v>
      </c>
      <c r="J168" s="3" t="str">
        <f>OBRA!P166</f>
        <v>REHABILITACIÓN DE RED DE AGUA POTABLE  2DA. ETAPA DE LA CALLE CUAUHTEMOC ENTRE C. PLAYAS DE LA LAGUNA A CARCAMO DE BOMBEO, CON REPOSICIÓN DE EMPEDRADO AHOGADO, EN LA LOCALIDAD DE CHANTEPEC</v>
      </c>
      <c r="K168" s="3" t="s">
        <v>1722</v>
      </c>
      <c r="L168" s="3"/>
      <c r="M168" s="3" t="s">
        <v>1717</v>
      </c>
      <c r="N168" s="3" t="s">
        <v>2538</v>
      </c>
      <c r="O168" s="504"/>
      <c r="P168" s="79">
        <f>OBRA!R166</f>
        <v>557061.88</v>
      </c>
      <c r="Q168" s="1023">
        <f t="shared" si="6"/>
        <v>480225.75862068968</v>
      </c>
      <c r="R168" s="1023"/>
      <c r="S168" s="67">
        <f>OBRA!S166</f>
        <v>42692</v>
      </c>
      <c r="T168" s="1134" t="str">
        <f>OBRA!V166</f>
        <v>-</v>
      </c>
      <c r="U168" s="5">
        <f>OBRA!T166</f>
        <v>42695</v>
      </c>
      <c r="V168" s="11">
        <f>OBRA!U166</f>
        <v>42719</v>
      </c>
      <c r="W168" s="223"/>
      <c r="X168" s="578">
        <f>OBRA!AS166+OBRA!AT166</f>
        <v>555159.57999999996</v>
      </c>
      <c r="Y168" s="278"/>
      <c r="Z168" s="146" t="str">
        <f>OBRA!W166</f>
        <v>-</v>
      </c>
      <c r="AA168" s="146"/>
      <c r="AB168" s="148" t="str">
        <f>Z168</f>
        <v>-</v>
      </c>
      <c r="AC168" s="146" t="s">
        <v>68</v>
      </c>
      <c r="AD168" s="146"/>
      <c r="AE168" s="183" t="str">
        <f>OBRA!X166</f>
        <v>ING. J. GUADALUPE IBARRA RAMIREZ</v>
      </c>
      <c r="AF168" s="19">
        <v>290</v>
      </c>
      <c r="AG168" s="2" t="s">
        <v>1451</v>
      </c>
      <c r="AH168" s="183">
        <f t="shared" si="4"/>
        <v>1914.3433793103447</v>
      </c>
      <c r="AI168" s="2">
        <v>1000</v>
      </c>
      <c r="AJ168" s="156" t="s">
        <v>1452</v>
      </c>
      <c r="AK168" s="513"/>
      <c r="AL168" s="513"/>
      <c r="AM168" s="513"/>
      <c r="AN168" s="786"/>
      <c r="AO168" s="466" t="s">
        <v>1723</v>
      </c>
      <c r="AP168" s="466" t="s">
        <v>1724</v>
      </c>
      <c r="AQ168" s="504" t="s">
        <v>1725</v>
      </c>
      <c r="AR168" s="1840"/>
      <c r="AS168" s="699" t="s">
        <v>1726</v>
      </c>
    </row>
    <row r="169" spans="1:45" ht="66.75" hidden="1" customHeight="1">
      <c r="A169" s="16">
        <f>OBRA!J167</f>
        <v>2016</v>
      </c>
      <c r="B169" s="783" t="s">
        <v>1563</v>
      </c>
      <c r="C169" s="783"/>
      <c r="D169" s="783"/>
      <c r="E169" s="2" t="str">
        <f>OBRA!M167</f>
        <v>RAMO 33</v>
      </c>
      <c r="F169" s="18" t="s">
        <v>1428</v>
      </c>
      <c r="G169" s="513"/>
      <c r="H169" s="19" t="str">
        <f>OBRA!N167</f>
        <v>DOP/AD/032/2016</v>
      </c>
      <c r="I169" s="2" t="str">
        <f>OBRA!O167</f>
        <v>ADMINISTRACIÓN DIRECTA</v>
      </c>
      <c r="J169" s="3" t="str">
        <f>OBRA!P167</f>
        <v>REEMPEDRADO AHOGADO EN CEMENTO EN CALLE CUAUHTEMOC 2DA. ETAPA DE PLAYAS DE LA LAGUNA HACIA EL ORIENTE, EN LA LOCALIDAD DE CHANTEPEC</v>
      </c>
      <c r="K169" s="3" t="s">
        <v>1592</v>
      </c>
      <c r="L169" s="3"/>
      <c r="M169" s="3" t="s">
        <v>1717</v>
      </c>
      <c r="N169" s="3" t="s">
        <v>2538</v>
      </c>
      <c r="O169" s="466"/>
      <c r="P169" s="79">
        <f>OBRA!R167</f>
        <v>238036.86</v>
      </c>
      <c r="Q169" s="1023">
        <f t="shared" si="6"/>
        <v>205204.18965517241</v>
      </c>
      <c r="R169" s="1023"/>
      <c r="S169" s="67">
        <f>OBRA!S167</f>
        <v>42688</v>
      </c>
      <c r="T169" s="1134" t="str">
        <f>OBRA!V167</f>
        <v>-</v>
      </c>
      <c r="U169" s="5">
        <f>OBRA!T167</f>
        <v>42689</v>
      </c>
      <c r="V169" s="11">
        <f>OBRA!U167</f>
        <v>42735</v>
      </c>
      <c r="W169" s="223"/>
      <c r="X169" s="578">
        <f>OBRA!AS167+OBRA!AT167</f>
        <v>237658.32</v>
      </c>
      <c r="Y169" s="278"/>
      <c r="Z169" s="146" t="str">
        <f>OBRA!W167</f>
        <v>-</v>
      </c>
      <c r="AA169" s="146"/>
      <c r="AB169" s="148" t="str">
        <f>Z169</f>
        <v>-</v>
      </c>
      <c r="AC169" s="146" t="s">
        <v>68</v>
      </c>
      <c r="AD169" s="146"/>
      <c r="AE169" s="183" t="str">
        <f>OBRA!X167</f>
        <v>ING. J. GUADALUPE IBARRA RAMIREZ</v>
      </c>
      <c r="AF169" s="19">
        <v>478.3</v>
      </c>
      <c r="AG169" s="2" t="s">
        <v>1548</v>
      </c>
      <c r="AH169" s="183">
        <f t="shared" si="4"/>
        <v>496.88128789462678</v>
      </c>
      <c r="AI169" s="2">
        <v>1000</v>
      </c>
      <c r="AJ169" s="156" t="s">
        <v>1452</v>
      </c>
      <c r="AK169" s="513"/>
      <c r="AL169" s="513"/>
      <c r="AM169" s="513"/>
      <c r="AN169" s="786"/>
      <c r="AO169" s="529"/>
      <c r="AP169" s="466" t="s">
        <v>1727</v>
      </c>
      <c r="AQ169" s="466" t="s">
        <v>1728</v>
      </c>
      <c r="AR169" s="1295"/>
      <c r="AS169" s="699" t="s">
        <v>1729</v>
      </c>
    </row>
    <row r="170" spans="1:45" ht="51" hidden="1" customHeight="1">
      <c r="A170" s="16">
        <f>OBRA!J168</f>
        <v>2016</v>
      </c>
      <c r="B170" s="783" t="s">
        <v>1563</v>
      </c>
      <c r="C170" s="783"/>
      <c r="D170" s="783"/>
      <c r="E170" s="2" t="str">
        <f>OBRA!M168</f>
        <v>3X1 PARA MIGRANTES</v>
      </c>
      <c r="F170" s="613" t="s">
        <v>1730</v>
      </c>
      <c r="G170" s="493"/>
      <c r="H170" s="19" t="str">
        <f>OBRA!N168</f>
        <v>DOP/AD/033/2016</v>
      </c>
      <c r="I170" s="2" t="str">
        <f>OBRA!O168</f>
        <v>ADMINISTRACIÓN DIRECTA</v>
      </c>
      <c r="J170" s="3" t="str">
        <f>OBRA!P168</f>
        <v xml:space="preserve">EMPEDRADO AHOGADO EN CEMENTO EN LA CALLE INSURGENTES PRIMERA ETAPA, EN LA LOCALIDAD DE ZAPOTITAN DE HIDALGO </v>
      </c>
      <c r="K170" s="3" t="s">
        <v>1592</v>
      </c>
      <c r="L170" s="3"/>
      <c r="M170" s="3" t="s">
        <v>1697</v>
      </c>
      <c r="N170" s="3" t="s">
        <v>2604</v>
      </c>
      <c r="O170" s="466"/>
      <c r="P170" s="79">
        <f>OBRA!R168</f>
        <v>2426000</v>
      </c>
      <c r="Q170" s="1023">
        <f t="shared" si="6"/>
        <v>2091379.3103448278</v>
      </c>
      <c r="R170" s="1023"/>
      <c r="S170" s="67">
        <f>OBRA!S168</f>
        <v>42674</v>
      </c>
      <c r="T170" s="1134" t="str">
        <f>OBRA!V168</f>
        <v>-</v>
      </c>
      <c r="U170" s="5">
        <f>OBRA!T168</f>
        <v>42675</v>
      </c>
      <c r="V170" s="11">
        <f>OBRA!U168</f>
        <v>42735</v>
      </c>
      <c r="W170" s="223"/>
      <c r="X170" s="578">
        <f>OBRA!AS168+OBRA!AT168</f>
        <v>2462358.98</v>
      </c>
      <c r="Y170" s="278"/>
      <c r="Z170" s="146" t="str">
        <f>OBRA!W168</f>
        <v>-</v>
      </c>
      <c r="AA170" s="146"/>
      <c r="AB170" s="148" t="str">
        <f>Z170</f>
        <v>-</v>
      </c>
      <c r="AC170" s="146" t="s">
        <v>68</v>
      </c>
      <c r="AD170" s="146"/>
      <c r="AE170" s="183" t="str">
        <f>OBRA!X168</f>
        <v>ING. RIGOBERTO OLMEDO RAMOS</v>
      </c>
      <c r="AF170" s="19">
        <v>3217.2</v>
      </c>
      <c r="AG170" s="2" t="s">
        <v>1548</v>
      </c>
      <c r="AH170" s="183">
        <f t="shared" si="4"/>
        <v>765.37329976376975</v>
      </c>
      <c r="AI170" s="2">
        <v>150</v>
      </c>
      <c r="AJ170" s="156" t="s">
        <v>1444</v>
      </c>
      <c r="AK170" s="513"/>
      <c r="AL170" s="513"/>
      <c r="AM170" s="513"/>
      <c r="AN170" s="786"/>
      <c r="AO170" s="466" t="s">
        <v>1731</v>
      </c>
      <c r="AP170" s="466" t="s">
        <v>1732</v>
      </c>
      <c r="AQ170" s="466" t="s">
        <v>1733</v>
      </c>
      <c r="AR170" s="1295"/>
      <c r="AS170" s="699" t="s">
        <v>1734</v>
      </c>
    </row>
    <row r="171" spans="1:45" ht="159" hidden="1" customHeight="1">
      <c r="A171" s="16">
        <f>OBRA!J169</f>
        <v>2016</v>
      </c>
      <c r="B171" s="783" t="s">
        <v>1563</v>
      </c>
      <c r="C171" s="783"/>
      <c r="D171" s="783"/>
      <c r="E171" s="2" t="str">
        <f>OBRA!M169</f>
        <v>PATRIMONIO MUNICIPAL</v>
      </c>
      <c r="F171" s="18" t="s">
        <v>1428</v>
      </c>
      <c r="G171" s="972" t="s">
        <v>2206</v>
      </c>
      <c r="H171" s="19" t="str">
        <f>OBRA!N169</f>
        <v>GMJ 001C OP/2016</v>
      </c>
      <c r="I171" s="2" t="str">
        <f>OBRA!O169</f>
        <v>ADJUDICACIÓN DIRECTA</v>
      </c>
      <c r="J171"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2503</v>
      </c>
      <c r="O171" s="466"/>
      <c r="P171" s="79">
        <f>OBRA!R169</f>
        <v>892870.48</v>
      </c>
      <c r="Q171" s="1023">
        <f t="shared" si="6"/>
        <v>769715.93103448278</v>
      </c>
      <c r="R171" s="1023"/>
      <c r="S171" s="67">
        <f>OBRA!S169</f>
        <v>42461</v>
      </c>
      <c r="T171" s="1134">
        <f>OBRA!V169</f>
        <v>42426</v>
      </c>
      <c r="U171" s="5">
        <f>OBRA!T169</f>
        <v>42461</v>
      </c>
      <c r="V171" s="11">
        <f>OBRA!U169</f>
        <v>42583</v>
      </c>
      <c r="W171" s="223"/>
      <c r="X171" s="578">
        <f>OBRA!AS169+OBRA!AT169</f>
        <v>1035729.76</v>
      </c>
      <c r="Y171" s="278"/>
      <c r="Z171" s="146" t="str">
        <f>OBRA!W169</f>
        <v>ELECTRIFICACIONES MUGA, S.A. DE C.V.</v>
      </c>
      <c r="AA171" s="146"/>
      <c r="AB171" s="148" t="s">
        <v>1738</v>
      </c>
      <c r="AC171" s="146" t="s">
        <v>1739</v>
      </c>
      <c r="AD171" s="146"/>
      <c r="AE171" s="183" t="str">
        <f>OBRA!X169</f>
        <v>ING. RIGOBERTO OLMEDO RAMOS</v>
      </c>
      <c r="AF171" s="19">
        <v>3420</v>
      </c>
      <c r="AG171" s="2" t="s">
        <v>1740</v>
      </c>
      <c r="AH171" s="615">
        <f t="shared" si="4"/>
        <v>302.8449590643275</v>
      </c>
      <c r="AI171" s="2">
        <v>250</v>
      </c>
      <c r="AJ171" s="156" t="s">
        <v>1444</v>
      </c>
      <c r="AK171" s="513"/>
      <c r="AL171" s="513"/>
      <c r="AM171" s="513"/>
      <c r="AN171" s="786"/>
      <c r="AO171" s="466" t="s">
        <v>1741</v>
      </c>
      <c r="AP171" s="466" t="s">
        <v>1742</v>
      </c>
      <c r="AQ171" s="524" t="s">
        <v>1743</v>
      </c>
      <c r="AR171" s="502"/>
      <c r="AS171" s="614" t="s">
        <v>1744</v>
      </c>
    </row>
    <row r="172" spans="1:45" ht="72" hidden="1" customHeight="1">
      <c r="A172" s="16">
        <f>OBRA!J170</f>
        <v>2016</v>
      </c>
      <c r="B172" s="783" t="s">
        <v>1563</v>
      </c>
      <c r="C172" s="783"/>
      <c r="D172" s="783"/>
      <c r="E172" s="2" t="str">
        <f>OBRA!M170</f>
        <v>RAMO 33</v>
      </c>
      <c r="F172" s="18" t="s">
        <v>1428</v>
      </c>
      <c r="G172" s="972" t="s">
        <v>2206</v>
      </c>
      <c r="H172" s="19" t="str">
        <f>OBRA!N170</f>
        <v>GMJ 002C OP/2016</v>
      </c>
      <c r="I172" s="2" t="str">
        <f>OBRA!O170</f>
        <v>ADJUDICACIÓN DIRECTA</v>
      </c>
      <c r="J172" s="3" t="str">
        <f>OBRA!P170</f>
        <v>PERFORACIÓN DE POZO PROFUNDO, ADEME, AFORO Y EQUIPO DE BOMBEO EN LA CALLE LIBERTAD DE NEXTIPAC, DE ESTE MUNICIPIO JOCOTEPEC, JALISCO</v>
      </c>
      <c r="K172" s="3" t="s">
        <v>1745</v>
      </c>
      <c r="L172" s="3"/>
      <c r="M172" s="3" t="s">
        <v>1746</v>
      </c>
      <c r="N172" s="3" t="s">
        <v>2577</v>
      </c>
      <c r="O172" s="466"/>
      <c r="P172" s="79">
        <f>OBRA!R170</f>
        <v>1451401.32</v>
      </c>
      <c r="Q172" s="1023">
        <f t="shared" si="6"/>
        <v>1251208.0344827587</v>
      </c>
      <c r="R172" s="1023"/>
      <c r="S172" s="67">
        <f>OBRA!S170</f>
        <v>42458</v>
      </c>
      <c r="T172" s="1134">
        <f>OBRA!V170</f>
        <v>42457</v>
      </c>
      <c r="U172" s="5">
        <f>OBRA!T170</f>
        <v>42459</v>
      </c>
      <c r="V172" s="11">
        <f>OBRA!U170</f>
        <v>42498</v>
      </c>
      <c r="W172" s="223"/>
      <c r="X172" s="578">
        <f>OBRA!AS170+OBRA!AT170</f>
        <v>1451401.31</v>
      </c>
      <c r="Y172" s="278"/>
      <c r="Z172" s="146" t="str">
        <f>OBRA!W170</f>
        <v>RAMPER DRILLINGS S.A. DE C.V.</v>
      </c>
      <c r="AA172" s="146"/>
      <c r="AB172" s="148" t="s">
        <v>1748</v>
      </c>
      <c r="AC172" s="146" t="s">
        <v>1749</v>
      </c>
      <c r="AD172" s="146"/>
      <c r="AE172" s="183" t="str">
        <f>OBRA!X170</f>
        <v>ING. J. GUADALUPE IBARRA RAMIREZ</v>
      </c>
      <c r="AF172" s="552">
        <v>1</v>
      </c>
      <c r="AG172" s="2" t="s">
        <v>1463</v>
      </c>
      <c r="AH172" s="615">
        <f t="shared" si="4"/>
        <v>1451401.31</v>
      </c>
      <c r="AI172" s="2">
        <v>2500</v>
      </c>
      <c r="AJ172" s="156" t="s">
        <v>1452</v>
      </c>
      <c r="AK172" s="513"/>
      <c r="AL172" s="513"/>
      <c r="AM172" s="513"/>
      <c r="AN172" s="786"/>
      <c r="AO172" s="466" t="s">
        <v>1750</v>
      </c>
      <c r="AP172" s="466" t="s">
        <v>1751</v>
      </c>
      <c r="AQ172" s="524" t="s">
        <v>1752</v>
      </c>
      <c r="AR172" s="502"/>
      <c r="AS172" s="614" t="s">
        <v>1753</v>
      </c>
    </row>
    <row r="173" spans="1:45" ht="80.25" hidden="1" customHeight="1">
      <c r="A173" s="16">
        <f>OBRA!J171</f>
        <v>2016</v>
      </c>
      <c r="B173" s="783" t="s">
        <v>1563</v>
      </c>
      <c r="C173" s="783"/>
      <c r="D173" s="783"/>
      <c r="E173" s="2" t="str">
        <f>OBRA!M171</f>
        <v>FONDEREG</v>
      </c>
      <c r="F173" s="613" t="s">
        <v>1629</v>
      </c>
      <c r="G173" s="972" t="s">
        <v>2206</v>
      </c>
      <c r="H173" s="19" t="str">
        <f>OBRA!N171</f>
        <v>GMJ 003C OP/2016</v>
      </c>
      <c r="I173" s="2" t="str">
        <f>OBRA!O171</f>
        <v>ADJUDICACIÓN DIRECTA</v>
      </c>
      <c r="J173" s="3" t="str">
        <f>OBRA!P171</f>
        <v>ALUMBRADO CON POSTE METALICO DE 7.00 MTS Y LUMINARIAS LED DE 74 WATTS Y LUMINOSIDAD DE 5700 KELVIN EN CALLE ZARAGOZA (INGRESO PRINCIPAL) DE SAN CRISTOBAL ZAPOTITLAN</v>
      </c>
      <c r="K173" s="3" t="s">
        <v>1474</v>
      </c>
      <c r="L173" s="3"/>
      <c r="M173" s="3" t="s">
        <v>1482</v>
      </c>
      <c r="N173" s="3" t="s">
        <v>1976</v>
      </c>
      <c r="O173" s="466"/>
      <c r="P173" s="79">
        <f>OBRA!R171</f>
        <v>441388.12</v>
      </c>
      <c r="Q173" s="1023">
        <f t="shared" si="6"/>
        <v>380507</v>
      </c>
      <c r="R173" s="1023"/>
      <c r="S173" s="67">
        <f>OBRA!S171</f>
        <v>42587</v>
      </c>
      <c r="T173" s="1134">
        <f>OBRA!V171</f>
        <v>42587</v>
      </c>
      <c r="U173" s="5">
        <f>OBRA!T171</f>
        <v>42597</v>
      </c>
      <c r="V173" s="11">
        <f>OBRA!U171</f>
        <v>42628</v>
      </c>
      <c r="W173" s="223"/>
      <c r="X173" s="578">
        <f>OBRA!AS171+OBRA!AT171</f>
        <v>457628.12</v>
      </c>
      <c r="Y173" s="278"/>
      <c r="Z173" s="146" t="str">
        <f>OBRA!W171</f>
        <v>ENERGIAS RENOVABLES DE LA RIVERA S.A. DE C.V</v>
      </c>
      <c r="AA173" s="146"/>
      <c r="AB173" s="148" t="s">
        <v>1755</v>
      </c>
      <c r="AC173" s="146" t="s">
        <v>1756</v>
      </c>
      <c r="AD173" s="146"/>
      <c r="AE173" s="183" t="str">
        <f>OBRA!X171</f>
        <v>ING. RIGOBERTO OLMEDO RAMOS</v>
      </c>
      <c r="AF173" s="19">
        <v>12</v>
      </c>
      <c r="AG173" s="2" t="s">
        <v>1757</v>
      </c>
      <c r="AH173" s="615">
        <f t="shared" si="4"/>
        <v>38135.676666666666</v>
      </c>
      <c r="AI173" s="2">
        <v>2373</v>
      </c>
      <c r="AJ173" s="156" t="s">
        <v>1444</v>
      </c>
      <c r="AK173" s="513"/>
      <c r="AL173" s="513"/>
      <c r="AM173" s="513"/>
      <c r="AN173" s="786"/>
      <c r="AO173" s="466" t="s">
        <v>1758</v>
      </c>
      <c r="AP173" s="466" t="s">
        <v>1759</v>
      </c>
      <c r="AQ173" s="524" t="s">
        <v>1760</v>
      </c>
      <c r="AR173" s="1300"/>
      <c r="AS173" s="613" t="s">
        <v>1761</v>
      </c>
    </row>
    <row r="174" spans="1:45" ht="78.75" hidden="1" customHeight="1">
      <c r="A174" s="16">
        <f>OBRA!J172</f>
        <v>2016</v>
      </c>
      <c r="B174" s="783" t="s">
        <v>1563</v>
      </c>
      <c r="C174" s="783"/>
      <c r="D174" s="783"/>
      <c r="E174" s="2" t="str">
        <f>OBRA!M172</f>
        <v>RAMO 33</v>
      </c>
      <c r="F174" s="18" t="s">
        <v>1428</v>
      </c>
      <c r="G174" s="972" t="s">
        <v>2206</v>
      </c>
      <c r="H174" s="19" t="str">
        <f>OBRA!N172</f>
        <v>GMJ 004C OP/2016</v>
      </c>
      <c r="I174" s="2" t="str">
        <f>OBRA!O172</f>
        <v>ADJUDICACIÓN DIRECTA</v>
      </c>
      <c r="J174" s="3" t="str">
        <f>OBRA!P172</f>
        <v>REHABILITACIÓN DE RED DE AGUA POTABLE Y REPOSICIÓN DE EMPEDRADO NORMAL (CALLE 16 DE SEPTIEMBRE ENTRE CALLE CORELOS Y 20 DE NOVIEMBRE DELEGACION DE ZAPOTITAN DE HIDALGO</v>
      </c>
      <c r="K174" s="3" t="s">
        <v>1762</v>
      </c>
      <c r="L174" s="3"/>
      <c r="M174" s="3" t="s">
        <v>1763</v>
      </c>
      <c r="N174" s="3" t="s">
        <v>2604</v>
      </c>
      <c r="O174" s="466"/>
      <c r="P174" s="79">
        <f>OBRA!R172</f>
        <v>346655.86</v>
      </c>
      <c r="Q174" s="1023">
        <f t="shared" si="6"/>
        <v>298841.25862068968</v>
      </c>
      <c r="R174" s="1023"/>
      <c r="S174" s="67">
        <f>OBRA!S172</f>
        <v>42599</v>
      </c>
      <c r="T174" s="1134">
        <f>OBRA!V172</f>
        <v>42597</v>
      </c>
      <c r="U174" s="5">
        <f>OBRA!T172</f>
        <v>42600</v>
      </c>
      <c r="V174" s="11">
        <f>OBRA!U172</f>
        <v>42704</v>
      </c>
      <c r="W174" s="223"/>
      <c r="X174" s="578">
        <f>OBRA!AS172+OBRA!AT172</f>
        <v>345714.41</v>
      </c>
      <c r="Y174" s="278"/>
      <c r="Z174" s="146" t="str">
        <f>OBRA!W172</f>
        <v>LIC. CARLOS MANUEL PELAYO CERVERA</v>
      </c>
      <c r="AA174" s="146"/>
      <c r="AB174" s="148" t="str">
        <f t="shared" si="5"/>
        <v>LIC. CARLOS MANUEL PELAYO CERVERA</v>
      </c>
      <c r="AC174" s="148" t="s">
        <v>2955</v>
      </c>
      <c r="AD174" s="146" t="s">
        <v>2955</v>
      </c>
      <c r="AE174" s="183" t="str">
        <f>OBRA!X172</f>
        <v>LIC. SALVADOR CONTRERAS OLGUÍN</v>
      </c>
      <c r="AF174" s="19">
        <v>196.11</v>
      </c>
      <c r="AG174" s="2" t="s">
        <v>1451</v>
      </c>
      <c r="AH174" s="615">
        <f t="shared" si="4"/>
        <v>1762.8596705930343</v>
      </c>
      <c r="AI174" s="2">
        <v>150</v>
      </c>
      <c r="AJ174" s="156" t="s">
        <v>1444</v>
      </c>
      <c r="AK174" s="513"/>
      <c r="AL174" s="513"/>
      <c r="AM174" s="513"/>
      <c r="AN174" s="786"/>
      <c r="AO174" s="466" t="s">
        <v>1765</v>
      </c>
      <c r="AP174" s="466" t="s">
        <v>1766</v>
      </c>
      <c r="AQ174" s="524" t="s">
        <v>1767</v>
      </c>
      <c r="AR174" s="1841"/>
      <c r="AS174" s="702" t="s">
        <v>1768</v>
      </c>
    </row>
    <row r="175" spans="1:45" ht="78.75" hidden="1" customHeight="1">
      <c r="A175" s="16">
        <f>OBRA!J173</f>
        <v>2016</v>
      </c>
      <c r="B175" s="783" t="s">
        <v>1563</v>
      </c>
      <c r="C175" s="783"/>
      <c r="D175" s="783"/>
      <c r="E175" s="2" t="str">
        <f>OBRA!M173</f>
        <v>RAMO 33</v>
      </c>
      <c r="F175" s="18" t="s">
        <v>1428</v>
      </c>
      <c r="G175" s="972" t="s">
        <v>2206</v>
      </c>
      <c r="H175" s="19" t="str">
        <f>OBRA!N173</f>
        <v>GMJ 005C OP/2016</v>
      </c>
      <c r="I175" s="2" t="str">
        <f>OBRA!O173</f>
        <v>ADJUDICACIÓN DIRECTA</v>
      </c>
      <c r="J175" s="3" t="str">
        <f>OBRA!P173</f>
        <v>REHABILITACION DE RED DE DRENAJE Y REPOSICION DE EMPEDRADO NORMAL, CALLE 16 DE SEPTIEMBRE ENTRE CALLE MORELOS Y 20 DE NOVIEMBRE, DELEGACION DE ZAPOTITAN DE HIDALGO</v>
      </c>
      <c r="K175" s="3" t="s">
        <v>1716</v>
      </c>
      <c r="L175" s="3"/>
      <c r="M175" s="3" t="s">
        <v>1763</v>
      </c>
      <c r="N175" s="3" t="s">
        <v>2604</v>
      </c>
      <c r="O175" s="466"/>
      <c r="P175" s="79">
        <f>OBRA!R173</f>
        <v>410268.05</v>
      </c>
      <c r="Q175" s="1023">
        <f t="shared" si="6"/>
        <v>353679.35344827588</v>
      </c>
      <c r="R175" s="1023"/>
      <c r="S175" s="67">
        <f>OBRA!S173</f>
        <v>42593</v>
      </c>
      <c r="T175" s="1134">
        <f>OBRA!V173</f>
        <v>42592</v>
      </c>
      <c r="U175" s="5">
        <f>OBRA!T173</f>
        <v>42597</v>
      </c>
      <c r="V175" s="11">
        <f>OBRA!U173</f>
        <v>42704</v>
      </c>
      <c r="W175" s="223"/>
      <c r="X175" s="578">
        <f>OBRA!AS173+OBRA!AT173</f>
        <v>408611.97</v>
      </c>
      <c r="Y175" s="278"/>
      <c r="Z175" s="146" t="str">
        <f>OBRA!W173</f>
        <v>LIC. CARLOS MANUEL PELAYO CERVERA</v>
      </c>
      <c r="AA175" s="146"/>
      <c r="AB175" s="148" t="str">
        <f t="shared" si="5"/>
        <v>LIC. CARLOS MANUEL PELAYO CERVERA</v>
      </c>
      <c r="AC175" s="148" t="s">
        <v>2955</v>
      </c>
      <c r="AD175" s="146" t="s">
        <v>2955</v>
      </c>
      <c r="AE175" s="183" t="str">
        <f>OBRA!X173</f>
        <v>LIC. SALVADOR CONTRERAS OLGUÍN</v>
      </c>
      <c r="AF175" s="19">
        <v>196.11</v>
      </c>
      <c r="AG175" s="2" t="s">
        <v>1451</v>
      </c>
      <c r="AH175" s="615">
        <f t="shared" si="4"/>
        <v>2083.5855897200549</v>
      </c>
      <c r="AI175" s="2">
        <v>150</v>
      </c>
      <c r="AJ175" s="156" t="s">
        <v>1444</v>
      </c>
      <c r="AK175" s="513"/>
      <c r="AL175" s="513"/>
      <c r="AM175" s="513"/>
      <c r="AN175" s="786"/>
      <c r="AO175" s="466" t="s">
        <v>1770</v>
      </c>
      <c r="AP175" s="466" t="s">
        <v>1771</v>
      </c>
      <c r="AQ175" s="524" t="s">
        <v>1772</v>
      </c>
      <c r="AR175" s="1841"/>
      <c r="AS175" s="703" t="s">
        <v>1773</v>
      </c>
    </row>
    <row r="176" spans="1:45" ht="84.75" hidden="1" customHeight="1">
      <c r="A176" s="16">
        <f>OBRA!J174</f>
        <v>-2015</v>
      </c>
      <c r="B176" s="783" t="s">
        <v>1563</v>
      </c>
      <c r="C176" s="783"/>
      <c r="D176" s="783"/>
      <c r="E176" s="2" t="str">
        <f>OBRA!M174</f>
        <v>RAMO 33</v>
      </c>
      <c r="F176" s="18" t="s">
        <v>1428</v>
      </c>
      <c r="G176" s="972" t="s">
        <v>2206</v>
      </c>
      <c r="H176" s="19" t="str">
        <f>OBRA!N174</f>
        <v>GMJ 006C OP/2016</v>
      </c>
      <c r="I176" s="2" t="str">
        <f>OBRA!O174</f>
        <v>ADJUDICACIÓN DIRECTA</v>
      </c>
      <c r="J176" s="3" t="str">
        <f>OBRA!P174</f>
        <v>1ER ETAPA DE REHABILITACION, RED DE AGUA POTABLE Y REPOSICION DE EMPEDRADO AHOGADO EN CEMENTO EN LA CALLE ANIMA SOLA DE LA CABECERA MUNICIPAL DE JOCOTEPEC, JALISCO</v>
      </c>
      <c r="K176" s="3" t="s">
        <v>1762</v>
      </c>
      <c r="L176" s="3"/>
      <c r="M176" s="3" t="s">
        <v>1774</v>
      </c>
      <c r="N176" s="3"/>
      <c r="O176" s="466"/>
      <c r="P176" s="79">
        <f>OBRA!R174</f>
        <v>369433.07</v>
      </c>
      <c r="Q176" s="79"/>
      <c r="R176" s="79"/>
      <c r="S176" s="67">
        <f>OBRA!S174</f>
        <v>42597</v>
      </c>
      <c r="T176" s="1134">
        <f>OBRA!V174</f>
        <v>42597</v>
      </c>
      <c r="U176" s="5">
        <f>OBRA!T174</f>
        <v>42600</v>
      </c>
      <c r="V176" s="11">
        <f>OBRA!U174</f>
        <v>42704</v>
      </c>
      <c r="W176" s="223"/>
      <c r="X176" s="578">
        <f>OBRA!AS174+OBRA!AT174</f>
        <v>367595.09</v>
      </c>
      <c r="Y176" s="278"/>
      <c r="Z176" s="146" t="str">
        <f>OBRA!W174</f>
        <v>CONSTRUCCIONES VIKBRAK, S.A. DE C.V.</v>
      </c>
      <c r="AA176" s="146"/>
      <c r="AB176" s="148" t="s">
        <v>1576</v>
      </c>
      <c r="AC176" s="146" t="s">
        <v>1577</v>
      </c>
      <c r="AD176" s="146"/>
      <c r="AE176" s="183" t="str">
        <f>OBRA!X174</f>
        <v>LIC. SALVADOR CONTRERAS OLGUÍN</v>
      </c>
      <c r="AF176" s="19">
        <v>150</v>
      </c>
      <c r="AG176" s="2" t="s">
        <v>1451</v>
      </c>
      <c r="AH176" s="615">
        <f t="shared" si="4"/>
        <v>2450.6339333333335</v>
      </c>
      <c r="AI176" s="2">
        <v>2000</v>
      </c>
      <c r="AJ176" s="156" t="s">
        <v>1452</v>
      </c>
      <c r="AK176" s="513"/>
      <c r="AL176" s="513"/>
      <c r="AM176" s="513"/>
      <c r="AN176" s="786"/>
      <c r="AO176" s="524" t="s">
        <v>1776</v>
      </c>
      <c r="AP176" s="524" t="s">
        <v>1777</v>
      </c>
      <c r="AQ176" s="458" t="s">
        <v>1778</v>
      </c>
      <c r="AR176" s="1842"/>
      <c r="AS176" s="704" t="s">
        <v>1779</v>
      </c>
    </row>
    <row r="177" spans="1:45" ht="75.75" hidden="1" customHeight="1">
      <c r="A177" s="16">
        <f>OBRA!J175</f>
        <v>-2015</v>
      </c>
      <c r="B177" s="783" t="s">
        <v>1563</v>
      </c>
      <c r="C177" s="783"/>
      <c r="D177" s="783"/>
      <c r="E177" s="2" t="str">
        <f>OBRA!M175</f>
        <v>RAMO 33</v>
      </c>
      <c r="F177" s="18" t="s">
        <v>1428</v>
      </c>
      <c r="G177" s="972" t="s">
        <v>2206</v>
      </c>
      <c r="H177" s="19" t="str">
        <f>OBRA!N175</f>
        <v>GMJ 007C OP/2016</v>
      </c>
      <c r="I177" s="2" t="str">
        <f>OBRA!O175</f>
        <v>ADJUDICACIÓN DIRECTA</v>
      </c>
      <c r="J177" s="3" t="str">
        <f>OBRA!P175</f>
        <v>1ER ETAPA DE REHABILITACION, RED DE DRENAJE Y REPOSICION DE EMPEDRADO AHOGADO EN CEMENTO EN LA CALLE ANIMA SOLA DE LA CABECERA MUNICIPAL DE JOCOTEPEC, JALISCO</v>
      </c>
      <c r="K177" s="3" t="s">
        <v>1716</v>
      </c>
      <c r="L177" s="3"/>
      <c r="M177" s="3" t="s">
        <v>1774</v>
      </c>
      <c r="N177" s="3"/>
      <c r="O177" s="466"/>
      <c r="P177" s="79">
        <f>OBRA!R175</f>
        <v>369433.09</v>
      </c>
      <c r="Q177" s="79"/>
      <c r="R177" s="79"/>
      <c r="S177" s="67">
        <f>OBRA!S175</f>
        <v>42592</v>
      </c>
      <c r="T177" s="1134">
        <f>OBRA!V175</f>
        <v>42592</v>
      </c>
      <c r="U177" s="5">
        <f>OBRA!T175</f>
        <v>42593</v>
      </c>
      <c r="V177" s="11">
        <f>OBRA!U175</f>
        <v>42704</v>
      </c>
      <c r="W177" s="223"/>
      <c r="X177" s="578">
        <f>OBRA!AS175+OBRA!AT175</f>
        <v>367595.1</v>
      </c>
      <c r="Y177" s="278"/>
      <c r="Z177" s="146" t="str">
        <f>OBRA!W175</f>
        <v>CONSTRUCCIONES VIKBRAK, S.A. DE C.V.</v>
      </c>
      <c r="AA177" s="146"/>
      <c r="AB177" s="148" t="s">
        <v>1576</v>
      </c>
      <c r="AC177" s="146" t="s">
        <v>1577</v>
      </c>
      <c r="AD177" s="146"/>
      <c r="AE177" s="183" t="str">
        <f>OBRA!X175</f>
        <v>LIC. SALVADOR CONTRERAS OLGUÍN</v>
      </c>
      <c r="AF177" s="607">
        <v>220</v>
      </c>
      <c r="AG177" s="2" t="s">
        <v>1451</v>
      </c>
      <c r="AH177" s="615">
        <f t="shared" si="4"/>
        <v>1670.8868181818182</v>
      </c>
      <c r="AI177" s="2">
        <v>2000</v>
      </c>
      <c r="AJ177" s="156" t="s">
        <v>1452</v>
      </c>
      <c r="AK177" s="513"/>
      <c r="AL177" s="513"/>
      <c r="AM177" s="513"/>
      <c r="AN177" s="786"/>
      <c r="AO177" s="524" t="s">
        <v>1781</v>
      </c>
      <c r="AP177" s="524" t="s">
        <v>1782</v>
      </c>
      <c r="AQ177" s="458" t="s">
        <v>1783</v>
      </c>
      <c r="AR177" s="1843"/>
      <c r="AS177" s="703" t="s">
        <v>1784</v>
      </c>
    </row>
    <row r="178" spans="1:45" ht="62.25" hidden="1" customHeight="1">
      <c r="A178" s="16">
        <f>OBRA!J176</f>
        <v>2016</v>
      </c>
      <c r="B178" s="783" t="s">
        <v>1563</v>
      </c>
      <c r="C178" s="783"/>
      <c r="D178" s="783"/>
      <c r="E178" s="2" t="str">
        <f>OBRA!M176</f>
        <v>RAMO 33</v>
      </c>
      <c r="F178" s="18" t="s">
        <v>1428</v>
      </c>
      <c r="G178" s="972" t="s">
        <v>2206</v>
      </c>
      <c r="H178" s="19" t="str">
        <f>OBRA!N176</f>
        <v>GMJ 008C OP/2016</v>
      </c>
      <c r="I178" s="2" t="str">
        <f>OBRA!O176</f>
        <v>ADJUDICACIÓN DIRECTA</v>
      </c>
      <c r="J178" s="3" t="str">
        <f>OBRA!P176</f>
        <v>2DA. ETAPA DE REHABILITACIÓN, RED DE DRENAJE Y REPOSICIÓN DE EMPEDRADO EN CEMENTO EN LA CALLE ANIMA SOLA EN JOCOTEPEC, JALISCO</v>
      </c>
      <c r="K178" s="3" t="s">
        <v>1716</v>
      </c>
      <c r="L178" s="3"/>
      <c r="M178" s="3" t="s">
        <v>1774</v>
      </c>
      <c r="N178" s="3" t="s">
        <v>1975</v>
      </c>
      <c r="O178" s="466"/>
      <c r="P178" s="79">
        <f>OBRA!R176</f>
        <v>205079.87</v>
      </c>
      <c r="Q178" s="1023">
        <f>P178/1.16</f>
        <v>176792.99137931035</v>
      </c>
      <c r="R178" s="1023"/>
      <c r="S178" s="67">
        <f>OBRA!S176</f>
        <v>42618</v>
      </c>
      <c r="T178" s="1134">
        <f>OBRA!V176</f>
        <v>42618</v>
      </c>
      <c r="U178" s="5">
        <f>OBRA!T176</f>
        <v>42625</v>
      </c>
      <c r="V178" s="11">
        <f>OBRA!U176</f>
        <v>42704</v>
      </c>
      <c r="W178" s="223"/>
      <c r="X178" s="578">
        <f>OBRA!AS176+OBRA!AT176</f>
        <v>101409.74</v>
      </c>
      <c r="Y178" s="278"/>
      <c r="Z178" s="146" t="str">
        <f>OBRA!W176</f>
        <v>CONSTRUCCIONES VIKBRAK, S.A. DE C.V.</v>
      </c>
      <c r="AA178" s="146"/>
      <c r="AB178" s="148" t="s">
        <v>1576</v>
      </c>
      <c r="AC178" s="146" t="s">
        <v>1577</v>
      </c>
      <c r="AD178" s="146"/>
      <c r="AE178" s="183" t="str">
        <f>OBRA!X176</f>
        <v>LIC. SALVADOR CONTRERAS OLGUÍN</v>
      </c>
      <c r="AF178" s="552">
        <v>277.95</v>
      </c>
      <c r="AG178" s="2" t="s">
        <v>1451</v>
      </c>
      <c r="AH178" s="615">
        <f t="shared" si="4"/>
        <v>364.84885770822092</v>
      </c>
      <c r="AI178" s="2">
        <v>2000</v>
      </c>
      <c r="AJ178" s="156" t="s">
        <v>1452</v>
      </c>
      <c r="AK178" s="513"/>
      <c r="AL178" s="513"/>
      <c r="AM178" s="513"/>
      <c r="AN178" s="786"/>
      <c r="AO178" s="466" t="s">
        <v>1786</v>
      </c>
      <c r="AP178" s="466" t="s">
        <v>1787</v>
      </c>
      <c r="AQ178" s="524" t="s">
        <v>1788</v>
      </c>
      <c r="AR178" s="502"/>
      <c r="AS178" s="614" t="s">
        <v>1789</v>
      </c>
    </row>
    <row r="179" spans="1:45" ht="87.75" hidden="1" customHeight="1">
      <c r="A179" s="16">
        <f>OBRA!J177</f>
        <v>2016</v>
      </c>
      <c r="B179" s="783" t="s">
        <v>1563</v>
      </c>
      <c r="C179" s="783"/>
      <c r="D179" s="783"/>
      <c r="E179" s="2" t="str">
        <f>OBRA!M177</f>
        <v>RAMO 33</v>
      </c>
      <c r="F179" s="18" t="s">
        <v>1428</v>
      </c>
      <c r="G179" s="972" t="s">
        <v>2206</v>
      </c>
      <c r="H179" s="19" t="str">
        <f>OBRA!N177</f>
        <v>GMJ 009C OP/2016</v>
      </c>
      <c r="I179" s="2" t="str">
        <f>OBRA!O177</f>
        <v>ADJUDICACIÓN DIRECTA</v>
      </c>
      <c r="J179" s="3" t="str">
        <f>OBRA!P177</f>
        <v>2DA. ETAPA DE REHABILITACIÓN DE RED DE AGUA POTABLE Y REPOSICIÓN DE EMPEDRADO AHOGADO EN CEMENTO EN LA C. ANIMA SOLA DE LA CABECERA MUNICIPAL DE JOCOTEPEC, JALISCO</v>
      </c>
      <c r="K179" s="3" t="s">
        <v>1762</v>
      </c>
      <c r="L179" s="3"/>
      <c r="M179" s="3" t="s">
        <v>1774</v>
      </c>
      <c r="N179" s="3" t="s">
        <v>1975</v>
      </c>
      <c r="O179" s="466"/>
      <c r="P179" s="79">
        <f>OBRA!R177</f>
        <v>187923.95</v>
      </c>
      <c r="Q179" s="1023">
        <f>P179/1.16</f>
        <v>162003.40517241383</v>
      </c>
      <c r="R179" s="1023"/>
      <c r="S179" s="67">
        <f>OBRA!S177</f>
        <v>42618</v>
      </c>
      <c r="T179" s="1134">
        <f>OBRA!V177</f>
        <v>41157</v>
      </c>
      <c r="U179" s="5">
        <f>OBRA!T177</f>
        <v>42625</v>
      </c>
      <c r="V179" s="11">
        <f>OBRA!U177</f>
        <v>42704</v>
      </c>
      <c r="W179" s="223"/>
      <c r="X179" s="578">
        <f>OBRA!AS177+OBRA!AT177</f>
        <v>93627.95</v>
      </c>
      <c r="Y179" s="278"/>
      <c r="Z179" s="146" t="str">
        <f>OBRA!W177</f>
        <v>CONSTRUCCIONES VIKBRAK, S.A. DE C.V.</v>
      </c>
      <c r="AA179" s="146"/>
      <c r="AB179" s="148" t="s">
        <v>1576</v>
      </c>
      <c r="AC179" s="146" t="s">
        <v>1577</v>
      </c>
      <c r="AD179" s="146"/>
      <c r="AE179" s="183" t="str">
        <f>OBRA!X177</f>
        <v>LIC. SALVADOR CONTRERAS OLGUÍN</v>
      </c>
      <c r="AF179" s="552">
        <v>70</v>
      </c>
      <c r="AG179" s="2" t="s">
        <v>1451</v>
      </c>
      <c r="AH179" s="615">
        <f t="shared" si="4"/>
        <v>1337.5421428571428</v>
      </c>
      <c r="AI179" s="2">
        <v>2000</v>
      </c>
      <c r="AJ179" s="156" t="s">
        <v>1452</v>
      </c>
      <c r="AK179" s="513"/>
      <c r="AL179" s="513"/>
      <c r="AM179" s="513"/>
      <c r="AN179" s="786"/>
      <c r="AO179" s="466" t="s">
        <v>1791</v>
      </c>
      <c r="AP179" s="466" t="s">
        <v>1792</v>
      </c>
      <c r="AQ179" s="524" t="s">
        <v>1793</v>
      </c>
      <c r="AR179" s="1300"/>
      <c r="AS179" s="704" t="s">
        <v>1794</v>
      </c>
    </row>
    <row r="180" spans="1:45" ht="58.5" hidden="1" customHeight="1">
      <c r="A180" s="16">
        <f>OBRA!J178</f>
        <v>2016</v>
      </c>
      <c r="B180" s="783" t="s">
        <v>1563</v>
      </c>
      <c r="C180" s="783"/>
      <c r="D180" s="783"/>
      <c r="E180" s="2" t="str">
        <f>OBRA!M178</f>
        <v>RAMO 33</v>
      </c>
      <c r="F180" s="18" t="s">
        <v>1428</v>
      </c>
      <c r="G180" s="972" t="s">
        <v>2206</v>
      </c>
      <c r="H180" s="19" t="str">
        <f>OBRA!N178</f>
        <v>GMJ 010C OP/2016</v>
      </c>
      <c r="I180" s="2" t="str">
        <f>OBRA!O178</f>
        <v>ADJUDICACIÓN DIRECTA</v>
      </c>
      <c r="J180" s="3" t="str">
        <f>OBRA!P178</f>
        <v>REHABILITACION DE RED DE DRENAJE EN C. VIENTE GUERRERO ENTRE INDEPENDENCIA Y NIÑOS HEROES, EN JOCOTEPEC, JALISCO</v>
      </c>
      <c r="K180" s="3" t="s">
        <v>1481</v>
      </c>
      <c r="L180" s="3"/>
      <c r="M180" s="3" t="s">
        <v>1795</v>
      </c>
      <c r="N180" s="3" t="s">
        <v>1975</v>
      </c>
      <c r="O180" s="466"/>
      <c r="P180" s="79">
        <f>OBRA!R178</f>
        <v>583370.43999999994</v>
      </c>
      <c r="Q180" s="1023">
        <f>P180/1.16</f>
        <v>502905.55172413791</v>
      </c>
      <c r="R180" s="1023"/>
      <c r="S180" s="67">
        <f>OBRA!S178</f>
        <v>42632</v>
      </c>
      <c r="T180" s="1134">
        <f>OBRA!V178</f>
        <v>42632</v>
      </c>
      <c r="U180" s="5">
        <f>OBRA!T178</f>
        <v>42635</v>
      </c>
      <c r="V180" s="11">
        <f>OBRA!U178</f>
        <v>42704</v>
      </c>
      <c r="W180" s="223"/>
      <c r="X180" s="578">
        <f>OBRA!AS178+OBRA!AT178</f>
        <v>581427.36</v>
      </c>
      <c r="Y180" s="278"/>
      <c r="Z180" s="146" t="str">
        <f>OBRA!W178</f>
        <v>ING. GERARDO DANIEL PELAYO CERVERA</v>
      </c>
      <c r="AA180" s="146"/>
      <c r="AB180" s="148" t="str">
        <f t="shared" si="5"/>
        <v>ING. GERARDO DANIEL PELAYO CERVERA</v>
      </c>
      <c r="AC180" s="148" t="s">
        <v>2955</v>
      </c>
      <c r="AD180" s="146" t="s">
        <v>2955</v>
      </c>
      <c r="AE180" s="183" t="str">
        <f>OBRA!X178</f>
        <v>LIC. SALVADOR CONTRERAS OLGUÍN</v>
      </c>
      <c r="AF180" s="552">
        <v>654</v>
      </c>
      <c r="AG180" s="2" t="s">
        <v>1451</v>
      </c>
      <c r="AH180" s="615">
        <f t="shared" si="4"/>
        <v>889.03266055045867</v>
      </c>
      <c r="AI180" s="2">
        <v>2000</v>
      </c>
      <c r="AJ180" s="156" t="s">
        <v>1452</v>
      </c>
      <c r="AK180" s="513"/>
      <c r="AL180" s="513"/>
      <c r="AM180" s="513"/>
      <c r="AN180" s="786"/>
      <c r="AO180" s="466" t="s">
        <v>1797</v>
      </c>
      <c r="AP180" s="466" t="s">
        <v>1798</v>
      </c>
      <c r="AQ180" s="524" t="s">
        <v>1799</v>
      </c>
      <c r="AR180" s="1841"/>
      <c r="AS180" s="702" t="s">
        <v>1800</v>
      </c>
    </row>
    <row r="181" spans="1:45" ht="73.5" hidden="1" customHeight="1">
      <c r="A181" s="16">
        <f>OBRA!J179</f>
        <v>2016</v>
      </c>
      <c r="B181" s="783" t="s">
        <v>1563</v>
      </c>
      <c r="C181" s="783"/>
      <c r="D181" s="783"/>
      <c r="E181" s="2" t="str">
        <f>OBRA!M179</f>
        <v>RAMO 33</v>
      </c>
      <c r="F181" s="18" t="s">
        <v>1428</v>
      </c>
      <c r="G181" s="972" t="s">
        <v>2206</v>
      </c>
      <c r="H181" s="19" t="str">
        <f>OBRA!N179</f>
        <v>GMJ 011C OP/2016</v>
      </c>
      <c r="I181" s="2" t="str">
        <f>OBRA!O179</f>
        <v>ADJUDICACIÓN DIRECTA</v>
      </c>
      <c r="J181" s="3" t="str">
        <f>OBRA!P179</f>
        <v>REHABILITACIÓN DE RED DE AGUA POTABLE EN C. VIENTE GUERRERO ENTRE INDEPENDENCIA Y NIÑOS HEROES, EN JOCOTEPEC, JALISCO</v>
      </c>
      <c r="K181" s="3" t="s">
        <v>1496</v>
      </c>
      <c r="L181" s="3"/>
      <c r="M181" s="3" t="s">
        <v>1795</v>
      </c>
      <c r="N181" s="3" t="s">
        <v>1975</v>
      </c>
      <c r="O181" s="466"/>
      <c r="P181" s="79">
        <f>OBRA!R179</f>
        <v>490205.03</v>
      </c>
      <c r="Q181" s="1023">
        <f>P181/1.16</f>
        <v>422590.54310344835</v>
      </c>
      <c r="R181" s="1023"/>
      <c r="S181" s="67">
        <f>OBRA!S179</f>
        <v>42632</v>
      </c>
      <c r="T181" s="1134">
        <f>OBRA!V179</f>
        <v>42632</v>
      </c>
      <c r="U181" s="5">
        <f>OBRA!T179</f>
        <v>42635</v>
      </c>
      <c r="V181" s="11">
        <f>OBRA!U179</f>
        <v>42704</v>
      </c>
      <c r="W181" s="223"/>
      <c r="X181" s="578">
        <f>OBRA!AS179+OBRA!AT179</f>
        <v>490205.02</v>
      </c>
      <c r="Y181" s="278"/>
      <c r="Z181" s="146" t="str">
        <f>OBRA!W179</f>
        <v>ING. GERARDO DANIEL PELAYO CERVERA</v>
      </c>
      <c r="AA181" s="146"/>
      <c r="AB181" s="148" t="str">
        <f t="shared" si="5"/>
        <v>ING. GERARDO DANIEL PELAYO CERVERA</v>
      </c>
      <c r="AC181" s="2" t="s">
        <v>2955</v>
      </c>
      <c r="AD181" s="146" t="s">
        <v>2955</v>
      </c>
      <c r="AE181" s="183" t="str">
        <f>OBRA!X179</f>
        <v>LIC. SALVADOR CONTRERAS OLGUÍN</v>
      </c>
      <c r="AF181" s="552">
        <v>670</v>
      </c>
      <c r="AG181" s="2" t="s">
        <v>1451</v>
      </c>
      <c r="AH181" s="615">
        <f t="shared" si="4"/>
        <v>731.64928358208954</v>
      </c>
      <c r="AI181" s="2">
        <v>2000</v>
      </c>
      <c r="AJ181" s="156" t="s">
        <v>1452</v>
      </c>
      <c r="AK181" s="513"/>
      <c r="AL181" s="513"/>
      <c r="AM181" s="513"/>
      <c r="AN181" s="786"/>
      <c r="AO181" s="466" t="s">
        <v>1802</v>
      </c>
      <c r="AP181" s="466" t="s">
        <v>1803</v>
      </c>
      <c r="AQ181" s="524" t="s">
        <v>1804</v>
      </c>
      <c r="AR181" s="1841"/>
      <c r="AS181" s="703" t="s">
        <v>1805</v>
      </c>
    </row>
    <row r="182" spans="1:45" ht="87" hidden="1" customHeight="1">
      <c r="A182" s="16">
        <f>OBRA!J180</f>
        <v>2016</v>
      </c>
      <c r="B182" s="783" t="s">
        <v>1563</v>
      </c>
      <c r="C182" s="783"/>
      <c r="D182" s="783"/>
      <c r="E182" s="2" t="str">
        <f>OBRA!M180</f>
        <v xml:space="preserve">Fortalecimiento Financiero Para La Inversion </v>
      </c>
      <c r="F182" s="613" t="s">
        <v>1702</v>
      </c>
      <c r="G182" s="1095"/>
      <c r="H182" s="19" t="str">
        <f>OBRA!N180</f>
        <v>GMJ 012C OP/2016</v>
      </c>
      <c r="I182" s="2" t="str">
        <f>OBRA!O180</f>
        <v>POR INVITACION RESTRINGIDA</v>
      </c>
      <c r="J182" s="3" t="str">
        <f>OBRA!P180</f>
        <v>CONSTRUCCIÓN DE LOZA DE CONCRETO HIDRAULICO Y REHABILITACIÓN DE PUENTE VEHICULAR EN CALLE VICENTE GUERRERO EN LA CABECERA MUNICIPAL DE JOCOTEPEC, JALISCO</v>
      </c>
      <c r="K182" s="3" t="s">
        <v>1806</v>
      </c>
      <c r="L182" s="3"/>
      <c r="M182" s="3" t="s">
        <v>1795</v>
      </c>
      <c r="N182" s="3"/>
      <c r="O182" s="524"/>
      <c r="P182" s="79">
        <f>OBRA!R180</f>
        <v>3930732.57</v>
      </c>
      <c r="Q182" s="79"/>
      <c r="R182" s="79"/>
      <c r="S182" s="67">
        <f>OBRA!S180</f>
        <v>42633</v>
      </c>
      <c r="T182" s="1134" t="str">
        <f>OBRA!V180</f>
        <v>-</v>
      </c>
      <c r="U182" s="5">
        <f>OBRA!T180</f>
        <v>42634</v>
      </c>
      <c r="V182" s="11">
        <f>OBRA!U180</f>
        <v>42719</v>
      </c>
      <c r="W182" s="223"/>
      <c r="X182" s="578">
        <f>OBRA!AS180+OBRA!AT180</f>
        <v>3930732.5399999996</v>
      </c>
      <c r="Y182" s="278"/>
      <c r="Z182" s="146" t="str">
        <f>OBRA!W180</f>
        <v>A&amp;G URBANIZADORA S.A. DE C.V.</v>
      </c>
      <c r="AA182" s="146"/>
      <c r="AB182" s="2" t="s">
        <v>1808</v>
      </c>
      <c r="AC182" s="146" t="s">
        <v>1809</v>
      </c>
      <c r="AD182" s="146"/>
      <c r="AE182" s="183" t="str">
        <f>OBRA!X180</f>
        <v>ING. J. GUADALUPE IBARRA RAMIREZ</v>
      </c>
      <c r="AF182" s="552">
        <v>3091.38</v>
      </c>
      <c r="AG182" s="2" t="s">
        <v>1548</v>
      </c>
      <c r="AH182" s="183">
        <f t="shared" si="4"/>
        <v>1271.5138675931137</v>
      </c>
      <c r="AI182" s="2">
        <v>21500</v>
      </c>
      <c r="AJ182" s="156" t="s">
        <v>1452</v>
      </c>
      <c r="AK182" s="513"/>
      <c r="AL182" s="513"/>
      <c r="AM182" s="513"/>
      <c r="AN182" s="786"/>
      <c r="AO182" s="529"/>
      <c r="AP182" s="466" t="s">
        <v>1810</v>
      </c>
      <c r="AQ182" s="524" t="s">
        <v>1811</v>
      </c>
      <c r="AR182" s="1300"/>
      <c r="AS182" s="704" t="s">
        <v>1812</v>
      </c>
    </row>
    <row r="183" spans="1:45" ht="51.75" hidden="1" customHeight="1">
      <c r="A183" s="16">
        <f>OBRA!J181</f>
        <v>2016</v>
      </c>
      <c r="B183" s="783" t="s">
        <v>1563</v>
      </c>
      <c r="C183" s="783"/>
      <c r="D183" s="783"/>
      <c r="E183" s="2" t="str">
        <f>OBRA!M181</f>
        <v>RAMO 33</v>
      </c>
      <c r="F183" s="613" t="s">
        <v>1428</v>
      </c>
      <c r="G183" s="972" t="s">
        <v>2206</v>
      </c>
      <c r="H183" s="19" t="str">
        <f>OBRA!N181</f>
        <v>GMJ 013C OP/2016</v>
      </c>
      <c r="I183" s="2" t="str">
        <f>OBRA!O181</f>
        <v>ADJUDICACIÓN DIRECTA</v>
      </c>
      <c r="J183" s="3" t="str">
        <f>OBRA!P181</f>
        <v>ELECTRIFICACIÓN DE MEDIA Y BAJA TENSIÓN EN LA CALLE FRANCISCO VILLA DE ZAPOTITAN DE HIDALGO</v>
      </c>
      <c r="K183" s="3" t="s">
        <v>1439</v>
      </c>
      <c r="L183" s="3"/>
      <c r="M183" s="3" t="s">
        <v>1813</v>
      </c>
      <c r="N183" s="3" t="s">
        <v>2604</v>
      </c>
      <c r="O183" s="466"/>
      <c r="P183" s="79">
        <f>OBRA!R181</f>
        <v>352278.81</v>
      </c>
      <c r="Q183" s="1023">
        <f>P183/1.16</f>
        <v>303688.62931034487</v>
      </c>
      <c r="R183" s="1023"/>
      <c r="S183" s="67">
        <f>OBRA!S181</f>
        <v>42650</v>
      </c>
      <c r="T183" s="1134">
        <f>OBRA!V181</f>
        <v>42650</v>
      </c>
      <c r="U183" s="5">
        <f>OBRA!T181</f>
        <v>42653</v>
      </c>
      <c r="V183" s="11">
        <f>OBRA!U181</f>
        <v>42734</v>
      </c>
      <c r="W183" s="223"/>
      <c r="X183" s="578">
        <f>OBRA!AS181+OBRA!AT181</f>
        <v>352278.84</v>
      </c>
      <c r="Y183" s="278"/>
      <c r="Z183" s="146" t="str">
        <f>OBRA!W181</f>
        <v>ENERGIAS RENOVABLES DE LA RIVERA S.A. DE C.V</v>
      </c>
      <c r="AA183" s="146"/>
      <c r="AB183" s="148" t="s">
        <v>1755</v>
      </c>
      <c r="AC183" s="146" t="s">
        <v>1756</v>
      </c>
      <c r="AD183" s="146"/>
      <c r="AE183" s="183" t="str">
        <f>OBRA!X181</f>
        <v>ING. RIGOBERTO OLMEDO RAMOS</v>
      </c>
      <c r="AF183" s="552">
        <v>11</v>
      </c>
      <c r="AG183" s="2" t="s">
        <v>1468</v>
      </c>
      <c r="AH183" s="615">
        <f t="shared" si="4"/>
        <v>32025.349090909094</v>
      </c>
      <c r="AI183" s="2">
        <v>150</v>
      </c>
      <c r="AJ183" s="156" t="s">
        <v>1444</v>
      </c>
      <c r="AK183" s="513"/>
      <c r="AL183" s="513"/>
      <c r="AM183" s="513"/>
      <c r="AN183" s="786"/>
      <c r="AO183" s="466" t="s">
        <v>1815</v>
      </c>
      <c r="AP183" s="466" t="s">
        <v>1816</v>
      </c>
      <c r="AQ183" s="524" t="s">
        <v>1817</v>
      </c>
      <c r="AR183" s="1841"/>
      <c r="AS183" s="702" t="s">
        <v>1818</v>
      </c>
    </row>
    <row r="184" spans="1:45" ht="52.5" hidden="1" customHeight="1">
      <c r="A184" s="16">
        <f>OBRA!J182</f>
        <v>2016</v>
      </c>
      <c r="B184" s="783" t="s">
        <v>1563</v>
      </c>
      <c r="C184" s="783"/>
      <c r="D184" s="783"/>
      <c r="E184" s="2" t="str">
        <f>OBRA!M182</f>
        <v>RAMO 33</v>
      </c>
      <c r="F184" s="613" t="s">
        <v>1428</v>
      </c>
      <c r="G184" s="972" t="s">
        <v>2206</v>
      </c>
      <c r="H184" s="19" t="str">
        <f>OBRA!N182</f>
        <v>GMJ 014C OP/2016</v>
      </c>
      <c r="I184" s="2" t="str">
        <f>OBRA!O182</f>
        <v>ADJUDICACIÓN DIRECTA</v>
      </c>
      <c r="J184" s="3" t="str">
        <f>OBRA!P182</f>
        <v>ELECTRIFICACIÓN DE MEDIA Y BAJA TENSIÓN EN LA CALLE BERNARDO QUINTANA DE ZAPOTITAN DE HIDALGO</v>
      </c>
      <c r="K184" s="3" t="s">
        <v>1439</v>
      </c>
      <c r="L184" s="3"/>
      <c r="M184" s="3" t="s">
        <v>1819</v>
      </c>
      <c r="N184" s="3" t="s">
        <v>2604</v>
      </c>
      <c r="O184" s="466"/>
      <c r="P184" s="79">
        <f>OBRA!R182</f>
        <v>364293.06</v>
      </c>
      <c r="Q184" s="1023">
        <f>P184/1.16</f>
        <v>314045.74137931038</v>
      </c>
      <c r="R184" s="1023"/>
      <c r="S184" s="67">
        <f>OBRA!S182</f>
        <v>42650</v>
      </c>
      <c r="T184" s="1134">
        <f>OBRA!V182</f>
        <v>42650</v>
      </c>
      <c r="U184" s="5">
        <f>OBRA!T182</f>
        <v>42653</v>
      </c>
      <c r="V184" s="11">
        <f>OBRA!U182</f>
        <v>42734</v>
      </c>
      <c r="W184" s="223"/>
      <c r="X184" s="578">
        <f>OBRA!AS182+OBRA!AT182</f>
        <v>364293.07</v>
      </c>
      <c r="Y184" s="278"/>
      <c r="Z184" s="146" t="str">
        <f>OBRA!W182</f>
        <v>ENERGIAS RENOVABLES DE LA RIVERA S.A. DE C.V</v>
      </c>
      <c r="AA184" s="146"/>
      <c r="AB184" s="148" t="s">
        <v>1755</v>
      </c>
      <c r="AC184" s="146" t="s">
        <v>1756</v>
      </c>
      <c r="AD184" s="146"/>
      <c r="AE184" s="183" t="str">
        <f>OBRA!X182</f>
        <v>ING. RIGOBERTO OLMEDO RAMOS</v>
      </c>
      <c r="AF184" s="552">
        <v>11</v>
      </c>
      <c r="AG184" s="2" t="s">
        <v>1468</v>
      </c>
      <c r="AH184" s="615">
        <f t="shared" si="4"/>
        <v>33117.551818181819</v>
      </c>
      <c r="AI184" s="2">
        <v>150</v>
      </c>
      <c r="AJ184" s="156" t="s">
        <v>1444</v>
      </c>
      <c r="AK184" s="513"/>
      <c r="AL184" s="513"/>
      <c r="AM184" s="513"/>
      <c r="AN184" s="786"/>
      <c r="AO184" s="466" t="s">
        <v>1821</v>
      </c>
      <c r="AP184" s="466" t="s">
        <v>1822</v>
      </c>
      <c r="AQ184" s="524" t="s">
        <v>1823</v>
      </c>
      <c r="AR184" s="1841"/>
      <c r="AS184" s="702" t="s">
        <v>1824</v>
      </c>
    </row>
    <row r="185" spans="1:45" s="104" customFormat="1" ht="51" hidden="1" customHeight="1">
      <c r="A185" s="82">
        <f>OBRA!J183</f>
        <v>2016</v>
      </c>
      <c r="B185" s="781" t="s">
        <v>1427</v>
      </c>
      <c r="C185" s="781"/>
      <c r="D185" s="781"/>
      <c r="E185" s="85" t="str">
        <f>OBRA!M183</f>
        <v>3X1 PARA MIGRANTES</v>
      </c>
      <c r="F185" s="1147" t="s">
        <v>1428</v>
      </c>
      <c r="G185" s="1096"/>
      <c r="H185" s="84" t="str">
        <f>OBRA!N183</f>
        <v>GMJ 015C OP/2016</v>
      </c>
      <c r="I185" s="185" t="str">
        <f>OBRA!O183</f>
        <v>CANCELADA</v>
      </c>
      <c r="J185" s="125" t="str">
        <f>OBRA!P183</f>
        <v>EMPEDRADO AHOGADO EN CEMENTO EN CALLE INSURGENTES PRIMERA ETAPA, ZAPOTITAN DE HIDALGO</v>
      </c>
      <c r="K185" s="125"/>
      <c r="L185" s="125"/>
      <c r="M185" s="125"/>
      <c r="N185" s="125"/>
      <c r="O185" s="812"/>
      <c r="P185" s="86">
        <f>OBRA!R183</f>
        <v>2426000</v>
      </c>
      <c r="Q185" s="86"/>
      <c r="R185" s="86"/>
      <c r="S185" s="87" t="str">
        <f>OBRA!S183</f>
        <v>-</v>
      </c>
      <c r="T185" s="1134" t="str">
        <f>OBRA!V183</f>
        <v>-</v>
      </c>
      <c r="U185" s="88" t="str">
        <f>OBRA!T183</f>
        <v>-</v>
      </c>
      <c r="V185" s="89" t="str">
        <f>OBRA!U183</f>
        <v>-</v>
      </c>
      <c r="W185" s="338"/>
      <c r="X185" s="810">
        <f>OBRA!AS183+OBRA!AT183</f>
        <v>0</v>
      </c>
      <c r="Y185" s="821"/>
      <c r="Z185" s="147" t="str">
        <f>OBRA!W183</f>
        <v>CANCELADA</v>
      </c>
      <c r="AA185" s="147"/>
      <c r="AB185" s="149" t="str">
        <f t="shared" si="5"/>
        <v>CANCELADA</v>
      </c>
      <c r="AC185" s="147" t="s">
        <v>68</v>
      </c>
      <c r="AD185" s="147"/>
      <c r="AE185" s="184" t="str">
        <f>OBRA!X183</f>
        <v>ING. RIGOBERTO OLMEDO RAMOS</v>
      </c>
      <c r="AF185" s="84"/>
      <c r="AG185" s="186"/>
      <c r="AH185" s="184" t="e">
        <f t="shared" si="4"/>
        <v>#DIV/0!</v>
      </c>
      <c r="AI185" s="186"/>
      <c r="AJ185" s="577"/>
      <c r="AK185" s="789"/>
      <c r="AL185" s="789"/>
      <c r="AM185" s="789"/>
      <c r="AN185" s="789"/>
      <c r="AO185" s="789"/>
      <c r="AP185" s="790"/>
      <c r="AQ185" s="814"/>
      <c r="AR185" s="965"/>
      <c r="AS185" s="815"/>
    </row>
    <row r="186" spans="1:45" ht="150" hidden="1" customHeight="1">
      <c r="A186" s="16">
        <f>OBRA!J184</f>
        <v>2016</v>
      </c>
      <c r="B186" s="783" t="s">
        <v>1563</v>
      </c>
      <c r="C186" s="783"/>
      <c r="D186" s="783"/>
      <c r="E186" s="2" t="str">
        <f>OBRA!M184</f>
        <v xml:space="preserve">Fortalecimiento Financiero Para La Inversion </v>
      </c>
      <c r="F186" s="613" t="s">
        <v>1702</v>
      </c>
      <c r="G186" s="1095"/>
      <c r="H186" s="19" t="str">
        <f>OBRA!N184</f>
        <v>GMJ 016C OP/2016</v>
      </c>
      <c r="I186" s="2" t="str">
        <f>OBRA!O184</f>
        <v>POR INVITACION RESTRINGIDA</v>
      </c>
      <c r="J186" s="3" t="str">
        <f>OBRA!P184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4"/>
      <c r="P186" s="79">
        <f>OBRA!R184</f>
        <v>2439500.65</v>
      </c>
      <c r="Q186" s="79"/>
      <c r="R186" s="79"/>
      <c r="S186" s="67">
        <f>OBRA!S184</f>
        <v>42683</v>
      </c>
      <c r="T186" s="1134" t="str">
        <f>OBRA!V184</f>
        <v>-</v>
      </c>
      <c r="U186" s="5">
        <f>OBRA!T184</f>
        <v>42685</v>
      </c>
      <c r="V186" s="11">
        <f>OBRA!U184</f>
        <v>42735</v>
      </c>
      <c r="W186" s="223"/>
      <c r="X186" s="578">
        <f>OBRA!AS184+OBRA!AT184</f>
        <v>2439085.04</v>
      </c>
      <c r="Y186" s="278"/>
      <c r="Z186" s="146" t="str">
        <f>OBRA!W184</f>
        <v>TAG SOLUCIONES INTEGRALES S.A DE C.V.</v>
      </c>
      <c r="AA186" s="146"/>
      <c r="AB186" s="148" t="s">
        <v>1827</v>
      </c>
      <c r="AC186" s="146" t="s">
        <v>1828</v>
      </c>
      <c r="AD186" s="146"/>
      <c r="AE186" s="183" t="str">
        <f>OBRA!X184</f>
        <v>ING. J. GUADALUPE IBARRA RAMIREZ</v>
      </c>
      <c r="AF186" s="552">
        <v>2003.84</v>
      </c>
      <c r="AG186" s="2" t="s">
        <v>1548</v>
      </c>
      <c r="AH186" s="183">
        <f t="shared" si="4"/>
        <v>1217.2054854679018</v>
      </c>
      <c r="AI186" s="2">
        <v>21500</v>
      </c>
      <c r="AJ186" s="156" t="s">
        <v>1452</v>
      </c>
      <c r="AK186" s="513"/>
      <c r="AL186" s="513"/>
      <c r="AM186" s="513"/>
      <c r="AN186" s="786"/>
      <c r="AO186" s="529"/>
      <c r="AP186" s="466" t="s">
        <v>1829</v>
      </c>
      <c r="AQ186" s="524" t="s">
        <v>1830</v>
      </c>
      <c r="AR186" s="1300"/>
      <c r="AS186" s="704" t="s">
        <v>1831</v>
      </c>
    </row>
    <row r="187" spans="1:45" ht="141" hidden="1" customHeight="1">
      <c r="A187" s="16">
        <f>OBRA!J185</f>
        <v>2016</v>
      </c>
      <c r="B187" s="783" t="s">
        <v>1563</v>
      </c>
      <c r="C187" s="783"/>
      <c r="D187" s="783"/>
      <c r="E187" s="2" t="str">
        <f>OBRA!M185</f>
        <v xml:space="preserve">Fortalecimiento Financiero Para La Inversion </v>
      </c>
      <c r="F187" s="613" t="s">
        <v>1702</v>
      </c>
      <c r="G187" s="1095"/>
      <c r="H187" s="19" t="str">
        <f>OBRA!N185</f>
        <v>GMJ 017C OP/2016</v>
      </c>
      <c r="I187" s="2" t="str">
        <f>OBRA!O185</f>
        <v>POR INVITACION RESTRINGIDA</v>
      </c>
      <c r="J187" s="3" t="str">
        <f>OBRA!P185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4"/>
      <c r="P187" s="79">
        <f>OBRA!R185</f>
        <v>2623234.52</v>
      </c>
      <c r="Q187" s="79"/>
      <c r="R187" s="79"/>
      <c r="S187" s="67">
        <f>OBRA!S185</f>
        <v>42622</v>
      </c>
      <c r="T187" s="1134" t="str">
        <f>OBRA!V185</f>
        <v>-</v>
      </c>
      <c r="U187" s="5">
        <f>OBRA!T185</f>
        <v>42685</v>
      </c>
      <c r="V187" s="11">
        <f>OBRA!U185</f>
        <v>42735</v>
      </c>
      <c r="W187" s="223"/>
      <c r="X187" s="578">
        <f>OBRA!AS185+OBRA!AT185</f>
        <v>2439189.37</v>
      </c>
      <c r="Y187" s="278"/>
      <c r="Z187" s="146" t="str">
        <f>OBRA!W185</f>
        <v xml:space="preserve">GRUPO DESARROLLADOR INMOBILIARIO CEMERAMA S.A. DE C.V. </v>
      </c>
      <c r="AA187" s="146"/>
      <c r="AB187" s="148" t="s">
        <v>1833</v>
      </c>
      <c r="AC187" s="146" t="s">
        <v>1834</v>
      </c>
      <c r="AD187" s="146"/>
      <c r="AE187" s="183" t="str">
        <f>OBRA!X185</f>
        <v xml:space="preserve">LIC. SALVADOR CONTRERAS </v>
      </c>
      <c r="AF187" s="552">
        <v>2275.63</v>
      </c>
      <c r="AG187" s="2" t="s">
        <v>1548</v>
      </c>
      <c r="AH187" s="183">
        <f t="shared" si="4"/>
        <v>1071.8743249122222</v>
      </c>
      <c r="AI187" s="2">
        <v>21500</v>
      </c>
      <c r="AJ187" s="156" t="s">
        <v>1452</v>
      </c>
      <c r="AK187" s="513"/>
      <c r="AL187" s="513"/>
      <c r="AM187" s="513"/>
      <c r="AN187" s="786"/>
      <c r="AO187" s="466" t="s">
        <v>1835</v>
      </c>
      <c r="AP187" s="529"/>
      <c r="AQ187" s="524" t="s">
        <v>1836</v>
      </c>
      <c r="AR187" s="1300"/>
      <c r="AS187" s="704" t="s">
        <v>1837</v>
      </c>
    </row>
    <row r="188" spans="1:45" ht="100.5" hidden="1" customHeight="1">
      <c r="A188" s="16">
        <f>OBRA!J186</f>
        <v>2016</v>
      </c>
      <c r="B188" s="783" t="s">
        <v>1563</v>
      </c>
      <c r="C188" s="783"/>
      <c r="D188" s="783"/>
      <c r="E188" s="2" t="str">
        <f>OBRA!M186</f>
        <v>SEDATU</v>
      </c>
      <c r="F188" s="704" t="s">
        <v>1838</v>
      </c>
      <c r="G188" s="501"/>
      <c r="H188" s="19" t="str">
        <f>OBRA!N186</f>
        <v>GMJ 018C OP/2016</v>
      </c>
      <c r="I188" s="2" t="str">
        <f>OBRA!O186</f>
        <v>POR INVITACION RESTRINGIDA</v>
      </c>
      <c r="J188" s="3" t="str">
        <f>OBRA!P186</f>
        <v>CONSTRUCCIÓN DE PLAZOLETA "EL CHANTE" MUNICIPIO DE JOCOTEPEC, JALISCO</v>
      </c>
      <c r="K188" s="3" t="s">
        <v>1839</v>
      </c>
      <c r="L188" s="3"/>
      <c r="M188" s="3" t="s">
        <v>1588</v>
      </c>
      <c r="N188" s="3"/>
      <c r="O188" s="524"/>
      <c r="P188" s="79">
        <f>OBRA!R186</f>
        <v>2389400</v>
      </c>
      <c r="Q188" s="79"/>
      <c r="R188" s="79"/>
      <c r="S188" s="67">
        <f>OBRA!S186</f>
        <v>42669</v>
      </c>
      <c r="T188" s="1134" t="str">
        <f>OBRA!V186</f>
        <v>-</v>
      </c>
      <c r="U188" s="5">
        <f>OBRA!T186</f>
        <v>42671</v>
      </c>
      <c r="V188" s="11">
        <f>OBRA!U186</f>
        <v>42735</v>
      </c>
      <c r="W188" s="223"/>
      <c r="X188" s="578">
        <f>OBRA!AS186+OBRA!AT186</f>
        <v>2401596.3199999998</v>
      </c>
      <c r="Y188" s="278"/>
      <c r="Z188" s="146" t="str">
        <f>OBRA!W186</f>
        <v xml:space="preserve">GRUPO DESARROLLADOR INMOBILIARIO CEMERAMA S.A. DE C.V. </v>
      </c>
      <c r="AA188" s="146"/>
      <c r="AB188" s="148" t="s">
        <v>1833</v>
      </c>
      <c r="AC188" s="146" t="s">
        <v>1834</v>
      </c>
      <c r="AD188" s="146"/>
      <c r="AE188" s="183" t="str">
        <f>OBRA!X186</f>
        <v xml:space="preserve">LIC. SALVADOR CONTRERAS </v>
      </c>
      <c r="AF188" s="552">
        <v>1</v>
      </c>
      <c r="AG188" s="2" t="s">
        <v>1841</v>
      </c>
      <c r="AH188" s="183">
        <f t="shared" si="4"/>
        <v>2401596.3199999998</v>
      </c>
      <c r="AI188" s="2">
        <v>500</v>
      </c>
      <c r="AJ188" s="156" t="s">
        <v>1444</v>
      </c>
      <c r="AK188" s="513"/>
      <c r="AL188" s="513"/>
      <c r="AM188" s="513"/>
      <c r="AN188" s="786"/>
      <c r="AO188" s="466" t="s">
        <v>1842</v>
      </c>
      <c r="AP188" s="466" t="s">
        <v>1843</v>
      </c>
      <c r="AQ188" s="2" t="s">
        <v>68</v>
      </c>
      <c r="AR188" s="124"/>
      <c r="AS188" s="416" t="s">
        <v>1844</v>
      </c>
    </row>
    <row r="189" spans="1:45" ht="60.75" hidden="1" customHeight="1">
      <c r="A189" s="16">
        <f>OBRA!J187</f>
        <v>2016</v>
      </c>
      <c r="B189" s="783" t="s">
        <v>1563</v>
      </c>
      <c r="C189" s="783"/>
      <c r="D189" s="783"/>
      <c r="E189" s="2" t="str">
        <f>OBRA!M187</f>
        <v>RAMO 33</v>
      </c>
      <c r="F189" s="18" t="s">
        <v>1428</v>
      </c>
      <c r="G189" s="972" t="s">
        <v>2206</v>
      </c>
      <c r="H189" s="19" t="str">
        <f>OBRA!N187</f>
        <v>GMJ 019C OP/2016</v>
      </c>
      <c r="I189" s="2" t="str">
        <f>OBRA!O187</f>
        <v>ADJUDICACIÓN DIRECTA</v>
      </c>
      <c r="J189" s="3" t="str">
        <f>OBRA!P187</f>
        <v>CONSTRUCCIÓN DE EMPEDRADO AHOGADO EN CEMENTO EN LA CALLE ANIMA SOLA DE LA CABECERA MUNICIPAL DE JOCOTEPEC, JALISCO</v>
      </c>
      <c r="K189" s="3" t="s">
        <v>1592</v>
      </c>
      <c r="L189" s="3"/>
      <c r="M189" s="3" t="s">
        <v>1774</v>
      </c>
      <c r="N189" s="3" t="s">
        <v>1975</v>
      </c>
      <c r="O189" s="466"/>
      <c r="P189" s="79">
        <f>OBRA!R187</f>
        <v>196802.42</v>
      </c>
      <c r="Q189" s="1023">
        <f>P189/1.16</f>
        <v>169657.25862068968</v>
      </c>
      <c r="R189" s="1023"/>
      <c r="S189" s="67">
        <f>OBRA!S187</f>
        <v>42677</v>
      </c>
      <c r="T189" s="1134">
        <f>OBRA!V187</f>
        <v>42675</v>
      </c>
      <c r="U189" s="5">
        <f>OBRA!T187</f>
        <v>42681</v>
      </c>
      <c r="V189" s="11">
        <f>OBRA!U187</f>
        <v>42735</v>
      </c>
      <c r="W189" s="223"/>
      <c r="X189" s="578">
        <f>OBRA!AS187+OBRA!AT187</f>
        <v>196409.58</v>
      </c>
      <c r="Y189" s="278"/>
      <c r="Z189" s="146" t="str">
        <f>OBRA!W187</f>
        <v>CONSTRUCCIONES VIKBRAK, S.A. DE C.V.</v>
      </c>
      <c r="AA189" s="146"/>
      <c r="AB189" s="148" t="s">
        <v>1576</v>
      </c>
      <c r="AC189" s="146" t="s">
        <v>1577</v>
      </c>
      <c r="AD189" s="146"/>
      <c r="AE189" s="183" t="str">
        <f>OBRA!X187</f>
        <v>LIC. SALVADOR CONTRERAS OLGUÍN</v>
      </c>
      <c r="AF189" s="552">
        <v>1080.7</v>
      </c>
      <c r="AG189" s="2" t="s">
        <v>1548</v>
      </c>
      <c r="AH189" s="615">
        <f t="shared" si="4"/>
        <v>181.74292588137317</v>
      </c>
      <c r="AI189" s="2">
        <v>2000</v>
      </c>
      <c r="AJ189" s="156" t="s">
        <v>1452</v>
      </c>
      <c r="AK189" s="513"/>
      <c r="AL189" s="513"/>
      <c r="AM189" s="513"/>
      <c r="AN189" s="786"/>
      <c r="AO189" s="466" t="s">
        <v>1846</v>
      </c>
      <c r="AP189" s="466" t="s">
        <v>1847</v>
      </c>
      <c r="AQ189" s="458" t="s">
        <v>1848</v>
      </c>
      <c r="AR189" s="1842"/>
      <c r="AS189" s="704" t="s">
        <v>1849</v>
      </c>
    </row>
    <row r="190" spans="1:45" ht="74.25" hidden="1" customHeight="1">
      <c r="A190" s="16">
        <f>OBRA!J188</f>
        <v>2016</v>
      </c>
      <c r="B190" s="783" t="s">
        <v>1563</v>
      </c>
      <c r="C190" s="783"/>
      <c r="D190" s="783"/>
      <c r="E190" s="2" t="str">
        <f>OBRA!M188</f>
        <v>RAMO 33</v>
      </c>
      <c r="F190" s="18" t="s">
        <v>1428</v>
      </c>
      <c r="G190" s="972" t="s">
        <v>2206</v>
      </c>
      <c r="H190" s="19" t="str">
        <f>OBRA!N188</f>
        <v>GMJ 020C OP/2016</v>
      </c>
      <c r="I190" s="2" t="str">
        <f>OBRA!O188</f>
        <v>ADJUDICACIÓN DIRECTA</v>
      </c>
      <c r="J190" s="3" t="str">
        <f>OBRA!P188</f>
        <v>REEMPEDRADO AHOGADO EN CEMENTO CALLE 16 DE SEPTIEMBRE ENTRE CALLES MORELOS Y 20 DE NOVIEMBRE EN LA DELEGACIÓN DE ZAPOTITAN DE HIDALGO</v>
      </c>
      <c r="K190" s="3" t="s">
        <v>1592</v>
      </c>
      <c r="L190" s="3"/>
      <c r="M190" s="3" t="s">
        <v>1763</v>
      </c>
      <c r="N190" s="3" t="s">
        <v>2604</v>
      </c>
      <c r="O190" s="466"/>
      <c r="P190" s="79">
        <f>OBRA!R188</f>
        <v>523396.29</v>
      </c>
      <c r="Q190" s="1023">
        <f>P190/1.16</f>
        <v>451203.69827586209</v>
      </c>
      <c r="R190" s="1023"/>
      <c r="S190" s="67">
        <f>OBRA!S188</f>
        <v>42677</v>
      </c>
      <c r="T190" s="1134">
        <f>OBRA!V188</f>
        <v>42675</v>
      </c>
      <c r="U190" s="5">
        <f>OBRA!T188</f>
        <v>42678</v>
      </c>
      <c r="V190" s="11">
        <f>OBRA!U188</f>
        <v>42735</v>
      </c>
      <c r="W190" s="223"/>
      <c r="X190" s="578">
        <f>OBRA!AS188+OBRA!AT188</f>
        <v>523396.3</v>
      </c>
      <c r="Y190" s="278"/>
      <c r="Z190" s="146" t="str">
        <f>OBRA!W188</f>
        <v>LIC. CARLOS MANUEL PELAYO CERVERA</v>
      </c>
      <c r="AA190" s="146"/>
      <c r="AB190" s="148" t="str">
        <f t="shared" si="5"/>
        <v>LIC. CARLOS MANUEL PELAYO CERVERA</v>
      </c>
      <c r="AC190" s="2" t="s">
        <v>2955</v>
      </c>
      <c r="AD190" s="146" t="s">
        <v>2955</v>
      </c>
      <c r="AE190" s="183" t="str">
        <f>OBRA!X188</f>
        <v>LIC. SALVADOR CONTRERAS OLGUÍN</v>
      </c>
      <c r="AF190" s="552">
        <v>1080.7</v>
      </c>
      <c r="AG190" s="2" t="s">
        <v>1548</v>
      </c>
      <c r="AH190" s="615">
        <f t="shared" si="4"/>
        <v>484.31229758489866</v>
      </c>
      <c r="AI190" s="2">
        <v>960</v>
      </c>
      <c r="AJ190" s="156" t="s">
        <v>1452</v>
      </c>
      <c r="AK190" s="513"/>
      <c r="AL190" s="513"/>
      <c r="AM190" s="513"/>
      <c r="AN190" s="786"/>
      <c r="AO190" s="466" t="s">
        <v>1851</v>
      </c>
      <c r="AP190" s="466" t="s">
        <v>1852</v>
      </c>
      <c r="AQ190" s="495" t="s">
        <v>1853</v>
      </c>
      <c r="AR190" s="1505"/>
      <c r="AS190" s="699" t="s">
        <v>1854</v>
      </c>
    </row>
    <row r="191" spans="1:45" ht="96.75" hidden="1" customHeight="1">
      <c r="A191" s="16">
        <f>OBRA!J189</f>
        <v>2016</v>
      </c>
      <c r="B191" s="783" t="s">
        <v>1563</v>
      </c>
      <c r="C191" s="783"/>
      <c r="D191" s="783"/>
      <c r="E191" s="2" t="str">
        <f>OBRA!M189</f>
        <v xml:space="preserve">Fortalecimiento Financiero Para La Inversion </v>
      </c>
      <c r="F191" s="613" t="s">
        <v>1702</v>
      </c>
      <c r="G191" s="972" t="s">
        <v>2206</v>
      </c>
      <c r="H191" s="19" t="str">
        <f>OBRA!N189</f>
        <v>GMJ 021C OP/2016</v>
      </c>
      <c r="I191" s="2" t="str">
        <f>OBRA!O189</f>
        <v>ADJUDICACIÓN DIRECTA</v>
      </c>
      <c r="J191" s="3" t="str">
        <f>OBRA!P189</f>
        <v>CONSTRUCCIÓN DE ALUMBRADO PÚBLICO EN CALLE DEGOLLADO ENTRE C. JOSEFA ORTÍZ DE DOMINGUEZ Y NICOLAS BRAVO, EN LA CABECERA MUNICIPAL EN EL MUNICIPIO DE JOCOTEPEC, JALISCO</v>
      </c>
      <c r="K191" s="3" t="s">
        <v>1474</v>
      </c>
      <c r="L191" s="3"/>
      <c r="M191" s="3" t="s">
        <v>1704</v>
      </c>
      <c r="N191" s="3" t="s">
        <v>1975</v>
      </c>
      <c r="O191" s="466"/>
      <c r="P191" s="79">
        <f>OBRA!R189</f>
        <v>577695.28</v>
      </c>
      <c r="Q191" s="1023">
        <f>P191/1.16</f>
        <v>498013.17241379316</v>
      </c>
      <c r="R191" s="1023"/>
      <c r="S191" s="67">
        <f>OBRA!S189</f>
        <v>42688</v>
      </c>
      <c r="T191" s="1134">
        <f>OBRA!V189</f>
        <v>42688</v>
      </c>
      <c r="U191" s="5">
        <f>OBRA!T189</f>
        <v>42689</v>
      </c>
      <c r="V191" s="11">
        <f>OBRA!U189</f>
        <v>42734</v>
      </c>
      <c r="W191" s="223"/>
      <c r="X191" s="578">
        <f>OBRA!AS189+OBRA!AT189</f>
        <v>577695.27</v>
      </c>
      <c r="Y191" s="278"/>
      <c r="Z191" s="146" t="str">
        <f>OBRA!W189</f>
        <v>ENERGIAS RENOVABLES DE LA RIVERA S.A. DE C.V</v>
      </c>
      <c r="AA191" s="146"/>
      <c r="AB191" s="148" t="s">
        <v>1755</v>
      </c>
      <c r="AC191" s="146" t="s">
        <v>1756</v>
      </c>
      <c r="AD191" s="146"/>
      <c r="AE191" s="183" t="str">
        <f>OBRA!X189</f>
        <v>ING. J. GUADALUPE IBARRA RAMIREZ</v>
      </c>
      <c r="AF191" s="552">
        <v>14</v>
      </c>
      <c r="AG191" s="2" t="s">
        <v>1757</v>
      </c>
      <c r="AH191" s="615">
        <f t="shared" si="4"/>
        <v>41263.947857142855</v>
      </c>
      <c r="AI191" s="2">
        <v>21500</v>
      </c>
      <c r="AJ191" s="156" t="s">
        <v>1452</v>
      </c>
      <c r="AK191" s="513"/>
      <c r="AL191" s="513"/>
      <c r="AM191" s="513"/>
      <c r="AN191" s="786"/>
      <c r="AO191" s="466" t="s">
        <v>1856</v>
      </c>
      <c r="AP191" s="466" t="s">
        <v>1857</v>
      </c>
      <c r="AQ191" s="524" t="s">
        <v>1858</v>
      </c>
      <c r="AR191" s="1841"/>
      <c r="AS191" s="702" t="s">
        <v>1859</v>
      </c>
    </row>
    <row r="192" spans="1:45" s="104" customFormat="1" ht="51" hidden="1" customHeight="1">
      <c r="A192" s="82">
        <f>OBRA!J190</f>
        <v>2016</v>
      </c>
      <c r="B192" s="781" t="s">
        <v>1427</v>
      </c>
      <c r="C192" s="781"/>
      <c r="D192" s="781"/>
      <c r="E192" s="85">
        <f>OBRA!M190</f>
        <v>0</v>
      </c>
      <c r="F192" s="83" t="s">
        <v>1428</v>
      </c>
      <c r="G192" s="514"/>
      <c r="H192" s="84" t="str">
        <f>OBRA!N190</f>
        <v>GMJ 022C OP/2016</v>
      </c>
      <c r="I192" s="185" t="str">
        <f>OBRA!O190</f>
        <v>CANCELADA</v>
      </c>
      <c r="J192" s="125" t="str">
        <f>OBRA!P190</f>
        <v>CANCELADO</v>
      </c>
      <c r="K192" s="125"/>
      <c r="L192" s="125"/>
      <c r="M192" s="125"/>
      <c r="N192" s="125"/>
      <c r="O192" s="812"/>
      <c r="P192" s="86">
        <f>OBRA!R190</f>
        <v>0</v>
      </c>
      <c r="Q192" s="86"/>
      <c r="R192" s="86"/>
      <c r="S192" s="87" t="s">
        <v>68</v>
      </c>
      <c r="T192" s="1134" t="str">
        <f>OBRA!V190</f>
        <v>-</v>
      </c>
      <c r="U192" s="88" t="s">
        <v>68</v>
      </c>
      <c r="V192" s="89" t="s">
        <v>68</v>
      </c>
      <c r="W192" s="338"/>
      <c r="X192" s="810" t="e">
        <f>OBRA!AS190+OBRA!AT190</f>
        <v>#VALUE!</v>
      </c>
      <c r="Y192" s="821"/>
      <c r="Z192" s="147">
        <f>OBRA!W190</f>
        <v>0</v>
      </c>
      <c r="AA192" s="147"/>
      <c r="AB192" s="149">
        <f t="shared" si="5"/>
        <v>0</v>
      </c>
      <c r="AC192" s="147" t="s">
        <v>68</v>
      </c>
      <c r="AD192" s="147"/>
      <c r="AE192" s="184">
        <f>OBRA!X190</f>
        <v>0</v>
      </c>
      <c r="AF192" s="84"/>
      <c r="AG192" s="85"/>
      <c r="AH192" s="184" t="e">
        <f t="shared" si="4"/>
        <v>#VALUE!</v>
      </c>
      <c r="AI192" s="85"/>
      <c r="AJ192" s="575"/>
      <c r="AK192" s="514"/>
      <c r="AL192" s="514"/>
      <c r="AM192" s="514"/>
      <c r="AN192" s="514"/>
      <c r="AO192" s="514"/>
      <c r="AP192" s="85"/>
      <c r="AQ192" s="816"/>
      <c r="AR192" s="966"/>
      <c r="AS192" s="815"/>
    </row>
    <row r="193" spans="1:45" s="104" customFormat="1" ht="51" hidden="1" customHeight="1">
      <c r="A193" s="82">
        <f>OBRA!J191</f>
        <v>2016</v>
      </c>
      <c r="B193" s="781" t="s">
        <v>1427</v>
      </c>
      <c r="C193" s="781"/>
      <c r="D193" s="781"/>
      <c r="E193" s="85">
        <f>OBRA!M191</f>
        <v>0</v>
      </c>
      <c r="F193" s="83" t="s">
        <v>1428</v>
      </c>
      <c r="G193" s="514"/>
      <c r="H193" s="84" t="str">
        <f>OBRA!N191</f>
        <v>GMJ 023C OP/2016</v>
      </c>
      <c r="I193" s="185" t="str">
        <f>OBRA!O191</f>
        <v>CANCELADA</v>
      </c>
      <c r="J193" s="125" t="str">
        <f>OBRA!P191</f>
        <v>CANCELADO</v>
      </c>
      <c r="K193" s="125"/>
      <c r="L193" s="125"/>
      <c r="M193" s="125"/>
      <c r="N193" s="125"/>
      <c r="O193" s="812"/>
      <c r="P193" s="86">
        <f>OBRA!R191</f>
        <v>0</v>
      </c>
      <c r="Q193" s="86"/>
      <c r="R193" s="86"/>
      <c r="S193" s="87" t="s">
        <v>68</v>
      </c>
      <c r="T193" s="1134" t="str">
        <f>OBRA!V191</f>
        <v>-</v>
      </c>
      <c r="U193" s="88" t="s">
        <v>68</v>
      </c>
      <c r="V193" s="89" t="s">
        <v>68</v>
      </c>
      <c r="W193" s="338"/>
      <c r="X193" s="810" t="e">
        <f>OBRA!AS191+OBRA!AT191</f>
        <v>#VALUE!</v>
      </c>
      <c r="Y193" s="821"/>
      <c r="Z193" s="147">
        <f>OBRA!W191</f>
        <v>0</v>
      </c>
      <c r="AA193" s="147"/>
      <c r="AB193" s="149">
        <f t="shared" si="5"/>
        <v>0</v>
      </c>
      <c r="AC193" s="147" t="s">
        <v>68</v>
      </c>
      <c r="AD193" s="147"/>
      <c r="AE193" s="184">
        <f>OBRA!X191</f>
        <v>0</v>
      </c>
      <c r="AF193" s="84"/>
      <c r="AG193" s="85"/>
      <c r="AH193" s="184" t="e">
        <f t="shared" si="4"/>
        <v>#VALUE!</v>
      </c>
      <c r="AI193" s="85"/>
      <c r="AJ193" s="575"/>
      <c r="AK193" s="527"/>
      <c r="AL193" s="527"/>
      <c r="AM193" s="527"/>
      <c r="AN193" s="527"/>
      <c r="AO193" s="527"/>
      <c r="AP193" s="655"/>
      <c r="AQ193" s="814"/>
      <c r="AR193" s="965"/>
      <c r="AS193" s="815"/>
    </row>
    <row r="194" spans="1:45" ht="81" hidden="1" customHeight="1">
      <c r="A194" s="16">
        <f>OBRA!J192</f>
        <v>2016</v>
      </c>
      <c r="B194" s="783" t="s">
        <v>1563</v>
      </c>
      <c r="C194" s="783"/>
      <c r="D194" s="783"/>
      <c r="E194" s="2" t="str">
        <f>OBRA!M192</f>
        <v>RAMO 33</v>
      </c>
      <c r="F194" s="18" t="s">
        <v>1428</v>
      </c>
      <c r="G194" s="513"/>
      <c r="H194" s="19" t="str">
        <f>OBRA!N192</f>
        <v>GMJ 024C OP/2016</v>
      </c>
      <c r="I194" s="2" t="str">
        <f>OBRA!O192</f>
        <v>POR INVITACION RESTRINGIDA</v>
      </c>
      <c r="J194" s="3" t="str">
        <f>OBRA!P192</f>
        <v>CONSTRUCCIÓN Y AFORO DE POZO PROFUNDO EN LA CALLE JUAREZ, LOCALIDAD DE CHANTEPEC, MUNICIPIO DE JOCOTEPEC, JALISCO</v>
      </c>
      <c r="K194" s="3" t="s">
        <v>1860</v>
      </c>
      <c r="L194" s="3"/>
      <c r="M194" s="3" t="s">
        <v>1861</v>
      </c>
      <c r="N194" s="3"/>
      <c r="O194" s="524"/>
      <c r="P194" s="79">
        <f>OBRA!R192</f>
        <v>1630380</v>
      </c>
      <c r="Q194" s="79"/>
      <c r="R194" s="79"/>
      <c r="S194" s="67"/>
      <c r="T194" s="1134" t="str">
        <f>OBRA!V192</f>
        <v>-</v>
      </c>
      <c r="U194" s="5">
        <f>OBRA!T192</f>
        <v>42720</v>
      </c>
      <c r="V194" s="11">
        <f>OBRA!U192</f>
        <v>42794</v>
      </c>
      <c r="W194" s="223"/>
      <c r="X194" s="578">
        <f>OBRA!AS192+OBRA!AT192</f>
        <v>1779922.8</v>
      </c>
      <c r="Y194" s="278"/>
      <c r="Z194" s="146" t="str">
        <f>OBRA!W192</f>
        <v>ING. GEOLOGO: J. TRINIDAD NUÑEZ BRITO</v>
      </c>
      <c r="AA194" s="146"/>
      <c r="AB194" s="148" t="str">
        <f t="shared" si="5"/>
        <v>ING. GEOLOGO: J. TRINIDAD NUÑEZ BRITO</v>
      </c>
      <c r="AC194" s="2" t="s">
        <v>2955</v>
      </c>
      <c r="AD194" s="146" t="s">
        <v>2955</v>
      </c>
      <c r="AE194" s="183" t="str">
        <f>OBRA!X192</f>
        <v>ING. RIGOBERTO OLMEDO RAMOS</v>
      </c>
      <c r="AF194" s="552">
        <v>1</v>
      </c>
      <c r="AG194" s="2" t="s">
        <v>1463</v>
      </c>
      <c r="AH194" s="183">
        <f t="shared" si="4"/>
        <v>1779922.8</v>
      </c>
      <c r="AI194" s="2">
        <v>3500</v>
      </c>
      <c r="AJ194" s="156" t="s">
        <v>1452</v>
      </c>
      <c r="AK194" s="513"/>
      <c r="AL194" s="513"/>
      <c r="AM194" s="513"/>
      <c r="AN194" s="786"/>
      <c r="AO194" s="466" t="s">
        <v>1863</v>
      </c>
      <c r="AP194" s="466" t="s">
        <v>1864</v>
      </c>
      <c r="AQ194" s="524" t="s">
        <v>1865</v>
      </c>
      <c r="AR194" s="1300"/>
      <c r="AS194" s="704" t="s">
        <v>1866</v>
      </c>
    </row>
    <row r="195" spans="1:45" ht="76.5" hidden="1" customHeight="1">
      <c r="A195" s="16">
        <f>OBRA!J193</f>
        <v>-2016</v>
      </c>
      <c r="B195" s="783" t="s">
        <v>1563</v>
      </c>
      <c r="C195" s="783"/>
      <c r="D195" s="783"/>
      <c r="E195" s="2" t="str">
        <f>OBRA!M193</f>
        <v>FOREMODA</v>
      </c>
      <c r="F195" s="704" t="s">
        <v>1867</v>
      </c>
      <c r="G195" s="501"/>
      <c r="H195" s="19" t="str">
        <f>OBRA!N193</f>
        <v>GMJ 025C OP/2016</v>
      </c>
      <c r="I195" s="2" t="str">
        <f>OBRA!O193</f>
        <v>POR INVITACION RESTRINGIDA</v>
      </c>
      <c r="J195" s="3" t="str">
        <f>OBRA!P193</f>
        <v>RESTAURACIÓN DE LA PARROQUIA DEL SEÑOR DEL MONTE EN JOCOTEPEC, JALISCO</v>
      </c>
      <c r="K195" s="3" t="s">
        <v>1868</v>
      </c>
      <c r="L195" s="3"/>
      <c r="M195" s="3" t="s">
        <v>1569</v>
      </c>
      <c r="N195" s="3"/>
      <c r="O195" s="524"/>
      <c r="P195" s="79">
        <f>OBRA!R193</f>
        <v>1800000</v>
      </c>
      <c r="Q195" s="79"/>
      <c r="R195" s="79"/>
      <c r="S195" s="67">
        <f>OBRA!S193</f>
        <v>42779</v>
      </c>
      <c r="T195" s="1134" t="str">
        <f>OBRA!V193</f>
        <v>-</v>
      </c>
      <c r="U195" s="5">
        <f>OBRA!T193</f>
        <v>42779</v>
      </c>
      <c r="V195" s="11">
        <f>OBRA!U193</f>
        <v>43039</v>
      </c>
      <c r="W195" s="223"/>
      <c r="X195" s="578">
        <f>OBRA!AS193+OBRA!AT193</f>
        <v>1800176.82</v>
      </c>
      <c r="Y195" s="278"/>
      <c r="Z195" s="146" t="str">
        <f>OBRA!W193</f>
        <v>ARQ. LUIS MIGUEL ARGUELLES ALCALÁ</v>
      </c>
      <c r="AA195" s="146"/>
      <c r="AB195" s="148" t="str">
        <f t="shared" si="5"/>
        <v>ARQ. LUIS MIGUEL ARGUELLES ALCALÁ</v>
      </c>
      <c r="AC195" s="148" t="s">
        <v>2955</v>
      </c>
      <c r="AD195" s="146" t="s">
        <v>2955</v>
      </c>
      <c r="AE195" s="183" t="str">
        <f>OBRA!X193</f>
        <v>ARQ. FRANCISCO SALAZAR</v>
      </c>
      <c r="AF195" s="552">
        <v>1</v>
      </c>
      <c r="AG195" s="2" t="s">
        <v>1573</v>
      </c>
      <c r="AH195" s="183">
        <f t="shared" si="4"/>
        <v>1800176.82</v>
      </c>
      <c r="AI195" s="2">
        <v>18000</v>
      </c>
      <c r="AJ195" s="156" t="s">
        <v>1452</v>
      </c>
      <c r="AK195" s="513"/>
      <c r="AL195" s="513"/>
      <c r="AM195" s="513"/>
      <c r="AN195" s="873"/>
      <c r="AO195" s="633" t="s">
        <v>1870</v>
      </c>
      <c r="AP195" s="633" t="s">
        <v>1871</v>
      </c>
      <c r="AQ195" s="633" t="s">
        <v>1872</v>
      </c>
      <c r="AR195" s="1844"/>
      <c r="AS195" s="704" t="s">
        <v>1844</v>
      </c>
    </row>
    <row r="196" spans="1:45" ht="110.25" hidden="1" customHeight="1">
      <c r="A196" s="16">
        <f>OBRA!J194</f>
        <v>2016</v>
      </c>
      <c r="B196" s="783" t="s">
        <v>1563</v>
      </c>
      <c r="C196" s="783"/>
      <c r="D196" s="783"/>
      <c r="E196" s="2" t="str">
        <f>OBRA!M194</f>
        <v>FONDEREG</v>
      </c>
      <c r="F196" s="704" t="s">
        <v>1629</v>
      </c>
      <c r="G196" s="501"/>
      <c r="H196" s="33" t="str">
        <f>OBRA!N194</f>
        <v>FONDEREG 2016/05 Sureste/121</v>
      </c>
      <c r="I196" s="2" t="str">
        <f>OBRA!O194</f>
        <v>CONVENIO</v>
      </c>
      <c r="J196" s="3" t="str">
        <f>OBRA!P194</f>
        <v>REHABILITACIÓN DE LINEAS HIDROSANITARIAS, EMPEDRADO ECOLOGICO CON HUELLAS DE CONCRETO HIDRAULICO EN LA CALLE ZARAGOZA DE LA LOCALIDAD DE SAN CRISTOBAL DE ZAPOTITLAN</v>
      </c>
      <c r="K196" s="3" t="s">
        <v>68</v>
      </c>
      <c r="L196" s="3"/>
      <c r="M196" s="3" t="s">
        <v>68</v>
      </c>
      <c r="N196" s="3" t="s">
        <v>1976</v>
      </c>
      <c r="O196" s="504"/>
      <c r="P196" s="4">
        <f>OBRA!R194</f>
        <v>2000000</v>
      </c>
      <c r="Q196" s="1023">
        <f t="shared" ref="Q196:Q217" si="8">P196/1.16</f>
        <v>1724137.9310344828</v>
      </c>
      <c r="R196" s="1023"/>
      <c r="S196" s="6">
        <f>OBRA!S194</f>
        <v>42566</v>
      </c>
      <c r="T196" s="1134" t="str">
        <f>OBRA!V194</f>
        <v>-</v>
      </c>
      <c r="U196" s="5" t="str">
        <f>OBRA!T194</f>
        <v>-</v>
      </c>
      <c r="V196" s="11" t="str">
        <f>OBRA!U194</f>
        <v>-</v>
      </c>
      <c r="W196" s="223"/>
      <c r="X196" s="578">
        <f>OBRA!AS194+OBRA!AT194</f>
        <v>0</v>
      </c>
      <c r="Y196" s="278"/>
      <c r="Z196" s="146" t="str">
        <f>OBRA!W194</f>
        <v>-</v>
      </c>
      <c r="AA196" s="146"/>
      <c r="AB196" s="148" t="str">
        <f t="shared" si="5"/>
        <v>-</v>
      </c>
      <c r="AC196" s="146" t="s">
        <v>68</v>
      </c>
      <c r="AD196" s="146"/>
      <c r="AE196" s="183" t="str">
        <f>OBRA!X194</f>
        <v>-</v>
      </c>
      <c r="AF196" s="19"/>
      <c r="AG196" s="2"/>
      <c r="AH196" s="183" t="e">
        <f t="shared" si="4"/>
        <v>#DIV/0!</v>
      </c>
      <c r="AI196" s="2"/>
      <c r="AJ196" s="156"/>
      <c r="AK196" s="513"/>
      <c r="AL196" s="513"/>
      <c r="AM196" s="513"/>
      <c r="AN196" s="513"/>
      <c r="AO196" s="513"/>
      <c r="AP196" s="2"/>
      <c r="AQ196" s="571"/>
      <c r="AR196" s="787"/>
      <c r="AS196" s="701"/>
    </row>
    <row r="197" spans="1:45" ht="75" hidden="1" customHeight="1">
      <c r="A197" s="16">
        <f>OBRA!J195</f>
        <v>2016</v>
      </c>
      <c r="B197" s="783" t="s">
        <v>1563</v>
      </c>
      <c r="C197" s="783"/>
      <c r="D197" s="783"/>
      <c r="E197" s="2" t="str">
        <f>OBRA!M195</f>
        <v xml:space="preserve">FONDO PARA EL FORTALECIMIENTO </v>
      </c>
      <c r="F197" s="704" t="s">
        <v>1702</v>
      </c>
      <c r="G197" s="501"/>
      <c r="H197" s="33" t="str">
        <f>OBRA!N195</f>
        <v>FONDO PARA EL FORTALECIMIENTO 2016 "B"</v>
      </c>
      <c r="I197" s="2" t="str">
        <f>OBRA!O195</f>
        <v>CONVENIO</v>
      </c>
      <c r="J197" s="3" t="str">
        <f>OBRA!P195</f>
        <v>-</v>
      </c>
      <c r="K197" s="3" t="s">
        <v>68</v>
      </c>
      <c r="L197" s="3"/>
      <c r="M197" s="3" t="s">
        <v>68</v>
      </c>
      <c r="N197" s="3"/>
      <c r="O197" s="504"/>
      <c r="P197" s="4">
        <f>OBRA!R195</f>
        <v>10000000</v>
      </c>
      <c r="Q197" s="1023">
        <f t="shared" si="8"/>
        <v>8620689.6551724151</v>
      </c>
      <c r="R197" s="1023"/>
      <c r="S197" s="6">
        <f>OBRA!S195</f>
        <v>42614</v>
      </c>
      <c r="T197" s="1134" t="str">
        <f>OBRA!V195</f>
        <v>-</v>
      </c>
      <c r="U197" s="5" t="str">
        <f>OBRA!T195</f>
        <v>-</v>
      </c>
      <c r="V197" s="11" t="str">
        <f>OBRA!U195</f>
        <v>-</v>
      </c>
      <c r="W197" s="223"/>
      <c r="X197" s="578">
        <f>OBRA!AS195+OBRA!AT195</f>
        <v>0</v>
      </c>
      <c r="Y197" s="278"/>
      <c r="Z197" s="146" t="str">
        <f>OBRA!W195</f>
        <v>-</v>
      </c>
      <c r="AA197" s="146"/>
      <c r="AB197" s="148" t="str">
        <f t="shared" si="5"/>
        <v>-</v>
      </c>
      <c r="AC197" s="146" t="s">
        <v>68</v>
      </c>
      <c r="AD197" s="146"/>
      <c r="AE197" s="183" t="str">
        <f>OBRA!X195</f>
        <v>-</v>
      </c>
      <c r="AF197" s="19"/>
      <c r="AG197" s="2"/>
      <c r="AH197" s="183" t="e">
        <f t="shared" si="4"/>
        <v>#DIV/0!</v>
      </c>
      <c r="AI197" s="2"/>
      <c r="AJ197" s="156"/>
      <c r="AK197" s="513"/>
      <c r="AL197" s="513"/>
      <c r="AM197" s="513"/>
      <c r="AN197" s="513"/>
      <c r="AO197" s="513"/>
      <c r="AP197" s="2"/>
      <c r="AQ197" s="571"/>
      <c r="AR197" s="787"/>
      <c r="AS197" s="701"/>
    </row>
    <row r="198" spans="1:45" ht="53.25" hidden="1" customHeight="1">
      <c r="A198" s="16">
        <f>OBRA!J196</f>
        <v>2016</v>
      </c>
      <c r="B198" s="783" t="s">
        <v>1563</v>
      </c>
      <c r="C198" s="783"/>
      <c r="D198" s="783"/>
      <c r="E198" s="2" t="str">
        <f>OBRA!M196</f>
        <v>3X1 PARA MIGRANTES</v>
      </c>
      <c r="F198" s="613" t="s">
        <v>1684</v>
      </c>
      <c r="G198" s="493"/>
      <c r="H198" s="19" t="str">
        <f>OBRA!N196</f>
        <v>P3X1-14-PIS-0563-16</v>
      </c>
      <c r="I198" s="2" t="str">
        <f>OBRA!O196</f>
        <v>CONVENIO</v>
      </c>
      <c r="J198" s="3" t="str">
        <f>OBRA!P196</f>
        <v>COLOCACIÓN DE ADOQUIN EN CALLE PRIVADA CAMICHINES</v>
      </c>
      <c r="K198" s="3" t="s">
        <v>68</v>
      </c>
      <c r="L198" s="3"/>
      <c r="M198" s="3" t="s">
        <v>68</v>
      </c>
      <c r="N198" s="3" t="s">
        <v>1975</v>
      </c>
      <c r="O198" s="504"/>
      <c r="P198" s="4">
        <f>OBRA!R196</f>
        <v>456248</v>
      </c>
      <c r="Q198" s="1023">
        <f t="shared" si="8"/>
        <v>393317.24137931038</v>
      </c>
      <c r="R198" s="1023"/>
      <c r="S198" s="6">
        <f>OBRA!S196</f>
        <v>42583</v>
      </c>
      <c r="T198" s="1134" t="str">
        <f>OBRA!V196</f>
        <v>-</v>
      </c>
      <c r="U198" s="5" t="str">
        <f>OBRA!T196</f>
        <v>-</v>
      </c>
      <c r="V198" s="11" t="str">
        <f>OBRA!U196</f>
        <v>-</v>
      </c>
      <c r="W198" s="223"/>
      <c r="X198" s="578">
        <f>OBRA!AS196+OBRA!AT196</f>
        <v>0</v>
      </c>
      <c r="Y198" s="278"/>
      <c r="Z198" s="146" t="str">
        <f>OBRA!W196</f>
        <v>-</v>
      </c>
      <c r="AA198" s="146"/>
      <c r="AB198" s="148" t="str">
        <f t="shared" si="5"/>
        <v>-</v>
      </c>
      <c r="AC198" s="146" t="s">
        <v>68</v>
      </c>
      <c r="AD198" s="146"/>
      <c r="AE198" s="183" t="str">
        <f>OBRA!X196</f>
        <v>-</v>
      </c>
      <c r="AF198" s="19"/>
      <c r="AG198" s="2"/>
      <c r="AH198" s="183" t="e">
        <f t="shared" si="4"/>
        <v>#DIV/0!</v>
      </c>
      <c r="AI198" s="2"/>
      <c r="AJ198" s="156"/>
      <c r="AK198" s="513"/>
      <c r="AL198" s="513"/>
      <c r="AM198" s="513"/>
      <c r="AN198" s="513"/>
      <c r="AO198" s="513"/>
      <c r="AP198" s="2"/>
      <c r="AQ198" s="571"/>
      <c r="AR198" s="787"/>
      <c r="AS198" s="701"/>
    </row>
    <row r="199" spans="1:45" ht="94.5" hidden="1" customHeight="1">
      <c r="A199" s="16">
        <f>OBRA!J197</f>
        <v>2016</v>
      </c>
      <c r="B199" s="783" t="s">
        <v>1563</v>
      </c>
      <c r="C199" s="783"/>
      <c r="D199" s="783"/>
      <c r="E199" s="2" t="str">
        <f>OBRA!M197</f>
        <v>3X1 PARA MIGRANTES</v>
      </c>
      <c r="F199" s="613" t="s">
        <v>1668</v>
      </c>
      <c r="G199" s="493"/>
      <c r="H199" s="19" t="str">
        <f>OBRA!N197</f>
        <v>P3X1-14-PIS-0521-16</v>
      </c>
      <c r="I199" s="2" t="str">
        <f>OBRA!O197</f>
        <v>CONVENIO</v>
      </c>
      <c r="J199" s="3" t="str">
        <f>OBRA!P197</f>
        <v>REHABILITACION DE RED DE AGUA POTABLE EN CALLE GUADALUPE VICTORIA ENTRE HIDALGO Y ZONA FEDERAL DEL LAGO, EN LA LOCALIDAD DE SAN PEDRO TESISTAN</v>
      </c>
      <c r="K199" s="3" t="s">
        <v>68</v>
      </c>
      <c r="L199" s="3"/>
      <c r="M199" s="3" t="s">
        <v>68</v>
      </c>
      <c r="N199" s="3" t="s">
        <v>2532</v>
      </c>
      <c r="O199" s="504"/>
      <c r="P199" s="4">
        <f>OBRA!R197</f>
        <v>245400</v>
      </c>
      <c r="Q199" s="1023">
        <f t="shared" si="8"/>
        <v>211551.72413793104</v>
      </c>
      <c r="R199" s="1023"/>
      <c r="S199" s="6">
        <f>OBRA!S197</f>
        <v>42583</v>
      </c>
      <c r="T199" s="1134" t="str">
        <f>OBRA!V197</f>
        <v>-</v>
      </c>
      <c r="U199" s="5" t="str">
        <f>OBRA!T197</f>
        <v>-</v>
      </c>
      <c r="V199" s="11" t="str">
        <f>OBRA!U197</f>
        <v>-</v>
      </c>
      <c r="W199" s="223"/>
      <c r="X199" s="578">
        <f>OBRA!AS197+OBRA!AT197</f>
        <v>0</v>
      </c>
      <c r="Y199" s="278"/>
      <c r="Z199" s="146" t="str">
        <f>OBRA!W197</f>
        <v>-</v>
      </c>
      <c r="AA199" s="146"/>
      <c r="AB199" s="148" t="str">
        <f t="shared" si="5"/>
        <v>-</v>
      </c>
      <c r="AC199" s="146" t="s">
        <v>68</v>
      </c>
      <c r="AD199" s="146"/>
      <c r="AE199" s="183" t="str">
        <f>OBRA!X197</f>
        <v>-</v>
      </c>
      <c r="AF199" s="19"/>
      <c r="AG199" s="2"/>
      <c r="AH199" s="183" t="e">
        <f t="shared" si="4"/>
        <v>#DIV/0!</v>
      </c>
      <c r="AI199" s="2"/>
      <c r="AJ199" s="156"/>
      <c r="AK199" s="513"/>
      <c r="AL199" s="513"/>
      <c r="AM199" s="513"/>
      <c r="AN199" s="513"/>
      <c r="AO199" s="513"/>
      <c r="AP199" s="2"/>
      <c r="AQ199" s="571"/>
      <c r="AR199" s="787"/>
      <c r="AS199" s="701"/>
    </row>
    <row r="200" spans="1:45" ht="79.5" hidden="1" customHeight="1">
      <c r="A200" s="16">
        <f>OBRA!J198</f>
        <v>2016</v>
      </c>
      <c r="B200" s="783" t="s">
        <v>1563</v>
      </c>
      <c r="C200" s="783"/>
      <c r="D200" s="783"/>
      <c r="E200" s="2" t="str">
        <f>OBRA!M198</f>
        <v>3X1 PARA MIGRANTES</v>
      </c>
      <c r="F200" s="613" t="s">
        <v>1654</v>
      </c>
      <c r="G200" s="493"/>
      <c r="H200" s="19" t="str">
        <f>OBRA!N198</f>
        <v>P3X1-14-PIS-0559-16</v>
      </c>
      <c r="I200" s="2" t="str">
        <f>OBRA!O198</f>
        <v>CONVENIO</v>
      </c>
      <c r="J200" s="3" t="str">
        <f>OBRA!P198</f>
        <v>REHABILITACION DE RED DE AGUA POTABLE EN CALLE RAMON CORONA DESDE PINO SUAREZ HASTA ZONA FEDERAL DEL LAGO, EN LA LOCALIDAD DE SAN PEDRO TESISTAN</v>
      </c>
      <c r="K200" s="3" t="s">
        <v>68</v>
      </c>
      <c r="L200" s="3"/>
      <c r="M200" s="3" t="s">
        <v>68</v>
      </c>
      <c r="N200" s="3" t="s">
        <v>2532</v>
      </c>
      <c r="O200" s="504"/>
      <c r="P200" s="4">
        <f>OBRA!R198</f>
        <v>100336</v>
      </c>
      <c r="Q200" s="1023">
        <f t="shared" si="8"/>
        <v>86496.551724137942</v>
      </c>
      <c r="R200" s="1023"/>
      <c r="S200" s="6">
        <f>OBRA!S198</f>
        <v>42583</v>
      </c>
      <c r="T200" s="1134" t="str">
        <f>OBRA!V198</f>
        <v>-</v>
      </c>
      <c r="U200" s="5" t="str">
        <f>OBRA!T198</f>
        <v>-</v>
      </c>
      <c r="V200" s="11" t="str">
        <f>OBRA!U198</f>
        <v>-</v>
      </c>
      <c r="W200" s="223"/>
      <c r="X200" s="578">
        <f>OBRA!AS198+OBRA!AT198</f>
        <v>0</v>
      </c>
      <c r="Y200" s="278"/>
      <c r="Z200" s="146" t="str">
        <f>OBRA!W198</f>
        <v>-</v>
      </c>
      <c r="AA200" s="146"/>
      <c r="AB200" s="148" t="str">
        <f t="shared" si="5"/>
        <v>-</v>
      </c>
      <c r="AC200" s="146" t="s">
        <v>68</v>
      </c>
      <c r="AD200" s="146"/>
      <c r="AE200" s="183" t="str">
        <f>OBRA!X198</f>
        <v>-</v>
      </c>
      <c r="AF200" s="19"/>
      <c r="AG200" s="2"/>
      <c r="AH200" s="183" t="e">
        <f t="shared" ref="AH200:AH263" si="9">X200/AF200</f>
        <v>#DIV/0!</v>
      </c>
      <c r="AI200" s="2"/>
      <c r="AJ200" s="156"/>
      <c r="AK200" s="513"/>
      <c r="AL200" s="513"/>
      <c r="AM200" s="513"/>
      <c r="AN200" s="513"/>
      <c r="AO200" s="513"/>
      <c r="AP200" s="2"/>
      <c r="AQ200" s="571"/>
      <c r="AR200" s="787"/>
      <c r="AS200" s="701"/>
    </row>
    <row r="201" spans="1:45" ht="87.75" hidden="1" customHeight="1">
      <c r="A201" s="16">
        <f>OBRA!J199</f>
        <v>2016</v>
      </c>
      <c r="B201" s="783" t="s">
        <v>1563</v>
      </c>
      <c r="C201" s="783"/>
      <c r="D201" s="783"/>
      <c r="E201" s="2" t="str">
        <f>OBRA!M199</f>
        <v>3X1 PARA MIGRANTES</v>
      </c>
      <c r="F201" s="613" t="s">
        <v>1662</v>
      </c>
      <c r="G201" s="493"/>
      <c r="H201" s="19" t="str">
        <f>OBRA!N199</f>
        <v>P3X1-14-PIS-0564-16</v>
      </c>
      <c r="I201" s="2" t="str">
        <f>OBRA!O199</f>
        <v>CONVENIO</v>
      </c>
      <c r="J201" s="3" t="str">
        <f>OBRA!P199</f>
        <v xml:space="preserve">REHABILITACION DE RED DE DRENAJE EN CALLE GUADALUPE VICTORIA DESDE HIDALGO HASTA ZONA FEDERAL DEL LAGO, EN LA LOCALIDAD DE SAN PEDRO TESISTAN </v>
      </c>
      <c r="K201" s="3" t="s">
        <v>68</v>
      </c>
      <c r="L201" s="3"/>
      <c r="M201" s="3" t="s">
        <v>68</v>
      </c>
      <c r="N201" s="3" t="s">
        <v>2532</v>
      </c>
      <c r="O201" s="504"/>
      <c r="P201" s="4">
        <f>OBRA!R199</f>
        <v>214516</v>
      </c>
      <c r="Q201" s="1023">
        <f t="shared" si="8"/>
        <v>184927.58620689655</v>
      </c>
      <c r="R201" s="1023"/>
      <c r="S201" s="6">
        <f>OBRA!S199</f>
        <v>42583</v>
      </c>
      <c r="T201" s="1134" t="str">
        <f>OBRA!V199</f>
        <v>-</v>
      </c>
      <c r="U201" s="5" t="str">
        <f>OBRA!T199</f>
        <v>-</v>
      </c>
      <c r="V201" s="11" t="str">
        <f>OBRA!U199</f>
        <v>-</v>
      </c>
      <c r="W201" s="223"/>
      <c r="X201" s="578">
        <f>OBRA!AS199+OBRA!AT199</f>
        <v>0</v>
      </c>
      <c r="Y201" s="278"/>
      <c r="Z201" s="146" t="str">
        <f>OBRA!W199</f>
        <v>-</v>
      </c>
      <c r="AA201" s="146"/>
      <c r="AB201" s="148" t="str">
        <f t="shared" ref="AB201:AB263" si="10">Z201</f>
        <v>-</v>
      </c>
      <c r="AC201" s="146" t="s">
        <v>68</v>
      </c>
      <c r="AD201" s="146"/>
      <c r="AE201" s="183" t="str">
        <f>OBRA!X199</f>
        <v>-</v>
      </c>
      <c r="AF201" s="19"/>
      <c r="AG201" s="2"/>
      <c r="AH201" s="183" t="e">
        <f t="shared" si="9"/>
        <v>#DIV/0!</v>
      </c>
      <c r="AI201" s="2"/>
      <c r="AJ201" s="156"/>
      <c r="AK201" s="513"/>
      <c r="AL201" s="513"/>
      <c r="AM201" s="513"/>
      <c r="AN201" s="513"/>
      <c r="AO201" s="513"/>
      <c r="AP201" s="2"/>
      <c r="AQ201" s="571"/>
      <c r="AR201" s="787"/>
      <c r="AS201" s="701"/>
    </row>
    <row r="202" spans="1:45" ht="94.5" hidden="1" customHeight="1">
      <c r="A202" s="16">
        <f>OBRA!J200</f>
        <v>2016</v>
      </c>
      <c r="B202" s="783" t="s">
        <v>1563</v>
      </c>
      <c r="C202" s="783"/>
      <c r="D202" s="783"/>
      <c r="E202" s="2" t="str">
        <f>OBRA!M200</f>
        <v>3X1 PARA MIGRANTES</v>
      </c>
      <c r="F202" s="613" t="s">
        <v>1678</v>
      </c>
      <c r="G202" s="493"/>
      <c r="H202" s="19" t="str">
        <f>OBRA!N200</f>
        <v>P3X1-14-PIS-0562-16</v>
      </c>
      <c r="I202" s="2" t="str">
        <f>OBRA!O200</f>
        <v>CONVENIO</v>
      </c>
      <c r="J202" s="3" t="str">
        <f>OBRA!P200</f>
        <v>CONSTRUCCION DE DRENAJE PLUVIAL EN CALLE PRIVADA CAMICHINES EN LA LOCALIDAD DE JOCOTEPEC DEL MUNICIPIO JOCOTEPEC, JALISCO</v>
      </c>
      <c r="K202" s="3" t="s">
        <v>68</v>
      </c>
      <c r="L202" s="3"/>
      <c r="M202" s="3" t="s">
        <v>68</v>
      </c>
      <c r="N202" s="3" t="s">
        <v>1975</v>
      </c>
      <c r="O202" s="504"/>
      <c r="P202" s="4">
        <f>OBRA!R200</f>
        <v>233400</v>
      </c>
      <c r="Q202" s="1023">
        <f t="shared" si="8"/>
        <v>201206.89655172414</v>
      </c>
      <c r="R202" s="1023"/>
      <c r="S202" s="6">
        <f>OBRA!S200</f>
        <v>42583</v>
      </c>
      <c r="T202" s="1134" t="str">
        <f>OBRA!V200</f>
        <v>-</v>
      </c>
      <c r="U202" s="5" t="str">
        <f>OBRA!T200</f>
        <v>-</v>
      </c>
      <c r="V202" s="11" t="str">
        <f>OBRA!U200</f>
        <v>-</v>
      </c>
      <c r="W202" s="223"/>
      <c r="X202" s="578">
        <f>OBRA!AS200+OBRA!AT200</f>
        <v>0</v>
      </c>
      <c r="Y202" s="278"/>
      <c r="Z202" s="146" t="str">
        <f>OBRA!W200</f>
        <v>-</v>
      </c>
      <c r="AA202" s="146"/>
      <c r="AB202" s="148" t="str">
        <f t="shared" si="10"/>
        <v>-</v>
      </c>
      <c r="AC202" s="146" t="s">
        <v>68</v>
      </c>
      <c r="AD202" s="146"/>
      <c r="AE202" s="183" t="str">
        <f>OBRA!X200</f>
        <v>-</v>
      </c>
      <c r="AF202" s="19"/>
      <c r="AG202" s="2"/>
      <c r="AH202" s="183" t="e">
        <f t="shared" si="9"/>
        <v>#DIV/0!</v>
      </c>
      <c r="AI202" s="2"/>
      <c r="AJ202" s="156"/>
      <c r="AK202" s="513"/>
      <c r="AL202" s="513"/>
      <c r="AM202" s="513"/>
      <c r="AN202" s="513"/>
      <c r="AO202" s="513"/>
      <c r="AP202" s="2"/>
      <c r="AQ202" s="571"/>
      <c r="AR202" s="787"/>
      <c r="AS202" s="701"/>
    </row>
    <row r="203" spans="1:45" ht="93" hidden="1" customHeight="1">
      <c r="A203" s="16">
        <f>OBRA!J201</f>
        <v>2016</v>
      </c>
      <c r="B203" s="783" t="s">
        <v>1563</v>
      </c>
      <c r="C203" s="783"/>
      <c r="D203" s="783"/>
      <c r="E203" s="2" t="str">
        <f>OBRA!M201</f>
        <v>3X1 PARA MIGRANTES</v>
      </c>
      <c r="F203" s="613" t="s">
        <v>1662</v>
      </c>
      <c r="G203" s="493"/>
      <c r="H203" s="19" t="str">
        <f>OBRA!N201</f>
        <v>P3X1-14-PIS-0558-16</v>
      </c>
      <c r="I203" s="2" t="str">
        <f>OBRA!O201</f>
        <v>CONVENIO</v>
      </c>
      <c r="J203" s="3" t="str">
        <f>OBRA!P201</f>
        <v xml:space="preserve">REHABILITACION DE RED DE DRENAJE EN CALLE GUADALUPE VICTORIA DESDE HIDALGO HASTA ZONA FEDERAL DEL LAGO, EN LA LOCALIDAD DE SAN PEDRO TESISTAN </v>
      </c>
      <c r="K203" s="3" t="s">
        <v>68</v>
      </c>
      <c r="L203" s="3"/>
      <c r="M203" s="3" t="s">
        <v>68</v>
      </c>
      <c r="N203" s="3" t="s">
        <v>2532</v>
      </c>
      <c r="O203" s="504"/>
      <c r="P203" s="4">
        <f>OBRA!R201</f>
        <v>136120</v>
      </c>
      <c r="Q203" s="1023">
        <f t="shared" si="8"/>
        <v>117344.8275862069</v>
      </c>
      <c r="R203" s="1023"/>
      <c r="S203" s="6">
        <f>OBRA!S201</f>
        <v>42583</v>
      </c>
      <c r="T203" s="1134" t="str">
        <f>OBRA!V201</f>
        <v>-</v>
      </c>
      <c r="U203" s="5" t="str">
        <f>OBRA!T201</f>
        <v>-</v>
      </c>
      <c r="V203" s="11" t="str">
        <f>OBRA!U201</f>
        <v>-</v>
      </c>
      <c r="W203" s="223"/>
      <c r="X203" s="578">
        <f>OBRA!AS201+OBRA!AT201</f>
        <v>0</v>
      </c>
      <c r="Y203" s="278"/>
      <c r="Z203" s="146" t="str">
        <f>OBRA!W201</f>
        <v>-</v>
      </c>
      <c r="AA203" s="146"/>
      <c r="AB203" s="148" t="str">
        <f t="shared" si="10"/>
        <v>-</v>
      </c>
      <c r="AC203" s="146" t="s">
        <v>68</v>
      </c>
      <c r="AD203" s="146"/>
      <c r="AE203" s="183" t="str">
        <f>OBRA!X201</f>
        <v>-</v>
      </c>
      <c r="AF203" s="19"/>
      <c r="AG203" s="2"/>
      <c r="AH203" s="183" t="e">
        <f t="shared" si="9"/>
        <v>#DIV/0!</v>
      </c>
      <c r="AI203" s="2"/>
      <c r="AJ203" s="156"/>
      <c r="AK203" s="513"/>
      <c r="AL203" s="513"/>
      <c r="AM203" s="513"/>
      <c r="AN203" s="513"/>
      <c r="AO203" s="513"/>
      <c r="AP203" s="2"/>
      <c r="AQ203" s="571"/>
      <c r="AR203" s="787"/>
      <c r="AS203" s="701"/>
    </row>
    <row r="204" spans="1:45" ht="90.75" hidden="1" customHeight="1">
      <c r="A204" s="16">
        <f>OBRA!J202</f>
        <v>2016</v>
      </c>
      <c r="B204" s="783" t="s">
        <v>1563</v>
      </c>
      <c r="C204" s="783"/>
      <c r="D204" s="783"/>
      <c r="E204" s="2" t="str">
        <f>OBRA!M202</f>
        <v>3X1 PARA MIGRANTES</v>
      </c>
      <c r="F204" s="613" t="s">
        <v>1690</v>
      </c>
      <c r="G204" s="493"/>
      <c r="H204" s="19" t="str">
        <f>OBRA!N202</f>
        <v>P3X1-14-PIS-0566-16</v>
      </c>
      <c r="I204" s="2" t="str">
        <f>OBRA!O202</f>
        <v>CONVENIO</v>
      </c>
      <c r="J204" s="3" t="str">
        <f>OBRA!P202</f>
        <v>REHABILITACION DE RED DE DRENAJE EN CALLE RIVERA DEL LAGO DEL PARQUE LINEAL HASTA CALLE CHUECA EN LA LOCALIDAD DE CHANTEPEC (EL CHANTE) DEL MUNICIPIO JOCOTEPEC, JALISCO</v>
      </c>
      <c r="K204" s="3" t="s">
        <v>68</v>
      </c>
      <c r="L204" s="3"/>
      <c r="M204" s="3" t="s">
        <v>68</v>
      </c>
      <c r="N204" s="3" t="s">
        <v>2538</v>
      </c>
      <c r="O204" s="504"/>
      <c r="P204" s="4">
        <f>OBRA!R202</f>
        <v>525186</v>
      </c>
      <c r="Q204" s="1023">
        <f t="shared" si="8"/>
        <v>452746.55172413797</v>
      </c>
      <c r="R204" s="1023"/>
      <c r="S204" s="6">
        <f>OBRA!S202</f>
        <v>42583</v>
      </c>
      <c r="T204" s="1134" t="str">
        <f>OBRA!V202</f>
        <v>-</v>
      </c>
      <c r="U204" s="5" t="str">
        <f>OBRA!T202</f>
        <v>-</v>
      </c>
      <c r="V204" s="11" t="str">
        <f>OBRA!U202</f>
        <v>-</v>
      </c>
      <c r="W204" s="223"/>
      <c r="X204" s="578">
        <f>OBRA!AS202+OBRA!AT202</f>
        <v>0</v>
      </c>
      <c r="Y204" s="278"/>
      <c r="Z204" s="146" t="str">
        <f>OBRA!W202</f>
        <v>-</v>
      </c>
      <c r="AA204" s="146"/>
      <c r="AB204" s="148" t="str">
        <f t="shared" si="10"/>
        <v>-</v>
      </c>
      <c r="AC204" s="146" t="s">
        <v>68</v>
      </c>
      <c r="AD204" s="146"/>
      <c r="AE204" s="183" t="str">
        <f>OBRA!X202</f>
        <v>-</v>
      </c>
      <c r="AF204" s="19"/>
      <c r="AG204" s="2"/>
      <c r="AH204" s="183" t="e">
        <f t="shared" si="9"/>
        <v>#DIV/0!</v>
      </c>
      <c r="AI204" s="2"/>
      <c r="AJ204" s="156"/>
      <c r="AK204" s="513"/>
      <c r="AL204" s="513"/>
      <c r="AM204" s="513"/>
      <c r="AN204" s="513"/>
      <c r="AO204" s="513"/>
      <c r="AP204" s="2"/>
      <c r="AQ204" s="571"/>
      <c r="AR204" s="787"/>
      <c r="AS204" s="701"/>
    </row>
    <row r="205" spans="1:45" ht="92.25" hidden="1" customHeight="1">
      <c r="A205" s="16">
        <f>OBRA!J203</f>
        <v>2016</v>
      </c>
      <c r="B205" s="783" t="s">
        <v>1563</v>
      </c>
      <c r="C205" s="783"/>
      <c r="D205" s="783"/>
      <c r="E205" s="2" t="str">
        <f>OBRA!M203</f>
        <v>3X1 PARA MIGRANTES</v>
      </c>
      <c r="F205" s="613" t="s">
        <v>1696</v>
      </c>
      <c r="G205" s="493"/>
      <c r="H205" s="19" t="str">
        <f>OBRA!N203</f>
        <v>P3X1-14-PIS-0556-16</v>
      </c>
      <c r="I205" s="2" t="str">
        <f>OBRA!O203</f>
        <v>CONVENIO</v>
      </c>
      <c r="J205" s="3" t="str">
        <f>OBRA!P203</f>
        <v>REHABILITACION DE RED DE DRENAJE CALLE INSURGENTES PRIMERA ETAPA EN LA LOCALIDAD DE ZAPOTITAN DE HIDALGO DEL MUNICIPIO JOCOTEPEC, JALISCO</v>
      </c>
      <c r="K205" s="3" t="s">
        <v>68</v>
      </c>
      <c r="L205" s="3"/>
      <c r="M205" s="3" t="s">
        <v>68</v>
      </c>
      <c r="N205" s="3" t="s">
        <v>2604</v>
      </c>
      <c r="O205" s="504"/>
      <c r="P205" s="4">
        <f>OBRA!R203</f>
        <v>678342</v>
      </c>
      <c r="Q205" s="1023">
        <f t="shared" si="8"/>
        <v>584777.58620689658</v>
      </c>
      <c r="R205" s="1023"/>
      <c r="S205" s="6">
        <f>OBRA!S203</f>
        <v>42583</v>
      </c>
      <c r="T205" s="1134" t="str">
        <f>OBRA!V203</f>
        <v>-</v>
      </c>
      <c r="U205" s="5" t="str">
        <f>OBRA!T203</f>
        <v>-</v>
      </c>
      <c r="V205" s="11" t="str">
        <f>OBRA!U203</f>
        <v>-</v>
      </c>
      <c r="W205" s="223"/>
      <c r="X205" s="578">
        <f>OBRA!AS203+OBRA!AT203</f>
        <v>0</v>
      </c>
      <c r="Y205" s="278"/>
      <c r="Z205" s="146" t="str">
        <f>OBRA!W203</f>
        <v>-</v>
      </c>
      <c r="AA205" s="146"/>
      <c r="AB205" s="148" t="str">
        <f t="shared" si="10"/>
        <v>-</v>
      </c>
      <c r="AC205" s="146" t="s">
        <v>68</v>
      </c>
      <c r="AD205" s="146"/>
      <c r="AE205" s="183" t="str">
        <f>OBRA!X203</f>
        <v>-</v>
      </c>
      <c r="AF205" s="19"/>
      <c r="AG205" s="2"/>
      <c r="AH205" s="183" t="e">
        <f t="shared" si="9"/>
        <v>#DIV/0!</v>
      </c>
      <c r="AI205" s="2"/>
      <c r="AJ205" s="156"/>
      <c r="AK205" s="513"/>
      <c r="AL205" s="513"/>
      <c r="AM205" s="513"/>
      <c r="AN205" s="513"/>
      <c r="AO205" s="513"/>
      <c r="AP205" s="2"/>
      <c r="AQ205" s="571"/>
      <c r="AR205" s="787"/>
      <c r="AS205" s="701"/>
    </row>
    <row r="206" spans="1:45" ht="66" hidden="1" customHeight="1">
      <c r="A206" s="16">
        <f>OBRA!J204</f>
        <v>2016</v>
      </c>
      <c r="B206" s="783" t="s">
        <v>1563</v>
      </c>
      <c r="C206" s="783"/>
      <c r="D206" s="783"/>
      <c r="E206" s="2" t="str">
        <f>OBRA!M204</f>
        <v>3X1 PARA MIGRANTES</v>
      </c>
      <c r="F206" s="613" t="s">
        <v>1730</v>
      </c>
      <c r="G206" s="493"/>
      <c r="H206" s="19" t="str">
        <f>OBRA!N204</f>
        <v>P3X1-14-PIS-0560-16</v>
      </c>
      <c r="I206" s="2" t="str">
        <f>OBRA!O204</f>
        <v>CONVENIO</v>
      </c>
      <c r="J206" s="3" t="str">
        <f>OBRA!P204</f>
        <v>EMPEDRADO AHOGADO EN CEMENTO EN CALLE INSURGENTES PRIMERA ETAPA, ZAPOTITAN DE HIDALGO</v>
      </c>
      <c r="K206" s="3" t="s">
        <v>68</v>
      </c>
      <c r="L206" s="3"/>
      <c r="M206" s="3" t="s">
        <v>68</v>
      </c>
      <c r="N206" s="3" t="s">
        <v>2604</v>
      </c>
      <c r="O206" s="504"/>
      <c r="P206" s="4">
        <f>OBRA!R204</f>
        <v>2426000</v>
      </c>
      <c r="Q206" s="1023">
        <f t="shared" si="8"/>
        <v>2091379.3103448278</v>
      </c>
      <c r="R206" s="1023"/>
      <c r="S206" s="6">
        <f>OBRA!S204</f>
        <v>42583</v>
      </c>
      <c r="T206" s="1134" t="str">
        <f>OBRA!V204</f>
        <v>-</v>
      </c>
      <c r="U206" s="5" t="str">
        <f>OBRA!T204</f>
        <v>-</v>
      </c>
      <c r="V206" s="11" t="str">
        <f>OBRA!U204</f>
        <v>-</v>
      </c>
      <c r="W206" s="223"/>
      <c r="X206" s="578">
        <f>OBRA!AS204+OBRA!AT204</f>
        <v>0</v>
      </c>
      <c r="Y206" s="278"/>
      <c r="Z206" s="146" t="str">
        <f>OBRA!W204</f>
        <v>-</v>
      </c>
      <c r="AA206" s="146"/>
      <c r="AB206" s="148" t="str">
        <f t="shared" si="10"/>
        <v>-</v>
      </c>
      <c r="AC206" s="146" t="s">
        <v>68</v>
      </c>
      <c r="AD206" s="146"/>
      <c r="AE206" s="183" t="str">
        <f>OBRA!X204</f>
        <v>-</v>
      </c>
      <c r="AF206" s="19"/>
      <c r="AG206" s="2"/>
      <c r="AH206" s="183" t="e">
        <f t="shared" si="9"/>
        <v>#DIV/0!</v>
      </c>
      <c r="AI206" s="2"/>
      <c r="AJ206" s="156"/>
      <c r="AK206" s="513"/>
      <c r="AL206" s="513"/>
      <c r="AM206" s="513"/>
      <c r="AN206" s="513"/>
      <c r="AO206" s="513"/>
      <c r="AP206" s="2"/>
      <c r="AQ206" s="571"/>
      <c r="AR206" s="787"/>
      <c r="AS206" s="701"/>
    </row>
    <row r="207" spans="1:45" ht="105" hidden="1" customHeight="1">
      <c r="A207" s="16">
        <f>OBRA!J205</f>
        <v>2016</v>
      </c>
      <c r="B207" s="783" t="s">
        <v>1563</v>
      </c>
      <c r="C207" s="783"/>
      <c r="D207" s="783"/>
      <c r="E207" s="2" t="str">
        <f>OBRA!M205</f>
        <v>3X1 PARA MIGRANTES</v>
      </c>
      <c r="F207" s="613" t="s">
        <v>1659</v>
      </c>
      <c r="G207" s="493"/>
      <c r="H207" s="19" t="str">
        <f>OBRA!N205</f>
        <v>P3X1-14-PIS-0567-16</v>
      </c>
      <c r="I207" s="2" t="str">
        <f>OBRA!O205</f>
        <v>CONVENIO</v>
      </c>
      <c r="J207" s="3" t="str">
        <f>OBRA!P205</f>
        <v>COLOCACION DE EMPEDRADO AHOGADO EN CEMENTO EN CALLE RAMON CORONA DESDE PINO SUAREZ HASTA ZONA FEDERAL DEL LAGO EN LA LOCALIDAD DE SAN PEDRO TESISTAN DEL MUNICIPIO JOCOTEPEC, JALISCO</v>
      </c>
      <c r="K207" s="3" t="s">
        <v>68</v>
      </c>
      <c r="L207" s="3"/>
      <c r="M207" s="3" t="s">
        <v>68</v>
      </c>
      <c r="N207" s="3" t="s">
        <v>2532</v>
      </c>
      <c r="O207" s="504"/>
      <c r="P207" s="4">
        <f>OBRA!R205</f>
        <v>236752</v>
      </c>
      <c r="Q207" s="1023">
        <f t="shared" si="8"/>
        <v>204096.55172413794</v>
      </c>
      <c r="R207" s="1023"/>
      <c r="S207" s="6">
        <f>OBRA!S205</f>
        <v>42583</v>
      </c>
      <c r="T207" s="1134" t="str">
        <f>OBRA!V205</f>
        <v>-</v>
      </c>
      <c r="U207" s="5" t="str">
        <f>OBRA!T205</f>
        <v>-</v>
      </c>
      <c r="V207" s="11" t="str">
        <f>OBRA!U205</f>
        <v>-</v>
      </c>
      <c r="W207" s="223"/>
      <c r="X207" s="578">
        <f>OBRA!AS205+OBRA!AT205</f>
        <v>0</v>
      </c>
      <c r="Y207" s="278"/>
      <c r="Z207" s="146" t="str">
        <f>OBRA!W205</f>
        <v>-</v>
      </c>
      <c r="AA207" s="146"/>
      <c r="AB207" s="148" t="str">
        <f t="shared" si="10"/>
        <v>-</v>
      </c>
      <c r="AC207" s="146" t="s">
        <v>68</v>
      </c>
      <c r="AD207" s="146"/>
      <c r="AE207" s="183" t="str">
        <f>OBRA!X205</f>
        <v>-</v>
      </c>
      <c r="AF207" s="19"/>
      <c r="AG207" s="2"/>
      <c r="AH207" s="183" t="e">
        <f t="shared" si="9"/>
        <v>#DIV/0!</v>
      </c>
      <c r="AI207" s="2"/>
      <c r="AJ207" s="156"/>
      <c r="AK207" s="513"/>
      <c r="AL207" s="513"/>
      <c r="AM207" s="513"/>
      <c r="AN207" s="513"/>
      <c r="AO207" s="513"/>
      <c r="AP207" s="2"/>
      <c r="AQ207" s="571"/>
      <c r="AR207" s="787"/>
      <c r="AS207" s="701"/>
    </row>
    <row r="208" spans="1:45" ht="96.75" hidden="1" customHeight="1">
      <c r="A208" s="16">
        <f>OBRA!J206</f>
        <v>2016</v>
      </c>
      <c r="B208" s="783" t="s">
        <v>1563</v>
      </c>
      <c r="C208" s="783"/>
      <c r="D208" s="783"/>
      <c r="E208" s="2" t="str">
        <f>OBRA!M206</f>
        <v>3X1 PARA MIGRANTES</v>
      </c>
      <c r="F208" s="613" t="s">
        <v>1673</v>
      </c>
      <c r="G208" s="493"/>
      <c r="H208" s="19" t="str">
        <f>OBRA!N206</f>
        <v>P3X1-14-PIS-0561-16</v>
      </c>
      <c r="I208" s="2" t="str">
        <f>OBRA!O206</f>
        <v>CONVENIO</v>
      </c>
      <c r="J208" s="3" t="str">
        <f>OBRA!P206</f>
        <v>COLOCACIÓN DE EMPEDRADO AHOGADO EN CEMENTO EN CALLE GUADALUPE VICTORIA DESDE HIDALGO HASTA ZONA FEDERAL DEL LAGO, EN LA LOCALIDAD DE SAN PEDRO TESISTAN</v>
      </c>
      <c r="K208" s="3" t="s">
        <v>68</v>
      </c>
      <c r="L208" s="3"/>
      <c r="M208" s="3" t="s">
        <v>68</v>
      </c>
      <c r="N208" s="3" t="s">
        <v>2532</v>
      </c>
      <c r="O208" s="504"/>
      <c r="P208" s="4">
        <f>OBRA!R206</f>
        <v>259860</v>
      </c>
      <c r="Q208" s="1023">
        <f t="shared" si="8"/>
        <v>224017.24137931035</v>
      </c>
      <c r="R208" s="1023"/>
      <c r="S208" s="6">
        <f>OBRA!S206</f>
        <v>42583</v>
      </c>
      <c r="T208" s="1134" t="str">
        <f>OBRA!V206</f>
        <v>-</v>
      </c>
      <c r="U208" s="5" t="str">
        <f>OBRA!T206</f>
        <v>-</v>
      </c>
      <c r="V208" s="11" t="str">
        <f>OBRA!U206</f>
        <v>-</v>
      </c>
      <c r="W208" s="223"/>
      <c r="X208" s="578">
        <f>OBRA!AS206+OBRA!AT206</f>
        <v>0</v>
      </c>
      <c r="Y208" s="278"/>
      <c r="Z208" s="146" t="str">
        <f>OBRA!W206</f>
        <v>-</v>
      </c>
      <c r="AA208" s="146"/>
      <c r="AB208" s="148" t="str">
        <f t="shared" si="10"/>
        <v>-</v>
      </c>
      <c r="AC208" s="146" t="s">
        <v>68</v>
      </c>
      <c r="AD208" s="146"/>
      <c r="AE208" s="183" t="str">
        <f>OBRA!X206</f>
        <v>-</v>
      </c>
      <c r="AF208" s="19"/>
      <c r="AG208" s="2"/>
      <c r="AH208" s="183" t="e">
        <f t="shared" si="9"/>
        <v>#DIV/0!</v>
      </c>
      <c r="AI208" s="2"/>
      <c r="AJ208" s="156"/>
      <c r="AK208" s="526"/>
      <c r="AL208" s="526"/>
      <c r="AM208" s="526"/>
      <c r="AN208" s="526"/>
      <c r="AO208" s="526"/>
      <c r="AP208" s="172"/>
      <c r="AQ208" s="788"/>
      <c r="AR208" s="967"/>
      <c r="AS208" s="701"/>
    </row>
    <row r="209" spans="1:45" ht="96.75" hidden="1" customHeight="1">
      <c r="A209" s="16">
        <f>OBRA!J207</f>
        <v>2017</v>
      </c>
      <c r="B209" s="783" t="s">
        <v>1563</v>
      </c>
      <c r="C209" s="783"/>
      <c r="D209" s="783"/>
      <c r="E209" s="2" t="str">
        <f>OBRA!M207</f>
        <v>FONDEREG</v>
      </c>
      <c r="F209" s="613" t="s">
        <v>3220</v>
      </c>
      <c r="G209" s="38" t="s">
        <v>68</v>
      </c>
      <c r="H209" s="33" t="str">
        <f>OBRA!N207</f>
        <v>FONDEREG 2017/05 SURESTE/121</v>
      </c>
      <c r="I209" s="2" t="str">
        <f>OBRA!O207</f>
        <v>CONVENIO</v>
      </c>
      <c r="J209" s="3" t="str">
        <f>OBRA!P207</f>
        <v>REHABILITACIÓN DE IMAGEN URBANA DE LA CALLE DONATO GUERRA, ENTRE CALLE HIDALGO Y CALLE INDEPENDENCIA 1 ERA ETAPA EN LA CABECERA MUNICIPAL DE JOCOTEPEC</v>
      </c>
      <c r="K209" s="541" t="s">
        <v>68</v>
      </c>
      <c r="L209" s="541"/>
      <c r="M209" s="3" t="s">
        <v>1952</v>
      </c>
      <c r="N209" s="3" t="s">
        <v>1975</v>
      </c>
      <c r="O209" s="504" t="s">
        <v>3485</v>
      </c>
      <c r="P209" s="4">
        <f>OBRA!R207</f>
        <v>2068965.52</v>
      </c>
      <c r="Q209" s="1023">
        <f t="shared" si="8"/>
        <v>1783590.9655172415</v>
      </c>
      <c r="R209" s="1023"/>
      <c r="S209" s="6">
        <f>OBRA!S207</f>
        <v>42898</v>
      </c>
      <c r="T209" s="1134" t="str">
        <f>OBRA!V207</f>
        <v>-</v>
      </c>
      <c r="U209" s="5" t="str">
        <f>OBRA!T207</f>
        <v>-</v>
      </c>
      <c r="V209" s="11" t="str">
        <f>OBRA!U207</f>
        <v>-</v>
      </c>
      <c r="W209" s="1021">
        <v>0</v>
      </c>
      <c r="X209" s="578">
        <f>OBRA!AS207+OBRA!AT207</f>
        <v>0</v>
      </c>
      <c r="Y209" s="278" t="s">
        <v>68</v>
      </c>
      <c r="Z209" s="146" t="str">
        <f>OBRA!W207</f>
        <v>N/A</v>
      </c>
      <c r="AA209" s="146"/>
      <c r="AB209" s="148" t="str">
        <f>Z209</f>
        <v>N/A</v>
      </c>
      <c r="AC209" s="146" t="s">
        <v>68</v>
      </c>
      <c r="AD209" s="146"/>
      <c r="AE209" s="183" t="str">
        <f>OBRA!X207</f>
        <v>-</v>
      </c>
      <c r="AF209" s="19"/>
      <c r="AG209" s="2"/>
      <c r="AH209" s="183" t="e">
        <f t="shared" si="9"/>
        <v>#DIV/0!</v>
      </c>
      <c r="AI209" s="2"/>
      <c r="AJ209" s="156"/>
      <c r="AK209" s="526"/>
      <c r="AL209" s="526"/>
      <c r="AM209" s="526"/>
      <c r="AN209" s="1215"/>
      <c r="AO209" s="526"/>
      <c r="AP209" s="172"/>
      <c r="AQ209" s="788"/>
      <c r="AR209" s="967"/>
      <c r="AS209" s="701"/>
    </row>
    <row r="210" spans="1:45" ht="96.75" hidden="1" customHeight="1">
      <c r="A210" s="16">
        <f>OBRA!J208</f>
        <v>2017</v>
      </c>
      <c r="B210" s="783" t="s">
        <v>1563</v>
      </c>
      <c r="C210" s="783"/>
      <c r="D210" s="783"/>
      <c r="E210" s="2" t="str">
        <f>OBRA!M208</f>
        <v>FOCOCI</v>
      </c>
      <c r="F210" s="613" t="s">
        <v>3219</v>
      </c>
      <c r="G210" s="38" t="s">
        <v>68</v>
      </c>
      <c r="H210" s="19" t="str">
        <f>OBRA!N208</f>
        <v>-</v>
      </c>
      <c r="I210" s="2" t="str">
        <f>OBRA!O208</f>
        <v>CONVENIO</v>
      </c>
      <c r="J210" s="3" t="str">
        <f>OBRA!P208</f>
        <v>REHABILITACIÓN DE IMAGEN URBANA DE CALLE DONATO GUERRA ENTRE HIDALGO Y GUADALUPE VICTORIA EN LA CABECERA MUNICIPAL, MUNICIPIO DE JOCOTEPEC, JALISCO</v>
      </c>
      <c r="K210" s="541" t="s">
        <v>68</v>
      </c>
      <c r="L210" s="541"/>
      <c r="M210" s="3" t="s">
        <v>1952</v>
      </c>
      <c r="N210" s="3" t="s">
        <v>1975</v>
      </c>
      <c r="O210" s="504" t="s">
        <v>3485</v>
      </c>
      <c r="P210" s="4">
        <f>OBRA!R208</f>
        <v>2940000</v>
      </c>
      <c r="Q210" s="1023">
        <f t="shared" si="8"/>
        <v>2534482.7586206896</v>
      </c>
      <c r="R210" s="1023"/>
      <c r="S210" s="6">
        <f>OBRA!S208</f>
        <v>42879</v>
      </c>
      <c r="T210" s="1134" t="str">
        <f>OBRA!V208</f>
        <v>-</v>
      </c>
      <c r="U210" s="5" t="str">
        <f>OBRA!T208</f>
        <v>-</v>
      </c>
      <c r="V210" s="11" t="str">
        <f>OBRA!U208</f>
        <v>-</v>
      </c>
      <c r="W210" s="1021">
        <v>0</v>
      </c>
      <c r="X210" s="578">
        <f>OBRA!AS208+OBRA!AT208</f>
        <v>0</v>
      </c>
      <c r="Y210" s="278" t="s">
        <v>68</v>
      </c>
      <c r="Z210" s="146" t="str">
        <f>OBRA!W208</f>
        <v>N/A</v>
      </c>
      <c r="AA210" s="146"/>
      <c r="AB210" s="148" t="str">
        <f>Z210</f>
        <v>N/A</v>
      </c>
      <c r="AC210" s="146" t="s">
        <v>68</v>
      </c>
      <c r="AD210" s="146"/>
      <c r="AE210" s="183" t="str">
        <f>OBRA!X208</f>
        <v>-</v>
      </c>
      <c r="AF210" s="19"/>
      <c r="AG210" s="2"/>
      <c r="AH210" s="183" t="e">
        <f t="shared" si="9"/>
        <v>#DIV/0!</v>
      </c>
      <c r="AI210" s="2"/>
      <c r="AJ210" s="156"/>
      <c r="AK210" s="526"/>
      <c r="AL210" s="526"/>
      <c r="AM210" s="526"/>
      <c r="AN210" s="1215"/>
      <c r="AO210" s="526"/>
      <c r="AP210" s="172"/>
      <c r="AQ210" s="788"/>
      <c r="AR210" s="967"/>
      <c r="AS210" s="701"/>
    </row>
    <row r="211" spans="1:45" ht="96.75" hidden="1" customHeight="1">
      <c r="A211" s="16">
        <f>OBRA!J209</f>
        <v>2017</v>
      </c>
      <c r="B211" s="783" t="s">
        <v>1563</v>
      </c>
      <c r="C211" s="783"/>
      <c r="D211" s="783"/>
      <c r="E211" s="2" t="str">
        <f>OBRA!M209</f>
        <v xml:space="preserve">PROYECTOS DESARROLLO REGIONAL </v>
      </c>
      <c r="F211" s="613" t="s">
        <v>3223</v>
      </c>
      <c r="G211" s="38" t="s">
        <v>68</v>
      </c>
      <c r="H211" s="33" t="str">
        <f>OBRA!N209</f>
        <v xml:space="preserve">PROYECTOS DESARROLLO REGIONAL </v>
      </c>
      <c r="I211" s="2" t="str">
        <f>OBRA!O209</f>
        <v>CONVENIO</v>
      </c>
      <c r="J211" s="3" t="str">
        <f>OBRA!P209</f>
        <v>-</v>
      </c>
      <c r="K211" s="541" t="s">
        <v>68</v>
      </c>
      <c r="L211" s="541"/>
      <c r="M211" s="541" t="s">
        <v>68</v>
      </c>
      <c r="N211" s="541"/>
      <c r="O211" s="504" t="s">
        <v>3485</v>
      </c>
      <c r="P211" s="4">
        <f>OBRA!R209</f>
        <v>2910056.73</v>
      </c>
      <c r="Q211" s="1023">
        <f t="shared" si="8"/>
        <v>2508669.5948275863</v>
      </c>
      <c r="R211" s="1023"/>
      <c r="S211" s="6">
        <f>OBRA!S209</f>
        <v>42863</v>
      </c>
      <c r="T211" s="1134" t="str">
        <f>OBRA!V209</f>
        <v>-</v>
      </c>
      <c r="U211" s="5" t="str">
        <f>OBRA!T209</f>
        <v>-</v>
      </c>
      <c r="V211" s="11" t="str">
        <f>OBRA!U209</f>
        <v>-</v>
      </c>
      <c r="W211" s="1021">
        <v>0</v>
      </c>
      <c r="X211" s="578">
        <f>OBRA!AS209+OBRA!AT209</f>
        <v>0</v>
      </c>
      <c r="Y211" s="278" t="s">
        <v>68</v>
      </c>
      <c r="Z211" s="146" t="str">
        <f>OBRA!W209</f>
        <v>N/A</v>
      </c>
      <c r="AA211" s="146"/>
      <c r="AB211" s="148" t="str">
        <f>Z211</f>
        <v>N/A</v>
      </c>
      <c r="AC211" s="146" t="s">
        <v>68</v>
      </c>
      <c r="AD211" s="146"/>
      <c r="AE211" s="183" t="str">
        <f>OBRA!X209</f>
        <v>-</v>
      </c>
      <c r="AF211" s="19"/>
      <c r="AG211" s="2"/>
      <c r="AH211" s="183" t="e">
        <f t="shared" si="9"/>
        <v>#DIV/0!</v>
      </c>
      <c r="AI211" s="2"/>
      <c r="AJ211" s="156"/>
      <c r="AK211" s="526"/>
      <c r="AL211" s="526"/>
      <c r="AM211" s="526"/>
      <c r="AN211" s="1215"/>
      <c r="AO211" s="526"/>
      <c r="AP211" s="172"/>
      <c r="AQ211" s="788"/>
      <c r="AR211" s="967"/>
      <c r="AS211" s="701"/>
    </row>
    <row r="212" spans="1:45" ht="267" hidden="1" customHeight="1">
      <c r="A212" s="16">
        <f>OBRA!J210</f>
        <v>2017</v>
      </c>
      <c r="B212" s="783" t="s">
        <v>1563</v>
      </c>
      <c r="C212" s="783"/>
      <c r="D212" s="783"/>
      <c r="E212" s="2" t="str">
        <f>OBRA!M210</f>
        <v xml:space="preserve">PROYECTOS DESARROLLO REGIONAL </v>
      </c>
      <c r="F212" s="613" t="s">
        <v>3224</v>
      </c>
      <c r="G212" s="38" t="s">
        <v>68</v>
      </c>
      <c r="H212" s="33" t="str">
        <f>OBRA!N210</f>
        <v>PROYECTOS DESARROLLO REGIONAL B</v>
      </c>
      <c r="I212" s="2" t="str">
        <f>OBRA!O210</f>
        <v>CONVENIO</v>
      </c>
      <c r="J212"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1" t="s">
        <v>68</v>
      </c>
      <c r="L212" s="541"/>
      <c r="M212" s="3" t="s">
        <v>3226</v>
      </c>
      <c r="N212" s="3" t="s">
        <v>1975</v>
      </c>
      <c r="O212" s="504" t="s">
        <v>3485</v>
      </c>
      <c r="P212" s="4">
        <f>OBRA!R210</f>
        <v>3089943.27</v>
      </c>
      <c r="Q212" s="1023">
        <f t="shared" si="8"/>
        <v>2663744.1982758623</v>
      </c>
      <c r="R212" s="1023"/>
      <c r="S212" s="6">
        <f>OBRA!S210</f>
        <v>42885</v>
      </c>
      <c r="T212" s="1134" t="str">
        <f>OBRA!V210</f>
        <v>-</v>
      </c>
      <c r="U212" s="5" t="str">
        <f>OBRA!T210</f>
        <v>-</v>
      </c>
      <c r="V212" s="11" t="str">
        <f>OBRA!U210</f>
        <v>-</v>
      </c>
      <c r="W212" s="1021">
        <v>0</v>
      </c>
      <c r="X212" s="578">
        <f>OBRA!AS210+OBRA!AT210</f>
        <v>0</v>
      </c>
      <c r="Y212" s="278" t="s">
        <v>68</v>
      </c>
      <c r="Z212" s="146" t="str">
        <f>OBRA!W210</f>
        <v>N/A</v>
      </c>
      <c r="AA212" s="146"/>
      <c r="AB212" s="148" t="str">
        <f>Z212</f>
        <v>N/A</v>
      </c>
      <c r="AC212" s="146" t="s">
        <v>68</v>
      </c>
      <c r="AD212" s="146"/>
      <c r="AE212" s="183" t="str">
        <f>OBRA!X210</f>
        <v>-</v>
      </c>
      <c r="AF212" s="19"/>
      <c r="AG212" s="2"/>
      <c r="AH212" s="183" t="e">
        <f t="shared" si="9"/>
        <v>#DIV/0!</v>
      </c>
      <c r="AI212" s="2"/>
      <c r="AJ212" s="156"/>
      <c r="AK212" s="526"/>
      <c r="AL212" s="526"/>
      <c r="AM212" s="526"/>
      <c r="AN212" s="1215"/>
      <c r="AO212" s="526"/>
      <c r="AP212" s="172"/>
      <c r="AQ212" s="788"/>
      <c r="AR212" s="967"/>
      <c r="AS212" s="701"/>
    </row>
    <row r="213" spans="1:45" ht="100.5" hidden="1" customHeight="1">
      <c r="A213" s="16">
        <f>OBRA!J211</f>
        <v>2017</v>
      </c>
      <c r="B213" s="783" t="s">
        <v>1563</v>
      </c>
      <c r="C213" s="783"/>
      <c r="D213" s="783"/>
      <c r="E213" s="2" t="str">
        <f>OBRA!M211</f>
        <v>CUENTA CORRIENTE</v>
      </c>
      <c r="F213" s="18" t="s">
        <v>1428</v>
      </c>
      <c r="G213" s="38" t="s">
        <v>2206</v>
      </c>
      <c r="H213" s="12" t="str">
        <f>OBRA!N211</f>
        <v>DOP/AD/001/2017</v>
      </c>
      <c r="I213" s="2" t="str">
        <f>OBRA!O211</f>
        <v>ADMINISTRACIÓN DIRECTA</v>
      </c>
      <c r="J213" s="3" t="str">
        <f>OBRA!P211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67"/>
      <c r="P213" s="79">
        <f>OBRA!R211</f>
        <v>162823.91</v>
      </c>
      <c r="Q213" s="1023">
        <f t="shared" si="8"/>
        <v>140365.43965517243</v>
      </c>
      <c r="R213" s="1023"/>
      <c r="S213" s="67">
        <f>OBRA!S211</f>
        <v>42755</v>
      </c>
      <c r="T213" s="1134" t="str">
        <f>OBRA!V211</f>
        <v>-</v>
      </c>
      <c r="U213" s="5">
        <f>OBRA!T211</f>
        <v>42740</v>
      </c>
      <c r="V213" s="11">
        <f>OBRA!U211</f>
        <v>42746</v>
      </c>
      <c r="W213" s="223"/>
      <c r="X213" s="578">
        <f>OBRA!AS211+OBRA!AT211</f>
        <v>131561.34</v>
      </c>
      <c r="Y213" s="278"/>
      <c r="Z213" s="146" t="str">
        <f>OBRA!W211</f>
        <v>N/A</v>
      </c>
      <c r="AA213" s="146"/>
      <c r="AB213" s="148" t="str">
        <f t="shared" si="10"/>
        <v>N/A</v>
      </c>
      <c r="AC213" s="146" t="s">
        <v>68</v>
      </c>
      <c r="AD213" s="146"/>
      <c r="AE213" s="183" t="str">
        <f>OBRA!X211</f>
        <v>ARQ. JAIME CONDE GOMEZ</v>
      </c>
      <c r="AF213" s="552">
        <v>310.54000000000002</v>
      </c>
      <c r="AG213" s="2" t="s">
        <v>1548</v>
      </c>
      <c r="AH213" s="615">
        <f t="shared" si="9"/>
        <v>423.65344239067429</v>
      </c>
      <c r="AI213" s="2">
        <v>50000</v>
      </c>
      <c r="AJ213" s="156" t="s">
        <v>1452</v>
      </c>
      <c r="AK213" s="513"/>
      <c r="AL213" s="513"/>
      <c r="AM213" s="513"/>
      <c r="AN213" s="1216"/>
      <c r="AO213" s="633" t="s">
        <v>1874</v>
      </c>
      <c r="AP213" s="633" t="s">
        <v>1875</v>
      </c>
      <c r="AQ213" s="466" t="s">
        <v>1876</v>
      </c>
      <c r="AR213" s="1295"/>
      <c r="AS213" s="699" t="s">
        <v>1877</v>
      </c>
    </row>
    <row r="214" spans="1:45" ht="60.75" hidden="1" customHeight="1">
      <c r="A214" s="16">
        <f>OBRA!J212</f>
        <v>2017</v>
      </c>
      <c r="B214" s="783" t="s">
        <v>1563</v>
      </c>
      <c r="C214" s="783"/>
      <c r="D214" s="783"/>
      <c r="E214" s="2" t="str">
        <f>OBRA!M212</f>
        <v>CUENTA CORRIENTE</v>
      </c>
      <c r="F214" s="18" t="s">
        <v>1428</v>
      </c>
      <c r="G214" s="38" t="s">
        <v>2206</v>
      </c>
      <c r="H214" s="12" t="str">
        <f>OBRA!N212</f>
        <v>DOP/AD/002/2017</v>
      </c>
      <c r="I214" s="2" t="str">
        <f>OBRA!O212</f>
        <v>ADMINISTRACIÓN DIRECTA</v>
      </c>
      <c r="J214" s="3" t="str">
        <f>OBRA!P212</f>
        <v>CONSTRUCCION DE 80 URNAS PARA RESTOS Y CENIZAS HUMANAS EN EL PANTEÓN DE SAN JUAN COSALA, DEL MUNICIPIO DE JOCOTEPEC, JALISCO</v>
      </c>
      <c r="K214" s="3" t="s">
        <v>1878</v>
      </c>
      <c r="L214" s="3"/>
      <c r="M214" s="3" t="s">
        <v>1879</v>
      </c>
      <c r="N214" s="3" t="s">
        <v>2524</v>
      </c>
      <c r="O214" s="867"/>
      <c r="P214" s="79">
        <f>OBRA!R212</f>
        <v>313594.21000000002</v>
      </c>
      <c r="Q214" s="1023">
        <f t="shared" si="8"/>
        <v>270339.83620689658</v>
      </c>
      <c r="R214" s="1023"/>
      <c r="S214" s="67">
        <f>OBRA!S212</f>
        <v>42872</v>
      </c>
      <c r="T214" s="1134" t="str">
        <f>OBRA!V212</f>
        <v>-</v>
      </c>
      <c r="U214" s="5">
        <f>OBRA!T212</f>
        <v>42893</v>
      </c>
      <c r="V214" s="11">
        <f>OBRA!U212</f>
        <v>43046</v>
      </c>
      <c r="W214" s="223"/>
      <c r="X214" s="578">
        <f>OBRA!AS212+OBRA!AT212</f>
        <v>151338.45000000001</v>
      </c>
      <c r="Y214" s="278"/>
      <c r="Z214" s="146" t="str">
        <f>OBRA!W212</f>
        <v>N/A</v>
      </c>
      <c r="AA214" s="146"/>
      <c r="AB214" s="148" t="str">
        <f t="shared" si="10"/>
        <v>N/A</v>
      </c>
      <c r="AC214" s="146" t="s">
        <v>68</v>
      </c>
      <c r="AD214" s="146"/>
      <c r="AE214" s="183" t="str">
        <f>OBRA!X212</f>
        <v>ARQ. JAIME CONDE GOMEZ</v>
      </c>
      <c r="AF214" s="19">
        <v>80</v>
      </c>
      <c r="AG214" s="2" t="s">
        <v>1841</v>
      </c>
      <c r="AH214" s="615">
        <f t="shared" si="9"/>
        <v>1891.7306250000001</v>
      </c>
      <c r="AI214" s="2">
        <v>7800</v>
      </c>
      <c r="AJ214" s="156" t="s">
        <v>1452</v>
      </c>
      <c r="AK214" s="513"/>
      <c r="AL214" s="513"/>
      <c r="AM214" s="513"/>
      <c r="AN214" s="1216"/>
      <c r="AO214" s="633" t="s">
        <v>1880</v>
      </c>
      <c r="AP214" s="633" t="s">
        <v>1881</v>
      </c>
      <c r="AQ214" s="466" t="s">
        <v>1882</v>
      </c>
      <c r="AR214" s="1295"/>
      <c r="AS214" s="700"/>
    </row>
    <row r="215" spans="1:45" ht="66.75" hidden="1" customHeight="1">
      <c r="A215" s="16">
        <f>OBRA!J213</f>
        <v>2017</v>
      </c>
      <c r="B215" s="783" t="s">
        <v>1563</v>
      </c>
      <c r="C215" s="783"/>
      <c r="D215" s="783"/>
      <c r="E215" s="2" t="str">
        <f>OBRA!M213</f>
        <v>CUENTA CORRIENTE</v>
      </c>
      <c r="F215" s="18" t="s">
        <v>1428</v>
      </c>
      <c r="G215" s="38" t="s">
        <v>2206</v>
      </c>
      <c r="H215" s="12" t="str">
        <f>OBRA!N213</f>
        <v>DOP/AD/003/2017</v>
      </c>
      <c r="I215" s="2" t="str">
        <f>OBRA!O213</f>
        <v>ADMINISTRACIÓN DIRECTA</v>
      </c>
      <c r="J215" s="3" t="str">
        <f>OBRA!P213</f>
        <v>CONCLUSION DE COLECTOR DE ALEJAMIENTO DEL DRENAJE SANITARIO, EN LA LOCALIDAD DE HUEJOTITAN, DEL MUNICIPIO DE JOCOTEPEC, JALISCO</v>
      </c>
      <c r="K215" s="3" t="s">
        <v>1883</v>
      </c>
      <c r="L215" s="3"/>
      <c r="M215" s="3" t="s">
        <v>1607</v>
      </c>
      <c r="N215" s="3" t="s">
        <v>2506</v>
      </c>
      <c r="O215" s="867"/>
      <c r="P215" s="79">
        <f>OBRA!R213</f>
        <v>129065</v>
      </c>
      <c r="Q215" s="1023">
        <f t="shared" si="8"/>
        <v>111262.93103448277</v>
      </c>
      <c r="R215" s="1023"/>
      <c r="S215" s="67">
        <f>OBRA!S213</f>
        <v>42947</v>
      </c>
      <c r="T215" s="1134" t="str">
        <f>OBRA!V213</f>
        <v>-</v>
      </c>
      <c r="U215" s="5">
        <f>OBRA!T213</f>
        <v>42948</v>
      </c>
      <c r="V215" s="11">
        <f>OBRA!U213</f>
        <v>42959</v>
      </c>
      <c r="W215" s="223"/>
      <c r="X215" s="578">
        <f>OBRA!AS213+OBRA!AT213</f>
        <v>144009.45000000001</v>
      </c>
      <c r="Y215" s="278"/>
      <c r="Z215" s="146" t="str">
        <f>OBRA!W213</f>
        <v>N/A</v>
      </c>
      <c r="AA215" s="146"/>
      <c r="AB215" s="148" t="str">
        <f t="shared" si="10"/>
        <v>N/A</v>
      </c>
      <c r="AC215" s="146" t="s">
        <v>68</v>
      </c>
      <c r="AD215" s="146"/>
      <c r="AE215" s="183" t="str">
        <f>OBRA!X213</f>
        <v>ING. RIGOBERTO OLMEDO RAMOS</v>
      </c>
      <c r="AF215" s="552">
        <v>192</v>
      </c>
      <c r="AG215" s="2" t="s">
        <v>1451</v>
      </c>
      <c r="AH215" s="615">
        <f t="shared" si="9"/>
        <v>750.04921875000002</v>
      </c>
      <c r="AI215" s="2">
        <v>1270</v>
      </c>
      <c r="AJ215" s="156" t="s">
        <v>1452</v>
      </c>
      <c r="AK215" s="513"/>
      <c r="AL215" s="513"/>
      <c r="AM215" s="513"/>
      <c r="AN215" s="1216"/>
      <c r="AO215" s="529"/>
      <c r="AP215" s="529"/>
      <c r="AQ215" s="466" t="s">
        <v>1884</v>
      </c>
      <c r="AR215" s="1295"/>
      <c r="AS215" s="699" t="s">
        <v>1885</v>
      </c>
    </row>
    <row r="216" spans="1:45" ht="95.25" hidden="1" customHeight="1">
      <c r="A216" s="16">
        <f>OBRA!J214</f>
        <v>2017</v>
      </c>
      <c r="B216" s="783" t="s">
        <v>1563</v>
      </c>
      <c r="C216" s="783"/>
      <c r="D216" s="783"/>
      <c r="E216" s="2" t="str">
        <f>OBRA!M214</f>
        <v>CUENTA CORRIENTE</v>
      </c>
      <c r="F216" s="18" t="s">
        <v>1428</v>
      </c>
      <c r="G216" s="38" t="s">
        <v>2206</v>
      </c>
      <c r="H216" s="12" t="str">
        <f>OBRA!N214</f>
        <v>DOP/AD/004/2017</v>
      </c>
      <c r="I216" s="2" t="str">
        <f>OBRA!O214</f>
        <v>ADMINISTRACIÓN DIRECTA</v>
      </c>
      <c r="J216" s="3" t="str">
        <f>OBRA!P214</f>
        <v>CONSTRUCCION DE RED DE AGUA POTABLE EN CALLE PRIVADA MUNICIPAL SAN BARTOLOME EN EL CONDOMINO VISTAS DEL ANGEL EN LA DELEGACION DE SAN JUAN COSALA, DEL MUNICIPIO DE JOCOTEPEC, JALISCO.</v>
      </c>
      <c r="K216" s="3" t="s">
        <v>1496</v>
      </c>
      <c r="L216" s="3"/>
      <c r="M216" s="3" t="s">
        <v>1886</v>
      </c>
      <c r="N216" s="3" t="s">
        <v>2524</v>
      </c>
      <c r="O216" s="867"/>
      <c r="P216" s="79">
        <f>OBRA!R214</f>
        <v>75540.72</v>
      </c>
      <c r="Q216" s="1023">
        <f t="shared" si="8"/>
        <v>65121.310344827594</v>
      </c>
      <c r="R216" s="1023"/>
      <c r="S216" s="67">
        <f>OBRA!S214</f>
        <v>42947</v>
      </c>
      <c r="T216" s="1134" t="str">
        <f>OBRA!V214</f>
        <v>-</v>
      </c>
      <c r="U216" s="5">
        <f>OBRA!T214</f>
        <v>42947</v>
      </c>
      <c r="V216" s="11">
        <f>OBRA!U214</f>
        <v>42959</v>
      </c>
      <c r="W216" s="223"/>
      <c r="X216" s="578">
        <f>OBRA!AS214+OBRA!AT214</f>
        <v>72226.92</v>
      </c>
      <c r="Y216" s="278"/>
      <c r="Z216" s="146" t="str">
        <f>OBRA!W214</f>
        <v>N/A</v>
      </c>
      <c r="AA216" s="146"/>
      <c r="AB216" s="148" t="str">
        <f t="shared" si="10"/>
        <v>N/A</v>
      </c>
      <c r="AC216" s="146" t="s">
        <v>68</v>
      </c>
      <c r="AD216" s="146"/>
      <c r="AE216" s="183" t="str">
        <f>OBRA!X214</f>
        <v>ING. RIGOBERTO OLMEDO RAMOS</v>
      </c>
      <c r="AF216" s="19">
        <v>126</v>
      </c>
      <c r="AG216" s="2" t="s">
        <v>1451</v>
      </c>
      <c r="AH216" s="615">
        <f t="shared" si="9"/>
        <v>573.22952380952381</v>
      </c>
      <c r="AI216" s="2">
        <v>200</v>
      </c>
      <c r="AJ216" s="156" t="s">
        <v>1444</v>
      </c>
      <c r="AK216" s="513"/>
      <c r="AL216" s="513"/>
      <c r="AM216" s="513"/>
      <c r="AN216" s="1216"/>
      <c r="AO216" s="529"/>
      <c r="AP216" s="633" t="s">
        <v>1887</v>
      </c>
      <c r="AQ216" s="466" t="s">
        <v>1888</v>
      </c>
      <c r="AR216" s="1295"/>
      <c r="AS216" s="699" t="s">
        <v>1889</v>
      </c>
    </row>
    <row r="217" spans="1:45" ht="116.25" hidden="1" customHeight="1">
      <c r="A217" s="16">
        <f>OBRA!J215</f>
        <v>2017</v>
      </c>
      <c r="B217" s="783" t="s">
        <v>1563</v>
      </c>
      <c r="C217" s="783"/>
      <c r="D217" s="783"/>
      <c r="E217" s="2" t="str">
        <f>OBRA!M215</f>
        <v>CUENTA CORRIENTE</v>
      </c>
      <c r="F217" s="18" t="s">
        <v>1428</v>
      </c>
      <c r="G217" s="38" t="s">
        <v>2206</v>
      </c>
      <c r="H217" s="12" t="str">
        <f>OBRA!N215</f>
        <v>DOP/AD/005/2017</v>
      </c>
      <c r="I217" s="2" t="str">
        <f>OBRA!O215</f>
        <v>ADMINISTRACIÓN DIRECTA</v>
      </c>
      <c r="J217" s="3" t="str">
        <f>OBRA!P215</f>
        <v>ADECUACION DEL PARQUE EN CAMPO DE FUTBOL UBICADO EN LA CALLE BENITO JUAREZ, EN LA LOCALIDAD DE POTRERILLOS, DEL MUNICIPIO DE JOCOTEPEC, JALISCO</v>
      </c>
      <c r="K217" s="3" t="s">
        <v>1890</v>
      </c>
      <c r="L217" s="3"/>
      <c r="M217" s="3" t="s">
        <v>1891</v>
      </c>
      <c r="N217" s="3" t="s">
        <v>2515</v>
      </c>
      <c r="O217" s="867"/>
      <c r="P217" s="79">
        <f>OBRA!R215</f>
        <v>266570.25</v>
      </c>
      <c r="Q217" s="1023">
        <f t="shared" si="8"/>
        <v>229801.93965517243</v>
      </c>
      <c r="R217" s="1023"/>
      <c r="S217" s="67">
        <f>OBRA!S215</f>
        <v>42947</v>
      </c>
      <c r="T217" s="1134" t="str">
        <f>OBRA!V215</f>
        <v>-</v>
      </c>
      <c r="U217" s="5">
        <f>OBRA!T215</f>
        <v>42947</v>
      </c>
      <c r="V217" s="11">
        <f>OBRA!U215</f>
        <v>43008</v>
      </c>
      <c r="W217" s="223"/>
      <c r="X217" s="606">
        <f>OBRA!AS215+OBRA!AT215</f>
        <v>0</v>
      </c>
      <c r="Y217" s="1015"/>
      <c r="Z217" s="146" t="str">
        <f>OBRA!W215</f>
        <v>N/A</v>
      </c>
      <c r="AA217" s="146"/>
      <c r="AB217" s="148" t="str">
        <f t="shared" si="10"/>
        <v>N/A</v>
      </c>
      <c r="AC217" s="146" t="s">
        <v>68</v>
      </c>
      <c r="AD217" s="146"/>
      <c r="AE217" s="183" t="str">
        <f>OBRA!X215</f>
        <v>ING. J. GUADALUPE IBARRA RAMIREZ</v>
      </c>
      <c r="AF217" s="19">
        <v>1</v>
      </c>
      <c r="AG217" s="2" t="s">
        <v>1573</v>
      </c>
      <c r="AH217" s="551">
        <f t="shared" si="9"/>
        <v>0</v>
      </c>
      <c r="AI217" s="2">
        <v>1750</v>
      </c>
      <c r="AJ217" s="156" t="s">
        <v>1452</v>
      </c>
      <c r="AK217" s="513"/>
      <c r="AL217" s="513"/>
      <c r="AM217" s="513"/>
      <c r="AN217" s="1216"/>
      <c r="AO217" s="633" t="s">
        <v>1892</v>
      </c>
      <c r="AP217" s="633" t="s">
        <v>1893</v>
      </c>
      <c r="AQ217" s="466" t="s">
        <v>1894</v>
      </c>
      <c r="AR217" s="1295"/>
      <c r="AS217" s="700"/>
    </row>
    <row r="218" spans="1:45" s="104" customFormat="1" ht="51" hidden="1" customHeight="1">
      <c r="A218" s="82">
        <f>OBRA!J216</f>
        <v>2017</v>
      </c>
      <c r="B218" s="781" t="s">
        <v>1427</v>
      </c>
      <c r="C218" s="781"/>
      <c r="D218" s="781"/>
      <c r="E218" s="85">
        <f>OBRA!M216</f>
        <v>0</v>
      </c>
      <c r="F218" s="83"/>
      <c r="G218" s="857"/>
      <c r="H218" s="103" t="str">
        <f>OBRA!N216</f>
        <v>DOP/AD/006/2017</v>
      </c>
      <c r="I218" s="185" t="str">
        <f>OBRA!O216</f>
        <v>CANCELADA</v>
      </c>
      <c r="J218" s="125">
        <f>OBRA!P216</f>
        <v>0</v>
      </c>
      <c r="K218" s="125"/>
      <c r="L218" s="125"/>
      <c r="M218" s="125"/>
      <c r="N218" s="125"/>
      <c r="O218" s="529"/>
      <c r="P218" s="86">
        <f>OBRA!R216</f>
        <v>0</v>
      </c>
      <c r="Q218" s="86"/>
      <c r="R218" s="86"/>
      <c r="S218" s="87">
        <f>OBRA!S216</f>
        <v>0</v>
      </c>
      <c r="T218" s="1134" t="str">
        <f>OBRA!V216</f>
        <v>-</v>
      </c>
      <c r="U218" s="88">
        <f>OBRA!T216</f>
        <v>0</v>
      </c>
      <c r="V218" s="89">
        <f>OBRA!U216</f>
        <v>0</v>
      </c>
      <c r="W218" s="338"/>
      <c r="X218" s="810">
        <f>OBRA!AS216+OBRA!AT216</f>
        <v>0</v>
      </c>
      <c r="Y218" s="821"/>
      <c r="Z218" s="147" t="str">
        <f>OBRA!W216</f>
        <v>-</v>
      </c>
      <c r="AA218" s="147"/>
      <c r="AB218" s="149" t="str">
        <f t="shared" si="10"/>
        <v>-</v>
      </c>
      <c r="AC218" s="147" t="s">
        <v>68</v>
      </c>
      <c r="AD218" s="147"/>
      <c r="AE218" s="184">
        <f>OBRA!X216</f>
        <v>0</v>
      </c>
      <c r="AF218" s="84"/>
      <c r="AG218" s="85"/>
      <c r="AH218" s="184" t="e">
        <f t="shared" si="9"/>
        <v>#DIV/0!</v>
      </c>
      <c r="AI218" s="85"/>
      <c r="AJ218" s="575" t="s">
        <v>1452</v>
      </c>
      <c r="AK218" s="527"/>
      <c r="AL218" s="527"/>
      <c r="AM218" s="527"/>
      <c r="AN218" s="1215"/>
      <c r="AO218" s="527"/>
      <c r="AP218" s="655"/>
      <c r="AQ218" s="814"/>
      <c r="AR218" s="965"/>
      <c r="AS218" s="815"/>
    </row>
    <row r="219" spans="1:45" ht="69.75" hidden="1" customHeight="1">
      <c r="A219" s="16">
        <f>OBRA!J217</f>
        <v>2017</v>
      </c>
      <c r="B219" s="783" t="s">
        <v>1563</v>
      </c>
      <c r="C219" s="783"/>
      <c r="D219" s="783"/>
      <c r="E219" s="2" t="str">
        <f>OBRA!M217</f>
        <v>CUENTA CORRIENTE</v>
      </c>
      <c r="F219" s="18" t="s">
        <v>1428</v>
      </c>
      <c r="G219" s="38" t="s">
        <v>2206</v>
      </c>
      <c r="H219" s="12" t="str">
        <f>OBRA!N217</f>
        <v>DOP/AD/007/2017</v>
      </c>
      <c r="I219" s="2" t="str">
        <f>OBRA!O217</f>
        <v>ADMINISTRACIÓN DIRECTA</v>
      </c>
      <c r="J219" s="3" t="str">
        <f>OBRA!P217</f>
        <v>CONSTRUCCION DE LINEA DE AGUA POTABLE EN LA CALLE CUAUHTEMOC, EN LA LOCALIDAD DE POTRERILLOS DEL MUNICIPIO DE JOCOTEPEC, JALISCO</v>
      </c>
      <c r="K219" s="3" t="s">
        <v>1496</v>
      </c>
      <c r="L219" s="3"/>
      <c r="M219" s="3" t="s">
        <v>1895</v>
      </c>
      <c r="N219" s="3" t="s">
        <v>2515</v>
      </c>
      <c r="O219" s="867"/>
      <c r="P219" s="79">
        <f>OBRA!R217</f>
        <v>80202.34</v>
      </c>
      <c r="Q219" s="1023">
        <f>P219/1.16</f>
        <v>69139.948275862072</v>
      </c>
      <c r="R219" s="1023"/>
      <c r="S219" s="67">
        <f>OBRA!S217</f>
        <v>43046</v>
      </c>
      <c r="T219" s="1134" t="str">
        <f>OBRA!V217</f>
        <v>-</v>
      </c>
      <c r="U219" s="5">
        <f>OBRA!T217</f>
        <v>43054</v>
      </c>
      <c r="V219" s="11">
        <f>OBRA!U217</f>
        <v>43084</v>
      </c>
      <c r="W219" s="223"/>
      <c r="X219" s="578">
        <f>OBRA!AS217+OBRA!AT217</f>
        <v>57447.290000000008</v>
      </c>
      <c r="Y219" s="278"/>
      <c r="Z219" s="146" t="str">
        <f>OBRA!W217</f>
        <v>N/A</v>
      </c>
      <c r="AA219" s="146"/>
      <c r="AB219" s="148" t="str">
        <f t="shared" si="10"/>
        <v>N/A</v>
      </c>
      <c r="AC219" s="146" t="s">
        <v>68</v>
      </c>
      <c r="AD219" s="146"/>
      <c r="AE219" s="183" t="str">
        <f>OBRA!X217</f>
        <v>ING. JUAN MANUEL GARCIA ESCOTO</v>
      </c>
      <c r="AF219" s="19">
        <v>180</v>
      </c>
      <c r="AG219" s="2" t="s">
        <v>1451</v>
      </c>
      <c r="AH219" s="615">
        <f t="shared" si="9"/>
        <v>319.15161111111115</v>
      </c>
      <c r="AI219" s="2">
        <v>300</v>
      </c>
      <c r="AJ219" s="156" t="s">
        <v>1444</v>
      </c>
      <c r="AK219" s="513"/>
      <c r="AL219" s="513"/>
      <c r="AM219" s="513"/>
      <c r="AN219" s="1216"/>
      <c r="AO219" s="529"/>
      <c r="AP219" s="529"/>
      <c r="AQ219" s="529"/>
      <c r="AR219" s="1845"/>
      <c r="AS219" s="700"/>
    </row>
    <row r="220" spans="1:45" ht="78" hidden="1" customHeight="1">
      <c r="A220" s="16">
        <f>OBRA!J218</f>
        <v>2017</v>
      </c>
      <c r="B220" s="783" t="s">
        <v>1563</v>
      </c>
      <c r="C220" s="783"/>
      <c r="D220" s="783"/>
      <c r="E220" s="2" t="str">
        <f>OBRA!M218</f>
        <v>RAMO 33</v>
      </c>
      <c r="F220" s="18" t="s">
        <v>1428</v>
      </c>
      <c r="G220" s="38" t="s">
        <v>2206</v>
      </c>
      <c r="H220" s="12" t="str">
        <f>OBRA!N218</f>
        <v>DOP/AD/008/2017</v>
      </c>
      <c r="I220" s="2" t="str">
        <f>OBRA!O218</f>
        <v>ADMINISTRACIÓN DIRECTA</v>
      </c>
      <c r="J220" s="3" t="str">
        <f>OBRA!P218</f>
        <v>CONSTRUCCION DE RED DE DRENAJE EN C. ZARAGOZA PARA CONECTARLO A CALLE VICENTE GUERRERO PONIENTE EN LA CABECERA MUNICIPAL DEL MUNICIPIO DE JOCOTEPEC, JALISCO</v>
      </c>
      <c r="K220" s="3" t="s">
        <v>1481</v>
      </c>
      <c r="L220" s="3"/>
      <c r="M220" s="3" t="s">
        <v>1896</v>
      </c>
      <c r="N220" s="3" t="s">
        <v>1975</v>
      </c>
      <c r="O220" s="867"/>
      <c r="P220" s="79">
        <f>OBRA!R218</f>
        <v>121598.89</v>
      </c>
      <c r="Q220" s="1023">
        <f>P220/1.16</f>
        <v>104826.62931034484</v>
      </c>
      <c r="R220" s="1023"/>
      <c r="S220" s="67">
        <f>OBRA!S218</f>
        <v>43054</v>
      </c>
      <c r="T220" s="1134" t="str">
        <f>OBRA!V218</f>
        <v>-</v>
      </c>
      <c r="U220" s="5">
        <f>OBRA!T218</f>
        <v>43052</v>
      </c>
      <c r="V220" s="11">
        <f>OBRA!U218</f>
        <v>43066</v>
      </c>
      <c r="W220" s="223"/>
      <c r="X220" s="578">
        <f>OBRA!AS218+OBRA!AT218</f>
        <v>79992.180000000008</v>
      </c>
      <c r="Y220" s="278"/>
      <c r="Z220" s="146" t="str">
        <f>OBRA!W218</f>
        <v>N/A</v>
      </c>
      <c r="AA220" s="146"/>
      <c r="AB220" s="148" t="str">
        <f t="shared" si="10"/>
        <v>N/A</v>
      </c>
      <c r="AC220" s="146" t="s">
        <v>68</v>
      </c>
      <c r="AD220" s="146"/>
      <c r="AE220" s="183" t="str">
        <f>OBRA!X218</f>
        <v>ING. ANGEL ALBERTO HERNANDEZ MORA</v>
      </c>
      <c r="AF220" s="552">
        <v>57.52</v>
      </c>
      <c r="AG220" s="2" t="s">
        <v>1451</v>
      </c>
      <c r="AH220" s="615">
        <f t="shared" si="9"/>
        <v>1390.6846314325453</v>
      </c>
      <c r="AI220" s="2">
        <v>3000</v>
      </c>
      <c r="AJ220" s="156" t="s">
        <v>1452</v>
      </c>
      <c r="AK220" s="513"/>
      <c r="AL220" s="513"/>
      <c r="AM220" s="513"/>
      <c r="AN220" s="1216"/>
      <c r="AO220" s="633" t="s">
        <v>1897</v>
      </c>
      <c r="AP220" s="633" t="s">
        <v>1898</v>
      </c>
      <c r="AQ220" s="466" t="s">
        <v>1899</v>
      </c>
      <c r="AR220" s="1295"/>
      <c r="AS220" s="701" t="s">
        <v>1900</v>
      </c>
    </row>
    <row r="221" spans="1:45" ht="76.5" hidden="1" customHeight="1">
      <c r="A221" s="16">
        <f>OBRA!J219</f>
        <v>2017</v>
      </c>
      <c r="B221" s="783" t="s">
        <v>1563</v>
      </c>
      <c r="C221" s="783"/>
      <c r="D221" s="783"/>
      <c r="E221" s="2" t="str">
        <f>OBRA!M219</f>
        <v>RAMO 33</v>
      </c>
      <c r="F221" s="18" t="s">
        <v>1428</v>
      </c>
      <c r="G221" s="38" t="s">
        <v>2206</v>
      </c>
      <c r="H221" s="12" t="str">
        <f>OBRA!N219</f>
        <v>DOP/AD/009/2017</v>
      </c>
      <c r="I221" s="2" t="str">
        <f>OBRA!O219</f>
        <v>ADMINISTRACIÓN DIRECTA</v>
      </c>
      <c r="J221" s="3" t="str">
        <f>OBRA!P219</f>
        <v>CONSTRUCCION DE LINEA DE AGUA POTABLE EN CALLE EMILIANO ZAPATA ENTRE PIPILA Y SANTA ISABEL DE LA LOCALIDAD DE ZAPOTITAN DE HIDALGO, DEL MUNICIPIO DE JOCOTEPEC, JALISCO</v>
      </c>
      <c r="K221" s="3" t="s">
        <v>1496</v>
      </c>
      <c r="L221" s="3"/>
      <c r="M221" s="3" t="s">
        <v>1901</v>
      </c>
      <c r="N221" s="3" t="s">
        <v>2604</v>
      </c>
      <c r="O221" s="867"/>
      <c r="P221" s="79">
        <f>OBRA!R219</f>
        <v>54161.63</v>
      </c>
      <c r="Q221" s="1023">
        <f>P221/1.16</f>
        <v>46691.060344827587</v>
      </c>
      <c r="R221" s="1023"/>
      <c r="S221" s="67">
        <f>OBRA!S219</f>
        <v>43078</v>
      </c>
      <c r="T221" s="1134" t="str">
        <f>OBRA!V219</f>
        <v>-</v>
      </c>
      <c r="U221" s="5">
        <f>OBRA!T219</f>
        <v>43078</v>
      </c>
      <c r="V221" s="11">
        <f>OBRA!U219</f>
        <v>43099</v>
      </c>
      <c r="W221" s="223"/>
      <c r="X221" s="578">
        <f>OBRA!AS219+OBRA!AT219</f>
        <v>54136.87</v>
      </c>
      <c r="Y221" s="278"/>
      <c r="Z221" s="146" t="str">
        <f>OBRA!W219</f>
        <v>N/A</v>
      </c>
      <c r="AA221" s="146"/>
      <c r="AB221" s="148" t="str">
        <f t="shared" si="10"/>
        <v>N/A</v>
      </c>
      <c r="AC221" s="146" t="s">
        <v>68</v>
      </c>
      <c r="AD221" s="146"/>
      <c r="AE221" s="183" t="str">
        <f>OBRA!X219</f>
        <v>ING. ANGEL ALBERTO HERNANDEZ MORA</v>
      </c>
      <c r="AF221" s="552">
        <v>50</v>
      </c>
      <c r="AG221" s="2" t="s">
        <v>1451</v>
      </c>
      <c r="AH221" s="615">
        <f t="shared" si="9"/>
        <v>1082.7374</v>
      </c>
      <c r="AI221" s="2">
        <v>90</v>
      </c>
      <c r="AJ221" s="156" t="s">
        <v>1452</v>
      </c>
      <c r="AK221" s="513"/>
      <c r="AL221" s="513"/>
      <c r="AM221" s="513"/>
      <c r="AN221" s="1216"/>
      <c r="AO221" s="633" t="s">
        <v>1902</v>
      </c>
      <c r="AP221" s="633" t="s">
        <v>1903</v>
      </c>
      <c r="AQ221" s="466" t="s">
        <v>1904</v>
      </c>
      <c r="AR221" s="1295"/>
      <c r="AS221" s="699" t="s">
        <v>1905</v>
      </c>
    </row>
    <row r="222" spans="1:45" ht="76.5" hidden="1" customHeight="1">
      <c r="A222" s="16">
        <f>OBRA!J220</f>
        <v>2017</v>
      </c>
      <c r="B222" s="783" t="s">
        <v>1563</v>
      </c>
      <c r="C222" s="783"/>
      <c r="D222" s="783"/>
      <c r="E222" s="2" t="str">
        <f>OBRA!M220</f>
        <v>RAMO 33</v>
      </c>
      <c r="F222" s="18" t="s">
        <v>1428</v>
      </c>
      <c r="G222" s="38" t="s">
        <v>2206</v>
      </c>
      <c r="H222" s="12" t="str">
        <f>OBRA!N220</f>
        <v>DOP/AD/010/2017</v>
      </c>
      <c r="I222" s="2" t="str">
        <f>OBRA!O220</f>
        <v>ADMINISTRACIÓN DIRECTA</v>
      </c>
      <c r="J222" s="3" t="str">
        <f>OBRA!P220</f>
        <v>CONSTRUCCIÓN DE LINEA DE DRENAJE EN CALLE EMILIANO ZAPATA ENTRE PIPILA Y SANTA ISABEL DE LA LOCALIDAD DE ZAPOTITAN DE HIDALGO, DEL MUNICIPIO, JALISCO.</v>
      </c>
      <c r="K222" s="3" t="s">
        <v>1481</v>
      </c>
      <c r="L222" s="3"/>
      <c r="M222" s="3" t="s">
        <v>1901</v>
      </c>
      <c r="N222" s="3" t="s">
        <v>2604</v>
      </c>
      <c r="O222" s="867"/>
      <c r="P222" s="79">
        <f>OBRA!R220</f>
        <v>72083.75</v>
      </c>
      <c r="Q222" s="1023">
        <f>P222/1.16</f>
        <v>62141.163793103449</v>
      </c>
      <c r="R222" s="1023"/>
      <c r="S222" s="67">
        <f>OBRA!S220</f>
        <v>43078</v>
      </c>
      <c r="T222" s="1134" t="str">
        <f>OBRA!V220</f>
        <v>-</v>
      </c>
      <c r="U222" s="5">
        <f>OBRA!T220</f>
        <v>43078</v>
      </c>
      <c r="V222" s="11">
        <f>OBRA!U220</f>
        <v>43099</v>
      </c>
      <c r="W222" s="223"/>
      <c r="X222" s="578">
        <f>OBRA!AS220+OBRA!AT220</f>
        <v>56957.69</v>
      </c>
      <c r="Y222" s="278"/>
      <c r="Z222" s="146" t="str">
        <f>OBRA!W220</f>
        <v>N/A</v>
      </c>
      <c r="AA222" s="146"/>
      <c r="AB222" s="148" t="str">
        <f t="shared" si="10"/>
        <v>N/A</v>
      </c>
      <c r="AC222" s="146" t="s">
        <v>68</v>
      </c>
      <c r="AD222" s="146"/>
      <c r="AE222" s="183" t="str">
        <f>OBRA!X220</f>
        <v>ING. ANGEL ALBERTO HERNANDEZ MORA</v>
      </c>
      <c r="AF222" s="552">
        <v>50</v>
      </c>
      <c r="AG222" s="2" t="s">
        <v>1451</v>
      </c>
      <c r="AH222" s="615">
        <f t="shared" si="9"/>
        <v>1139.1538</v>
      </c>
      <c r="AI222" s="2">
        <v>90</v>
      </c>
      <c r="AJ222" s="156" t="s">
        <v>1452</v>
      </c>
      <c r="AK222" s="513"/>
      <c r="AL222" s="513"/>
      <c r="AM222" s="513"/>
      <c r="AN222" s="1216"/>
      <c r="AO222" s="633" t="s">
        <v>1906</v>
      </c>
      <c r="AP222" s="633" t="s">
        <v>1907</v>
      </c>
      <c r="AQ222" s="466" t="s">
        <v>1908</v>
      </c>
      <c r="AR222" s="1295"/>
      <c r="AS222" s="699" t="s">
        <v>1909</v>
      </c>
    </row>
    <row r="223" spans="1:45" ht="240" hidden="1" customHeight="1">
      <c r="A223" s="16">
        <f>OBRA!J221</f>
        <v>2017</v>
      </c>
      <c r="B223" s="783" t="s">
        <v>1563</v>
      </c>
      <c r="C223" s="783"/>
      <c r="D223" s="783"/>
      <c r="E223" s="2" t="str">
        <f>OBRA!M221</f>
        <v>CUENTA CORRIENTE</v>
      </c>
      <c r="F223" s="18" t="s">
        <v>1428</v>
      </c>
      <c r="G223" s="38" t="s">
        <v>2206</v>
      </c>
      <c r="H223" s="12" t="str">
        <f>OBRA!N221</f>
        <v>DOP/AD/011/2017</v>
      </c>
      <c r="I223" s="2" t="str">
        <f>OBRA!O221</f>
        <v>ADMINISTRACIÓN DIRECTA</v>
      </c>
      <c r="J223" s="3" t="str">
        <f>OBRA!P221</f>
        <v>MEJORAMIENTO DEL MALECON DE LA LOCALIDAD DE SAN JUAN COSALA, DEL MUNICIPIO DE JOCOTEPEC, JALISCO</v>
      </c>
      <c r="K223" s="683" t="s">
        <v>1910</v>
      </c>
      <c r="L223" s="683"/>
      <c r="M223" s="3" t="s">
        <v>1911</v>
      </c>
      <c r="N223" s="3" t="s">
        <v>2524</v>
      </c>
      <c r="O223" s="529"/>
      <c r="P223" s="79">
        <f>OBRA!R221</f>
        <v>574043.4</v>
      </c>
      <c r="Q223" s="1023">
        <f>P223/1.16</f>
        <v>494865.00000000006</v>
      </c>
      <c r="R223" s="1023"/>
      <c r="S223" s="67">
        <f>OBRA!S221</f>
        <v>42986</v>
      </c>
      <c r="T223" s="1134" t="str">
        <f>OBRA!V221</f>
        <v>-</v>
      </c>
      <c r="U223" s="5">
        <f>OBRA!T221</f>
        <v>42989</v>
      </c>
      <c r="V223" s="11">
        <f>OBRA!U221</f>
        <v>43099</v>
      </c>
      <c r="W223" s="223"/>
      <c r="X223" s="606">
        <f>OBRA!AS221+OBRA!AT221</f>
        <v>0</v>
      </c>
      <c r="Y223" s="1015"/>
      <c r="Z223" s="146" t="str">
        <f>OBRA!W221</f>
        <v>N/A</v>
      </c>
      <c r="AA223" s="146"/>
      <c r="AB223" s="148" t="str">
        <f t="shared" si="10"/>
        <v>N/A</v>
      </c>
      <c r="AC223" s="146" t="s">
        <v>68</v>
      </c>
      <c r="AD223" s="146"/>
      <c r="AE223" s="183" t="str">
        <f>OBRA!X221</f>
        <v>ARQ. JAIME CONDE GOMEZ</v>
      </c>
      <c r="AF223" s="19">
        <v>1</v>
      </c>
      <c r="AG223" s="2" t="s">
        <v>1573</v>
      </c>
      <c r="AH223" s="551">
        <f t="shared" si="9"/>
        <v>0</v>
      </c>
      <c r="AI223" s="2">
        <v>7800</v>
      </c>
      <c r="AJ223" s="156" t="s">
        <v>1452</v>
      </c>
      <c r="AK223" s="513"/>
      <c r="AL223" s="513"/>
      <c r="AM223" s="513"/>
      <c r="AN223" s="1216"/>
      <c r="AO223" s="529"/>
      <c r="AP223" s="529"/>
      <c r="AQ223" s="466" t="s">
        <v>1912</v>
      </c>
      <c r="AR223" s="1295"/>
      <c r="AS223" s="700"/>
    </row>
    <row r="224" spans="1:45" s="104" customFormat="1" ht="60" hidden="1" customHeight="1">
      <c r="A224" s="82">
        <f>OBRA!J222</f>
        <v>2017</v>
      </c>
      <c r="B224" s="781" t="s">
        <v>1427</v>
      </c>
      <c r="C224" s="781"/>
      <c r="D224" s="781"/>
      <c r="E224" s="85" t="str">
        <f>OBRA!M222</f>
        <v>RAMO 33</v>
      </c>
      <c r="F224" s="83" t="s">
        <v>1428</v>
      </c>
      <c r="G224" s="857"/>
      <c r="H224" s="103" t="str">
        <f>OBRA!N222</f>
        <v>DOP/AD/012/2017</v>
      </c>
      <c r="I224" s="185" t="str">
        <f>OBRA!O222</f>
        <v>CANCELADA</v>
      </c>
      <c r="J224" s="125" t="str">
        <f>OBRA!P222</f>
        <v>REHABILITACION DE LINEA DE AGUA POTABLE EN CALLE INDEPENDENCIA ENTRE CARRETERA Y CERRADA, EN LA LOCALIDAD DE SAN JUAN COSALA, DEL MUNICIPIO DE JOCOTEPEC, JALISCO</v>
      </c>
      <c r="K224" s="125"/>
      <c r="L224" s="125"/>
      <c r="M224" s="125"/>
      <c r="N224" s="125"/>
      <c r="O224" s="529"/>
      <c r="P224" s="86">
        <f>OBRA!R222</f>
        <v>46522.58</v>
      </c>
      <c r="Q224" s="86"/>
      <c r="R224" s="86"/>
      <c r="S224" s="87">
        <f>OBRA!S222</f>
        <v>0</v>
      </c>
      <c r="T224" s="1134">
        <f>OBRA!V222</f>
        <v>0</v>
      </c>
      <c r="U224" s="88">
        <f>OBRA!T222</f>
        <v>42979</v>
      </c>
      <c r="V224" s="89">
        <f>OBRA!U222</f>
        <v>42734</v>
      </c>
      <c r="W224" s="338"/>
      <c r="X224" s="810">
        <f>OBRA!AS222+OBRA!AT222</f>
        <v>0</v>
      </c>
      <c r="Y224" s="821"/>
      <c r="Z224" s="147" t="str">
        <f>OBRA!W222</f>
        <v>-</v>
      </c>
      <c r="AA224" s="147"/>
      <c r="AB224" s="149" t="str">
        <f t="shared" si="10"/>
        <v>-</v>
      </c>
      <c r="AC224" s="147" t="s">
        <v>68</v>
      </c>
      <c r="AD224" s="147"/>
      <c r="AE224" s="184">
        <f>OBRA!X222</f>
        <v>0</v>
      </c>
      <c r="AF224" s="84"/>
      <c r="AG224" s="85" t="s">
        <v>1451</v>
      </c>
      <c r="AH224" s="184" t="e">
        <f t="shared" si="9"/>
        <v>#DIV/0!</v>
      </c>
      <c r="AI224" s="85"/>
      <c r="AJ224" s="575"/>
      <c r="AK224" s="514"/>
      <c r="AL224" s="514"/>
      <c r="AM224" s="514"/>
      <c r="AN224" s="506"/>
      <c r="AO224" s="514"/>
      <c r="AP224" s="85"/>
      <c r="AQ224" s="816"/>
      <c r="AR224" s="966"/>
      <c r="AS224" s="815"/>
    </row>
    <row r="225" spans="1:45" s="104" customFormat="1" ht="60" hidden="1" customHeight="1">
      <c r="A225" s="82">
        <f>OBRA!J223</f>
        <v>2017</v>
      </c>
      <c r="B225" s="781" t="s">
        <v>1427</v>
      </c>
      <c r="C225" s="781"/>
      <c r="D225" s="781"/>
      <c r="E225" s="85" t="str">
        <f>OBRA!M223</f>
        <v>RAMO 33</v>
      </c>
      <c r="F225" s="83" t="s">
        <v>1428</v>
      </c>
      <c r="G225" s="857"/>
      <c r="H225" s="103" t="str">
        <f>OBRA!N223</f>
        <v>DOP/AD/013/2017</v>
      </c>
      <c r="I225" s="185" t="str">
        <f>OBRA!O223</f>
        <v>CANCELADA</v>
      </c>
      <c r="J225" s="125" t="str">
        <f>OBRA!P223</f>
        <v>FABRICACION DE EMPEDRADO AHOGADO EN CEMENTO EN CALLE INDEPENDENCIA, EN LA LOCALIDAD DE SAN JUAN COSALA, DEL MUNICIPIO DE JOCOTEPEC, JALISCO</v>
      </c>
      <c r="K225" s="125"/>
      <c r="L225" s="125"/>
      <c r="M225" s="125"/>
      <c r="N225" s="125"/>
      <c r="O225" s="529"/>
      <c r="P225" s="86">
        <f>OBRA!R223</f>
        <v>107544.91</v>
      </c>
      <c r="Q225" s="86"/>
      <c r="R225" s="86"/>
      <c r="S225" s="87">
        <f>OBRA!S223</f>
        <v>0</v>
      </c>
      <c r="T225" s="1134">
        <f>OBRA!V223</f>
        <v>0</v>
      </c>
      <c r="U225" s="88">
        <f>OBRA!T223</f>
        <v>43070</v>
      </c>
      <c r="V225" s="89">
        <f>OBRA!U223</f>
        <v>43099</v>
      </c>
      <c r="W225" s="338"/>
      <c r="X225" s="810">
        <f>OBRA!AS223+OBRA!AT223</f>
        <v>0</v>
      </c>
      <c r="Y225" s="821"/>
      <c r="Z225" s="147" t="str">
        <f>OBRA!W223</f>
        <v>-</v>
      </c>
      <c r="AA225" s="147"/>
      <c r="AB225" s="149" t="str">
        <f t="shared" si="10"/>
        <v>-</v>
      </c>
      <c r="AC225" s="147"/>
      <c r="AD225" s="147"/>
      <c r="AE225" s="184">
        <f>OBRA!X223</f>
        <v>0</v>
      </c>
      <c r="AF225" s="84"/>
      <c r="AG225" s="85" t="s">
        <v>1451</v>
      </c>
      <c r="AH225" s="184" t="e">
        <f t="shared" si="9"/>
        <v>#DIV/0!</v>
      </c>
      <c r="AI225" s="85"/>
      <c r="AJ225" s="575"/>
      <c r="AK225" s="527"/>
      <c r="AL225" s="527"/>
      <c r="AM225" s="527"/>
      <c r="AN225" s="1215"/>
      <c r="AO225" s="527"/>
      <c r="AP225" s="655"/>
      <c r="AQ225" s="814"/>
      <c r="AR225" s="965"/>
      <c r="AS225" s="815"/>
    </row>
    <row r="226" spans="1:45" ht="76.5" hidden="1" customHeight="1">
      <c r="A226" s="16">
        <f>OBRA!J224</f>
        <v>2017</v>
      </c>
      <c r="B226" s="783" t="s">
        <v>1563</v>
      </c>
      <c r="C226" s="783"/>
      <c r="D226" s="783"/>
      <c r="E226" s="2" t="str">
        <f>OBRA!M224</f>
        <v>CUENTA CORRIENTE</v>
      </c>
      <c r="F226" s="18" t="s">
        <v>1428</v>
      </c>
      <c r="G226" s="38" t="s">
        <v>2206</v>
      </c>
      <c r="H226" s="12" t="str">
        <f>OBRA!N224</f>
        <v>DOP/AD/014/2017</v>
      </c>
      <c r="I226" s="2" t="str">
        <f>OBRA!O224</f>
        <v>ADMINISTRACIÓN DIRECTA</v>
      </c>
      <c r="J226" s="3" t="str">
        <f>OBRA!P224</f>
        <v>OBRA CIVIL COMPLEMENTARIA PARA LA INSTALACIÓN DE CARCAMO DE BOMBEO DE LA PLANTA DE TRATAMIENTO DEL MALECON,  EN LA CABECERA MUNICIPAL, DEÑ MUNICIPIO DE JOCOTEPEC, JALISCO</v>
      </c>
      <c r="K226" s="3" t="s">
        <v>1913</v>
      </c>
      <c r="L226" s="3"/>
      <c r="M226" s="3" t="s">
        <v>1914</v>
      </c>
      <c r="N226" s="3" t="s">
        <v>1975</v>
      </c>
      <c r="O226" s="867"/>
      <c r="P226" s="79">
        <f>OBRA!R224</f>
        <v>60000</v>
      </c>
      <c r="Q226" s="1023">
        <f>P226/1.16</f>
        <v>51724.137931034486</v>
      </c>
      <c r="R226" s="1023"/>
      <c r="S226" s="67">
        <f>OBRA!S224</f>
        <v>43078</v>
      </c>
      <c r="T226" s="1134" t="str">
        <f>OBRA!V224</f>
        <v>-</v>
      </c>
      <c r="U226" s="5">
        <f>OBRA!T224</f>
        <v>43078</v>
      </c>
      <c r="V226" s="11">
        <f>OBRA!U224</f>
        <v>43099</v>
      </c>
      <c r="W226" s="223"/>
      <c r="X226" s="606">
        <f>OBRA!AS224+OBRA!AT224</f>
        <v>0</v>
      </c>
      <c r="Y226" s="1015"/>
      <c r="Z226" s="146" t="str">
        <f>OBRA!W224</f>
        <v>N/A</v>
      </c>
      <c r="AA226" s="146"/>
      <c r="AB226" s="148" t="str">
        <f t="shared" si="10"/>
        <v>N/A</v>
      </c>
      <c r="AC226" s="146" t="s">
        <v>68</v>
      </c>
      <c r="AD226" s="146"/>
      <c r="AE226" s="183" t="str">
        <f>OBRA!X224</f>
        <v>ING. JUAN MANUEL GARCIA ESCOTO</v>
      </c>
      <c r="AF226" s="552">
        <v>1</v>
      </c>
      <c r="AG226" s="2" t="s">
        <v>1573</v>
      </c>
      <c r="AH226" s="551">
        <f t="shared" si="9"/>
        <v>0</v>
      </c>
      <c r="AI226" s="2">
        <v>25000</v>
      </c>
      <c r="AJ226" s="156" t="s">
        <v>1452</v>
      </c>
      <c r="AK226" s="513"/>
      <c r="AL226" s="513"/>
      <c r="AM226" s="513"/>
      <c r="AN226" s="1216"/>
      <c r="AO226" s="529"/>
      <c r="AP226" s="529"/>
      <c r="AQ226" s="466" t="s">
        <v>1915</v>
      </c>
      <c r="AR226" s="1295"/>
      <c r="AS226" s="700"/>
    </row>
    <row r="227" spans="1:45" s="104" customFormat="1" ht="51" hidden="1" customHeight="1">
      <c r="A227" s="82">
        <f>OBRA!J225</f>
        <v>2017</v>
      </c>
      <c r="B227" s="781" t="s">
        <v>1427</v>
      </c>
      <c r="C227" s="781"/>
      <c r="D227" s="781"/>
      <c r="E227" s="85">
        <f>OBRA!M225</f>
        <v>0</v>
      </c>
      <c r="F227" s="83"/>
      <c r="G227" s="857"/>
      <c r="H227" s="103" t="str">
        <f>OBRA!N225</f>
        <v>DOP/AD/015/2017</v>
      </c>
      <c r="I227" s="185" t="str">
        <f>OBRA!O225</f>
        <v>CANCELADA</v>
      </c>
      <c r="J227" s="125">
        <f>OBRA!P225</f>
        <v>0</v>
      </c>
      <c r="K227" s="125"/>
      <c r="L227" s="125"/>
      <c r="M227" s="125"/>
      <c r="N227" s="125"/>
      <c r="O227" s="529"/>
      <c r="P227" s="86">
        <f>OBRA!R225</f>
        <v>0</v>
      </c>
      <c r="Q227" s="86"/>
      <c r="R227" s="86"/>
      <c r="S227" s="87">
        <f>OBRA!S225</f>
        <v>0</v>
      </c>
      <c r="T227" s="1134">
        <f>OBRA!V225</f>
        <v>0</v>
      </c>
      <c r="U227" s="88">
        <f>OBRA!T225</f>
        <v>0</v>
      </c>
      <c r="V227" s="89">
        <f>OBRA!U225</f>
        <v>0</v>
      </c>
      <c r="W227" s="338"/>
      <c r="X227" s="810">
        <f>OBRA!AS225+OBRA!AT225</f>
        <v>0</v>
      </c>
      <c r="Y227" s="821"/>
      <c r="Z227" s="147" t="str">
        <f>OBRA!W225</f>
        <v>-</v>
      </c>
      <c r="AA227" s="147"/>
      <c r="AB227" s="149" t="str">
        <f>Z227</f>
        <v>-</v>
      </c>
      <c r="AC227" s="147" t="s">
        <v>68</v>
      </c>
      <c r="AD227" s="147"/>
      <c r="AE227" s="184">
        <f>OBRA!X225</f>
        <v>0</v>
      </c>
      <c r="AF227" s="84"/>
      <c r="AG227" s="85"/>
      <c r="AH227" s="184" t="e">
        <f t="shared" si="9"/>
        <v>#DIV/0!</v>
      </c>
      <c r="AI227" s="85"/>
      <c r="AJ227" s="575" t="s">
        <v>1452</v>
      </c>
      <c r="AK227" s="527"/>
      <c r="AL227" s="527"/>
      <c r="AM227" s="527"/>
      <c r="AN227" s="1215"/>
      <c r="AO227" s="527"/>
      <c r="AP227" s="655"/>
      <c r="AQ227" s="814"/>
      <c r="AR227" s="965"/>
      <c r="AS227" s="815"/>
    </row>
    <row r="228" spans="1:45" ht="241.5" hidden="1" customHeight="1">
      <c r="A228" s="16">
        <f>OBRA!J226</f>
        <v>2017</v>
      </c>
      <c r="B228" s="783" t="s">
        <v>1563</v>
      </c>
      <c r="C228" s="783"/>
      <c r="D228" s="783"/>
      <c r="E228" s="2" t="str">
        <f>OBRA!M226</f>
        <v>CUENTA CORRIENTE</v>
      </c>
      <c r="F228" s="18" t="s">
        <v>1428</v>
      </c>
      <c r="G228" s="972" t="s">
        <v>2206</v>
      </c>
      <c r="H228" s="12" t="str">
        <f>OBRA!N226</f>
        <v>GMJ 001C OP/2017</v>
      </c>
      <c r="I228" s="2" t="str">
        <f>OBRA!O226</f>
        <v>ADJUDICACIÓN DIRECTA</v>
      </c>
      <c r="J228"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6" t="s">
        <v>3486</v>
      </c>
      <c r="P228" s="79">
        <f>OBRA!R226</f>
        <v>1499890.33</v>
      </c>
      <c r="Q228" s="1023">
        <f t="shared" ref="Q228:Q270" si="11">P228/1.16</f>
        <v>1293008.9051724139</v>
      </c>
      <c r="R228" s="1023"/>
      <c r="S228" s="67">
        <f>OBRA!S226</f>
        <v>42737</v>
      </c>
      <c r="T228" s="1134">
        <f>OBRA!V226</f>
        <v>42737</v>
      </c>
      <c r="U228" s="5">
        <f>OBRA!T226</f>
        <v>42740</v>
      </c>
      <c r="V228" s="11">
        <f>OBRA!U226</f>
        <v>42746</v>
      </c>
      <c r="W228" s="223"/>
      <c r="X228" s="578">
        <f>OBRA!AS226+OBRA!AT226</f>
        <v>1499890.33</v>
      </c>
      <c r="Y228" s="278"/>
      <c r="Z228" s="146" t="str">
        <f>OBRA!W226</f>
        <v>ASFALTOS GUADALAJARA, S.A.P.I. DE C.V.</v>
      </c>
      <c r="AA228" s="146"/>
      <c r="AB228" s="148" t="s">
        <v>1918</v>
      </c>
      <c r="AC228" s="146" t="s">
        <v>1919</v>
      </c>
      <c r="AD228" s="146"/>
      <c r="AE228" s="183" t="str">
        <f>OBRA!X226</f>
        <v>ING. ANGEL ALBERTO HERNANDEZ MORA</v>
      </c>
      <c r="AF228" s="19">
        <v>15002</v>
      </c>
      <c r="AG228" s="2" t="s">
        <v>1548</v>
      </c>
      <c r="AH228" s="615">
        <f t="shared" si="9"/>
        <v>99.979358085588586</v>
      </c>
      <c r="AI228" s="2">
        <v>21000</v>
      </c>
      <c r="AJ228" s="156" t="s">
        <v>1452</v>
      </c>
      <c r="AK228" s="513"/>
      <c r="AL228" s="513"/>
      <c r="AM228" s="513"/>
      <c r="AN228" s="1216"/>
      <c r="AO228" s="867"/>
      <c r="AP228" s="867"/>
      <c r="AQ228" s="878"/>
      <c r="AR228" s="507"/>
      <c r="AS228" s="1229"/>
    </row>
    <row r="229" spans="1:45" ht="265.5" hidden="1" customHeight="1">
      <c r="A229" s="16">
        <f>OBRA!J227</f>
        <v>2017</v>
      </c>
      <c r="B229" s="783" t="s">
        <v>1563</v>
      </c>
      <c r="C229" s="783"/>
      <c r="D229" s="783"/>
      <c r="E229" s="2" t="str">
        <f>OBRA!M227</f>
        <v>CUENTA CORRIENTE</v>
      </c>
      <c r="F229" s="18" t="s">
        <v>1428</v>
      </c>
      <c r="G229" s="38" t="s">
        <v>2206</v>
      </c>
      <c r="H229" s="12" t="str">
        <f>OBRA!N227</f>
        <v>GMJ 002C OP/2017</v>
      </c>
      <c r="I229" s="2" t="str">
        <f>OBRA!O227</f>
        <v>ADJUDICACIÓN DIRECTA</v>
      </c>
      <c r="J229"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6" t="s">
        <v>3486</v>
      </c>
      <c r="P229" s="79">
        <f>OBRA!R227</f>
        <v>1316020.1499999999</v>
      </c>
      <c r="Q229" s="1023">
        <f t="shared" si="11"/>
        <v>1134500.1293103448</v>
      </c>
      <c r="R229" s="1023"/>
      <c r="S229" s="67">
        <f>OBRA!S227</f>
        <v>42747</v>
      </c>
      <c r="T229" s="1134">
        <f>OBRA!V227</f>
        <v>42747</v>
      </c>
      <c r="U229" s="5">
        <f>OBRA!T227</f>
        <v>42747</v>
      </c>
      <c r="V229" s="11">
        <f>OBRA!U227</f>
        <v>42837</v>
      </c>
      <c r="W229" s="223"/>
      <c r="X229" s="578">
        <f>OBRA!AS227+OBRA!AT227</f>
        <v>1316020.1399999999</v>
      </c>
      <c r="Y229" s="278"/>
      <c r="Z229" s="146" t="str">
        <f>OBRA!W227</f>
        <v>ASFALTOS GUADALAJARA, S.A.P.I. DE C.V.</v>
      </c>
      <c r="AA229" s="146"/>
      <c r="AB229" s="148" t="s">
        <v>1918</v>
      </c>
      <c r="AC229" s="146" t="s">
        <v>1919</v>
      </c>
      <c r="AD229" s="146"/>
      <c r="AE229" s="183" t="str">
        <f>OBRA!X227</f>
        <v>ING. ANGEL ALBERTO HERNANDEZ MORA</v>
      </c>
      <c r="AF229" s="19">
        <v>15335.57</v>
      </c>
      <c r="AG229" s="2" t="s">
        <v>1548</v>
      </c>
      <c r="AH229" s="615">
        <f t="shared" si="9"/>
        <v>85.814882655160517</v>
      </c>
      <c r="AI229" s="2">
        <v>21000</v>
      </c>
      <c r="AJ229" s="156" t="s">
        <v>1452</v>
      </c>
      <c r="AK229" s="513"/>
      <c r="AL229" s="513"/>
      <c r="AM229" s="513"/>
      <c r="AN229" s="1216"/>
      <c r="AO229" s="867"/>
      <c r="AP229" s="867"/>
      <c r="AQ229" s="878"/>
      <c r="AR229" s="507"/>
      <c r="AS229" s="1229"/>
    </row>
    <row r="230" spans="1:45" ht="72" hidden="1" customHeight="1">
      <c r="A230" s="16">
        <f>OBRA!J228</f>
        <v>2017</v>
      </c>
      <c r="B230" s="783" t="s">
        <v>1563</v>
      </c>
      <c r="C230" s="783"/>
      <c r="D230" s="783"/>
      <c r="E230" s="2" t="str">
        <f>OBRA!M228</f>
        <v>RAMO 33</v>
      </c>
      <c r="F230" s="18" t="s">
        <v>1428</v>
      </c>
      <c r="G230" s="38" t="s">
        <v>2206</v>
      </c>
      <c r="H230" s="12" t="str">
        <f>OBRA!N228</f>
        <v>GMJ 003C OP/2017</v>
      </c>
      <c r="I230" s="2" t="str">
        <f>OBRA!O228</f>
        <v>ADJUDICACIÓN DIRECTA</v>
      </c>
      <c r="J230" s="3" t="str">
        <f>OBRA!P228</f>
        <v>REHABILITACIÓN DE LÍNEA DE DRENAJE EN CALLES PROLONGACIÓN GONZALEZ ORTEGA, CABECERA MUNICIPAL DE JOCOTEPEC JALISCO</v>
      </c>
      <c r="K230" s="3" t="s">
        <v>1481</v>
      </c>
      <c r="L230" s="3"/>
      <c r="M230" s="3" t="s">
        <v>1921</v>
      </c>
      <c r="N230" s="3" t="s">
        <v>1975</v>
      </c>
      <c r="O230" s="466" t="s">
        <v>3486</v>
      </c>
      <c r="P230" s="79">
        <f>OBRA!R228</f>
        <v>626112.69999999995</v>
      </c>
      <c r="Q230" s="1023">
        <f t="shared" si="11"/>
        <v>539752.32758620684</v>
      </c>
      <c r="R230" s="1023"/>
      <c r="S230" s="67">
        <f>OBRA!S228</f>
        <v>42857</v>
      </c>
      <c r="T230" s="1134">
        <f>OBRA!V228</f>
        <v>42857</v>
      </c>
      <c r="U230" s="5">
        <f>OBRA!T228</f>
        <v>42860</v>
      </c>
      <c r="V230" s="11">
        <f>OBRA!U228</f>
        <v>42880</v>
      </c>
      <c r="W230" s="223"/>
      <c r="X230" s="578">
        <f>OBRA!AS228+OBRA!AT228</f>
        <v>673715.91</v>
      </c>
      <c r="Y230" s="278"/>
      <c r="Z230" s="146" t="str">
        <f>OBRA!W228</f>
        <v>ING. SERGIO CABRERA</v>
      </c>
      <c r="AA230" s="146"/>
      <c r="AB230" s="148" t="str">
        <f t="shared" si="10"/>
        <v>ING. SERGIO CABRERA</v>
      </c>
      <c r="AC230" s="2" t="s">
        <v>2959</v>
      </c>
      <c r="AD230" s="146" t="s">
        <v>2959</v>
      </c>
      <c r="AE230" s="183" t="str">
        <f>OBRA!X228</f>
        <v>ING. ANGEL ALBERTO HERNANDEZ MORA</v>
      </c>
      <c r="AF230" s="552">
        <v>213.19</v>
      </c>
      <c r="AG230" s="2" t="s">
        <v>1451</v>
      </c>
      <c r="AH230" s="615">
        <f t="shared" si="9"/>
        <v>3160.1665650358837</v>
      </c>
      <c r="AI230" s="2">
        <v>350</v>
      </c>
      <c r="AJ230" s="156" t="s">
        <v>1444</v>
      </c>
      <c r="AK230" s="513"/>
      <c r="AL230" s="513"/>
      <c r="AM230" s="513"/>
      <c r="AN230" s="1216"/>
      <c r="AO230" s="867"/>
      <c r="AP230" s="867"/>
      <c r="AQ230" s="878"/>
      <c r="AR230" s="1234"/>
      <c r="AS230" s="877"/>
    </row>
    <row r="231" spans="1:45" ht="74.25" hidden="1" customHeight="1">
      <c r="A231" s="16">
        <f>OBRA!J229</f>
        <v>2017</v>
      </c>
      <c r="B231" s="783" t="s">
        <v>1563</v>
      </c>
      <c r="C231" s="783"/>
      <c r="D231" s="783"/>
      <c r="E231" s="2" t="str">
        <f>OBRA!M229</f>
        <v>RAMO 33</v>
      </c>
      <c r="F231" s="18" t="s">
        <v>1428</v>
      </c>
      <c r="G231" s="38" t="s">
        <v>2206</v>
      </c>
      <c r="H231" s="12" t="str">
        <f>OBRA!N229</f>
        <v>GMJ 004C OP/2017</v>
      </c>
      <c r="I231" s="2" t="str">
        <f>OBRA!O229</f>
        <v>ADJUDICACIÓN DIRECTA</v>
      </c>
      <c r="J231" s="3" t="str">
        <f>OBRA!P229</f>
        <v>REHABILITACIÓN DE RED DE AGUA POTABLE EN CALLE PROLONGACIÓN GONZÁLEZ ORTEGA, CABECERA MUNICIPAL DE JOCOTEPEC JALISCO</v>
      </c>
      <c r="K231" s="3" t="s">
        <v>1496</v>
      </c>
      <c r="L231" s="3"/>
      <c r="M231" s="3" t="s">
        <v>1921</v>
      </c>
      <c r="N231" s="3" t="s">
        <v>1975</v>
      </c>
      <c r="O231" s="466" t="s">
        <v>3486</v>
      </c>
      <c r="P231" s="79">
        <f>OBRA!R229</f>
        <v>475018.98</v>
      </c>
      <c r="Q231" s="1023">
        <f t="shared" si="11"/>
        <v>409499.12068965519</v>
      </c>
      <c r="R231" s="1023"/>
      <c r="S231" s="67">
        <f>OBRA!S229</f>
        <v>42857</v>
      </c>
      <c r="T231" s="1134">
        <f>OBRA!V229</f>
        <v>42857</v>
      </c>
      <c r="U231" s="5">
        <f>OBRA!T229</f>
        <v>42860</v>
      </c>
      <c r="V231" s="11">
        <f>OBRA!U229</f>
        <v>42885</v>
      </c>
      <c r="W231" s="223"/>
      <c r="X231" s="578">
        <f>OBRA!AS229+OBRA!AT229</f>
        <v>502258.4</v>
      </c>
      <c r="Y231" s="278"/>
      <c r="Z231" s="146" t="str">
        <f>OBRA!W229</f>
        <v>ING. SERGIO CABRERA</v>
      </c>
      <c r="AA231" s="146"/>
      <c r="AB231" s="148" t="str">
        <f t="shared" si="10"/>
        <v>ING. SERGIO CABRERA</v>
      </c>
      <c r="AC231" s="2" t="s">
        <v>2959</v>
      </c>
      <c r="AD231" s="146" t="s">
        <v>2959</v>
      </c>
      <c r="AE231" s="183" t="str">
        <f>OBRA!X229</f>
        <v>ING. ANGEL ALBERTO HERNANDEZ MORA</v>
      </c>
      <c r="AF231" s="552">
        <v>213.19</v>
      </c>
      <c r="AG231" s="2" t="s">
        <v>1451</v>
      </c>
      <c r="AH231" s="183">
        <f t="shared" si="9"/>
        <v>2355.919133167597</v>
      </c>
      <c r="AI231" s="2">
        <v>350</v>
      </c>
      <c r="AJ231" s="156" t="s">
        <v>1444</v>
      </c>
      <c r="AK231" s="513"/>
      <c r="AL231" s="513"/>
      <c r="AM231" s="513"/>
      <c r="AN231" s="1216"/>
      <c r="AO231" s="867"/>
      <c r="AP231" s="867"/>
      <c r="AQ231" s="878"/>
      <c r="AR231" s="1846"/>
      <c r="AS231" s="1236"/>
    </row>
    <row r="232" spans="1:45" ht="72" hidden="1" customHeight="1">
      <c r="A232" s="16">
        <f>OBRA!J230</f>
        <v>2017</v>
      </c>
      <c r="B232" s="783" t="s">
        <v>1563</v>
      </c>
      <c r="C232" s="783"/>
      <c r="D232" s="783"/>
      <c r="E232" s="2" t="str">
        <f>OBRA!M230</f>
        <v>RAMO 33</v>
      </c>
      <c r="F232" s="18" t="s">
        <v>1428</v>
      </c>
      <c r="G232" s="38" t="s">
        <v>2206</v>
      </c>
      <c r="H232" s="12" t="str">
        <f>OBRA!N230</f>
        <v>GMJ 005C OP/2017</v>
      </c>
      <c r="I232" s="2" t="str">
        <f>OBRA!O230</f>
        <v>ADJUDICACIÓN DIRECTA</v>
      </c>
      <c r="J232" s="3" t="str">
        <f>OBRA!P230</f>
        <v>CONSTRUCCIÓN DE HUELLAS DE CONCRETO EN CALLE PROLONGACIÓN GONZALEZ ORTEGA, CABECERA MUNICIPAL DE JOCOTEPEC JALISCO</v>
      </c>
      <c r="K232" s="3" t="s">
        <v>1923</v>
      </c>
      <c r="L232" s="3"/>
      <c r="M232" s="3" t="s">
        <v>1921</v>
      </c>
      <c r="N232" s="3" t="s">
        <v>1975</v>
      </c>
      <c r="O232" s="466" t="s">
        <v>3486</v>
      </c>
      <c r="P232" s="79">
        <f>OBRA!R230</f>
        <v>383419.34</v>
      </c>
      <c r="Q232" s="1023">
        <f t="shared" si="11"/>
        <v>330533.91379310348</v>
      </c>
      <c r="R232" s="1023"/>
      <c r="S232" s="67">
        <f>OBRA!S230</f>
        <v>42857</v>
      </c>
      <c r="T232" s="1134">
        <f>OBRA!V230</f>
        <v>42857</v>
      </c>
      <c r="U232" s="5">
        <f>OBRA!T230</f>
        <v>42861</v>
      </c>
      <c r="V232" s="11">
        <f>OBRA!U230</f>
        <v>42901</v>
      </c>
      <c r="W232" s="223"/>
      <c r="X232" s="578">
        <f>OBRA!AS230+OBRA!AT230</f>
        <v>380404.63</v>
      </c>
      <c r="Y232" s="278"/>
      <c r="Z232" s="146" t="str">
        <f>OBRA!W230</f>
        <v>ING. SERGIO CABRERA</v>
      </c>
      <c r="AA232" s="146"/>
      <c r="AB232" s="148" t="str">
        <f t="shared" si="10"/>
        <v>ING. SERGIO CABRERA</v>
      </c>
      <c r="AC232" s="2" t="s">
        <v>2959</v>
      </c>
      <c r="AD232" s="146" t="s">
        <v>2959</v>
      </c>
      <c r="AE232" s="183" t="str">
        <f>OBRA!X230</f>
        <v>ING. ANGEL ALBERTO HERNANDEZ MORA</v>
      </c>
      <c r="AF232" s="552">
        <v>262.08</v>
      </c>
      <c r="AG232" s="2" t="s">
        <v>1548</v>
      </c>
      <c r="AH232" s="615">
        <f t="shared" si="9"/>
        <v>1451.4828678266178</v>
      </c>
      <c r="AI232" s="2">
        <v>350</v>
      </c>
      <c r="AJ232" s="156" t="s">
        <v>1444</v>
      </c>
      <c r="AK232" s="513"/>
      <c r="AL232" s="513"/>
      <c r="AM232" s="513"/>
      <c r="AN232" s="1216"/>
      <c r="AO232" s="867"/>
      <c r="AP232" s="867"/>
      <c r="AQ232" s="878"/>
      <c r="AR232" s="878"/>
      <c r="AS232" s="867"/>
    </row>
    <row r="233" spans="1:45" ht="65.25" hidden="1" customHeight="1">
      <c r="A233" s="16">
        <f>OBRA!J231</f>
        <v>2017</v>
      </c>
      <c r="B233" s="783" t="s">
        <v>1563</v>
      </c>
      <c r="C233" s="783"/>
      <c r="D233" s="783"/>
      <c r="E233" s="2" t="str">
        <f>OBRA!M231</f>
        <v>RAMO 33</v>
      </c>
      <c r="F233" s="18" t="s">
        <v>1428</v>
      </c>
      <c r="G233" s="38" t="s">
        <v>2206</v>
      </c>
      <c r="H233" s="12" t="str">
        <f>OBRA!N231</f>
        <v>GMJ 006C OP/2017</v>
      </c>
      <c r="I233" s="2" t="str">
        <f>OBRA!O231</f>
        <v>ADJUDICACIÓN DIRECTA</v>
      </c>
      <c r="J233" s="3" t="str">
        <f>OBRA!P231</f>
        <v>CONSTRUCCIÓN DE RED DE DRENAJE DE POZO A CALLE JUAREZ</v>
      </c>
      <c r="K233" s="3" t="s">
        <v>1481</v>
      </c>
      <c r="L233" s="3"/>
      <c r="M233" s="3" t="s">
        <v>1861</v>
      </c>
      <c r="N233" s="3" t="s">
        <v>2538</v>
      </c>
      <c r="O233" s="466" t="s">
        <v>3486</v>
      </c>
      <c r="P233" s="79">
        <f>OBRA!R231</f>
        <v>167666.94</v>
      </c>
      <c r="Q233" s="1023">
        <f t="shared" si="11"/>
        <v>144540.46551724139</v>
      </c>
      <c r="R233" s="1023"/>
      <c r="S233" s="67">
        <f>OBRA!S231</f>
        <v>42858</v>
      </c>
      <c r="T233" s="1134">
        <f>OBRA!V231</f>
        <v>42857</v>
      </c>
      <c r="U233" s="5">
        <f>OBRA!T231</f>
        <v>42859</v>
      </c>
      <c r="V233" s="11">
        <f>OBRA!U231</f>
        <v>42875</v>
      </c>
      <c r="W233" s="223"/>
      <c r="X233" s="578">
        <f>OBRA!AS231+OBRA!AT231</f>
        <v>166947.16</v>
      </c>
      <c r="Y233" s="278"/>
      <c r="Z233" s="146" t="str">
        <f>OBRA!W231</f>
        <v xml:space="preserve">GRUPO DESARROLLADOR INMOBILIARIO CEMERAMA S.A. DE C.V. </v>
      </c>
      <c r="AA233" s="146"/>
      <c r="AB233" s="148" t="s">
        <v>1833</v>
      </c>
      <c r="AC233" s="146" t="s">
        <v>1834</v>
      </c>
      <c r="AD233" s="146"/>
      <c r="AE233" s="18" t="str">
        <f>OBRA!X231</f>
        <v>LIC. SALVADOR CONTRERAS OLGUÍN</v>
      </c>
      <c r="AF233" s="689">
        <v>133</v>
      </c>
      <c r="AG233" s="2" t="s">
        <v>1451</v>
      </c>
      <c r="AH233" s="615">
        <f t="shared" si="9"/>
        <v>1255.2418045112781</v>
      </c>
      <c r="AI233" s="2">
        <v>150</v>
      </c>
      <c r="AJ233" s="156" t="s">
        <v>1444</v>
      </c>
      <c r="AK233" s="513"/>
      <c r="AL233" s="513"/>
      <c r="AM233" s="513"/>
      <c r="AN233" s="1216"/>
      <c r="AO233" s="867"/>
      <c r="AP233" s="867"/>
      <c r="AQ233" s="867"/>
      <c r="AR233" s="867"/>
      <c r="AS233" s="867"/>
    </row>
    <row r="234" spans="1:45" ht="82.5" hidden="1" customHeight="1">
      <c r="A234" s="16">
        <f>OBRA!J232</f>
        <v>2017</v>
      </c>
      <c r="B234" s="783" t="s">
        <v>1563</v>
      </c>
      <c r="C234" s="783"/>
      <c r="D234" s="783"/>
      <c r="E234" s="2" t="str">
        <f>OBRA!M232</f>
        <v>RAMO 33</v>
      </c>
      <c r="F234" s="18" t="s">
        <v>1428</v>
      </c>
      <c r="G234" s="38" t="s">
        <v>2206</v>
      </c>
      <c r="H234" s="12" t="str">
        <f>OBRA!N232</f>
        <v>GMJ 007C OP/2017</v>
      </c>
      <c r="I234" s="2" t="str">
        <f>OBRA!O232</f>
        <v>ADJUDICACIÓN DIRECTA</v>
      </c>
      <c r="J234" s="3" t="str">
        <f>OBRA!P232</f>
        <v>CONSTRUCCIÓN DE LÍNEA ALIMENTADORA DE AGUA POTABLE DEL POZO A LA RED MUNICIPAL DE LA CALLE MORELOS DELEGACION DEL CHANTE</v>
      </c>
      <c r="K234" s="3" t="s">
        <v>1496</v>
      </c>
      <c r="L234" s="3"/>
      <c r="M234" s="3" t="s">
        <v>1861</v>
      </c>
      <c r="N234" s="3" t="s">
        <v>2538</v>
      </c>
      <c r="O234" s="466" t="s">
        <v>3486</v>
      </c>
      <c r="P234" s="79">
        <f>OBRA!R232</f>
        <v>336153.85</v>
      </c>
      <c r="Q234" s="1023">
        <f t="shared" si="11"/>
        <v>289787.80172413791</v>
      </c>
      <c r="R234" s="1023"/>
      <c r="S234" s="67">
        <f>OBRA!S232</f>
        <v>42857</v>
      </c>
      <c r="T234" s="1134">
        <f>OBRA!V232</f>
        <v>42857</v>
      </c>
      <c r="U234" s="5">
        <f>OBRA!T232</f>
        <v>42868</v>
      </c>
      <c r="V234" s="11">
        <f>OBRA!U232</f>
        <v>42899</v>
      </c>
      <c r="W234" s="223"/>
      <c r="X234" s="578">
        <f>OBRA!AS232+OBRA!AT232</f>
        <v>334711.14</v>
      </c>
      <c r="Y234" s="278"/>
      <c r="Z234" s="146" t="str">
        <f>OBRA!W232</f>
        <v xml:space="preserve">GRUPO DESARROLLADOR INMOBILIARIO CEMERAMA S.A. DE C.V. </v>
      </c>
      <c r="AA234" s="146"/>
      <c r="AB234" s="148" t="s">
        <v>1833</v>
      </c>
      <c r="AC234" s="146" t="s">
        <v>1834</v>
      </c>
      <c r="AD234" s="146"/>
      <c r="AE234" s="18" t="str">
        <f>OBRA!X232</f>
        <v>LIC. SALVADOR CONTRERAS OLGUÍN</v>
      </c>
      <c r="AF234" s="689">
        <v>235</v>
      </c>
      <c r="AG234" s="2" t="s">
        <v>1451</v>
      </c>
      <c r="AH234" s="615">
        <f t="shared" si="9"/>
        <v>1424.3027234042554</v>
      </c>
      <c r="AI234" s="2">
        <v>1500</v>
      </c>
      <c r="AJ234" s="156" t="s">
        <v>1452</v>
      </c>
      <c r="AK234" s="513"/>
      <c r="AL234" s="513"/>
      <c r="AM234" s="513"/>
      <c r="AN234" s="1216"/>
      <c r="AO234" s="867"/>
      <c r="AP234" s="867"/>
      <c r="AQ234" s="867"/>
      <c r="AR234" s="867"/>
      <c r="AS234" s="867"/>
    </row>
    <row r="235" spans="1:45" ht="69.75" hidden="1" customHeight="1">
      <c r="A235" s="16">
        <f>OBRA!J233</f>
        <v>2017</v>
      </c>
      <c r="B235" s="783" t="s">
        <v>1563</v>
      </c>
      <c r="C235" s="783"/>
      <c r="D235" s="783"/>
      <c r="E235" s="2" t="str">
        <f>OBRA!M233</f>
        <v>RAMO 33</v>
      </c>
      <c r="F235" s="18" t="s">
        <v>1428</v>
      </c>
      <c r="G235" s="38" t="s">
        <v>2206</v>
      </c>
      <c r="H235" s="12" t="str">
        <f>OBRA!N233</f>
        <v>GMJ 008C OP/2017</v>
      </c>
      <c r="I235" s="2" t="str">
        <f>OBRA!O233</f>
        <v>ADJUDICACIÓN DIRECTA</v>
      </c>
      <c r="J235" s="3" t="str">
        <f>OBRA!P233</f>
        <v>REHABILITACIÓN DE RED DE DRENAJE EN CALLE NIÑOS HEROES DE INVIERNO A PROLONGACIÓN ALDAMA, EN LA CABECERA MUNICIPAL DE JOCOTEPEC JALISCO</v>
      </c>
      <c r="K235" s="3" t="s">
        <v>1481</v>
      </c>
      <c r="L235" s="3"/>
      <c r="M235" s="3" t="s">
        <v>1924</v>
      </c>
      <c r="N235" s="3" t="s">
        <v>1975</v>
      </c>
      <c r="O235" s="466" t="s">
        <v>3486</v>
      </c>
      <c r="P235" s="79">
        <f>OBRA!R233</f>
        <v>177076.07</v>
      </c>
      <c r="Q235" s="1023">
        <f t="shared" si="11"/>
        <v>152651.78448275864</v>
      </c>
      <c r="R235" s="1023"/>
      <c r="S235" s="67">
        <f>OBRA!S233</f>
        <v>42857</v>
      </c>
      <c r="T235" s="1134">
        <f>OBRA!V233</f>
        <v>42857</v>
      </c>
      <c r="U235" s="5">
        <f>OBRA!T233</f>
        <v>42859</v>
      </c>
      <c r="V235" s="11">
        <f>OBRA!U233</f>
        <v>42890</v>
      </c>
      <c r="W235" s="223"/>
      <c r="X235" s="578">
        <f>OBRA!AS233+OBRA!AT233</f>
        <v>175527.04000000001</v>
      </c>
      <c r="Y235" s="278"/>
      <c r="Z235" s="146" t="str">
        <f>OBRA!W233</f>
        <v>CONSTRUCCIONES VIKBRAK, S.A. DE C.V.</v>
      </c>
      <c r="AA235" s="146"/>
      <c r="AB235" s="148" t="s">
        <v>1576</v>
      </c>
      <c r="AC235" s="146" t="s">
        <v>1577</v>
      </c>
      <c r="AD235" s="146"/>
      <c r="AE235" s="55" t="str">
        <f>OBRA!X233</f>
        <v>ARQ. JAIME CONDE GOMEZ</v>
      </c>
      <c r="AF235" s="19">
        <v>104.57</v>
      </c>
      <c r="AG235" s="2" t="s">
        <v>1451</v>
      </c>
      <c r="AH235" s="615">
        <f t="shared" si="9"/>
        <v>1678.5601989098213</v>
      </c>
      <c r="AI235" s="2">
        <v>50</v>
      </c>
      <c r="AJ235" s="156" t="s">
        <v>1444</v>
      </c>
      <c r="AK235" s="513"/>
      <c r="AL235" s="513"/>
      <c r="AM235" s="513"/>
      <c r="AN235" s="1216"/>
      <c r="AO235" s="867"/>
      <c r="AP235" s="867"/>
      <c r="AQ235" s="881"/>
      <c r="AR235" s="881"/>
      <c r="AS235" s="529"/>
    </row>
    <row r="236" spans="1:45" ht="62.25" hidden="1" customHeight="1">
      <c r="A236" s="16">
        <f>OBRA!J234</f>
        <v>2017</v>
      </c>
      <c r="B236" s="783" t="s">
        <v>1563</v>
      </c>
      <c r="C236" s="783"/>
      <c r="D236" s="783"/>
      <c r="E236" s="2" t="str">
        <f>OBRA!M234</f>
        <v>RAMO 33</v>
      </c>
      <c r="F236" s="18" t="s">
        <v>1428</v>
      </c>
      <c r="G236" s="38" t="s">
        <v>2206</v>
      </c>
      <c r="H236" s="12" t="str">
        <f>OBRA!N234</f>
        <v>GMJ 009C OP/2017</v>
      </c>
      <c r="I236" s="2" t="str">
        <f>OBRA!O234</f>
        <v>ADJUDICACIÓN DIRECTA</v>
      </c>
      <c r="J236" s="3" t="str">
        <f>OBRA!P234</f>
        <v>REHABILITACIÓN DE RED DE AGUA POTABLE EN CALLE NIÑOS HEROES, DE INVIERNO A PROLONGACIÓN ALDAMA, EN LA CABECERA MUNICIPAL DE JOCOTEPEC, JALISCO</v>
      </c>
      <c r="K236" s="3" t="s">
        <v>1496</v>
      </c>
      <c r="L236" s="3"/>
      <c r="M236" s="3" t="s">
        <v>1924</v>
      </c>
      <c r="N236" s="3" t="s">
        <v>1975</v>
      </c>
      <c r="O236" s="466" t="s">
        <v>3486</v>
      </c>
      <c r="P236" s="79">
        <f>OBRA!R234</f>
        <v>113674.93</v>
      </c>
      <c r="Q236" s="1023">
        <f t="shared" si="11"/>
        <v>97995.629310344826</v>
      </c>
      <c r="R236" s="1023"/>
      <c r="S236" s="67">
        <f>OBRA!S234</f>
        <v>42858</v>
      </c>
      <c r="T236" s="1134">
        <f>OBRA!V234</f>
        <v>42857</v>
      </c>
      <c r="U236" s="5">
        <f>OBRA!T234</f>
        <v>42870</v>
      </c>
      <c r="V236" s="11">
        <f>OBRA!U234</f>
        <v>42886</v>
      </c>
      <c r="W236" s="223"/>
      <c r="X236" s="578">
        <f>OBRA!AS234+OBRA!AT234</f>
        <v>113674.77</v>
      </c>
      <c r="Y236" s="278"/>
      <c r="Z236" s="146" t="str">
        <f>OBRA!W234</f>
        <v>CONSTRUCCIONES VIKBRAK, S.A. DE C.V.</v>
      </c>
      <c r="AA236" s="146"/>
      <c r="AB236" s="148" t="s">
        <v>1576</v>
      </c>
      <c r="AC236" s="146" t="s">
        <v>1577</v>
      </c>
      <c r="AD236" s="146"/>
      <c r="AE236" s="55" t="str">
        <f>OBRA!X234</f>
        <v>ARQ. JAIME CONDE GOMEZ</v>
      </c>
      <c r="AF236" s="689">
        <v>103</v>
      </c>
      <c r="AG236" s="2" t="s">
        <v>1451</v>
      </c>
      <c r="AH236" s="615">
        <f t="shared" si="9"/>
        <v>1103.6385436893204</v>
      </c>
      <c r="AI236" s="2">
        <v>50</v>
      </c>
      <c r="AJ236" s="156" t="s">
        <v>1444</v>
      </c>
      <c r="AK236" s="513"/>
      <c r="AL236" s="513"/>
      <c r="AM236" s="513"/>
      <c r="AN236" s="1216"/>
      <c r="AO236" s="867"/>
      <c r="AP236" s="867"/>
      <c r="AQ236" s="867"/>
      <c r="AR236" s="867"/>
      <c r="AS236" s="529"/>
    </row>
    <row r="237" spans="1:45" ht="58.5" hidden="1" customHeight="1">
      <c r="A237" s="16">
        <f>OBRA!J235</f>
        <v>2017</v>
      </c>
      <c r="B237" s="783" t="s">
        <v>1563</v>
      </c>
      <c r="C237" s="783"/>
      <c r="D237" s="783"/>
      <c r="E237" s="2" t="str">
        <f>OBRA!M235</f>
        <v>RAMO 33</v>
      </c>
      <c r="F237" s="18" t="s">
        <v>1428</v>
      </c>
      <c r="G237" s="38" t="s">
        <v>2206</v>
      </c>
      <c r="H237" s="12" t="str">
        <f>OBRA!N235</f>
        <v>GMJ 010C OP/2017</v>
      </c>
      <c r="I237" s="2" t="str">
        <f>OBRA!O235</f>
        <v>ADJUDICACIÓN DIRECTA</v>
      </c>
      <c r="J237" s="3" t="str">
        <f>OBRA!P235</f>
        <v>REHABILITACIÓN DE RED DE DRENAJE EN CALLE INVIERNO DE NIÑOS HEROES A ZARAGOZA, EN LA CABECERA MUNICIPAL</v>
      </c>
      <c r="K237" s="3" t="s">
        <v>1481</v>
      </c>
      <c r="L237" s="3"/>
      <c r="M237" s="3" t="s">
        <v>1925</v>
      </c>
      <c r="N237" s="3" t="s">
        <v>1975</v>
      </c>
      <c r="O237" s="466" t="s">
        <v>3486</v>
      </c>
      <c r="P237" s="79">
        <f>OBRA!R235</f>
        <v>228407.58</v>
      </c>
      <c r="Q237" s="1023">
        <f t="shared" si="11"/>
        <v>196903.08620689655</v>
      </c>
      <c r="R237" s="1023"/>
      <c r="S237" s="67">
        <f>OBRA!S235</f>
        <v>42857</v>
      </c>
      <c r="T237" s="1134">
        <f>OBRA!V235</f>
        <v>42857</v>
      </c>
      <c r="U237" s="5">
        <f>OBRA!T235</f>
        <v>42859</v>
      </c>
      <c r="V237" s="11">
        <f>OBRA!U235</f>
        <v>42890</v>
      </c>
      <c r="W237" s="223"/>
      <c r="X237" s="578">
        <f>OBRA!AS235+OBRA!AT235</f>
        <v>228406.51</v>
      </c>
      <c r="Y237" s="278"/>
      <c r="Z237" s="146" t="str">
        <f>OBRA!W235</f>
        <v>CONSTRUCCIONES VIKBRAK, S.A. DE C.V.</v>
      </c>
      <c r="AA237" s="146"/>
      <c r="AB237" s="148" t="s">
        <v>1576</v>
      </c>
      <c r="AC237" s="146" t="s">
        <v>1577</v>
      </c>
      <c r="AD237" s="146"/>
      <c r="AE237" s="55" t="str">
        <f>OBRA!X235</f>
        <v>ARQ. JAIME CONDE GOMEZ</v>
      </c>
      <c r="AF237" s="689">
        <v>130.72999999999999</v>
      </c>
      <c r="AG237" s="2" t="s">
        <v>1451</v>
      </c>
      <c r="AH237" s="615">
        <f t="shared" si="9"/>
        <v>1747.162166296948</v>
      </c>
      <c r="AI237" s="2">
        <v>50</v>
      </c>
      <c r="AJ237" s="156" t="s">
        <v>1444</v>
      </c>
      <c r="AK237" s="513"/>
      <c r="AL237" s="513"/>
      <c r="AM237" s="513"/>
      <c r="AN237" s="1216"/>
      <c r="AO237" s="867"/>
      <c r="AP237" s="867"/>
      <c r="AQ237" s="529"/>
      <c r="AR237" s="529"/>
      <c r="AS237" s="529"/>
    </row>
    <row r="238" spans="1:45" ht="60.75" hidden="1" customHeight="1">
      <c r="A238" s="16">
        <f>OBRA!J236</f>
        <v>2017</v>
      </c>
      <c r="B238" s="783" t="s">
        <v>1563</v>
      </c>
      <c r="C238" s="783"/>
      <c r="D238" s="783"/>
      <c r="E238" s="2" t="str">
        <f>OBRA!M236</f>
        <v>RAMO 33</v>
      </c>
      <c r="F238" s="18" t="s">
        <v>1428</v>
      </c>
      <c r="G238" s="38" t="s">
        <v>2206</v>
      </c>
      <c r="H238" s="12" t="str">
        <f>OBRA!N236</f>
        <v>GMJ 011C OP/2017</v>
      </c>
      <c r="I238" s="2" t="str">
        <f>OBRA!O236</f>
        <v>ADJUDICACIÓN DIRECTA</v>
      </c>
      <c r="J238" s="3" t="str">
        <f>OBRA!P236</f>
        <v>REHABILITACIÓN DE RED DE AGUA POTABLE EN CALLE INVIERNO, DE NIÑOS HEROES A ZARAGOZA, EN LA CABECERA MUNICIPAL DE JOCOTEPEC, JALISCO</v>
      </c>
      <c r="K238" s="3" t="s">
        <v>1496</v>
      </c>
      <c r="L238" s="3"/>
      <c r="M238" s="3" t="s">
        <v>1925</v>
      </c>
      <c r="N238" s="3" t="s">
        <v>1975</v>
      </c>
      <c r="O238" s="466" t="s">
        <v>3486</v>
      </c>
      <c r="P238" s="79">
        <f>OBRA!R236</f>
        <v>147033.21</v>
      </c>
      <c r="Q238" s="1023">
        <f t="shared" si="11"/>
        <v>126752.76724137932</v>
      </c>
      <c r="R238" s="1023"/>
      <c r="S238" s="67">
        <f>OBRA!S236</f>
        <v>42858</v>
      </c>
      <c r="T238" s="1134">
        <f>OBRA!V236</f>
        <v>42857</v>
      </c>
      <c r="U238" s="5">
        <f>OBRA!T236</f>
        <v>42870</v>
      </c>
      <c r="V238" s="11">
        <f>OBRA!U236</f>
        <v>42886</v>
      </c>
      <c r="W238" s="223"/>
      <c r="X238" s="578">
        <f>OBRA!AS236+OBRA!AT236</f>
        <v>146402.1</v>
      </c>
      <c r="Y238" s="278"/>
      <c r="Z238" s="146" t="str">
        <f>OBRA!W236</f>
        <v>CONSTRUCCIONES VIKBRAK, S.A. DE C.V.</v>
      </c>
      <c r="AA238" s="146"/>
      <c r="AB238" s="148" t="s">
        <v>1576</v>
      </c>
      <c r="AC238" s="146" t="s">
        <v>1577</v>
      </c>
      <c r="AD238" s="146"/>
      <c r="AE238" s="183" t="str">
        <f>OBRA!X236</f>
        <v>ARQ. JAIME CONDE GOMEZ</v>
      </c>
      <c r="AF238" s="552">
        <v>139</v>
      </c>
      <c r="AG238" s="2" t="s">
        <v>1451</v>
      </c>
      <c r="AH238" s="615">
        <f t="shared" si="9"/>
        <v>1053.2525179856116</v>
      </c>
      <c r="AI238" s="2">
        <v>50</v>
      </c>
      <c r="AJ238" s="156" t="s">
        <v>1444</v>
      </c>
      <c r="AK238" s="513"/>
      <c r="AL238" s="513"/>
      <c r="AM238" s="513"/>
      <c r="AN238" s="1216"/>
      <c r="AO238" s="867"/>
      <c r="AP238" s="867"/>
      <c r="AQ238" s="867"/>
      <c r="AR238" s="867"/>
      <c r="AS238" s="529"/>
    </row>
    <row r="239" spans="1:45" ht="74.25" hidden="1" customHeight="1">
      <c r="A239" s="16">
        <f>OBRA!J237</f>
        <v>2017</v>
      </c>
      <c r="B239" s="783" t="s">
        <v>1563</v>
      </c>
      <c r="C239" s="783"/>
      <c r="D239" s="783"/>
      <c r="E239" s="2" t="str">
        <f>OBRA!M237</f>
        <v>RAMO 33</v>
      </c>
      <c r="F239" s="18" t="s">
        <v>1428</v>
      </c>
      <c r="G239" s="38" t="s">
        <v>2206</v>
      </c>
      <c r="H239" s="12" t="str">
        <f>OBRA!N237</f>
        <v>GMJ 012C OP/2017</v>
      </c>
      <c r="I239" s="2" t="str">
        <f>OBRA!O237</f>
        <v>ADJUDICACIÓN DIRECTA</v>
      </c>
      <c r="J239" s="3" t="str">
        <f>OBRA!P237</f>
        <v>REHABILITACIÓN DE RED DE DRENAJE EN CALLE ZARAGOZA DE INVIERNO A OTOÑO, EN LA CABECERA MUNICIPAL DE JOCOTEPEC JALISCO</v>
      </c>
      <c r="K239" s="3" t="s">
        <v>1481</v>
      </c>
      <c r="L239" s="3"/>
      <c r="M239" s="3" t="s">
        <v>1896</v>
      </c>
      <c r="N239" s="3" t="s">
        <v>1975</v>
      </c>
      <c r="O239" s="466" t="s">
        <v>3486</v>
      </c>
      <c r="P239" s="79">
        <f>OBRA!R237</f>
        <v>81517.39</v>
      </c>
      <c r="Q239" s="1023">
        <f t="shared" si="11"/>
        <v>70273.612068965522</v>
      </c>
      <c r="R239" s="1023"/>
      <c r="S239" s="67">
        <f>OBRA!S237</f>
        <v>42858</v>
      </c>
      <c r="T239" s="1134">
        <f>OBRA!V237</f>
        <v>42857</v>
      </c>
      <c r="U239" s="5">
        <f>OBRA!T237</f>
        <v>42859</v>
      </c>
      <c r="V239" s="11">
        <f>OBRA!U237</f>
        <v>42890</v>
      </c>
      <c r="W239" s="223"/>
      <c r="X239" s="578">
        <f>OBRA!AS237+OBRA!AT237</f>
        <v>81517.22</v>
      </c>
      <c r="Y239" s="278"/>
      <c r="Z239" s="146" t="str">
        <f>OBRA!W237</f>
        <v>CONSTRUCCIONES VIKBRAK, S.A. DE C.V.</v>
      </c>
      <c r="AA239" s="146"/>
      <c r="AB239" s="148" t="s">
        <v>1576</v>
      </c>
      <c r="AC239" s="146" t="s">
        <v>1577</v>
      </c>
      <c r="AD239" s="146"/>
      <c r="AE239" s="183" t="str">
        <f>OBRA!X237</f>
        <v>ARQ. JAIME CONDE GOMEZ</v>
      </c>
      <c r="AF239" s="552">
        <v>57.82</v>
      </c>
      <c r="AG239" s="2" t="s">
        <v>1451</v>
      </c>
      <c r="AH239" s="615">
        <f t="shared" si="9"/>
        <v>1409.8446904185403</v>
      </c>
      <c r="AI239" s="2">
        <v>100</v>
      </c>
      <c r="AJ239" s="156" t="s">
        <v>1444</v>
      </c>
      <c r="AK239" s="513"/>
      <c r="AL239" s="513"/>
      <c r="AM239" s="513"/>
      <c r="AN239" s="1216"/>
      <c r="AO239" s="867"/>
      <c r="AP239" s="867"/>
      <c r="AQ239" s="867"/>
      <c r="AR239" s="867"/>
      <c r="AS239" s="529"/>
    </row>
    <row r="240" spans="1:45" ht="70.5" hidden="1" customHeight="1">
      <c r="A240" s="16">
        <f>OBRA!J238</f>
        <v>2017</v>
      </c>
      <c r="B240" s="783" t="s">
        <v>1563</v>
      </c>
      <c r="C240" s="783"/>
      <c r="D240" s="783"/>
      <c r="E240" s="2" t="str">
        <f>OBRA!M238</f>
        <v>RAMO 33</v>
      </c>
      <c r="F240" s="18" t="s">
        <v>1428</v>
      </c>
      <c r="G240" s="38" t="s">
        <v>2206</v>
      </c>
      <c r="H240" s="12" t="str">
        <f>OBRA!N238</f>
        <v>GMJ 013C OP/2017</v>
      </c>
      <c r="I240" s="2" t="str">
        <f>OBRA!O238</f>
        <v>ADJUDICACIÓN DIRECTA</v>
      </c>
      <c r="J240" s="3" t="str">
        <f>OBRA!P238</f>
        <v>REHABILITACIÓN DE RED DE AGUA POTABLE EN CALLE ZARAGOZA DE INVIERNO A OTOÑO, EN LA CABECERA MUNICIPAL DE JOCOTEPEC, JALISCO</v>
      </c>
      <c r="K240" s="3" t="s">
        <v>1496</v>
      </c>
      <c r="L240" s="3"/>
      <c r="M240" s="3" t="s">
        <v>1896</v>
      </c>
      <c r="N240" s="3" t="s">
        <v>1975</v>
      </c>
      <c r="O240" s="466" t="s">
        <v>3486</v>
      </c>
      <c r="P240" s="79">
        <f>OBRA!R238</f>
        <v>52148.39</v>
      </c>
      <c r="Q240" s="1023">
        <f t="shared" si="11"/>
        <v>44955.508620689659</v>
      </c>
      <c r="R240" s="1023"/>
      <c r="S240" s="67">
        <f>OBRA!S238</f>
        <v>42858</v>
      </c>
      <c r="T240" s="1134">
        <f>OBRA!V238</f>
        <v>42857</v>
      </c>
      <c r="U240" s="5">
        <f>OBRA!T238</f>
        <v>42870</v>
      </c>
      <c r="V240" s="11">
        <f>OBRA!U238</f>
        <v>42886</v>
      </c>
      <c r="W240" s="223"/>
      <c r="X240" s="578">
        <f>OBRA!AS238+OBRA!AT238</f>
        <v>53036.21</v>
      </c>
      <c r="Y240" s="278"/>
      <c r="Z240" s="146" t="str">
        <f>OBRA!W238</f>
        <v>CONSTRUCCIONES VIKBRAK, S.A. DE C.V.</v>
      </c>
      <c r="AA240" s="146"/>
      <c r="AB240" s="148" t="s">
        <v>1576</v>
      </c>
      <c r="AC240" s="146" t="s">
        <v>1577</v>
      </c>
      <c r="AD240" s="146"/>
      <c r="AE240" s="183" t="str">
        <f>OBRA!X238</f>
        <v>ARQ. JAIME CONDE GOMEZ</v>
      </c>
      <c r="AF240" s="552">
        <v>50</v>
      </c>
      <c r="AG240" s="2" t="s">
        <v>1451</v>
      </c>
      <c r="AH240" s="615">
        <f t="shared" si="9"/>
        <v>1060.7241999999999</v>
      </c>
      <c r="AI240" s="2">
        <v>100</v>
      </c>
      <c r="AJ240" s="156" t="s">
        <v>1444</v>
      </c>
      <c r="AK240" s="513"/>
      <c r="AL240" s="513"/>
      <c r="AM240" s="513"/>
      <c r="AN240" s="1216"/>
      <c r="AO240" s="867"/>
      <c r="AP240" s="867"/>
      <c r="AQ240" s="867"/>
      <c r="AR240" s="867"/>
      <c r="AS240" s="529"/>
    </row>
    <row r="241" spans="1:45" ht="63.75" hidden="1" customHeight="1">
      <c r="A241" s="16">
        <f>OBRA!J239</f>
        <v>2017</v>
      </c>
      <c r="B241" s="783" t="s">
        <v>1563</v>
      </c>
      <c r="C241" s="783"/>
      <c r="D241" s="783"/>
      <c r="E241" s="2" t="str">
        <f>OBRA!M239</f>
        <v>RAMO 33</v>
      </c>
      <c r="F241" s="18" t="s">
        <v>1428</v>
      </c>
      <c r="G241" s="38" t="s">
        <v>2206</v>
      </c>
      <c r="H241" s="12" t="str">
        <f>OBRA!N239</f>
        <v>GMJ 014C OP/2017</v>
      </c>
      <c r="I241" s="2" t="str">
        <f>OBRA!O239</f>
        <v>ADJUDICACIÓN DIRECTA</v>
      </c>
      <c r="J241" s="3" t="str">
        <f>OBRA!P239</f>
        <v>REHABILITACIÓN DE RED DE DRENAJE EN CALLE VENUSTIANO CARRANZA DE PRIMAVERA A ITURBIDE, EN LA CABECERA MUNICIPAL DE JOCOTEPEC, JALISCO</v>
      </c>
      <c r="K241" s="3" t="s">
        <v>1481</v>
      </c>
      <c r="L241" s="3"/>
      <c r="M241" s="3" t="s">
        <v>1926</v>
      </c>
      <c r="N241" s="3" t="s">
        <v>1975</v>
      </c>
      <c r="O241" s="466" t="s">
        <v>3486</v>
      </c>
      <c r="P241" s="79">
        <f>OBRA!R239</f>
        <v>206557.32</v>
      </c>
      <c r="Q241" s="1023">
        <f t="shared" si="11"/>
        <v>178066.6551724138</v>
      </c>
      <c r="R241" s="1023"/>
      <c r="S241" s="67">
        <f>OBRA!S239</f>
        <v>42888</v>
      </c>
      <c r="T241" s="1134">
        <f>OBRA!V239</f>
        <v>42887</v>
      </c>
      <c r="U241" s="5">
        <f>OBRA!T239</f>
        <v>42888</v>
      </c>
      <c r="V241" s="11">
        <f>OBRA!U239</f>
        <v>42902</v>
      </c>
      <c r="W241" s="223"/>
      <c r="X241" s="578">
        <f>OBRA!AS239+OBRA!AT239</f>
        <v>187754.15</v>
      </c>
      <c r="Y241" s="278"/>
      <c r="Z241" s="146" t="str">
        <f>OBRA!W239</f>
        <v>SERVICIOS ARQUITECTÓNICOS MOAPAL S.A. DE C.V.</v>
      </c>
      <c r="AA241" s="146"/>
      <c r="AB241" s="148" t="s">
        <v>1927</v>
      </c>
      <c r="AC241" s="146" t="s">
        <v>1928</v>
      </c>
      <c r="AD241" s="146"/>
      <c r="AE241" s="183" t="str">
        <f>OBRA!X239</f>
        <v>ING. J. GUADALUPE IBARRA RAMIREZ</v>
      </c>
      <c r="AF241" s="552">
        <v>109.58</v>
      </c>
      <c r="AG241" s="2" t="s">
        <v>1451</v>
      </c>
      <c r="AH241" s="615">
        <f t="shared" si="9"/>
        <v>1713.3979740828618</v>
      </c>
      <c r="AI241" s="2">
        <v>100</v>
      </c>
      <c r="AJ241" s="156" t="s">
        <v>1444</v>
      </c>
      <c r="AK241" s="513"/>
      <c r="AL241" s="513"/>
      <c r="AM241" s="513"/>
      <c r="AN241" s="1216"/>
      <c r="AO241" s="867"/>
      <c r="AP241" s="867"/>
      <c r="AQ241" s="529"/>
      <c r="AR241" s="529"/>
      <c r="AS241" s="529"/>
    </row>
    <row r="242" spans="1:45" ht="64.5" hidden="1" customHeight="1">
      <c r="A242" s="16">
        <f>OBRA!J240</f>
        <v>2017</v>
      </c>
      <c r="B242" s="783" t="s">
        <v>1563</v>
      </c>
      <c r="C242" s="783"/>
      <c r="D242" s="783"/>
      <c r="E242" s="2" t="str">
        <f>OBRA!M240</f>
        <v>RAMO 33</v>
      </c>
      <c r="F242" s="18" t="s">
        <v>1428</v>
      </c>
      <c r="G242" s="38" t="s">
        <v>2206</v>
      </c>
      <c r="H242" s="12" t="str">
        <f>OBRA!N240</f>
        <v>GMJ 015C OP/2017</v>
      </c>
      <c r="I242" s="2" t="str">
        <f>OBRA!O240</f>
        <v>ADJUDICACIÓN DIRECTA</v>
      </c>
      <c r="J242" s="3" t="str">
        <f>OBRA!P240</f>
        <v>REHABILITACIÓN DE RED DE AGUA POTABLE EN CALLE VENUSTIANO CARRANZA DE PRIMAVERA A ITURBIDE, EN LA CABECERA MUNICIPAL DE JOCOTEPEC, JALISCO</v>
      </c>
      <c r="K242" s="3" t="s">
        <v>1496</v>
      </c>
      <c r="L242" s="3"/>
      <c r="M242" s="3" t="s">
        <v>1926</v>
      </c>
      <c r="N242" s="3" t="s">
        <v>1975</v>
      </c>
      <c r="O242" s="466" t="s">
        <v>3486</v>
      </c>
      <c r="P242" s="79">
        <f>OBRA!R240</f>
        <v>125546.81</v>
      </c>
      <c r="Q242" s="1023">
        <f t="shared" si="11"/>
        <v>108230.00862068967</v>
      </c>
      <c r="R242" s="1023"/>
      <c r="S242" s="67">
        <f>OBRA!S240</f>
        <v>42887</v>
      </c>
      <c r="T242" s="1134">
        <f>OBRA!V240</f>
        <v>42887</v>
      </c>
      <c r="U242" s="5">
        <f>OBRA!T240</f>
        <v>42888</v>
      </c>
      <c r="V242" s="11">
        <f>OBRA!U240</f>
        <v>42902</v>
      </c>
      <c r="W242" s="223"/>
      <c r="X242" s="578">
        <f>OBRA!AS240+OBRA!AT240</f>
        <v>125655.98</v>
      </c>
      <c r="Y242" s="278"/>
      <c r="Z242" s="146" t="str">
        <f>OBRA!W240</f>
        <v>SERVICIOS ARQUITECTÓNICOS MOAPAL S.A. DE C.V.</v>
      </c>
      <c r="AA242" s="146"/>
      <c r="AB242" s="148" t="s">
        <v>1927</v>
      </c>
      <c r="AC242" s="146" t="s">
        <v>1928</v>
      </c>
      <c r="AD242" s="146"/>
      <c r="AE242" s="183" t="str">
        <f>OBRA!X240</f>
        <v>ING. J. GUADALUPE IBARRA RAMIREZ</v>
      </c>
      <c r="AF242" s="552">
        <v>106.14</v>
      </c>
      <c r="AG242" s="2" t="s">
        <v>1451</v>
      </c>
      <c r="AH242" s="615">
        <f t="shared" si="9"/>
        <v>1183.8701714716412</v>
      </c>
      <c r="AI242" s="2">
        <v>100</v>
      </c>
      <c r="AJ242" s="156" t="s">
        <v>1444</v>
      </c>
      <c r="AK242" s="513"/>
      <c r="AL242" s="513"/>
      <c r="AM242" s="513"/>
      <c r="AN242" s="1216"/>
      <c r="AO242" s="867"/>
      <c r="AP242" s="867"/>
      <c r="AQ242" s="529"/>
      <c r="AR242" s="529"/>
      <c r="AS242" s="529"/>
    </row>
    <row r="243" spans="1:45" ht="135" hidden="1" customHeight="1">
      <c r="A243" s="16">
        <f>OBRA!J241</f>
        <v>2017</v>
      </c>
      <c r="B243" s="783" t="s">
        <v>1563</v>
      </c>
      <c r="C243" s="783"/>
      <c r="D243" s="783"/>
      <c r="E243" s="2" t="str">
        <f>OBRA!M241</f>
        <v>CUENTA CORRIENTE</v>
      </c>
      <c r="F243" s="18" t="s">
        <v>1428</v>
      </c>
      <c r="G243" s="38" t="s">
        <v>2206</v>
      </c>
      <c r="H243" s="12" t="str">
        <f>OBRA!N241</f>
        <v>GMJ 016C OP/2017</v>
      </c>
      <c r="I243" s="2" t="str">
        <f>OBRA!O241</f>
        <v>ADJUDICACIÓN DIRECTA</v>
      </c>
      <c r="J243" s="3" t="str">
        <f>OBRA!P241</f>
        <v>CONSTRUCCIÓN DE LA AMPLIACIÓN DEL PANTEON MUNICIPAL, PRIMERA ETAPA EN LA CABECERA MUNICIPAL DE JOCOTEPEC, JALISCO</v>
      </c>
      <c r="K243" s="3" t="s">
        <v>1929</v>
      </c>
      <c r="L243" s="3"/>
      <c r="M243" s="3" t="s">
        <v>1930</v>
      </c>
      <c r="N243" s="3" t="s">
        <v>1975</v>
      </c>
      <c r="O243" s="466" t="s">
        <v>3486</v>
      </c>
      <c r="P243" s="79">
        <f>OBRA!R241</f>
        <v>1570967.83</v>
      </c>
      <c r="Q243" s="1023">
        <f t="shared" si="11"/>
        <v>1354282.6120689656</v>
      </c>
      <c r="R243" s="1023"/>
      <c r="S243" s="67">
        <f>OBRA!S241</f>
        <v>42893</v>
      </c>
      <c r="T243" s="1134">
        <f>OBRA!V241</f>
        <v>42893</v>
      </c>
      <c r="U243" s="5">
        <f>OBRA!T241</f>
        <v>42905</v>
      </c>
      <c r="V243" s="11">
        <f>OBRA!U241</f>
        <v>43027</v>
      </c>
      <c r="W243" s="223"/>
      <c r="X243" s="578">
        <f>OBRA!AS241+OBRA!AT241</f>
        <v>1577830.51</v>
      </c>
      <c r="Y243" s="278"/>
      <c r="Z243" s="146" t="str">
        <f>OBRA!W241</f>
        <v>ARGUELLES ARQUITECTOS S.A. DE C.V.</v>
      </c>
      <c r="AA243" s="146"/>
      <c r="AB243" s="148" t="s">
        <v>1571</v>
      </c>
      <c r="AC243" s="146" t="s">
        <v>1572</v>
      </c>
      <c r="AD243" s="146"/>
      <c r="AE243" s="183" t="str">
        <f>OBRA!X241</f>
        <v>ARQ. JAIME CONDE GOMEZ</v>
      </c>
      <c r="AF243" s="552">
        <f>1748/2</f>
        <v>874</v>
      </c>
      <c r="AG243" s="2" t="s">
        <v>1548</v>
      </c>
      <c r="AH243" s="615">
        <f t="shared" si="9"/>
        <v>1805.298066361556</v>
      </c>
      <c r="AI243" s="2">
        <v>21500</v>
      </c>
      <c r="AJ243" s="156" t="s">
        <v>1452</v>
      </c>
      <c r="AK243" s="513"/>
      <c r="AL243" s="513"/>
      <c r="AM243" s="513"/>
      <c r="AN243" s="1216"/>
      <c r="AO243" s="867"/>
      <c r="AP243" s="867"/>
      <c r="AQ243" s="881"/>
      <c r="AR243" s="881"/>
      <c r="AS243" s="529"/>
    </row>
    <row r="244" spans="1:45" ht="61.5" hidden="1" customHeight="1">
      <c r="A244" s="16">
        <f>OBRA!J242</f>
        <v>2017</v>
      </c>
      <c r="B244" s="783" t="s">
        <v>1563</v>
      </c>
      <c r="C244" s="783"/>
      <c r="D244" s="783"/>
      <c r="E244" s="2" t="str">
        <f>OBRA!M242</f>
        <v>RAMO 33</v>
      </c>
      <c r="F244" s="18" t="s">
        <v>1428</v>
      </c>
      <c r="G244" s="38" t="s">
        <v>2206</v>
      </c>
      <c r="H244" s="12" t="str">
        <f>OBRA!N242</f>
        <v>GMJ 017C OP/2017</v>
      </c>
      <c r="I244" s="2" t="str">
        <f>OBRA!O242</f>
        <v>ADJUDICACIÓN DIRECTA</v>
      </c>
      <c r="J244" s="3" t="str">
        <f>OBRA!P242</f>
        <v>REHABILITACIÓN DE RED DE DRENAJE EN CALLE VERNANO DE ANDADOR JESÚS MORALES A 21 DE MARZO, EN LA CABECERA MUNICIPAL DE JOCOTEPEC, JALISCO</v>
      </c>
      <c r="K244" s="3" t="s">
        <v>1481</v>
      </c>
      <c r="L244" s="3"/>
      <c r="M244" s="3" t="s">
        <v>1499</v>
      </c>
      <c r="N244" s="3" t="s">
        <v>1975</v>
      </c>
      <c r="O244" s="466" t="s">
        <v>3486</v>
      </c>
      <c r="P244" s="79">
        <f>OBRA!R242</f>
        <v>143878.99</v>
      </c>
      <c r="Q244" s="1023">
        <f t="shared" si="11"/>
        <v>124033.61206896552</v>
      </c>
      <c r="R244" s="1023"/>
      <c r="S244" s="67">
        <f>OBRA!S242</f>
        <v>42902</v>
      </c>
      <c r="T244" s="1134">
        <f>OBRA!V242</f>
        <v>42902</v>
      </c>
      <c r="U244" s="5">
        <f>OBRA!T242</f>
        <v>42907</v>
      </c>
      <c r="V244" s="11">
        <f>OBRA!U242</f>
        <v>42968</v>
      </c>
      <c r="W244" s="223"/>
      <c r="X244" s="578">
        <f>OBRA!AS242+OBRA!AT242</f>
        <v>157116</v>
      </c>
      <c r="Y244" s="278"/>
      <c r="Z244" s="146" t="str">
        <f>OBRA!W242</f>
        <v>ING. SERGIO CABRERA</v>
      </c>
      <c r="AA244" s="146"/>
      <c r="AB244" s="148" t="str">
        <f t="shared" si="10"/>
        <v>ING. SERGIO CABRERA</v>
      </c>
      <c r="AC244" s="2" t="s">
        <v>2959</v>
      </c>
      <c r="AD244" s="146" t="s">
        <v>2959</v>
      </c>
      <c r="AE244" s="183" t="str">
        <f>OBRA!X242</f>
        <v>ING. J. GUADALUPE IBARRA RAMIREZ</v>
      </c>
      <c r="AF244" s="552">
        <v>88.22</v>
      </c>
      <c r="AG244" s="2" t="s">
        <v>1451</v>
      </c>
      <c r="AH244" s="615">
        <f t="shared" si="9"/>
        <v>1780.956699161188</v>
      </c>
      <c r="AI244" s="2">
        <v>50</v>
      </c>
      <c r="AJ244" s="156" t="s">
        <v>1452</v>
      </c>
      <c r="AK244" s="513"/>
      <c r="AL244" s="513"/>
      <c r="AM244" s="513"/>
      <c r="AN244" s="1216"/>
      <c r="AO244" s="867"/>
      <c r="AP244" s="867"/>
      <c r="AQ244" s="878"/>
      <c r="AR244" s="878"/>
      <c r="AS244" s="529"/>
    </row>
    <row r="245" spans="1:45" ht="67.5" hidden="1" customHeight="1">
      <c r="A245" s="16">
        <f>OBRA!J243</f>
        <v>2017</v>
      </c>
      <c r="B245" s="783" t="s">
        <v>1563</v>
      </c>
      <c r="C245" s="783"/>
      <c r="D245" s="783"/>
      <c r="E245" s="2" t="str">
        <f>OBRA!M243</f>
        <v>RAMO 33</v>
      </c>
      <c r="F245" s="18" t="s">
        <v>1428</v>
      </c>
      <c r="G245" s="38" t="s">
        <v>2206</v>
      </c>
      <c r="H245" s="12" t="str">
        <f>OBRA!N243</f>
        <v>GMJ 018C OP/2017</v>
      </c>
      <c r="I245" s="2" t="str">
        <f>OBRA!O243</f>
        <v>ADJUDICACIÓN DIRECTA</v>
      </c>
      <c r="J245" s="3" t="str">
        <f>OBRA!P243</f>
        <v>REHABILITACIÓN DE RED DE AGUA POTABLE EN CALLE VERANO DE ANDADOR JESÚS MORALES A 21 DE MARZO, EN LA CABECERA MUNICIPAL DE JOCOTEPEC, JALISCO</v>
      </c>
      <c r="K245" s="3" t="s">
        <v>1496</v>
      </c>
      <c r="L245" s="3"/>
      <c r="M245" s="3" t="s">
        <v>1499</v>
      </c>
      <c r="N245" s="3" t="s">
        <v>1975</v>
      </c>
      <c r="O245" s="466" t="s">
        <v>3486</v>
      </c>
      <c r="P245" s="79">
        <f>OBRA!R243</f>
        <v>88991.13</v>
      </c>
      <c r="Q245" s="1023">
        <f t="shared" si="11"/>
        <v>76716.491379310348</v>
      </c>
      <c r="R245" s="1023"/>
      <c r="S245" s="67">
        <f>OBRA!S243</f>
        <v>42902</v>
      </c>
      <c r="T245" s="1134">
        <f>OBRA!V243</f>
        <v>42902</v>
      </c>
      <c r="U245" s="5">
        <f>OBRA!T243</f>
        <v>42907</v>
      </c>
      <c r="V245" s="11">
        <f>OBRA!U243</f>
        <v>42968</v>
      </c>
      <c r="W245" s="223"/>
      <c r="X245" s="578">
        <f>OBRA!AS243+OBRA!AT243</f>
        <v>409917.97</v>
      </c>
      <c r="Y245" s="278"/>
      <c r="Z245" s="146" t="str">
        <f>OBRA!W243</f>
        <v>ING. SERGIO CABRERA</v>
      </c>
      <c r="AA245" s="146"/>
      <c r="AB245" s="148" t="str">
        <f t="shared" si="10"/>
        <v>ING. SERGIO CABRERA</v>
      </c>
      <c r="AC245" s="2" t="s">
        <v>2959</v>
      </c>
      <c r="AD245" s="146" t="s">
        <v>2959</v>
      </c>
      <c r="AE245" s="183" t="str">
        <f>OBRA!X243</f>
        <v>ING. J. GUADALUPE IBARRA RAMIREZ</v>
      </c>
      <c r="AF245" s="552">
        <v>85.09</v>
      </c>
      <c r="AG245" s="2" t="s">
        <v>1451</v>
      </c>
      <c r="AH245" s="615">
        <f t="shared" si="9"/>
        <v>4817.4635092255257</v>
      </c>
      <c r="AI245" s="2">
        <v>50</v>
      </c>
      <c r="AJ245" s="156" t="s">
        <v>1452</v>
      </c>
      <c r="AK245" s="513"/>
      <c r="AL245" s="513"/>
      <c r="AM245" s="513"/>
      <c r="AN245" s="1216"/>
      <c r="AO245" s="867"/>
      <c r="AP245" s="867"/>
      <c r="AQ245" s="878"/>
      <c r="AR245" s="969"/>
      <c r="AS245" s="871"/>
    </row>
    <row r="246" spans="1:45" ht="69" hidden="1" customHeight="1">
      <c r="A246" s="16">
        <f>OBRA!J244</f>
        <v>2017</v>
      </c>
      <c r="B246" s="783" t="s">
        <v>1563</v>
      </c>
      <c r="C246" s="783"/>
      <c r="D246" s="783"/>
      <c r="E246" s="2" t="str">
        <f>OBRA!M244</f>
        <v>RAMO 33</v>
      </c>
      <c r="F246" s="18" t="s">
        <v>1428</v>
      </c>
      <c r="G246" s="38" t="s">
        <v>2206</v>
      </c>
      <c r="H246" s="12" t="str">
        <f>OBRA!N244</f>
        <v>GMJ 019C OP/2017</v>
      </c>
      <c r="I246" s="2" t="str">
        <f>OBRA!O244</f>
        <v>ADJUDICACIÓN DIRECTA</v>
      </c>
      <c r="J246" s="3" t="str">
        <f>OBRA!P244</f>
        <v>REHABILITACIÓN DE RED DE DRENAJE EN CALLE VERANO, DE 21 DE MARZO A 20 DE NOVIEMBRE, EN LA CABECERA MUNICIPAL DE JOCOTEPEC, JALISCO</v>
      </c>
      <c r="K246" s="3" t="s">
        <v>1481</v>
      </c>
      <c r="L246" s="3"/>
      <c r="M246" s="3" t="s">
        <v>1499</v>
      </c>
      <c r="N246" s="3" t="s">
        <v>1975</v>
      </c>
      <c r="O246" s="466" t="s">
        <v>3486</v>
      </c>
      <c r="P246" s="79">
        <f>OBRA!R244</f>
        <v>120964.57</v>
      </c>
      <c r="Q246" s="1023">
        <f t="shared" si="11"/>
        <v>104279.80172413794</v>
      </c>
      <c r="R246" s="1023"/>
      <c r="S246" s="67">
        <f>OBRA!S244</f>
        <v>42902</v>
      </c>
      <c r="T246" s="1134">
        <f>OBRA!V244</f>
        <v>42902</v>
      </c>
      <c r="U246" s="5">
        <f>OBRA!T244</f>
        <v>42907</v>
      </c>
      <c r="V246" s="11">
        <f>OBRA!U244</f>
        <v>42968</v>
      </c>
      <c r="W246" s="223"/>
      <c r="X246" s="578">
        <f>OBRA!AS244+OBRA!AT244</f>
        <v>144956.81</v>
      </c>
      <c r="Y246" s="278"/>
      <c r="Z246" s="146" t="str">
        <f>OBRA!W244</f>
        <v>ING. SERGIO CABRERA</v>
      </c>
      <c r="AA246" s="146"/>
      <c r="AB246" s="148" t="str">
        <f t="shared" si="10"/>
        <v>ING. SERGIO CABRERA</v>
      </c>
      <c r="AC246" s="2" t="s">
        <v>2959</v>
      </c>
      <c r="AD246" s="146" t="s">
        <v>2959</v>
      </c>
      <c r="AE246" s="183" t="str">
        <f>OBRA!X244</f>
        <v>ING. J. GUADALUPE IBARRA RAMIREZ</v>
      </c>
      <c r="AF246" s="552">
        <v>74.44</v>
      </c>
      <c r="AG246" s="2" t="s">
        <v>1451</v>
      </c>
      <c r="AH246" s="615">
        <f t="shared" si="9"/>
        <v>1947.2972864051585</v>
      </c>
      <c r="AI246" s="2">
        <v>30</v>
      </c>
      <c r="AJ246" s="156" t="s">
        <v>1452</v>
      </c>
      <c r="AK246" s="513"/>
      <c r="AL246" s="513"/>
      <c r="AM246" s="513"/>
      <c r="AN246" s="1216"/>
      <c r="AO246" s="867"/>
      <c r="AP246" s="867"/>
      <c r="AQ246" s="878"/>
      <c r="AR246" s="969"/>
      <c r="AS246" s="871"/>
    </row>
    <row r="247" spans="1:45" ht="69.75" hidden="1" customHeight="1">
      <c r="A247" s="16">
        <f>OBRA!J245</f>
        <v>2017</v>
      </c>
      <c r="B247" s="783" t="s">
        <v>1563</v>
      </c>
      <c r="C247" s="783"/>
      <c r="D247" s="783"/>
      <c r="E247" s="2" t="str">
        <f>OBRA!M245</f>
        <v>RAMO 33</v>
      </c>
      <c r="F247" s="18" t="s">
        <v>1428</v>
      </c>
      <c r="G247" s="38" t="s">
        <v>2206</v>
      </c>
      <c r="H247" s="12" t="str">
        <f>OBRA!N245</f>
        <v>GMJ 020C OP/2017</v>
      </c>
      <c r="I247" s="2" t="str">
        <f>OBRA!O245</f>
        <v>ADJUDICACIÓN DIRECTA</v>
      </c>
      <c r="J247" s="3" t="str">
        <f>OBRA!P245</f>
        <v>REHABILITACIÓN DE RED DE AGUA POTABLE EN CALLE VERANO, DE 21 DE MARZO A 20 DE NOVIEMBRE, EN LA CABECERA MUNICIPAL DE JOCOTEPEC, JALISCO</v>
      </c>
      <c r="K247" s="3" t="s">
        <v>1496</v>
      </c>
      <c r="L247" s="3"/>
      <c r="M247" s="3" t="s">
        <v>1499</v>
      </c>
      <c r="N247" s="3" t="s">
        <v>1975</v>
      </c>
      <c r="O247" s="466" t="s">
        <v>3486</v>
      </c>
      <c r="P247" s="79">
        <f>OBRA!R245</f>
        <v>77992.240000000005</v>
      </c>
      <c r="Q247" s="1023">
        <f t="shared" si="11"/>
        <v>67234.68965517242</v>
      </c>
      <c r="R247" s="1023"/>
      <c r="S247" s="67">
        <f>OBRA!S245</f>
        <v>42902</v>
      </c>
      <c r="T247" s="1134">
        <f>OBRA!V245</f>
        <v>42902</v>
      </c>
      <c r="U247" s="5">
        <f>OBRA!T245</f>
        <v>42907</v>
      </c>
      <c r="V247" s="11">
        <f>OBRA!U245</f>
        <v>42968</v>
      </c>
      <c r="W247" s="223"/>
      <c r="X247" s="578">
        <f>OBRA!AS245+OBRA!AT245</f>
        <v>93230.1</v>
      </c>
      <c r="Y247" s="278"/>
      <c r="Z247" s="146" t="str">
        <f>OBRA!W245</f>
        <v>ING. SERGIO CABRERA</v>
      </c>
      <c r="AA247" s="146"/>
      <c r="AB247" s="148" t="str">
        <f t="shared" si="10"/>
        <v>ING. SERGIO CABRERA</v>
      </c>
      <c r="AC247" s="2" t="s">
        <v>2959</v>
      </c>
      <c r="AD247" s="146" t="s">
        <v>2959</v>
      </c>
      <c r="AE247" s="183" t="str">
        <f>OBRA!X245</f>
        <v>ING. J. GUADALUPE IBARRA RAMIREZ</v>
      </c>
      <c r="AF247" s="552">
        <v>76.69</v>
      </c>
      <c r="AG247" s="2" t="s">
        <v>1451</v>
      </c>
      <c r="AH247" s="615">
        <f t="shared" si="9"/>
        <v>1215.6747946277221</v>
      </c>
      <c r="AI247" s="2">
        <v>30</v>
      </c>
      <c r="AJ247" s="156" t="s">
        <v>1452</v>
      </c>
      <c r="AK247" s="513"/>
      <c r="AL247" s="513"/>
      <c r="AM247" s="513"/>
      <c r="AN247" s="1216"/>
      <c r="AO247" s="867"/>
      <c r="AP247" s="867"/>
      <c r="AQ247" s="878"/>
      <c r="AR247" s="969"/>
      <c r="AS247" s="871"/>
    </row>
    <row r="248" spans="1:45" ht="69.75" hidden="1" customHeight="1">
      <c r="A248" s="16">
        <f>OBRA!J246</f>
        <v>2017</v>
      </c>
      <c r="B248" s="783" t="s">
        <v>1563</v>
      </c>
      <c r="C248" s="783"/>
      <c r="D248" s="783"/>
      <c r="E248" s="2" t="str">
        <f>OBRA!M246</f>
        <v>RAMO 33</v>
      </c>
      <c r="F248" s="18" t="s">
        <v>1428</v>
      </c>
      <c r="G248" s="38" t="s">
        <v>2206</v>
      </c>
      <c r="H248" s="12" t="str">
        <f>OBRA!N246</f>
        <v>GMJ 021C OP/2017</v>
      </c>
      <c r="I248" s="2" t="str">
        <f>OBRA!O246</f>
        <v>ADJUDICACIÓN DIRECTA</v>
      </c>
      <c r="J248" s="3" t="str">
        <f>OBRA!P246</f>
        <v>REHABILITACIÓN DE RED DE DRENAJE EN CALLE VERANO DE 20 DE NOVIEMBRE A VENUSTIANO CARRANZA EN LA CABECERA MUNICIPAL, DE JOCOTEPEC, JALISCO</v>
      </c>
      <c r="K248" s="3" t="s">
        <v>1481</v>
      </c>
      <c r="L248" s="3"/>
      <c r="M248" s="3" t="s">
        <v>1499</v>
      </c>
      <c r="N248" s="3" t="s">
        <v>1975</v>
      </c>
      <c r="O248" s="466" t="s">
        <v>3486</v>
      </c>
      <c r="P248" s="79">
        <f>OBRA!R246</f>
        <v>125684.46</v>
      </c>
      <c r="Q248" s="1023">
        <f t="shared" si="11"/>
        <v>108348.67241379312</v>
      </c>
      <c r="R248" s="1023"/>
      <c r="S248" s="67">
        <f>OBRA!S246</f>
        <v>42944</v>
      </c>
      <c r="T248" s="1134">
        <f>OBRA!V246</f>
        <v>42944</v>
      </c>
      <c r="U248" s="5">
        <f>OBRA!T246</f>
        <v>42948</v>
      </c>
      <c r="V248" s="11">
        <f>OBRA!U246</f>
        <v>42978</v>
      </c>
      <c r="W248" s="223"/>
      <c r="X248" s="578">
        <f>OBRA!AS246+OBRA!AT246</f>
        <v>125684.46</v>
      </c>
      <c r="Y248" s="278"/>
      <c r="Z248" s="146" t="str">
        <f>OBRA!W246</f>
        <v>GILCO INGENIERIA S.A. DE C.V.</v>
      </c>
      <c r="AA248" s="146"/>
      <c r="AB248" s="148" t="s">
        <v>1931</v>
      </c>
      <c r="AC248" s="146" t="s">
        <v>1932</v>
      </c>
      <c r="AD248" s="146"/>
      <c r="AE248" s="183" t="str">
        <f>OBRA!X246</f>
        <v>ING. J. GUADALUPE IBARRA RAMIREZ</v>
      </c>
      <c r="AF248" s="552">
        <v>78.900000000000006</v>
      </c>
      <c r="AG248" s="2" t="s">
        <v>1451</v>
      </c>
      <c r="AH248" s="615">
        <f t="shared" si="9"/>
        <v>1592.9589353612166</v>
      </c>
      <c r="AI248" s="2">
        <v>20</v>
      </c>
      <c r="AJ248" s="156" t="s">
        <v>1444</v>
      </c>
      <c r="AK248" s="513"/>
      <c r="AL248" s="513"/>
      <c r="AM248" s="513"/>
      <c r="AN248" s="1216"/>
      <c r="AO248" s="867"/>
      <c r="AP248" s="867"/>
      <c r="AQ248" s="878"/>
      <c r="AR248" s="969"/>
      <c r="AS248" s="705"/>
    </row>
    <row r="249" spans="1:45" ht="66" hidden="1" customHeight="1">
      <c r="A249" s="16">
        <f>OBRA!J247</f>
        <v>2017</v>
      </c>
      <c r="B249" s="783" t="s">
        <v>1563</v>
      </c>
      <c r="C249" s="783"/>
      <c r="D249" s="783"/>
      <c r="E249" s="2" t="str">
        <f>OBRA!M247</f>
        <v>RAMO 33</v>
      </c>
      <c r="F249" s="18" t="s">
        <v>1428</v>
      </c>
      <c r="G249" s="38" t="s">
        <v>2206</v>
      </c>
      <c r="H249" s="12" t="str">
        <f>OBRA!N247</f>
        <v>GMJ 022C OP/2017</v>
      </c>
      <c r="I249" s="2" t="str">
        <f>OBRA!O247</f>
        <v>ADJUDICACIÓN DIRECTA</v>
      </c>
      <c r="J249" s="3" t="str">
        <f>OBRA!P247</f>
        <v>REHABILITACIÓN DE RED DE AGUA POTABLE EN CALLE VERANO DE 20 DE NOVIEMBRE A VENUSTIANO CARRANZA, EN LA CABECERA MUNICIPAL, DE JOCOTEPEC, JALISCO</v>
      </c>
      <c r="K249" s="3" t="s">
        <v>1496</v>
      </c>
      <c r="L249" s="3"/>
      <c r="M249" s="3" t="s">
        <v>1499</v>
      </c>
      <c r="N249" s="3" t="s">
        <v>1975</v>
      </c>
      <c r="O249" s="466" t="s">
        <v>3486</v>
      </c>
      <c r="P249" s="79">
        <f>OBRA!R247</f>
        <v>79897.39</v>
      </c>
      <c r="Q249" s="1023">
        <f t="shared" si="11"/>
        <v>68877.060344827594</v>
      </c>
      <c r="R249" s="1023"/>
      <c r="S249" s="67">
        <f>OBRA!S247</f>
        <v>42944</v>
      </c>
      <c r="T249" s="1134">
        <f>OBRA!V247</f>
        <v>42944</v>
      </c>
      <c r="U249" s="5">
        <f>OBRA!T247</f>
        <v>42948</v>
      </c>
      <c r="V249" s="11">
        <f>OBRA!U247</f>
        <v>42978</v>
      </c>
      <c r="W249" s="223"/>
      <c r="X249" s="578">
        <f>OBRA!AS247+OBRA!AT247</f>
        <v>79839.72</v>
      </c>
      <c r="Y249" s="278"/>
      <c r="Z249" s="146" t="str">
        <f>OBRA!W247</f>
        <v>GILCO INGENIERIA S.A. DE C.V.</v>
      </c>
      <c r="AA249" s="146"/>
      <c r="AB249" s="148" t="s">
        <v>1931</v>
      </c>
      <c r="AC249" s="146" t="s">
        <v>1932</v>
      </c>
      <c r="AD249" s="146"/>
      <c r="AE249" s="183" t="str">
        <f>OBRA!X247</f>
        <v>ING. J. GUADALUPE IBARRA RAMIREZ</v>
      </c>
      <c r="AF249" s="552">
        <v>76.75</v>
      </c>
      <c r="AG249" s="2" t="s">
        <v>1451</v>
      </c>
      <c r="AH249" s="615">
        <f t="shared" si="9"/>
        <v>1040.2569381107492</v>
      </c>
      <c r="AI249" s="2">
        <v>20</v>
      </c>
      <c r="AJ249" s="156" t="s">
        <v>1444</v>
      </c>
      <c r="AK249" s="513"/>
      <c r="AL249" s="513"/>
      <c r="AM249" s="513"/>
      <c r="AN249" s="1216"/>
      <c r="AO249" s="867"/>
      <c r="AP249" s="867"/>
      <c r="AQ249" s="878"/>
      <c r="AR249" s="969"/>
      <c r="AS249" s="871"/>
    </row>
    <row r="250" spans="1:45" ht="65.25" hidden="1" customHeight="1">
      <c r="A250" s="16">
        <f>OBRA!J248</f>
        <v>2017</v>
      </c>
      <c r="B250" s="783" t="s">
        <v>1563</v>
      </c>
      <c r="C250" s="783"/>
      <c r="D250" s="783"/>
      <c r="E250" s="2" t="str">
        <f>OBRA!M248</f>
        <v>RAMO 33</v>
      </c>
      <c r="F250" s="18" t="s">
        <v>1428</v>
      </c>
      <c r="G250" s="38" t="s">
        <v>2206</v>
      </c>
      <c r="H250" s="12" t="str">
        <f>OBRA!N248</f>
        <v>GMJ 023C OP/2017</v>
      </c>
      <c r="I250" s="2" t="str">
        <f>OBRA!O248</f>
        <v>ADJUDICACIÓN DIRECTA</v>
      </c>
      <c r="J250" s="3" t="str">
        <f>OBRA!P248</f>
        <v>REHABILITACIÓN DE RED DE DRENAJE EN CALLE VERANO DE VENUSTIANO CARRANZA A FRANCISCO VILLA, EN LA CABECERA MUNICIPAL, DE JOCOTEPEC, JALISCO</v>
      </c>
      <c r="K250" s="3" t="s">
        <v>1481</v>
      </c>
      <c r="L250" s="3"/>
      <c r="M250" s="3" t="s">
        <v>1499</v>
      </c>
      <c r="N250" s="3" t="s">
        <v>1975</v>
      </c>
      <c r="O250" s="466" t="s">
        <v>3486</v>
      </c>
      <c r="P250" s="79">
        <f>OBRA!R248</f>
        <v>119278.43</v>
      </c>
      <c r="Q250" s="1023">
        <f t="shared" si="11"/>
        <v>102826.2327586207</v>
      </c>
      <c r="R250" s="1023"/>
      <c r="S250" s="67">
        <f>OBRA!S248</f>
        <v>42957</v>
      </c>
      <c r="T250" s="1134">
        <f>OBRA!V248</f>
        <v>42957</v>
      </c>
      <c r="U250" s="5">
        <f>OBRA!T248</f>
        <v>42961</v>
      </c>
      <c r="V250" s="11">
        <f>OBRA!U248</f>
        <v>42994</v>
      </c>
      <c r="W250" s="223"/>
      <c r="X250" s="578">
        <f>OBRA!AS248+OBRA!AT248</f>
        <v>108518.67</v>
      </c>
      <c r="Y250" s="278"/>
      <c r="Z250" s="146" t="str">
        <f>OBRA!W248</f>
        <v>GILCO INGENIERIA S.A. DE C.V.</v>
      </c>
      <c r="AA250" s="146"/>
      <c r="AB250" s="148" t="s">
        <v>1931</v>
      </c>
      <c r="AC250" s="146" t="s">
        <v>1932</v>
      </c>
      <c r="AD250" s="146"/>
      <c r="AE250" s="183" t="str">
        <f>OBRA!X248</f>
        <v>ING. J. GUADALUPE IBARRA RAMIREZ</v>
      </c>
      <c r="AF250" s="552">
        <v>74.83</v>
      </c>
      <c r="AG250" s="2" t="s">
        <v>1451</v>
      </c>
      <c r="AH250" s="615">
        <f t="shared" si="9"/>
        <v>1450.2027261793398</v>
      </c>
      <c r="AI250" s="2">
        <v>40</v>
      </c>
      <c r="AJ250" s="156" t="s">
        <v>1444</v>
      </c>
      <c r="AK250" s="513"/>
      <c r="AL250" s="513"/>
      <c r="AM250" s="513"/>
      <c r="AN250" s="1216"/>
      <c r="AO250" s="867"/>
      <c r="AP250" s="867"/>
      <c r="AQ250" s="878"/>
      <c r="AR250" s="969"/>
      <c r="AS250" s="705"/>
    </row>
    <row r="251" spans="1:45" ht="69.75" hidden="1" customHeight="1">
      <c r="A251" s="16">
        <f>OBRA!J249</f>
        <v>2017</v>
      </c>
      <c r="B251" s="783" t="s">
        <v>1563</v>
      </c>
      <c r="C251" s="783"/>
      <c r="D251" s="783"/>
      <c r="E251" s="2" t="str">
        <f>OBRA!M249</f>
        <v>RAMO 33</v>
      </c>
      <c r="F251" s="18" t="s">
        <v>1428</v>
      </c>
      <c r="G251" s="38" t="s">
        <v>2206</v>
      </c>
      <c r="H251" s="12" t="str">
        <f>OBRA!N249</f>
        <v>GMJ 024C OP/2017</v>
      </c>
      <c r="I251" s="2" t="str">
        <f>OBRA!O249</f>
        <v>ADJUDICACIÓN DIRECTA</v>
      </c>
      <c r="J251" s="3" t="str">
        <f>OBRA!P249</f>
        <v>REHABILITACIÓN DE RED DE AGUA POTABLE EN CALLE VERANO DE VENUSTIANO CARRANZA A FRANCISCO VILLA, EN LA CABECERA MUNICIPAL, DE JOCOTEPEC, JALISCO</v>
      </c>
      <c r="K251" s="3" t="s">
        <v>1496</v>
      </c>
      <c r="L251" s="3"/>
      <c r="M251" s="3" t="s">
        <v>1499</v>
      </c>
      <c r="N251" s="3" t="s">
        <v>1975</v>
      </c>
      <c r="O251" s="466" t="s">
        <v>3486</v>
      </c>
      <c r="P251" s="79">
        <f>OBRA!R249</f>
        <v>77217.95</v>
      </c>
      <c r="Q251" s="1023">
        <f t="shared" si="11"/>
        <v>66567.198275862072</v>
      </c>
      <c r="R251" s="1023"/>
      <c r="S251" s="67">
        <f>OBRA!S249</f>
        <v>42957</v>
      </c>
      <c r="T251" s="1134">
        <f>OBRA!V249</f>
        <v>42902</v>
      </c>
      <c r="U251" s="5">
        <f>OBRA!T249</f>
        <v>42961</v>
      </c>
      <c r="V251" s="11">
        <f>OBRA!U249</f>
        <v>42994</v>
      </c>
      <c r="W251" s="223"/>
      <c r="X251" s="578">
        <f>OBRA!AS249+OBRA!AT249</f>
        <v>77160.37</v>
      </c>
      <c r="Y251" s="278"/>
      <c r="Z251" s="146" t="str">
        <f>OBRA!W249</f>
        <v>GILCO INGENIERIA S.A. DE C.V.</v>
      </c>
      <c r="AA251" s="146"/>
      <c r="AB251" s="148" t="s">
        <v>1931</v>
      </c>
      <c r="AC251" s="146" t="s">
        <v>1932</v>
      </c>
      <c r="AD251" s="146"/>
      <c r="AE251" s="183" t="str">
        <f>OBRA!X249</f>
        <v>ING. J. GUADALUPE IBARRA RAMIREZ</v>
      </c>
      <c r="AF251" s="552">
        <v>76.099999999999994</v>
      </c>
      <c r="AG251" s="2" t="s">
        <v>1451</v>
      </c>
      <c r="AH251" s="615">
        <f t="shared" si="9"/>
        <v>1013.933902759527</v>
      </c>
      <c r="AI251" s="2">
        <v>40</v>
      </c>
      <c r="AJ251" s="156" t="s">
        <v>1444</v>
      </c>
      <c r="AK251" s="513"/>
      <c r="AL251" s="513"/>
      <c r="AM251" s="513"/>
      <c r="AN251" s="1216"/>
      <c r="AO251" s="867"/>
      <c r="AP251" s="867"/>
      <c r="AQ251" s="878"/>
      <c r="AR251" s="969"/>
      <c r="AS251" s="871"/>
    </row>
    <row r="252" spans="1:45" ht="69" hidden="1" customHeight="1">
      <c r="A252" s="16">
        <f>OBRA!J250</f>
        <v>2017</v>
      </c>
      <c r="B252" s="783" t="s">
        <v>1563</v>
      </c>
      <c r="C252" s="783"/>
      <c r="D252" s="783"/>
      <c r="E252" s="2" t="str">
        <f>OBRA!M250</f>
        <v>RAMO 33</v>
      </c>
      <c r="F252" s="18" t="s">
        <v>1428</v>
      </c>
      <c r="G252" s="38" t="s">
        <v>2206</v>
      </c>
      <c r="H252" s="12" t="str">
        <f>OBRA!N250</f>
        <v>GMJ 025C OP/2017</v>
      </c>
      <c r="I252" s="2" t="str">
        <f>OBRA!O250</f>
        <v>ADJUDICACIÓN DIRECTA</v>
      </c>
      <c r="J252" s="3" t="str">
        <f>OBRA!P250</f>
        <v>REHABILITACIÓN DE RED DE DRENAJE EN CALLE VERANO DE FRANCISCO VILLA A LAZARO CARDENAS, EN LA CABECERA MUNICIPAL, DE JOCOTEPEC, JALISCO</v>
      </c>
      <c r="K252" s="3" t="s">
        <v>1481</v>
      </c>
      <c r="L252" s="3"/>
      <c r="M252" s="3" t="s">
        <v>1499</v>
      </c>
      <c r="N252" s="3" t="s">
        <v>1975</v>
      </c>
      <c r="O252" s="466" t="s">
        <v>3486</v>
      </c>
      <c r="P252" s="79">
        <f>OBRA!R250</f>
        <v>101100.81</v>
      </c>
      <c r="Q252" s="1023">
        <f t="shared" si="11"/>
        <v>87155.870689655174</v>
      </c>
      <c r="R252" s="1023"/>
      <c r="S252" s="67">
        <f>OBRA!S250</f>
        <v>42977</v>
      </c>
      <c r="T252" s="1134">
        <f>OBRA!V250</f>
        <v>42977</v>
      </c>
      <c r="U252" s="5">
        <f>OBRA!T250</f>
        <v>42982</v>
      </c>
      <c r="V252" s="11">
        <f>OBRA!U250</f>
        <v>43008</v>
      </c>
      <c r="W252" s="223"/>
      <c r="X252" s="578">
        <f>OBRA!AS250+OBRA!AT250</f>
        <v>101100.8</v>
      </c>
      <c r="Y252" s="278"/>
      <c r="Z252" s="146" t="str">
        <f>OBRA!W250</f>
        <v>GILCO INGENIERIA S.A. DE C.V.</v>
      </c>
      <c r="AA252" s="146"/>
      <c r="AB252" s="148" t="s">
        <v>1931</v>
      </c>
      <c r="AC252" s="146" t="s">
        <v>1932</v>
      </c>
      <c r="AD252" s="146"/>
      <c r="AE252" s="183" t="str">
        <f>OBRA!X250</f>
        <v>ING. J. GUADALUPE IBARRA RAMIREZ</v>
      </c>
      <c r="AF252" s="552">
        <v>68.56</v>
      </c>
      <c r="AG252" s="2" t="s">
        <v>1451</v>
      </c>
      <c r="AH252" s="615">
        <f t="shared" si="9"/>
        <v>1474.6324387397899</v>
      </c>
      <c r="AI252" s="2">
        <v>50</v>
      </c>
      <c r="AJ252" s="156" t="s">
        <v>1444</v>
      </c>
      <c r="AK252" s="513"/>
      <c r="AL252" s="513"/>
      <c r="AM252" s="513"/>
      <c r="AN252" s="1216"/>
      <c r="AO252" s="867"/>
      <c r="AP252" s="867"/>
      <c r="AQ252" s="878"/>
      <c r="AR252" s="969"/>
      <c r="AS252" s="705"/>
    </row>
    <row r="253" spans="1:45" ht="69.75" hidden="1" customHeight="1">
      <c r="A253" s="16">
        <f>OBRA!J251</f>
        <v>2017</v>
      </c>
      <c r="B253" s="783" t="s">
        <v>1563</v>
      </c>
      <c r="C253" s="783"/>
      <c r="D253" s="783"/>
      <c r="E253" s="2" t="str">
        <f>OBRA!M251</f>
        <v>RAMO 33</v>
      </c>
      <c r="F253" s="18" t="s">
        <v>1428</v>
      </c>
      <c r="G253" s="38" t="s">
        <v>2206</v>
      </c>
      <c r="H253" s="12" t="str">
        <f>OBRA!N251</f>
        <v>GMJ 026C OP/2017</v>
      </c>
      <c r="I253" s="2" t="str">
        <f>OBRA!O251</f>
        <v>ADJUDICACIÓN DIRECTA</v>
      </c>
      <c r="J253" s="3" t="str">
        <f>OBRA!P251</f>
        <v>REHABILITACIÓN DE RED DE AGUA POTABLE EN CALLE VERANO DE FRANCISCO VILLA  A LAZARO CARDENAS, EN LA CABECERA MUNICIPAL, DE JOCOTEPEC, JALISCO</v>
      </c>
      <c r="K253" s="3" t="s">
        <v>1496</v>
      </c>
      <c r="L253" s="3"/>
      <c r="M253" s="3" t="s">
        <v>1499</v>
      </c>
      <c r="N253" s="3" t="s">
        <v>1975</v>
      </c>
      <c r="O253" s="466" t="s">
        <v>3486</v>
      </c>
      <c r="P253" s="79">
        <f>OBRA!R251</f>
        <v>62348.13</v>
      </c>
      <c r="Q253" s="1023">
        <f t="shared" si="11"/>
        <v>53748.387931034486</v>
      </c>
      <c r="R253" s="1023"/>
      <c r="S253" s="67">
        <f>OBRA!S251</f>
        <v>42977</v>
      </c>
      <c r="T253" s="1134">
        <f>OBRA!V251</f>
        <v>42977</v>
      </c>
      <c r="U253" s="5">
        <f>OBRA!T251</f>
        <v>42982</v>
      </c>
      <c r="V253" s="11">
        <f>OBRA!U251</f>
        <v>43008</v>
      </c>
      <c r="W253" s="223"/>
      <c r="X253" s="578">
        <f>OBRA!AS251+OBRA!AT251</f>
        <v>62291.82</v>
      </c>
      <c r="Y253" s="278"/>
      <c r="Z253" s="146" t="str">
        <f>OBRA!W251</f>
        <v>GILCO INGENIERIA S.A. DE C.V.</v>
      </c>
      <c r="AA253" s="146"/>
      <c r="AB253" s="148" t="s">
        <v>1931</v>
      </c>
      <c r="AC253" s="146" t="s">
        <v>1932</v>
      </c>
      <c r="AD253" s="146"/>
      <c r="AE253" s="183" t="str">
        <f>OBRA!X251</f>
        <v>ING. J. GUADALUPE IBARRA RAMIREZ</v>
      </c>
      <c r="AF253" s="552">
        <v>66.14</v>
      </c>
      <c r="AG253" s="2" t="s">
        <v>1451</v>
      </c>
      <c r="AH253" s="615">
        <f t="shared" si="9"/>
        <v>941.81765951013006</v>
      </c>
      <c r="AI253" s="2">
        <v>50</v>
      </c>
      <c r="AJ253" s="156" t="s">
        <v>1452</v>
      </c>
      <c r="AK253" s="513"/>
      <c r="AL253" s="513"/>
      <c r="AM253" s="513"/>
      <c r="AN253" s="1216"/>
      <c r="AO253" s="867"/>
      <c r="AP253" s="867"/>
      <c r="AQ253" s="878"/>
      <c r="AR253" s="969"/>
      <c r="AS253" s="705"/>
    </row>
    <row r="254" spans="1:45" ht="114" hidden="1" customHeight="1">
      <c r="A254" s="16">
        <f>OBRA!J252</f>
        <v>2017</v>
      </c>
      <c r="B254" s="783" t="s">
        <v>1563</v>
      </c>
      <c r="C254" s="783"/>
      <c r="D254" s="783"/>
      <c r="E254" s="2" t="str">
        <f>OBRA!M252</f>
        <v>Fondo de proyectos para el Desarrollo Regional</v>
      </c>
      <c r="F254" s="1235"/>
      <c r="G254" s="38" t="s">
        <v>2206</v>
      </c>
      <c r="H254" s="12" t="str">
        <f>OBRA!N252</f>
        <v>GMJ 027C OP/2017</v>
      </c>
      <c r="I254" s="2" t="str">
        <f>OBRA!O252</f>
        <v>ADJUDICACIÓN DIRECTA</v>
      </c>
      <c r="J254" s="3" t="str">
        <f>OBRA!P252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6" t="s">
        <v>3486</v>
      </c>
      <c r="P254" s="79">
        <f>OBRA!R252</f>
        <v>527048.46</v>
      </c>
      <c r="Q254" s="1023">
        <f t="shared" si="11"/>
        <v>454352.12068965519</v>
      </c>
      <c r="R254" s="1023"/>
      <c r="S254" s="67">
        <f>OBRA!S252</f>
        <v>42895</v>
      </c>
      <c r="T254" s="1134">
        <f>OBRA!V252</f>
        <v>42923</v>
      </c>
      <c r="U254" s="5">
        <f>OBRA!T252</f>
        <v>42901</v>
      </c>
      <c r="V254" s="11">
        <f>OBRA!U252</f>
        <v>42922</v>
      </c>
      <c r="W254" s="223"/>
      <c r="X254" s="578">
        <f>OBRA!AS252+OBRA!AT252</f>
        <v>471639.52</v>
      </c>
      <c r="Y254" s="278"/>
      <c r="Z254" s="146" t="str">
        <f>OBRA!W252</f>
        <v>SERVICIOS ARQUITECTÓNICOS MOAPAL S.A. DE C.V.</v>
      </c>
      <c r="AA254" s="146"/>
      <c r="AB254" s="148" t="s">
        <v>1927</v>
      </c>
      <c r="AC254" s="146" t="s">
        <v>1928</v>
      </c>
      <c r="AD254" s="146"/>
      <c r="AE254" s="183" t="str">
        <f>OBRA!X252</f>
        <v>ING. J. GUADALUPE IBARRA RAMIREZ</v>
      </c>
      <c r="AF254" s="552">
        <v>837.59</v>
      </c>
      <c r="AG254" s="2" t="s">
        <v>1548</v>
      </c>
      <c r="AH254" s="615">
        <f t="shared" si="9"/>
        <v>563.0911543834095</v>
      </c>
      <c r="AI254" s="2">
        <v>80</v>
      </c>
      <c r="AJ254" s="156" t="s">
        <v>1452</v>
      </c>
      <c r="AK254" s="513"/>
      <c r="AL254" s="513"/>
      <c r="AM254" s="513"/>
      <c r="AN254" s="1216"/>
      <c r="AO254" s="867"/>
      <c r="AP254" s="867"/>
      <c r="AQ254" s="878"/>
      <c r="AR254" s="969"/>
      <c r="AS254" s="871"/>
    </row>
    <row r="255" spans="1:45" ht="195" hidden="1" customHeight="1">
      <c r="A255" s="16">
        <f>OBRA!J253</f>
        <v>2017</v>
      </c>
      <c r="B255" s="783" t="s">
        <v>1563</v>
      </c>
      <c r="C255" s="783"/>
      <c r="D255" s="783"/>
      <c r="E255" s="2" t="str">
        <f>OBRA!M253</f>
        <v>Fondo de proyectos para el Desarrollo Regional</v>
      </c>
      <c r="F255" s="1235"/>
      <c r="G255" s="38" t="s">
        <v>2206</v>
      </c>
      <c r="H255" s="12" t="str">
        <f>OBRA!N253</f>
        <v>GMJ 028C OP/2017</v>
      </c>
      <c r="I255" s="2" t="str">
        <f>OBRA!O253</f>
        <v>ADJUDICACIÓN DIRECTA</v>
      </c>
      <c r="J255"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6" t="s">
        <v>3486</v>
      </c>
      <c r="P255" s="79">
        <f>OBRA!R253</f>
        <v>887214.12</v>
      </c>
      <c r="Q255" s="1023">
        <f t="shared" si="11"/>
        <v>764839.75862068974</v>
      </c>
      <c r="R255" s="1023"/>
      <c r="S255" s="67">
        <f>OBRA!S253</f>
        <v>42951</v>
      </c>
      <c r="T255" s="1134">
        <f>OBRA!V253</f>
        <v>42950</v>
      </c>
      <c r="U255" s="5">
        <f>OBRA!T253</f>
        <v>42955</v>
      </c>
      <c r="V255" s="11">
        <f>OBRA!U253</f>
        <v>42986</v>
      </c>
      <c r="W255" s="223"/>
      <c r="X255" s="578">
        <f>OBRA!AS253+OBRA!AT253</f>
        <v>897371.43</v>
      </c>
      <c r="Y255" s="278"/>
      <c r="Z255" s="146" t="str">
        <f>OBRA!W253</f>
        <v>ING. SERGIO CABRERA</v>
      </c>
      <c r="AA255" s="146"/>
      <c r="AB255" s="148" t="str">
        <f t="shared" si="10"/>
        <v>ING. SERGIO CABRERA</v>
      </c>
      <c r="AC255" s="2" t="s">
        <v>2959</v>
      </c>
      <c r="AD255" s="146" t="s">
        <v>2959</v>
      </c>
      <c r="AE255" s="183" t="str">
        <f>OBRA!X253</f>
        <v>ING. J. GUADALUPE IBARRA RAMIREZ</v>
      </c>
      <c r="AF255" s="552">
        <v>240</v>
      </c>
      <c r="AG255" s="2" t="s">
        <v>1548</v>
      </c>
      <c r="AH255" s="615">
        <f t="shared" si="9"/>
        <v>3739.0476250000002</v>
      </c>
      <c r="AI255" s="2">
        <v>1000</v>
      </c>
      <c r="AJ255" s="156" t="s">
        <v>1452</v>
      </c>
      <c r="AK255" s="513"/>
      <c r="AL255" s="513"/>
      <c r="AM255" s="513"/>
      <c r="AN255" s="1216"/>
      <c r="AO255" s="867"/>
      <c r="AP255" s="867"/>
      <c r="AQ255" s="878"/>
      <c r="AR255" s="969"/>
      <c r="AS255" s="705"/>
    </row>
    <row r="256" spans="1:45" ht="180" hidden="1" customHeight="1">
      <c r="A256" s="16">
        <f>OBRA!J254</f>
        <v>2017</v>
      </c>
      <c r="B256" s="783" t="s">
        <v>1563</v>
      </c>
      <c r="C256" s="783"/>
      <c r="D256" s="783"/>
      <c r="E256" s="2" t="str">
        <f>OBRA!M254</f>
        <v>Fondo de proyectos para el Desarrollo Regional</v>
      </c>
      <c r="F256" s="1235"/>
      <c r="G256" s="38" t="s">
        <v>2206</v>
      </c>
      <c r="H256" s="12" t="str">
        <f>OBRA!N254</f>
        <v>GMJ 029C OP/2017</v>
      </c>
      <c r="I256" s="2" t="str">
        <f>OBRA!O254</f>
        <v>ADJUDICACIÓN DIRECTA</v>
      </c>
      <c r="J256"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6" t="s">
        <v>3486</v>
      </c>
      <c r="P256" s="79">
        <f>OBRA!R254</f>
        <v>197219.12</v>
      </c>
      <c r="Q256" s="1023">
        <f t="shared" si="11"/>
        <v>170016.4827586207</v>
      </c>
      <c r="R256" s="1023"/>
      <c r="S256" s="67">
        <f>OBRA!S254</f>
        <v>43021</v>
      </c>
      <c r="T256" s="1134">
        <f>OBRA!V254</f>
        <v>43017</v>
      </c>
      <c r="U256" s="5">
        <f>OBRA!T254</f>
        <v>43038</v>
      </c>
      <c r="V256" s="11">
        <f>OBRA!U254</f>
        <v>43100</v>
      </c>
      <c r="W256" s="223"/>
      <c r="X256" s="578">
        <f>OBRA!AS254+OBRA!AT254</f>
        <v>113086.79</v>
      </c>
      <c r="Y256" s="278"/>
      <c r="Z256" s="146" t="str">
        <f>OBRA!W254</f>
        <v>GILCO INGENIERIA S.A. DE C.V.</v>
      </c>
      <c r="AA256" s="25"/>
      <c r="AB256" s="189" t="s">
        <v>1931</v>
      </c>
      <c r="AC256" s="146" t="s">
        <v>1932</v>
      </c>
      <c r="AD256" s="146"/>
      <c r="AE256" s="183" t="str">
        <f>OBRA!X254</f>
        <v>ING. J. GUADALUPE IBARRA RAMIREZ</v>
      </c>
      <c r="AF256" s="552">
        <v>880.6</v>
      </c>
      <c r="AG256" s="2" t="s">
        <v>1548</v>
      </c>
      <c r="AH256" s="615">
        <f t="shared" si="9"/>
        <v>128.42015671133316</v>
      </c>
      <c r="AI256" s="2">
        <v>1000</v>
      </c>
      <c r="AJ256" s="156" t="s">
        <v>1452</v>
      </c>
      <c r="AK256" s="513"/>
      <c r="AL256" s="513"/>
      <c r="AM256" s="513"/>
      <c r="AN256" s="1216"/>
      <c r="AO256" s="867"/>
      <c r="AP256" s="867"/>
      <c r="AQ256" s="219"/>
      <c r="AR256" s="1722"/>
      <c r="AS256" s="871"/>
    </row>
    <row r="257" spans="1:45" ht="189.75" hidden="1" customHeight="1">
      <c r="A257" s="16">
        <f>OBRA!J255</f>
        <v>2017</v>
      </c>
      <c r="B257" s="783" t="s">
        <v>1563</v>
      </c>
      <c r="C257" s="783"/>
      <c r="D257" s="783"/>
      <c r="E257" s="2" t="str">
        <f>OBRA!M255</f>
        <v>Fondo de proyectos para el Desarrollo Regional</v>
      </c>
      <c r="F257" s="1235"/>
      <c r="G257" s="38" t="s">
        <v>2206</v>
      </c>
      <c r="H257" s="12" t="str">
        <f>OBRA!N255</f>
        <v>GMJ 030C OP/2017</v>
      </c>
      <c r="I257" s="2" t="str">
        <f>OBRA!O255</f>
        <v>ADJUDICACIÓN DIRECTA</v>
      </c>
      <c r="J257"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6" t="s">
        <v>3486</v>
      </c>
      <c r="P257" s="79">
        <f>OBRA!R255</f>
        <v>1185389.8899999999</v>
      </c>
      <c r="Q257" s="1023">
        <f t="shared" si="11"/>
        <v>1021887.8362068966</v>
      </c>
      <c r="R257" s="1023"/>
      <c r="S257" s="67">
        <f>OBRA!S255</f>
        <v>43021</v>
      </c>
      <c r="T257" s="1134">
        <f>OBRA!V255</f>
        <v>43017</v>
      </c>
      <c r="U257" s="5">
        <f>OBRA!T255</f>
        <v>43031</v>
      </c>
      <c r="V257" s="11">
        <f>OBRA!U255</f>
        <v>43100</v>
      </c>
      <c r="W257" s="223"/>
      <c r="X257" s="578">
        <f>OBRA!AS255+OBRA!AT255</f>
        <v>1185389.8799999999</v>
      </c>
      <c r="Y257" s="278"/>
      <c r="Z257" s="146" t="str">
        <f>OBRA!W255</f>
        <v>A&amp;G URBANIZADORA S.A. DE C.V.</v>
      </c>
      <c r="AA257" s="146"/>
      <c r="AB257" s="2" t="s">
        <v>1808</v>
      </c>
      <c r="AC257" s="146" t="s">
        <v>1809</v>
      </c>
      <c r="AD257" s="146"/>
      <c r="AE257" s="183" t="str">
        <f>OBRA!X255</f>
        <v>ING. J. GUADALUPE IBARRA RAMIREZ</v>
      </c>
      <c r="AF257" s="552">
        <v>1745.77</v>
      </c>
      <c r="AG257" s="2" t="s">
        <v>1548</v>
      </c>
      <c r="AH257" s="615">
        <f t="shared" si="9"/>
        <v>679.00690239836854</v>
      </c>
      <c r="AI257" s="2">
        <v>1000</v>
      </c>
      <c r="AJ257" s="156" t="s">
        <v>1452</v>
      </c>
      <c r="AK257" s="513"/>
      <c r="AL257" s="513"/>
      <c r="AM257" s="513"/>
      <c r="AN257" s="1216"/>
      <c r="AO257" s="867"/>
      <c r="AP257" s="867"/>
      <c r="AQ257" s="878"/>
      <c r="AR257" s="969"/>
      <c r="AS257" s="1230"/>
    </row>
    <row r="258" spans="1:45" ht="90" hidden="1" customHeight="1">
      <c r="A258" s="16">
        <f>OBRA!J256</f>
        <v>2017</v>
      </c>
      <c r="B258" s="783" t="s">
        <v>1563</v>
      </c>
      <c r="C258" s="783"/>
      <c r="D258" s="783"/>
      <c r="E258" s="2" t="str">
        <f>OBRA!M256</f>
        <v>Fondo de proyectos para el Desarrollo Regional</v>
      </c>
      <c r="F258" s="1235"/>
      <c r="G258" s="38" t="s">
        <v>2206</v>
      </c>
      <c r="H258" s="12" t="str">
        <f>OBRA!N256</f>
        <v>GMJ 031C OP/2017</v>
      </c>
      <c r="I258" s="2" t="str">
        <f>OBRA!O256</f>
        <v>ADJUDICACIÓN DIRECTA</v>
      </c>
      <c r="J258"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6" t="s">
        <v>3486</v>
      </c>
      <c r="P258" s="79">
        <f>OBRA!R256</f>
        <v>227599.71</v>
      </c>
      <c r="Q258" s="1023">
        <f t="shared" si="11"/>
        <v>196206.64655172414</v>
      </c>
      <c r="R258" s="1023"/>
      <c r="S258" s="67">
        <f>OBRA!S256</f>
        <v>42926</v>
      </c>
      <c r="T258" s="1134">
        <f>OBRA!V256</f>
        <v>42926</v>
      </c>
      <c r="U258" s="5">
        <f>OBRA!T256</f>
        <v>42928</v>
      </c>
      <c r="V258" s="11">
        <f>OBRA!U256</f>
        <v>43035</v>
      </c>
      <c r="W258" s="223"/>
      <c r="X258" s="578">
        <f>OBRA!AS256+OBRA!AT256</f>
        <v>227557.25</v>
      </c>
      <c r="Y258" s="278"/>
      <c r="Z258" s="146" t="str">
        <f>OBRA!W256</f>
        <v>CONSTRUCCIONES VIKBRAK, S.A. DE C.V.</v>
      </c>
      <c r="AA258" s="146"/>
      <c r="AB258" s="148" t="s">
        <v>1576</v>
      </c>
      <c r="AC258" s="146" t="s">
        <v>1577</v>
      </c>
      <c r="AD258" s="146"/>
      <c r="AE258" s="183" t="str">
        <f>OBRA!X256</f>
        <v>ING. J. GUADALUPE IBARRA RAMIREZ</v>
      </c>
      <c r="AF258" s="552">
        <v>594.89</v>
      </c>
      <c r="AG258" s="2" t="s">
        <v>1548</v>
      </c>
      <c r="AH258" s="615">
        <f t="shared" si="9"/>
        <v>382.5198776244348</v>
      </c>
      <c r="AI258" s="2">
        <v>70</v>
      </c>
      <c r="AJ258" s="156" t="s">
        <v>1452</v>
      </c>
      <c r="AK258" s="513"/>
      <c r="AL258" s="513"/>
      <c r="AM258" s="513"/>
      <c r="AN258" s="1216"/>
      <c r="AO258" s="529"/>
      <c r="AP258" s="529"/>
      <c r="AQ258" s="881"/>
      <c r="AR258" s="1539"/>
      <c r="AS258" s="705"/>
    </row>
    <row r="259" spans="1:45" ht="132.75" hidden="1" customHeight="1">
      <c r="A259" s="16">
        <f>OBRA!J257</f>
        <v>2017</v>
      </c>
      <c r="B259" s="783" t="s">
        <v>1563</v>
      </c>
      <c r="C259" s="783"/>
      <c r="D259" s="783"/>
      <c r="E259" s="2" t="str">
        <f>OBRA!M257</f>
        <v>Fondo de proyectos para el Desarrollo Regional</v>
      </c>
      <c r="F259" s="1235"/>
      <c r="G259" s="38" t="s">
        <v>2206</v>
      </c>
      <c r="H259" s="12" t="str">
        <f>OBRA!N257</f>
        <v>GMJ 032C OP/2017</v>
      </c>
      <c r="I259" s="2" t="str">
        <f>OBRA!O257</f>
        <v>ADJUDICACIÓN DIRECTA</v>
      </c>
      <c r="J259"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6" t="s">
        <v>3486</v>
      </c>
      <c r="P259" s="79">
        <f>OBRA!R257</f>
        <v>1522376.56</v>
      </c>
      <c r="Q259" s="1023">
        <f t="shared" si="11"/>
        <v>1312393.5862068967</v>
      </c>
      <c r="R259" s="1023"/>
      <c r="S259" s="67">
        <f>OBRA!S257</f>
        <v>42927</v>
      </c>
      <c r="T259" s="1134">
        <f>OBRA!V257</f>
        <v>42926</v>
      </c>
      <c r="U259" s="5">
        <f>OBRA!T257</f>
        <v>42928</v>
      </c>
      <c r="V259" s="11">
        <f>OBRA!U257</f>
        <v>43035</v>
      </c>
      <c r="W259" s="223"/>
      <c r="X259" s="578">
        <v>1522375.65</v>
      </c>
      <c r="Y259" s="278"/>
      <c r="Z259" s="146" t="str">
        <f>OBRA!W257</f>
        <v>COLYEST S.A. DE C.V.</v>
      </c>
      <c r="AA259" s="146"/>
      <c r="AB259" s="148" t="s">
        <v>1940</v>
      </c>
      <c r="AC259" s="146" t="s">
        <v>1941</v>
      </c>
      <c r="AD259" s="146"/>
      <c r="AE259" s="183" t="str">
        <f>OBRA!X257</f>
        <v>ING. J. GUADALUPE IBARRA RAMIREZ</v>
      </c>
      <c r="AF259" s="552">
        <v>2264.0100000000002</v>
      </c>
      <c r="AG259" s="2" t="s">
        <v>1548</v>
      </c>
      <c r="AH259" s="615">
        <f t="shared" si="9"/>
        <v>672.42443717121375</v>
      </c>
      <c r="AI259" s="2">
        <v>6000</v>
      </c>
      <c r="AJ259" s="156" t="s">
        <v>1452</v>
      </c>
      <c r="AK259" s="513"/>
      <c r="AL259" s="513"/>
      <c r="AM259" s="513"/>
      <c r="AN259" s="1216"/>
      <c r="AO259" s="867"/>
      <c r="AP259" s="867"/>
      <c r="AQ259" s="878"/>
      <c r="AR259" s="969"/>
      <c r="AS259" s="705"/>
    </row>
    <row r="260" spans="1:45" ht="90.75" hidden="1" customHeight="1">
      <c r="A260" s="16">
        <f>OBRA!J258</f>
        <v>2017</v>
      </c>
      <c r="B260" s="783" t="s">
        <v>1563</v>
      </c>
      <c r="C260" s="783"/>
      <c r="D260" s="783"/>
      <c r="E260" s="2" t="str">
        <f>OBRA!M258</f>
        <v>RAMO 33</v>
      </c>
      <c r="F260" s="18" t="s">
        <v>1428</v>
      </c>
      <c r="G260" s="38" t="s">
        <v>2206</v>
      </c>
      <c r="H260" s="12" t="str">
        <f>OBRA!N258</f>
        <v>GMJ 033C OP/2017</v>
      </c>
      <c r="I260" s="2" t="str">
        <f>OBRA!O258</f>
        <v>ADJUDICACIÓN DIRECTA</v>
      </c>
      <c r="J260" s="3" t="str">
        <f>OBRA!P258</f>
        <v>REHABILITACION DE RED DE DRENAJE EN CALLE 21 DE MARZO, DE OTOÑO A PRIMAVERA, EN EL MUNICIPIO DE JOCOTEPEC, JALISCO</v>
      </c>
      <c r="K260" s="3" t="s">
        <v>1481</v>
      </c>
      <c r="L260" s="3"/>
      <c r="M260" s="3" t="s">
        <v>1490</v>
      </c>
      <c r="N260" s="3" t="s">
        <v>1975</v>
      </c>
      <c r="O260" s="466" t="s">
        <v>3486</v>
      </c>
      <c r="P260" s="79">
        <f>OBRA!R258</f>
        <v>275105.09999999998</v>
      </c>
      <c r="Q260" s="1023">
        <f t="shared" si="11"/>
        <v>237159.56896551725</v>
      </c>
      <c r="R260" s="1023"/>
      <c r="S260" s="67">
        <f>OBRA!S258</f>
        <v>43028</v>
      </c>
      <c r="T260" s="1134">
        <f>OBRA!V258</f>
        <v>43024</v>
      </c>
      <c r="U260" s="5">
        <f>OBRA!T258</f>
        <v>43031</v>
      </c>
      <c r="V260" s="11">
        <f>OBRA!U258</f>
        <v>43039</v>
      </c>
      <c r="W260" s="223"/>
      <c r="X260" s="578">
        <f>OBRA!AS258+OBRA!AT258</f>
        <v>293530.17</v>
      </c>
      <c r="Y260" s="278"/>
      <c r="Z260" s="146" t="str">
        <f>OBRA!W258</f>
        <v>ING. SERGIO CABRERA</v>
      </c>
      <c r="AA260" s="146"/>
      <c r="AB260" s="148" t="str">
        <f t="shared" si="10"/>
        <v>ING. SERGIO CABRERA</v>
      </c>
      <c r="AC260" s="2" t="s">
        <v>2959</v>
      </c>
      <c r="AD260" s="146" t="s">
        <v>2959</v>
      </c>
      <c r="AE260" s="183" t="str">
        <f>OBRA!X258</f>
        <v>ING. J. GUADALUPE IBARRA RAMIREZ</v>
      </c>
      <c r="AF260" s="552">
        <v>95.61</v>
      </c>
      <c r="AG260" s="2" t="s">
        <v>1451</v>
      </c>
      <c r="AH260" s="615">
        <f t="shared" si="9"/>
        <v>3070.0781299027299</v>
      </c>
      <c r="AI260" s="2">
        <v>400</v>
      </c>
      <c r="AJ260" s="156" t="s">
        <v>1444</v>
      </c>
      <c r="AK260" s="513"/>
      <c r="AL260" s="513"/>
      <c r="AM260" s="513"/>
      <c r="AN260" s="1216"/>
      <c r="AO260" s="867"/>
      <c r="AP260" s="867"/>
      <c r="AQ260" s="878"/>
      <c r="AR260" s="969"/>
      <c r="AS260" s="705"/>
    </row>
    <row r="261" spans="1:45" ht="66" hidden="1" customHeight="1">
      <c r="A261" s="16">
        <f>OBRA!J259</f>
        <v>2017</v>
      </c>
      <c r="B261" s="783" t="s">
        <v>1563</v>
      </c>
      <c r="C261" s="783"/>
      <c r="D261" s="783"/>
      <c r="E261" s="2" t="str">
        <f>OBRA!M259</f>
        <v>RAMO 33</v>
      </c>
      <c r="F261" s="18" t="s">
        <v>1428</v>
      </c>
      <c r="G261" s="38" t="s">
        <v>2206</v>
      </c>
      <c r="H261" s="12" t="str">
        <f>OBRA!N259</f>
        <v>GMJ 034C OP/2017</v>
      </c>
      <c r="I261" s="2" t="str">
        <f>OBRA!O259</f>
        <v>ADJUDICACIÓN DIRECTA</v>
      </c>
      <c r="J261" s="3" t="str">
        <f>OBRA!P259</f>
        <v>REHABILITACIÓN DE RED DE AGUA POTABLE EN CALLE 21 DE MARZO DE OTOÑO A PRIMAVERA, EN EL MUNICIPIO DE JOCOTEPEC, JALISCO</v>
      </c>
      <c r="K261" s="3" t="s">
        <v>1496</v>
      </c>
      <c r="L261" s="3"/>
      <c r="M261" s="3" t="s">
        <v>1490</v>
      </c>
      <c r="N261" s="3" t="s">
        <v>1975</v>
      </c>
      <c r="O261" s="466" t="s">
        <v>3486</v>
      </c>
      <c r="P261" s="79">
        <f>OBRA!R259</f>
        <v>185828.12</v>
      </c>
      <c r="Q261" s="1023">
        <f t="shared" si="11"/>
        <v>160196.6551724138</v>
      </c>
      <c r="R261" s="1023"/>
      <c r="S261" s="67">
        <f>OBRA!S259</f>
        <v>43028</v>
      </c>
      <c r="T261" s="1134">
        <f>OBRA!V259</f>
        <v>43024</v>
      </c>
      <c r="U261" s="5">
        <f>OBRA!T259</f>
        <v>43035</v>
      </c>
      <c r="V261" s="11">
        <f>OBRA!U259</f>
        <v>43041</v>
      </c>
      <c r="W261" s="223"/>
      <c r="X261" s="578">
        <f>OBRA!AS259+OBRA!AT259</f>
        <v>171505.29</v>
      </c>
      <c r="Y261" s="278"/>
      <c r="Z261" s="146" t="str">
        <f>OBRA!W259</f>
        <v>ING. SERGIO CABRERA</v>
      </c>
      <c r="AA261" s="146"/>
      <c r="AB261" s="148" t="str">
        <f t="shared" si="10"/>
        <v>ING. SERGIO CABRERA</v>
      </c>
      <c r="AC261" s="2" t="s">
        <v>2959</v>
      </c>
      <c r="AD261" s="146" t="s">
        <v>2959</v>
      </c>
      <c r="AE261" s="183" t="str">
        <f>OBRA!X259</f>
        <v>ING. J. GUADALUPE IBARRA RAMIREZ</v>
      </c>
      <c r="AF261" s="552">
        <v>95.61</v>
      </c>
      <c r="AG261" s="2" t="s">
        <v>1451</v>
      </c>
      <c r="AH261" s="615">
        <f t="shared" si="9"/>
        <v>1793.8007530593036</v>
      </c>
      <c r="AI261" s="2">
        <v>100</v>
      </c>
      <c r="AJ261" s="156" t="s">
        <v>1452</v>
      </c>
      <c r="AK261" s="513"/>
      <c r="AL261" s="513"/>
      <c r="AM261" s="513"/>
      <c r="AN261" s="1216"/>
      <c r="AO261" s="867"/>
      <c r="AP261" s="867"/>
      <c r="AQ261" s="878"/>
      <c r="AR261" s="969"/>
      <c r="AS261" s="705"/>
    </row>
    <row r="262" spans="1:45" ht="71.25" hidden="1" customHeight="1">
      <c r="A262" s="16">
        <f>OBRA!J260</f>
        <v>2017</v>
      </c>
      <c r="B262" s="783" t="s">
        <v>1563</v>
      </c>
      <c r="C262" s="783"/>
      <c r="D262" s="783"/>
      <c r="E262" s="2" t="str">
        <f>OBRA!M260</f>
        <v>RAMO 33</v>
      </c>
      <c r="F262" s="18" t="s">
        <v>1428</v>
      </c>
      <c r="G262" s="38" t="s">
        <v>2206</v>
      </c>
      <c r="H262" s="12" t="str">
        <f>OBRA!N260</f>
        <v>GMJ 035C OP/2017</v>
      </c>
      <c r="I262" s="2" t="str">
        <f>OBRA!O260</f>
        <v>ADJUDICACIÓN DIRECTA</v>
      </c>
      <c r="J262" s="3" t="str">
        <f>OBRA!P260</f>
        <v>REHABILITACIÓN DE RED DE DRENAJE EN PRIVADA LIBERTAD, EN LA AGENCIA MUNICIPAL DE NEXTIPAC, DEL MUNICIPIO DE JOCOTEPEC, JALISCO</v>
      </c>
      <c r="K262" s="3" t="s">
        <v>1481</v>
      </c>
      <c r="L262" s="3"/>
      <c r="M262" s="3" t="s">
        <v>1942</v>
      </c>
      <c r="N262" s="3" t="s">
        <v>2577</v>
      </c>
      <c r="O262" s="466" t="s">
        <v>3486</v>
      </c>
      <c r="P262" s="79">
        <f>OBRA!R260</f>
        <v>181893.05</v>
      </c>
      <c r="Q262" s="1023">
        <f t="shared" si="11"/>
        <v>156804.35344827586</v>
      </c>
      <c r="R262" s="1023"/>
      <c r="S262" s="67">
        <f>OBRA!S260</f>
        <v>42954</v>
      </c>
      <c r="T262" s="1134">
        <f>OBRA!V260</f>
        <v>42954</v>
      </c>
      <c r="U262" s="5">
        <f>OBRA!T260</f>
        <v>42956</v>
      </c>
      <c r="V262" s="11">
        <f>OBRA!U260</f>
        <v>42970</v>
      </c>
      <c r="W262" s="223"/>
      <c r="X262" s="578">
        <f>OBRA!AS260+OBRA!AT260</f>
        <v>217256.38</v>
      </c>
      <c r="Y262" s="278"/>
      <c r="Z262" s="146" t="str">
        <f>OBRA!W260</f>
        <v>ING. SERGIO CABRERA</v>
      </c>
      <c r="AA262" s="146"/>
      <c r="AB262" s="148" t="str">
        <f t="shared" si="10"/>
        <v>ING. SERGIO CABRERA</v>
      </c>
      <c r="AC262" s="2" t="s">
        <v>2959</v>
      </c>
      <c r="AD262" s="146" t="s">
        <v>2959</v>
      </c>
      <c r="AE262" s="183" t="str">
        <f>OBRA!X260</f>
        <v>ING. ANGEL ALBERTO HERNANDEZ MORA</v>
      </c>
      <c r="AF262" s="552">
        <v>103</v>
      </c>
      <c r="AG262" s="2" t="s">
        <v>1451</v>
      </c>
      <c r="AH262" s="615">
        <f t="shared" si="9"/>
        <v>2109.2852427184466</v>
      </c>
      <c r="AI262" s="2">
        <v>120</v>
      </c>
      <c r="AJ262" s="156" t="s">
        <v>1452</v>
      </c>
      <c r="AK262" s="513"/>
      <c r="AL262" s="513"/>
      <c r="AM262" s="513"/>
      <c r="AN262" s="1216"/>
      <c r="AO262" s="867"/>
      <c r="AP262" s="867"/>
      <c r="AQ262" s="878"/>
      <c r="AR262" s="969"/>
      <c r="AS262" s="705"/>
    </row>
    <row r="263" spans="1:45" ht="66.75" hidden="1" customHeight="1">
      <c r="A263" s="16">
        <f>OBRA!J261</f>
        <v>2017</v>
      </c>
      <c r="B263" s="783" t="s">
        <v>1563</v>
      </c>
      <c r="C263" s="783"/>
      <c r="D263" s="783"/>
      <c r="E263" s="2" t="str">
        <f>OBRA!M261</f>
        <v>RAMO 33</v>
      </c>
      <c r="F263" s="18" t="s">
        <v>1428</v>
      </c>
      <c r="G263" s="38" t="s">
        <v>2206</v>
      </c>
      <c r="H263" s="12" t="str">
        <f>OBRA!N261</f>
        <v>GMJ 036C OP/2017</v>
      </c>
      <c r="I263" s="2" t="str">
        <f>OBRA!O261</f>
        <v>ADJUDICACIÓN DIRECTA</v>
      </c>
      <c r="J263" s="3" t="str">
        <f>OBRA!P261</f>
        <v>CONSTRUCCIÓN DE EMPEDRADO ECOLOGICO EN PRIVADA LIBERTAD, EN LA AGENCIA MUNICIPAL DE NEXTIPAC, DEL MUNICIPIO DE JOCOTEPEC, JALISCO</v>
      </c>
      <c r="K263" s="3" t="s">
        <v>1943</v>
      </c>
      <c r="L263" s="3"/>
      <c r="M263" s="3" t="s">
        <v>1942</v>
      </c>
      <c r="N263" s="3" t="s">
        <v>2577</v>
      </c>
      <c r="O263" s="466" t="s">
        <v>3486</v>
      </c>
      <c r="P263" s="79">
        <f>OBRA!R261</f>
        <v>237009.82</v>
      </c>
      <c r="Q263" s="1023">
        <f t="shared" si="11"/>
        <v>204318.81034482759</v>
      </c>
      <c r="R263" s="1023"/>
      <c r="S263" s="67">
        <f>OBRA!S261</f>
        <v>42968</v>
      </c>
      <c r="T263" s="1134">
        <f>OBRA!V261</f>
        <v>42968</v>
      </c>
      <c r="U263" s="5">
        <f>OBRA!T261</f>
        <v>42970</v>
      </c>
      <c r="V263" s="11">
        <f>OBRA!U261</f>
        <v>42985</v>
      </c>
      <c r="W263" s="223"/>
      <c r="X263" s="578">
        <f>OBRA!AS261+OBRA!AT261</f>
        <v>234292.09</v>
      </c>
      <c r="Y263" s="278"/>
      <c r="Z263" s="146" t="str">
        <f>OBRA!W261</f>
        <v>ING. SERGIO CABRERA</v>
      </c>
      <c r="AA263" s="146"/>
      <c r="AB263" s="148" t="str">
        <f t="shared" si="10"/>
        <v>ING. SERGIO CABRERA</v>
      </c>
      <c r="AC263" s="2" t="s">
        <v>2959</v>
      </c>
      <c r="AD263" s="146" t="s">
        <v>2959</v>
      </c>
      <c r="AE263" s="183" t="str">
        <f>OBRA!X261</f>
        <v>ING. ANGEL ALBERTO HERNANDEZ MORA</v>
      </c>
      <c r="AF263" s="552">
        <v>424</v>
      </c>
      <c r="AG263" s="2" t="s">
        <v>1548</v>
      </c>
      <c r="AH263" s="615">
        <f t="shared" si="9"/>
        <v>552.57568396226418</v>
      </c>
      <c r="AI263" s="2">
        <v>120</v>
      </c>
      <c r="AJ263" s="156" t="s">
        <v>1452</v>
      </c>
      <c r="AK263" s="513"/>
      <c r="AL263" s="513"/>
      <c r="AM263" s="513"/>
      <c r="AN263" s="1216"/>
      <c r="AO263" s="867"/>
      <c r="AP263" s="867"/>
      <c r="AQ263" s="878"/>
      <c r="AR263" s="969"/>
      <c r="AS263" s="705"/>
    </row>
    <row r="264" spans="1:45" ht="68.25" hidden="1" customHeight="1">
      <c r="A264" s="16">
        <f>OBRA!J262</f>
        <v>2017</v>
      </c>
      <c r="B264" s="783" t="s">
        <v>1563</v>
      </c>
      <c r="C264" s="783"/>
      <c r="D264" s="783"/>
      <c r="E264" s="2" t="str">
        <f>OBRA!M262</f>
        <v>RAMO 33</v>
      </c>
      <c r="F264" s="18" t="s">
        <v>1428</v>
      </c>
      <c r="G264" s="38" t="s">
        <v>2206</v>
      </c>
      <c r="H264" s="12" t="str">
        <f>OBRA!N262</f>
        <v>GMJ 037C OP/2017</v>
      </c>
      <c r="I264" s="2" t="str">
        <f>OBRA!O262</f>
        <v>ADJUDICACIÓN DIRECTA</v>
      </c>
      <c r="J264" s="3" t="str">
        <f>OBRA!P262</f>
        <v>REHABILITACIÓN DE RED DE DRENAJE EN CALLE LIBERTAD, EN LA AGENCIA MUNICIPAL DE NEXTIPAC, DEL MUNICIPIO DE JOCOTEPEC</v>
      </c>
      <c r="K264" s="3" t="s">
        <v>1481</v>
      </c>
      <c r="L264" s="3"/>
      <c r="M264" s="3" t="s">
        <v>1746</v>
      </c>
      <c r="N264" s="3" t="s">
        <v>2577</v>
      </c>
      <c r="O264" s="466" t="s">
        <v>3486</v>
      </c>
      <c r="P264" s="79">
        <f>OBRA!R262</f>
        <v>93422.64</v>
      </c>
      <c r="Q264" s="1023">
        <f t="shared" si="11"/>
        <v>80536.758620689667</v>
      </c>
      <c r="R264" s="1023"/>
      <c r="S264" s="67">
        <f>OBRA!S262</f>
        <v>42948</v>
      </c>
      <c r="T264" s="1134">
        <f>OBRA!V262</f>
        <v>42948</v>
      </c>
      <c r="U264" s="5">
        <f>OBRA!T262</f>
        <v>42950</v>
      </c>
      <c r="V264" s="11">
        <f>OBRA!U262</f>
        <v>42957</v>
      </c>
      <c r="W264" s="223"/>
      <c r="X264" s="578">
        <f>OBRA!AS262+OBRA!AT262</f>
        <v>97471.05</v>
      </c>
      <c r="Y264" s="278"/>
      <c r="Z264" s="146" t="str">
        <f>OBRA!W262</f>
        <v>ING. SERGIO CABRERA</v>
      </c>
      <c r="AA264" s="146"/>
      <c r="AB264" s="148" t="str">
        <f>Z264</f>
        <v>ING. SERGIO CABRERA</v>
      </c>
      <c r="AC264" s="2" t="s">
        <v>2959</v>
      </c>
      <c r="AD264" s="146" t="s">
        <v>2959</v>
      </c>
      <c r="AE264" s="183" t="str">
        <f>OBRA!X262</f>
        <v>ING. ANGEL ALBERTO HERNANDEZ MORA</v>
      </c>
      <c r="AF264" s="552">
        <v>124</v>
      </c>
      <c r="AG264" s="2" t="s">
        <v>1451</v>
      </c>
      <c r="AH264" s="183">
        <f t="shared" ref="AH264:AH327" si="12">X264/AF264</f>
        <v>786.05685483870968</v>
      </c>
      <c r="AI264" s="2">
        <v>270</v>
      </c>
      <c r="AJ264" s="156" t="s">
        <v>1452</v>
      </c>
      <c r="AK264" s="513"/>
      <c r="AL264" s="513"/>
      <c r="AM264" s="513"/>
      <c r="AN264" s="1216"/>
      <c r="AO264" s="867"/>
      <c r="AP264" s="867"/>
      <c r="AQ264" s="878"/>
      <c r="AR264" s="969"/>
      <c r="AS264" s="705"/>
    </row>
    <row r="265" spans="1:45" ht="62.25" hidden="1" customHeight="1">
      <c r="A265" s="16">
        <f>OBRA!J263</f>
        <v>2017</v>
      </c>
      <c r="B265" s="783" t="s">
        <v>1563</v>
      </c>
      <c r="C265" s="783"/>
      <c r="D265" s="783"/>
      <c r="E265" s="2" t="str">
        <f>OBRA!M263</f>
        <v>RAMO 33</v>
      </c>
      <c r="F265" s="18" t="s">
        <v>1428</v>
      </c>
      <c r="G265" s="38" t="s">
        <v>2206</v>
      </c>
      <c r="H265" s="12" t="str">
        <f>OBRA!N263</f>
        <v>GMJ 038C OP/2017</v>
      </c>
      <c r="I265" s="2" t="str">
        <f>OBRA!O263</f>
        <v>ADJUDICACIÓN DIRECTA</v>
      </c>
      <c r="J265" s="3" t="str">
        <f>OBRA!P263</f>
        <v xml:space="preserve">CONSTRUCCIÓN DE EMPEDRADO AHOGADO EN CEMENTO EN CALLE LIBERTAD, EN LA AGENCIA MUNICIPAL DE NEXTIPAC, DEL MUNICIPIO DE JOCOTEPEC, JALISCO </v>
      </c>
      <c r="K265" s="3" t="s">
        <v>1592</v>
      </c>
      <c r="L265" s="3"/>
      <c r="M265" s="3" t="s">
        <v>1746</v>
      </c>
      <c r="N265" s="3" t="s">
        <v>2577</v>
      </c>
      <c r="O265" s="466" t="s">
        <v>3486</v>
      </c>
      <c r="P265" s="79">
        <f>OBRA!R263</f>
        <v>329150.28999999998</v>
      </c>
      <c r="Q265" s="1023">
        <f t="shared" si="11"/>
        <v>283750.25</v>
      </c>
      <c r="R265" s="1023"/>
      <c r="S265" s="67">
        <f>OBRA!S263</f>
        <v>42983</v>
      </c>
      <c r="T265" s="1134">
        <f>OBRA!V263</f>
        <v>42983</v>
      </c>
      <c r="U265" s="5">
        <f>OBRA!T263</f>
        <v>42985</v>
      </c>
      <c r="V265" s="11">
        <f>OBRA!U263</f>
        <v>42995</v>
      </c>
      <c r="W265" s="223"/>
      <c r="X265" s="578">
        <f>OBRA!AS263+OBRA!AT263</f>
        <v>372953.49</v>
      </c>
      <c r="Y265" s="278"/>
      <c r="Z265" s="146" t="str">
        <f>OBRA!W263</f>
        <v>ING. SERGIO CABRERA</v>
      </c>
      <c r="AA265" s="146"/>
      <c r="AB265" s="148" t="str">
        <f>Z265</f>
        <v>ING. SERGIO CABRERA</v>
      </c>
      <c r="AC265" s="2" t="s">
        <v>2959</v>
      </c>
      <c r="AD265" s="146" t="s">
        <v>2959</v>
      </c>
      <c r="AE265" s="183" t="str">
        <f>OBRA!X263</f>
        <v>ING. ANGEL ALBERTO HERNANDEZ MORA</v>
      </c>
      <c r="AF265" s="552">
        <v>428.3</v>
      </c>
      <c r="AG265" s="2" t="s">
        <v>1548</v>
      </c>
      <c r="AH265" s="183">
        <f t="shared" si="12"/>
        <v>870.77630165771654</v>
      </c>
      <c r="AI265" s="2">
        <v>270</v>
      </c>
      <c r="AJ265" s="156" t="s">
        <v>1452</v>
      </c>
      <c r="AK265" s="513"/>
      <c r="AL265" s="513"/>
      <c r="AM265" s="513"/>
      <c r="AN265" s="1216"/>
      <c r="AO265" s="867"/>
      <c r="AP265" s="867"/>
      <c r="AQ265" s="878"/>
      <c r="AR265" s="969"/>
      <c r="AS265" s="705"/>
    </row>
    <row r="266" spans="1:45" s="104" customFormat="1" ht="51" hidden="1" customHeight="1">
      <c r="A266" s="82">
        <f>OBRA!J264</f>
        <v>2017</v>
      </c>
      <c r="B266" s="781" t="s">
        <v>1427</v>
      </c>
      <c r="C266" s="781"/>
      <c r="D266" s="781"/>
      <c r="E266" s="85">
        <f>OBRA!M264</f>
        <v>0</v>
      </c>
      <c r="F266" s="83"/>
      <c r="G266" s="514"/>
      <c r="H266" s="84" t="str">
        <f>OBRA!N264</f>
        <v>GMJ 039C OP/2017</v>
      </c>
      <c r="I266" s="185" t="str">
        <f>OBRA!O264</f>
        <v>CANCELADA</v>
      </c>
      <c r="J266" s="125" t="str">
        <f>OBRA!P264</f>
        <v>CANCELADO</v>
      </c>
      <c r="K266" s="125"/>
      <c r="L266" s="125"/>
      <c r="M266" s="125"/>
      <c r="N266" s="125"/>
      <c r="O266" s="541"/>
      <c r="P266" s="86">
        <f>OBRA!R264</f>
        <v>0</v>
      </c>
      <c r="Q266" s="86"/>
      <c r="R266" s="86"/>
      <c r="S266" s="87">
        <f>OBRA!S264</f>
        <v>0</v>
      </c>
      <c r="T266" s="1134">
        <f>OBRA!V264</f>
        <v>0</v>
      </c>
      <c r="U266" s="88">
        <f>OBRA!T264</f>
        <v>0</v>
      </c>
      <c r="V266" s="89">
        <f>OBRA!U264</f>
        <v>0</v>
      </c>
      <c r="W266" s="338"/>
      <c r="X266" s="810">
        <f>OBRA!AS264+OBRA!AT264</f>
        <v>0</v>
      </c>
      <c r="Y266" s="821"/>
      <c r="Z266" s="147">
        <f>OBRA!W264</f>
        <v>0</v>
      </c>
      <c r="AA266" s="147"/>
      <c r="AB266" s="149">
        <f>Z266</f>
        <v>0</v>
      </c>
      <c r="AC266" s="146" t="s">
        <v>1428</v>
      </c>
      <c r="AD266" s="2" t="s">
        <v>1428</v>
      </c>
      <c r="AE266" s="184">
        <f>OBRA!X264</f>
        <v>0</v>
      </c>
      <c r="AF266" s="84"/>
      <c r="AG266" s="85"/>
      <c r="AH266" s="184" t="e">
        <f t="shared" si="12"/>
        <v>#DIV/0!</v>
      </c>
      <c r="AI266" s="85"/>
      <c r="AJ266" s="575"/>
      <c r="AK266" s="527"/>
      <c r="AL266" s="527"/>
      <c r="AM266" s="527"/>
      <c r="AN266" s="1215"/>
      <c r="AO266" s="527"/>
      <c r="AP266" s="655"/>
      <c r="AQ266" s="527"/>
      <c r="AR266" s="527"/>
      <c r="AS266" s="575"/>
    </row>
    <row r="267" spans="1:45" ht="70.5" hidden="1" customHeight="1">
      <c r="A267" s="16">
        <f>OBRA!J265</f>
        <v>2017</v>
      </c>
      <c r="B267" s="783" t="s">
        <v>1563</v>
      </c>
      <c r="C267" s="783"/>
      <c r="D267" s="783"/>
      <c r="E267" s="2" t="str">
        <f>OBRA!M265</f>
        <v>RAMO 33</v>
      </c>
      <c r="F267" s="18" t="s">
        <v>1428</v>
      </c>
      <c r="G267" s="38" t="s">
        <v>2206</v>
      </c>
      <c r="H267" s="12" t="str">
        <f>OBRA!N265</f>
        <v>GMJ 040C OP/2017</v>
      </c>
      <c r="I267" s="2" t="str">
        <f>OBRA!O265</f>
        <v>ADJUDICACIÓN DIRECTA</v>
      </c>
      <c r="J267" s="3" t="str">
        <f>OBRA!P265</f>
        <v>CONSTRUCCIÓN DE RED DE DRENAJE EN EL BARRIO CONOCIDO COMO EL TORIL EN LA LOCALIDAD DE ZAPOTITAN DE HIDALGO DEL MUNICIPIO DE JOCOTEPEC, JALISCO</v>
      </c>
      <c r="K267" s="3" t="s">
        <v>1481</v>
      </c>
      <c r="L267" s="3"/>
      <c r="M267" s="3" t="s">
        <v>1944</v>
      </c>
      <c r="N267" s="3" t="s">
        <v>2604</v>
      </c>
      <c r="O267" s="466" t="s">
        <v>3486</v>
      </c>
      <c r="P267" s="79">
        <f>OBRA!R265</f>
        <v>965876.67</v>
      </c>
      <c r="Q267" s="1023">
        <f t="shared" si="11"/>
        <v>832652.30172413797</v>
      </c>
      <c r="R267" s="1023"/>
      <c r="S267" s="67">
        <f>OBRA!S265</f>
        <v>42965</v>
      </c>
      <c r="T267" s="1134">
        <f>OBRA!V265</f>
        <v>42933</v>
      </c>
      <c r="U267" s="5">
        <f>OBRA!T265</f>
        <v>42968</v>
      </c>
      <c r="V267" s="11">
        <f>OBRA!U265</f>
        <v>43000</v>
      </c>
      <c r="W267" s="223"/>
      <c r="X267" s="578">
        <f>OBRA!AS265+OBRA!AT265</f>
        <v>965876.66</v>
      </c>
      <c r="Y267" s="278"/>
      <c r="Z267" s="146" t="str">
        <f>OBRA!W265</f>
        <v>SERVICIOS ARQUITECTÓNICOS MOAPAL S.A. DE C.V.</v>
      </c>
      <c r="AA267" s="146"/>
      <c r="AB267" s="148" t="s">
        <v>1927</v>
      </c>
      <c r="AC267" s="146" t="s">
        <v>1928</v>
      </c>
      <c r="AD267" s="146"/>
      <c r="AE267" s="183" t="str">
        <f>OBRA!X265</f>
        <v>ING. ANGEL ALBERTO HERNANDEZ MORA</v>
      </c>
      <c r="AF267" s="552">
        <v>726.72</v>
      </c>
      <c r="AG267" s="2" t="s">
        <v>1451</v>
      </c>
      <c r="AH267" s="183">
        <f t="shared" si="12"/>
        <v>1329.0905162923823</v>
      </c>
      <c r="AI267" s="2">
        <v>200</v>
      </c>
      <c r="AJ267" s="156" t="s">
        <v>1452</v>
      </c>
      <c r="AK267" s="513"/>
      <c r="AL267" s="513"/>
      <c r="AM267" s="513"/>
      <c r="AN267" s="1216"/>
      <c r="AO267" s="867"/>
      <c r="AP267" s="867"/>
      <c r="AQ267" s="878"/>
      <c r="AR267" s="969"/>
      <c r="AS267" s="705"/>
    </row>
    <row r="268" spans="1:45" ht="81" hidden="1" customHeight="1">
      <c r="A268" s="16">
        <f>OBRA!J266</f>
        <v>2017</v>
      </c>
      <c r="B268" s="783" t="s">
        <v>1563</v>
      </c>
      <c r="C268" s="783"/>
      <c r="D268" s="783"/>
      <c r="E268" s="2" t="str">
        <f>OBRA!M266</f>
        <v>RAMO 33</v>
      </c>
      <c r="F268" s="18" t="s">
        <v>1428</v>
      </c>
      <c r="G268" s="38" t="s">
        <v>2206</v>
      </c>
      <c r="H268" s="12" t="str">
        <f>OBRA!N266</f>
        <v>GMJ 041C OP/2017</v>
      </c>
      <c r="I268" s="2" t="str">
        <f>OBRA!O266</f>
        <v>ADJUDICACIÓN DIRECTA</v>
      </c>
      <c r="J268" s="3" t="str">
        <f>OBRA!P266</f>
        <v>CONSTRUCCIÓN DE CASETA DE CONTROL Y CUARTO DE CLORACIÓN PARA EL POZO DE LA PLAZOLETA EL CHANTE, DELEGACIÓN DE CHANTEPEC, JOCOTEPEC JALISCO</v>
      </c>
      <c r="K268" s="3" t="s">
        <v>1945</v>
      </c>
      <c r="L268" s="3"/>
      <c r="M268" s="3" t="s">
        <v>1861</v>
      </c>
      <c r="N268" s="3" t="s">
        <v>2538</v>
      </c>
      <c r="O268" s="466" t="s">
        <v>3486</v>
      </c>
      <c r="P268" s="79">
        <f>OBRA!R266</f>
        <v>185695.33</v>
      </c>
      <c r="Q268" s="1023">
        <f t="shared" si="11"/>
        <v>160082.18103448275</v>
      </c>
      <c r="R268" s="1023"/>
      <c r="S268" s="67">
        <f>OBRA!S266</f>
        <v>42948</v>
      </c>
      <c r="T268" s="1134">
        <f>OBRA!V266</f>
        <v>42948</v>
      </c>
      <c r="U268" s="5">
        <f>OBRA!T266</f>
        <v>42950</v>
      </c>
      <c r="V268" s="11">
        <f>OBRA!U266</f>
        <v>42978</v>
      </c>
      <c r="W268" s="223"/>
      <c r="X268" s="578">
        <f>OBRA!AS266+OBRA!AT266</f>
        <v>185067.76</v>
      </c>
      <c r="Y268" s="278"/>
      <c r="Z268" s="146" t="str">
        <f>OBRA!W266</f>
        <v xml:space="preserve">GRUPO DESARROLLADOR INMOBILIARIO CEMERAMA S.A. DE C.V. </v>
      </c>
      <c r="AA268" s="146"/>
      <c r="AB268" s="148" t="s">
        <v>1833</v>
      </c>
      <c r="AC268" s="146" t="s">
        <v>1834</v>
      </c>
      <c r="AD268" s="146"/>
      <c r="AE268" s="183" t="str">
        <f>OBRA!X266</f>
        <v>LIC. SALVADOR CONTRERAS OLGUÍN</v>
      </c>
      <c r="AF268" s="552">
        <v>50.5</v>
      </c>
      <c r="AG268" s="2" t="s">
        <v>1548</v>
      </c>
      <c r="AH268" s="615">
        <f t="shared" si="12"/>
        <v>3664.7081188118814</v>
      </c>
      <c r="AI268" s="2">
        <v>1500</v>
      </c>
      <c r="AJ268" s="156" t="s">
        <v>1452</v>
      </c>
      <c r="AK268" s="513"/>
      <c r="AL268" s="513"/>
      <c r="AM268" s="513"/>
      <c r="AN268" s="1216"/>
      <c r="AO268" s="867"/>
      <c r="AP268" s="867"/>
      <c r="AQ268" s="878"/>
      <c r="AR268" s="969"/>
      <c r="AS268" s="705"/>
    </row>
    <row r="269" spans="1:45" ht="77.25" hidden="1" customHeight="1">
      <c r="A269" s="16">
        <f>OBRA!J267</f>
        <v>-2016</v>
      </c>
      <c r="B269" s="783" t="s">
        <v>1563</v>
      </c>
      <c r="C269" s="783"/>
      <c r="D269" s="783"/>
      <c r="E269" s="2" t="str">
        <f>OBRA!M267</f>
        <v>RAMO 33</v>
      </c>
      <c r="F269" s="18" t="s">
        <v>1428</v>
      </c>
      <c r="G269" s="38"/>
      <c r="H269" s="12" t="str">
        <f>OBRA!N267</f>
        <v>GMJ 042C OP/2017</v>
      </c>
      <c r="I269" s="2" t="str">
        <f>OBRA!O267</f>
        <v>ADJUDICACIÓN DIRECTA</v>
      </c>
      <c r="J269" s="3" t="str">
        <f>OBRA!P267</f>
        <v>ELECTRIFICACIÓN DE MEDIA Y BAJA TENSIÓN Y TRANSFORMADOR PARA EL POZO DE LA PLAZOLETA, EN LA LOCALIDAD DE CHANTEPEC,  DEL MUNICIPIO DE  JOCOTEPEC, JALISCO</v>
      </c>
      <c r="K269" s="3" t="s">
        <v>1439</v>
      </c>
      <c r="L269" s="3"/>
      <c r="M269" s="3" t="s">
        <v>1861</v>
      </c>
      <c r="N269" s="3"/>
      <c r="O269" s="504"/>
      <c r="P269" s="79">
        <f>OBRA!R267</f>
        <v>360000</v>
      </c>
      <c r="Q269" s="79"/>
      <c r="R269" s="79"/>
      <c r="S269" s="67">
        <f>OBRA!S267</f>
        <v>42951</v>
      </c>
      <c r="T269" s="1134">
        <f>OBRA!V267</f>
        <v>42948</v>
      </c>
      <c r="U269" s="5">
        <f>OBRA!T267</f>
        <v>42954</v>
      </c>
      <c r="V269" s="11">
        <f>OBRA!U267</f>
        <v>42973</v>
      </c>
      <c r="W269" s="223"/>
      <c r="X269" s="578">
        <f>OBRA!AS267+OBRA!AT267</f>
        <v>359963.34</v>
      </c>
      <c r="Y269" s="278"/>
      <c r="Z269" s="146" t="str">
        <f>OBRA!W267</f>
        <v>ENERGIAS RENOVABLES DE LA RIVERA S.A. DE C.V</v>
      </c>
      <c r="AA269" s="146"/>
      <c r="AB269" s="148" t="s">
        <v>1755</v>
      </c>
      <c r="AC269" s="146" t="s">
        <v>1756</v>
      </c>
      <c r="AD269" s="146"/>
      <c r="AE269" s="183" t="str">
        <f>OBRA!X267</f>
        <v>ING. RIGOBERTO OLMEDO RAMOS</v>
      </c>
      <c r="AF269" s="552">
        <v>1</v>
      </c>
      <c r="AG269" s="2" t="s">
        <v>1573</v>
      </c>
      <c r="AH269" s="615">
        <f t="shared" si="12"/>
        <v>359963.34</v>
      </c>
      <c r="AI269" s="2">
        <v>800</v>
      </c>
      <c r="AJ269" s="156" t="s">
        <v>1452</v>
      </c>
      <c r="AK269" s="513"/>
      <c r="AL269" s="513"/>
      <c r="AM269" s="513"/>
      <c r="AN269" s="786"/>
      <c r="AO269" s="466" t="s">
        <v>1947</v>
      </c>
      <c r="AP269" s="466" t="s">
        <v>1948</v>
      </c>
      <c r="AQ269" s="524" t="s">
        <v>1949</v>
      </c>
      <c r="AR269" s="493"/>
      <c r="AS269" s="1097" t="s">
        <v>1950</v>
      </c>
    </row>
    <row r="270" spans="1:45" ht="72" hidden="1" customHeight="1">
      <c r="A270" s="16">
        <f>OBRA!J268</f>
        <v>2017</v>
      </c>
      <c r="B270" s="783" t="s">
        <v>1563</v>
      </c>
      <c r="C270" s="783"/>
      <c r="D270" s="783"/>
      <c r="E270" s="2" t="str">
        <f>OBRA!M268</f>
        <v>CUENTA CORRIENTE</v>
      </c>
      <c r="F270" s="18" t="s">
        <v>1428</v>
      </c>
      <c r="G270" s="38" t="s">
        <v>2206</v>
      </c>
      <c r="H270" s="12" t="str">
        <f>OBRA!N268</f>
        <v>GMJ 043C OP/2017</v>
      </c>
      <c r="I270" s="2" t="str">
        <f>OBRA!O268</f>
        <v>ADJUDICACIÓN DIRECTA</v>
      </c>
      <c r="J270" s="3" t="str">
        <f>OBRA!P268</f>
        <v>ELECTRIFICACIÓN DE LA SUBDIVICION DE LAS AREAS DE CESION DE VISTA DEL ANGEL, EN LA LOCALIDAD DE SAN JUAN COSALA DEL MUNICIPIO DE JOCOTEPEC, JALISCO</v>
      </c>
      <c r="K270" s="3" t="s">
        <v>1481</v>
      </c>
      <c r="L270" s="3"/>
      <c r="M270" s="3" t="s">
        <v>1490</v>
      </c>
      <c r="N270" s="3" t="s">
        <v>1975</v>
      </c>
      <c r="O270" s="466" t="s">
        <v>3486</v>
      </c>
      <c r="P270" s="79">
        <f>OBRA!R268</f>
        <v>729291.31</v>
      </c>
      <c r="Q270" s="1023">
        <f t="shared" si="11"/>
        <v>628699.40517241391</v>
      </c>
      <c r="R270" s="1023"/>
      <c r="S270" s="670">
        <f>OBRA!S268</f>
        <v>42916</v>
      </c>
      <c r="T270" s="1134">
        <f>OBRA!V268</f>
        <v>42912</v>
      </c>
      <c r="U270" s="5">
        <f>OBRA!T268</f>
        <v>42917</v>
      </c>
      <c r="V270" s="11">
        <f>OBRA!U268</f>
        <v>43158</v>
      </c>
      <c r="W270" s="223"/>
      <c r="X270" s="606">
        <f>OBRA!AS268+OBRA!AT268</f>
        <v>0</v>
      </c>
      <c r="Y270" s="1015"/>
      <c r="Z270" s="146" t="str">
        <f>OBRA!W268</f>
        <v>ELECTRIFICACIONES MUGA, S.A. DE C.V.</v>
      </c>
      <c r="AA270" s="146"/>
      <c r="AB270" s="148" t="str">
        <f>Z270</f>
        <v>ELECTRIFICACIONES MUGA, S.A. DE C.V.</v>
      </c>
      <c r="AC270" s="146" t="s">
        <v>1922</v>
      </c>
      <c r="AD270" s="146"/>
      <c r="AE270" s="183" t="str">
        <f>OBRA!X268</f>
        <v>C. DANIEL RODRIGUEZ VALENZUELA</v>
      </c>
      <c r="AF270" s="552">
        <v>81.11</v>
      </c>
      <c r="AG270" s="2" t="s">
        <v>1451</v>
      </c>
      <c r="AH270" s="634">
        <f t="shared" si="12"/>
        <v>0</v>
      </c>
      <c r="AI270" s="388">
        <v>500</v>
      </c>
      <c r="AJ270" s="872" t="s">
        <v>1452</v>
      </c>
      <c r="AK270" s="1507"/>
      <c r="AL270" s="1507"/>
      <c r="AM270" s="1507"/>
      <c r="AN270" s="1216"/>
      <c r="AO270" s="529"/>
      <c r="AP270" s="867"/>
      <c r="AQ270" s="867"/>
      <c r="AR270" s="968"/>
      <c r="AS270" s="968"/>
    </row>
    <row r="271" spans="1:45" s="104" customFormat="1" ht="65.25" hidden="1" customHeight="1">
      <c r="A271" s="82">
        <f>OBRA!J269</f>
        <v>2017</v>
      </c>
      <c r="B271" s="781" t="s">
        <v>1427</v>
      </c>
      <c r="C271" s="781"/>
      <c r="D271" s="781"/>
      <c r="E271" s="85">
        <f>OBRA!M269</f>
        <v>0</v>
      </c>
      <c r="F271" s="83" t="s">
        <v>1428</v>
      </c>
      <c r="G271" s="857"/>
      <c r="H271" s="103" t="str">
        <f>OBRA!N269</f>
        <v>GMJ 044C OP/2017</v>
      </c>
      <c r="I271" s="185" t="str">
        <f>OBRA!O269</f>
        <v>CANCELADA</v>
      </c>
      <c r="J271" s="125">
        <f>OBRA!P269</f>
        <v>0</v>
      </c>
      <c r="K271" s="125" t="s">
        <v>1496</v>
      </c>
      <c r="L271" s="125"/>
      <c r="M271" s="125" t="s">
        <v>1490</v>
      </c>
      <c r="N271" s="125"/>
      <c r="O271" s="529"/>
      <c r="P271" s="86">
        <f>OBRA!R269</f>
        <v>0</v>
      </c>
      <c r="Q271" s="86"/>
      <c r="R271" s="86"/>
      <c r="S271" s="87">
        <f>OBRA!S269</f>
        <v>0</v>
      </c>
      <c r="T271" s="1134">
        <f>OBRA!V269</f>
        <v>0</v>
      </c>
      <c r="U271" s="88">
        <f>OBRA!T269</f>
        <v>0</v>
      </c>
      <c r="V271" s="89">
        <f>OBRA!U269</f>
        <v>0</v>
      </c>
      <c r="W271" s="338"/>
      <c r="X271" s="810">
        <f>OBRA!AS269+OBRA!AT269</f>
        <v>0</v>
      </c>
      <c r="Y271" s="821"/>
      <c r="Z271" s="147" t="str">
        <f>OBRA!W269</f>
        <v>-</v>
      </c>
      <c r="AA271" s="147"/>
      <c r="AB271" s="149" t="str">
        <f>Z271</f>
        <v>-</v>
      </c>
      <c r="AC271" s="147" t="s">
        <v>1922</v>
      </c>
      <c r="AD271" s="147"/>
      <c r="AE271" s="184" t="str">
        <f>OBRA!X269</f>
        <v>-</v>
      </c>
      <c r="AF271" s="817">
        <v>81.61</v>
      </c>
      <c r="AG271" s="85" t="s">
        <v>1451</v>
      </c>
      <c r="AH271" s="184">
        <f t="shared" si="12"/>
        <v>0</v>
      </c>
      <c r="AI271" s="85"/>
      <c r="AJ271" s="575" t="s">
        <v>1452</v>
      </c>
      <c r="AK271" s="527"/>
      <c r="AL271" s="527"/>
      <c r="AM271" s="527"/>
      <c r="AN271" s="1215"/>
      <c r="AO271" s="527"/>
      <c r="AP271" s="655"/>
      <c r="AQ271" s="818"/>
      <c r="AR271" s="818"/>
      <c r="AS271" s="575"/>
    </row>
    <row r="272" spans="1:45" ht="138" hidden="1" customHeight="1">
      <c r="A272" s="16">
        <f>OBRA!J270</f>
        <v>2017</v>
      </c>
      <c r="B272" s="783" t="s">
        <v>1563</v>
      </c>
      <c r="C272" s="783"/>
      <c r="D272" s="783"/>
      <c r="E272" s="2" t="str">
        <f>OBRA!M270</f>
        <v>FONDEREG</v>
      </c>
      <c r="F272" s="704" t="s">
        <v>1951</v>
      </c>
      <c r="G272" s="38" t="s">
        <v>2206</v>
      </c>
      <c r="H272" s="12" t="str">
        <f>OBRA!N270</f>
        <v>GMJ 045C OP/2017</v>
      </c>
      <c r="I272" s="2" t="str">
        <f>OBRA!O270</f>
        <v>INVITACIÓN</v>
      </c>
      <c r="J272" s="3" t="str">
        <f>OBRA!P270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6" t="s">
        <v>3486</v>
      </c>
      <c r="P272" s="79">
        <f>OBRA!R270</f>
        <v>3445881.8</v>
      </c>
      <c r="Q272" s="1023">
        <f>P272/1.16</f>
        <v>2970587.7586206896</v>
      </c>
      <c r="R272" s="1023"/>
      <c r="S272" s="67">
        <f>OBRA!S270</f>
        <v>42976</v>
      </c>
      <c r="T272" s="1134" t="str">
        <f>OBRA!V270</f>
        <v>-</v>
      </c>
      <c r="U272" s="5">
        <f>OBRA!T270</f>
        <v>42979</v>
      </c>
      <c r="V272" s="11">
        <f>OBRA!U270</f>
        <v>43054</v>
      </c>
      <c r="W272" s="220">
        <f>P272*0.25</f>
        <v>861470.45</v>
      </c>
      <c r="X272" s="578">
        <f>OBRA!AS270+OBRA!AT270</f>
        <v>3450804.48</v>
      </c>
      <c r="Y272" s="1111" t="s">
        <v>2898</v>
      </c>
      <c r="Z272" s="146" t="str">
        <f>OBRA!W270</f>
        <v xml:space="preserve">GRUPO DESARROLLADOR INMOBILIARIO CEMERAMA S.A. DE C.V. </v>
      </c>
      <c r="AA272" s="146"/>
      <c r="AB272" s="148" t="s">
        <v>1833</v>
      </c>
      <c r="AC272" s="146" t="s">
        <v>1834</v>
      </c>
      <c r="AD272" s="146" t="s">
        <v>2896</v>
      </c>
      <c r="AE272" s="183" t="str">
        <f>OBRA!X270</f>
        <v xml:space="preserve">LIC. SALVADOR CONTRERAS </v>
      </c>
      <c r="AF272" s="552">
        <v>216.54</v>
      </c>
      <c r="AG272" s="2" t="s">
        <v>1451</v>
      </c>
      <c r="AH272" s="183">
        <f t="shared" si="12"/>
        <v>15936.106400665005</v>
      </c>
      <c r="AI272" s="2">
        <v>5000</v>
      </c>
      <c r="AJ272" s="156" t="s">
        <v>1452</v>
      </c>
      <c r="AK272" s="513"/>
      <c r="AL272" s="513"/>
      <c r="AM272" s="513"/>
      <c r="AN272" s="1216"/>
      <c r="AO272" s="529"/>
      <c r="AP272" s="633" t="s">
        <v>1953</v>
      </c>
      <c r="AQ272" s="524" t="s">
        <v>1954</v>
      </c>
      <c r="AR272" s="493"/>
      <c r="AS272" s="1097" t="s">
        <v>1955</v>
      </c>
    </row>
    <row r="273" spans="1:45" ht="152.25" hidden="1" customHeight="1">
      <c r="A273" s="16">
        <f>OBRA!J271</f>
        <v>2017</v>
      </c>
      <c r="B273" s="783" t="s">
        <v>1563</v>
      </c>
      <c r="C273" s="783"/>
      <c r="D273" s="783"/>
      <c r="E273" s="2" t="str">
        <f>OBRA!M271</f>
        <v>FOCOCI</v>
      </c>
      <c r="F273" s="704" t="s">
        <v>1956</v>
      </c>
      <c r="G273" s="38" t="s">
        <v>2206</v>
      </c>
      <c r="H273" s="12" t="str">
        <f>OBRA!N271</f>
        <v>GMJ 046C OP/2017</v>
      </c>
      <c r="I273" s="2" t="str">
        <f>OBRA!O271</f>
        <v>INVITACIÓN</v>
      </c>
      <c r="J273" s="3" t="str">
        <f>OBRA!P271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6" t="s">
        <v>3486</v>
      </c>
      <c r="P273" s="79">
        <f>OBRA!R271</f>
        <v>2995704.85</v>
      </c>
      <c r="Q273" s="1023">
        <f>P273/1.16</f>
        <v>2582504.181034483</v>
      </c>
      <c r="R273" s="1023"/>
      <c r="S273" s="67">
        <f>OBRA!S271</f>
        <v>42949</v>
      </c>
      <c r="T273" s="1134" t="str">
        <f>OBRA!V271</f>
        <v>-</v>
      </c>
      <c r="U273" s="5">
        <f>OBRA!T271</f>
        <v>42982</v>
      </c>
      <c r="V273" s="11">
        <f>OBRA!U271</f>
        <v>43049</v>
      </c>
      <c r="W273" s="220">
        <v>0</v>
      </c>
      <c r="X273" s="578">
        <f>OBRA!AS271+OBRA!AT271</f>
        <v>2923704.83</v>
      </c>
      <c r="Y273" s="1111" t="s">
        <v>2899</v>
      </c>
      <c r="Z273" s="146" t="str">
        <f>OBRA!W271</f>
        <v>PROYECCION INTEGRAL ZURE S.A. DE C.V.</v>
      </c>
      <c r="AA273" s="146"/>
      <c r="AB273" s="148" t="s">
        <v>1957</v>
      </c>
      <c r="AC273" s="146" t="s">
        <v>1958</v>
      </c>
      <c r="AD273" s="146" t="s">
        <v>2897</v>
      </c>
      <c r="AE273" s="183" t="str">
        <f>OBRA!X271</f>
        <v xml:space="preserve">LIC. SALVADOR CONTRERAS </v>
      </c>
      <c r="AF273" s="552">
        <v>927.73</v>
      </c>
      <c r="AG273" s="2" t="s">
        <v>1548</v>
      </c>
      <c r="AH273" s="615">
        <f t="shared" si="12"/>
        <v>3151.4609099630279</v>
      </c>
      <c r="AI273" s="2">
        <v>50000</v>
      </c>
      <c r="AJ273" s="156" t="s">
        <v>1452</v>
      </c>
      <c r="AK273" s="513"/>
      <c r="AL273" s="513"/>
      <c r="AM273" s="513"/>
      <c r="AN273" s="1216"/>
      <c r="AO273" s="633" t="s">
        <v>1959</v>
      </c>
      <c r="AP273" s="633" t="s">
        <v>1960</v>
      </c>
      <c r="AQ273" s="524" t="s">
        <v>1961</v>
      </c>
      <c r="AR273" s="493"/>
      <c r="AS273" s="525" t="s">
        <v>1962</v>
      </c>
    </row>
    <row r="274" spans="1:45" ht="112.5" hidden="1" customHeight="1">
      <c r="A274" s="16">
        <f>OBRA!J272</f>
        <v>-2016</v>
      </c>
      <c r="B274" s="783" t="s">
        <v>1563</v>
      </c>
      <c r="C274" s="783"/>
      <c r="D274" s="783"/>
      <c r="E274" s="2" t="str">
        <f>OBRA!M272</f>
        <v>FOREMODA</v>
      </c>
      <c r="F274" s="704" t="s">
        <v>1963</v>
      </c>
      <c r="G274" s="604"/>
      <c r="H274" s="12" t="str">
        <f>OBRA!N272</f>
        <v>GMJ 047C OP/2017</v>
      </c>
      <c r="I274" s="2" t="str">
        <f>OBRA!O272</f>
        <v>ADJUDICACIÓN DIRECTA</v>
      </c>
      <c r="J274" s="3" t="str">
        <f>OBRA!P272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4"/>
      <c r="P274" s="79">
        <f>OBRA!R272</f>
        <v>440000</v>
      </c>
      <c r="Q274" s="79"/>
      <c r="R274" s="79"/>
      <c r="S274" s="67">
        <f>OBRA!S272</f>
        <v>42943</v>
      </c>
      <c r="T274" s="1134">
        <f>OBRA!V272</f>
        <v>42964</v>
      </c>
      <c r="U274" s="5">
        <f>OBRA!T272</f>
        <v>43017</v>
      </c>
      <c r="V274" s="11">
        <f>OBRA!U272</f>
        <v>43087</v>
      </c>
      <c r="W274" s="223"/>
      <c r="X274" s="578">
        <f>OBRA!AS272+OBRA!AT272</f>
        <v>440285.77</v>
      </c>
      <c r="Y274" s="278"/>
      <c r="Z274" s="146" t="str">
        <f>OBRA!W272</f>
        <v>CONSTRUCTORA DALMA S.A. DE C.V.</v>
      </c>
      <c r="AA274" s="146"/>
      <c r="AB274" s="148" t="s">
        <v>1967</v>
      </c>
      <c r="AC274" s="146" t="s">
        <v>1968</v>
      </c>
      <c r="AD274" s="146"/>
      <c r="AE274" s="183" t="str">
        <f>OBRA!X272</f>
        <v>ARQ. FRANCISCO SALAZAR</v>
      </c>
      <c r="AF274" s="552">
        <v>132</v>
      </c>
      <c r="AG274" s="2" t="s">
        <v>1451</v>
      </c>
      <c r="AH274" s="615">
        <f t="shared" si="12"/>
        <v>3335.4982575757576</v>
      </c>
      <c r="AI274" s="2">
        <v>7810</v>
      </c>
      <c r="AJ274" s="156" t="s">
        <v>1452</v>
      </c>
      <c r="AK274" s="513"/>
      <c r="AL274" s="513"/>
      <c r="AM274" s="513"/>
      <c r="AN274" s="786"/>
      <c r="AO274" s="466" t="s">
        <v>1969</v>
      </c>
      <c r="AP274" s="466" t="s">
        <v>1970</v>
      </c>
      <c r="AQ274" s="524" t="s">
        <v>1971</v>
      </c>
      <c r="AR274" s="493"/>
      <c r="AS274" s="525" t="s">
        <v>1972</v>
      </c>
    </row>
    <row r="275" spans="1:45" ht="69" hidden="1" customHeight="1">
      <c r="A275" s="16">
        <f>OBRA!J273</f>
        <v>2017</v>
      </c>
      <c r="B275" s="783" t="s">
        <v>1563</v>
      </c>
      <c r="C275" s="783"/>
      <c r="D275" s="783"/>
      <c r="E275" s="2" t="str">
        <f>OBRA!M273</f>
        <v>CUENTA CORRIENTE</v>
      </c>
      <c r="F275" s="18" t="s">
        <v>1428</v>
      </c>
      <c r="G275" s="38" t="s">
        <v>2206</v>
      </c>
      <c r="H275" s="12" t="str">
        <f>OBRA!N273</f>
        <v>GMJ 048C OP/2017</v>
      </c>
      <c r="I275" s="2" t="str">
        <f>OBRA!O273</f>
        <v>ADJUDICACIÓN DIRECTA</v>
      </c>
      <c r="J275" s="3" t="str">
        <f>OBRA!P273</f>
        <v>REENCARPETAMIENTO Y BACHEO EN VARIAS CALLES EN LA LOCALIDAD DE ZAPOTITAN DE HIDALGO, MUNICIPIO DE JOCOTEPEC, JALISCO</v>
      </c>
      <c r="K275" s="3" t="s">
        <v>1916</v>
      </c>
      <c r="L275" s="3"/>
      <c r="M275" s="3" t="s">
        <v>1973</v>
      </c>
      <c r="N275" s="3" t="s">
        <v>2604</v>
      </c>
      <c r="O275" s="466" t="s">
        <v>3486</v>
      </c>
      <c r="P275" s="79">
        <f>OBRA!R273</f>
        <v>1254850.92</v>
      </c>
      <c r="Q275" s="1023">
        <f>P275/1.16</f>
        <v>1081768.0344827587</v>
      </c>
      <c r="R275" s="1023"/>
      <c r="S275" s="67">
        <f>OBRA!S273</f>
        <v>42977</v>
      </c>
      <c r="T275" s="1134">
        <f>OBRA!V273</f>
        <v>42977</v>
      </c>
      <c r="U275" s="5">
        <f>OBRA!T273</f>
        <v>42977</v>
      </c>
      <c r="V275" s="11">
        <f>OBRA!U273</f>
        <v>43008</v>
      </c>
      <c r="W275" s="223"/>
      <c r="X275" s="578">
        <f>OBRA!AS273+OBRA!AT273</f>
        <v>1254850.9099999999</v>
      </c>
      <c r="Y275" s="278"/>
      <c r="Z275" s="146" t="str">
        <f>OBRA!W273</f>
        <v>ASFALTOS GUADALAJARA, S.A.P.I. DE C.V.</v>
      </c>
      <c r="AA275" s="146"/>
      <c r="AB275" s="148" t="s">
        <v>1974</v>
      </c>
      <c r="AC275" s="146" t="s">
        <v>1919</v>
      </c>
      <c r="AD275" s="146"/>
      <c r="AE275" s="183" t="str">
        <f>OBRA!X273</f>
        <v>ING. ANGEL ALBERTO HERNANDEZ MORA</v>
      </c>
      <c r="AF275" s="19">
        <v>7021</v>
      </c>
      <c r="AG275" s="2" t="s">
        <v>1548</v>
      </c>
      <c r="AH275" s="615">
        <f t="shared" si="12"/>
        <v>178.72823102122203</v>
      </c>
      <c r="AI275" s="2">
        <v>3860</v>
      </c>
      <c r="AJ275" s="156" t="s">
        <v>1452</v>
      </c>
      <c r="AK275" s="513"/>
      <c r="AL275" s="513"/>
      <c r="AM275" s="513"/>
      <c r="AN275" s="1216"/>
      <c r="AO275" s="867"/>
      <c r="AP275" s="867"/>
      <c r="AQ275" s="878"/>
      <c r="AR275" s="969"/>
      <c r="AS275" s="705"/>
    </row>
    <row r="276" spans="1:45" ht="64.5" hidden="1" customHeight="1">
      <c r="A276" s="16">
        <f>OBRA!J274</f>
        <v>2017</v>
      </c>
      <c r="B276" s="783" t="s">
        <v>1563</v>
      </c>
      <c r="C276" s="783"/>
      <c r="D276" s="783"/>
      <c r="E276" s="2" t="str">
        <f>OBRA!M274</f>
        <v>CUENTA CORRIENTE</v>
      </c>
      <c r="F276" s="18" t="s">
        <v>1428</v>
      </c>
      <c r="G276" s="38" t="s">
        <v>2206</v>
      </c>
      <c r="H276" s="12" t="str">
        <f>OBRA!N274</f>
        <v>GMJ 049C OP/2017</v>
      </c>
      <c r="I276" s="2" t="str">
        <f>OBRA!O274</f>
        <v>ADJUDICACIÓN DIRECTA</v>
      </c>
      <c r="J276" s="3" t="str">
        <f>OBRA!P274</f>
        <v>REENCARPETAMIENTO Y BACHEO EN VARIAS CALLES DE LA CABECERA MUNICIPAL, DEL MUNICIPIO DE JOCOTEPEC, JALISCO</v>
      </c>
      <c r="K276" s="3" t="s">
        <v>1916</v>
      </c>
      <c r="L276" s="3"/>
      <c r="M276" s="3" t="s">
        <v>1975</v>
      </c>
      <c r="N276" s="3" t="s">
        <v>1975</v>
      </c>
      <c r="O276" s="466" t="s">
        <v>3486</v>
      </c>
      <c r="P276" s="79">
        <f>OBRA!R274</f>
        <v>1053156.1299999999</v>
      </c>
      <c r="Q276" s="1023">
        <f>P276/1.16</f>
        <v>907893.21551724139</v>
      </c>
      <c r="R276" s="1023"/>
      <c r="S276" s="67">
        <f>OBRA!S274</f>
        <v>42977</v>
      </c>
      <c r="T276" s="1134">
        <f>OBRA!V274</f>
        <v>42977</v>
      </c>
      <c r="U276" s="5">
        <f>OBRA!T274</f>
        <v>42977</v>
      </c>
      <c r="V276" s="11">
        <f>OBRA!U274</f>
        <v>43053</v>
      </c>
      <c r="W276" s="223"/>
      <c r="X276" s="578">
        <f>OBRA!AS274+OBRA!AT274</f>
        <v>1053156.97</v>
      </c>
      <c r="Y276" s="278"/>
      <c r="Z276" s="146" t="str">
        <f>OBRA!W274</f>
        <v>ASFALTOS GUADALAJARA, S.A.P.I. DE C.V.</v>
      </c>
      <c r="AA276" s="146"/>
      <c r="AB276" s="148" t="s">
        <v>1974</v>
      </c>
      <c r="AC276" s="146" t="s">
        <v>1919</v>
      </c>
      <c r="AD276" s="146"/>
      <c r="AE276" s="183" t="str">
        <f>OBRA!X274</f>
        <v>ING. ANGEL ALBERTO HERNANDEZ MORA</v>
      </c>
      <c r="AF276" s="19">
        <v>4131.18</v>
      </c>
      <c r="AG276" s="2" t="s">
        <v>1548</v>
      </c>
      <c r="AH276" s="615">
        <f t="shared" si="12"/>
        <v>254.9288508368069</v>
      </c>
      <c r="AI276" s="2">
        <v>10000</v>
      </c>
      <c r="AJ276" s="156" t="s">
        <v>1452</v>
      </c>
      <c r="AK276" s="513"/>
      <c r="AL276" s="513"/>
      <c r="AM276" s="513"/>
      <c r="AN276" s="1216"/>
      <c r="AO276" s="867"/>
      <c r="AP276" s="867"/>
      <c r="AQ276" s="878"/>
      <c r="AR276" s="969"/>
      <c r="AS276" s="705"/>
    </row>
    <row r="277" spans="1:45" ht="79.5" hidden="1" customHeight="1">
      <c r="A277" s="16">
        <f>OBRA!J275</f>
        <v>2017</v>
      </c>
      <c r="B277" s="783" t="s">
        <v>1563</v>
      </c>
      <c r="C277" s="783"/>
      <c r="D277" s="783"/>
      <c r="E277" s="2" t="str">
        <f>OBRA!M275</f>
        <v>CUENTA CORRIENTE</v>
      </c>
      <c r="F277" s="18" t="s">
        <v>1428</v>
      </c>
      <c r="G277" s="38" t="s">
        <v>2206</v>
      </c>
      <c r="H277" s="12" t="str">
        <f>OBRA!N275</f>
        <v>GMJ 050C OP/2017</v>
      </c>
      <c r="I277" s="2" t="str">
        <f>OBRA!O275</f>
        <v>ADJUDICACIÓN DIRECTA</v>
      </c>
      <c r="J277" s="3" t="str">
        <f>OBRA!P275</f>
        <v>REENCARPETAMIENTO Y BACHEO EN VARIAS CALLES EN LA LOCALIDAD DE SAN CRISTOBAL ZAPOTITLAN, DEL MUNICIPIO DE JOCOTEPEC, JALISCO</v>
      </c>
      <c r="K277" s="3" t="s">
        <v>1916</v>
      </c>
      <c r="L277" s="3"/>
      <c r="M277" s="3" t="s">
        <v>1976</v>
      </c>
      <c r="N277" s="3" t="s">
        <v>1976</v>
      </c>
      <c r="O277" s="466" t="s">
        <v>3486</v>
      </c>
      <c r="P277" s="79">
        <f>OBRA!R275</f>
        <v>614358.76</v>
      </c>
      <c r="Q277" s="1023">
        <f>P277/1.16</f>
        <v>529619.62068965519</v>
      </c>
      <c r="R277" s="1023"/>
      <c r="S277" s="67">
        <f>OBRA!S275</f>
        <v>43007</v>
      </c>
      <c r="T277" s="1134">
        <f>OBRA!V275</f>
        <v>42977</v>
      </c>
      <c r="U277" s="5">
        <f>OBRA!T275</f>
        <v>43010</v>
      </c>
      <c r="V277" s="11">
        <f>OBRA!U275</f>
        <v>43017</v>
      </c>
      <c r="W277" s="223"/>
      <c r="X277" s="578">
        <f>OBRA!AS275+OBRA!AT275</f>
        <v>614358.76</v>
      </c>
      <c r="Y277" s="278"/>
      <c r="Z277" s="146" t="str">
        <f>OBRA!W275</f>
        <v>ASFALTOS GUADALAJARA, S.A.P.I. DE C.V.</v>
      </c>
      <c r="AA277" s="146"/>
      <c r="AB277" s="148" t="s">
        <v>1974</v>
      </c>
      <c r="AC277" s="146" t="s">
        <v>1919</v>
      </c>
      <c r="AD277" s="146"/>
      <c r="AE277" s="183" t="str">
        <f>OBRA!X275</f>
        <v>ING. ANGEL ALBERTO HERNANDEZ MORA</v>
      </c>
      <c r="AF277" s="19">
        <v>2581.35</v>
      </c>
      <c r="AG277" s="2" t="s">
        <v>1548</v>
      </c>
      <c r="AH277" s="615">
        <f t="shared" si="12"/>
        <v>237.9990160187499</v>
      </c>
      <c r="AI277" s="2">
        <v>800</v>
      </c>
      <c r="AJ277" s="156" t="s">
        <v>1452</v>
      </c>
      <c r="AK277" s="513"/>
      <c r="AL277" s="513"/>
      <c r="AM277" s="513"/>
      <c r="AN277" s="1216"/>
      <c r="AO277" s="867"/>
      <c r="AP277" s="867"/>
      <c r="AQ277" s="878"/>
      <c r="AR277" s="969"/>
      <c r="AS277" s="705"/>
    </row>
    <row r="278" spans="1:45" ht="105" hidden="1" customHeight="1">
      <c r="A278" s="16">
        <f>OBRA!J276</f>
        <v>2017</v>
      </c>
      <c r="B278" s="783" t="s">
        <v>1563</v>
      </c>
      <c r="C278" s="783"/>
      <c r="D278" s="783"/>
      <c r="E278" s="2" t="str">
        <f>OBRA!M276</f>
        <v>Fondo de proyectos para el Desarrollo Regional</v>
      </c>
      <c r="F278" s="1235"/>
      <c r="G278" s="38" t="s">
        <v>2206</v>
      </c>
      <c r="H278" s="12" t="str">
        <f>OBRA!N276</f>
        <v>GMJ 051C OP/2017</v>
      </c>
      <c r="I278" s="2" t="str">
        <f>OBRA!O276</f>
        <v>ADJUDICACIÓN DIRECTA</v>
      </c>
      <c r="J278" s="3" t="str">
        <f>OBRA!P276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6" t="s">
        <v>3486</v>
      </c>
      <c r="P278" s="79">
        <f>OBRA!R276</f>
        <v>607706.15</v>
      </c>
      <c r="Q278" s="1023">
        <f>P278/1.16</f>
        <v>523884.61206896557</v>
      </c>
      <c r="R278" s="1023"/>
      <c r="S278" s="67">
        <f>OBRA!S276</f>
        <v>42992</v>
      </c>
      <c r="T278" s="1134">
        <f>OBRA!V276</f>
        <v>42989</v>
      </c>
      <c r="U278" s="5">
        <f>OBRA!T276</f>
        <v>43059</v>
      </c>
      <c r="V278" s="11">
        <f>OBRA!U276</f>
        <v>43084</v>
      </c>
      <c r="W278" s="223"/>
      <c r="X278" s="578">
        <f>OBRA!AS276+OBRA!AT276</f>
        <v>607430.92000000004</v>
      </c>
      <c r="Y278" s="278"/>
      <c r="Z278" s="146" t="str">
        <f>OBRA!W276</f>
        <v>ING. SERGIO CABRERA</v>
      </c>
      <c r="AA278" s="146"/>
      <c r="AB278" s="148" t="str">
        <f>Z278</f>
        <v>ING. SERGIO CABRERA</v>
      </c>
      <c r="AC278" s="2" t="s">
        <v>2959</v>
      </c>
      <c r="AD278" s="146" t="s">
        <v>2959</v>
      </c>
      <c r="AE278" s="183" t="str">
        <f>OBRA!X276</f>
        <v>ING. J. GUADALUPE IBARRA RAMIREZ</v>
      </c>
      <c r="AF278" s="19">
        <v>1229.3</v>
      </c>
      <c r="AG278" s="2" t="s">
        <v>1548</v>
      </c>
      <c r="AH278" s="615">
        <f t="shared" si="12"/>
        <v>494.12748718783052</v>
      </c>
      <c r="AI278" s="2">
        <v>6000</v>
      </c>
      <c r="AJ278" s="156" t="s">
        <v>1452</v>
      </c>
      <c r="AK278" s="513"/>
      <c r="AL278" s="513"/>
      <c r="AM278" s="513"/>
      <c r="AN278" s="1216"/>
      <c r="AO278" s="529"/>
      <c r="AP278" s="529"/>
      <c r="AQ278" s="878"/>
      <c r="AR278" s="969"/>
      <c r="AS278" s="705"/>
    </row>
    <row r="279" spans="1:45" s="104" customFormat="1" ht="51" hidden="1" customHeight="1">
      <c r="A279" s="82">
        <f>OBRA!J277</f>
        <v>2017</v>
      </c>
      <c r="B279" s="781" t="s">
        <v>1427</v>
      </c>
      <c r="C279" s="781"/>
      <c r="D279" s="781"/>
      <c r="E279" s="85">
        <f>OBRA!M277</f>
        <v>0</v>
      </c>
      <c r="F279" s="83"/>
      <c r="G279" s="857"/>
      <c r="H279" s="103" t="str">
        <f>OBRA!N277</f>
        <v>GMJ 052C OP/2017</v>
      </c>
      <c r="I279" s="185" t="str">
        <f>OBRA!O277</f>
        <v>CANCELADA</v>
      </c>
      <c r="J279" s="125" t="str">
        <f>OBRA!P277</f>
        <v>CANCELADO</v>
      </c>
      <c r="K279" s="125"/>
      <c r="L279" s="125"/>
      <c r="M279" s="125"/>
      <c r="N279" s="125"/>
      <c r="O279" s="529"/>
      <c r="P279" s="86">
        <f>OBRA!R277</f>
        <v>0</v>
      </c>
      <c r="Q279" s="86"/>
      <c r="R279" s="86"/>
      <c r="S279" s="87">
        <f>OBRA!S277</f>
        <v>0</v>
      </c>
      <c r="T279" s="1134">
        <f>OBRA!V277</f>
        <v>0</v>
      </c>
      <c r="U279" s="88">
        <f>OBRA!T277</f>
        <v>0</v>
      </c>
      <c r="V279" s="89">
        <f>OBRA!U277</f>
        <v>0</v>
      </c>
      <c r="W279" s="338"/>
      <c r="X279" s="810">
        <f>OBRA!AS277+OBRA!AT277</f>
        <v>0</v>
      </c>
      <c r="Y279" s="821"/>
      <c r="Z279" s="147">
        <f>OBRA!W277</f>
        <v>0</v>
      </c>
      <c r="AA279" s="147"/>
      <c r="AB279" s="149">
        <f>Z279</f>
        <v>0</v>
      </c>
      <c r="AC279" s="147"/>
      <c r="AD279" s="147"/>
      <c r="AE279" s="184">
        <f>OBRA!X277</f>
        <v>0</v>
      </c>
      <c r="AF279" s="84"/>
      <c r="AG279" s="85"/>
      <c r="AH279" s="184" t="e">
        <f t="shared" si="12"/>
        <v>#DIV/0!</v>
      </c>
      <c r="AI279" s="85"/>
      <c r="AJ279" s="575"/>
      <c r="AK279" s="527"/>
      <c r="AL279" s="527"/>
      <c r="AM279" s="527"/>
      <c r="AN279" s="1215"/>
      <c r="AO279" s="527"/>
      <c r="AP279" s="655"/>
      <c r="AQ279" s="527"/>
      <c r="AR279" s="527"/>
      <c r="AS279" s="575"/>
    </row>
    <row r="280" spans="1:45" ht="95.25" hidden="1" customHeight="1">
      <c r="A280" s="16">
        <f>OBRA!J278</f>
        <v>-2016</v>
      </c>
      <c r="B280" s="783" t="s">
        <v>1563</v>
      </c>
      <c r="C280" s="783"/>
      <c r="D280" s="783"/>
      <c r="E280" s="2" t="str">
        <f>OBRA!M278</f>
        <v>RAMO 33</v>
      </c>
      <c r="F280" s="18" t="s">
        <v>1428</v>
      </c>
      <c r="G280" s="38"/>
      <c r="H280" s="12" t="str">
        <f>OBRA!N278</f>
        <v>GMJ 053C OP/2017</v>
      </c>
      <c r="I280" s="2" t="str">
        <f>OBRA!O278</f>
        <v>ADJUDICACIÓN DIRECTA</v>
      </c>
      <c r="J280" s="3" t="str">
        <f>OBRA!P278</f>
        <v>EQUIPAMIENTO  DE POZO PROFUNDO EN LA CALLE JUAREZ, EN LA LOCALIDAD DE CHANTEPEC, DEL MUNICIPIO DE JOCOTEPEC, JALISCO</v>
      </c>
      <c r="K280" s="3" t="s">
        <v>1979</v>
      </c>
      <c r="L280" s="3"/>
      <c r="M280" s="3" t="s">
        <v>1861</v>
      </c>
      <c r="N280" s="541"/>
      <c r="O280" s="529"/>
      <c r="P280" s="79">
        <f>OBRA!R278</f>
        <v>335569.36</v>
      </c>
      <c r="Q280" s="79"/>
      <c r="R280" s="79"/>
      <c r="S280" s="67">
        <f>OBRA!S278</f>
        <v>43000</v>
      </c>
      <c r="T280" s="1134">
        <f>OBRA!V278</f>
        <v>42999</v>
      </c>
      <c r="U280" s="5">
        <f>OBRA!T278</f>
        <v>43003</v>
      </c>
      <c r="V280" s="11">
        <f>OBRA!U278</f>
        <v>43023</v>
      </c>
      <c r="W280" s="223"/>
      <c r="X280" s="578">
        <f>OBRA!AS278+OBRA!AT278</f>
        <v>335569.36</v>
      </c>
      <c r="Y280" s="278"/>
      <c r="Z280" s="146" t="str">
        <f>OBRA!W278</f>
        <v>C. JESSICA MONSERRAT RIVERA TORRES</v>
      </c>
      <c r="AA280" s="146"/>
      <c r="AB280" s="148" t="str">
        <f>Z280</f>
        <v>C. JESSICA MONSERRAT RIVERA TORRES</v>
      </c>
      <c r="AC280" s="2" t="s">
        <v>2955</v>
      </c>
      <c r="AD280" s="146" t="s">
        <v>2955</v>
      </c>
      <c r="AE280" s="183" t="str">
        <f>OBRA!X278</f>
        <v>ING. RIGOBERTO OLMEDO RAMOS</v>
      </c>
      <c r="AF280" s="552">
        <v>1</v>
      </c>
      <c r="AG280" s="2" t="s">
        <v>1573</v>
      </c>
      <c r="AH280" s="615">
        <f t="shared" si="12"/>
        <v>335569.36</v>
      </c>
      <c r="AI280" s="2">
        <v>800</v>
      </c>
      <c r="AJ280" s="156" t="s">
        <v>1452</v>
      </c>
      <c r="AK280" s="513"/>
      <c r="AL280" s="513"/>
      <c r="AM280" s="513"/>
      <c r="AN280" s="1216"/>
      <c r="AO280" s="466" t="s">
        <v>1981</v>
      </c>
      <c r="AP280" s="466" t="s">
        <v>1982</v>
      </c>
      <c r="AQ280" s="524" t="s">
        <v>1983</v>
      </c>
      <c r="AR280" s="493"/>
      <c r="AS280" s="605" t="s">
        <v>1984</v>
      </c>
    </row>
    <row r="281" spans="1:45" ht="91.5" hidden="1" customHeight="1">
      <c r="A281" s="16">
        <f>OBRA!J279</f>
        <v>2017</v>
      </c>
      <c r="B281" s="783" t="s">
        <v>1563</v>
      </c>
      <c r="C281" s="783"/>
      <c r="D281" s="783"/>
      <c r="E281" s="2" t="str">
        <f>OBRA!M279</f>
        <v>CUENTA CORRIENTE</v>
      </c>
      <c r="F281" s="18" t="s">
        <v>1428</v>
      </c>
      <c r="G281" s="38" t="s">
        <v>2206</v>
      </c>
      <c r="H281" s="12" t="str">
        <f>OBRA!N279</f>
        <v>GMJ 054C OP/2017</v>
      </c>
      <c r="I281" s="2" t="str">
        <f>OBRA!O279</f>
        <v>ADJUDICACIÓN DIRECTA</v>
      </c>
      <c r="J281" s="3" t="str">
        <f>OBRA!P279</f>
        <v>ADECUACION DE CUNETA Y REEMPEDRADO AHOGADO EN CEMENTO EN LA CALLE LOS GUAYABOS EN LA AGENCIA MUNICIPAL DE NEXTIPAC, DEL MUNICIPIO DE JOCOTEPEC, JALISCO</v>
      </c>
      <c r="K281" s="683" t="s">
        <v>1985</v>
      </c>
      <c r="L281" s="683"/>
      <c r="M281" s="3" t="s">
        <v>1986</v>
      </c>
      <c r="N281" s="1168" t="s">
        <v>2577</v>
      </c>
      <c r="O281" s="466" t="s">
        <v>3486</v>
      </c>
      <c r="P281" s="79">
        <f>OBRA!R279</f>
        <v>240397.92</v>
      </c>
      <c r="Q281" s="1023">
        <f t="shared" ref="Q281:Q292" si="13">P281/1.16</f>
        <v>207239.58620689658</v>
      </c>
      <c r="R281" s="1023"/>
      <c r="S281" s="67">
        <f>OBRA!S279</f>
        <v>42979</v>
      </c>
      <c r="T281" s="1134">
        <f>OBRA!V279</f>
        <v>42978</v>
      </c>
      <c r="U281" s="5">
        <f>OBRA!T279</f>
        <v>42980</v>
      </c>
      <c r="V281" s="11">
        <f>OBRA!U279</f>
        <v>43007</v>
      </c>
      <c r="W281" s="223"/>
      <c r="X281" s="606">
        <f>OBRA!AS279+OBRA!AT279</f>
        <v>0</v>
      </c>
      <c r="Y281" s="1015"/>
      <c r="Z281" s="146" t="str">
        <f>OBRA!W279</f>
        <v>ING. MANUEL PALOS VACA</v>
      </c>
      <c r="AA281" s="146"/>
      <c r="AB281" s="148" t="str">
        <f>Z281</f>
        <v>ING. MANUEL PALOS VACA</v>
      </c>
      <c r="AC281" s="2" t="s">
        <v>2959</v>
      </c>
      <c r="AD281" s="146" t="s">
        <v>2959</v>
      </c>
      <c r="AE281" s="183" t="str">
        <f>OBRA!X279</f>
        <v>ING. ANGEL ALBERTO HERNANDEZ MORA</v>
      </c>
      <c r="AF281" s="876">
        <v>579.5</v>
      </c>
      <c r="AG281" s="2" t="s">
        <v>1548</v>
      </c>
      <c r="AH281" s="635">
        <f t="shared" si="12"/>
        <v>0</v>
      </c>
      <c r="AI281" s="2">
        <v>100</v>
      </c>
      <c r="AJ281" s="156" t="s">
        <v>1444</v>
      </c>
      <c r="AK281" s="513"/>
      <c r="AL281" s="513"/>
      <c r="AM281" s="513"/>
      <c r="AN281" s="1216"/>
      <c r="AO281" s="529"/>
      <c r="AP281" s="867"/>
      <c r="AQ281" s="878"/>
      <c r="AR281" s="969"/>
      <c r="AS281" s="705"/>
    </row>
    <row r="282" spans="1:45" ht="98.25" hidden="1" customHeight="1">
      <c r="A282" s="16">
        <f>OBRA!J280</f>
        <v>2017</v>
      </c>
      <c r="B282" s="783" t="s">
        <v>1563</v>
      </c>
      <c r="C282" s="783"/>
      <c r="D282" s="783"/>
      <c r="E282" s="2" t="str">
        <f>OBRA!M280</f>
        <v>CUENTA CORRIENTE</v>
      </c>
      <c r="F282" s="18" t="s">
        <v>1428</v>
      </c>
      <c r="G282" s="38" t="s">
        <v>2206</v>
      </c>
      <c r="H282" s="12" t="str">
        <f>OBRA!N280</f>
        <v>GMJ 055C OP/2017</v>
      </c>
      <c r="I282" s="2" t="str">
        <f>OBRA!O280</f>
        <v>ADJUDICACIÓN DIRECTA</v>
      </c>
      <c r="J282" s="3" t="str">
        <f>OBRA!P280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6" t="s">
        <v>3486</v>
      </c>
      <c r="P282" s="79">
        <f>OBRA!R280</f>
        <v>743056.9</v>
      </c>
      <c r="Q282" s="1023">
        <f t="shared" si="13"/>
        <v>640566.29310344835</v>
      </c>
      <c r="R282" s="1023"/>
      <c r="S282" s="67">
        <f>OBRA!S280</f>
        <v>43052</v>
      </c>
      <c r="T282" s="1134">
        <f>OBRA!V280</f>
        <v>43049</v>
      </c>
      <c r="U282" s="5">
        <f>OBRA!T280</f>
        <v>43061</v>
      </c>
      <c r="V282" s="11">
        <f>OBRA!U280</f>
        <v>43084</v>
      </c>
      <c r="W282" s="223"/>
      <c r="X282" s="578">
        <f>OBRA!AS280+OBRA!AT280</f>
        <v>743056.9</v>
      </c>
      <c r="Y282" s="278"/>
      <c r="Z282" s="146" t="str">
        <f>OBRA!W280</f>
        <v>AGUA Y SANEAMIENTO AMBIENTAL S.A. DE C.V.</v>
      </c>
      <c r="AA282" s="146"/>
      <c r="AB282" s="148" t="s">
        <v>1988</v>
      </c>
      <c r="AC282" s="146" t="s">
        <v>1989</v>
      </c>
      <c r="AD282" s="146"/>
      <c r="AE282" s="183" t="str">
        <f>OBRA!X280</f>
        <v>ING. JUAN MANUEL GARCIA ESCOTO</v>
      </c>
      <c r="AF282" s="552">
        <v>1</v>
      </c>
      <c r="AG282" s="2" t="s">
        <v>1573</v>
      </c>
      <c r="AH282" s="615">
        <f t="shared" si="12"/>
        <v>743056.9</v>
      </c>
      <c r="AI282" s="2">
        <v>25000</v>
      </c>
      <c r="AJ282" s="156" t="s">
        <v>1452</v>
      </c>
      <c r="AK282" s="513"/>
      <c r="AL282" s="513"/>
      <c r="AM282" s="513"/>
      <c r="AN282" s="1216"/>
      <c r="AO282" s="867"/>
      <c r="AP282" s="867"/>
      <c r="AQ282" s="878"/>
      <c r="AR282" s="969"/>
      <c r="AS282" s="705"/>
    </row>
    <row r="283" spans="1:45" ht="92.25" hidden="1" customHeight="1">
      <c r="A283" s="16">
        <f>OBRA!J281</f>
        <v>2017</v>
      </c>
      <c r="B283" s="783" t="s">
        <v>1563</v>
      </c>
      <c r="C283" s="783"/>
      <c r="D283" s="783"/>
      <c r="E283" s="2" t="str">
        <f>OBRA!M281</f>
        <v>RAMO 33</v>
      </c>
      <c r="F283" s="18" t="s">
        <v>1428</v>
      </c>
      <c r="G283" s="38" t="s">
        <v>2206</v>
      </c>
      <c r="H283" s="12" t="str">
        <f>OBRA!N281</f>
        <v>GMJ 056C OP/2017</v>
      </c>
      <c r="I283" s="2" t="str">
        <f>OBRA!O281</f>
        <v>ADJUDICACIÓN DIRECTA</v>
      </c>
      <c r="J283" s="3" t="str">
        <f>OBRA!P281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2524</v>
      </c>
      <c r="O283" s="466" t="s">
        <v>3486</v>
      </c>
      <c r="P283" s="79">
        <f>OBRA!R281</f>
        <v>493878.63</v>
      </c>
      <c r="Q283" s="1023">
        <f t="shared" si="13"/>
        <v>425757.43965517246</v>
      </c>
      <c r="R283" s="1023"/>
      <c r="S283" s="67">
        <f>OBRA!S281</f>
        <v>43047</v>
      </c>
      <c r="T283" s="1134">
        <f>OBRA!V281</f>
        <v>43046</v>
      </c>
      <c r="U283" s="5">
        <f>OBRA!T281</f>
        <v>43048</v>
      </c>
      <c r="V283" s="11">
        <f>OBRA!U281</f>
        <v>43086</v>
      </c>
      <c r="W283" s="223"/>
      <c r="X283" s="606">
        <f>OBRA!AS281+OBRA!AT281</f>
        <v>0</v>
      </c>
      <c r="Y283" s="1015"/>
      <c r="Z283" s="146" t="str">
        <f>OBRA!W281</f>
        <v>C. JOSÉ MIGUEL GARCIA VALLE</v>
      </c>
      <c r="AA283" s="146"/>
      <c r="AB283" s="148" t="str">
        <f>Z283</f>
        <v>C. JOSÉ MIGUEL GARCIA VALLE</v>
      </c>
      <c r="AC283" s="2" t="s">
        <v>2959</v>
      </c>
      <c r="AD283" s="146" t="s">
        <v>2959</v>
      </c>
      <c r="AE283" s="183" t="str">
        <f>OBRA!X281</f>
        <v>ARQ. JAIME CONDE GOMEZ</v>
      </c>
      <c r="AF283" s="552">
        <v>340.8</v>
      </c>
      <c r="AG283" s="2" t="s">
        <v>1451</v>
      </c>
      <c r="AH283" s="634">
        <f t="shared" si="12"/>
        <v>0</v>
      </c>
      <c r="AI283" s="2">
        <v>2000</v>
      </c>
      <c r="AJ283" s="156" t="s">
        <v>1452</v>
      </c>
      <c r="AK283" s="513"/>
      <c r="AL283" s="513"/>
      <c r="AM283" s="513"/>
      <c r="AN283" s="1216"/>
      <c r="AO283" s="867"/>
      <c r="AP283" s="867"/>
      <c r="AQ283" s="867"/>
      <c r="AR283" s="1216"/>
      <c r="AS283" s="574"/>
    </row>
    <row r="284" spans="1:45" ht="108" hidden="1" customHeight="1">
      <c r="A284" s="16">
        <f>OBRA!J282</f>
        <v>2017</v>
      </c>
      <c r="B284" s="783" t="s">
        <v>1563</v>
      </c>
      <c r="C284" s="783"/>
      <c r="D284" s="783"/>
      <c r="E284" s="2" t="str">
        <f>OBRA!M282</f>
        <v>RAMO 33</v>
      </c>
      <c r="F284" s="18" t="s">
        <v>1428</v>
      </c>
      <c r="G284" s="38" t="s">
        <v>2206</v>
      </c>
      <c r="H284" s="12" t="str">
        <f>OBRA!N282</f>
        <v>GMJ 057C OP/2017</v>
      </c>
      <c r="I284" s="2" t="str">
        <f>OBRA!O282</f>
        <v>ADJUDICACIÓN DIRECTA</v>
      </c>
      <c r="J284" s="3" t="str">
        <f>OBRA!P282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2524</v>
      </c>
      <c r="O284" s="466" t="s">
        <v>3486</v>
      </c>
      <c r="P284" s="79">
        <f>OBRA!R282</f>
        <v>515747.25</v>
      </c>
      <c r="Q284" s="1023">
        <f t="shared" si="13"/>
        <v>444609.69827586209</v>
      </c>
      <c r="R284" s="1023"/>
      <c r="S284" s="67">
        <f>OBRA!S282</f>
        <v>43047</v>
      </c>
      <c r="T284" s="1134">
        <f>OBRA!V282</f>
        <v>43046</v>
      </c>
      <c r="U284" s="5">
        <f>OBRA!T282</f>
        <v>43048</v>
      </c>
      <c r="V284" s="11">
        <f>OBRA!U282</f>
        <v>43081</v>
      </c>
      <c r="W284" s="223"/>
      <c r="X284" s="606">
        <f>OBRA!AS282+OBRA!AT282</f>
        <v>0</v>
      </c>
      <c r="Y284" s="1015"/>
      <c r="Z284" s="146" t="str">
        <f>OBRA!W282</f>
        <v>C. JOSÉ MIGUEL GARCIA VALLE</v>
      </c>
      <c r="AA284" s="146"/>
      <c r="AB284" s="148" t="str">
        <f>Z284</f>
        <v>C. JOSÉ MIGUEL GARCIA VALLE</v>
      </c>
      <c r="AC284" s="2" t="s">
        <v>2959</v>
      </c>
      <c r="AD284" s="146" t="s">
        <v>2959</v>
      </c>
      <c r="AE284" s="183" t="str">
        <f>OBRA!X282</f>
        <v>ARQ. JAIME CONDE GOMEZ</v>
      </c>
      <c r="AF284" s="552">
        <v>123</v>
      </c>
      <c r="AG284" s="2" t="s">
        <v>1451</v>
      </c>
      <c r="AH284" s="634">
        <f t="shared" si="12"/>
        <v>0</v>
      </c>
      <c r="AI284" s="2">
        <v>2000</v>
      </c>
      <c r="AJ284" s="156" t="s">
        <v>1452</v>
      </c>
      <c r="AK284" s="513"/>
      <c r="AL284" s="513"/>
      <c r="AM284" s="513"/>
      <c r="AN284" s="1216"/>
      <c r="AO284" s="867"/>
      <c r="AP284" s="867"/>
      <c r="AQ284" s="867"/>
      <c r="AR284" s="1216"/>
      <c r="AS284" s="574"/>
    </row>
    <row r="285" spans="1:45" ht="87" hidden="1" customHeight="1">
      <c r="A285" s="16">
        <f>OBRA!J283</f>
        <v>2017</v>
      </c>
      <c r="B285" s="783" t="s">
        <v>1563</v>
      </c>
      <c r="C285" s="783"/>
      <c r="D285" s="783"/>
      <c r="E285" s="2" t="str">
        <f>OBRA!M283</f>
        <v>RAMO 33</v>
      </c>
      <c r="F285" s="18" t="s">
        <v>1428</v>
      </c>
      <c r="G285" s="38" t="s">
        <v>2206</v>
      </c>
      <c r="H285" s="12" t="str">
        <f>OBRA!N283</f>
        <v>GMJ 058C OP/2017</v>
      </c>
      <c r="I285" s="2" t="str">
        <f>OBRA!O283</f>
        <v>ADJUDICACIÓN DIRECTA</v>
      </c>
      <c r="J285" s="3" t="str">
        <f>OBRA!P283</f>
        <v>REHABILITACIÓN DE LINEA DE AGUA POTABLE EN CALLE CHAPULTEPEC ENTRE PRIVADA SAN MIGUEL Y CALLE CERRADA, EN LA AGENCIA MUNICIPAL "LA LOMA"</v>
      </c>
      <c r="K285" s="3" t="s">
        <v>1496</v>
      </c>
      <c r="L285" s="3"/>
      <c r="M285" s="3" t="s">
        <v>1528</v>
      </c>
      <c r="N285" s="3" t="s">
        <v>2512</v>
      </c>
      <c r="O285" s="466" t="s">
        <v>3486</v>
      </c>
      <c r="P285" s="79">
        <f>OBRA!R283</f>
        <v>392640.25</v>
      </c>
      <c r="Q285" s="1023">
        <f t="shared" si="13"/>
        <v>338482.97413793107</v>
      </c>
      <c r="R285" s="1023"/>
      <c r="S285" s="67">
        <f>OBRA!S283</f>
        <v>43046</v>
      </c>
      <c r="T285" s="1134">
        <f>OBRA!V283</f>
        <v>43045</v>
      </c>
      <c r="U285" s="5">
        <f>OBRA!T283</f>
        <v>43047</v>
      </c>
      <c r="V285" s="11">
        <f>OBRA!U283</f>
        <v>43078</v>
      </c>
      <c r="W285" s="223"/>
      <c r="X285" s="578">
        <f>OBRA!AS283+OBRA!AT283</f>
        <v>430050.61</v>
      </c>
      <c r="Y285" s="278"/>
      <c r="Z285" s="146" t="str">
        <f>OBRA!W283</f>
        <v>ING. PEDRO TOPETE LOPEZ</v>
      </c>
      <c r="AA285" s="146"/>
      <c r="AB285" s="148" t="str">
        <f>Z285</f>
        <v>ING. PEDRO TOPETE LOPEZ</v>
      </c>
      <c r="AC285" s="2" t="s">
        <v>2959</v>
      </c>
      <c r="AD285" s="146" t="s">
        <v>2959</v>
      </c>
      <c r="AE285" s="183" t="str">
        <f>OBRA!X283</f>
        <v>ING. ANGEL ALBERTO HERNANDEZ MORA</v>
      </c>
      <c r="AF285" s="552">
        <v>345</v>
      </c>
      <c r="AG285" s="2" t="s">
        <v>1451</v>
      </c>
      <c r="AH285" s="615">
        <f t="shared" si="12"/>
        <v>1246.5235072463768</v>
      </c>
      <c r="AI285" s="2">
        <v>400</v>
      </c>
      <c r="AJ285" s="156" t="s">
        <v>1452</v>
      </c>
      <c r="AK285" s="513"/>
      <c r="AL285" s="513"/>
      <c r="AM285" s="513"/>
      <c r="AN285" s="1216"/>
      <c r="AO285" s="867"/>
      <c r="AP285" s="867"/>
      <c r="AQ285" s="878"/>
      <c r="AR285" s="507"/>
      <c r="AS285" s="1229"/>
    </row>
    <row r="286" spans="1:45" ht="168.75" hidden="1" customHeight="1">
      <c r="A286" s="16">
        <f>OBRA!J284</f>
        <v>2017</v>
      </c>
      <c r="B286" s="783" t="s">
        <v>1563</v>
      </c>
      <c r="C286" s="783"/>
      <c r="D286" s="783"/>
      <c r="E286" s="2" t="str">
        <f>OBRA!M284</f>
        <v>Fondo de proyectos para el Desarrollo Regional</v>
      </c>
      <c r="F286" s="1235"/>
      <c r="G286" s="38" t="s">
        <v>2206</v>
      </c>
      <c r="H286" s="12" t="str">
        <f>OBRA!N284</f>
        <v>GMJ 059C OP/2017</v>
      </c>
      <c r="I286" s="2" t="str">
        <f>OBRA!O284</f>
        <v>ADJUDICACIÓN DIRECTA</v>
      </c>
      <c r="J286"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6" t="s">
        <v>3486</v>
      </c>
      <c r="P286" s="79">
        <f>OBRA!R284</f>
        <v>794788.72</v>
      </c>
      <c r="Q286" s="1023">
        <f t="shared" si="13"/>
        <v>685162.68965517241</v>
      </c>
      <c r="R286" s="1023"/>
      <c r="S286" s="67">
        <f>OBRA!S284</f>
        <v>43038</v>
      </c>
      <c r="T286" s="1134">
        <f>OBRA!V284</f>
        <v>43031</v>
      </c>
      <c r="U286" s="5">
        <f>OBRA!T284</f>
        <v>43061</v>
      </c>
      <c r="V286" s="11">
        <f>OBRA!U284</f>
        <v>43084</v>
      </c>
      <c r="W286" s="223"/>
      <c r="X286" s="578">
        <f>OBRA!AS284+OBRA!AT284</f>
        <v>794762.56</v>
      </c>
      <c r="Y286" s="278"/>
      <c r="Z286" s="146" t="str">
        <f>OBRA!W284</f>
        <v>ING. SERGIO CABRERA</v>
      </c>
      <c r="AA286" s="146"/>
      <c r="AB286" s="148" t="str">
        <f>Z286</f>
        <v>ING. SERGIO CABRERA</v>
      </c>
      <c r="AC286" s="2" t="s">
        <v>2959</v>
      </c>
      <c r="AD286" s="146" t="s">
        <v>2959</v>
      </c>
      <c r="AE286" s="183" t="str">
        <f>OBRA!X284</f>
        <v>ING. J. GUADALUPE IBARRA RAMIREZ</v>
      </c>
      <c r="AF286" s="552">
        <v>1440.01</v>
      </c>
      <c r="AG286" s="2" t="s">
        <v>1548</v>
      </c>
      <c r="AH286" s="183">
        <f t="shared" si="12"/>
        <v>551.91461170408547</v>
      </c>
      <c r="AI286" s="2">
        <v>1000</v>
      </c>
      <c r="AJ286" s="156" t="s">
        <v>1452</v>
      </c>
      <c r="AK286" s="513"/>
      <c r="AL286" s="513"/>
      <c r="AM286" s="513"/>
      <c r="AN286" s="1216"/>
      <c r="AO286" s="867"/>
      <c r="AP286" s="867"/>
      <c r="AQ286" s="878"/>
      <c r="AR286" s="969"/>
      <c r="AS286" s="705"/>
    </row>
    <row r="287" spans="1:45" ht="84" hidden="1" customHeight="1">
      <c r="A287" s="16">
        <f>OBRA!J285</f>
        <v>2017</v>
      </c>
      <c r="B287" s="783" t="s">
        <v>1563</v>
      </c>
      <c r="C287" s="783"/>
      <c r="D287" s="783"/>
      <c r="E287" s="2" t="str">
        <f>OBRA!M285</f>
        <v>CUENTA CORRIENTE</v>
      </c>
      <c r="F287" s="18" t="s">
        <v>1428</v>
      </c>
      <c r="G287" s="38" t="s">
        <v>2206</v>
      </c>
      <c r="H287" s="12" t="str">
        <f>OBRA!N285</f>
        <v>GMJ 060C OP/2017</v>
      </c>
      <c r="I287" s="2" t="str">
        <f>OBRA!O285</f>
        <v>ADJUDICACIÓN DIRECTA</v>
      </c>
      <c r="J287" s="3" t="str">
        <f>OBRA!P285</f>
        <v>REENCARPETAMIENTO Y BACHEO ASFALTICO EN VARIAS CALLES EN LA CABECERA MUNICIPAL, DE JOCOTEPEC, JALISCO</v>
      </c>
      <c r="K287" s="3" t="s">
        <v>1916</v>
      </c>
      <c r="L287" s="3"/>
      <c r="M287" s="3" t="s">
        <v>1993</v>
      </c>
      <c r="N287" s="3" t="s">
        <v>1975</v>
      </c>
      <c r="O287" s="466" t="s">
        <v>3486</v>
      </c>
      <c r="P287" s="4">
        <f>OBRA!R285</f>
        <v>773560.6</v>
      </c>
      <c r="Q287" s="1023">
        <f t="shared" si="13"/>
        <v>666862.58620689658</v>
      </c>
      <c r="R287" s="1023"/>
      <c r="S287" s="6">
        <f>OBRA!S285</f>
        <v>43059</v>
      </c>
      <c r="T287" s="1134">
        <f>OBRA!V285</f>
        <v>43003</v>
      </c>
      <c r="U287" s="5">
        <f>OBRA!T285</f>
        <v>43059</v>
      </c>
      <c r="V287" s="11">
        <f>OBRA!U285</f>
        <v>43075</v>
      </c>
      <c r="W287" s="223"/>
      <c r="X287" s="578">
        <f>OBRA!AS285+OBRA!AT285</f>
        <v>773560.6</v>
      </c>
      <c r="Y287" s="278"/>
      <c r="Z287" s="146" t="str">
        <f>OBRA!W285</f>
        <v>ASFALTOS GUADALAJARA, S.A.P.I. DE C.V.</v>
      </c>
      <c r="AA287" s="146"/>
      <c r="AB287" s="148" t="s">
        <v>1974</v>
      </c>
      <c r="AC287" s="146" t="s">
        <v>1919</v>
      </c>
      <c r="AD287" s="146"/>
      <c r="AE287" s="183" t="str">
        <f>OBRA!X285</f>
        <v>ING. ANGEL ALBERTO HERNANDEZ MORA</v>
      </c>
      <c r="AF287" s="552">
        <v>1969.62</v>
      </c>
      <c r="AG287" s="2" t="s">
        <v>1548</v>
      </c>
      <c r="AH287" s="183">
        <f t="shared" si="12"/>
        <v>392.74611346351071</v>
      </c>
      <c r="AI287" s="2">
        <v>21500</v>
      </c>
      <c r="AJ287" s="156" t="s">
        <v>1444</v>
      </c>
      <c r="AK287" s="513"/>
      <c r="AL287" s="513"/>
      <c r="AM287" s="513"/>
      <c r="AN287" s="1216"/>
      <c r="AO287" s="867"/>
      <c r="AP287" s="867"/>
      <c r="AQ287" s="878"/>
      <c r="AR287" s="969"/>
      <c r="AS287" s="705"/>
    </row>
    <row r="288" spans="1:45" ht="91.5" hidden="1" customHeight="1">
      <c r="A288" s="16">
        <f>OBRA!J286</f>
        <v>2017</v>
      </c>
      <c r="B288" s="783" t="s">
        <v>1563</v>
      </c>
      <c r="C288" s="783"/>
      <c r="D288" s="783"/>
      <c r="E288" s="2" t="str">
        <f>OBRA!M286</f>
        <v>RAMO 33</v>
      </c>
      <c r="F288" s="18" t="s">
        <v>1428</v>
      </c>
      <c r="G288" s="38" t="s">
        <v>2206</v>
      </c>
      <c r="H288" s="12" t="str">
        <f>OBRA!N286</f>
        <v>GMJ 061C OP/2017</v>
      </c>
      <c r="I288" s="2" t="str">
        <f>OBRA!O286</f>
        <v>ADJUDICACIÓN DIRECTA</v>
      </c>
      <c r="J288" s="3" t="str">
        <f>OBRA!P286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6" t="s">
        <v>3486</v>
      </c>
      <c r="P288" s="79">
        <f>OBRA!R286</f>
        <v>928575.62</v>
      </c>
      <c r="Q288" s="1023">
        <f t="shared" si="13"/>
        <v>800496.22413793113</v>
      </c>
      <c r="R288" s="1023"/>
      <c r="S288" s="67">
        <f>OBRA!S286</f>
        <v>43078</v>
      </c>
      <c r="T288" s="1134">
        <f>OBRA!V286</f>
        <v>43078</v>
      </c>
      <c r="U288" s="5">
        <f>OBRA!T286</f>
        <v>43078</v>
      </c>
      <c r="V288" s="11">
        <f>OBRA!U286</f>
        <v>43099</v>
      </c>
      <c r="W288" s="223"/>
      <c r="X288" s="578">
        <f>OBRA!AS286+OBRA!AT286</f>
        <v>928575.62</v>
      </c>
      <c r="Y288" s="278"/>
      <c r="Z288" s="146" t="str">
        <f>OBRA!W286</f>
        <v>C. NORMA GORETY DOMINGUEZ CALVARIO</v>
      </c>
      <c r="AA288" s="146"/>
      <c r="AB288" s="148" t="str">
        <f>Z288</f>
        <v>C. NORMA GORETY DOMINGUEZ CALVARIO</v>
      </c>
      <c r="AC288" s="2" t="s">
        <v>2959</v>
      </c>
      <c r="AD288" s="146" t="s">
        <v>2959</v>
      </c>
      <c r="AE288" s="183" t="str">
        <f>OBRA!X286</f>
        <v>ING. JUAN MANUEL GARCIA ESCOTO</v>
      </c>
      <c r="AF288" s="552">
        <v>271.8</v>
      </c>
      <c r="AG288" s="2" t="s">
        <v>1451</v>
      </c>
      <c r="AH288" s="183">
        <f t="shared" si="12"/>
        <v>3416.393009565857</v>
      </c>
      <c r="AI288" s="2">
        <v>21500</v>
      </c>
      <c r="AJ288" s="156" t="s">
        <v>1452</v>
      </c>
      <c r="AK288" s="513"/>
      <c r="AL288" s="513"/>
      <c r="AM288" s="513"/>
      <c r="AN288" s="1216"/>
      <c r="AO288" s="867"/>
      <c r="AP288" s="867"/>
      <c r="AQ288" s="878"/>
      <c r="AR288" s="969"/>
      <c r="AS288" s="705"/>
    </row>
    <row r="289" spans="1:45" ht="98.25" hidden="1" customHeight="1">
      <c r="A289" s="16">
        <f>OBRA!J287</f>
        <v>2017</v>
      </c>
      <c r="B289" s="783" t="s">
        <v>1563</v>
      </c>
      <c r="C289" s="783"/>
      <c r="D289" s="783"/>
      <c r="E289" s="2" t="str">
        <f>OBRA!M287</f>
        <v>RAMO 33</v>
      </c>
      <c r="F289" s="18" t="s">
        <v>1428</v>
      </c>
      <c r="G289" s="38" t="s">
        <v>2206</v>
      </c>
      <c r="H289" s="12" t="str">
        <f>OBRA!N287</f>
        <v>GMJ 062C OP/2017</v>
      </c>
      <c r="I289" s="2" t="str">
        <f>OBRA!O287</f>
        <v>ADJUDICACIÓN DIRECTA</v>
      </c>
      <c r="J289" s="3" t="str">
        <f>OBRA!P287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6" t="s">
        <v>3486</v>
      </c>
      <c r="P289" s="79">
        <f>OBRA!R287</f>
        <v>831598.75</v>
      </c>
      <c r="Q289" s="1023">
        <f t="shared" si="13"/>
        <v>716895.47413793113</v>
      </c>
      <c r="R289" s="1023"/>
      <c r="S289" s="67">
        <f>OBRA!S287</f>
        <v>43078</v>
      </c>
      <c r="T289" s="1134">
        <f>OBRA!V287</f>
        <v>43078</v>
      </c>
      <c r="U289" s="5">
        <f>OBRA!T287</f>
        <v>43078</v>
      </c>
      <c r="V289" s="11">
        <f>OBRA!U287</f>
        <v>43099</v>
      </c>
      <c r="W289" s="223"/>
      <c r="X289" s="578">
        <f>OBRA!AS287+OBRA!AT287</f>
        <v>831598.76</v>
      </c>
      <c r="Y289" s="278"/>
      <c r="Z289" s="146" t="str">
        <f>OBRA!W287</f>
        <v>C. NORMA GORETY DOMINGUEZ CALVARIO</v>
      </c>
      <c r="AA289" s="146"/>
      <c r="AB289" s="148" t="str">
        <f>Z289</f>
        <v>C. NORMA GORETY DOMINGUEZ CALVARIO</v>
      </c>
      <c r="AC289" s="2" t="s">
        <v>2959</v>
      </c>
      <c r="AD289" s="146" t="s">
        <v>2959</v>
      </c>
      <c r="AE289" s="183" t="str">
        <f>OBRA!X287</f>
        <v>ING. JUAN MANUEL GARCIA ESCOTO</v>
      </c>
      <c r="AF289" s="552">
        <v>271</v>
      </c>
      <c r="AG289" s="2" t="s">
        <v>1451</v>
      </c>
      <c r="AH289" s="183">
        <f t="shared" si="12"/>
        <v>3068.6301107011072</v>
      </c>
      <c r="AI289" s="2">
        <v>21500</v>
      </c>
      <c r="AJ289" s="156" t="s">
        <v>1452</v>
      </c>
      <c r="AK289" s="513"/>
      <c r="AL289" s="513"/>
      <c r="AM289" s="513"/>
      <c r="AN289" s="1216"/>
      <c r="AO289" s="867"/>
      <c r="AP289" s="867"/>
      <c r="AQ289" s="878"/>
      <c r="AR289" s="969"/>
      <c r="AS289" s="705"/>
    </row>
    <row r="290" spans="1:45" ht="93.75" hidden="1" customHeight="1">
      <c r="A290" s="16">
        <f>OBRA!J288</f>
        <v>2017</v>
      </c>
      <c r="B290" s="783" t="s">
        <v>1563</v>
      </c>
      <c r="C290" s="783"/>
      <c r="D290" s="783"/>
      <c r="E290" s="2" t="str">
        <f>OBRA!M288</f>
        <v>RAMO 33</v>
      </c>
      <c r="F290" s="18" t="s">
        <v>1428</v>
      </c>
      <c r="G290" s="38" t="s">
        <v>2206</v>
      </c>
      <c r="H290" s="12" t="str">
        <f>OBRA!N288</f>
        <v>GMJ 063C OP/2017</v>
      </c>
      <c r="I290" s="2" t="str">
        <f>OBRA!O288</f>
        <v>ADJUDICACIÓN DIRECTA</v>
      </c>
      <c r="J290" s="3" t="str">
        <f>OBRA!P288</f>
        <v>REHABILITACION DE LINEA DE AGUA POTABLE EN CALLE CHAPULTEPEC ENTRE DEPOSITO Y  PRIVADA SAN MIGUEL 2DA ETAPA EN LA AGENCIA MUNCIPAL “LA LOMA”  DEL MUNICIPIO DE JOCOTEPEC, JALISCO</v>
      </c>
      <c r="K290" s="3" t="s">
        <v>1762</v>
      </c>
      <c r="L290" s="3"/>
      <c r="M290" s="3" t="s">
        <v>1528</v>
      </c>
      <c r="N290" s="3" t="s">
        <v>2512</v>
      </c>
      <c r="O290" s="466" t="s">
        <v>3486</v>
      </c>
      <c r="P290" s="79">
        <f>OBRA!R288</f>
        <v>394058.8</v>
      </c>
      <c r="Q290" s="1023">
        <f t="shared" si="13"/>
        <v>339705.86206896551</v>
      </c>
      <c r="R290" s="1023"/>
      <c r="S290" s="67">
        <f>OBRA!S288</f>
        <v>43078</v>
      </c>
      <c r="T290" s="1134">
        <f>OBRA!V288</f>
        <v>43078</v>
      </c>
      <c r="U290" s="5">
        <f>OBRA!T288</f>
        <v>43078</v>
      </c>
      <c r="V290" s="11">
        <f>OBRA!U288</f>
        <v>43099</v>
      </c>
      <c r="W290" s="223"/>
      <c r="X290" s="578">
        <f>OBRA!AS288+OBRA!AT288</f>
        <v>392367.57</v>
      </c>
      <c r="Y290" s="278"/>
      <c r="Z290" s="146" t="str">
        <f>OBRA!W288</f>
        <v>ING. PEDRO TOPETE LOPEZ</v>
      </c>
      <c r="AA290" s="146"/>
      <c r="AB290" s="148" t="str">
        <f>Z290</f>
        <v>ING. PEDRO TOPETE LOPEZ</v>
      </c>
      <c r="AC290" s="2" t="s">
        <v>2959</v>
      </c>
      <c r="AD290" s="146" t="s">
        <v>2959</v>
      </c>
      <c r="AE290" s="183" t="str">
        <f>OBRA!X288</f>
        <v>ING. ANGEL ALBERTO HERNANDEZ MORA</v>
      </c>
      <c r="AF290" s="552">
        <v>250</v>
      </c>
      <c r="AG290" s="2" t="s">
        <v>1451</v>
      </c>
      <c r="AH290" s="615">
        <f t="shared" si="12"/>
        <v>1569.47028</v>
      </c>
      <c r="AI290" s="2">
        <v>400</v>
      </c>
      <c r="AJ290" s="156" t="s">
        <v>1452</v>
      </c>
      <c r="AK290" s="513"/>
      <c r="AL290" s="513"/>
      <c r="AM290" s="513"/>
      <c r="AN290" s="1216"/>
      <c r="AO290" s="867"/>
      <c r="AP290" s="867"/>
      <c r="AQ290" s="878"/>
      <c r="AR290" s="969"/>
      <c r="AS290" s="705"/>
    </row>
    <row r="291" spans="1:45" ht="99" hidden="1" customHeight="1">
      <c r="A291" s="16">
        <f>OBRA!J289</f>
        <v>2017</v>
      </c>
      <c r="B291" s="783" t="s">
        <v>1563</v>
      </c>
      <c r="C291" s="783"/>
      <c r="D291" s="783"/>
      <c r="E291" s="2" t="str">
        <f>OBRA!M289</f>
        <v>RAMO 33</v>
      </c>
      <c r="F291" s="18" t="s">
        <v>1428</v>
      </c>
      <c r="G291" s="38" t="s">
        <v>2206</v>
      </c>
      <c r="H291" s="12" t="str">
        <f>OBRA!N289</f>
        <v>GMJ 064C OP/2017</v>
      </c>
      <c r="I291" s="2" t="str">
        <f>OBRA!O289</f>
        <v>ADJUDICACIÓN DIRECTA</v>
      </c>
      <c r="J291" s="3" t="str">
        <f>OBRA!P289</f>
        <v>REHABILITACION DE LINEA DE AGUA POTABLE EN CALLE INDEPENDENCIA ENTRE CARRETERA Y CERRADA EN LA LOCALIDAD DE SAN JUAN COSALA, DEL MUNICIPIO DE JOCOTEPEC, JALISCO</v>
      </c>
      <c r="K291" s="3" t="s">
        <v>1762</v>
      </c>
      <c r="L291" s="3"/>
      <c r="M291" s="3" t="s">
        <v>1994</v>
      </c>
      <c r="N291" s="3" t="s">
        <v>2524</v>
      </c>
      <c r="O291" s="466" t="s">
        <v>3486</v>
      </c>
      <c r="P291" s="79">
        <f>OBRA!R289</f>
        <v>46522.28</v>
      </c>
      <c r="Q291" s="1023">
        <f t="shared" si="13"/>
        <v>40105.413793103449</v>
      </c>
      <c r="R291" s="1023"/>
      <c r="S291" s="67">
        <f>OBRA!S289</f>
        <v>43077</v>
      </c>
      <c r="T291" s="1134">
        <f>OBRA!V289</f>
        <v>43073</v>
      </c>
      <c r="U291" s="5">
        <f>OBRA!T289</f>
        <v>43078</v>
      </c>
      <c r="V291" s="11">
        <f>OBRA!U289</f>
        <v>43099</v>
      </c>
      <c r="W291" s="223"/>
      <c r="X291" s="578">
        <f>OBRA!AS289+OBRA!AT289</f>
        <v>46522.58</v>
      </c>
      <c r="Y291" s="278"/>
      <c r="Z291" s="146" t="str">
        <f>OBRA!W289</f>
        <v>C. JOSÉ MIGUEL GARCIA VALLE</v>
      </c>
      <c r="AA291" s="146"/>
      <c r="AB291" s="148" t="str">
        <f>Z291</f>
        <v>C. JOSÉ MIGUEL GARCIA VALLE</v>
      </c>
      <c r="AC291" s="2" t="s">
        <v>2959</v>
      </c>
      <c r="AD291" s="146" t="s">
        <v>2959</v>
      </c>
      <c r="AE291" s="183" t="str">
        <f>OBRA!X289</f>
        <v>LIC. SALVADOR CONTRERAS OLGUÍN</v>
      </c>
      <c r="AF291" s="552">
        <v>15.5</v>
      </c>
      <c r="AG291" s="2" t="s">
        <v>1548</v>
      </c>
      <c r="AH291" s="183">
        <f t="shared" si="12"/>
        <v>3001.4567741935484</v>
      </c>
      <c r="AI291" s="2">
        <v>200</v>
      </c>
      <c r="AJ291" s="156" t="s">
        <v>1452</v>
      </c>
      <c r="AK291" s="513"/>
      <c r="AL291" s="513"/>
      <c r="AM291" s="513"/>
      <c r="AN291" s="1216"/>
      <c r="AO291" s="867"/>
      <c r="AP291" s="867"/>
      <c r="AQ291" s="878"/>
      <c r="AR291" s="969"/>
      <c r="AS291" s="705"/>
    </row>
    <row r="292" spans="1:45" ht="77.25" hidden="1" customHeight="1">
      <c r="A292" s="16">
        <f>OBRA!J290</f>
        <v>2017</v>
      </c>
      <c r="B292" s="783" t="s">
        <v>1563</v>
      </c>
      <c r="C292" s="783"/>
      <c r="D292" s="783"/>
      <c r="E292" s="2" t="str">
        <f>OBRA!M290</f>
        <v>RAMO 33</v>
      </c>
      <c r="F292" s="18" t="s">
        <v>1428</v>
      </c>
      <c r="G292" s="38" t="s">
        <v>2206</v>
      </c>
      <c r="H292" s="12" t="str">
        <f>OBRA!N290</f>
        <v>GMJ 065C OP/2017</v>
      </c>
      <c r="I292" s="2" t="str">
        <f>OBRA!O290</f>
        <v>ADJUDICACIÓN DIRECTA</v>
      </c>
      <c r="J292" s="3" t="str">
        <f>OBRA!P290</f>
        <v>FABRICACION DE EMPEDRADO AHOGADO EN CONCRETO EN CALLE INDEPENDENCIA, EN  LA LOCALIDAD  DE SAN JUAN COSALA, DEL MUNICIPIO DE JOCOTEPEC, JALISCO</v>
      </c>
      <c r="K292" s="3" t="s">
        <v>1592</v>
      </c>
      <c r="L292" s="3"/>
      <c r="M292" s="3" t="s">
        <v>1994</v>
      </c>
      <c r="N292" s="3" t="s">
        <v>2524</v>
      </c>
      <c r="O292" s="466" t="s">
        <v>3486</v>
      </c>
      <c r="P292" s="79">
        <f>OBRA!R290</f>
        <v>107544.91</v>
      </c>
      <c r="Q292" s="1023">
        <f t="shared" si="13"/>
        <v>92711.129310344841</v>
      </c>
      <c r="R292" s="1023"/>
      <c r="S292" s="67">
        <f>OBRA!S290</f>
        <v>43077</v>
      </c>
      <c r="T292" s="1134">
        <f>OBRA!V290</f>
        <v>43073</v>
      </c>
      <c r="U292" s="5">
        <f>OBRA!T290</f>
        <v>43078</v>
      </c>
      <c r="V292" s="11">
        <f>OBRA!U290</f>
        <v>43099</v>
      </c>
      <c r="W292" s="223"/>
      <c r="X292" s="578">
        <f>OBRA!AS290+OBRA!AT290</f>
        <v>107544.91</v>
      </c>
      <c r="Y292" s="278"/>
      <c r="Z292" s="146" t="str">
        <f>OBRA!W290</f>
        <v>C. JOSÉ MIGUEL GARCIA VALLE</v>
      </c>
      <c r="AA292" s="146"/>
      <c r="AB292" s="148" t="str">
        <f>Z292</f>
        <v>C. JOSÉ MIGUEL GARCIA VALLE</v>
      </c>
      <c r="AC292" s="2" t="s">
        <v>2959</v>
      </c>
      <c r="AD292" s="146" t="s">
        <v>2959</v>
      </c>
      <c r="AE292" s="183" t="str">
        <f>OBRA!X290</f>
        <v>LIC. SALVADOR CONTRERAS OLGUÍN</v>
      </c>
      <c r="AF292" s="552">
        <v>111.83</v>
      </c>
      <c r="AG292" s="2" t="s">
        <v>1451</v>
      </c>
      <c r="AH292" s="183">
        <f t="shared" si="12"/>
        <v>961.6821067692033</v>
      </c>
      <c r="AI292" s="2">
        <v>200</v>
      </c>
      <c r="AJ292" s="156" t="s">
        <v>1452</v>
      </c>
      <c r="AK292" s="513"/>
      <c r="AL292" s="513"/>
      <c r="AM292" s="513"/>
      <c r="AN292" s="1216"/>
      <c r="AO292" s="867"/>
      <c r="AP292" s="867"/>
      <c r="AQ292" s="878"/>
      <c r="AR292" s="969"/>
      <c r="AS292" s="705"/>
    </row>
    <row r="293" spans="1:45" ht="110.25" hidden="1" customHeight="1">
      <c r="A293" s="16">
        <f>OBRA!J291</f>
        <v>2018</v>
      </c>
      <c r="B293" s="783" t="s">
        <v>1563</v>
      </c>
      <c r="C293" s="783">
        <v>180.1</v>
      </c>
      <c r="D293" s="783"/>
      <c r="E293" s="2" t="str">
        <f>OBRA!M291</f>
        <v>FONDEREG</v>
      </c>
      <c r="F293" s="504" t="s">
        <v>3665</v>
      </c>
      <c r="G293" s="38" t="s">
        <v>2206</v>
      </c>
      <c r="H293" s="412" t="str">
        <f>OBRA!N291</f>
        <v>FONDEREG 2018/05 SURESTE/054</v>
      </c>
      <c r="I293" s="2" t="str">
        <f>OBRA!O291</f>
        <v>CONVENIO</v>
      </c>
      <c r="J293" s="3" t="str">
        <f>OBRA!P291</f>
        <v>"REHABILITACIÓN DE IMAGEN URBANA DE CALLE VICENTE GUERRERO EN EL INGRESO PONIENTE A JOCOTEPEC, DE LA CALLE INDEPENDENCIA A LA CALLE PASEOS DE LA ROSAS, EN LA CABECERA MUNICIPAL DE JOCOTEPEC, JALISCO.</v>
      </c>
      <c r="K293" s="2" t="s">
        <v>68</v>
      </c>
      <c r="L293" s="2"/>
      <c r="M293" s="3" t="s">
        <v>3230</v>
      </c>
      <c r="N293" s="3" t="s">
        <v>1975</v>
      </c>
      <c r="O293" s="504" t="s">
        <v>3487</v>
      </c>
      <c r="P293" s="79">
        <f>OBRA!R291</f>
        <v>1634531.02</v>
      </c>
      <c r="Q293" s="1023">
        <f t="shared" ref="Q293:Q299" si="14">P293/1.16</f>
        <v>1409078.4655172415</v>
      </c>
      <c r="R293" s="1023"/>
      <c r="S293" s="67">
        <f>OBRA!S291</f>
        <v>43223</v>
      </c>
      <c r="T293" s="1134" t="str">
        <f>OBRA!V291</f>
        <v>-</v>
      </c>
      <c r="U293" s="5" t="str">
        <f>OBRA!T291</f>
        <v>-</v>
      </c>
      <c r="V293" s="11" t="str">
        <f>OBRA!U291</f>
        <v>-</v>
      </c>
      <c r="W293" s="220">
        <v>0</v>
      </c>
      <c r="X293" s="578">
        <f>X324+X328</f>
        <v>2724219.4400000004</v>
      </c>
      <c r="Y293" s="1182" t="s">
        <v>68</v>
      </c>
      <c r="Z293" s="146" t="str">
        <f>OBRA!W291</f>
        <v>N/A</v>
      </c>
      <c r="AA293" s="146"/>
      <c r="AB293" s="148" t="str">
        <f t="shared" ref="AB293:AB316" si="15">Z293</f>
        <v>N/A</v>
      </c>
      <c r="AC293" s="2" t="s">
        <v>2959</v>
      </c>
      <c r="AD293" s="146" t="s">
        <v>2959</v>
      </c>
      <c r="AE293" s="183" t="str">
        <f>OBRA!X291</f>
        <v>-</v>
      </c>
      <c r="AF293" s="552"/>
      <c r="AG293" s="2"/>
      <c r="AH293" s="183" t="e">
        <f t="shared" si="12"/>
        <v>#DIV/0!</v>
      </c>
      <c r="AI293" s="2"/>
      <c r="AJ293" s="156"/>
      <c r="AK293" s="513"/>
      <c r="AL293" s="513"/>
      <c r="AM293" s="513"/>
      <c r="AN293" s="786" t="s">
        <v>3665</v>
      </c>
      <c r="AO293" s="466" t="s">
        <v>68</v>
      </c>
      <c r="AP293" s="466" t="s">
        <v>68</v>
      </c>
      <c r="AQ293" s="524" t="s">
        <v>68</v>
      </c>
      <c r="AR293" s="493"/>
      <c r="AS293" s="525" t="s">
        <v>68</v>
      </c>
    </row>
    <row r="294" spans="1:45" ht="100.5" hidden="1" customHeight="1">
      <c r="A294" s="16">
        <f>OBRA!J292</f>
        <v>2018</v>
      </c>
      <c r="B294" s="783" t="s">
        <v>1563</v>
      </c>
      <c r="C294" s="783">
        <v>180.2</v>
      </c>
      <c r="D294" s="783"/>
      <c r="E294" s="2" t="str">
        <f>OBRA!M292</f>
        <v>FONDEREG</v>
      </c>
      <c r="F294" s="504" t="s">
        <v>3665</v>
      </c>
      <c r="G294" s="38" t="s">
        <v>2206</v>
      </c>
      <c r="H294" s="412" t="str">
        <f>OBRA!N292</f>
        <v>FONDEREG 2018/05 SURESTE/055</v>
      </c>
      <c r="I294" s="2" t="str">
        <f>OBRA!O292</f>
        <v>CONVENIO</v>
      </c>
      <c r="J294" s="3" t="str">
        <f>OBRA!P292</f>
        <v xml:space="preserve">CONSTRUCCIÓN DE ALUMBRADO PÚBLICO EN LA CARRETERA JOCOTEPEC-CHAPALA DE LA CALLE LIBERTAD (NEXTIPAC) HASTA CALLE JUÁREZ (CHANTEPEC), 1RA. ETAPA EN EL INGRESO ORIENTE A LA CABECERA MUNICIPAL DE JOCOTEPEC, JALISCO. </v>
      </c>
      <c r="K294" s="2" t="s">
        <v>68</v>
      </c>
      <c r="L294" s="2"/>
      <c r="M294" s="3" t="s">
        <v>3232</v>
      </c>
      <c r="N294" s="3" t="s">
        <v>1975</v>
      </c>
      <c r="O294" s="504" t="s">
        <v>3487</v>
      </c>
      <c r="P294" s="79">
        <f>OBRA!R292</f>
        <v>724057.5</v>
      </c>
      <c r="Q294" s="1023">
        <f t="shared" si="14"/>
        <v>624187.5</v>
      </c>
      <c r="R294" s="1023"/>
      <c r="S294" s="67">
        <f>OBRA!S292</f>
        <v>43223</v>
      </c>
      <c r="T294" s="1134">
        <f>OBRA!V292</f>
        <v>0</v>
      </c>
      <c r="U294" s="5" t="str">
        <f>OBRA!T292</f>
        <v>-</v>
      </c>
      <c r="V294" s="11" t="str">
        <f>OBRA!U292</f>
        <v>-</v>
      </c>
      <c r="W294" s="220">
        <v>0</v>
      </c>
      <c r="X294" s="578">
        <f>X327</f>
        <v>724036.92</v>
      </c>
      <c r="Y294" s="1183" t="s">
        <v>68</v>
      </c>
      <c r="Z294" s="146" t="str">
        <f>OBRA!W292</f>
        <v>N/A</v>
      </c>
      <c r="AA294" s="146"/>
      <c r="AB294" s="148" t="str">
        <f t="shared" si="15"/>
        <v>N/A</v>
      </c>
      <c r="AC294" s="2" t="s">
        <v>2959</v>
      </c>
      <c r="AD294" s="146" t="s">
        <v>2959</v>
      </c>
      <c r="AE294" s="183" t="str">
        <f>OBRA!X292</f>
        <v>-</v>
      </c>
      <c r="AF294" s="552"/>
      <c r="AG294" s="2"/>
      <c r="AH294" s="183" t="e">
        <f t="shared" si="12"/>
        <v>#DIV/0!</v>
      </c>
      <c r="AI294" s="2"/>
      <c r="AJ294" s="156"/>
      <c r="AK294" s="513"/>
      <c r="AL294" s="513"/>
      <c r="AM294" s="513"/>
      <c r="AN294" s="786" t="s">
        <v>3665</v>
      </c>
      <c r="AO294" s="466" t="s">
        <v>68</v>
      </c>
      <c r="AP294" s="466" t="s">
        <v>68</v>
      </c>
      <c r="AQ294" s="524" t="s">
        <v>68</v>
      </c>
      <c r="AR294" s="493"/>
      <c r="AS294" s="525" t="s">
        <v>68</v>
      </c>
    </row>
    <row r="295" spans="1:45" ht="276" hidden="1" customHeight="1">
      <c r="A295" s="16">
        <f>OBRA!J293</f>
        <v>2018</v>
      </c>
      <c r="B295" s="783" t="s">
        <v>1563</v>
      </c>
      <c r="C295" s="783">
        <v>180.3</v>
      </c>
      <c r="D295" s="783"/>
      <c r="E295" s="2" t="str">
        <f>OBRA!M293</f>
        <v xml:space="preserve">PROYECTOS DESARROLLO REGIONAL </v>
      </c>
      <c r="F295" s="504" t="s">
        <v>3665</v>
      </c>
      <c r="G295" s="38" t="s">
        <v>2206</v>
      </c>
      <c r="H295" s="12" t="str">
        <f>OBRA!N293</f>
        <v>-</v>
      </c>
      <c r="I295" s="2" t="str">
        <f>OBRA!O293</f>
        <v>CONVENIO</v>
      </c>
      <c r="J295"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2"/>
      <c r="M295" s="3" t="s">
        <v>3233</v>
      </c>
      <c r="N295" s="3" t="s">
        <v>3234</v>
      </c>
      <c r="O295" s="504" t="s">
        <v>3487</v>
      </c>
      <c r="P295" s="79">
        <f>OBRA!R293</f>
        <v>2900000</v>
      </c>
      <c r="Q295" s="1023">
        <f t="shared" si="14"/>
        <v>2500000</v>
      </c>
      <c r="R295" s="1023"/>
      <c r="S295" s="67">
        <f>OBRA!S293</f>
        <v>43199</v>
      </c>
      <c r="T295" s="1134">
        <f>OBRA!V293</f>
        <v>0</v>
      </c>
      <c r="U295" s="5" t="str">
        <f>OBRA!T293</f>
        <v>-</v>
      </c>
      <c r="V295" s="11" t="str">
        <f>OBRA!U293</f>
        <v>-</v>
      </c>
      <c r="W295" s="220">
        <v>0</v>
      </c>
      <c r="X295" s="578">
        <f>X306+X311+X312</f>
        <v>2814803.33</v>
      </c>
      <c r="Y295" s="278" t="s">
        <v>68</v>
      </c>
      <c r="Z295" s="146" t="str">
        <f>OBRA!W293</f>
        <v>N/A</v>
      </c>
      <c r="AA295" s="146"/>
      <c r="AB295" s="148" t="str">
        <f t="shared" si="15"/>
        <v>N/A</v>
      </c>
      <c r="AC295" s="2" t="s">
        <v>2959</v>
      </c>
      <c r="AD295" s="146" t="s">
        <v>2959</v>
      </c>
      <c r="AE295" s="183" t="str">
        <f>OBRA!X293</f>
        <v>-</v>
      </c>
      <c r="AF295" s="552"/>
      <c r="AG295" s="2"/>
      <c r="AH295" s="183" t="e">
        <f t="shared" si="12"/>
        <v>#DIV/0!</v>
      </c>
      <c r="AI295" s="2"/>
      <c r="AJ295" s="156"/>
      <c r="AK295" s="513"/>
      <c r="AL295" s="513"/>
      <c r="AM295" s="513"/>
      <c r="AN295" s="786" t="s">
        <v>3665</v>
      </c>
      <c r="AO295" s="466" t="s">
        <v>68</v>
      </c>
      <c r="AP295" s="466" t="s">
        <v>68</v>
      </c>
      <c r="AQ295" s="524" t="s">
        <v>68</v>
      </c>
      <c r="AR295" s="493"/>
      <c r="AS295" s="525" t="s">
        <v>68</v>
      </c>
    </row>
    <row r="296" spans="1:45" ht="127.5" hidden="1" customHeight="1">
      <c r="A296" s="16">
        <f>OBRA!J294</f>
        <v>2018</v>
      </c>
      <c r="B296" s="783" t="s">
        <v>1563</v>
      </c>
      <c r="C296" s="783">
        <v>181.01</v>
      </c>
      <c r="D296" s="783"/>
      <c r="E296" s="2" t="str">
        <f>OBRA!M294</f>
        <v>CUENTA CORRIENTE</v>
      </c>
      <c r="F296" s="1434" t="s">
        <v>1428</v>
      </c>
      <c r="G296" s="38" t="s">
        <v>2206</v>
      </c>
      <c r="H296" s="12" t="str">
        <f>OBRA!N294</f>
        <v>DOP/AD/001/2018</v>
      </c>
      <c r="I296" s="2" t="str">
        <f>OBRA!O294</f>
        <v>ADMINISTRACIÓN DIRECTA</v>
      </c>
      <c r="J296" s="68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K296" s="510"/>
      <c r="L296" s="510"/>
      <c r="M296" s="541" t="s">
        <v>4172</v>
      </c>
      <c r="N296" s="541" t="s">
        <v>1975</v>
      </c>
      <c r="O296" s="529" t="s">
        <v>4174</v>
      </c>
      <c r="P296" s="79">
        <f>OBRA!R294</f>
        <v>89200</v>
      </c>
      <c r="Q296" s="1023">
        <f t="shared" si="14"/>
        <v>76896.551724137942</v>
      </c>
      <c r="R296" s="1023"/>
      <c r="S296" s="67">
        <f>OBRA!S294</f>
        <v>43133</v>
      </c>
      <c r="T296" s="1134" t="str">
        <f>OBRA!V294</f>
        <v>-</v>
      </c>
      <c r="U296" s="5">
        <f>OBRA!T294</f>
        <v>43143</v>
      </c>
      <c r="V296" s="11">
        <f>OBRA!U294</f>
        <v>43210</v>
      </c>
      <c r="W296" s="220">
        <v>0</v>
      </c>
      <c r="X296" s="578">
        <f>OBRA!AS294+OBRA!AT294</f>
        <v>0</v>
      </c>
      <c r="Y296" s="278" t="s">
        <v>68</v>
      </c>
      <c r="Z296" s="146" t="str">
        <f>OBRA!W294</f>
        <v>N/A</v>
      </c>
      <c r="AA296" s="146"/>
      <c r="AB296" s="148" t="str">
        <f t="shared" si="15"/>
        <v>N/A</v>
      </c>
      <c r="AC296" s="2" t="s">
        <v>1177</v>
      </c>
      <c r="AD296" s="146" t="s">
        <v>1177</v>
      </c>
      <c r="AE296" s="183" t="str">
        <f>OBRA!X294</f>
        <v>ING. JUAN MANUEL GARCIA ESCOTO</v>
      </c>
      <c r="AF296" s="1435"/>
      <c r="AG296" s="510"/>
      <c r="AH296" s="551" t="e">
        <f t="shared" si="12"/>
        <v>#DIV/0!</v>
      </c>
      <c r="AI296" s="510"/>
      <c r="AJ296" s="574"/>
      <c r="AK296" s="506"/>
      <c r="AL296" s="506"/>
      <c r="AM296" s="506"/>
      <c r="AN296" s="1216"/>
      <c r="AO296" s="867"/>
      <c r="AP296" s="867"/>
      <c r="AQ296" s="878"/>
      <c r="AR296" s="969"/>
      <c r="AS296" s="705"/>
    </row>
    <row r="297" spans="1:45" ht="108.75" hidden="1" customHeight="1">
      <c r="A297" s="16">
        <f>OBRA!J295</f>
        <v>2018</v>
      </c>
      <c r="B297" s="783" t="s">
        <v>1563</v>
      </c>
      <c r="C297" s="783">
        <v>181.02</v>
      </c>
      <c r="D297" s="783"/>
      <c r="E297" s="2" t="str">
        <f>OBRA!M295</f>
        <v>CUENTA CORRIENTE</v>
      </c>
      <c r="F297" s="1434" t="s">
        <v>1428</v>
      </c>
      <c r="G297" s="38" t="s">
        <v>2206</v>
      </c>
      <c r="H297" s="12" t="str">
        <f>OBRA!N295</f>
        <v>DOP/AD/002/2018</v>
      </c>
      <c r="I297" s="2" t="str">
        <f>OBRA!O295</f>
        <v>ADMINISTRACIÓN DIRECTA</v>
      </c>
      <c r="J297" s="3" t="str">
        <f>OBRA!P295</f>
        <v>MOTOCONFORMACION DE VARIAS CALLES Y FABRICACION DE EMPEDRADO EN CALLE MORELOS, EN LA AGENCIA MUNICIPAL DEL EL SAUZ, DEL MUNICIPIO DE JOCOTEPEC, JALISCO</v>
      </c>
      <c r="K297" s="3" t="s">
        <v>1996</v>
      </c>
      <c r="L297" s="173"/>
      <c r="M297" s="173" t="s">
        <v>1997</v>
      </c>
      <c r="N297" s="173" t="s">
        <v>2503</v>
      </c>
      <c r="O297" s="867" t="s">
        <v>4175</v>
      </c>
      <c r="P297" s="4">
        <f>OBRA!R295</f>
        <v>187043.52</v>
      </c>
      <c r="Q297" s="1023">
        <f t="shared" si="14"/>
        <v>161244.41379310345</v>
      </c>
      <c r="R297" s="1023"/>
      <c r="S297" s="6">
        <f>OBRA!S295</f>
        <v>43133</v>
      </c>
      <c r="T297" s="1134" t="str">
        <f>OBRA!V295</f>
        <v>-</v>
      </c>
      <c r="U297" s="5">
        <f>OBRA!T295</f>
        <v>43137</v>
      </c>
      <c r="V297" s="11">
        <f>OBRA!U295</f>
        <v>43210</v>
      </c>
      <c r="W297" s="220">
        <v>0</v>
      </c>
      <c r="X297" s="578">
        <f>OBRA!AS295+OBRA!AT295</f>
        <v>0</v>
      </c>
      <c r="Y297" s="1015"/>
      <c r="Z297" s="146" t="str">
        <f>OBRA!W295</f>
        <v>N/A</v>
      </c>
      <c r="AA297" s="146"/>
      <c r="AB297" s="148" t="str">
        <f t="shared" si="15"/>
        <v>N/A</v>
      </c>
      <c r="AC297" s="2" t="s">
        <v>1177</v>
      </c>
      <c r="AD297" s="146" t="s">
        <v>1177</v>
      </c>
      <c r="AE297" s="183" t="str">
        <f>OBRA!X295</f>
        <v>ING. JUAN MANUEL GARCIA ESCOTO</v>
      </c>
      <c r="AF297" s="552">
        <v>3142.4</v>
      </c>
      <c r="AG297" s="2" t="s">
        <v>1548</v>
      </c>
      <c r="AH297" s="551">
        <f t="shared" si="12"/>
        <v>0</v>
      </c>
      <c r="AI297" s="2">
        <v>250</v>
      </c>
      <c r="AJ297" s="156" t="s">
        <v>1452</v>
      </c>
      <c r="AK297" s="513"/>
      <c r="AL297" s="513"/>
      <c r="AM297" s="513"/>
      <c r="AN297" s="867"/>
      <c r="AO297" s="529"/>
      <c r="AP297" s="529"/>
      <c r="AQ297" s="878"/>
      <c r="AR297" s="969"/>
      <c r="AS297" s="574"/>
    </row>
    <row r="298" spans="1:45" ht="134.25" hidden="1" customHeight="1">
      <c r="A298" s="16">
        <f>OBRA!J296</f>
        <v>2018</v>
      </c>
      <c r="B298" s="783" t="s">
        <v>1563</v>
      </c>
      <c r="C298" s="783">
        <v>181.03</v>
      </c>
      <c r="D298" s="783"/>
      <c r="E298" s="2" t="str">
        <f>OBRA!M296</f>
        <v>CUENTA CORRIENTE</v>
      </c>
      <c r="F298" s="1434" t="s">
        <v>1428</v>
      </c>
      <c r="G298" s="38" t="s">
        <v>2206</v>
      </c>
      <c r="H298" s="12" t="str">
        <f>OBRA!N296</f>
        <v>DOP/AD/003/2018</v>
      </c>
      <c r="I298" s="2" t="str">
        <f>OBRA!O296</f>
        <v>ADMINISTRACIÓN DIRECTA</v>
      </c>
      <c r="J298" s="3" t="str">
        <f>OBRA!P296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2512</v>
      </c>
      <c r="O298" s="867" t="s">
        <v>4176</v>
      </c>
      <c r="P298" s="4">
        <f>OBRA!R296</f>
        <v>22000</v>
      </c>
      <c r="Q298" s="1023">
        <f t="shared" si="14"/>
        <v>18965.517241379312</v>
      </c>
      <c r="R298" s="1023"/>
      <c r="S298" s="6">
        <f>OBRA!S296</f>
        <v>43130</v>
      </c>
      <c r="T298" s="1134" t="str">
        <f>OBRA!V296</f>
        <v>-</v>
      </c>
      <c r="U298" s="5">
        <f>OBRA!T296</f>
        <v>43131</v>
      </c>
      <c r="V298" s="11">
        <f>OBRA!U296</f>
        <v>43159</v>
      </c>
      <c r="W298" s="220">
        <v>0</v>
      </c>
      <c r="X298" s="578">
        <f>OBRA!AS296+OBRA!AT296</f>
        <v>0</v>
      </c>
      <c r="Y298" s="1015"/>
      <c r="Z298" s="146" t="str">
        <f>OBRA!W296</f>
        <v>N/A</v>
      </c>
      <c r="AA298" s="146"/>
      <c r="AB298" s="148" t="str">
        <f t="shared" si="15"/>
        <v>N/A</v>
      </c>
      <c r="AC298" s="2" t="s">
        <v>1177</v>
      </c>
      <c r="AD298" s="146" t="s">
        <v>1177</v>
      </c>
      <c r="AE298" s="183" t="str">
        <f>OBRA!X296</f>
        <v>ING. JUAN MANUEL GARCIA ESCOTO</v>
      </c>
      <c r="AF298" s="19">
        <f>138+154</f>
        <v>292</v>
      </c>
      <c r="AG298" s="2" t="s">
        <v>1451</v>
      </c>
      <c r="AH298" s="551">
        <f t="shared" si="12"/>
        <v>0</v>
      </c>
      <c r="AI298" s="2">
        <v>1000</v>
      </c>
      <c r="AJ298" s="156" t="s">
        <v>1452</v>
      </c>
      <c r="AK298" s="513"/>
      <c r="AL298" s="513"/>
      <c r="AM298" s="513"/>
      <c r="AN298" s="867"/>
      <c r="AO298" s="529"/>
      <c r="AP298" s="529"/>
      <c r="AQ298" s="878"/>
      <c r="AR298" s="969"/>
      <c r="AS298" s="574"/>
    </row>
    <row r="299" spans="1:45" ht="85.5" hidden="1" customHeight="1">
      <c r="A299" s="16">
        <f>OBRA!J297</f>
        <v>2018</v>
      </c>
      <c r="B299" s="783" t="s">
        <v>1563</v>
      </c>
      <c r="C299" s="783">
        <v>181.04</v>
      </c>
      <c r="D299" s="783"/>
      <c r="E299" s="2" t="str">
        <f>OBRA!M297</f>
        <v>CUENTA CORRIENTE</v>
      </c>
      <c r="F299" s="1434" t="s">
        <v>1428</v>
      </c>
      <c r="G299" s="38" t="s">
        <v>2206</v>
      </c>
      <c r="H299" s="12" t="str">
        <f>OBRA!N297</f>
        <v>DOP/AD/004/2018</v>
      </c>
      <c r="I299" s="2" t="str">
        <f>OBRA!O297</f>
        <v>ADMINISTRACIÓN DIRECTA</v>
      </c>
      <c r="J299" s="3" t="str">
        <f>OBRA!P297</f>
        <v>REHABILITACION DE AREA DE MATANZA EN EL RASTRO MUNICIPAL, EN LA CABECERA MUNICIPAL DEL MUNICIPIO DE JOCOTEPEC, JALISCO</v>
      </c>
      <c r="K299" s="3" t="s">
        <v>2001</v>
      </c>
      <c r="L299" s="173"/>
      <c r="M299" s="173" t="s">
        <v>2002</v>
      </c>
      <c r="N299" s="173" t="s">
        <v>1975</v>
      </c>
      <c r="O299" s="867" t="s">
        <v>4177</v>
      </c>
      <c r="P299" s="4">
        <f>OBRA!R297</f>
        <v>187044.63</v>
      </c>
      <c r="Q299" s="1023">
        <f t="shared" si="14"/>
        <v>161245.37068965519</v>
      </c>
      <c r="R299" s="1023"/>
      <c r="S299" s="6">
        <f>OBRA!S297</f>
        <v>43140</v>
      </c>
      <c r="T299" s="1134" t="str">
        <f>OBRA!V297</f>
        <v>-</v>
      </c>
      <c r="U299" s="5">
        <f>OBRA!T297</f>
        <v>43143</v>
      </c>
      <c r="V299" s="11">
        <f>OBRA!U297</f>
        <v>43245</v>
      </c>
      <c r="W299" s="220">
        <v>0</v>
      </c>
      <c r="X299" s="578">
        <f>OBRA!AS297+OBRA!AT297</f>
        <v>40450</v>
      </c>
      <c r="Y299" s="1015"/>
      <c r="Z299" s="146" t="str">
        <f>OBRA!W297</f>
        <v>N/A</v>
      </c>
      <c r="AA299" s="146"/>
      <c r="AB299" s="148" t="str">
        <f t="shared" si="15"/>
        <v>N/A</v>
      </c>
      <c r="AC299" s="2" t="s">
        <v>1177</v>
      </c>
      <c r="AD299" s="146" t="s">
        <v>1177</v>
      </c>
      <c r="AE299" s="183" t="str">
        <f>OBRA!X297</f>
        <v>ARQ. JAIME CONDE GOMEZ</v>
      </c>
      <c r="AF299" s="19">
        <v>1</v>
      </c>
      <c r="AG299" s="2" t="s">
        <v>1573</v>
      </c>
      <c r="AH299" s="183">
        <f t="shared" si="12"/>
        <v>40450</v>
      </c>
      <c r="AI299" s="2">
        <v>48000</v>
      </c>
      <c r="AJ299" s="156" t="s">
        <v>1452</v>
      </c>
      <c r="AK299" s="513"/>
      <c r="AL299" s="513"/>
      <c r="AM299" s="513"/>
      <c r="AN299" s="867"/>
      <c r="AO299" s="529"/>
      <c r="AP299" s="529"/>
      <c r="AQ299" s="878"/>
      <c r="AR299" s="969"/>
      <c r="AS299" s="574"/>
    </row>
    <row r="300" spans="1:45" s="104" customFormat="1" ht="51" hidden="1" customHeight="1">
      <c r="A300" s="82">
        <f>OBRA!J298</f>
        <v>2018</v>
      </c>
      <c r="B300" s="784" t="s">
        <v>1563</v>
      </c>
      <c r="C300" s="784">
        <v>181.05</v>
      </c>
      <c r="D300" s="784"/>
      <c r="E300" s="85">
        <f>OBRA!M298</f>
        <v>0</v>
      </c>
      <c r="F300" s="504"/>
      <c r="G300" s="857"/>
      <c r="H300" s="103" t="str">
        <f>OBRA!N298</f>
        <v>DOP/AD/005/2018</v>
      </c>
      <c r="I300" s="185" t="str">
        <f>OBRA!O298</f>
        <v>CANCELADA</v>
      </c>
      <c r="J300" s="125">
        <f>OBRA!P298</f>
        <v>0</v>
      </c>
      <c r="K300" s="125"/>
      <c r="L300" s="125"/>
      <c r="M300" s="125"/>
      <c r="N300" s="125"/>
      <c r="O300" s="541"/>
      <c r="P300" s="86">
        <f>OBRA!R298</f>
        <v>0</v>
      </c>
      <c r="Q300" s="86"/>
      <c r="R300" s="86"/>
      <c r="S300" s="87">
        <f>OBRA!S298</f>
        <v>0</v>
      </c>
      <c r="T300" s="1134" t="str">
        <f>OBRA!V298</f>
        <v>-</v>
      </c>
      <c r="U300" s="88">
        <f>OBRA!T298</f>
        <v>0</v>
      </c>
      <c r="V300" s="89">
        <f>OBRA!U298</f>
        <v>0</v>
      </c>
      <c r="W300" s="338"/>
      <c r="X300" s="810">
        <f>OBRA!AS298+OBRA!AT298</f>
        <v>0</v>
      </c>
      <c r="Y300" s="821"/>
      <c r="Z300" s="147" t="str">
        <f>OBRA!W298</f>
        <v>-</v>
      </c>
      <c r="AA300" s="147"/>
      <c r="AB300" s="149" t="str">
        <f t="shared" si="15"/>
        <v>-</v>
      </c>
      <c r="AC300" s="85" t="s">
        <v>1177</v>
      </c>
      <c r="AD300" s="147" t="s">
        <v>1177</v>
      </c>
      <c r="AE300" s="184">
        <f>OBRA!X298</f>
        <v>0</v>
      </c>
      <c r="AF300" s="84"/>
      <c r="AG300" s="85"/>
      <c r="AH300" s="184" t="e">
        <f t="shared" si="12"/>
        <v>#DIV/0!</v>
      </c>
      <c r="AI300" s="85"/>
      <c r="AJ300" s="575"/>
      <c r="AK300" s="527"/>
      <c r="AL300" s="527"/>
      <c r="AM300" s="527"/>
      <c r="AN300" s="1215"/>
      <c r="AO300" s="527"/>
      <c r="AP300" s="655"/>
      <c r="AQ300" s="527"/>
      <c r="AR300" s="527"/>
      <c r="AS300" s="575"/>
    </row>
    <row r="301" spans="1:45" ht="98.25" hidden="1" customHeight="1">
      <c r="A301" s="16">
        <f>OBRA!J299</f>
        <v>2018</v>
      </c>
      <c r="B301" s="783" t="s">
        <v>1563</v>
      </c>
      <c r="C301" s="783">
        <v>181.06</v>
      </c>
      <c r="D301" s="783"/>
      <c r="E301" s="2" t="str">
        <f>OBRA!M299</f>
        <v>CUENTA CORRIENTE</v>
      </c>
      <c r="F301" s="1355" t="s">
        <v>1428</v>
      </c>
      <c r="G301" s="38" t="s">
        <v>2206</v>
      </c>
      <c r="H301" s="12" t="str">
        <f>OBRA!N299</f>
        <v>DOP/AD/006/2018</v>
      </c>
      <c r="I301" s="2" t="str">
        <f>OBRA!O299</f>
        <v>ADMINISTRACIÓN DIRECTA</v>
      </c>
      <c r="J301" s="3" t="str">
        <f>OBRA!P299</f>
        <v>CONSTRUCCION DE LINEA DE DRENAJE EN LA CALLE AV DEL TRABAJO Y CALLES SIN NOMBRE, EN EL BARRIO DEL POTRERITO, EN LA LOCALIDAD DE HUEJOTITAN</v>
      </c>
      <c r="K301" s="3" t="s">
        <v>1481</v>
      </c>
      <c r="L301" s="3"/>
      <c r="M301" s="683" t="s">
        <v>2004</v>
      </c>
      <c r="N301" s="683" t="s">
        <v>2506</v>
      </c>
      <c r="O301" s="541"/>
      <c r="P301" s="79">
        <f>OBRA!R299</f>
        <v>2900000</v>
      </c>
      <c r="Q301" s="1023">
        <f>P301/1.16</f>
        <v>2500000</v>
      </c>
      <c r="R301" s="1023"/>
      <c r="S301" s="67">
        <f>OBRA!S299</f>
        <v>43199</v>
      </c>
      <c r="T301" s="1134" t="str">
        <f>OBRA!V299</f>
        <v>-</v>
      </c>
      <c r="U301" s="474" t="str">
        <f>OBRA!T299</f>
        <v>-</v>
      </c>
      <c r="V301" s="509" t="str">
        <f>OBRA!U299</f>
        <v>-</v>
      </c>
      <c r="W301" s="220">
        <v>0</v>
      </c>
      <c r="X301" s="606">
        <f>OBRA!AS299+OBRA!AT299</f>
        <v>0</v>
      </c>
      <c r="Y301" s="1015"/>
      <c r="Z301" s="146" t="str">
        <f>OBRA!W299</f>
        <v>N/A</v>
      </c>
      <c r="AA301" s="146"/>
      <c r="AB301" s="148" t="str">
        <f t="shared" si="15"/>
        <v>N/A</v>
      </c>
      <c r="AC301" s="2" t="s">
        <v>1177</v>
      </c>
      <c r="AD301" s="146" t="s">
        <v>1177</v>
      </c>
      <c r="AE301" s="551" t="str">
        <f>OBRA!X299</f>
        <v>-</v>
      </c>
      <c r="AF301" s="161"/>
      <c r="AG301" s="388" t="s">
        <v>1451</v>
      </c>
      <c r="AH301" s="551" t="e">
        <f t="shared" si="12"/>
        <v>#DIV/0!</v>
      </c>
      <c r="AI301" s="388">
        <v>100</v>
      </c>
      <c r="AJ301" s="872" t="s">
        <v>1444</v>
      </c>
      <c r="AK301" s="1507"/>
      <c r="AL301" s="1507"/>
      <c r="AM301" s="1507"/>
      <c r="AN301" s="529"/>
      <c r="AO301" s="529"/>
      <c r="AP301" s="529"/>
      <c r="AQ301" s="510"/>
      <c r="AR301" s="506"/>
      <c r="AS301" s="574"/>
    </row>
    <row r="302" spans="1:45" s="104" customFormat="1" ht="51" hidden="1" customHeight="1">
      <c r="A302" s="82">
        <f>OBRA!J300</f>
        <v>2018</v>
      </c>
      <c r="B302" s="784" t="s">
        <v>1563</v>
      </c>
      <c r="C302" s="784">
        <v>181.07</v>
      </c>
      <c r="D302" s="784"/>
      <c r="E302" s="85" t="str">
        <f>OBRA!M300</f>
        <v>RAMO 33</v>
      </c>
      <c r="F302" s="504" t="s">
        <v>1428</v>
      </c>
      <c r="G302" s="857"/>
      <c r="H302" s="103" t="str">
        <f>OBRA!N300</f>
        <v>DOP/AD/007/2018</v>
      </c>
      <c r="I302" s="185" t="str">
        <f>OBRA!O300</f>
        <v>CANCELADA</v>
      </c>
      <c r="J302" s="125" t="str">
        <f>OBRA!P300</f>
        <v>PUENTE PEATONAL, C. LIBERTAD, ZDH</v>
      </c>
      <c r="K302" s="125"/>
      <c r="L302" s="125"/>
      <c r="M302" s="125"/>
      <c r="N302" s="125"/>
      <c r="O302" s="541"/>
      <c r="P302" s="86">
        <f>OBRA!R300</f>
        <v>0</v>
      </c>
      <c r="Q302" s="86"/>
      <c r="R302" s="86"/>
      <c r="S302" s="87">
        <f>OBRA!S300</f>
        <v>0</v>
      </c>
      <c r="T302" s="1134" t="str">
        <f>OBRA!V300</f>
        <v>-</v>
      </c>
      <c r="U302" s="88">
        <f>OBRA!T300</f>
        <v>0</v>
      </c>
      <c r="V302" s="89">
        <f>OBRA!U300</f>
        <v>0</v>
      </c>
      <c r="W302" s="338"/>
      <c r="X302" s="810">
        <f>OBRA!AS300+OBRA!AT300</f>
        <v>0</v>
      </c>
      <c r="Y302" s="821"/>
      <c r="Z302" s="147" t="str">
        <f>OBRA!W300</f>
        <v>-</v>
      </c>
      <c r="AA302" s="147"/>
      <c r="AB302" s="149" t="str">
        <f t="shared" si="15"/>
        <v>-</v>
      </c>
      <c r="AC302" s="85" t="s">
        <v>1177</v>
      </c>
      <c r="AD302" s="147" t="s">
        <v>1177</v>
      </c>
      <c r="AE302" s="184" t="str">
        <f>OBRA!X300</f>
        <v>ING. J. GUADALUPE IBARRA RAMIREZ</v>
      </c>
      <c r="AF302" s="84"/>
      <c r="AG302" s="85"/>
      <c r="AH302" s="184" t="e">
        <f t="shared" si="12"/>
        <v>#DIV/0!</v>
      </c>
      <c r="AI302" s="85"/>
      <c r="AJ302" s="575"/>
      <c r="AK302" s="514"/>
      <c r="AL302" s="514"/>
      <c r="AM302" s="514"/>
      <c r="AN302" s="506"/>
      <c r="AO302" s="514"/>
      <c r="AP302" s="85"/>
      <c r="AQ302" s="514"/>
      <c r="AR302" s="514"/>
      <c r="AS302" s="575"/>
    </row>
    <row r="303" spans="1:45" s="104" customFormat="1" ht="51" hidden="1" customHeight="1">
      <c r="A303" s="82">
        <f>OBRA!J301</f>
        <v>2018</v>
      </c>
      <c r="B303" s="784" t="s">
        <v>1563</v>
      </c>
      <c r="C303" s="784">
        <v>181.08</v>
      </c>
      <c r="D303" s="784"/>
      <c r="E303" s="85">
        <f>OBRA!M301</f>
        <v>0</v>
      </c>
      <c r="F303" s="504"/>
      <c r="G303" s="857"/>
      <c r="H303" s="103" t="str">
        <f>OBRA!N301</f>
        <v>DOP/AD/008/2018</v>
      </c>
      <c r="I303" s="185" t="str">
        <f>OBRA!O301</f>
        <v>CANCELADA</v>
      </c>
      <c r="J303" s="125">
        <f>OBRA!P301</f>
        <v>0</v>
      </c>
      <c r="K303" s="125"/>
      <c r="L303" s="125"/>
      <c r="M303" s="125"/>
      <c r="N303" s="125"/>
      <c r="O303" s="541"/>
      <c r="P303" s="86">
        <f>OBRA!R301</f>
        <v>0</v>
      </c>
      <c r="Q303" s="86"/>
      <c r="R303" s="86"/>
      <c r="S303" s="87">
        <f>OBRA!S301</f>
        <v>0</v>
      </c>
      <c r="T303" s="1134" t="str">
        <f>OBRA!V301</f>
        <v>-</v>
      </c>
      <c r="U303" s="88">
        <f>OBRA!T301</f>
        <v>0</v>
      </c>
      <c r="V303" s="89">
        <f>OBRA!U301</f>
        <v>0</v>
      </c>
      <c r="W303" s="338"/>
      <c r="X303" s="810">
        <f>OBRA!AS301+OBRA!AT301</f>
        <v>0</v>
      </c>
      <c r="Y303" s="821"/>
      <c r="Z303" s="147" t="str">
        <f>OBRA!W301</f>
        <v>-</v>
      </c>
      <c r="AA303" s="147"/>
      <c r="AB303" s="149" t="str">
        <f t="shared" si="15"/>
        <v>-</v>
      </c>
      <c r="AC303" s="85" t="s">
        <v>1177</v>
      </c>
      <c r="AD303" s="147" t="s">
        <v>1177</v>
      </c>
      <c r="AE303" s="184">
        <f>OBRA!X301</f>
        <v>0</v>
      </c>
      <c r="AF303" s="84"/>
      <c r="AG303" s="85"/>
      <c r="AH303" s="184" t="e">
        <f t="shared" si="12"/>
        <v>#DIV/0!</v>
      </c>
      <c r="AI303" s="85"/>
      <c r="AJ303" s="575"/>
      <c r="AK303" s="514"/>
      <c r="AL303" s="514"/>
      <c r="AM303" s="514"/>
      <c r="AN303" s="506"/>
      <c r="AO303" s="514"/>
      <c r="AP303" s="85"/>
      <c r="AQ303" s="514"/>
      <c r="AR303" s="514"/>
      <c r="AS303" s="575"/>
    </row>
    <row r="304" spans="1:45" s="104" customFormat="1" ht="51" hidden="1" customHeight="1">
      <c r="A304" s="82">
        <f>OBRA!J302</f>
        <v>2018</v>
      </c>
      <c r="B304" s="784" t="s">
        <v>1563</v>
      </c>
      <c r="C304" s="784">
        <v>181.09</v>
      </c>
      <c r="D304" s="784"/>
      <c r="E304" s="85">
        <f>OBRA!M302</f>
        <v>0</v>
      </c>
      <c r="F304" s="504"/>
      <c r="G304" s="857"/>
      <c r="H304" s="103" t="str">
        <f>OBRA!N302</f>
        <v>DOP/AD/009/2018</v>
      </c>
      <c r="I304" s="185" t="str">
        <f>OBRA!O302</f>
        <v>CANCELADA</v>
      </c>
      <c r="J304" s="125">
        <f>OBRA!P302</f>
        <v>0</v>
      </c>
      <c r="K304" s="125"/>
      <c r="L304" s="125"/>
      <c r="M304" s="125"/>
      <c r="N304" s="125"/>
      <c r="O304" s="541"/>
      <c r="P304" s="86">
        <f>OBRA!R302</f>
        <v>0</v>
      </c>
      <c r="Q304" s="86"/>
      <c r="R304" s="86"/>
      <c r="S304" s="87">
        <f>OBRA!S302</f>
        <v>0</v>
      </c>
      <c r="T304" s="1134" t="str">
        <f>OBRA!V302</f>
        <v>-</v>
      </c>
      <c r="U304" s="88">
        <f>OBRA!T302</f>
        <v>0</v>
      </c>
      <c r="V304" s="89">
        <f>OBRA!U302</f>
        <v>0</v>
      </c>
      <c r="W304" s="338"/>
      <c r="X304" s="810">
        <f>OBRA!AS302+OBRA!AT302</f>
        <v>0</v>
      </c>
      <c r="Y304" s="821"/>
      <c r="Z304" s="147" t="str">
        <f>OBRA!W302</f>
        <v>-</v>
      </c>
      <c r="AA304" s="147"/>
      <c r="AB304" s="149" t="str">
        <f t="shared" si="15"/>
        <v>-</v>
      </c>
      <c r="AC304" s="85" t="s">
        <v>1177</v>
      </c>
      <c r="AD304" s="147" t="s">
        <v>1177</v>
      </c>
      <c r="AE304" s="184">
        <f>OBRA!X302</f>
        <v>0</v>
      </c>
      <c r="AF304" s="84"/>
      <c r="AG304" s="85"/>
      <c r="AH304" s="184" t="e">
        <f t="shared" si="12"/>
        <v>#DIV/0!</v>
      </c>
      <c r="AI304" s="85"/>
      <c r="AJ304" s="575"/>
      <c r="AK304" s="527"/>
      <c r="AL304" s="527"/>
      <c r="AM304" s="527"/>
      <c r="AN304" s="1215"/>
      <c r="AO304" s="527"/>
      <c r="AP304" s="655"/>
      <c r="AQ304" s="527"/>
      <c r="AR304" s="527"/>
      <c r="AS304" s="575"/>
    </row>
    <row r="305" spans="1:45" ht="114.75" hidden="1" customHeight="1">
      <c r="A305" s="16">
        <f>OBRA!J303</f>
        <v>2018</v>
      </c>
      <c r="B305" s="783" t="s">
        <v>1563</v>
      </c>
      <c r="C305" s="783">
        <v>181.1</v>
      </c>
      <c r="D305" s="783"/>
      <c r="E305" s="2" t="str">
        <f>OBRA!M303</f>
        <v>RAMO 33</v>
      </c>
      <c r="F305" s="1355" t="s">
        <v>1428</v>
      </c>
      <c r="G305" s="38" t="s">
        <v>2206</v>
      </c>
      <c r="H305" s="12" t="str">
        <f>OBRA!N303</f>
        <v>DOP/AD/010/2018</v>
      </c>
      <c r="I305" s="2" t="str">
        <f>OBRA!O303</f>
        <v>ADMINISTRACIÓN DIRECTA</v>
      </c>
      <c r="J305" s="3" t="str">
        <f>OBRA!P303</f>
        <v>FABRICACION DE EMPEDRADO AHOGADO EN CEMENTO EN CALLE VERANO ENTRE NIÑOS HEROES Y ZARAGOZA, EN LA CABECERA MUNICIPAL DEL MUNICIPIO DE JOCOTEPEC, JALISCO</v>
      </c>
      <c r="K305" s="3" t="s">
        <v>1592</v>
      </c>
      <c r="L305" s="3"/>
      <c r="M305" s="3" t="s">
        <v>2005</v>
      </c>
      <c r="N305" s="3" t="s">
        <v>1975</v>
      </c>
      <c r="O305" s="867" t="s">
        <v>4170</v>
      </c>
      <c r="P305" s="4">
        <f>OBRA!R303</f>
        <v>606708.96</v>
      </c>
      <c r="Q305" s="1023">
        <f>P305/1.16</f>
        <v>523024.96551724139</v>
      </c>
      <c r="R305" s="1023"/>
      <c r="S305" s="6">
        <f>OBRA!S303</f>
        <v>43228</v>
      </c>
      <c r="T305" s="1134" t="str">
        <f>OBRA!V303</f>
        <v>-</v>
      </c>
      <c r="U305" s="5">
        <f>OBRA!T303</f>
        <v>43229</v>
      </c>
      <c r="V305" s="11">
        <f>OBRA!U303</f>
        <v>43262</v>
      </c>
      <c r="W305" s="220">
        <v>0</v>
      </c>
      <c r="X305" s="578">
        <f>OBRA!AS303+OBRA!AT303</f>
        <v>595485.52</v>
      </c>
      <c r="Y305" s="278" t="s">
        <v>3181</v>
      </c>
      <c r="Z305" s="146" t="str">
        <f>OBRA!W303</f>
        <v>N/A</v>
      </c>
      <c r="AA305" s="146"/>
      <c r="AB305" s="148" t="str">
        <f t="shared" si="15"/>
        <v>N/A</v>
      </c>
      <c r="AC305" s="2" t="s">
        <v>1177</v>
      </c>
      <c r="AD305" s="146" t="s">
        <v>1177</v>
      </c>
      <c r="AE305" s="183" t="str">
        <f>OBRA!X303</f>
        <v>ING. J. GUADALUPE IBARRA RAMIREZ</v>
      </c>
      <c r="AF305" s="552">
        <v>1032</v>
      </c>
      <c r="AG305" s="2" t="s">
        <v>1548</v>
      </c>
      <c r="AH305" s="615">
        <f t="shared" si="12"/>
        <v>577.02085271317833</v>
      </c>
      <c r="AI305" s="2">
        <v>1000</v>
      </c>
      <c r="AJ305" s="156" t="s">
        <v>1452</v>
      </c>
      <c r="AK305" s="513"/>
      <c r="AL305" s="513"/>
      <c r="AM305" s="513"/>
      <c r="AN305" s="867"/>
      <c r="AO305" s="529"/>
      <c r="AP305" s="529"/>
      <c r="AQ305" s="878"/>
      <c r="AR305" s="969"/>
      <c r="AS305" s="574"/>
    </row>
    <row r="306" spans="1:45" ht="125.25" hidden="1" customHeight="1">
      <c r="A306" s="16">
        <f>OBRA!J304</f>
        <v>2018</v>
      </c>
      <c r="B306" s="783" t="s">
        <v>1563</v>
      </c>
      <c r="C306" s="783">
        <v>181.11</v>
      </c>
      <c r="D306" s="783"/>
      <c r="E306" s="2" t="str">
        <f>OBRA!M304</f>
        <v>Fondo de proyectos para el Desarrollo Regional</v>
      </c>
      <c r="F306" s="504" t="s">
        <v>3665</v>
      </c>
      <c r="G306" s="38" t="s">
        <v>2206</v>
      </c>
      <c r="H306" s="12" t="str">
        <f>OBRA!N304</f>
        <v>DOP/AD/011/2018</v>
      </c>
      <c r="I306" s="2" t="str">
        <f>OBRA!O304</f>
        <v>ADMINISTRACIÓN DIRECTA</v>
      </c>
      <c r="J306" s="3" t="str">
        <f>OBRA!P304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2506</v>
      </c>
      <c r="O306" s="867" t="s">
        <v>4171</v>
      </c>
      <c r="P306" s="4">
        <f>OBRA!R304</f>
        <v>989000</v>
      </c>
      <c r="Q306" s="1023">
        <f>P306/1.16</f>
        <v>852586.20689655177</v>
      </c>
      <c r="R306" s="1023"/>
      <c r="S306" s="6">
        <f>OBRA!S304</f>
        <v>43241</v>
      </c>
      <c r="T306" s="1134" t="str">
        <f>OBRA!V304</f>
        <v>-</v>
      </c>
      <c r="U306" s="5">
        <f>OBRA!T304</f>
        <v>43257</v>
      </c>
      <c r="V306" s="11">
        <f>OBRA!U304</f>
        <v>43322</v>
      </c>
      <c r="W306" s="220">
        <v>0</v>
      </c>
      <c r="X306" s="578">
        <f>OBRA!AS304+OBRA!AT304</f>
        <v>935696.02999999991</v>
      </c>
      <c r="Y306" s="1015"/>
      <c r="Z306" s="146" t="str">
        <f>OBRA!W304</f>
        <v>N/A</v>
      </c>
      <c r="AA306" s="146"/>
      <c r="AB306" s="148" t="str">
        <f t="shared" si="15"/>
        <v>N/A</v>
      </c>
      <c r="AC306" s="2" t="s">
        <v>1177</v>
      </c>
      <c r="AD306" s="146" t="s">
        <v>1177</v>
      </c>
      <c r="AE306" s="183" t="str">
        <f>OBRA!X304</f>
        <v>ING. J. GUADALUPE IBARRA RAMIREZ</v>
      </c>
      <c r="AF306" s="19">
        <v>1627.73</v>
      </c>
      <c r="AG306" s="2" t="s">
        <v>1548</v>
      </c>
      <c r="AH306" s="615">
        <f t="shared" si="12"/>
        <v>574.84719824540923</v>
      </c>
      <c r="AI306" s="2">
        <v>1250</v>
      </c>
      <c r="AJ306" s="156" t="s">
        <v>1452</v>
      </c>
      <c r="AK306" s="513"/>
      <c r="AL306" s="513"/>
      <c r="AM306" s="513"/>
      <c r="AN306" s="867"/>
      <c r="AO306" s="867"/>
      <c r="AP306" s="867"/>
      <c r="AQ306" s="878"/>
      <c r="AR306" s="969"/>
      <c r="AS306" s="1230"/>
    </row>
    <row r="307" spans="1:45" ht="106.5" hidden="1" customHeight="1">
      <c r="A307" s="16">
        <f>OBRA!J305</f>
        <v>2018</v>
      </c>
      <c r="B307" s="783" t="s">
        <v>1563</v>
      </c>
      <c r="C307" s="783">
        <v>181.12</v>
      </c>
      <c r="D307" s="783"/>
      <c r="E307" s="2" t="str">
        <f>OBRA!M305</f>
        <v>CUENTA CORRIENTE</v>
      </c>
      <c r="F307" s="1355" t="s">
        <v>1428</v>
      </c>
      <c r="G307" s="38" t="s">
        <v>2206</v>
      </c>
      <c r="H307" s="12" t="str">
        <f>OBRA!N305</f>
        <v>DOP/AD/012/2018</v>
      </c>
      <c r="I307" s="2" t="str">
        <f>OBRA!O305</f>
        <v>ADMINISTRACIÓN DIRECTA</v>
      </c>
      <c r="J307" s="3" t="str">
        <f>OBRA!P305</f>
        <v>REHABILITACIÓN DE RED DE DRENAJE EN LA CALLE JUAREZ Y 24 DE FEBRERO EN LA DELEGACION DE HUEJOTITAN, DEL MUNICIPIO DE JOCOTEPEC, JALISCO.</v>
      </c>
      <c r="K307" s="3" t="s">
        <v>1481</v>
      </c>
      <c r="L307" s="173"/>
      <c r="M307" s="173" t="s">
        <v>2010</v>
      </c>
      <c r="N307" s="173" t="s">
        <v>2506</v>
      </c>
      <c r="O307" s="529" t="s">
        <v>4178</v>
      </c>
      <c r="P307" s="4">
        <f>OBRA!R305</f>
        <v>354409.68</v>
      </c>
      <c r="Q307" s="1023">
        <f>P307/1.16</f>
        <v>305525.58620689658</v>
      </c>
      <c r="R307" s="1023"/>
      <c r="S307" s="6">
        <f>OBRA!S305</f>
        <v>43257</v>
      </c>
      <c r="T307" s="1134" t="str">
        <f>OBRA!V305</f>
        <v>-</v>
      </c>
      <c r="U307" s="5">
        <f>OBRA!T305</f>
        <v>43257</v>
      </c>
      <c r="V307" s="11">
        <f>OBRA!U305</f>
        <v>43318</v>
      </c>
      <c r="W307" s="220">
        <v>0</v>
      </c>
      <c r="X307" s="578">
        <f>OBRA!AS305+OBRA!AT305</f>
        <v>354179.75</v>
      </c>
      <c r="Y307" s="1015"/>
      <c r="Z307" s="146" t="str">
        <f>OBRA!W305</f>
        <v>N/A</v>
      </c>
      <c r="AA307" s="146"/>
      <c r="AB307" s="148" t="str">
        <f t="shared" si="15"/>
        <v>N/A</v>
      </c>
      <c r="AC307" s="2" t="s">
        <v>1177</v>
      </c>
      <c r="AD307" s="146" t="s">
        <v>1177</v>
      </c>
      <c r="AE307" s="183" t="str">
        <f>OBRA!X305</f>
        <v>ING. J. GUADALUPE IBARRA RAMIREZ</v>
      </c>
      <c r="AF307" s="19">
        <v>248.12</v>
      </c>
      <c r="AG307" s="2" t="s">
        <v>1451</v>
      </c>
      <c r="AH307" s="615">
        <f t="shared" si="12"/>
        <v>1427.4534499435756</v>
      </c>
      <c r="AI307" s="2">
        <v>250</v>
      </c>
      <c r="AJ307" s="156" t="s">
        <v>1444</v>
      </c>
      <c r="AK307" s="513"/>
      <c r="AL307" s="513"/>
      <c r="AM307" s="513"/>
      <c r="AN307" s="867"/>
      <c r="AO307" s="867"/>
      <c r="AP307" s="867"/>
      <c r="AQ307" s="867"/>
      <c r="AR307" s="968"/>
      <c r="AS307" s="968"/>
    </row>
    <row r="308" spans="1:45" ht="76.5" hidden="1" customHeight="1">
      <c r="A308" s="16">
        <f>OBRA!J306</f>
        <v>2018</v>
      </c>
      <c r="B308" s="783" t="s">
        <v>1563</v>
      </c>
      <c r="C308" s="783">
        <v>181.13</v>
      </c>
      <c r="D308" s="783"/>
      <c r="E308" s="2" t="str">
        <f>OBRA!M306</f>
        <v>CUENTA CORRIENTE</v>
      </c>
      <c r="F308" s="1355" t="s">
        <v>1428</v>
      </c>
      <c r="G308" s="38" t="s">
        <v>2206</v>
      </c>
      <c r="H308" s="12" t="str">
        <f>OBRA!N306</f>
        <v>DOP/AD/013/2018</v>
      </c>
      <c r="I308" s="2" t="str">
        <f>OBRA!O306</f>
        <v>ADMINISTRACIÓN DIRECTA</v>
      </c>
      <c r="J308" s="3" t="str">
        <f>OBRA!P306</f>
        <v>REHABILITACION DE RED DE AGUA POTABLE EN LA CALLE JUAREZ Y 24 DE FEBRERO EN LA DELEGACION DE HUEJOTITAN, DEL MUNICIPIO DE JOCOTEPEC, JALISCO.</v>
      </c>
      <c r="K308" s="3" t="s">
        <v>1496</v>
      </c>
      <c r="L308" s="173"/>
      <c r="M308" s="173" t="s">
        <v>2012</v>
      </c>
      <c r="N308" s="173" t="s">
        <v>2506</v>
      </c>
      <c r="O308" s="867" t="s">
        <v>4179</v>
      </c>
      <c r="P308" s="4">
        <f>OBRA!R306</f>
        <v>95341.6</v>
      </c>
      <c r="Q308" s="1023">
        <f>P308/1.16</f>
        <v>82191.034482758638</v>
      </c>
      <c r="R308" s="1023"/>
      <c r="S308" s="6">
        <f>OBRA!S306</f>
        <v>43257</v>
      </c>
      <c r="T308" s="1134" t="str">
        <f>OBRA!V306</f>
        <v>-</v>
      </c>
      <c r="U308" s="5">
        <f>OBRA!T306</f>
        <v>43257</v>
      </c>
      <c r="V308" s="11">
        <f>OBRA!U306</f>
        <v>43318</v>
      </c>
      <c r="W308" s="220">
        <v>0</v>
      </c>
      <c r="X308" s="578">
        <f>OBRA!AS306+OBRA!AT306</f>
        <v>94727.62</v>
      </c>
      <c r="Y308" s="1015"/>
      <c r="Z308" s="146" t="str">
        <f>OBRA!W306</f>
        <v>N/A</v>
      </c>
      <c r="AA308" s="146"/>
      <c r="AB308" s="148" t="str">
        <f t="shared" si="15"/>
        <v>N/A</v>
      </c>
      <c r="AC308" s="2" t="s">
        <v>1177</v>
      </c>
      <c r="AD308" s="146" t="s">
        <v>1177</v>
      </c>
      <c r="AE308" s="183" t="str">
        <f>OBRA!X306</f>
        <v>ING. J. GUADALUPE IBARRA RAMIREZ</v>
      </c>
      <c r="AF308" s="19">
        <v>60</v>
      </c>
      <c r="AG308" s="2" t="s">
        <v>1451</v>
      </c>
      <c r="AH308" s="615">
        <f t="shared" si="12"/>
        <v>1578.7936666666667</v>
      </c>
      <c r="AI308" s="2">
        <v>250</v>
      </c>
      <c r="AJ308" s="156" t="s">
        <v>1444</v>
      </c>
      <c r="AK308" s="513"/>
      <c r="AL308" s="513"/>
      <c r="AM308" s="513"/>
      <c r="AN308" s="867"/>
      <c r="AO308" s="529"/>
      <c r="AP308" s="529"/>
      <c r="AQ308" s="881"/>
      <c r="AR308" s="1539"/>
      <c r="AS308" s="574"/>
    </row>
    <row r="309" spans="1:45" ht="103.5" hidden="1" customHeight="1">
      <c r="A309" s="16">
        <f>OBRA!J307</f>
        <v>2018</v>
      </c>
      <c r="B309" s="783" t="s">
        <v>1563</v>
      </c>
      <c r="C309" s="783">
        <v>181.14</v>
      </c>
      <c r="D309" s="783"/>
      <c r="E309" s="2" t="str">
        <f>OBRA!M307</f>
        <v>RAMO 33</v>
      </c>
      <c r="F309" s="1355" t="s">
        <v>1428</v>
      </c>
      <c r="G309" s="38" t="s">
        <v>2206</v>
      </c>
      <c r="H309" s="12" t="str">
        <f>OBRA!N307</f>
        <v>DOP/AD/014/2018</v>
      </c>
      <c r="I309" s="2" t="str">
        <f>OBRA!O307</f>
        <v>ADMINISTRACIÓN DIRECTA</v>
      </c>
      <c r="J309" s="3" t="str">
        <f>OBRA!P307</f>
        <v>CONSTRUCCIÓN DE LINEA DE DRENAJE EN CALLE DAVID MIRANDA 120 ML DE CALLE VENUSTIANO CARRANZA HACIA EL PONIENTE, EN LA LOCALIDAD DE ZAPOTITAN DE HIDALGO, DEL MUNICIPIO DE JOCOTEPEC, JALISCO.</v>
      </c>
      <c r="K309" s="3" t="s">
        <v>1481</v>
      </c>
      <c r="L309" s="173"/>
      <c r="M309" s="173" t="s">
        <v>2014</v>
      </c>
      <c r="N309" s="173" t="s">
        <v>2604</v>
      </c>
      <c r="O309" s="867" t="s">
        <v>4180</v>
      </c>
      <c r="P309" s="4">
        <f>OBRA!R307</f>
        <v>114935.87</v>
      </c>
      <c r="Q309" s="1023">
        <f>P309/1.16</f>
        <v>99082.646551724145</v>
      </c>
      <c r="R309" s="1023"/>
      <c r="S309" s="6">
        <f>OBRA!S307</f>
        <v>43257</v>
      </c>
      <c r="T309" s="1134" t="str">
        <f>OBRA!V307</f>
        <v>-</v>
      </c>
      <c r="U309" s="5">
        <f>OBRA!T307</f>
        <v>43273</v>
      </c>
      <c r="V309" s="11">
        <f>OBRA!U307</f>
        <v>43294</v>
      </c>
      <c r="W309" s="220">
        <v>0</v>
      </c>
      <c r="X309" s="578">
        <f>OBRA!AS307+OBRA!AT307</f>
        <v>114593.44</v>
      </c>
      <c r="Y309" s="278" t="s">
        <v>3181</v>
      </c>
      <c r="Z309" s="146" t="str">
        <f>OBRA!W307</f>
        <v>N/A</v>
      </c>
      <c r="AA309" s="146"/>
      <c r="AB309" s="148" t="str">
        <f t="shared" si="15"/>
        <v>N/A</v>
      </c>
      <c r="AC309" s="2" t="s">
        <v>1177</v>
      </c>
      <c r="AD309" s="146" t="s">
        <v>1177</v>
      </c>
      <c r="AE309" s="183" t="str">
        <f>OBRA!X307</f>
        <v>ARQ. CESAR ANTONIO ALONSO JIMENEZ</v>
      </c>
      <c r="AF309" s="552">
        <v>120</v>
      </c>
      <c r="AG309" s="2" t="s">
        <v>1451</v>
      </c>
      <c r="AH309" s="615">
        <f t="shared" si="12"/>
        <v>954.94533333333334</v>
      </c>
      <c r="AI309" s="2">
        <v>200</v>
      </c>
      <c r="AJ309" s="156" t="s">
        <v>1444</v>
      </c>
      <c r="AK309" s="513"/>
      <c r="AL309" s="513"/>
      <c r="AM309" s="513"/>
      <c r="AN309" s="867"/>
      <c r="AO309" s="529"/>
      <c r="AP309" s="529"/>
      <c r="AQ309" s="878"/>
      <c r="AR309" s="969"/>
      <c r="AS309" s="574"/>
    </row>
    <row r="310" spans="1:45" s="104" customFormat="1" ht="84.75" hidden="1" customHeight="1">
      <c r="A310" s="82">
        <f>OBRA!J308</f>
        <v>2018</v>
      </c>
      <c r="B310" s="784" t="s">
        <v>1563</v>
      </c>
      <c r="C310" s="784">
        <v>181.15</v>
      </c>
      <c r="D310" s="784"/>
      <c r="E310" s="85" t="str">
        <f>OBRA!M308</f>
        <v>RAMO 33</v>
      </c>
      <c r="F310" s="504" t="s">
        <v>1428</v>
      </c>
      <c r="G310" s="857"/>
      <c r="H310" s="103" t="str">
        <f>OBRA!N308</f>
        <v>DOP/AD/015/2018</v>
      </c>
      <c r="I310" s="185" t="str">
        <f>OBRA!O308</f>
        <v>CANCELADA</v>
      </c>
      <c r="J310" s="125" t="str">
        <f>OBRA!P308</f>
        <v>FABRICACION DE BANQUETAS EN CALLE "EL HUASOYO" EN LA LOCALIDAD DE CHANTEPEC, DEL MUNICIPIO DE JOCOTEPEC, JALISCO</v>
      </c>
      <c r="K310" s="125" t="s">
        <v>1873</v>
      </c>
      <c r="L310" s="656"/>
      <c r="M310" s="656" t="s">
        <v>2015</v>
      </c>
      <c r="N310" s="656"/>
      <c r="O310" s="541"/>
      <c r="P310" s="86">
        <f>OBRA!R308</f>
        <v>88593.05</v>
      </c>
      <c r="Q310" s="86"/>
      <c r="R310" s="86"/>
      <c r="S310" s="87">
        <f>OBRA!S308</f>
        <v>43276</v>
      </c>
      <c r="T310" s="1134" t="str">
        <f>OBRA!V308</f>
        <v>-</v>
      </c>
      <c r="U310" s="88">
        <f>OBRA!T308</f>
        <v>43276</v>
      </c>
      <c r="V310" s="89">
        <f>OBRA!U308</f>
        <v>43288</v>
      </c>
      <c r="W310" s="338"/>
      <c r="X310" s="810">
        <f>OBRA!AS308+OBRA!AT308</f>
        <v>0</v>
      </c>
      <c r="Y310" s="821"/>
      <c r="Z310" s="147" t="str">
        <f>OBRA!W308</f>
        <v>-</v>
      </c>
      <c r="AA310" s="147"/>
      <c r="AB310" s="149" t="str">
        <f t="shared" si="15"/>
        <v>-</v>
      </c>
      <c r="AC310" s="85" t="s">
        <v>1177</v>
      </c>
      <c r="AD310" s="147" t="s">
        <v>1177</v>
      </c>
      <c r="AE310" s="184" t="str">
        <f>OBRA!X308</f>
        <v>-</v>
      </c>
      <c r="AF310" s="84"/>
      <c r="AG310" s="85" t="s">
        <v>1548</v>
      </c>
      <c r="AH310" s="184" t="e">
        <f t="shared" si="12"/>
        <v>#DIV/0!</v>
      </c>
      <c r="AI310" s="570"/>
      <c r="AJ310" s="83" t="s">
        <v>1452</v>
      </c>
      <c r="AK310" s="527"/>
      <c r="AL310" s="527"/>
      <c r="AM310" s="527"/>
      <c r="AN310" s="1215"/>
      <c r="AO310" s="527"/>
      <c r="AP310" s="655"/>
      <c r="AQ310" s="527"/>
      <c r="AR310" s="527"/>
      <c r="AS310" s="575"/>
    </row>
    <row r="311" spans="1:45" ht="102" hidden="1" customHeight="1">
      <c r="A311" s="16">
        <f>OBRA!J309</f>
        <v>2018</v>
      </c>
      <c r="B311" s="783" t="s">
        <v>1563</v>
      </c>
      <c r="C311" s="783">
        <v>181.16</v>
      </c>
      <c r="D311" s="783"/>
      <c r="E311" s="2" t="str">
        <f>OBRA!M309</f>
        <v>Fondo de proyectos para el Desarrollo Regional</v>
      </c>
      <c r="F311" s="504" t="s">
        <v>3665</v>
      </c>
      <c r="G311" s="38" t="s">
        <v>2206</v>
      </c>
      <c r="H311" s="12" t="str">
        <f>OBRA!N309</f>
        <v>DOP/AD/016/2018</v>
      </c>
      <c r="I311" s="2" t="str">
        <f>OBRA!O309</f>
        <v>ADMINISTRACIÓN DIRECTA</v>
      </c>
      <c r="J311" s="3" t="str">
        <f>OBRA!P309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2515</v>
      </c>
      <c r="O311" s="867" t="s">
        <v>4181</v>
      </c>
      <c r="P311" s="4">
        <f>OBRA!R309</f>
        <v>989000</v>
      </c>
      <c r="Q311" s="1023">
        <f>P311/1.16</f>
        <v>852586.20689655177</v>
      </c>
      <c r="R311" s="1023"/>
      <c r="S311" s="6">
        <f>OBRA!S309</f>
        <v>43251</v>
      </c>
      <c r="T311" s="1134" t="str">
        <f>OBRA!V309</f>
        <v>-</v>
      </c>
      <c r="U311" s="5">
        <f>OBRA!T309</f>
        <v>43252</v>
      </c>
      <c r="V311" s="11">
        <f>OBRA!U309</f>
        <v>43311</v>
      </c>
      <c r="W311" s="220">
        <v>0</v>
      </c>
      <c r="X311" s="578">
        <f>OBRA!AS309+OBRA!AT309</f>
        <v>989001.89</v>
      </c>
      <c r="Y311" s="1015"/>
      <c r="Z311" s="146" t="str">
        <f>OBRA!W309</f>
        <v>N/A</v>
      </c>
      <c r="AA311" s="146"/>
      <c r="AB311" s="148" t="str">
        <f t="shared" si="15"/>
        <v>N/A</v>
      </c>
      <c r="AC311" s="2" t="s">
        <v>1177</v>
      </c>
      <c r="AD311" s="146" t="s">
        <v>1177</v>
      </c>
      <c r="AE311" s="183" t="str">
        <f>OBRA!X309</f>
        <v>ING. J. GUADALUPE IBARRA RAMIREZ</v>
      </c>
      <c r="AF311" s="19">
        <v>1798.22</v>
      </c>
      <c r="AG311" s="2" t="s">
        <v>1548</v>
      </c>
      <c r="AH311" s="615">
        <f t="shared" si="12"/>
        <v>549.98937282423731</v>
      </c>
      <c r="AI311" s="2">
        <v>1000</v>
      </c>
      <c r="AJ311" s="156" t="s">
        <v>1444</v>
      </c>
      <c r="AK311" s="513"/>
      <c r="AL311" s="513"/>
      <c r="AM311" s="513"/>
      <c r="AN311" s="867"/>
      <c r="AO311" s="867"/>
      <c r="AP311" s="867"/>
      <c r="AQ311" s="878"/>
      <c r="AR311" s="969"/>
      <c r="AS311" s="1230"/>
    </row>
    <row r="312" spans="1:45" ht="117" hidden="1" customHeight="1">
      <c r="A312" s="16">
        <f>OBRA!J310</f>
        <v>2018</v>
      </c>
      <c r="B312" s="783" t="s">
        <v>1563</v>
      </c>
      <c r="C312" s="783">
        <v>181.17</v>
      </c>
      <c r="D312" s="783"/>
      <c r="E312" s="2" t="str">
        <f>OBRA!M310</f>
        <v>Fondo de proyectos para el Desarrollo Regional</v>
      </c>
      <c r="F312" s="504" t="s">
        <v>3665</v>
      </c>
      <c r="G312" s="38" t="s">
        <v>2206</v>
      </c>
      <c r="H312" s="12" t="str">
        <f>OBRA!N310</f>
        <v>DOP/AD/017/2018</v>
      </c>
      <c r="I312" s="2" t="str">
        <f>OBRA!O310</f>
        <v>ADMINISTRACIÓN DIRECTA</v>
      </c>
      <c r="J312" s="3" t="str">
        <f>OBRA!P310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67" t="s">
        <v>4182</v>
      </c>
      <c r="P312" s="4">
        <f>OBRA!R310</f>
        <v>900000</v>
      </c>
      <c r="Q312" s="1023">
        <f>P312/1.16</f>
        <v>775862.06896551733</v>
      </c>
      <c r="R312" s="1023"/>
      <c r="S312" s="6">
        <f>OBRA!S310</f>
        <v>43262</v>
      </c>
      <c r="T312" s="1134" t="str">
        <f>OBRA!V310</f>
        <v>-</v>
      </c>
      <c r="U312" s="5">
        <f>OBRA!T310</f>
        <v>43266</v>
      </c>
      <c r="V312" s="11">
        <f>OBRA!U310</f>
        <v>43329</v>
      </c>
      <c r="W312" s="220">
        <v>0</v>
      </c>
      <c r="X312" s="578">
        <f>OBRA!AS310+OBRA!AT310</f>
        <v>890105.41</v>
      </c>
      <c r="Y312" s="1015"/>
      <c r="Z312" s="146" t="str">
        <f>OBRA!W310</f>
        <v>N/A</v>
      </c>
      <c r="AA312" s="146"/>
      <c r="AB312" s="148" t="str">
        <f t="shared" si="15"/>
        <v>N/A</v>
      </c>
      <c r="AC312" s="2" t="s">
        <v>1177</v>
      </c>
      <c r="AD312" s="146" t="s">
        <v>1177</v>
      </c>
      <c r="AE312" s="183" t="str">
        <f>OBRA!X310</f>
        <v>ING. JUAN MANUEL GARCIA ESCOTO</v>
      </c>
      <c r="AF312" s="19">
        <v>1770.77</v>
      </c>
      <c r="AG312" s="2" t="s">
        <v>1548</v>
      </c>
      <c r="AH312" s="615">
        <f t="shared" si="12"/>
        <v>502.66573863347588</v>
      </c>
      <c r="AI312" s="2">
        <v>3000</v>
      </c>
      <c r="AJ312" s="156" t="s">
        <v>1452</v>
      </c>
      <c r="AK312" s="513"/>
      <c r="AL312" s="513"/>
      <c r="AM312" s="513"/>
      <c r="AN312" s="867"/>
      <c r="AO312" s="867"/>
      <c r="AP312" s="867"/>
      <c r="AQ312" s="878"/>
      <c r="AR312" s="969"/>
      <c r="AS312" s="1230"/>
    </row>
    <row r="313" spans="1:45" ht="91.5" hidden="1" customHeight="1">
      <c r="A313" s="16">
        <f>OBRA!J311</f>
        <v>2018</v>
      </c>
      <c r="B313" s="783" t="s">
        <v>1563</v>
      </c>
      <c r="C313" s="783">
        <v>181.18</v>
      </c>
      <c r="D313" s="783"/>
      <c r="E313" s="2" t="str">
        <f>OBRA!M311</f>
        <v>RAMO 33</v>
      </c>
      <c r="F313" s="504" t="s">
        <v>1428</v>
      </c>
      <c r="G313" s="38"/>
      <c r="H313" s="12" t="str">
        <f>OBRA!N311</f>
        <v>DOP/AD/018/2018</v>
      </c>
      <c r="I313" s="2" t="str">
        <f>OBRA!O311</f>
        <v>CANCELADA</v>
      </c>
      <c r="J313" s="3" t="str">
        <f>OBRA!P311</f>
        <v>CONSTRUCCION DE EMPEDRADO ECOLOGICO EN LA PRIVADA LA VAQUITA EN LA LOCALIDAD DE CHANTEPEC, DEL MUNICIPIO DE JOCOTEPEC, JALISCO".</v>
      </c>
      <c r="K313" s="3" t="s">
        <v>1592</v>
      </c>
      <c r="L313" s="3"/>
      <c r="M313" s="3" t="s">
        <v>2021</v>
      </c>
      <c r="N313" s="3"/>
      <c r="O313" s="867"/>
      <c r="P313" s="4">
        <f>OBRA!R311</f>
        <v>46185.599999999999</v>
      </c>
      <c r="Q313" s="4"/>
      <c r="R313" s="4"/>
      <c r="S313" s="6">
        <f>OBRA!S311</f>
        <v>43326</v>
      </c>
      <c r="T313" s="1134" t="str">
        <f>OBRA!V311</f>
        <v>-</v>
      </c>
      <c r="U313" s="5">
        <f>OBRA!T311</f>
        <v>43326</v>
      </c>
      <c r="V313" s="11">
        <f>OBRA!U311</f>
        <v>43357</v>
      </c>
      <c r="W313" s="1429"/>
      <c r="X313" s="606">
        <f>OBRA!AS311+OBRA!AT311</f>
        <v>0</v>
      </c>
      <c r="Y313" s="1015"/>
      <c r="Z313" s="146" t="str">
        <f>OBRA!W311</f>
        <v>N/A</v>
      </c>
      <c r="AA313" s="146"/>
      <c r="AB313" s="148" t="str">
        <f t="shared" si="15"/>
        <v>N/A</v>
      </c>
      <c r="AC313" s="2" t="s">
        <v>1177</v>
      </c>
      <c r="AD313" s="146" t="s">
        <v>1177</v>
      </c>
      <c r="AE313" s="551" t="str">
        <f>OBRA!X311</f>
        <v>-</v>
      </c>
      <c r="AF313" s="161">
        <v>0</v>
      </c>
      <c r="AG313" s="2" t="s">
        <v>1548</v>
      </c>
      <c r="AH313" s="551" t="e">
        <f t="shared" si="12"/>
        <v>#DIV/0!</v>
      </c>
      <c r="AI313" s="2">
        <v>150</v>
      </c>
      <c r="AJ313" s="156" t="s">
        <v>1444</v>
      </c>
      <c r="AK313" s="513"/>
      <c r="AL313" s="513"/>
      <c r="AM313" s="513"/>
      <c r="AN313" s="1216"/>
      <c r="AO313" s="529"/>
      <c r="AP313" s="529"/>
      <c r="AQ313" s="524" t="s">
        <v>2022</v>
      </c>
      <c r="AR313" s="493"/>
      <c r="AS313" s="574"/>
    </row>
    <row r="314" spans="1:45" s="104" customFormat="1" ht="51" hidden="1" customHeight="1">
      <c r="A314" s="82">
        <f>OBRA!J312</f>
        <v>2018</v>
      </c>
      <c r="B314" s="784" t="s">
        <v>1563</v>
      </c>
      <c r="C314" s="784">
        <v>181.19</v>
      </c>
      <c r="D314" s="784"/>
      <c r="E314" s="85">
        <f>OBRA!M312</f>
        <v>0</v>
      </c>
      <c r="F314" s="504"/>
      <c r="G314" s="857"/>
      <c r="H314" s="103" t="str">
        <f>OBRA!N312</f>
        <v>DOP/AD/019/2018</v>
      </c>
      <c r="I314" s="185" t="str">
        <f>OBRA!O312</f>
        <v>CANCELADA</v>
      </c>
      <c r="J314" s="125">
        <f>OBRA!P312</f>
        <v>0</v>
      </c>
      <c r="K314" s="125"/>
      <c r="L314" s="125"/>
      <c r="M314" s="125"/>
      <c r="N314" s="125"/>
      <c r="O314" s="541"/>
      <c r="P314" s="86">
        <f>OBRA!R312</f>
        <v>0</v>
      </c>
      <c r="Q314" s="86"/>
      <c r="R314" s="86"/>
      <c r="S314" s="87">
        <f>OBRA!S312</f>
        <v>0</v>
      </c>
      <c r="T314" s="1134" t="str">
        <f>OBRA!V312</f>
        <v>-</v>
      </c>
      <c r="U314" s="88">
        <f>OBRA!T312</f>
        <v>0</v>
      </c>
      <c r="V314" s="89">
        <f>OBRA!U312</f>
        <v>0</v>
      </c>
      <c r="W314" s="338"/>
      <c r="X314" s="810">
        <f>OBRA!AS312+OBRA!AT312</f>
        <v>0</v>
      </c>
      <c r="Y314" s="821"/>
      <c r="Z314" s="147" t="str">
        <f>OBRA!W312</f>
        <v>N/A</v>
      </c>
      <c r="AA314" s="147"/>
      <c r="AB314" s="149" t="str">
        <f t="shared" si="15"/>
        <v>N/A</v>
      </c>
      <c r="AC314" s="85" t="s">
        <v>1177</v>
      </c>
      <c r="AD314" s="147" t="s">
        <v>1177</v>
      </c>
      <c r="AE314" s="184" t="str">
        <f>OBRA!X312</f>
        <v>-</v>
      </c>
      <c r="AF314" s="84"/>
      <c r="AG314" s="85"/>
      <c r="AH314" s="184" t="e">
        <f t="shared" si="12"/>
        <v>#DIV/0!</v>
      </c>
      <c r="AI314" s="570"/>
      <c r="AJ314" s="83"/>
      <c r="AK314" s="527"/>
      <c r="AL314" s="527"/>
      <c r="AM314" s="527"/>
      <c r="AN314" s="1215"/>
      <c r="AO314" s="527"/>
      <c r="AP314" s="655"/>
      <c r="AQ314" s="527"/>
      <c r="AR314" s="527"/>
      <c r="AS314" s="575"/>
    </row>
    <row r="315" spans="1:45" ht="56.25" hidden="1" customHeight="1">
      <c r="A315" s="16">
        <f>OBRA!J313</f>
        <v>2018</v>
      </c>
      <c r="B315" s="783" t="s">
        <v>1563</v>
      </c>
      <c r="C315" s="783">
        <v>181.2</v>
      </c>
      <c r="D315" s="783"/>
      <c r="E315" s="2" t="str">
        <f>OBRA!M313</f>
        <v>CUENTA CORRIENTE</v>
      </c>
      <c r="F315" s="1355" t="s">
        <v>1428</v>
      </c>
      <c r="G315" s="38" t="s">
        <v>2206</v>
      </c>
      <c r="H315" s="12" t="str">
        <f>OBRA!N313</f>
        <v>DOP/AD/020/2018</v>
      </c>
      <c r="I315" s="2" t="str">
        <f>OBRA!O313</f>
        <v>ADMINISTRACIÓN DIRECTA</v>
      </c>
      <c r="J315" s="3" t="str">
        <f>OBRA!P313</f>
        <v>TRABAJOS DE DESASOLVE EN LOS ARROYOS DEL MUNICIPIO DE JOCOTEPEC, JALISCO</v>
      </c>
      <c r="K315" s="3" t="s">
        <v>2023</v>
      </c>
      <c r="L315" s="3"/>
      <c r="M315" s="3" t="s">
        <v>2024</v>
      </c>
      <c r="N315" s="3" t="s">
        <v>2575</v>
      </c>
      <c r="O315" s="867" t="s">
        <v>4183</v>
      </c>
      <c r="P315" s="4">
        <f>OBRA!R313</f>
        <v>33408</v>
      </c>
      <c r="Q315" s="1023">
        <f t="shared" ref="Q315:Q321" si="16">P315/1.16</f>
        <v>28800.000000000004</v>
      </c>
      <c r="R315" s="1023"/>
      <c r="S315" s="6">
        <f>OBRA!S313</f>
        <v>43349</v>
      </c>
      <c r="T315" s="1134" t="str">
        <f>OBRA!V313</f>
        <v>-</v>
      </c>
      <c r="U315" s="5">
        <f>OBRA!T313</f>
        <v>43350</v>
      </c>
      <c r="V315" s="11">
        <f>OBRA!U313</f>
        <v>43365</v>
      </c>
      <c r="W315" s="220">
        <v>0</v>
      </c>
      <c r="X315" s="606">
        <f>OBRA!AS313+OBRA!AT313</f>
        <v>0</v>
      </c>
      <c r="Y315" s="1015"/>
      <c r="Z315" s="146" t="str">
        <f>OBRA!W313</f>
        <v>N/A</v>
      </c>
      <c r="AA315" s="146"/>
      <c r="AB315" s="148" t="str">
        <f t="shared" si="15"/>
        <v>N/A</v>
      </c>
      <c r="AC315" s="2" t="s">
        <v>1177</v>
      </c>
      <c r="AD315" s="146" t="s">
        <v>1177</v>
      </c>
      <c r="AE315" s="551" t="str">
        <f>OBRA!X313</f>
        <v>-</v>
      </c>
      <c r="AF315" s="19">
        <v>1</v>
      </c>
      <c r="AG315" s="2" t="s">
        <v>1573</v>
      </c>
      <c r="AH315" s="551">
        <f t="shared" si="12"/>
        <v>0</v>
      </c>
      <c r="AI315" s="2">
        <v>23000</v>
      </c>
      <c r="AJ315" s="156" t="s">
        <v>1452</v>
      </c>
      <c r="AK315" s="513"/>
      <c r="AL315" s="513"/>
      <c r="AM315" s="513"/>
      <c r="AN315" s="867"/>
      <c r="AO315" s="1304"/>
      <c r="AP315" s="1304"/>
      <c r="AQ315" s="1305"/>
      <c r="AR315" s="976"/>
      <c r="AS315" s="574"/>
    </row>
    <row r="316" spans="1:45" ht="80.25" hidden="1" customHeight="1">
      <c r="A316" s="16">
        <f>OBRA!J314</f>
        <v>2018</v>
      </c>
      <c r="B316" s="783" t="s">
        <v>1563</v>
      </c>
      <c r="C316" s="783">
        <v>186.01</v>
      </c>
      <c r="D316" s="783"/>
      <c r="E316" s="2" t="str">
        <f>OBRA!M314</f>
        <v>RAMO 33</v>
      </c>
      <c r="F316" s="1355" t="s">
        <v>1428</v>
      </c>
      <c r="G316" s="38" t="s">
        <v>2206</v>
      </c>
      <c r="H316" s="12" t="str">
        <f>OBRA!N314</f>
        <v>GMJ 001C OP/2018</v>
      </c>
      <c r="I316" s="2" t="str">
        <f>OBRA!O314</f>
        <v>ADJUDICACIÓN DIRECTA</v>
      </c>
      <c r="J316" s="3" t="str">
        <f>OBRA!P314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4" t="s">
        <v>3488</v>
      </c>
      <c r="P316" s="4">
        <f>OBRA!R314</f>
        <v>844622.8</v>
      </c>
      <c r="Q316" s="1023">
        <f t="shared" si="16"/>
        <v>728123.10344827594</v>
      </c>
      <c r="R316" s="1023"/>
      <c r="S316" s="6">
        <f>OBRA!S314</f>
        <v>43137</v>
      </c>
      <c r="T316" s="1134">
        <f>OBRA!V314</f>
        <v>43137</v>
      </c>
      <c r="U316" s="5">
        <f>OBRA!T314</f>
        <v>43137</v>
      </c>
      <c r="V316" s="11">
        <f>OBRA!U314</f>
        <v>43168</v>
      </c>
      <c r="W316" s="1429"/>
      <c r="X316" s="578">
        <f>OBRA!AS314+OBRA!AT314</f>
        <v>844622.8</v>
      </c>
      <c r="Y316" s="1182" t="s">
        <v>3182</v>
      </c>
      <c r="Z316" s="146" t="str">
        <f>OBRA!W314</f>
        <v>C. NORMA GORETY DOMINGUEZ CALVARIO</v>
      </c>
      <c r="AA316" s="146"/>
      <c r="AB316" s="148" t="str">
        <f t="shared" si="15"/>
        <v>C. NORMA GORETY DOMINGUEZ CALVARIO</v>
      </c>
      <c r="AC316" s="2" t="s">
        <v>2959</v>
      </c>
      <c r="AD316" s="146" t="s">
        <v>2959</v>
      </c>
      <c r="AE316" s="183" t="str">
        <f>OBRA!X314</f>
        <v>ING. JUAN MANUEL GARCIA ESCOTO</v>
      </c>
      <c r="AF316" s="552">
        <v>1032</v>
      </c>
      <c r="AG316" s="2" t="s">
        <v>1548</v>
      </c>
      <c r="AH316" s="615">
        <f t="shared" si="12"/>
        <v>818.43294573643414</v>
      </c>
      <c r="AI316" s="2">
        <v>21500</v>
      </c>
      <c r="AJ316" s="156" t="s">
        <v>1452</v>
      </c>
      <c r="AK316" s="513"/>
      <c r="AL316" s="513"/>
      <c r="AM316" s="513"/>
      <c r="AN316" s="1287" t="s">
        <v>3666</v>
      </c>
      <c r="AO316" s="867"/>
      <c r="AP316" s="867"/>
      <c r="AQ316" s="878"/>
      <c r="AR316" s="969"/>
      <c r="AS316" s="1230"/>
    </row>
    <row r="317" spans="1:45" ht="117.75" hidden="1" customHeight="1">
      <c r="A317" s="16">
        <f>OBRA!J315</f>
        <v>2018</v>
      </c>
      <c r="B317" s="783" t="s">
        <v>1563</v>
      </c>
      <c r="C317" s="783">
        <v>186.02</v>
      </c>
      <c r="D317" s="783"/>
      <c r="E317" s="2" t="str">
        <f>OBRA!M315</f>
        <v>RAMO 33</v>
      </c>
      <c r="F317" s="1355" t="s">
        <v>1428</v>
      </c>
      <c r="G317" s="38" t="s">
        <v>2206</v>
      </c>
      <c r="H317" s="12" t="str">
        <f>OBRA!N315</f>
        <v>GMJ 002C OP/2018</v>
      </c>
      <c r="I317" s="2" t="str">
        <f>OBRA!O315</f>
        <v>POR INVITACION RESTRINGIDA</v>
      </c>
      <c r="J317" s="3" t="str">
        <f>OBRA!P315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2604</v>
      </c>
      <c r="O317" s="504" t="s">
        <v>3488</v>
      </c>
      <c r="P317" s="4">
        <f>OBRA!R315</f>
        <v>1341538.44</v>
      </c>
      <c r="Q317" s="1023">
        <f t="shared" si="16"/>
        <v>1156498.6551724139</v>
      </c>
      <c r="R317" s="1023"/>
      <c r="S317" s="6">
        <f>OBRA!S315</f>
        <v>43208</v>
      </c>
      <c r="T317" s="1134" t="str">
        <f>OBRA!V315</f>
        <v>-</v>
      </c>
      <c r="U317" s="5">
        <f>OBRA!T315</f>
        <v>43209</v>
      </c>
      <c r="V317" s="11">
        <f>OBRA!U315</f>
        <v>43239</v>
      </c>
      <c r="W317" s="220">
        <f>P317*0.25</f>
        <v>335384.61</v>
      </c>
      <c r="X317" s="578">
        <f>OBRA!AS315+OBRA!AT315</f>
        <v>1341537.18</v>
      </c>
      <c r="Y317" s="278" t="s">
        <v>2434</v>
      </c>
      <c r="Z317" s="146" t="str">
        <f>OBRA!W315</f>
        <v xml:space="preserve">DRABSA CONSTRUCTORA S.A. DE C.V. </v>
      </c>
      <c r="AA317" s="146"/>
      <c r="AB317" s="148" t="s">
        <v>2029</v>
      </c>
      <c r="AC317" s="146" t="s">
        <v>2030</v>
      </c>
      <c r="AD317" s="146" t="s">
        <v>2888</v>
      </c>
      <c r="AE317" s="183" t="str">
        <f>OBRA!X315</f>
        <v>ING. JUAN MANUEL GARCIA ESCOTO</v>
      </c>
      <c r="AF317" s="552">
        <v>541</v>
      </c>
      <c r="AG317" s="2" t="s">
        <v>1451</v>
      </c>
      <c r="AH317" s="615">
        <f t="shared" si="12"/>
        <v>2479.7360073937152</v>
      </c>
      <c r="AI317" s="2">
        <v>3900</v>
      </c>
      <c r="AJ317" s="156" t="s">
        <v>1452</v>
      </c>
      <c r="AK317" s="513"/>
      <c r="AL317" s="513"/>
      <c r="AM317" s="513"/>
      <c r="AN317" s="1288" t="s">
        <v>3689</v>
      </c>
      <c r="AO317" s="529"/>
      <c r="AP317" s="1291" t="s">
        <v>3689</v>
      </c>
      <c r="AQ317" s="1289" t="s">
        <v>3689</v>
      </c>
      <c r="AR317" s="1238"/>
      <c r="AS317" s="1296" t="s">
        <v>3689</v>
      </c>
    </row>
    <row r="318" spans="1:45" ht="119.25" hidden="1" customHeight="1">
      <c r="A318" s="16">
        <f>OBRA!J316</f>
        <v>2018</v>
      </c>
      <c r="B318" s="783" t="s">
        <v>1563</v>
      </c>
      <c r="C318" s="783">
        <v>186.03</v>
      </c>
      <c r="D318" s="783"/>
      <c r="E318" s="2" t="str">
        <f>OBRA!M316</f>
        <v>RAMO 33</v>
      </c>
      <c r="F318" s="1355" t="s">
        <v>1428</v>
      </c>
      <c r="G318" s="38" t="s">
        <v>2206</v>
      </c>
      <c r="H318" s="12" t="str">
        <f>OBRA!N316</f>
        <v>GMJ 003C OP/2018</v>
      </c>
      <c r="I318" s="2" t="str">
        <f>OBRA!O316</f>
        <v>POR INVITACION RESTRINGIDA</v>
      </c>
      <c r="J318" s="3" t="str">
        <f>OBRA!P316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2604</v>
      </c>
      <c r="O318" s="504" t="s">
        <v>3488</v>
      </c>
      <c r="P318" s="4">
        <f>OBRA!R316</f>
        <v>1303478.02</v>
      </c>
      <c r="Q318" s="1023">
        <f t="shared" si="16"/>
        <v>1123687.9482758623</v>
      </c>
      <c r="R318" s="1023"/>
      <c r="S318" s="6">
        <f>OBRA!S316</f>
        <v>43208</v>
      </c>
      <c r="T318" s="1134" t="str">
        <f>OBRA!V316</f>
        <v>-</v>
      </c>
      <c r="U318" s="5">
        <f>OBRA!T316</f>
        <v>43208</v>
      </c>
      <c r="V318" s="11">
        <f>OBRA!U316</f>
        <v>43239</v>
      </c>
      <c r="W318" s="220">
        <f>P318*0.25</f>
        <v>325869.505</v>
      </c>
      <c r="X318" s="578">
        <f>OBRA!AS316+OBRA!AT316</f>
        <v>1303477.3400000001</v>
      </c>
      <c r="Y318" s="278" t="s">
        <v>2435</v>
      </c>
      <c r="Z318" s="146" t="str">
        <f>OBRA!W316</f>
        <v xml:space="preserve">DRABSA CONSTRUCTORA S.A. DE C.V. </v>
      </c>
      <c r="AA318" s="146"/>
      <c r="AB318" s="148" t="s">
        <v>2029</v>
      </c>
      <c r="AC318" s="146" t="s">
        <v>2030</v>
      </c>
      <c r="AD318" s="146" t="s">
        <v>2888</v>
      </c>
      <c r="AE318" s="183" t="str">
        <f>OBRA!X316</f>
        <v>ING. JUAN MANUEL GARCIA ESCOTO</v>
      </c>
      <c r="AF318" s="552">
        <v>541</v>
      </c>
      <c r="AG318" s="2" t="s">
        <v>1451</v>
      </c>
      <c r="AH318" s="615">
        <f t="shared" si="12"/>
        <v>2409.3851016635863</v>
      </c>
      <c r="AI318" s="2">
        <v>3900</v>
      </c>
      <c r="AJ318" s="156" t="s">
        <v>1452</v>
      </c>
      <c r="AK318" s="513"/>
      <c r="AL318" s="513"/>
      <c r="AM318" s="513"/>
      <c r="AN318" s="1288" t="s">
        <v>3690</v>
      </c>
      <c r="AO318" s="529"/>
      <c r="AP318" s="1291" t="s">
        <v>3690</v>
      </c>
      <c r="AQ318" s="1289" t="s">
        <v>3690</v>
      </c>
      <c r="AR318" s="1238"/>
      <c r="AS318" s="1296" t="s">
        <v>3690</v>
      </c>
    </row>
    <row r="319" spans="1:45" ht="81" hidden="1" customHeight="1">
      <c r="A319" s="16">
        <f>OBRA!J317</f>
        <v>2018</v>
      </c>
      <c r="B319" s="783" t="s">
        <v>1563</v>
      </c>
      <c r="C319" s="783">
        <v>186.04</v>
      </c>
      <c r="D319" s="783"/>
      <c r="E319" s="2" t="str">
        <f>OBRA!M317</f>
        <v>CUENTA CORRIENTE</v>
      </c>
      <c r="F319" s="1355" t="s">
        <v>1428</v>
      </c>
      <c r="G319" s="38" t="s">
        <v>2206</v>
      </c>
      <c r="H319" s="12" t="str">
        <f>OBRA!N317</f>
        <v>GMJ 004C OP/2018</v>
      </c>
      <c r="I319" s="2" t="str">
        <f>OBRA!O317</f>
        <v>ADJUDICACIÓN DIRECTA</v>
      </c>
      <c r="J319" s="3" t="str">
        <f>OBRA!P317</f>
        <v>CONSTRUCCION DE AMPLIACIÓN DEL PANTEON 2DA ETAPA EN LA CABECERA MUNICIPAL, DEL MUNICIPIO DE JOCOTEPEC, JALISCO</v>
      </c>
      <c r="K319" s="3" t="s">
        <v>2033</v>
      </c>
      <c r="L319" s="3"/>
      <c r="M319" s="3" t="s">
        <v>1930</v>
      </c>
      <c r="N319" s="3" t="s">
        <v>1975</v>
      </c>
      <c r="O319" s="504" t="s">
        <v>3488</v>
      </c>
      <c r="P319" s="4">
        <f>OBRA!R317</f>
        <v>500000</v>
      </c>
      <c r="Q319" s="1023">
        <f t="shared" si="16"/>
        <v>431034.4827586207</v>
      </c>
      <c r="R319" s="1023"/>
      <c r="S319" s="6">
        <f>OBRA!S317</f>
        <v>43224</v>
      </c>
      <c r="T319" s="1134">
        <f>OBRA!V317</f>
        <v>43209</v>
      </c>
      <c r="U319" s="5">
        <f>OBRA!T317</f>
        <v>43228</v>
      </c>
      <c r="V319" s="11">
        <f>OBRA!U317</f>
        <v>43321</v>
      </c>
      <c r="W319" s="1429"/>
      <c r="X319" s="606">
        <f>OBRA!AS317+OBRA!AT317</f>
        <v>0</v>
      </c>
      <c r="Y319" s="1182" t="s">
        <v>3183</v>
      </c>
      <c r="Z319" s="146" t="s">
        <v>2034</v>
      </c>
      <c r="AA319" s="146"/>
      <c r="AB319" s="148" t="s">
        <v>256</v>
      </c>
      <c r="AC319" s="146" t="s">
        <v>2035</v>
      </c>
      <c r="AD319" s="146" t="s">
        <v>3040</v>
      </c>
      <c r="AE319" s="183" t="str">
        <f>OBRA!X317</f>
        <v>ARQ. CESAR ANTONIO ALONSO JIMENEZ</v>
      </c>
      <c r="AF319" s="19">
        <v>1</v>
      </c>
      <c r="AG319" s="2" t="s">
        <v>1573</v>
      </c>
      <c r="AH319" s="551">
        <f t="shared" si="12"/>
        <v>0</v>
      </c>
      <c r="AI319" s="2">
        <v>21500</v>
      </c>
      <c r="AJ319" s="156" t="s">
        <v>1452</v>
      </c>
      <c r="AK319" s="513"/>
      <c r="AL319" s="513"/>
      <c r="AM319" s="513"/>
      <c r="AN319" s="1288" t="s">
        <v>3667</v>
      </c>
      <c r="AO319" s="1291" t="s">
        <v>3667</v>
      </c>
      <c r="AP319" s="867"/>
      <c r="AQ319" s="1289" t="s">
        <v>3667</v>
      </c>
      <c r="AR319" s="1238"/>
      <c r="AS319" s="574"/>
    </row>
    <row r="320" spans="1:45" ht="105.75" hidden="1" customHeight="1">
      <c r="A320" s="16">
        <f>OBRA!J318</f>
        <v>2018</v>
      </c>
      <c r="B320" s="783" t="s">
        <v>1563</v>
      </c>
      <c r="C320" s="783">
        <v>186.05</v>
      </c>
      <c r="D320" s="783"/>
      <c r="E320" s="2" t="str">
        <f>OBRA!M318</f>
        <v>RAMO 33</v>
      </c>
      <c r="F320" s="1355" t="s">
        <v>1428</v>
      </c>
      <c r="G320" s="38" t="s">
        <v>2206</v>
      </c>
      <c r="H320" s="12" t="str">
        <f>OBRA!N318</f>
        <v>GMJ 005C OP/2018</v>
      </c>
      <c r="I320" s="2" t="str">
        <f>OBRA!O318</f>
        <v>ADJUDICACIÓN DIRECTA</v>
      </c>
      <c r="J320" s="3" t="str">
        <f>OBRA!P318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2524</v>
      </c>
      <c r="O320" s="504" t="s">
        <v>3488</v>
      </c>
      <c r="P320" s="4">
        <f>OBRA!R318</f>
        <v>688990.42</v>
      </c>
      <c r="Q320" s="1023">
        <f t="shared" si="16"/>
        <v>593957.25862068974</v>
      </c>
      <c r="R320" s="1023"/>
      <c r="S320" s="6">
        <f>OBRA!S318</f>
        <v>43221</v>
      </c>
      <c r="T320" s="1134">
        <f>OBRA!V318</f>
        <v>43221</v>
      </c>
      <c r="U320" s="5">
        <f>OBRA!T318</f>
        <v>43224</v>
      </c>
      <c r="V320" s="11">
        <f>OBRA!U318</f>
        <v>43285</v>
      </c>
      <c r="W320" s="1429"/>
      <c r="X320" s="578">
        <f>OBRA!AS318+OBRA!AT318</f>
        <v>566169.56000000006</v>
      </c>
      <c r="Y320" s="1183" t="s">
        <v>3184</v>
      </c>
      <c r="Z320" s="146" t="str">
        <f>OBRA!W318</f>
        <v xml:space="preserve">GRUPO DESARROLLADOR INMOBILIARIO CEMERAMA S.A. DE C.V. </v>
      </c>
      <c r="AA320" s="146"/>
      <c r="AB320" s="148" t="s">
        <v>1833</v>
      </c>
      <c r="AC320" s="146" t="s">
        <v>1834</v>
      </c>
      <c r="AD320" s="146" t="s">
        <v>3041</v>
      </c>
      <c r="AE320" s="183" t="str">
        <f>OBRA!X318</f>
        <v>LIC. SALVADOR CONTRERAS OLGUÍN</v>
      </c>
      <c r="AF320" s="552">
        <v>450</v>
      </c>
      <c r="AG320" s="2" t="s">
        <v>1451</v>
      </c>
      <c r="AH320" s="615">
        <f t="shared" si="12"/>
        <v>1258.1545777777778</v>
      </c>
      <c r="AI320" s="2">
        <v>3400</v>
      </c>
      <c r="AJ320" s="156" t="s">
        <v>1452</v>
      </c>
      <c r="AK320" s="513"/>
      <c r="AL320" s="513"/>
      <c r="AM320" s="513"/>
      <c r="AN320" s="1288" t="s">
        <v>3668</v>
      </c>
      <c r="AO320" s="1286" t="s">
        <v>3668</v>
      </c>
      <c r="AP320" s="1286" t="s">
        <v>3668</v>
      </c>
      <c r="AQ320" s="1289" t="s">
        <v>3668</v>
      </c>
      <c r="AR320" s="1847"/>
      <c r="AS320" s="1290" t="s">
        <v>3668</v>
      </c>
    </row>
    <row r="321" spans="1:45" ht="113.25" hidden="1" customHeight="1">
      <c r="A321" s="16">
        <f>OBRA!J319</f>
        <v>2018</v>
      </c>
      <c r="B321" s="783" t="s">
        <v>1563</v>
      </c>
      <c r="C321" s="783">
        <v>186.06</v>
      </c>
      <c r="D321" s="783"/>
      <c r="E321" s="2" t="str">
        <f>OBRA!M319</f>
        <v>RAMO 33</v>
      </c>
      <c r="F321" s="1355" t="s">
        <v>1428</v>
      </c>
      <c r="G321" s="38" t="s">
        <v>2206</v>
      </c>
      <c r="H321" s="12" t="str">
        <f>OBRA!N319</f>
        <v>GMJ 006C OP/2018</v>
      </c>
      <c r="I321" s="2" t="str">
        <f>OBRA!O319</f>
        <v>ADJUDICACIÓN DIRECTA</v>
      </c>
      <c r="J321" s="3" t="str">
        <f>OBRA!P319</f>
        <v>REHABILITACION DE LINEA DE AGUA POTABLE EN CALLE CARDENAL DESDE CARRETERA AL PANTEON, CON REPOSICION DE EMPEDRADO NORMAL EN LA LOCALIDAD DE SAN JUAN COSALA, DEL MUNICIPIO DE JOCOTEPEC, JALISCO</v>
      </c>
      <c r="K321" s="3" t="s">
        <v>2038</v>
      </c>
      <c r="L321" s="3"/>
      <c r="M321" s="3" t="s">
        <v>2039</v>
      </c>
      <c r="N321" s="3" t="s">
        <v>2524</v>
      </c>
      <c r="O321" s="504" t="s">
        <v>3488</v>
      </c>
      <c r="P321" s="4">
        <f>OBRA!R319</f>
        <v>343705.8</v>
      </c>
      <c r="Q321" s="1023">
        <f t="shared" si="16"/>
        <v>296298.10344827588</v>
      </c>
      <c r="R321" s="1023"/>
      <c r="S321" s="6">
        <f>OBRA!S319</f>
        <v>43255</v>
      </c>
      <c r="T321" s="1134">
        <f>OBRA!V319</f>
        <v>43252</v>
      </c>
      <c r="U321" s="5">
        <f>OBRA!T319</f>
        <v>43257</v>
      </c>
      <c r="V321" s="11">
        <f>OBRA!U319</f>
        <v>43322</v>
      </c>
      <c r="W321" s="1429"/>
      <c r="X321" s="578">
        <f>OBRA!AS319+OBRA!AT319</f>
        <v>343705.79</v>
      </c>
      <c r="Y321" s="1183" t="s">
        <v>3185</v>
      </c>
      <c r="Z321" s="146" t="s">
        <v>2040</v>
      </c>
      <c r="AA321" s="146"/>
      <c r="AB321" s="148" t="s">
        <v>1028</v>
      </c>
      <c r="AC321" s="146" t="s">
        <v>2041</v>
      </c>
      <c r="AD321" s="146" t="s">
        <v>3042</v>
      </c>
      <c r="AE321" s="183" t="str">
        <f>OBRA!X319</f>
        <v>ARQ. CESAR ANTONIO ALONSO JIMENEZ</v>
      </c>
      <c r="AF321" s="19">
        <v>140.56</v>
      </c>
      <c r="AG321" s="2" t="s">
        <v>1451</v>
      </c>
      <c r="AH321" s="615">
        <f t="shared" si="12"/>
        <v>2445.2603158793395</v>
      </c>
      <c r="AI321" s="2">
        <v>6000</v>
      </c>
      <c r="AJ321" s="156" t="s">
        <v>1452</v>
      </c>
      <c r="AK321" s="513"/>
      <c r="AL321" s="513"/>
      <c r="AM321" s="513"/>
      <c r="AN321" s="1288" t="s">
        <v>3669</v>
      </c>
      <c r="AO321" s="867"/>
      <c r="AP321" s="1291" t="s">
        <v>3669</v>
      </c>
      <c r="AQ321" s="1289" t="s">
        <v>3669</v>
      </c>
      <c r="AR321" s="1847"/>
      <c r="AS321" s="1290" t="s">
        <v>3669</v>
      </c>
    </row>
    <row r="322" spans="1:45" s="104" customFormat="1" ht="51" hidden="1" customHeight="1">
      <c r="A322" s="82">
        <f>OBRA!J320</f>
        <v>2018</v>
      </c>
      <c r="B322" s="784" t="s">
        <v>1563</v>
      </c>
      <c r="C322" s="784">
        <v>186.07</v>
      </c>
      <c r="D322" s="784"/>
      <c r="E322" s="85">
        <f>OBRA!M320</f>
        <v>0</v>
      </c>
      <c r="F322" s="504"/>
      <c r="G322" s="514"/>
      <c r="H322" s="84" t="str">
        <f>OBRA!N320</f>
        <v>GMJ 007C OP/2018</v>
      </c>
      <c r="I322" s="185" t="str">
        <f>OBRA!O320</f>
        <v>CANCELADA</v>
      </c>
      <c r="J322" s="125">
        <f>OBRA!P320</f>
        <v>0</v>
      </c>
      <c r="K322" s="125"/>
      <c r="L322" s="125"/>
      <c r="M322" s="125"/>
      <c r="N322" s="125"/>
      <c r="O322" s="541"/>
      <c r="P322" s="86">
        <f>OBRA!R320</f>
        <v>0</v>
      </c>
      <c r="Q322" s="86"/>
      <c r="R322" s="86"/>
      <c r="S322" s="87">
        <f>OBRA!S320</f>
        <v>0</v>
      </c>
      <c r="T322" s="1134">
        <f>OBRA!V320</f>
        <v>0</v>
      </c>
      <c r="U322" s="88">
        <f>OBRA!T320</f>
        <v>0</v>
      </c>
      <c r="V322" s="89">
        <f>OBRA!U320</f>
        <v>0</v>
      </c>
      <c r="W322" s="338"/>
      <c r="X322" s="810">
        <f>OBRA!AS320+OBRA!AT320</f>
        <v>0</v>
      </c>
      <c r="Y322" s="821"/>
      <c r="Z322" s="147" t="str">
        <f>OBRA!W320</f>
        <v>-</v>
      </c>
      <c r="AA322" s="147"/>
      <c r="AB322" s="149" t="str">
        <f>Z322</f>
        <v>-</v>
      </c>
      <c r="AC322" s="147" t="s">
        <v>1428</v>
      </c>
      <c r="AD322" s="85" t="s">
        <v>1428</v>
      </c>
      <c r="AE322" s="184" t="str">
        <f>OBRA!X320</f>
        <v>-</v>
      </c>
      <c r="AF322" s="84"/>
      <c r="AG322" s="85"/>
      <c r="AH322" s="184" t="e">
        <f t="shared" si="12"/>
        <v>#DIV/0!</v>
      </c>
      <c r="AI322" s="570"/>
      <c r="AJ322" s="83"/>
      <c r="AK322" s="527"/>
      <c r="AL322" s="527"/>
      <c r="AM322" s="527"/>
      <c r="AN322" s="1215"/>
      <c r="AO322" s="527"/>
      <c r="AP322" s="655"/>
      <c r="AQ322" s="527"/>
      <c r="AR322" s="527"/>
      <c r="AS322" s="83"/>
    </row>
    <row r="323" spans="1:45" ht="108.75" hidden="1" customHeight="1">
      <c r="A323" s="16">
        <f>OBRA!J321</f>
        <v>2018</v>
      </c>
      <c r="B323" s="783" t="s">
        <v>1563</v>
      </c>
      <c r="C323" s="783">
        <v>186.08</v>
      </c>
      <c r="D323" s="783"/>
      <c r="E323" s="2" t="str">
        <f>OBRA!M321</f>
        <v>RAMO 33</v>
      </c>
      <c r="F323" s="1355" t="s">
        <v>1428</v>
      </c>
      <c r="G323" s="38" t="s">
        <v>2206</v>
      </c>
      <c r="H323" s="12" t="str">
        <f>OBRA!N321</f>
        <v>GMJ 008C OP/2018</v>
      </c>
      <c r="I323" s="2" t="str">
        <f>OBRA!O321</f>
        <v>ADJUDICACIÓN DIRECTA</v>
      </c>
      <c r="J323" s="3" t="str">
        <f>OBRA!P321</f>
        <v>REHABILITACION DE LA LINEA DE DRENAJE EN LA CALLE HIDALGO DESDE CALLE VICENTE GUERRERO HASTA EMPEDRADO AHOGADO EXISTENTE EN LA LOCALIDAD DE SAN JUAN COSALA, DEL MUNICIPIO DE JOCOTEPEC, JALISCO</v>
      </c>
      <c r="K323" s="3" t="s">
        <v>1716</v>
      </c>
      <c r="L323" s="3"/>
      <c r="M323" s="3" t="s">
        <v>2043</v>
      </c>
      <c r="N323" s="3" t="s">
        <v>2524</v>
      </c>
      <c r="O323" s="504" t="s">
        <v>3488</v>
      </c>
      <c r="P323" s="4">
        <f>OBRA!R321</f>
        <v>142361.85</v>
      </c>
      <c r="Q323" s="1023">
        <f t="shared" ref="Q323:Q328" si="17">P323/1.16</f>
        <v>122725.73275862071</v>
      </c>
      <c r="R323" s="1023"/>
      <c r="S323" s="6">
        <f>OBRA!S321</f>
        <v>43222</v>
      </c>
      <c r="T323" s="1134">
        <f>OBRA!V321</f>
        <v>43221</v>
      </c>
      <c r="U323" s="5">
        <f>OBRA!T321</f>
        <v>43224</v>
      </c>
      <c r="V323" s="11">
        <f>OBRA!U321</f>
        <v>43255</v>
      </c>
      <c r="W323" s="1429"/>
      <c r="X323" s="578">
        <f>OBRA!AS321+OBRA!AT321</f>
        <v>142049.75</v>
      </c>
      <c r="Y323" s="1182" t="s">
        <v>3186</v>
      </c>
      <c r="Z323" s="146" t="str">
        <f>OBRA!W321</f>
        <v xml:space="preserve">GRUPO DESARROLLADOR INMOBILIARIO CEMERAMA S.A. DE C.V. </v>
      </c>
      <c r="AA323" s="146"/>
      <c r="AB323" s="148" t="str">
        <f>Z323</f>
        <v xml:space="preserve">GRUPO DESARROLLADOR INMOBILIARIO CEMERAMA S.A. DE C.V. </v>
      </c>
      <c r="AC323" s="146" t="s">
        <v>1834</v>
      </c>
      <c r="AD323" s="146" t="s">
        <v>3041</v>
      </c>
      <c r="AE323" s="183" t="str">
        <f>OBRA!X321</f>
        <v>LIC. SALVADOR CONTRERAS OLGUÍN</v>
      </c>
      <c r="AF323" s="552">
        <v>92</v>
      </c>
      <c r="AG323" s="2" t="s">
        <v>1451</v>
      </c>
      <c r="AH323" s="615">
        <f t="shared" si="12"/>
        <v>1544.0190217391305</v>
      </c>
      <c r="AI323" s="2">
        <v>150</v>
      </c>
      <c r="AJ323" s="156" t="s">
        <v>1444</v>
      </c>
      <c r="AK323" s="513"/>
      <c r="AL323" s="513"/>
      <c r="AM323" s="513"/>
      <c r="AN323" s="1288" t="s">
        <v>3670</v>
      </c>
      <c r="AO323" s="1291" t="s">
        <v>3670</v>
      </c>
      <c r="AP323" s="1291" t="s">
        <v>3670</v>
      </c>
      <c r="AQ323" s="1289" t="s">
        <v>3670</v>
      </c>
      <c r="AR323" s="1847"/>
      <c r="AS323" s="511"/>
    </row>
    <row r="324" spans="1:45" ht="144.75" hidden="1" customHeight="1">
      <c r="A324" s="16">
        <f>OBRA!J322</f>
        <v>2018</v>
      </c>
      <c r="B324" s="783" t="s">
        <v>1563</v>
      </c>
      <c r="C324" s="783">
        <v>186.09</v>
      </c>
      <c r="D324" s="783"/>
      <c r="E324" s="2" t="str">
        <f>OBRA!M322</f>
        <v>FONDEREG</v>
      </c>
      <c r="F324" s="504" t="s">
        <v>2007</v>
      </c>
      <c r="G324" s="38" t="s">
        <v>2206</v>
      </c>
      <c r="H324" s="12" t="str">
        <f>OBRA!N322</f>
        <v>GMJ 009C OP/2018</v>
      </c>
      <c r="I324" s="2" t="str">
        <f>OBRA!O322</f>
        <v>ADJUDICACIÓN DIRECTA</v>
      </c>
      <c r="J324" s="3" t="str">
        <f>OBRA!P322</f>
        <v>REHABILITACION DE IMAGEN URBANA DE CALLE VICENTE GUERRERO, EN EL INGRESO PONIENTE A JOCOTEPEC, DE LA CALLE INDEPENDENCIA A LA CALLE PASEO DE LAS ROSAS (ALUMBRADO PUBLICO) EN LA CABECERA MUNICIPAL DEL MUNICIPIO DE JOCOTEPEC, JALISCO</v>
      </c>
      <c r="K324" s="3" t="s">
        <v>1474</v>
      </c>
      <c r="L324" s="3"/>
      <c r="M324" s="3" t="s">
        <v>2044</v>
      </c>
      <c r="N324" s="3" t="s">
        <v>1975</v>
      </c>
      <c r="O324" s="504" t="s">
        <v>3488</v>
      </c>
      <c r="P324" s="4">
        <f>OBRA!R322</f>
        <v>526676.22</v>
      </c>
      <c r="Q324" s="1023">
        <f t="shared" si="17"/>
        <v>454031.22413793101</v>
      </c>
      <c r="R324" s="1023"/>
      <c r="S324" s="6">
        <f>OBRA!S322</f>
        <v>43253</v>
      </c>
      <c r="T324" s="1134">
        <f>OBRA!V322</f>
        <v>43252</v>
      </c>
      <c r="U324" s="5">
        <f>OBRA!T322</f>
        <v>43261</v>
      </c>
      <c r="V324" s="11">
        <f>OBRA!U322</f>
        <v>43322</v>
      </c>
      <c r="W324" s="1429"/>
      <c r="X324" s="578">
        <f>OBRA!AS322+OBRA!AT322</f>
        <v>526676.22</v>
      </c>
      <c r="Y324" s="1183" t="s">
        <v>3187</v>
      </c>
      <c r="Z324" s="146" t="str">
        <f>OBRA!W322</f>
        <v>ING. JOSE VALENTIN ZARATE RIVERA</v>
      </c>
      <c r="AA324" s="146"/>
      <c r="AB324" s="148" t="str">
        <f>Z324</f>
        <v>ING. JOSE VALENTIN ZARATE RIVERA</v>
      </c>
      <c r="AC324" s="2" t="s">
        <v>2959</v>
      </c>
      <c r="AD324" s="146" t="s">
        <v>2959</v>
      </c>
      <c r="AE324" s="183" t="str">
        <f>OBRA!X322</f>
        <v>ING. JUAN MANUEL GARCIA ESCOTO</v>
      </c>
      <c r="AF324" s="19">
        <v>11</v>
      </c>
      <c r="AG324" s="2" t="s">
        <v>1757</v>
      </c>
      <c r="AH324" s="183">
        <f t="shared" si="12"/>
        <v>47879.656363636364</v>
      </c>
      <c r="AI324" s="2">
        <v>21500</v>
      </c>
      <c r="AJ324" s="156" t="s">
        <v>1452</v>
      </c>
      <c r="AK324" s="513"/>
      <c r="AL324" s="513"/>
      <c r="AM324" s="513"/>
      <c r="AN324" s="1288" t="s">
        <v>3674</v>
      </c>
      <c r="AO324" s="1291" t="s">
        <v>3674</v>
      </c>
      <c r="AP324" s="1291" t="s">
        <v>3674</v>
      </c>
      <c r="AQ324" s="1289" t="s">
        <v>3674</v>
      </c>
      <c r="AR324" s="1847"/>
      <c r="AS324" s="1290" t="s">
        <v>3674</v>
      </c>
    </row>
    <row r="325" spans="1:45" ht="67.5" hidden="1" customHeight="1">
      <c r="A325" s="16">
        <f>OBRA!J323</f>
        <v>2018</v>
      </c>
      <c r="B325" s="783" t="s">
        <v>1563</v>
      </c>
      <c r="C325" s="783">
        <v>186.1</v>
      </c>
      <c r="D325" s="783"/>
      <c r="E325" s="2" t="str">
        <f>OBRA!M323</f>
        <v>RAMO 33</v>
      </c>
      <c r="F325" s="1355" t="s">
        <v>1428</v>
      </c>
      <c r="G325" s="38" t="s">
        <v>2206</v>
      </c>
      <c r="H325" s="12" t="str">
        <f>OBRA!N323</f>
        <v>GMJ 010C OP/2018</v>
      </c>
      <c r="I325" s="2" t="str">
        <f>OBRA!O323</f>
        <v>ADJUDICACIÓN DIRECTA</v>
      </c>
      <c r="J325" s="3" t="str">
        <f>OBRA!P323</f>
        <v>REHABILITACION DE RED DE AGUA POTABLE EN LA CALLE EMILIANO ZAPATA, EN LA LOCALIDAD DE ZAPOTITAN DE HIDALGO DEL MUNICIPIO DE JOCOTEPEC, JALISCO</v>
      </c>
      <c r="K325" s="3" t="s">
        <v>1496</v>
      </c>
      <c r="L325" s="3"/>
      <c r="M325" s="3" t="s">
        <v>2046</v>
      </c>
      <c r="N325" s="3" t="s">
        <v>2604</v>
      </c>
      <c r="O325" s="504" t="s">
        <v>3488</v>
      </c>
      <c r="P325" s="4">
        <f>OBRA!R323</f>
        <v>177478.77</v>
      </c>
      <c r="Q325" s="1023">
        <f t="shared" si="17"/>
        <v>152998.93965517241</v>
      </c>
      <c r="R325" s="1023"/>
      <c r="S325" s="6">
        <f>OBRA!S323</f>
        <v>43242</v>
      </c>
      <c r="T325" s="1134">
        <f>OBRA!V323</f>
        <v>43241</v>
      </c>
      <c r="U325" s="5">
        <f>OBRA!T323</f>
        <v>43243</v>
      </c>
      <c r="V325" s="11">
        <f>OBRA!U323</f>
        <v>43283</v>
      </c>
      <c r="W325" s="1429"/>
      <c r="X325" s="578">
        <f>OBRA!AS323+OBRA!AT323</f>
        <v>177182.11</v>
      </c>
      <c r="Y325" s="1183" t="s">
        <v>3188</v>
      </c>
      <c r="Z325" s="146" t="str">
        <f>OBRA!W323</f>
        <v>LIC. CARLOS MANUEL PELAYO CERVERA</v>
      </c>
      <c r="AA325" s="146"/>
      <c r="AB325" s="148" t="str">
        <f>Z325</f>
        <v>LIC. CARLOS MANUEL PELAYO CERVERA</v>
      </c>
      <c r="AC325" s="2" t="s">
        <v>2959</v>
      </c>
      <c r="AD325" s="146" t="s">
        <v>2959</v>
      </c>
      <c r="AE325" s="183" t="str">
        <f>OBRA!X323</f>
        <v>ARQ. CESAR ANTONIO ALONSO JIMENEZ</v>
      </c>
      <c r="AF325" s="552">
        <v>120</v>
      </c>
      <c r="AG325" s="2" t="s">
        <v>1451</v>
      </c>
      <c r="AH325" s="615">
        <f t="shared" si="12"/>
        <v>1476.5175833333333</v>
      </c>
      <c r="AI325" s="2">
        <v>50</v>
      </c>
      <c r="AJ325" s="156" t="s">
        <v>1444</v>
      </c>
      <c r="AK325" s="513"/>
      <c r="AL325" s="513"/>
      <c r="AM325" s="513"/>
      <c r="AN325" s="1288" t="s">
        <v>3671</v>
      </c>
      <c r="AO325" s="1291" t="s">
        <v>3671</v>
      </c>
      <c r="AP325" s="1291" t="s">
        <v>3671</v>
      </c>
      <c r="AQ325" s="1292" t="s">
        <v>3671</v>
      </c>
      <c r="AR325" s="1848"/>
      <c r="AS325" s="1293" t="s">
        <v>3671</v>
      </c>
    </row>
    <row r="326" spans="1:45" ht="72" hidden="1" customHeight="1">
      <c r="A326" s="16">
        <f>OBRA!J324</f>
        <v>2018</v>
      </c>
      <c r="B326" s="783" t="s">
        <v>1563</v>
      </c>
      <c r="C326" s="783">
        <v>186.11</v>
      </c>
      <c r="D326" s="783"/>
      <c r="E326" s="2" t="str">
        <f>OBRA!M324</f>
        <v>RAMO 33</v>
      </c>
      <c r="F326" s="1355" t="s">
        <v>1428</v>
      </c>
      <c r="G326" s="38" t="s">
        <v>2206</v>
      </c>
      <c r="H326" s="12" t="str">
        <f>OBRA!N324</f>
        <v>GMJ 011C OP/2018</v>
      </c>
      <c r="I326" s="2" t="str">
        <f>OBRA!O324</f>
        <v>ADJUDICACIÓN DIRECTA</v>
      </c>
      <c r="J326" s="3" t="str">
        <f>OBRA!P324</f>
        <v>REHABILITACION DE LINEA DE DRENAJE EN LA CALLE EMILIANO ZAPATA, EN LA LOCALIDAD DE ZAPOTITAN DE HIDALGO DEL MUNICIPIO DE JOCOTEPEC, JALISCO</v>
      </c>
      <c r="K326" s="3" t="s">
        <v>1481</v>
      </c>
      <c r="L326" s="3"/>
      <c r="M326" s="3" t="s">
        <v>2046</v>
      </c>
      <c r="N326" s="3" t="s">
        <v>2604</v>
      </c>
      <c r="O326" s="504" t="s">
        <v>3489</v>
      </c>
      <c r="P326" s="4">
        <f>OBRA!R324</f>
        <v>247048.85</v>
      </c>
      <c r="Q326" s="1023">
        <f t="shared" si="17"/>
        <v>212973.14655172414</v>
      </c>
      <c r="R326" s="1023"/>
      <c r="S326" s="6">
        <f>OBRA!S324</f>
        <v>43242</v>
      </c>
      <c r="T326" s="1134">
        <f>OBRA!V324</f>
        <v>43241</v>
      </c>
      <c r="U326" s="5">
        <f>OBRA!T324</f>
        <v>43243</v>
      </c>
      <c r="V326" s="11">
        <f>OBRA!U324</f>
        <v>43283</v>
      </c>
      <c r="W326" s="1429"/>
      <c r="X326" s="578">
        <f>OBRA!AS324+OBRA!AT324</f>
        <v>246900.86</v>
      </c>
      <c r="Y326" s="1183" t="s">
        <v>3189</v>
      </c>
      <c r="Z326" s="146" t="str">
        <f>OBRA!W324</f>
        <v>LIC. CARLOS MANUEL PELAYO CERVERA</v>
      </c>
      <c r="AA326" s="146"/>
      <c r="AB326" s="148" t="str">
        <f>Z326</f>
        <v>LIC. CARLOS MANUEL PELAYO CERVERA</v>
      </c>
      <c r="AC326" s="2" t="s">
        <v>2959</v>
      </c>
      <c r="AD326" s="146" t="s">
        <v>2959</v>
      </c>
      <c r="AE326" s="183" t="str">
        <f>OBRA!X324</f>
        <v>ARQ. CESAR ANTONIO ALONSO JIMENEZ</v>
      </c>
      <c r="AF326" s="552">
        <v>120</v>
      </c>
      <c r="AG326" s="2" t="s">
        <v>1451</v>
      </c>
      <c r="AH326" s="615">
        <f t="shared" si="12"/>
        <v>2057.5071666666668</v>
      </c>
      <c r="AI326" s="2">
        <v>50</v>
      </c>
      <c r="AJ326" s="156" t="s">
        <v>1444</v>
      </c>
      <c r="AK326" s="513"/>
      <c r="AL326" s="513"/>
      <c r="AM326" s="513"/>
      <c r="AN326" s="1288" t="s">
        <v>3672</v>
      </c>
      <c r="AO326" s="1289" t="s">
        <v>3672</v>
      </c>
      <c r="AP326" s="1289" t="s">
        <v>3672</v>
      </c>
      <c r="AQ326" s="1292" t="s">
        <v>3672</v>
      </c>
      <c r="AR326" s="1848"/>
      <c r="AS326" s="1293" t="s">
        <v>3672</v>
      </c>
    </row>
    <row r="327" spans="1:45" ht="123" hidden="1" customHeight="1">
      <c r="A327" s="16">
        <f>OBRA!J325</f>
        <v>2018</v>
      </c>
      <c r="B327" s="783" t="s">
        <v>1563</v>
      </c>
      <c r="C327" s="783">
        <v>186.12</v>
      </c>
      <c r="D327" s="783"/>
      <c r="E327" s="2" t="str">
        <f>OBRA!M325</f>
        <v>FONDEREG</v>
      </c>
      <c r="F327" s="504" t="s">
        <v>3665</v>
      </c>
      <c r="G327" s="38" t="s">
        <v>2206</v>
      </c>
      <c r="H327" s="12" t="str">
        <f>OBRA!N325</f>
        <v>GMJ 012C OP/2018</v>
      </c>
      <c r="I327" s="2" t="str">
        <f>OBRA!O325</f>
        <v>ADJUDICACIÓN DIRECTA</v>
      </c>
      <c r="J327" s="3" t="str">
        <f>OBRA!P325</f>
        <v>CONSTRUCCION DE ALUMBRADO PUBLICO EN  LA CARRETERA JOCOTEPEC-CHAPALA DE LA CALLE LIBERTAD (NEXTIPAC), HASTA CALLE JUAREZ (CHANTEPEC), 1RA ETAPA EN EL INGRESO ORIENTE, A LA CABECERA MUNICIPAL, DEL MUNICIPIO DE  JOCOTEPEC, JALISCO,</v>
      </c>
      <c r="K327" s="3" t="s">
        <v>1474</v>
      </c>
      <c r="L327" s="3"/>
      <c r="M327" s="3" t="s">
        <v>2048</v>
      </c>
      <c r="N327" s="3" t="s">
        <v>2577</v>
      </c>
      <c r="O327" s="504" t="s">
        <v>3489</v>
      </c>
      <c r="P327" s="79">
        <f>OBRA!R325</f>
        <v>724057.5</v>
      </c>
      <c r="Q327" s="1023">
        <f t="shared" si="17"/>
        <v>624187.5</v>
      </c>
      <c r="R327" s="1023"/>
      <c r="S327" s="67">
        <f>OBRA!S325</f>
        <v>43304</v>
      </c>
      <c r="T327" s="1134">
        <f>OBRA!V325</f>
        <v>43271</v>
      </c>
      <c r="U327" s="5">
        <f>OBRA!T325</f>
        <v>43306</v>
      </c>
      <c r="V327" s="11">
        <f>OBRA!U325</f>
        <v>43342</v>
      </c>
      <c r="W327" s="1429"/>
      <c r="X327" s="578">
        <f>OBRA!AS325+OBRA!AT325</f>
        <v>724036.92</v>
      </c>
      <c r="Y327" s="1183" t="s">
        <v>3187</v>
      </c>
      <c r="Z327" s="146" t="str">
        <f>OBRA!W325</f>
        <v>BIRMEK CONSTRUCCIONES S.A. DE C.V.</v>
      </c>
      <c r="AA327" s="146"/>
      <c r="AB327" s="148" t="s">
        <v>2049</v>
      </c>
      <c r="AC327" s="2" t="s">
        <v>2050</v>
      </c>
      <c r="AD327" s="2" t="s">
        <v>3043</v>
      </c>
      <c r="AE327" s="183" t="str">
        <f>OBRA!X325</f>
        <v>ING. RIGOBERTO OLMEDO RAMOS</v>
      </c>
      <c r="AF327" s="552">
        <v>30</v>
      </c>
      <c r="AG327" s="2" t="s">
        <v>1757</v>
      </c>
      <c r="AH327" s="183">
        <f t="shared" si="12"/>
        <v>24134.564000000002</v>
      </c>
      <c r="AI327" s="2">
        <v>33000</v>
      </c>
      <c r="AJ327" s="156" t="s">
        <v>1452</v>
      </c>
      <c r="AK327" s="513"/>
      <c r="AL327" s="513"/>
      <c r="AM327" s="513"/>
      <c r="AN327" s="1288" t="s">
        <v>3673</v>
      </c>
      <c r="AO327" s="1291" t="s">
        <v>3673</v>
      </c>
      <c r="AP327" s="1291" t="s">
        <v>3673</v>
      </c>
      <c r="AQ327" s="1289" t="s">
        <v>3673</v>
      </c>
      <c r="AR327" s="1847"/>
      <c r="AS327" s="1290" t="s">
        <v>3673</v>
      </c>
    </row>
    <row r="328" spans="1:45" ht="111.75" hidden="1" customHeight="1">
      <c r="A328" s="16">
        <f>OBRA!J326</f>
        <v>2018</v>
      </c>
      <c r="B328" s="783" t="s">
        <v>1563</v>
      </c>
      <c r="C328" s="783">
        <v>186.13</v>
      </c>
      <c r="D328" s="783"/>
      <c r="E328" s="2" t="str">
        <f>OBRA!M326</f>
        <v>FONDEREG</v>
      </c>
      <c r="F328" s="504" t="s">
        <v>3665</v>
      </c>
      <c r="G328" s="38" t="s">
        <v>2206</v>
      </c>
      <c r="H328" s="12" t="str">
        <f>OBRA!N326</f>
        <v>GMJ 013C OP/2018</v>
      </c>
      <c r="I328" s="2" t="str">
        <f>OBRA!O326</f>
        <v>POR INVITACION RESTRINGIDA</v>
      </c>
      <c r="J328" s="3" t="str">
        <f>OBRA!P326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4" t="s">
        <v>3489</v>
      </c>
      <c r="P328" s="4">
        <f>OBRA!R326</f>
        <v>2197542.15</v>
      </c>
      <c r="Q328" s="1023">
        <f t="shared" si="17"/>
        <v>1894432.8879310344</v>
      </c>
      <c r="R328" s="1023"/>
      <c r="S328" s="6">
        <f>OBRA!S326</f>
        <v>43240</v>
      </c>
      <c r="T328" s="1134" t="str">
        <f>OBRA!V326</f>
        <v>-</v>
      </c>
      <c r="U328" s="5">
        <f>OBRA!T326</f>
        <v>43248</v>
      </c>
      <c r="V328" s="11">
        <f>OBRA!U326</f>
        <v>43288</v>
      </c>
      <c r="W328" s="220">
        <f>P328*0.25</f>
        <v>549385.53749999998</v>
      </c>
      <c r="X328" s="578">
        <f>OBRA!AS326+OBRA!AT326</f>
        <v>2197543.2200000002</v>
      </c>
      <c r="Y328" s="278" t="s">
        <v>2438</v>
      </c>
      <c r="Z328" s="33" t="str">
        <f>OBRA!W326</f>
        <v>ING. SERGIO CABRERA</v>
      </c>
      <c r="AA328" s="1698"/>
      <c r="AB328" s="148" t="str">
        <f>Z328</f>
        <v>ING. SERGIO CABRERA</v>
      </c>
      <c r="AC328" s="2" t="s">
        <v>2959</v>
      </c>
      <c r="AD328" s="146" t="s">
        <v>2959</v>
      </c>
      <c r="AE328" s="183" t="str">
        <f>OBRA!X326</f>
        <v>ING. JUAN MANUEL GARCIA ESCOTO</v>
      </c>
      <c r="AF328" s="552">
        <v>3338.9</v>
      </c>
      <c r="AG328" s="2" t="s">
        <v>1548</v>
      </c>
      <c r="AH328" s="615">
        <f t="shared" ref="AH328:AH351" si="18">X328/AF328</f>
        <v>658.16383239989227</v>
      </c>
      <c r="AI328" s="2">
        <v>21500</v>
      </c>
      <c r="AJ328" s="156" t="s">
        <v>1452</v>
      </c>
      <c r="AK328" s="513"/>
      <c r="AL328" s="513"/>
      <c r="AM328" s="513"/>
      <c r="AN328" s="1288" t="s">
        <v>3691</v>
      </c>
      <c r="AO328" s="1291" t="s">
        <v>3691</v>
      </c>
      <c r="AP328" s="1291" t="s">
        <v>3691</v>
      </c>
      <c r="AQ328" s="1261" t="s">
        <v>3691</v>
      </c>
      <c r="AR328" s="1239"/>
      <c r="AS328" s="1290" t="s">
        <v>3691</v>
      </c>
    </row>
    <row r="329" spans="1:45" s="104" customFormat="1" ht="120.75" hidden="1" customHeight="1">
      <c r="A329" s="82">
        <f>OBRA!J327</f>
        <v>2018</v>
      </c>
      <c r="B329" s="784" t="s">
        <v>1563</v>
      </c>
      <c r="C329" s="784">
        <v>186.14</v>
      </c>
      <c r="D329" s="784"/>
      <c r="E329" s="85" t="str">
        <f>OBRA!M327</f>
        <v>Fondo de proyectos para el Desarrollo Regional</v>
      </c>
      <c r="F329" s="1147" t="s">
        <v>2007</v>
      </c>
      <c r="G329" s="1148"/>
      <c r="H329" s="103" t="str">
        <f>OBRA!N327</f>
        <v>GMJ 014C OP/2018</v>
      </c>
      <c r="I329" s="185" t="str">
        <f>OBRA!O327</f>
        <v>CANCELADA</v>
      </c>
      <c r="J329" s="125" t="str">
        <f>OBRA!P327</f>
        <v>CONSTRUCCION DE EMPEDRADO AHOGADO EN CEMENTO, CONSTRUCCION DE HUELLAS DE CONCRETO Y CONSTRUCCION DE GUARNICIÓN DE LA CALLE CUAUHTEMOC, EN LA LOCALIDAD DE POTRERILLOS DEL MUNICIPIO DE JOCOTEPEC, JALISCO.</v>
      </c>
      <c r="K329" s="125" t="s">
        <v>2055</v>
      </c>
      <c r="L329" s="656"/>
      <c r="M329" s="656" t="s">
        <v>1895</v>
      </c>
      <c r="N329" s="656"/>
      <c r="O329" s="867"/>
      <c r="P329" s="86">
        <f>OBRA!R327</f>
        <v>989000</v>
      </c>
      <c r="Q329" s="86"/>
      <c r="R329" s="86"/>
      <c r="S329" s="87">
        <f>OBRA!S327</f>
        <v>43251</v>
      </c>
      <c r="T329" s="1134" t="str">
        <f>OBRA!V327</f>
        <v>-</v>
      </c>
      <c r="U329" s="88">
        <f>OBRA!T327</f>
        <v>43252</v>
      </c>
      <c r="V329" s="89">
        <f>OBRA!U327</f>
        <v>43301</v>
      </c>
      <c r="W329" s="338"/>
      <c r="X329" s="810">
        <f>OBRA!AS327+OBRA!AT327</f>
        <v>0</v>
      </c>
      <c r="Y329" s="821"/>
      <c r="Z329" s="147" t="str">
        <f>OBRA!W327</f>
        <v>ING. SERGIO CABRERA</v>
      </c>
      <c r="AA329" s="147"/>
      <c r="AB329" s="149" t="str">
        <f>Z329</f>
        <v>ING. SERGIO CABRERA</v>
      </c>
      <c r="AC329" s="85" t="s">
        <v>2959</v>
      </c>
      <c r="AD329" s="147" t="s">
        <v>2959</v>
      </c>
      <c r="AE329" s="184" t="str">
        <f>OBRA!X327</f>
        <v>ING. J. GUADALUPE IBARRA RAMIREZ</v>
      </c>
      <c r="AF329" s="84"/>
      <c r="AG329" s="85" t="s">
        <v>1548</v>
      </c>
      <c r="AH329" s="184" t="e">
        <f t="shared" si="18"/>
        <v>#DIV/0!</v>
      </c>
      <c r="AI329" s="570"/>
      <c r="AJ329" s="83"/>
      <c r="AK329" s="527"/>
      <c r="AL329" s="527"/>
      <c r="AM329" s="527"/>
      <c r="AN329" s="1215"/>
      <c r="AO329" s="527"/>
      <c r="AP329" s="655"/>
      <c r="AQ329" s="819" t="s">
        <v>2056</v>
      </c>
      <c r="AR329" s="819"/>
      <c r="AS329" s="83"/>
    </row>
    <row r="330" spans="1:45" ht="101.25" hidden="1" customHeight="1">
      <c r="A330" s="16">
        <f>OBRA!J328</f>
        <v>2018</v>
      </c>
      <c r="B330" s="783" t="s">
        <v>1563</v>
      </c>
      <c r="C330" s="783">
        <v>186.15</v>
      </c>
      <c r="D330" s="783"/>
      <c r="E330" s="2" t="str">
        <f>OBRA!M328</f>
        <v>RAMO 33</v>
      </c>
      <c r="F330" s="18" t="s">
        <v>1428</v>
      </c>
      <c r="G330" s="38" t="s">
        <v>2206</v>
      </c>
      <c r="H330" s="12" t="str">
        <f>OBRA!N328</f>
        <v>GMJ 015C OP/2018</v>
      </c>
      <c r="I330" s="2" t="str">
        <f>OBRA!O328</f>
        <v>ADJUDICACIÓN DIRECTA</v>
      </c>
      <c r="J330" s="3" t="str">
        <f>OBRA!P328</f>
        <v>REHABILITACION DE LINEA DE DRENAJE EN CALLE CARDENAL DESDE CARRETERA AL PANTEON, CON REPOSICION DE EMPEDRADO NORMAL EN LA LOCALIDAD DE SAN JUAN COSALA, DEL MUNICIPIO DE JOCOTEPEC, JALISCO.</v>
      </c>
      <c r="K330" s="3" t="s">
        <v>1716</v>
      </c>
      <c r="L330" s="173"/>
      <c r="M330" s="173" t="s">
        <v>2057</v>
      </c>
      <c r="N330" s="173" t="s">
        <v>2524</v>
      </c>
      <c r="O330" s="504" t="s">
        <v>3489</v>
      </c>
      <c r="P330" s="4">
        <f>OBRA!R328</f>
        <v>398019.86</v>
      </c>
      <c r="Q330" s="1023">
        <f t="shared" ref="Q330:Q393" si="19">P330/1.16</f>
        <v>343120.56896551728</v>
      </c>
      <c r="R330" s="1023"/>
      <c r="S330" s="6">
        <f>OBRA!S328</f>
        <v>43255</v>
      </c>
      <c r="T330" s="1134">
        <f>OBRA!V328</f>
        <v>43252</v>
      </c>
      <c r="U330" s="5">
        <f>OBRA!T328</f>
        <v>43257</v>
      </c>
      <c r="V330" s="11">
        <f>OBRA!U328</f>
        <v>43322</v>
      </c>
      <c r="W330" s="1429"/>
      <c r="X330" s="578">
        <f>OBRA!AS328+OBRA!AT328</f>
        <v>387394.93</v>
      </c>
      <c r="Y330" s="1182" t="s">
        <v>3190</v>
      </c>
      <c r="Z330" s="146" t="s">
        <v>2040</v>
      </c>
      <c r="AA330" s="146"/>
      <c r="AB330" s="148" t="s">
        <v>1028</v>
      </c>
      <c r="AC330" s="146" t="s">
        <v>2041</v>
      </c>
      <c r="AD330" s="146" t="s">
        <v>3042</v>
      </c>
      <c r="AE330" s="183" t="str">
        <f>OBRA!X328</f>
        <v>ARQ. CESAR ANTONIO ALONSO JIMENEZ</v>
      </c>
      <c r="AF330" s="552">
        <v>140.56</v>
      </c>
      <c r="AG330" s="2" t="s">
        <v>1451</v>
      </c>
      <c r="AH330" s="615">
        <f t="shared" si="18"/>
        <v>2756.082313602732</v>
      </c>
      <c r="AI330" s="2">
        <v>6000</v>
      </c>
      <c r="AJ330" s="156" t="s">
        <v>1452</v>
      </c>
      <c r="AK330" s="513"/>
      <c r="AL330" s="513"/>
      <c r="AM330" s="513"/>
      <c r="AN330" s="1288" t="s">
        <v>3675</v>
      </c>
      <c r="AO330" s="1291" t="s">
        <v>3675</v>
      </c>
      <c r="AP330" s="1289" t="s">
        <v>3675</v>
      </c>
      <c r="AQ330" s="1289" t="s">
        <v>3675</v>
      </c>
      <c r="AR330" s="1847"/>
      <c r="AS330" s="1290" t="s">
        <v>3675</v>
      </c>
    </row>
    <row r="331" spans="1:45" ht="84.75" hidden="1" customHeight="1">
      <c r="A331" s="16">
        <f>OBRA!J329</f>
        <v>2018</v>
      </c>
      <c r="B331" s="783" t="s">
        <v>1563</v>
      </c>
      <c r="C331" s="783">
        <v>186.16</v>
      </c>
      <c r="D331" s="783"/>
      <c r="E331" s="2" t="str">
        <f>OBRA!M329</f>
        <v>CUENTA CORRIENTE</v>
      </c>
      <c r="F331" s="18" t="s">
        <v>1428</v>
      </c>
      <c r="G331" s="38" t="s">
        <v>2206</v>
      </c>
      <c r="H331" s="12" t="str">
        <f>OBRA!N329</f>
        <v>GMJ 016C OP/2018</v>
      </c>
      <c r="I331" s="2" t="str">
        <f>OBRA!O329</f>
        <v>ADJUDICACIÓN DIRECTA</v>
      </c>
      <c r="J331" s="3" t="str">
        <f>OBRA!P329</f>
        <v>OBRAS COMPLEMENTARIAS PARA LA CONSTRUCCION DE LA SUPERFICIE DE RODAMIENTO DE LA CALLE MORELOS PONIENTE ENTRE ZARAGOZA Y PANTEON, EN LA CABECERA MUNICIPAL</v>
      </c>
      <c r="K331" s="683" t="s">
        <v>2059</v>
      </c>
      <c r="L331" s="451"/>
      <c r="M331" s="173" t="s">
        <v>2060</v>
      </c>
      <c r="N331" s="173" t="s">
        <v>1975</v>
      </c>
      <c r="O331" s="504" t="s">
        <v>3489</v>
      </c>
      <c r="P331" s="4">
        <f>OBRA!R329</f>
        <v>816694.91</v>
      </c>
      <c r="Q331" s="1023">
        <f t="shared" si="19"/>
        <v>704047.33620689658</v>
      </c>
      <c r="R331" s="1023"/>
      <c r="S331" s="6">
        <f>OBRA!S329</f>
        <v>43102</v>
      </c>
      <c r="T331" s="1134">
        <f>OBRA!V329</f>
        <v>43102</v>
      </c>
      <c r="U331" s="5">
        <f>OBRA!T329</f>
        <v>43104</v>
      </c>
      <c r="V331" s="11">
        <f>OBRA!U329</f>
        <v>43120</v>
      </c>
      <c r="W331" s="1429"/>
      <c r="X331" s="578">
        <f>OBRA!AS329+OBRA!AT329</f>
        <v>810289.17</v>
      </c>
      <c r="Y331" s="1183" t="s">
        <v>3191</v>
      </c>
      <c r="Z331" s="146" t="str">
        <f>OBRA!W329</f>
        <v>C. NORMA GORETY DOMINGUEZ CALVARIO</v>
      </c>
      <c r="AA331" s="146"/>
      <c r="AB331" s="148" t="str">
        <f t="shared" ref="AB331:AB336" si="20">Z331</f>
        <v>C. NORMA GORETY DOMINGUEZ CALVARIO</v>
      </c>
      <c r="AC331" s="2" t="s">
        <v>2959</v>
      </c>
      <c r="AD331" s="146" t="s">
        <v>2959</v>
      </c>
      <c r="AE331" s="183" t="str">
        <f>OBRA!X329</f>
        <v>ING. JUAN MANUEL GARCIA ESCOTO</v>
      </c>
      <c r="AF331" s="19">
        <v>345.04</v>
      </c>
      <c r="AG331" s="2" t="s">
        <v>1548</v>
      </c>
      <c r="AH331" s="615">
        <f t="shared" si="18"/>
        <v>2348.3919835381403</v>
      </c>
      <c r="AI331" s="2">
        <v>21500</v>
      </c>
      <c r="AJ331" s="156" t="s">
        <v>1452</v>
      </c>
      <c r="AK331" s="513"/>
      <c r="AL331" s="513"/>
      <c r="AM331" s="513"/>
      <c r="AN331" s="1216"/>
      <c r="AO331" s="867"/>
      <c r="AP331" s="867"/>
      <c r="AQ331" s="878"/>
      <c r="AR331" s="1234"/>
      <c r="AS331" s="877"/>
    </row>
    <row r="332" spans="1:45" ht="85.5" hidden="1" customHeight="1">
      <c r="A332" s="16">
        <f>OBRA!J330</f>
        <v>2018</v>
      </c>
      <c r="B332" s="783" t="s">
        <v>1563</v>
      </c>
      <c r="C332" s="783">
        <v>186.17</v>
      </c>
      <c r="D332" s="783"/>
      <c r="E332" s="2" t="str">
        <f>OBRA!M330</f>
        <v>CUENTA CORRIENTE</v>
      </c>
      <c r="F332" s="18" t="s">
        <v>1428</v>
      </c>
      <c r="G332" s="38" t="s">
        <v>2206</v>
      </c>
      <c r="H332" s="12" t="str">
        <f>OBRA!N330</f>
        <v>GMJ 017C OP/2018</v>
      </c>
      <c r="I332" s="2" t="str">
        <f>OBRA!O330</f>
        <v>ADJUDICACIÓN DIRECTA</v>
      </c>
      <c r="J332" s="3" t="str">
        <f>OBRA!P330</f>
        <v>CONSTRUCCION DE MACHUELOS Y BANQUETAS EN LA CALLE MORELOS DE ZARAGOZA AL PANTEON EN LA CABECERA MUNICIPAL, DEL MUNICIPIO DE JOCOTEPEC, JALISCO</v>
      </c>
      <c r="K332" s="3" t="s">
        <v>1873</v>
      </c>
      <c r="L332" s="173"/>
      <c r="M332" s="173" t="s">
        <v>2061</v>
      </c>
      <c r="N332" s="173" t="s">
        <v>1975</v>
      </c>
      <c r="O332" s="504" t="s">
        <v>3489</v>
      </c>
      <c r="P332" s="4">
        <f>OBRA!R330</f>
        <v>1079507.02</v>
      </c>
      <c r="Q332" s="1023">
        <f t="shared" si="19"/>
        <v>930609.50000000012</v>
      </c>
      <c r="R332" s="1023"/>
      <c r="S332" s="6">
        <f>OBRA!S330</f>
        <v>43116</v>
      </c>
      <c r="T332" s="1134">
        <f>OBRA!V330</f>
        <v>43115</v>
      </c>
      <c r="U332" s="5">
        <f>OBRA!T330</f>
        <v>43117</v>
      </c>
      <c r="V332" s="11">
        <f>OBRA!U330</f>
        <v>43155</v>
      </c>
      <c r="W332" s="1429"/>
      <c r="X332" s="578">
        <f>OBRA!AS330+OBRA!AT330</f>
        <v>1079503.1100000001</v>
      </c>
      <c r="Y332" s="1183" t="s">
        <v>3192</v>
      </c>
      <c r="Z332" s="146" t="str">
        <f>OBRA!W330</f>
        <v>C. JOSÉ MIGUEL GARCIA VALLE</v>
      </c>
      <c r="AA332" s="146"/>
      <c r="AB332" s="148" t="str">
        <f t="shared" si="20"/>
        <v>C. JOSÉ MIGUEL GARCIA VALLE</v>
      </c>
      <c r="AC332" s="2" t="s">
        <v>2959</v>
      </c>
      <c r="AD332" s="146" t="s">
        <v>2959</v>
      </c>
      <c r="AE332" s="183" t="str">
        <f>OBRA!X330</f>
        <v>ING. JUAN MANUEL GARCIA ESCOTO</v>
      </c>
      <c r="AF332" s="19">
        <v>467.1</v>
      </c>
      <c r="AG332" s="2" t="s">
        <v>1548</v>
      </c>
      <c r="AH332" s="615">
        <f t="shared" si="18"/>
        <v>2311.0749518304433</v>
      </c>
      <c r="AI332" s="2">
        <v>21500</v>
      </c>
      <c r="AJ332" s="156" t="s">
        <v>1452</v>
      </c>
      <c r="AK332" s="513"/>
      <c r="AL332" s="513"/>
      <c r="AM332" s="513"/>
      <c r="AN332" s="1288" t="s">
        <v>3676</v>
      </c>
      <c r="AO332" s="1291" t="s">
        <v>3676</v>
      </c>
      <c r="AP332" s="1291" t="s">
        <v>3676</v>
      </c>
      <c r="AQ332" s="1289" t="s">
        <v>3676</v>
      </c>
      <c r="AR332" s="1847"/>
      <c r="AS332" s="1290" t="s">
        <v>3676</v>
      </c>
    </row>
    <row r="333" spans="1:45" ht="76.5" hidden="1" customHeight="1">
      <c r="A333" s="16">
        <f>OBRA!J331</f>
        <v>2018</v>
      </c>
      <c r="B333" s="783" t="s">
        <v>1563</v>
      </c>
      <c r="C333" s="783">
        <v>186.18</v>
      </c>
      <c r="D333" s="783"/>
      <c r="E333" s="2" t="str">
        <f>OBRA!M331</f>
        <v>CUENTA CORRIENTE</v>
      </c>
      <c r="F333" s="18" t="s">
        <v>1428</v>
      </c>
      <c r="G333" s="38" t="s">
        <v>2206</v>
      </c>
      <c r="H333" s="12" t="str">
        <f>OBRA!N331</f>
        <v>GMJ 018C OP/2018</v>
      </c>
      <c r="I333" s="2" t="str">
        <f>OBRA!O331</f>
        <v>ADJUDICACIÓN DIRECTA</v>
      </c>
      <c r="J333" s="3" t="str">
        <f>OBRA!P331</f>
        <v>REHABILITACION DE IMAGEN URBANA EN CALLE MORELOS PONIENTE ENTRE ZARAGOZA Y PANTEON, EN LA CABECERA MUNICIPAL DEL MUNICIPIO DE JOCOTEPEC, JALISCO</v>
      </c>
      <c r="K333" s="683" t="s">
        <v>2063</v>
      </c>
      <c r="L333" s="451"/>
      <c r="M333" s="173" t="s">
        <v>2064</v>
      </c>
      <c r="N333" s="173" t="s">
        <v>1975</v>
      </c>
      <c r="O333" s="504" t="s">
        <v>3489</v>
      </c>
      <c r="P333" s="4">
        <f>OBRA!R331</f>
        <v>550277.97</v>
      </c>
      <c r="Q333" s="1023">
        <f t="shared" si="19"/>
        <v>474377.56034482759</v>
      </c>
      <c r="R333" s="1023"/>
      <c r="S333" s="6">
        <f>OBRA!S331</f>
        <v>43123</v>
      </c>
      <c r="T333" s="1134">
        <f>OBRA!V331</f>
        <v>43153</v>
      </c>
      <c r="U333" s="5">
        <f>OBRA!T331</f>
        <v>43157</v>
      </c>
      <c r="V333" s="11">
        <f>OBRA!U331</f>
        <v>43169</v>
      </c>
      <c r="W333" s="1429"/>
      <c r="X333" s="578">
        <f>OBRA!AS331+OBRA!AT331</f>
        <v>409917.97</v>
      </c>
      <c r="Y333" s="1183" t="s">
        <v>3193</v>
      </c>
      <c r="Z333" s="146" t="str">
        <f>OBRA!W331</f>
        <v>C. NORMA GORETY DOMINGUEZ CALVARIO</v>
      </c>
      <c r="AA333" s="146"/>
      <c r="AB333" s="148" t="str">
        <f t="shared" si="20"/>
        <v>C. NORMA GORETY DOMINGUEZ CALVARIO</v>
      </c>
      <c r="AC333" s="2" t="s">
        <v>2959</v>
      </c>
      <c r="AD333" s="146" t="s">
        <v>2959</v>
      </c>
      <c r="AE333" s="183" t="str">
        <f>OBRA!X331</f>
        <v>ING. JUAN MANUEL GARCIA ESCOTO</v>
      </c>
      <c r="AF333" s="19">
        <v>1</v>
      </c>
      <c r="AG333" s="2" t="s">
        <v>1573</v>
      </c>
      <c r="AH333" s="183">
        <f t="shared" si="18"/>
        <v>409917.97</v>
      </c>
      <c r="AI333" s="2">
        <v>21500</v>
      </c>
      <c r="AJ333" s="156" t="s">
        <v>1452</v>
      </c>
      <c r="AK333" s="513"/>
      <c r="AL333" s="513"/>
      <c r="AM333" s="513"/>
      <c r="AN333" s="1288" t="s">
        <v>3677</v>
      </c>
      <c r="AO333" s="1291" t="s">
        <v>3677</v>
      </c>
      <c r="AP333" s="1291" t="s">
        <v>3677</v>
      </c>
      <c r="AQ333" s="1289" t="s">
        <v>3677</v>
      </c>
      <c r="AR333" s="1847"/>
      <c r="AS333" s="1290" t="s">
        <v>3677</v>
      </c>
    </row>
    <row r="334" spans="1:45" ht="114" hidden="1" customHeight="1">
      <c r="A334" s="16">
        <f>OBRA!J332</f>
        <v>2018</v>
      </c>
      <c r="B334" s="783" t="s">
        <v>1563</v>
      </c>
      <c r="C334" s="783">
        <v>186.19</v>
      </c>
      <c r="D334" s="783"/>
      <c r="E334" s="2" t="str">
        <f>OBRA!M332</f>
        <v>RAMO 33</v>
      </c>
      <c r="F334" s="18" t="s">
        <v>1428</v>
      </c>
      <c r="G334" s="38" t="s">
        <v>2206</v>
      </c>
      <c r="H334" s="12" t="str">
        <f>OBRA!N332</f>
        <v>GMJ 019C OP/2018</v>
      </c>
      <c r="I334" s="2" t="str">
        <f>OBRA!O332</f>
        <v>ADJUDICACIÓN DIRECTA</v>
      </c>
      <c r="J334" s="3" t="str">
        <f>OBRA!P332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4" t="s">
        <v>3489</v>
      </c>
      <c r="P334" s="4">
        <f>OBRA!R332</f>
        <v>35653.230000000003</v>
      </c>
      <c r="Q334" s="1023">
        <f t="shared" si="19"/>
        <v>30735.543103448279</v>
      </c>
      <c r="R334" s="1023"/>
      <c r="S334" s="6">
        <f>OBRA!S332</f>
        <v>43105</v>
      </c>
      <c r="T334" s="1134">
        <f>OBRA!V332</f>
        <v>43104</v>
      </c>
      <c r="U334" s="5">
        <f>OBRA!T332</f>
        <v>43108</v>
      </c>
      <c r="V334" s="11">
        <f>OBRA!U332</f>
        <v>43120</v>
      </c>
      <c r="W334" s="1429"/>
      <c r="X334" s="578">
        <f>OBRA!AS332+OBRA!AT332</f>
        <v>35653.230000000003</v>
      </c>
      <c r="Y334" s="1183" t="s">
        <v>3193</v>
      </c>
      <c r="Z334" s="146" t="str">
        <f>OBRA!W332</f>
        <v>C. NORMA GORETY DOMINGUEZ CALVARIO</v>
      </c>
      <c r="AA334" s="146"/>
      <c r="AB334" s="148" t="str">
        <f t="shared" si="20"/>
        <v>C. NORMA GORETY DOMINGUEZ CALVARIO</v>
      </c>
      <c r="AC334" s="2" t="s">
        <v>2959</v>
      </c>
      <c r="AD334" s="146" t="s">
        <v>2959</v>
      </c>
      <c r="AE334" s="183" t="str">
        <f>OBRA!X332</f>
        <v>ING. JUAN MANUEL GARCIA ESCOTO</v>
      </c>
      <c r="AF334" s="19">
        <v>26.48</v>
      </c>
      <c r="AG334" s="2" t="s">
        <v>1451</v>
      </c>
      <c r="AH334" s="615">
        <f t="shared" si="18"/>
        <v>1346.4210725075529</v>
      </c>
      <c r="AI334" s="2">
        <v>21500</v>
      </c>
      <c r="AJ334" s="156" t="s">
        <v>1452</v>
      </c>
      <c r="AK334" s="513"/>
      <c r="AL334" s="513"/>
      <c r="AM334" s="513"/>
      <c r="AN334" s="1287" t="s">
        <v>3678</v>
      </c>
      <c r="AO334" s="1286" t="s">
        <v>3678</v>
      </c>
      <c r="AP334" s="1291" t="s">
        <v>3678</v>
      </c>
      <c r="AQ334" s="1261" t="s">
        <v>3678</v>
      </c>
      <c r="AR334" s="1239"/>
      <c r="AS334" s="1290" t="s">
        <v>3678</v>
      </c>
    </row>
    <row r="335" spans="1:45" ht="99" hidden="1" customHeight="1">
      <c r="A335" s="16">
        <f>OBRA!J333</f>
        <v>2018</v>
      </c>
      <c r="B335" s="783" t="s">
        <v>1563</v>
      </c>
      <c r="C335" s="783">
        <v>186.2</v>
      </c>
      <c r="D335" s="783"/>
      <c r="E335" s="2" t="str">
        <f>OBRA!M333</f>
        <v>RAMO 33</v>
      </c>
      <c r="F335" s="156" t="s">
        <v>1428</v>
      </c>
      <c r="G335" s="38" t="s">
        <v>2206</v>
      </c>
      <c r="H335" s="12" t="str">
        <f>OBRA!N333</f>
        <v>GMJ 020C OP/2018</v>
      </c>
      <c r="I335" s="2" t="str">
        <f>OBRA!O333</f>
        <v>ADJUDICACIÓN DIRECTA</v>
      </c>
      <c r="J335" s="3" t="str">
        <f>OBRA!P333</f>
        <v>REHABILITACION DE LINEA DE ABASTECIMIENTO DE AGUA POTABLE DE 8" EN LA CALLE VICENTE GUERRERO ENTRE CARRETERA E HIDALGO EN LA LOCALIDAD DE SAN JUAN COSALA DEL MUNICIPIO DE JOCOTEPEC, JALISCO</v>
      </c>
      <c r="K335" s="3" t="s">
        <v>1496</v>
      </c>
      <c r="L335" s="173"/>
      <c r="M335" s="173" t="s">
        <v>2068</v>
      </c>
      <c r="N335" s="173" t="s">
        <v>2524</v>
      </c>
      <c r="O335" s="504" t="s">
        <v>3489</v>
      </c>
      <c r="P335" s="4">
        <f>OBRA!R333</f>
        <v>142196.43</v>
      </c>
      <c r="Q335" s="1023">
        <f t="shared" si="19"/>
        <v>122583.12931034483</v>
      </c>
      <c r="R335" s="1023"/>
      <c r="S335" s="6">
        <f>OBRA!S333</f>
        <v>43258</v>
      </c>
      <c r="T335" s="1134">
        <f>OBRA!V333</f>
        <v>43257</v>
      </c>
      <c r="U335" s="5">
        <f>OBRA!T333</f>
        <v>43258</v>
      </c>
      <c r="V335" s="11">
        <f>OBRA!U333</f>
        <v>43287</v>
      </c>
      <c r="W335" s="1429"/>
      <c r="X335" s="578">
        <f>OBRA!AS333+OBRA!AT333</f>
        <v>142196.43</v>
      </c>
      <c r="Y335" s="1183" t="s">
        <v>3194</v>
      </c>
      <c r="Z335" s="146" t="str">
        <f>OBRA!W333</f>
        <v>C. JOSÉ MIGUEL GARCIA VALLE</v>
      </c>
      <c r="AA335" s="146"/>
      <c r="AB335" s="148" t="str">
        <f t="shared" si="20"/>
        <v>C. JOSÉ MIGUEL GARCIA VALLE</v>
      </c>
      <c r="AC335" s="2" t="s">
        <v>2959</v>
      </c>
      <c r="AD335" s="146" t="s">
        <v>2959</v>
      </c>
      <c r="AE335" s="183" t="str">
        <f>OBRA!X333</f>
        <v>ARQ. JAIME CONDE GOMEZ</v>
      </c>
      <c r="AF335" s="19">
        <v>138.9</v>
      </c>
      <c r="AG335" s="2" t="s">
        <v>1451</v>
      </c>
      <c r="AH335" s="615">
        <f t="shared" si="18"/>
        <v>1023.7323974082072</v>
      </c>
      <c r="AI335" s="2">
        <v>250</v>
      </c>
      <c r="AJ335" s="156" t="s">
        <v>1444</v>
      </c>
      <c r="AK335" s="513"/>
      <c r="AL335" s="513"/>
      <c r="AM335" s="513"/>
      <c r="AN335" s="1287" t="s">
        <v>3679</v>
      </c>
      <c r="AO335" s="1291" t="s">
        <v>3679</v>
      </c>
      <c r="AP335" s="1291" t="s">
        <v>3679</v>
      </c>
      <c r="AQ335" s="1289" t="s">
        <v>3679</v>
      </c>
      <c r="AR335" s="1847"/>
      <c r="AS335" s="1290" t="s">
        <v>3679</v>
      </c>
    </row>
    <row r="336" spans="1:45" ht="81.75" hidden="1" customHeight="1">
      <c r="A336" s="16">
        <f>OBRA!J334</f>
        <v>2018</v>
      </c>
      <c r="B336" s="783" t="s">
        <v>1563</v>
      </c>
      <c r="C336" s="783">
        <v>186.21</v>
      </c>
      <c r="D336" s="783"/>
      <c r="E336" s="2" t="str">
        <f>OBRA!M334</f>
        <v>RAMO 33</v>
      </c>
      <c r="F336" s="156" t="s">
        <v>1428</v>
      </c>
      <c r="G336" s="38" t="s">
        <v>2206</v>
      </c>
      <c r="H336" s="12" t="str">
        <f>OBRA!N334</f>
        <v>GMJ 021C OP/2018</v>
      </c>
      <c r="I336" s="2" t="str">
        <f>OBRA!O334</f>
        <v>ADJUDICACIÓN DIRECTA</v>
      </c>
      <c r="J336" s="3" t="str">
        <f>OBRA!P334</f>
        <v>REHABILITACION DE LINEA DE AGUA POTABLE EN CALLE INDEPENDENCIA EN LA LOCALIDAD DE SAN JUAN COSALA DEL MUNICIPIO DE JOCOTEPEC, JALISCO.</v>
      </c>
      <c r="K336" s="3" t="s">
        <v>1496</v>
      </c>
      <c r="L336" s="173"/>
      <c r="M336" s="173" t="s">
        <v>2070</v>
      </c>
      <c r="N336" s="173" t="s">
        <v>2524</v>
      </c>
      <c r="O336" s="466" t="s">
        <v>3490</v>
      </c>
      <c r="P336" s="79">
        <f>OBRA!R334</f>
        <v>32872.07</v>
      </c>
      <c r="Q336" s="1023">
        <f t="shared" si="19"/>
        <v>28337.991379310348</v>
      </c>
      <c r="R336" s="1023"/>
      <c r="S336" s="6">
        <f>OBRA!S334</f>
        <v>43258</v>
      </c>
      <c r="T336" s="1134">
        <f>OBRA!V334</f>
        <v>43257</v>
      </c>
      <c r="U336" s="5">
        <f>OBRA!T334</f>
        <v>43262</v>
      </c>
      <c r="V336" s="11">
        <f>OBRA!U334</f>
        <v>43267</v>
      </c>
      <c r="W336" s="1429"/>
      <c r="X336" s="578">
        <f>OBRA!AS334+OBRA!AT334</f>
        <v>32872.07</v>
      </c>
      <c r="Y336" s="1182" t="s">
        <v>3195</v>
      </c>
      <c r="Z336" s="146" t="str">
        <f>OBRA!W334</f>
        <v>C. JOSÉ MIGUEL GARCIA VALLE</v>
      </c>
      <c r="AA336" s="146"/>
      <c r="AB336" s="148" t="str">
        <f t="shared" si="20"/>
        <v>C. JOSÉ MIGUEL GARCIA VALLE</v>
      </c>
      <c r="AC336" s="2" t="s">
        <v>2959</v>
      </c>
      <c r="AD336" s="146" t="s">
        <v>2959</v>
      </c>
      <c r="AE336" s="183" t="str">
        <f>OBRA!X334</f>
        <v>LIC. SALVADOR CONTRERAS OLGUÍN</v>
      </c>
      <c r="AF336" s="552">
        <v>30</v>
      </c>
      <c r="AG336" s="2" t="s">
        <v>1451</v>
      </c>
      <c r="AH336" s="615">
        <f t="shared" si="18"/>
        <v>1095.7356666666667</v>
      </c>
      <c r="AI336" s="2">
        <v>150</v>
      </c>
      <c r="AJ336" s="156" t="s">
        <v>1444</v>
      </c>
      <c r="AK336" s="513"/>
      <c r="AL336" s="513"/>
      <c r="AM336" s="513"/>
      <c r="AN336" s="1216"/>
      <c r="AO336" s="867"/>
      <c r="AP336" s="867"/>
      <c r="AQ336" s="881"/>
      <c r="AR336" s="1504"/>
      <c r="AS336" s="877"/>
    </row>
    <row r="337" spans="1:45" ht="105" hidden="1" customHeight="1">
      <c r="A337" s="16">
        <f>OBRA!J335</f>
        <v>2018</v>
      </c>
      <c r="B337" s="783" t="s">
        <v>1563</v>
      </c>
      <c r="C337" s="783">
        <v>186.22</v>
      </c>
      <c r="D337" s="783"/>
      <c r="E337" s="2" t="str">
        <f>OBRA!M335</f>
        <v>CUENTA CORRIENTE</v>
      </c>
      <c r="F337" s="156" t="s">
        <v>1428</v>
      </c>
      <c r="G337" s="38" t="s">
        <v>2206</v>
      </c>
      <c r="H337" s="12" t="str">
        <f>OBRA!N335</f>
        <v>GMJ 022C OP/2018</v>
      </c>
      <c r="I337" s="2" t="str">
        <f>OBRA!O335</f>
        <v>ADJUDICACIÓN DIRECTA</v>
      </c>
      <c r="J337" s="3" t="str">
        <f>OBRA!P335</f>
        <v>OBRAS COMPLEMENTARIAS EN LA CALLE DONATO GUERRA DE CALLE HIDALGO A CALLE INDEPENDENCIA (URBANIZACIÓN, AGUA POTABLE Y DRENAJE), EN LA CABECERA MUNICIPAL DEL MUNICIPIO DE JOCOTEPEC, JALISCO</v>
      </c>
      <c r="K337" s="683" t="s">
        <v>2071</v>
      </c>
      <c r="L337" s="451"/>
      <c r="M337" s="173" t="s">
        <v>2072</v>
      </c>
      <c r="N337" s="173" t="s">
        <v>1975</v>
      </c>
      <c r="O337" s="466" t="s">
        <v>3490</v>
      </c>
      <c r="P337" s="4">
        <f>OBRA!R335</f>
        <v>243028.37</v>
      </c>
      <c r="Q337" s="1023">
        <f t="shared" si="19"/>
        <v>209507.21551724139</v>
      </c>
      <c r="R337" s="1023"/>
      <c r="S337" s="67">
        <f>OBRA!S335</f>
        <v>43274</v>
      </c>
      <c r="T337" s="1134">
        <f>OBRA!V335</f>
        <v>43274</v>
      </c>
      <c r="U337" s="5">
        <f>OBRA!T335</f>
        <v>43274</v>
      </c>
      <c r="V337" s="11">
        <f>OBRA!U335</f>
        <v>43304</v>
      </c>
      <c r="W337" s="1429"/>
      <c r="X337" s="578">
        <f>OBRA!AS335+OBRA!AT335</f>
        <v>242768.95</v>
      </c>
      <c r="Y337" s="1183" t="s">
        <v>3196</v>
      </c>
      <c r="Z337" s="146" t="str">
        <f>OBRA!W335</f>
        <v xml:space="preserve">GRUPO DESARROLLADOR INMOBILIARIO CEMERAMA S.A. DE C.V. </v>
      </c>
      <c r="AA337" s="146"/>
      <c r="AB337" s="148" t="s">
        <v>1833</v>
      </c>
      <c r="AC337" s="146" t="s">
        <v>1834</v>
      </c>
      <c r="AD337" s="146" t="s">
        <v>3041</v>
      </c>
      <c r="AE337" s="183" t="str">
        <f>OBRA!X335</f>
        <v>ING. JUAN MANUEL GARCIA ESCOTO</v>
      </c>
      <c r="AF337" s="19">
        <v>1</v>
      </c>
      <c r="AG337" s="2" t="s">
        <v>1573</v>
      </c>
      <c r="AH337" s="183">
        <f t="shared" si="18"/>
        <v>242768.95</v>
      </c>
      <c r="AI337" s="2">
        <v>50000</v>
      </c>
      <c r="AJ337" s="156" t="s">
        <v>1452</v>
      </c>
      <c r="AK337" s="513"/>
      <c r="AL337" s="513"/>
      <c r="AM337" s="513"/>
      <c r="AN337" s="1288" t="s">
        <v>3680</v>
      </c>
      <c r="AO337" s="529"/>
      <c r="AP337" s="529"/>
      <c r="AQ337" s="1289" t="s">
        <v>3680</v>
      </c>
      <c r="AR337" s="1847"/>
      <c r="AS337" s="511"/>
    </row>
    <row r="338" spans="1:45" ht="128.25" hidden="1" customHeight="1">
      <c r="A338" s="16">
        <f>OBRA!J336</f>
        <v>2018</v>
      </c>
      <c r="B338" s="783" t="s">
        <v>1563</v>
      </c>
      <c r="C338" s="783">
        <v>186.23</v>
      </c>
      <c r="D338" s="783"/>
      <c r="E338" s="2" t="str">
        <f>OBRA!M336</f>
        <v>CUENTA CORRIENTE</v>
      </c>
      <c r="F338" s="156" t="s">
        <v>1428</v>
      </c>
      <c r="G338" s="38" t="s">
        <v>2206</v>
      </c>
      <c r="H338" s="12" t="str">
        <f>OBRA!N336</f>
        <v>GMJ 023C OP/2018</v>
      </c>
      <c r="I338" s="2" t="str">
        <f>OBRA!O336</f>
        <v>ADJUDICACIÓN DIRECTA</v>
      </c>
      <c r="J338" s="3" t="str">
        <f>OBRA!P336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6" t="s">
        <v>3490</v>
      </c>
      <c r="P338" s="4">
        <f>OBRA!R336</f>
        <v>1099823.45</v>
      </c>
      <c r="Q338" s="1023">
        <f t="shared" si="19"/>
        <v>948123.66379310342</v>
      </c>
      <c r="R338" s="1023"/>
      <c r="S338" s="6">
        <f>OBRA!S336</f>
        <v>43300</v>
      </c>
      <c r="T338" s="1134">
        <f>OBRA!V336</f>
        <v>43299</v>
      </c>
      <c r="U338" s="5">
        <f>OBRA!T336</f>
        <v>43300</v>
      </c>
      <c r="V338" s="11">
        <f>OBRA!U336</f>
        <v>43364</v>
      </c>
      <c r="W338" s="1429"/>
      <c r="X338" s="578">
        <f>OBRA!AS336+OBRA!AT336</f>
        <v>1099821.05</v>
      </c>
      <c r="Y338" s="1183" t="s">
        <v>3197</v>
      </c>
      <c r="Z338" s="146" t="str">
        <f>OBRA!W336</f>
        <v xml:space="preserve">DRABSA CONSTRUCTORA S.A. DE C.V. </v>
      </c>
      <c r="AA338" s="146"/>
      <c r="AB338" s="148" t="s">
        <v>2029</v>
      </c>
      <c r="AC338" s="146" t="s">
        <v>2030</v>
      </c>
      <c r="AD338" s="146" t="s">
        <v>3044</v>
      </c>
      <c r="AE338" s="672" t="str">
        <f>OBRA!X336</f>
        <v>ING. JUAN MANUEL GARCIA ESCOTO</v>
      </c>
      <c r="AF338" s="552">
        <v>1176</v>
      </c>
      <c r="AG338" s="2" t="s">
        <v>1548</v>
      </c>
      <c r="AH338" s="615">
        <f t="shared" si="18"/>
        <v>935.22198129251706</v>
      </c>
      <c r="AI338" s="2">
        <v>2400</v>
      </c>
      <c r="AJ338" s="156" t="s">
        <v>1452</v>
      </c>
      <c r="AK338" s="146"/>
      <c r="AL338" s="146"/>
      <c r="AM338" s="146"/>
      <c r="AN338" s="1217"/>
      <c r="AO338" s="878"/>
      <c r="AP338" s="529"/>
      <c r="AQ338" s="878"/>
      <c r="AR338" s="1849"/>
      <c r="AS338" s="587"/>
    </row>
    <row r="339" spans="1:45" ht="189.75" hidden="1" customHeight="1">
      <c r="A339" s="16">
        <f>OBRA!J337</f>
        <v>2018</v>
      </c>
      <c r="B339" s="783" t="s">
        <v>1563</v>
      </c>
      <c r="C339" s="783">
        <v>186.24</v>
      </c>
      <c r="D339" s="783"/>
      <c r="E339" s="2" t="str">
        <f>OBRA!M337</f>
        <v>FOCOCI</v>
      </c>
      <c r="F339" s="501" t="s">
        <v>3665</v>
      </c>
      <c r="G339" s="38" t="s">
        <v>2206</v>
      </c>
      <c r="H339" s="12" t="str">
        <f>OBRA!N337</f>
        <v>GMJ 024C OP/2018</v>
      </c>
      <c r="I339" s="2" t="str">
        <f>OBRA!O337</f>
        <v>POR INVITACION RESTRINGIDA</v>
      </c>
      <c r="J339" s="3" t="str">
        <f>OBRA!P337</f>
        <v>REHABILITACION DE IMAGEN URBANA DE CALLE HIDALGO SUR, ENTRE VICENTE GUERRERO Y DONATO GUERRA EN LA CABECERA MUNICIPAL,DEL MUNICIPIO DE JOCOTEPEC, JALISCO</v>
      </c>
      <c r="K339" s="3" t="s">
        <v>2075</v>
      </c>
      <c r="L339" s="173"/>
      <c r="M339" s="173" t="s">
        <v>2076</v>
      </c>
      <c r="N339" s="173" t="s">
        <v>1975</v>
      </c>
      <c r="O339" s="466" t="s">
        <v>3490</v>
      </c>
      <c r="P339" s="4">
        <f>OBRA!R337</f>
        <v>2940000</v>
      </c>
      <c r="Q339" s="1023">
        <f t="shared" si="19"/>
        <v>2534482.7586206896</v>
      </c>
      <c r="R339" s="1023"/>
      <c r="S339" s="670">
        <f>OBRA!S337</f>
        <v>43307</v>
      </c>
      <c r="T339" s="1134" t="str">
        <f>OBRA!V337</f>
        <v>-</v>
      </c>
      <c r="U339" s="5">
        <f>OBRA!T337</f>
        <v>43311</v>
      </c>
      <c r="V339" s="11">
        <f>OBRA!U337</f>
        <v>43373</v>
      </c>
      <c r="W339" s="220">
        <f>P339*0.25</f>
        <v>735000</v>
      </c>
      <c r="X339" s="606">
        <f>OBRA!AS337+OBRA!AT337</f>
        <v>0</v>
      </c>
      <c r="Y339" s="278" t="s">
        <v>2441</v>
      </c>
      <c r="Z339" s="33" t="str">
        <f>OBRA!W337</f>
        <v>DRABSA CONSTRUCTORA S.A. DE C.V.</v>
      </c>
      <c r="AA339" s="1698"/>
      <c r="AB339" s="148" t="s">
        <v>2029</v>
      </c>
      <c r="AC339" s="146" t="s">
        <v>2030</v>
      </c>
      <c r="AD339" s="146" t="s">
        <v>2888</v>
      </c>
      <c r="AE339" s="183" t="str">
        <f>OBRA!X337</f>
        <v>ING. RIGOBERTO OLMEDO RAMOS</v>
      </c>
      <c r="AF339" s="19">
        <v>2796.28</v>
      </c>
      <c r="AG339" s="2" t="s">
        <v>1548</v>
      </c>
      <c r="AH339" s="615">
        <f t="shared" si="18"/>
        <v>0</v>
      </c>
      <c r="AI339" s="2">
        <v>50000</v>
      </c>
      <c r="AJ339" s="156" t="s">
        <v>1452</v>
      </c>
      <c r="AK339" s="513"/>
      <c r="AL339" s="513"/>
      <c r="AM339" s="513"/>
      <c r="AN339" s="1288" t="s">
        <v>3692</v>
      </c>
      <c r="AO339" s="1291" t="s">
        <v>3692</v>
      </c>
      <c r="AP339" s="1291" t="s">
        <v>3692</v>
      </c>
      <c r="AQ339" s="1289" t="s">
        <v>3692</v>
      </c>
      <c r="AR339" s="1847"/>
      <c r="AS339" s="1290" t="s">
        <v>3692</v>
      </c>
    </row>
    <row r="340" spans="1:45" ht="87" hidden="1" customHeight="1">
      <c r="A340" s="16">
        <f>OBRA!J338</f>
        <v>2018</v>
      </c>
      <c r="B340" s="783" t="s">
        <v>1563</v>
      </c>
      <c r="C340" s="783">
        <v>186.25</v>
      </c>
      <c r="D340" s="783"/>
      <c r="E340" s="2" t="str">
        <f>OBRA!M338</f>
        <v>RAMO 33</v>
      </c>
      <c r="F340" s="156" t="s">
        <v>1428</v>
      </c>
      <c r="G340" s="38" t="s">
        <v>2206</v>
      </c>
      <c r="H340" s="12" t="str">
        <f>OBRA!N338</f>
        <v>GMJ 025C OP/2018</v>
      </c>
      <c r="I340" s="2" t="str">
        <f>OBRA!O338</f>
        <v>ADJUDICACIÓN DIRECTA</v>
      </c>
      <c r="J340" s="3" t="str">
        <f>OBRA!P338</f>
        <v>ELECTRIFICACION DE POZO DE PROFUNDO EL DOMINGUILLO EN LA LOCALIDAD DE SAN JUAN COSALA, DEL MUNICIPIO DE JOCOTEPEC, JALISCO</v>
      </c>
      <c r="K340" s="3" t="s">
        <v>1439</v>
      </c>
      <c r="L340" s="3"/>
      <c r="M340" s="3" t="s">
        <v>2078</v>
      </c>
      <c r="N340" s="3" t="s">
        <v>2524</v>
      </c>
      <c r="O340" s="466" t="s">
        <v>3490</v>
      </c>
      <c r="P340" s="79">
        <f>OBRA!R338</f>
        <v>452456.16</v>
      </c>
      <c r="Q340" s="1023">
        <f t="shared" si="19"/>
        <v>390048.41379310348</v>
      </c>
      <c r="R340" s="1023"/>
      <c r="S340" s="6">
        <f>OBRA!S338</f>
        <v>43326</v>
      </c>
      <c r="T340" s="1134">
        <f>OBRA!V338</f>
        <v>43326</v>
      </c>
      <c r="U340" s="5">
        <f>OBRA!T338</f>
        <v>43326</v>
      </c>
      <c r="V340" s="11">
        <f>OBRA!U338</f>
        <v>43357</v>
      </c>
      <c r="W340" s="1429"/>
      <c r="X340" s="578">
        <f>OBRA!AS338+OBRA!AT338</f>
        <v>452456.16</v>
      </c>
      <c r="Y340" s="1182" t="s">
        <v>3198</v>
      </c>
      <c r="Z340" s="146" t="str">
        <f>OBRA!W338</f>
        <v>BIRMEK CONSTRUCCIONES S.A. DE C.V.</v>
      </c>
      <c r="AA340" s="146"/>
      <c r="AB340" s="148" t="s">
        <v>2049</v>
      </c>
      <c r="AC340" s="146" t="s">
        <v>2050</v>
      </c>
      <c r="AD340" s="146" t="s">
        <v>3043</v>
      </c>
      <c r="AE340" s="183" t="str">
        <f>OBRA!X338</f>
        <v>ING. LUIS RIGOBERTO OLMEDO NAVARRO</v>
      </c>
      <c r="AF340" s="19">
        <v>1</v>
      </c>
      <c r="AG340" s="2" t="s">
        <v>1463</v>
      </c>
      <c r="AH340" s="183">
        <f t="shared" si="18"/>
        <v>452456.16</v>
      </c>
      <c r="AI340" s="2">
        <v>7800</v>
      </c>
      <c r="AJ340" s="156" t="s">
        <v>1452</v>
      </c>
      <c r="AK340" s="513"/>
      <c r="AL340" s="513"/>
      <c r="AM340" s="513"/>
      <c r="AN340" s="1288" t="s">
        <v>3681</v>
      </c>
      <c r="AO340" s="1291" t="s">
        <v>3681</v>
      </c>
      <c r="AP340" s="1291" t="s">
        <v>3681</v>
      </c>
      <c r="AQ340" s="1289" t="s">
        <v>3681</v>
      </c>
      <c r="AR340" s="1847"/>
      <c r="AS340" s="1290" t="s">
        <v>3681</v>
      </c>
    </row>
    <row r="341" spans="1:45" ht="81" hidden="1" customHeight="1">
      <c r="A341" s="16">
        <f>OBRA!J339</f>
        <v>2018</v>
      </c>
      <c r="B341" s="783" t="s">
        <v>1563</v>
      </c>
      <c r="C341" s="783">
        <v>186.26</v>
      </c>
      <c r="D341" s="783"/>
      <c r="E341" s="2" t="str">
        <f>OBRA!M339</f>
        <v>RAMO 33</v>
      </c>
      <c r="F341" s="156" t="s">
        <v>1428</v>
      </c>
      <c r="G341" s="38" t="s">
        <v>2206</v>
      </c>
      <c r="H341" s="12" t="str">
        <f>OBRA!N339</f>
        <v>GMJ 026C OP/2018</v>
      </c>
      <c r="I341" s="2" t="str">
        <f>OBRA!O339</f>
        <v>ADJUDICACIÓN DIRECTA</v>
      </c>
      <c r="J341" s="3" t="str">
        <f>OBRA!P339</f>
        <v>EQUIPAMIENTO  DE POZO PROFUNDO EL DOMINGUILLO EN LA LOCALIDAD DE SAN JUAN COSALA, DEL MUNICIPIO DE JOCOTEPEC, JALISCO</v>
      </c>
      <c r="K341" s="3" t="s">
        <v>1979</v>
      </c>
      <c r="L341" s="3"/>
      <c r="M341" s="3" t="s">
        <v>2078</v>
      </c>
      <c r="N341" s="3" t="s">
        <v>2524</v>
      </c>
      <c r="O341" s="466" t="s">
        <v>3490</v>
      </c>
      <c r="P341" s="79">
        <f>OBRA!R339</f>
        <v>412725.64</v>
      </c>
      <c r="Q341" s="1023">
        <f t="shared" si="19"/>
        <v>355797.96551724139</v>
      </c>
      <c r="R341" s="1023"/>
      <c r="S341" s="6">
        <f>OBRA!S339</f>
        <v>43326</v>
      </c>
      <c r="T341" s="1134">
        <f>OBRA!V339</f>
        <v>43326</v>
      </c>
      <c r="U341" s="5">
        <f>OBRA!T339</f>
        <v>43326</v>
      </c>
      <c r="V341" s="11">
        <f>OBRA!U339</f>
        <v>43357</v>
      </c>
      <c r="W341" s="1429"/>
      <c r="X341" s="578">
        <f>OBRA!AS339+OBRA!AT339</f>
        <v>412725.63</v>
      </c>
      <c r="Y341" s="1183" t="s">
        <v>3199</v>
      </c>
      <c r="Z341" s="146" t="str">
        <f>OBRA!W339</f>
        <v xml:space="preserve">OBRAS Y EQUIPAMIENTOS HIDRAULICOS S.A. DE C.V. </v>
      </c>
      <c r="AA341" s="146"/>
      <c r="AB341" s="148" t="s">
        <v>2080</v>
      </c>
      <c r="AC341" s="146" t="s">
        <v>2081</v>
      </c>
      <c r="AD341" s="146" t="s">
        <v>3045</v>
      </c>
      <c r="AE341" s="183" t="str">
        <f>OBRA!X339</f>
        <v>ING. LUIS RIGOBERTO OLMEDO NAVARRO</v>
      </c>
      <c r="AF341" s="19">
        <v>1</v>
      </c>
      <c r="AG341" s="2" t="s">
        <v>1463</v>
      </c>
      <c r="AH341" s="183">
        <f t="shared" si="18"/>
        <v>412725.63</v>
      </c>
      <c r="AI341" s="2">
        <v>7800</v>
      </c>
      <c r="AJ341" s="156" t="s">
        <v>1452</v>
      </c>
      <c r="AK341" s="513"/>
      <c r="AL341" s="513"/>
      <c r="AM341" s="513"/>
      <c r="AN341" s="1288" t="s">
        <v>3682</v>
      </c>
      <c r="AO341" s="1291" t="s">
        <v>3682</v>
      </c>
      <c r="AP341" s="1291" t="s">
        <v>3682</v>
      </c>
      <c r="AQ341" s="1289" t="s">
        <v>3682</v>
      </c>
      <c r="AR341" s="1847"/>
      <c r="AS341" s="1290" t="s">
        <v>3682</v>
      </c>
    </row>
    <row r="342" spans="1:45" ht="129" hidden="1" customHeight="1">
      <c r="A342" s="16">
        <f>OBRA!J340</f>
        <v>2018</v>
      </c>
      <c r="B342" s="783" t="s">
        <v>1563</v>
      </c>
      <c r="C342" s="783">
        <v>186.27</v>
      </c>
      <c r="D342" s="783"/>
      <c r="E342" s="2" t="str">
        <f>OBRA!M340</f>
        <v>RAMO 33</v>
      </c>
      <c r="F342" s="156" t="s">
        <v>1428</v>
      </c>
      <c r="G342" s="38" t="s">
        <v>2206</v>
      </c>
      <c r="H342" s="12" t="str">
        <f>OBRA!N340</f>
        <v>GMJ 027C OP/2018</v>
      </c>
      <c r="I342" s="2" t="str">
        <f>OBRA!O340</f>
        <v>ADJUDICACIÓN DIRECTA</v>
      </c>
      <c r="J342" s="3" t="str">
        <f>OBRA!P340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2538</v>
      </c>
      <c r="O342" s="466" t="s">
        <v>3490</v>
      </c>
      <c r="P342" s="79">
        <f>OBRA!R340</f>
        <v>732027.5</v>
      </c>
      <c r="Q342" s="1023">
        <f t="shared" si="19"/>
        <v>631058.18965517241</v>
      </c>
      <c r="R342" s="1023"/>
      <c r="S342" s="6">
        <f>OBRA!S340</f>
        <v>43326</v>
      </c>
      <c r="T342" s="1134">
        <f>OBRA!V340</f>
        <v>43326</v>
      </c>
      <c r="U342" s="5">
        <f>OBRA!T340</f>
        <v>43326</v>
      </c>
      <c r="V342" s="11">
        <f>OBRA!U340</f>
        <v>43348</v>
      </c>
      <c r="W342" s="1429"/>
      <c r="X342" s="578">
        <f>OBRA!AS340+OBRA!AT340</f>
        <v>717111.1</v>
      </c>
      <c r="Y342" s="1183" t="s">
        <v>3200</v>
      </c>
      <c r="Z342" s="146" t="str">
        <f>OBRA!W340</f>
        <v>BRAILOGA CONSTRUCTORES S.A. DE C.V.</v>
      </c>
      <c r="AA342" s="146"/>
      <c r="AB342" s="148" t="s">
        <v>2084</v>
      </c>
      <c r="AC342" s="146" t="s">
        <v>2085</v>
      </c>
      <c r="AD342" s="146" t="s">
        <v>3046</v>
      </c>
      <c r="AE342" s="183" t="str">
        <f>OBRA!X340</f>
        <v>ARQ. CESAR ANTONIO ALONSO JIMENEZ</v>
      </c>
      <c r="AF342" s="19">
        <v>300</v>
      </c>
      <c r="AG342" s="2" t="s">
        <v>1451</v>
      </c>
      <c r="AH342" s="615">
        <f t="shared" si="18"/>
        <v>2390.3703333333333</v>
      </c>
      <c r="AI342" s="2">
        <v>3500</v>
      </c>
      <c r="AJ342" s="156" t="s">
        <v>1452</v>
      </c>
      <c r="AK342" s="513"/>
      <c r="AL342" s="513"/>
      <c r="AM342" s="513"/>
      <c r="AN342" s="1288" t="s">
        <v>3683</v>
      </c>
      <c r="AO342" s="1291" t="s">
        <v>3683</v>
      </c>
      <c r="AP342" s="1291" t="s">
        <v>3683</v>
      </c>
      <c r="AQ342" s="1289" t="s">
        <v>3683</v>
      </c>
      <c r="AR342" s="1847"/>
      <c r="AS342" s="1290" t="s">
        <v>3683</v>
      </c>
    </row>
    <row r="343" spans="1:45" ht="87" hidden="1" customHeight="1">
      <c r="A343" s="16">
        <f>OBRA!J341</f>
        <v>2018</v>
      </c>
      <c r="B343" s="783" t="s">
        <v>1563</v>
      </c>
      <c r="C343" s="783">
        <v>186.28</v>
      </c>
      <c r="D343" s="783"/>
      <c r="E343" s="2" t="str">
        <f>OBRA!M341</f>
        <v>RAMO 33</v>
      </c>
      <c r="F343" s="156" t="s">
        <v>1428</v>
      </c>
      <c r="G343" s="38" t="s">
        <v>2206</v>
      </c>
      <c r="H343" s="12" t="str">
        <f>OBRA!N341</f>
        <v>GMJ 028C OP/2018</v>
      </c>
      <c r="I343" s="2" t="str">
        <f>OBRA!O341</f>
        <v>ADJUDICACIÓN DIRECTA</v>
      </c>
      <c r="J343" s="3" t="str">
        <f>OBRA!P341</f>
        <v>CONSTRUCCION DE CASETA DE CONTROL Y CLORACIÓN EN EL POZO EL DOMINGUILLO EN LA LOCALIDAD DE SAN JUAN COSALA, DEL MUNICIPIO DE JOCOTEPEC, JALISCO</v>
      </c>
      <c r="K343" s="3" t="s">
        <v>2087</v>
      </c>
      <c r="L343" s="3"/>
      <c r="M343" s="3" t="s">
        <v>2078</v>
      </c>
      <c r="N343" s="3" t="s">
        <v>2524</v>
      </c>
      <c r="O343" s="466" t="s">
        <v>3490</v>
      </c>
      <c r="P343" s="79">
        <f>OBRA!R341</f>
        <v>87399.62</v>
      </c>
      <c r="Q343" s="1023">
        <f t="shared" si="19"/>
        <v>75344.5</v>
      </c>
      <c r="R343" s="1023"/>
      <c r="S343" s="6">
        <f>OBRA!S341</f>
        <v>43326</v>
      </c>
      <c r="T343" s="1134">
        <f>OBRA!V341</f>
        <v>43326</v>
      </c>
      <c r="U343" s="5">
        <f>OBRA!T341</f>
        <v>43333</v>
      </c>
      <c r="V343" s="11">
        <f>OBRA!U341</f>
        <v>43358</v>
      </c>
      <c r="W343" s="1429"/>
      <c r="X343" s="578">
        <f>OBRA!AS341+OBRA!AT341</f>
        <v>86911</v>
      </c>
      <c r="Y343" s="1183" t="s">
        <v>3201</v>
      </c>
      <c r="Z343" s="146" t="str">
        <f>OBRA!W341</f>
        <v xml:space="preserve">GRUPO DESARROLLADOR INMOBILIARIO CEMERAMA S.A. DE C.V. </v>
      </c>
      <c r="AA343" s="146"/>
      <c r="AB343" s="148" t="str">
        <f>Z343</f>
        <v xml:space="preserve">GRUPO DESARROLLADOR INMOBILIARIO CEMERAMA S.A. DE C.V. </v>
      </c>
      <c r="AC343" s="146" t="s">
        <v>1834</v>
      </c>
      <c r="AD343" s="146" t="s">
        <v>3041</v>
      </c>
      <c r="AE343" s="183" t="str">
        <f>OBRA!X341</f>
        <v>LIC. SALVADOR CONTRERAS OLGUÍN</v>
      </c>
      <c r="AF343" s="19">
        <v>1</v>
      </c>
      <c r="AG343" s="2" t="s">
        <v>1573</v>
      </c>
      <c r="AH343" s="615">
        <f t="shared" si="18"/>
        <v>86911</v>
      </c>
      <c r="AI343" s="2">
        <v>7800</v>
      </c>
      <c r="AJ343" s="156" t="s">
        <v>1452</v>
      </c>
      <c r="AK343" s="513"/>
      <c r="AL343" s="513"/>
      <c r="AM343" s="513"/>
      <c r="AN343" s="1288" t="s">
        <v>3684</v>
      </c>
      <c r="AO343" s="1291" t="s">
        <v>3684</v>
      </c>
      <c r="AP343" s="1291" t="s">
        <v>3684</v>
      </c>
      <c r="AQ343" s="1289" t="s">
        <v>3684</v>
      </c>
      <c r="AR343" s="1847"/>
      <c r="AS343" s="1290" t="s">
        <v>3684</v>
      </c>
    </row>
    <row r="344" spans="1:45" ht="114" hidden="1" customHeight="1">
      <c r="A344" s="16">
        <f>OBRA!J342</f>
        <v>2018</v>
      </c>
      <c r="B344" s="783" t="s">
        <v>1563</v>
      </c>
      <c r="C344" s="783">
        <v>186.29</v>
      </c>
      <c r="D344" s="783"/>
      <c r="E344" s="2" t="str">
        <f>OBRA!M342</f>
        <v>RAMO 33</v>
      </c>
      <c r="F344" s="156" t="s">
        <v>1428</v>
      </c>
      <c r="G344" s="38" t="s">
        <v>2206</v>
      </c>
      <c r="H344" s="12" t="str">
        <f>OBRA!N342</f>
        <v>GMJ 029C OP/2018</v>
      </c>
      <c r="I344" s="2" t="str">
        <f>OBRA!O342</f>
        <v>ADJUDICACIÓN DIRECTA</v>
      </c>
      <c r="J344" s="3" t="str">
        <f>OBRA!P342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2538</v>
      </c>
      <c r="O344" s="466" t="s">
        <v>3490</v>
      </c>
      <c r="P344" s="79">
        <f>OBRA!R342</f>
        <v>458709.95</v>
      </c>
      <c r="Q344" s="1023">
        <f t="shared" si="19"/>
        <v>395439.61206896557</v>
      </c>
      <c r="R344" s="1023"/>
      <c r="S344" s="6">
        <f>OBRA!S342</f>
        <v>43346</v>
      </c>
      <c r="T344" s="1134">
        <f>OBRA!V342</f>
        <v>43332</v>
      </c>
      <c r="U344" s="5">
        <f>OBRA!T342</f>
        <v>43349</v>
      </c>
      <c r="V344" s="11">
        <f>OBRA!U342</f>
        <v>43367</v>
      </c>
      <c r="W344" s="1429"/>
      <c r="X344" s="578">
        <f>OBRA!AS342+OBRA!AT342</f>
        <v>468130.99</v>
      </c>
      <c r="Y344" s="1183" t="s">
        <v>3202</v>
      </c>
      <c r="Z344" s="146" t="str">
        <f>OBRA!W342</f>
        <v>BRAILOGA CONSTRUCTORES S.A. DE C.V.</v>
      </c>
      <c r="AA344" s="146"/>
      <c r="AB344" s="148" t="s">
        <v>2084</v>
      </c>
      <c r="AC344" s="146" t="s">
        <v>2085</v>
      </c>
      <c r="AD344" s="146" t="s">
        <v>3046</v>
      </c>
      <c r="AE344" s="183" t="str">
        <f>OBRA!X342</f>
        <v>ARQ. CESAR ANTONIO ALONSO JIMENEZ</v>
      </c>
      <c r="AF344" s="19">
        <v>432.58</v>
      </c>
      <c r="AG344" s="2" t="s">
        <v>1451</v>
      </c>
      <c r="AH344" s="615">
        <f t="shared" si="18"/>
        <v>1082.1836192149428</v>
      </c>
      <c r="AI344" s="2">
        <v>3500</v>
      </c>
      <c r="AJ344" s="156" t="s">
        <v>1452</v>
      </c>
      <c r="AK344" s="513"/>
      <c r="AL344" s="513"/>
      <c r="AM344" s="513"/>
      <c r="AN344" s="1288" t="s">
        <v>3685</v>
      </c>
      <c r="AO344" s="1291" t="s">
        <v>3685</v>
      </c>
      <c r="AP344" s="1291" t="s">
        <v>3685</v>
      </c>
      <c r="AQ344" s="1289" t="s">
        <v>3685</v>
      </c>
      <c r="AR344" s="1847"/>
      <c r="AS344" s="1290" t="s">
        <v>3685</v>
      </c>
    </row>
    <row r="345" spans="1:45" ht="104.25" hidden="1" customHeight="1">
      <c r="A345" s="16">
        <f>OBRA!J343</f>
        <v>2018</v>
      </c>
      <c r="B345" s="783" t="s">
        <v>1563</v>
      </c>
      <c r="C345" s="783">
        <v>186.3</v>
      </c>
      <c r="D345" s="783"/>
      <c r="E345" s="2" t="str">
        <f>OBRA!M343</f>
        <v>RAMO 33</v>
      </c>
      <c r="F345" s="156" t="s">
        <v>1428</v>
      </c>
      <c r="G345" s="38" t="s">
        <v>2206</v>
      </c>
      <c r="H345" s="12" t="str">
        <f>OBRA!N343</f>
        <v>GMJ 030C OP/2018</v>
      </c>
      <c r="I345" s="2" t="str">
        <f>OBRA!O343</f>
        <v>ADJUDICACIÓN DIRECTA</v>
      </c>
      <c r="J345" s="3" t="str">
        <f>OBRA!P343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2538</v>
      </c>
      <c r="O345" s="466" t="s">
        <v>3490</v>
      </c>
      <c r="P345" s="79">
        <f>OBRA!R343</f>
        <v>615855.56999999995</v>
      </c>
      <c r="Q345" s="1023">
        <f t="shared" si="19"/>
        <v>530909.97413793101</v>
      </c>
      <c r="R345" s="1023"/>
      <c r="S345" s="6">
        <f>OBRA!S343</f>
        <v>43326</v>
      </c>
      <c r="T345" s="1134">
        <f>OBRA!V343</f>
        <v>43326</v>
      </c>
      <c r="U345" s="5">
        <f>OBRA!T343</f>
        <v>43326</v>
      </c>
      <c r="V345" s="11">
        <f>OBRA!U343</f>
        <v>43348</v>
      </c>
      <c r="W345" s="1429"/>
      <c r="X345" s="578">
        <f>OBRA!AS343+OBRA!AT343</f>
        <v>641350.92000000004</v>
      </c>
      <c r="Y345" s="1181"/>
      <c r="Z345" s="146" t="str">
        <f>OBRA!W343</f>
        <v>C. JOSÉ MIGUEL GARCIA VALLE</v>
      </c>
      <c r="AA345" s="146"/>
      <c r="AB345" s="148" t="str">
        <f t="shared" ref="AB345:AB379" si="21">Z345</f>
        <v>C. JOSÉ MIGUEL GARCIA VALLE</v>
      </c>
      <c r="AC345" s="2" t="s">
        <v>2959</v>
      </c>
      <c r="AD345" s="146" t="s">
        <v>2959</v>
      </c>
      <c r="AE345" s="183" t="str">
        <f>OBRA!X343</f>
        <v>ARQ. CESAR ANTONIO ALONSO JIMENEZ</v>
      </c>
      <c r="AF345" s="552">
        <v>212</v>
      </c>
      <c r="AG345" s="2" t="s">
        <v>1451</v>
      </c>
      <c r="AH345" s="615">
        <f t="shared" si="18"/>
        <v>3025.2401886792454</v>
      </c>
      <c r="AI345" s="2">
        <v>3500</v>
      </c>
      <c r="AJ345" s="156" t="s">
        <v>1452</v>
      </c>
      <c r="AK345" s="513"/>
      <c r="AL345" s="513"/>
      <c r="AM345" s="513"/>
      <c r="AN345" s="1288" t="s">
        <v>3686</v>
      </c>
      <c r="AO345" s="1291" t="s">
        <v>3686</v>
      </c>
      <c r="AP345" s="1291" t="s">
        <v>3686</v>
      </c>
      <c r="AQ345" s="1289" t="s">
        <v>3686</v>
      </c>
      <c r="AR345" s="1847"/>
      <c r="AS345" s="1290" t="s">
        <v>3686</v>
      </c>
    </row>
    <row r="346" spans="1:45" ht="108" hidden="1" customHeight="1">
      <c r="A346" s="16">
        <f>OBRA!J344</f>
        <v>2018</v>
      </c>
      <c r="B346" s="783" t="s">
        <v>1563</v>
      </c>
      <c r="C346" s="783">
        <v>186.31</v>
      </c>
      <c r="D346" s="783"/>
      <c r="E346" s="2" t="str">
        <f>OBRA!M344</f>
        <v>RAMO 33</v>
      </c>
      <c r="F346" s="156" t="s">
        <v>1428</v>
      </c>
      <c r="G346" s="38" t="s">
        <v>2206</v>
      </c>
      <c r="H346" s="12" t="str">
        <f>OBRA!N344</f>
        <v>GMJ 031C OP/2018</v>
      </c>
      <c r="I346" s="2" t="str">
        <f>OBRA!O344</f>
        <v>ADJUDICACIÓN DIRECTA</v>
      </c>
      <c r="J346" s="3" t="str">
        <f>OBRA!P344</f>
        <v>REHABILITACION DE LINEA DE AGUA POTABLE EN CALLE CHURUBUSCO ENTRE CHAPULTEPEC Y CERRADA CON REPOSICION DE EMPEDRADO EXISTENTE EN LA LOCALIDAD DE LA LOMA DEL MUNICIPIO DE JOCOTEPEC, JALISCO</v>
      </c>
      <c r="K346" s="3" t="s">
        <v>2038</v>
      </c>
      <c r="L346" s="3"/>
      <c r="M346" s="3" t="s">
        <v>2090</v>
      </c>
      <c r="N346" s="3" t="s">
        <v>2512</v>
      </c>
      <c r="O346" s="466" t="s">
        <v>3490</v>
      </c>
      <c r="P346" s="79">
        <f>OBRA!R344</f>
        <v>413195.74</v>
      </c>
      <c r="Q346" s="1023">
        <f t="shared" si="19"/>
        <v>356203.22413793107</v>
      </c>
      <c r="R346" s="1023"/>
      <c r="S346" s="6">
        <f>OBRA!S344</f>
        <v>43320</v>
      </c>
      <c r="T346" s="1134">
        <f>OBRA!V344</f>
        <v>43318</v>
      </c>
      <c r="U346" s="5">
        <f>OBRA!T344</f>
        <v>43322</v>
      </c>
      <c r="V346" s="11">
        <f>OBRA!U344</f>
        <v>43341</v>
      </c>
      <c r="W346" s="1429"/>
      <c r="X346" s="578">
        <f>OBRA!AS344+OBRA!AT344</f>
        <v>412331.96</v>
      </c>
      <c r="Y346" s="1183" t="s">
        <v>3203</v>
      </c>
      <c r="Z346" s="146" t="str">
        <f>OBRA!W344</f>
        <v>C. NORMA GORETY DOMINGUEZ CALVARIO</v>
      </c>
      <c r="AA346" s="146"/>
      <c r="AB346" s="148" t="str">
        <f t="shared" si="21"/>
        <v>C. NORMA GORETY DOMINGUEZ CALVARIO</v>
      </c>
      <c r="AC346" s="2" t="s">
        <v>2959</v>
      </c>
      <c r="AD346" s="146" t="s">
        <v>2959</v>
      </c>
      <c r="AE346" s="183" t="str">
        <f>OBRA!X344</f>
        <v>ING. JUAN MANUEL GARCIA ESCOTO</v>
      </c>
      <c r="AF346" s="552">
        <v>255</v>
      </c>
      <c r="AG346" s="2" t="s">
        <v>1451</v>
      </c>
      <c r="AH346" s="615">
        <f t="shared" si="18"/>
        <v>1616.9880784313727</v>
      </c>
      <c r="AI346" s="2">
        <v>200</v>
      </c>
      <c r="AJ346" s="156" t="s">
        <v>1444</v>
      </c>
      <c r="AK346" s="513"/>
      <c r="AL346" s="513"/>
      <c r="AM346" s="513"/>
      <c r="AN346" s="1288" t="s">
        <v>3687</v>
      </c>
      <c r="AO346" s="1291" t="s">
        <v>3687</v>
      </c>
      <c r="AP346" s="529"/>
      <c r="AQ346" s="1289" t="s">
        <v>3687</v>
      </c>
      <c r="AR346" s="1847"/>
      <c r="AS346" s="1290" t="s">
        <v>3687</v>
      </c>
    </row>
    <row r="347" spans="1:45" ht="78" hidden="1" customHeight="1">
      <c r="A347" s="16">
        <f>OBRA!J345</f>
        <v>2018</v>
      </c>
      <c r="B347" s="783" t="s">
        <v>1563</v>
      </c>
      <c r="C347" s="783">
        <v>186.32</v>
      </c>
      <c r="D347" s="783"/>
      <c r="E347" s="2" t="str">
        <f>OBRA!M345</f>
        <v>RAMO 33</v>
      </c>
      <c r="F347" s="156" t="s">
        <v>1428</v>
      </c>
      <c r="G347" s="38" t="s">
        <v>2206</v>
      </c>
      <c r="H347" s="12" t="str">
        <f>OBRA!N345</f>
        <v>GMJ 032C OP/2018</v>
      </c>
      <c r="I347" s="2" t="str">
        <f>OBRA!O345</f>
        <v>ADJUDICACIÓN DIRECTA</v>
      </c>
      <c r="J347" s="3" t="str">
        <f>OBRA!P345</f>
        <v>CONSTRUCCION DE LINEA DE DRENAJE DE 125 ML QUE VA A CONECTAR POR LA PARTE ORIENTE AL FRACCIONAMIENTO PASEO DEL CARDENAL EN SAN JUAN COSALA</v>
      </c>
      <c r="K347" s="3" t="s">
        <v>2092</v>
      </c>
      <c r="L347" s="3"/>
      <c r="M347" s="3" t="s">
        <v>2093</v>
      </c>
      <c r="N347" s="3" t="s">
        <v>2524</v>
      </c>
      <c r="O347" s="466" t="s">
        <v>3490</v>
      </c>
      <c r="P347" s="4">
        <f>OBRA!R345</f>
        <v>229200</v>
      </c>
      <c r="Q347" s="1023">
        <f t="shared" si="19"/>
        <v>197586.20689655174</v>
      </c>
      <c r="R347" s="1023"/>
      <c r="S347" s="6">
        <f>OBRA!S345</f>
        <v>43329</v>
      </c>
      <c r="T347" s="1134">
        <f>OBRA!V345</f>
        <v>43326</v>
      </c>
      <c r="U347" s="5">
        <f>OBRA!T345</f>
        <v>43332</v>
      </c>
      <c r="V347" s="11">
        <f>OBRA!U345</f>
        <v>43353</v>
      </c>
      <c r="W347" s="1429"/>
      <c r="X347" s="606">
        <f>OBRA!AS345+OBRA!AT345</f>
        <v>0</v>
      </c>
      <c r="Y347" s="278" t="s">
        <v>3204</v>
      </c>
      <c r="Z347" s="33" t="str">
        <f>OBRA!W345</f>
        <v>ING. SERGIO CABRERA</v>
      </c>
      <c r="AA347" s="1698"/>
      <c r="AB347" s="148" t="str">
        <f t="shared" si="21"/>
        <v>ING. SERGIO CABRERA</v>
      </c>
      <c r="AC347" s="2" t="s">
        <v>2959</v>
      </c>
      <c r="AD347" s="146" t="s">
        <v>2959</v>
      </c>
      <c r="AE347" s="183" t="str">
        <f>OBRA!X345</f>
        <v>ING. JUAN MANUEL GARCIA ESCOTO</v>
      </c>
      <c r="AF347" s="552">
        <v>125</v>
      </c>
      <c r="AG347" s="2" t="s">
        <v>1451</v>
      </c>
      <c r="AH347" s="1294">
        <f t="shared" si="18"/>
        <v>0</v>
      </c>
      <c r="AI347" s="2">
        <v>500</v>
      </c>
      <c r="AJ347" s="156" t="s">
        <v>1452</v>
      </c>
      <c r="AK347" s="526"/>
      <c r="AL347" s="526"/>
      <c r="AM347" s="526"/>
      <c r="AN347" s="1288" t="s">
        <v>3688</v>
      </c>
      <c r="AO347" s="529"/>
      <c r="AP347" s="529"/>
      <c r="AQ347" s="1289" t="s">
        <v>3688</v>
      </c>
      <c r="AR347" s="1847"/>
      <c r="AS347" s="1290" t="s">
        <v>3688</v>
      </c>
    </row>
    <row r="348" spans="1:45" ht="105" hidden="1" customHeight="1">
      <c r="A348" s="16">
        <f>OBRA!J346</f>
        <v>2018</v>
      </c>
      <c r="B348" s="783" t="s">
        <v>2094</v>
      </c>
      <c r="C348" s="783">
        <v>187.01</v>
      </c>
      <c r="D348" s="783"/>
      <c r="E348" s="2" t="str">
        <f>OBRA!M346</f>
        <v>RAMO 33</v>
      </c>
      <c r="F348" s="156" t="s">
        <v>1428</v>
      </c>
      <c r="G348" s="38" t="s">
        <v>2206</v>
      </c>
      <c r="H348" s="12" t="str">
        <f>OBRA!N346</f>
        <v>DOP/AD/001/2018</v>
      </c>
      <c r="I348" s="2" t="str">
        <f>OBRA!O346</f>
        <v>ADMINISTRACIÓN DIRECTA</v>
      </c>
      <c r="J348" s="3" t="str">
        <f>OBRA!P346</f>
        <v>"CONSTRUCCIÓN DE LÍNEA DE AGUA POTABLE EN CALLE EL DOMINGUILLO (RED DE ABASTECIMIENTO)", EN LA LOCALIDAD DE SAN JUAN COSALA, DEL MUNICIPIO DE JOCOTEPEC, JALISCO</v>
      </c>
      <c r="K348" s="3" t="s">
        <v>2095</v>
      </c>
      <c r="L348" s="3" t="s">
        <v>4745</v>
      </c>
      <c r="M348" s="3" t="s">
        <v>6282</v>
      </c>
      <c r="N348" s="3" t="s">
        <v>2524</v>
      </c>
      <c r="O348" s="529" t="s">
        <v>4173</v>
      </c>
      <c r="P348" s="4">
        <f>OBRA!R346</f>
        <v>257552.49</v>
      </c>
      <c r="Q348" s="1023">
        <f t="shared" si="19"/>
        <v>222028.00862068965</v>
      </c>
      <c r="R348" s="1023"/>
      <c r="S348" s="6">
        <f>OBRA!S346</f>
        <v>43431</v>
      </c>
      <c r="T348" s="1134" t="str">
        <f>OBRA!V346</f>
        <v>-</v>
      </c>
      <c r="U348" s="5">
        <f>OBRA!T346</f>
        <v>43431</v>
      </c>
      <c r="V348" s="11">
        <f>OBRA!U346</f>
        <v>43456</v>
      </c>
      <c r="W348" s="220">
        <v>0</v>
      </c>
      <c r="X348" s="578">
        <f>OBRA!AS346+OBRA!AT346</f>
        <v>256948.51</v>
      </c>
      <c r="Y348" s="1015"/>
      <c r="Z348" s="146" t="str">
        <f>OBRA!W346</f>
        <v>N/A</v>
      </c>
      <c r="AA348" s="146" t="s">
        <v>68</v>
      </c>
      <c r="AB348" s="148" t="str">
        <f t="shared" si="21"/>
        <v>N/A</v>
      </c>
      <c r="AC348" s="146" t="s">
        <v>1177</v>
      </c>
      <c r="AD348" s="2" t="s">
        <v>1177</v>
      </c>
      <c r="AE348" s="183" t="str">
        <f>OBRA!X346</f>
        <v>ARQ. JAIME CONDE GOMEZ</v>
      </c>
      <c r="AF348" s="19">
        <v>222</v>
      </c>
      <c r="AG348" s="2" t="s">
        <v>1451</v>
      </c>
      <c r="AH348" s="615">
        <f t="shared" si="18"/>
        <v>1157.4257207207208</v>
      </c>
      <c r="AI348" s="124">
        <v>1000</v>
      </c>
      <c r="AJ348" s="124" t="s">
        <v>1452</v>
      </c>
      <c r="AK348" s="124"/>
      <c r="AL348" s="1513"/>
      <c r="AM348" s="1514"/>
      <c r="AN348" s="573"/>
      <c r="AO348" s="529"/>
      <c r="AP348" s="529"/>
      <c r="AQ348" s="881"/>
      <c r="AR348" s="1504"/>
      <c r="AS348" s="877"/>
    </row>
    <row r="349" spans="1:45" ht="132" hidden="1" customHeight="1">
      <c r="A349" s="16">
        <f>OBRA!J347</f>
        <v>2018</v>
      </c>
      <c r="B349" s="783" t="s">
        <v>2094</v>
      </c>
      <c r="C349" s="783">
        <v>187.02</v>
      </c>
      <c r="D349" s="783"/>
      <c r="E349" s="2" t="str">
        <f>OBRA!M347</f>
        <v>RAMO 33</v>
      </c>
      <c r="F349" s="156" t="s">
        <v>1428</v>
      </c>
      <c r="G349" s="38" t="s">
        <v>2206</v>
      </c>
      <c r="H349" s="12" t="str">
        <f>OBRA!N347</f>
        <v>DOP/AD/002/2018</v>
      </c>
      <c r="I349" s="2" t="str">
        <f>OBRA!O347</f>
        <v>ADMINISTRACIÓN DIRECTA</v>
      </c>
      <c r="J349" s="3" t="str">
        <f>OBRA!P347</f>
        <v>"CONSTRUCCIÓN DE LÍNEA DE AGUA POTABLE EN CALLE EL DOMINGUILLO (RED DE DISTRIBUCCIÓN)", EN LA LOCALIDAD DE SAN JUAN COSALA, DEL MUNICIPIO DE JOCOTEPEC, JALISCO</v>
      </c>
      <c r="K349" s="3" t="s">
        <v>2097</v>
      </c>
      <c r="L349" s="3" t="s">
        <v>4745</v>
      </c>
      <c r="M349" s="3" t="s">
        <v>6282</v>
      </c>
      <c r="N349" s="3" t="s">
        <v>2524</v>
      </c>
      <c r="O349" s="529" t="s">
        <v>4184</v>
      </c>
      <c r="P349" s="79">
        <f>OBRA!R347</f>
        <v>352132.79</v>
      </c>
      <c r="Q349" s="1023">
        <f t="shared" si="19"/>
        <v>303562.75</v>
      </c>
      <c r="R349" s="1023"/>
      <c r="S349" s="6">
        <f>OBRA!S347</f>
        <v>43434</v>
      </c>
      <c r="T349" s="1134" t="str">
        <f>OBRA!V347</f>
        <v>-</v>
      </c>
      <c r="U349" s="5">
        <f>OBRA!T347</f>
        <v>43434</v>
      </c>
      <c r="V349" s="11">
        <f>OBRA!U347</f>
        <v>43456</v>
      </c>
      <c r="W349" s="220">
        <v>0</v>
      </c>
      <c r="X349" s="578">
        <f>OBRA!AS347+OBRA!AT347</f>
        <v>342261.25</v>
      </c>
      <c r="Y349" s="1015"/>
      <c r="Z349" s="146" t="str">
        <f>OBRA!W347</f>
        <v>N/A</v>
      </c>
      <c r="AA349" s="146" t="s">
        <v>68</v>
      </c>
      <c r="AB349" s="148" t="str">
        <f t="shared" si="21"/>
        <v>N/A</v>
      </c>
      <c r="AC349" s="146" t="s">
        <v>1177</v>
      </c>
      <c r="AD349" s="2" t="s">
        <v>1177</v>
      </c>
      <c r="AE349" s="183" t="str">
        <f>OBRA!X347</f>
        <v>ARQ. JAIME CONDE GOMEZ</v>
      </c>
      <c r="AF349" s="19">
        <v>229</v>
      </c>
      <c r="AG349" s="2" t="s">
        <v>1451</v>
      </c>
      <c r="AH349" s="615">
        <f t="shared" si="18"/>
        <v>1494.5906113537119</v>
      </c>
      <c r="AI349" s="2">
        <v>1000</v>
      </c>
      <c r="AJ349" s="513" t="s">
        <v>1452</v>
      </c>
      <c r="AK349" s="513"/>
      <c r="AL349" s="1513"/>
      <c r="AM349" s="1514"/>
      <c r="AN349" s="573"/>
      <c r="AO349" s="529"/>
      <c r="AP349" s="529"/>
      <c r="AQ349" s="881"/>
      <c r="AR349" s="1504"/>
      <c r="AS349" s="877"/>
    </row>
    <row r="350" spans="1:45" s="104" customFormat="1" ht="147.75" hidden="1" customHeight="1">
      <c r="A350" s="82">
        <f>OBRA!J348</f>
        <v>2018</v>
      </c>
      <c r="B350" s="784" t="s">
        <v>2094</v>
      </c>
      <c r="C350" s="783">
        <v>187.03</v>
      </c>
      <c r="D350" s="783"/>
      <c r="E350" s="85" t="str">
        <f>OBRA!M348</f>
        <v>RAMO 33</v>
      </c>
      <c r="F350" s="156" t="s">
        <v>1428</v>
      </c>
      <c r="G350" s="38" t="s">
        <v>2206</v>
      </c>
      <c r="H350" s="103" t="str">
        <f>OBRA!N348</f>
        <v>DOP/AD/003/2018</v>
      </c>
      <c r="I350" s="85" t="s">
        <v>251</v>
      </c>
      <c r="J350" s="125" t="str">
        <f>OBRA!P348</f>
        <v>"REHABILITACIÓN DE RED DE DRENAJE EN CALLE PLAYAS DE LA LAGUNA CON REPOSICIÓN DE EMPEDRADO", EN LA AGENCIA MUNICIPAL DE CHANTEPEC, DEL MUNICIPIO DE JOCOTEPEC, JALISCO</v>
      </c>
      <c r="K350" s="125" t="s">
        <v>2098</v>
      </c>
      <c r="L350" s="125" t="s">
        <v>6245</v>
      </c>
      <c r="M350" s="125" t="s">
        <v>6281</v>
      </c>
      <c r="N350" s="125" t="s">
        <v>2538</v>
      </c>
      <c r="O350" s="812" t="s">
        <v>4185</v>
      </c>
      <c r="P350" s="86">
        <f>OBRA!R348</f>
        <v>301076.28999999998</v>
      </c>
      <c r="Q350" s="86">
        <f t="shared" si="19"/>
        <v>259548.52586206896</v>
      </c>
      <c r="R350" s="86"/>
      <c r="S350" s="87">
        <f>OBRA!S348</f>
        <v>43449</v>
      </c>
      <c r="T350" s="1409" t="str">
        <f>OBRA!V348</f>
        <v>-</v>
      </c>
      <c r="U350" s="88">
        <f>OBRA!T348</f>
        <v>43449</v>
      </c>
      <c r="V350" s="89">
        <f>OBRA!U348</f>
        <v>43465</v>
      </c>
      <c r="W350" s="1790">
        <v>0</v>
      </c>
      <c r="X350" s="810">
        <f>OBRA!AS348+OBRA!AT348</f>
        <v>305644.31</v>
      </c>
      <c r="Y350" s="821"/>
      <c r="Z350" s="147" t="str">
        <f>OBRA!W348</f>
        <v>N/A</v>
      </c>
      <c r="AA350" s="147" t="s">
        <v>68</v>
      </c>
      <c r="AB350" s="149" t="str">
        <f t="shared" si="21"/>
        <v>N/A</v>
      </c>
      <c r="AC350" s="147" t="s">
        <v>1177</v>
      </c>
      <c r="AD350" s="85" t="s">
        <v>1177</v>
      </c>
      <c r="AE350" s="184" t="str">
        <f>OBRA!X348</f>
        <v>ARQ. JAIME CONDE GOMEZ</v>
      </c>
      <c r="AF350" s="84">
        <v>70</v>
      </c>
      <c r="AG350" s="85" t="s">
        <v>1451</v>
      </c>
      <c r="AH350" s="1692">
        <f t="shared" si="18"/>
        <v>4366.347285714286</v>
      </c>
      <c r="AI350" s="85">
        <v>100</v>
      </c>
      <c r="AJ350" s="514" t="s">
        <v>1444</v>
      </c>
      <c r="AK350" s="514"/>
      <c r="AL350" s="1515"/>
      <c r="AM350" s="1516"/>
      <c r="AN350" s="816"/>
      <c r="AO350" s="812"/>
      <c r="AP350" s="812"/>
      <c r="AQ350" s="823"/>
      <c r="AR350" s="1850"/>
      <c r="AS350" s="1147"/>
    </row>
    <row r="351" spans="1:45" ht="116.25" hidden="1" customHeight="1">
      <c r="A351" s="16">
        <f>OBRA!J349</f>
        <v>2018</v>
      </c>
      <c r="B351" s="783" t="s">
        <v>2094</v>
      </c>
      <c r="C351" s="783">
        <v>187.04</v>
      </c>
      <c r="D351" s="783"/>
      <c r="E351" s="2" t="str">
        <f>OBRA!M349</f>
        <v>RAMO 33</v>
      </c>
      <c r="F351" s="156" t="s">
        <v>1428</v>
      </c>
      <c r="G351" s="38" t="s">
        <v>2206</v>
      </c>
      <c r="H351" s="12" t="str">
        <f>OBRA!N349</f>
        <v>DOP/AD/004/2018</v>
      </c>
      <c r="I351" s="2" t="str">
        <f>OBRA!O349</f>
        <v>ADMINISTRACIÓN DIRECTA</v>
      </c>
      <c r="J351" s="3" t="str">
        <f>OBRA!P349</f>
        <v>"REHABILITACIÓN DE LÍNEA DE AGUA POTABLE EN CALLE PLAYAS DE LA LAGUNA CON REPOSICIÓN DE SUPERFICIE DE RODAMIENTO", EN LA AGENCIA MUNICIPAL DE CHANTEPEC, DEL MUNICIPIO DE JOCOTEPEC, JALISCO</v>
      </c>
      <c r="K351" s="3" t="s">
        <v>2100</v>
      </c>
      <c r="L351" s="3" t="s">
        <v>6244</v>
      </c>
      <c r="M351" s="3" t="s">
        <v>6281</v>
      </c>
      <c r="N351" s="3" t="s">
        <v>2538</v>
      </c>
      <c r="O351" s="504" t="s">
        <v>4186</v>
      </c>
      <c r="P351" s="79">
        <f>OBRA!R349</f>
        <v>212579.41</v>
      </c>
      <c r="Q351" s="1023">
        <f t="shared" si="19"/>
        <v>183258.11206896554</v>
      </c>
      <c r="R351" s="1023"/>
      <c r="S351" s="6">
        <f>OBRA!S349</f>
        <v>43449</v>
      </c>
      <c r="T351" s="1134" t="str">
        <f>OBRA!V349</f>
        <v>-</v>
      </c>
      <c r="U351" s="5">
        <f>OBRA!T349</f>
        <v>43449</v>
      </c>
      <c r="V351" s="11">
        <f>OBRA!U349</f>
        <v>43465</v>
      </c>
      <c r="W351" s="220">
        <v>0</v>
      </c>
      <c r="X351" s="578">
        <f>OBRA!AS349+OBRA!AT349</f>
        <v>217283.1</v>
      </c>
      <c r="Y351" s="1408"/>
      <c r="Z351" s="146" t="str">
        <f>OBRA!W349</f>
        <v>N/A</v>
      </c>
      <c r="AA351" s="146" t="s">
        <v>68</v>
      </c>
      <c r="AB351" s="148" t="str">
        <f t="shared" si="21"/>
        <v>N/A</v>
      </c>
      <c r="AC351" s="146" t="s">
        <v>1177</v>
      </c>
      <c r="AD351" s="2" t="s">
        <v>1177</v>
      </c>
      <c r="AE351" s="183" t="str">
        <f>OBRA!X349</f>
        <v>ARQ. JAIME CONDE GOMEZ</v>
      </c>
      <c r="AF351" s="19">
        <v>70</v>
      </c>
      <c r="AG351" s="2" t="s">
        <v>1451</v>
      </c>
      <c r="AH351" s="615">
        <f t="shared" si="18"/>
        <v>3104.0442857142857</v>
      </c>
      <c r="AI351" s="2">
        <v>100</v>
      </c>
      <c r="AJ351" s="513" t="s">
        <v>1444</v>
      </c>
      <c r="AK351" s="513"/>
      <c r="AL351" s="1513"/>
      <c r="AM351" s="1514"/>
      <c r="AN351" s="573"/>
      <c r="AO351" s="529"/>
      <c r="AP351" s="529"/>
      <c r="AQ351" s="881"/>
      <c r="AR351" s="1504"/>
      <c r="AS351" s="877"/>
    </row>
    <row r="352" spans="1:45" ht="69.75" hidden="1" customHeight="1">
      <c r="A352" s="16">
        <f>OBRA!J350</f>
        <v>2019</v>
      </c>
      <c r="B352" s="783" t="s">
        <v>2094</v>
      </c>
      <c r="C352" s="783">
        <v>190.1</v>
      </c>
      <c r="D352" s="783"/>
      <c r="E352" s="2" t="str">
        <f>OBRA!M350</f>
        <v>C.E.A.</v>
      </c>
      <c r="F352" s="605" t="s">
        <v>3705</v>
      </c>
      <c r="G352" s="38" t="s">
        <v>2206</v>
      </c>
      <c r="H352" s="412" t="str">
        <f>OBRA!N350</f>
        <v>CEA-PERF-003/2019</v>
      </c>
      <c r="I352" s="2" t="str">
        <f>OBRA!O350</f>
        <v>CONVENIO</v>
      </c>
      <c r="J352" s="3" t="str">
        <f>OBRA!P350</f>
        <v>PERFORACIÓN DE POZO PROFUNDO PARA AGUA POTABLE EN LA LOCALIDAD DE EL MOLINO, MUNICIPIO DE JOCOTEPEC, JALISCO".</v>
      </c>
      <c r="K352" s="3" t="s">
        <v>2102</v>
      </c>
      <c r="L352" s="3"/>
      <c r="M352" s="3" t="s">
        <v>2103</v>
      </c>
      <c r="N352" s="3" t="s">
        <v>2577</v>
      </c>
      <c r="O352" s="495" t="s">
        <v>3491</v>
      </c>
      <c r="P352" s="79">
        <f>OBRA!R350</f>
        <v>885535.63</v>
      </c>
      <c r="Q352" s="1023">
        <f t="shared" si="19"/>
        <v>763392.78448275873</v>
      </c>
      <c r="R352" s="1023"/>
      <c r="S352" s="67">
        <f>OBRA!S350</f>
        <v>43689</v>
      </c>
      <c r="T352" s="1134">
        <f>OBRA!V350</f>
        <v>0</v>
      </c>
      <c r="U352" s="5">
        <f>OBRA!T350</f>
        <v>43690</v>
      </c>
      <c r="V352" s="11">
        <f>OBRA!U350</f>
        <v>43812</v>
      </c>
      <c r="W352" s="1021" t="s">
        <v>1428</v>
      </c>
      <c r="X352" s="1154">
        <f>X371+X381+X382+X423</f>
        <v>2125398.58</v>
      </c>
      <c r="Y352" s="1047" t="s">
        <v>68</v>
      </c>
      <c r="Z352" s="146" t="str">
        <f>OBRA!W350</f>
        <v>N/A</v>
      </c>
      <c r="AA352" s="146" t="s">
        <v>68</v>
      </c>
      <c r="AB352" s="148" t="str">
        <f t="shared" si="21"/>
        <v>N/A</v>
      </c>
      <c r="AC352" s="124" t="s">
        <v>1428</v>
      </c>
      <c r="AD352" s="2" t="s">
        <v>1428</v>
      </c>
      <c r="AE352" s="183" t="s">
        <v>68</v>
      </c>
      <c r="AF352" s="19" t="s">
        <v>68</v>
      </c>
      <c r="AG352" s="2" t="s">
        <v>68</v>
      </c>
      <c r="AH352" s="183" t="s">
        <v>68</v>
      </c>
      <c r="AI352" s="2" t="s">
        <v>68</v>
      </c>
      <c r="AJ352" s="513" t="s">
        <v>68</v>
      </c>
      <c r="AK352" s="513"/>
      <c r="AL352" s="1513"/>
      <c r="AM352" s="1514"/>
      <c r="AN352" s="1324" t="s">
        <v>3491</v>
      </c>
      <c r="AO352" s="972" t="s">
        <v>68</v>
      </c>
      <c r="AP352" s="972" t="s">
        <v>68</v>
      </c>
      <c r="AQ352" s="973" t="s">
        <v>68</v>
      </c>
      <c r="AR352" s="973"/>
      <c r="AS352" s="974" t="s">
        <v>68</v>
      </c>
    </row>
    <row r="353" spans="1:46" ht="53.25" hidden="1" customHeight="1">
      <c r="A353" s="16">
        <f>OBRA!J351</f>
        <v>2019</v>
      </c>
      <c r="B353" s="783" t="s">
        <v>2094</v>
      </c>
      <c r="C353" s="783">
        <v>190.2</v>
      </c>
      <c r="D353" s="783"/>
      <c r="E353" s="2" t="str">
        <f>OBRA!M351</f>
        <v>P.I.D.</v>
      </c>
      <c r="F353" s="605" t="s">
        <v>3705</v>
      </c>
      <c r="G353" s="38" t="s">
        <v>2206</v>
      </c>
      <c r="H353" s="412" t="str">
        <f>OBRA!N351</f>
        <v>CONVENIO JOCOTEPEC PID 2019</v>
      </c>
      <c r="I353" s="2" t="str">
        <f>OBRA!O351</f>
        <v>CONVENIO</v>
      </c>
      <c r="J353" s="3" t="str">
        <f>OBRA!P351</f>
        <v>ESTABLECIMIENTO DE DOS PUNTOS INOCUOS DE DESEMBARQUE (PID)"</v>
      </c>
      <c r="K353" s="3" t="s">
        <v>2867</v>
      </c>
      <c r="L353" s="3"/>
      <c r="M353" s="3" t="s">
        <v>2002</v>
      </c>
      <c r="N353" s="3" t="s">
        <v>1975</v>
      </c>
      <c r="O353" s="495" t="s">
        <v>3491</v>
      </c>
      <c r="P353" s="79">
        <f>OBRA!R351</f>
        <v>2551506.64</v>
      </c>
      <c r="Q353" s="1023">
        <f t="shared" si="19"/>
        <v>2199574.6896551726</v>
      </c>
      <c r="R353" s="1023"/>
      <c r="S353" s="67">
        <f>OBRA!S351</f>
        <v>43677</v>
      </c>
      <c r="T353" s="1134" t="str">
        <f>OBRA!V351</f>
        <v>-</v>
      </c>
      <c r="U353" s="5">
        <f>OBRA!T351</f>
        <v>43677</v>
      </c>
      <c r="V353" s="11">
        <f>OBRA!U351</f>
        <v>43830</v>
      </c>
      <c r="W353" s="1020" t="s">
        <v>1428</v>
      </c>
      <c r="X353" s="278">
        <f>X380+X408+X409</f>
        <v>4496815.3499999996</v>
      </c>
      <c r="Y353" s="1018" t="s">
        <v>68</v>
      </c>
      <c r="Z353" s="146" t="str">
        <f>OBRA!W351</f>
        <v>N/A</v>
      </c>
      <c r="AA353" s="146" t="s">
        <v>68</v>
      </c>
      <c r="AB353" s="148" t="str">
        <f t="shared" si="21"/>
        <v>N/A</v>
      </c>
      <c r="AC353" s="183" t="s">
        <v>1428</v>
      </c>
      <c r="AD353" s="148" t="s">
        <v>1428</v>
      </c>
      <c r="AE353" s="183" t="s">
        <v>68</v>
      </c>
      <c r="AF353" s="19" t="s">
        <v>68</v>
      </c>
      <c r="AG353" s="2" t="s">
        <v>68</v>
      </c>
      <c r="AH353" s="183" t="s">
        <v>68</v>
      </c>
      <c r="AI353" s="2">
        <v>2000</v>
      </c>
      <c r="AJ353" s="513">
        <v>47000</v>
      </c>
      <c r="AK353" s="513"/>
      <c r="AL353" s="1513"/>
      <c r="AM353" s="1514"/>
      <c r="AN353" s="1324" t="s">
        <v>3491</v>
      </c>
      <c r="AO353" s="972" t="s">
        <v>68</v>
      </c>
      <c r="AP353" s="972" t="s">
        <v>68</v>
      </c>
      <c r="AQ353" s="973" t="s">
        <v>68</v>
      </c>
      <c r="AR353" s="973"/>
      <c r="AS353" s="974" t="s">
        <v>68</v>
      </c>
    </row>
    <row r="354" spans="1:46" ht="97.5" hidden="1" customHeight="1">
      <c r="A354" s="16">
        <f>OBRA!J352</f>
        <v>2019</v>
      </c>
      <c r="B354" s="783" t="s">
        <v>2094</v>
      </c>
      <c r="C354" s="783">
        <v>190.3</v>
      </c>
      <c r="D354" s="783"/>
      <c r="E354" s="2" t="str">
        <f>OBRA!M352</f>
        <v>RASTRO DIGNO / CTA-CTE</v>
      </c>
      <c r="F354" s="605" t="s">
        <v>3705</v>
      </c>
      <c r="G354" s="38" t="s">
        <v>2206</v>
      </c>
      <c r="H354" s="412" t="str">
        <f>OBRA!N352</f>
        <v>CONVENIO RASTRO DIGNO 2019</v>
      </c>
      <c r="I354" s="2" t="str">
        <f>OBRA!O352</f>
        <v>CONVENIO</v>
      </c>
      <c r="J354" s="3" t="str">
        <f>OBRA!P352</f>
        <v>PROGRAMA DE MEJORAMIENTO DE INSTALACIONES DE SACRIFICIO DE GANADO "RASTRO DIGNO" EJERCICIO FISCAL 2019</v>
      </c>
      <c r="K354" s="3" t="s">
        <v>2105</v>
      </c>
      <c r="L354" s="3"/>
      <c r="M354" s="3" t="s">
        <v>2106</v>
      </c>
      <c r="N354" s="3" t="s">
        <v>2663</v>
      </c>
      <c r="O354" s="495" t="s">
        <v>3491</v>
      </c>
      <c r="P354" s="79">
        <f>OBRA!R352</f>
        <v>4496816.92</v>
      </c>
      <c r="Q354" s="1023">
        <f t="shared" si="19"/>
        <v>3876566.3103448278</v>
      </c>
      <c r="R354" s="1023"/>
      <c r="S354" s="67">
        <f>OBRA!S352</f>
        <v>43687</v>
      </c>
      <c r="T354" s="1134" t="str">
        <f>OBRA!V352</f>
        <v>-</v>
      </c>
      <c r="U354" s="5" t="str">
        <f>OBRA!T352</f>
        <v>-</v>
      </c>
      <c r="V354" s="11">
        <f>OBRA!U352</f>
        <v>43830</v>
      </c>
      <c r="W354" s="1021" t="s">
        <v>1428</v>
      </c>
      <c r="X354" s="278">
        <f>X362</f>
        <v>615186.80000000005</v>
      </c>
      <c r="Y354" s="1018" t="s">
        <v>68</v>
      </c>
      <c r="Z354" s="146" t="s">
        <v>68</v>
      </c>
      <c r="AA354" s="146" t="s">
        <v>68</v>
      </c>
      <c r="AB354" s="148" t="s">
        <v>68</v>
      </c>
      <c r="AC354" s="183" t="s">
        <v>1428</v>
      </c>
      <c r="AD354" s="148" t="s">
        <v>1428</v>
      </c>
      <c r="AE354" s="183" t="s">
        <v>68</v>
      </c>
      <c r="AF354" s="19" t="s">
        <v>68</v>
      </c>
      <c r="AG354" s="2" t="s">
        <v>68</v>
      </c>
      <c r="AH354" s="183" t="s">
        <v>68</v>
      </c>
      <c r="AI354" s="2">
        <v>2000</v>
      </c>
      <c r="AJ354" s="513">
        <v>2000</v>
      </c>
      <c r="AK354" s="513"/>
      <c r="AL354" s="1513"/>
      <c r="AM354" s="1514"/>
      <c r="AN354" s="1324" t="s">
        <v>3491</v>
      </c>
      <c r="AO354" s="972" t="s">
        <v>68</v>
      </c>
      <c r="AP354" s="972" t="s">
        <v>68</v>
      </c>
      <c r="AQ354" s="973" t="s">
        <v>68</v>
      </c>
      <c r="AR354" s="973"/>
      <c r="AS354" s="974" t="s">
        <v>68</v>
      </c>
    </row>
    <row r="355" spans="1:46" ht="148.5" hidden="1" customHeight="1">
      <c r="A355" s="16">
        <f>OBRA!J353</f>
        <v>2019</v>
      </c>
      <c r="B355" s="783" t="s">
        <v>2094</v>
      </c>
      <c r="C355" s="783">
        <v>191.01</v>
      </c>
      <c r="D355" s="783"/>
      <c r="E355" s="2" t="str">
        <f>OBRA!M353</f>
        <v>CUENTA CORRIENTE</v>
      </c>
      <c r="F355" s="156" t="s">
        <v>1428</v>
      </c>
      <c r="G355" s="38" t="s">
        <v>2206</v>
      </c>
      <c r="H355" s="12" t="str">
        <f>OBRA!N353</f>
        <v>DOP/AD/001/2019</v>
      </c>
      <c r="I355" s="2" t="str">
        <f>OBRA!O353</f>
        <v>ADMINISTRACIÓN DIRECTA</v>
      </c>
      <c r="J355" s="3" t="str">
        <f>OBRA!P353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6241</v>
      </c>
      <c r="M355" s="3" t="s">
        <v>2108</v>
      </c>
      <c r="N355" s="3" t="s">
        <v>1975</v>
      </c>
      <c r="O355" s="466" t="s">
        <v>3843</v>
      </c>
      <c r="P355" s="4">
        <f>OBRA!R353</f>
        <v>250000</v>
      </c>
      <c r="Q355" s="1023">
        <f t="shared" si="19"/>
        <v>215517.24137931035</v>
      </c>
      <c r="R355" s="1023"/>
      <c r="S355" s="6">
        <f>OBRA!S353</f>
        <v>43524</v>
      </c>
      <c r="T355" s="1134" t="str">
        <f>OBRA!V353</f>
        <v>-</v>
      </c>
      <c r="U355" s="5">
        <f>OBRA!T353</f>
        <v>43529</v>
      </c>
      <c r="V355" s="11">
        <f>OBRA!U353</f>
        <v>43555</v>
      </c>
      <c r="W355" s="220">
        <v>0</v>
      </c>
      <c r="X355" s="278">
        <f>OBRA!AS353+OBRA!AT353</f>
        <v>249936.46</v>
      </c>
      <c r="Y355" s="1018" t="s">
        <v>2749</v>
      </c>
      <c r="Z355" s="146" t="str">
        <f>OBRA!W353</f>
        <v>N/A</v>
      </c>
      <c r="AA355" s="146" t="s">
        <v>68</v>
      </c>
      <c r="AB355" s="148" t="str">
        <f t="shared" si="21"/>
        <v>N/A</v>
      </c>
      <c r="AC355" s="146" t="s">
        <v>1177</v>
      </c>
      <c r="AD355" s="2" t="s">
        <v>1177</v>
      </c>
      <c r="AE355" s="183" t="str">
        <f>OBRA!X353</f>
        <v>ING. RIGOBERTO OLMEDO RAMOS</v>
      </c>
      <c r="AF355" s="19">
        <v>534.25</v>
      </c>
      <c r="AG355" s="2" t="s">
        <v>1548</v>
      </c>
      <c r="AH355" s="615">
        <f t="shared" ref="AH355:AH379" si="22">X355/AF355</f>
        <v>467.8267852129153</v>
      </c>
      <c r="AI355" s="2">
        <v>200</v>
      </c>
      <c r="AJ355" s="513" t="s">
        <v>68</v>
      </c>
      <c r="AK355" s="513"/>
      <c r="AL355" s="1513"/>
      <c r="AM355" s="1514"/>
      <c r="AN355" s="1223" t="s">
        <v>3843</v>
      </c>
      <c r="AO355" s="1286" t="s">
        <v>3843</v>
      </c>
      <c r="AP355" s="1286" t="s">
        <v>3843</v>
      </c>
      <c r="AQ355" s="1261" t="s">
        <v>3843</v>
      </c>
      <c r="AR355" s="1239"/>
      <c r="AS355" s="1297" t="s">
        <v>3843</v>
      </c>
    </row>
    <row r="356" spans="1:46" s="104" customFormat="1" ht="60" hidden="1" customHeight="1">
      <c r="A356" s="82">
        <f>OBRA!J354</f>
        <v>2019</v>
      </c>
      <c r="B356" s="784" t="s">
        <v>2094</v>
      </c>
      <c r="C356" s="784">
        <v>191.02</v>
      </c>
      <c r="D356" s="784"/>
      <c r="E356" s="85" t="str">
        <f>OBRA!M354</f>
        <v>CUENTA CORRIENTE</v>
      </c>
      <c r="F356" s="83" t="s">
        <v>1428</v>
      </c>
      <c r="G356" s="857"/>
      <c r="H356" s="103" t="str">
        <f>OBRA!N354</f>
        <v>DOP/AD/002/2019</v>
      </c>
      <c r="I356" s="85" t="str">
        <f>OBRA!O354</f>
        <v>CANCELADA</v>
      </c>
      <c r="J356" s="125" t="str">
        <f>OBRA!P354</f>
        <v>"CONSERVACIÓN Y MANTENIMIENTO DE HUELLAS DE ADOQUÍN EN CALLE MATAMOROS SUR DE C. DONATO GUERRA A HOSPITAL DE URGENCIAS" EN LA CABECERA MUNICIPAL DE JOCOTEPEPC, JALISCO"</v>
      </c>
      <c r="K356" s="125" t="s">
        <v>68</v>
      </c>
      <c r="L356" s="125"/>
      <c r="M356" s="125" t="s">
        <v>2109</v>
      </c>
      <c r="N356" s="125" t="s">
        <v>68</v>
      </c>
      <c r="O356" s="541"/>
      <c r="P356" s="86">
        <f>OBRA!R354</f>
        <v>75251.929999999993</v>
      </c>
      <c r="Q356" s="1023">
        <f t="shared" si="19"/>
        <v>64872.353448275862</v>
      </c>
      <c r="R356" s="1023"/>
      <c r="S356" s="87" t="str">
        <f>OBRA!S354</f>
        <v>-</v>
      </c>
      <c r="T356" s="1134" t="str">
        <f>OBRA!V354</f>
        <v>-</v>
      </c>
      <c r="U356" s="88" t="str">
        <f>OBRA!T354</f>
        <v>-</v>
      </c>
      <c r="V356" s="89" t="str">
        <f>OBRA!U354</f>
        <v>-</v>
      </c>
      <c r="W356" s="1022" t="s">
        <v>68</v>
      </c>
      <c r="X356" s="821">
        <f>OBRA!AS354+OBRA!AT354</f>
        <v>0</v>
      </c>
      <c r="Y356" s="1016" t="s">
        <v>68</v>
      </c>
      <c r="Z356" s="147" t="str">
        <f>OBRA!W354</f>
        <v>-</v>
      </c>
      <c r="AA356" s="146" t="s">
        <v>68</v>
      </c>
      <c r="AB356" s="149" t="str">
        <f t="shared" si="21"/>
        <v>-</v>
      </c>
      <c r="AC356" s="147" t="s">
        <v>1177</v>
      </c>
      <c r="AD356" s="85" t="s">
        <v>1177</v>
      </c>
      <c r="AE356" s="184" t="str">
        <f>OBRA!X354</f>
        <v>LIC. SALVADOR CONTRERAS OLGUÍN</v>
      </c>
      <c r="AF356" s="84">
        <v>295.60000000000002</v>
      </c>
      <c r="AG356" s="85" t="s">
        <v>1548</v>
      </c>
      <c r="AH356" s="184">
        <f t="shared" si="22"/>
        <v>0</v>
      </c>
      <c r="AI356" s="85">
        <v>21500</v>
      </c>
      <c r="AJ356" s="514">
        <v>21500</v>
      </c>
      <c r="AK356" s="514"/>
      <c r="AL356" s="1515"/>
      <c r="AM356" s="1516"/>
      <c r="AN356" s="573"/>
      <c r="AO356" s="816" t="s">
        <v>68</v>
      </c>
      <c r="AP356" s="816" t="s">
        <v>68</v>
      </c>
      <c r="AQ356" s="514" t="s">
        <v>68</v>
      </c>
      <c r="AR356" s="514"/>
      <c r="AS356" s="83" t="s">
        <v>68</v>
      </c>
    </row>
    <row r="357" spans="1:46" s="104" customFormat="1" ht="51" hidden="1" customHeight="1">
      <c r="A357" s="82">
        <f>OBRA!J355</f>
        <v>2019</v>
      </c>
      <c r="B357" s="784" t="s">
        <v>2094</v>
      </c>
      <c r="C357" s="784">
        <v>191.03</v>
      </c>
      <c r="D357" s="784"/>
      <c r="E357" s="85" t="str">
        <f>OBRA!M355</f>
        <v>CUENTA CORRIENTE</v>
      </c>
      <c r="F357" s="83" t="s">
        <v>1428</v>
      </c>
      <c r="G357" s="857"/>
      <c r="H357" s="103" t="str">
        <f>OBRA!N355</f>
        <v>DOP/AD/003/2019</v>
      </c>
      <c r="I357" s="85" t="str">
        <f>OBRA!O355</f>
        <v>CANCELADA</v>
      </c>
      <c r="J357" s="125" t="str">
        <f>OBRA!P355</f>
        <v>CONSERVACIÓN Y MANTENIMIENTO INCLUYENTE DE BANQUETA Y ACCESO HOSPITAL DE URGENCIAS" EN LA CABECERA MUNICIPAL DE JOCOTEPEC, JALISCO</v>
      </c>
      <c r="K357" s="125" t="s">
        <v>68</v>
      </c>
      <c r="L357" s="125"/>
      <c r="M357" s="125"/>
      <c r="N357" s="125" t="s">
        <v>68</v>
      </c>
      <c r="O357" s="541"/>
      <c r="P357" s="86">
        <f>OBRA!R355</f>
        <v>140710.85999999999</v>
      </c>
      <c r="Q357" s="1023">
        <f t="shared" si="19"/>
        <v>121302.46551724138</v>
      </c>
      <c r="R357" s="1023"/>
      <c r="S357" s="87" t="str">
        <f>OBRA!S355</f>
        <v>-</v>
      </c>
      <c r="T357" s="1134" t="str">
        <f>OBRA!V355</f>
        <v>-</v>
      </c>
      <c r="U357" s="88" t="str">
        <f>OBRA!T355</f>
        <v>-</v>
      </c>
      <c r="V357" s="89" t="str">
        <f>OBRA!U355</f>
        <v>-</v>
      </c>
      <c r="W357" s="1022" t="s">
        <v>68</v>
      </c>
      <c r="X357" s="821">
        <f>OBRA!AS355+OBRA!AT355</f>
        <v>0</v>
      </c>
      <c r="Y357" s="1016" t="s">
        <v>68</v>
      </c>
      <c r="Z357" s="147" t="str">
        <f>OBRA!W355</f>
        <v>-</v>
      </c>
      <c r="AA357" s="146" t="s">
        <v>68</v>
      </c>
      <c r="AB357" s="149" t="str">
        <f t="shared" si="21"/>
        <v>-</v>
      </c>
      <c r="AC357" s="147" t="s">
        <v>1177</v>
      </c>
      <c r="AD357" s="85" t="s">
        <v>1177</v>
      </c>
      <c r="AE357" s="184" t="str">
        <f>OBRA!X355</f>
        <v>LIC. SALVADOR CONTRERAS OLGUÍN</v>
      </c>
      <c r="AF357" s="84">
        <v>1</v>
      </c>
      <c r="AG357" s="85"/>
      <c r="AH357" s="184">
        <f t="shared" si="22"/>
        <v>0</v>
      </c>
      <c r="AI357" s="85">
        <v>0</v>
      </c>
      <c r="AJ357" s="514"/>
      <c r="AK357" s="514"/>
      <c r="AL357" s="1515"/>
      <c r="AM357" s="1516"/>
      <c r="AN357" s="573"/>
      <c r="AO357" s="816" t="s">
        <v>68</v>
      </c>
      <c r="AP357" s="816" t="s">
        <v>68</v>
      </c>
      <c r="AQ357" s="514" t="s">
        <v>68</v>
      </c>
      <c r="AR357" s="514"/>
      <c r="AS357" s="83" t="s">
        <v>68</v>
      </c>
    </row>
    <row r="358" spans="1:46" ht="74.25" hidden="1" customHeight="1">
      <c r="A358" s="16">
        <f>OBRA!J356</f>
        <v>2019</v>
      </c>
      <c r="B358" s="783" t="s">
        <v>2094</v>
      </c>
      <c r="C358" s="783">
        <v>191.04</v>
      </c>
      <c r="D358" s="783"/>
      <c r="E358" s="2" t="str">
        <f>OBRA!M356</f>
        <v>CUENTA CORRIENTE</v>
      </c>
      <c r="F358" s="156" t="s">
        <v>1428</v>
      </c>
      <c r="G358" s="38" t="s">
        <v>2206</v>
      </c>
      <c r="H358" s="12" t="str">
        <f>OBRA!N356</f>
        <v>DOP/AD/004/2019</v>
      </c>
      <c r="I358" s="2" t="str">
        <f>OBRA!O356</f>
        <v>ADMINISTRACIÓN DIRECTA</v>
      </c>
      <c r="J358" s="3" t="str">
        <f>OBRA!P356</f>
        <v>CONSTRUCCIÓN DE RAMPAS INCLUYENTES EN LA DELEGACIÓN, DE SAN JUAN COSALA" DE LA CABECERA MUNICIPAL DE JOCOTEPEC, JALISCO.</v>
      </c>
      <c r="K358" s="3" t="s">
        <v>2110</v>
      </c>
      <c r="L358" s="3" t="s">
        <v>4748</v>
      </c>
      <c r="M358" s="3" t="s">
        <v>6298</v>
      </c>
      <c r="N358" s="3" t="s">
        <v>2524</v>
      </c>
      <c r="O358" s="466" t="s">
        <v>3844</v>
      </c>
      <c r="P358" s="4">
        <f>OBRA!R356</f>
        <v>22876.2</v>
      </c>
      <c r="Q358" s="1023">
        <f t="shared" si="19"/>
        <v>19720.862068965518</v>
      </c>
      <c r="R358" s="1023"/>
      <c r="S358" s="6">
        <f>OBRA!S356</f>
        <v>43588</v>
      </c>
      <c r="T358" s="1134" t="str">
        <f>OBRA!V356</f>
        <v>-</v>
      </c>
      <c r="U358" s="5">
        <f>OBRA!T356</f>
        <v>43592</v>
      </c>
      <c r="V358" s="11">
        <f>OBRA!U356</f>
        <v>43623</v>
      </c>
      <c r="W358" s="220">
        <v>0</v>
      </c>
      <c r="X358" s="278">
        <f>OBRA!AS356+OBRA!AT356</f>
        <v>6559.65</v>
      </c>
      <c r="Y358" s="1105" t="s">
        <v>2111</v>
      </c>
      <c r="Z358" s="146" t="str">
        <f>OBRA!W356</f>
        <v>N/A</v>
      </c>
      <c r="AA358" s="146" t="s">
        <v>68</v>
      </c>
      <c r="AB358" s="148" t="str">
        <f t="shared" si="21"/>
        <v>N/A</v>
      </c>
      <c r="AC358" s="146" t="s">
        <v>1177</v>
      </c>
      <c r="AD358" s="2" t="s">
        <v>1177</v>
      </c>
      <c r="AE358" s="183" t="str">
        <f>OBRA!X356</f>
        <v>LIC. SALVADOR CONTRERAS OLGUÍN</v>
      </c>
      <c r="AF358" s="19">
        <v>1</v>
      </c>
      <c r="AG358" s="2" t="s">
        <v>1573</v>
      </c>
      <c r="AH358" s="183">
        <f t="shared" si="22"/>
        <v>6559.65</v>
      </c>
      <c r="AI358" s="510"/>
      <c r="AJ358" s="513">
        <v>7800</v>
      </c>
      <c r="AK358" s="513"/>
      <c r="AL358" s="1513"/>
      <c r="AM358" s="1514"/>
      <c r="AN358" s="1240" t="s">
        <v>3844</v>
      </c>
      <c r="AO358" s="1291" t="s">
        <v>3844</v>
      </c>
      <c r="AP358" s="1291" t="s">
        <v>3844</v>
      </c>
      <c r="AQ358" s="1289" t="s">
        <v>3844</v>
      </c>
      <c r="AR358" s="1847"/>
      <c r="AS358" s="1297" t="s">
        <v>3844</v>
      </c>
      <c r="AT358" s="533">
        <f>X358+X359+X360</f>
        <v>63502.530000000006</v>
      </c>
    </row>
    <row r="359" spans="1:46" ht="114" hidden="1" customHeight="1">
      <c r="A359" s="16">
        <f>OBRA!J357</f>
        <v>2019</v>
      </c>
      <c r="B359" s="783" t="s">
        <v>2094</v>
      </c>
      <c r="C359" s="783">
        <v>191.05</v>
      </c>
      <c r="D359" s="783"/>
      <c r="E359" s="2" t="str">
        <f>OBRA!M357</f>
        <v>CUENTA CORRIENTE</v>
      </c>
      <c r="F359" s="156" t="s">
        <v>1428</v>
      </c>
      <c r="G359" s="38" t="s">
        <v>2206</v>
      </c>
      <c r="H359" s="12" t="str">
        <f>OBRA!N357</f>
        <v>DOP/AD/005/2019</v>
      </c>
      <c r="I359" s="2" t="str">
        <f>OBRA!O357</f>
        <v>ADMINISTRACIÓN DIRECTA</v>
      </c>
      <c r="J359" s="3" t="str">
        <f>OBRA!P357</f>
        <v>CONSTRUCCIÓN DE ASTA DE BANDERA DE 10 MTS DE ALURA EN LA PLAZA PRINCIPAL" EN LA DELEGACIÓN DE SAN JUAN COSALA, DE LA CABECERA MUNICIPAL DE JOCOTEPEC, JALISCO.</v>
      </c>
      <c r="K359" s="3" t="s">
        <v>2112</v>
      </c>
      <c r="L359" s="3" t="s">
        <v>6242</v>
      </c>
      <c r="M359" s="3" t="s">
        <v>2113</v>
      </c>
      <c r="N359" s="3" t="s">
        <v>2524</v>
      </c>
      <c r="O359" s="466" t="s">
        <v>3845</v>
      </c>
      <c r="P359" s="4">
        <f>OBRA!R357</f>
        <v>18491.009999999998</v>
      </c>
      <c r="Q359" s="1023">
        <f t="shared" si="19"/>
        <v>15940.525862068966</v>
      </c>
      <c r="R359" s="1023"/>
      <c r="S359" s="6">
        <f>OBRA!S357</f>
        <v>43588</v>
      </c>
      <c r="T359" s="1134" t="str">
        <f>OBRA!V357</f>
        <v>-</v>
      </c>
      <c r="U359" s="5">
        <f>OBRA!T357</f>
        <v>43592</v>
      </c>
      <c r="V359" s="11">
        <f>OBRA!U357</f>
        <v>43623</v>
      </c>
      <c r="W359" s="220">
        <v>0</v>
      </c>
      <c r="X359" s="278">
        <f>OBRA!AS357+OBRA!AT357</f>
        <v>50740.69</v>
      </c>
      <c r="Y359" s="1105" t="s">
        <v>2114</v>
      </c>
      <c r="Z359" s="146" t="str">
        <f>OBRA!W357</f>
        <v>N/A</v>
      </c>
      <c r="AA359" s="146" t="s">
        <v>68</v>
      </c>
      <c r="AB359" s="148" t="str">
        <f t="shared" si="21"/>
        <v>N/A</v>
      </c>
      <c r="AC359" s="146" t="s">
        <v>1177</v>
      </c>
      <c r="AD359" s="2" t="s">
        <v>1177</v>
      </c>
      <c r="AE359" s="183" t="str">
        <f>OBRA!X357</f>
        <v>LIC. SALVADOR CONTRERAS OLGUÍN</v>
      </c>
      <c r="AF359" s="19">
        <v>1</v>
      </c>
      <c r="AG359" s="2" t="s">
        <v>1573</v>
      </c>
      <c r="AH359" s="183">
        <f t="shared" si="22"/>
        <v>50740.69</v>
      </c>
      <c r="AI359" s="510"/>
      <c r="AJ359" s="513">
        <v>7800</v>
      </c>
      <c r="AK359" s="513"/>
      <c r="AL359" s="1513"/>
      <c r="AM359" s="1514"/>
      <c r="AN359" s="1240" t="s">
        <v>3845</v>
      </c>
      <c r="AO359" s="1291" t="s">
        <v>3845</v>
      </c>
      <c r="AP359" s="1291" t="s">
        <v>3845</v>
      </c>
      <c r="AQ359" s="1289" t="s">
        <v>3845</v>
      </c>
      <c r="AR359" s="1847"/>
      <c r="AS359" s="511"/>
    </row>
    <row r="360" spans="1:46" ht="87.75" hidden="1" customHeight="1">
      <c r="A360" s="16">
        <f>OBRA!J358</f>
        <v>2019</v>
      </c>
      <c r="B360" s="783" t="s">
        <v>2094</v>
      </c>
      <c r="C360" s="783">
        <v>191.06</v>
      </c>
      <c r="D360" s="783"/>
      <c r="E360" s="2" t="str">
        <f>OBRA!M358</f>
        <v>CUENTA CORRIENTE</v>
      </c>
      <c r="F360" s="156" t="s">
        <v>1428</v>
      </c>
      <c r="G360" s="38" t="s">
        <v>2206</v>
      </c>
      <c r="H360" s="12" t="str">
        <f>OBRA!N358</f>
        <v>DOP/AD/006/2019</v>
      </c>
      <c r="I360" s="2" t="str">
        <f>OBRA!O358</f>
        <v>ADMINISTRACIÓN DIRECTA</v>
      </c>
      <c r="J360" s="3" t="str">
        <f>OBRA!P358</f>
        <v>"FABRICACIÓN DE APLANADO EN MURO PONIENTE DE LA PLAZA PRINCIPAL" EN LA DELEGACIÓN, DE SAN JUAN COSALA, DE LA CABECERA MUNICIPAL DE JOCOTEPEC, JALISCO</v>
      </c>
      <c r="K360" s="3" t="s">
        <v>2115</v>
      </c>
      <c r="L360" s="3" t="s">
        <v>6242</v>
      </c>
      <c r="M360" s="3" t="s">
        <v>2113</v>
      </c>
      <c r="N360" s="3" t="s">
        <v>2524</v>
      </c>
      <c r="O360" s="466" t="s">
        <v>3846</v>
      </c>
      <c r="P360" s="4">
        <f>OBRA!R358</f>
        <v>13050.14</v>
      </c>
      <c r="Q360" s="1023">
        <f t="shared" si="19"/>
        <v>11250.120689655172</v>
      </c>
      <c r="R360" s="1023"/>
      <c r="S360" s="6">
        <f>OBRA!S358</f>
        <v>43588</v>
      </c>
      <c r="T360" s="1134" t="str">
        <f>OBRA!V358</f>
        <v>-</v>
      </c>
      <c r="U360" s="5">
        <f>OBRA!T358</f>
        <v>43592</v>
      </c>
      <c r="V360" s="11">
        <f>OBRA!U358</f>
        <v>43623</v>
      </c>
      <c r="W360" s="220">
        <v>0</v>
      </c>
      <c r="X360" s="278">
        <f>OBRA!AS358+OBRA!AT358</f>
        <v>6202.19</v>
      </c>
      <c r="Y360" s="1105" t="s">
        <v>2116</v>
      </c>
      <c r="Z360" s="146" t="str">
        <f>OBRA!W358</f>
        <v>N/A</v>
      </c>
      <c r="AA360" s="146" t="s">
        <v>68</v>
      </c>
      <c r="AB360" s="148" t="str">
        <f t="shared" si="21"/>
        <v>N/A</v>
      </c>
      <c r="AC360" s="146" t="s">
        <v>1177</v>
      </c>
      <c r="AD360" s="2" t="s">
        <v>1177</v>
      </c>
      <c r="AE360" s="183" t="str">
        <f>OBRA!X358</f>
        <v>LIC. SALVADOR CONTRERAS OLGUÍN</v>
      </c>
      <c r="AF360" s="552">
        <v>43</v>
      </c>
      <c r="AG360" s="2" t="s">
        <v>1548</v>
      </c>
      <c r="AH360" s="615">
        <f t="shared" si="22"/>
        <v>144.23697674418602</v>
      </c>
      <c r="AI360" s="510"/>
      <c r="AJ360" s="513">
        <v>7800</v>
      </c>
      <c r="AK360" s="513"/>
      <c r="AL360" s="1513"/>
      <c r="AM360" s="1514"/>
      <c r="AN360" s="1240" t="s">
        <v>3846</v>
      </c>
      <c r="AO360" s="1291" t="s">
        <v>3846</v>
      </c>
      <c r="AP360" s="1291" t="s">
        <v>3846</v>
      </c>
      <c r="AQ360" s="1289" t="s">
        <v>3846</v>
      </c>
      <c r="AR360" s="1847"/>
      <c r="AS360" s="1290" t="s">
        <v>3846</v>
      </c>
    </row>
    <row r="361" spans="1:46" ht="82.5" hidden="1" customHeight="1">
      <c r="A361" s="16">
        <f>OBRA!J359</f>
        <v>2019</v>
      </c>
      <c r="B361" s="783" t="s">
        <v>2094</v>
      </c>
      <c r="C361" s="783">
        <v>191.07</v>
      </c>
      <c r="D361" s="783"/>
      <c r="E361" s="2" t="str">
        <f>OBRA!M359</f>
        <v>CUENTA CORRIENTE</v>
      </c>
      <c r="F361" s="156" t="s">
        <v>1428</v>
      </c>
      <c r="G361" s="38" t="s">
        <v>2206</v>
      </c>
      <c r="H361" s="12" t="str">
        <f>OBRA!N359</f>
        <v>DOP/AD/007/2019</v>
      </c>
      <c r="I361" s="2" t="str">
        <f>OBRA!O359</f>
        <v>ADMINISTRACIÓN DIRECTA</v>
      </c>
      <c r="J361" s="3" t="str">
        <f>OBRA!P359</f>
        <v>"MANTENIMIENTO Y CONSERVACIÓN CON MAQUINARIA PESADA DE CALLES Y CAMINOS EN LAS AGENCIAS, DELEGACIONES Y CABECERA DEL MUNICIPIO DE JOCOTEPEC, JALISCO"</v>
      </c>
      <c r="K361" s="3" t="s">
        <v>2117</v>
      </c>
      <c r="L361" s="3" t="s">
        <v>6243</v>
      </c>
      <c r="M361" s="3" t="s">
        <v>2118</v>
      </c>
      <c r="N361" s="3" t="s">
        <v>3012</v>
      </c>
      <c r="O361" s="466" t="s">
        <v>3847</v>
      </c>
      <c r="P361" s="4">
        <f>OBRA!R359</f>
        <v>200000</v>
      </c>
      <c r="Q361" s="1023">
        <f t="shared" si="19"/>
        <v>172413.79310344829</v>
      </c>
      <c r="R361" s="1023"/>
      <c r="S361" s="6">
        <f>OBRA!S359</f>
        <v>43647</v>
      </c>
      <c r="T361" s="1134" t="str">
        <f>OBRA!V359</f>
        <v>-</v>
      </c>
      <c r="U361" s="5">
        <f>OBRA!T359</f>
        <v>43647</v>
      </c>
      <c r="V361" s="11">
        <f>OBRA!U359</f>
        <v>43830</v>
      </c>
      <c r="W361" s="220">
        <v>0</v>
      </c>
      <c r="X361" s="278">
        <f>OBRA!AS359+OBRA!AT359</f>
        <v>185312.5</v>
      </c>
      <c r="Y361" s="1105" t="s">
        <v>2868</v>
      </c>
      <c r="Z361" s="146" t="str">
        <f>OBRA!W359</f>
        <v>N/A</v>
      </c>
      <c r="AA361" s="146" t="s">
        <v>68</v>
      </c>
      <c r="AB361" s="148" t="str">
        <f t="shared" si="21"/>
        <v>N/A</v>
      </c>
      <c r="AC361" s="146" t="s">
        <v>1177</v>
      </c>
      <c r="AD361" s="2" t="s">
        <v>1177</v>
      </c>
      <c r="AE361" s="183" t="str">
        <f>OBRA!X359</f>
        <v>ING. LUIS RIGOBERTO OLMEDO NAVARRO</v>
      </c>
      <c r="AF361" s="19">
        <v>1</v>
      </c>
      <c r="AG361" s="2" t="s">
        <v>1573</v>
      </c>
      <c r="AH361" s="615">
        <f t="shared" si="22"/>
        <v>185312.5</v>
      </c>
      <c r="AI361" s="510"/>
      <c r="AJ361" s="513">
        <v>15700</v>
      </c>
      <c r="AK361" s="513"/>
      <c r="AL361" s="1513"/>
      <c r="AM361" s="1514"/>
      <c r="AN361" s="1240" t="s">
        <v>3847</v>
      </c>
      <c r="AO361" s="1291" t="s">
        <v>3847</v>
      </c>
      <c r="AP361" s="1306"/>
      <c r="AQ361" s="1289" t="s">
        <v>3847</v>
      </c>
      <c r="AR361" s="1847"/>
      <c r="AS361" s="1297" t="s">
        <v>3847</v>
      </c>
    </row>
    <row r="362" spans="1:46" ht="101.25" hidden="1" customHeight="1">
      <c r="A362" s="16">
        <f>OBRA!J360</f>
        <v>2019</v>
      </c>
      <c r="B362" s="783" t="s">
        <v>2094</v>
      </c>
      <c r="C362" s="783">
        <v>191.08</v>
      </c>
      <c r="D362" s="1447" t="s">
        <v>4021</v>
      </c>
      <c r="E362" s="2" t="str">
        <f>OBRA!M360</f>
        <v>CEA / CUENTA CORRIENTE</v>
      </c>
      <c r="F362" s="605" t="s">
        <v>3705</v>
      </c>
      <c r="G362" s="38" t="s">
        <v>2206</v>
      </c>
      <c r="H362" s="12" t="str">
        <f>OBRA!N360</f>
        <v>DOP/AD/008/2019</v>
      </c>
      <c r="I362" s="2" t="str">
        <f>OBRA!O360</f>
        <v>ADMINISTRACIÓN DIRECTA</v>
      </c>
      <c r="J362" s="3" t="str">
        <f>OBRA!P360</f>
        <v>"LA COMPRA DE MATERIALES E INSUMOS NECESARIOS" PARA LA PERFORACIÓN DE POZO PROFUNDO EN LA AGENCIA MUNICIPAL DE EL MOLINO, DEL MUNICIPIO DE JOCOTEPEC, JALISCO.</v>
      </c>
      <c r="K362" s="3" t="s">
        <v>2119</v>
      </c>
      <c r="L362" s="3" t="s">
        <v>4751</v>
      </c>
      <c r="M362" s="3" t="s">
        <v>2106</v>
      </c>
      <c r="N362" s="3" t="s">
        <v>2663</v>
      </c>
      <c r="O362" s="466" t="s">
        <v>3848</v>
      </c>
      <c r="P362" s="4">
        <f>OBRA!R360</f>
        <v>800000</v>
      </c>
      <c r="Q362" s="1023">
        <f t="shared" si="19"/>
        <v>689655.17241379316</v>
      </c>
      <c r="R362" s="1023"/>
      <c r="S362" s="6">
        <f>OBRA!S360</f>
        <v>43683</v>
      </c>
      <c r="T362" s="1134" t="str">
        <f>OBRA!V360</f>
        <v>-</v>
      </c>
      <c r="U362" s="5">
        <f>OBRA!T360</f>
        <v>43689</v>
      </c>
      <c r="V362" s="11">
        <f>OBRA!U360</f>
        <v>43830</v>
      </c>
      <c r="W362" s="220">
        <v>0</v>
      </c>
      <c r="X362" s="278">
        <f>OBRA!AS360+OBRA!AT360</f>
        <v>615186.80000000005</v>
      </c>
      <c r="Y362" s="1105" t="s">
        <v>2750</v>
      </c>
      <c r="Z362" s="146" t="str">
        <f>OBRA!W360</f>
        <v>N/A</v>
      </c>
      <c r="AA362" s="146" t="s">
        <v>68</v>
      </c>
      <c r="AB362" s="148" t="str">
        <f t="shared" si="21"/>
        <v>N/A</v>
      </c>
      <c r="AC362" s="146" t="s">
        <v>1177</v>
      </c>
      <c r="AD362" s="2" t="s">
        <v>1177</v>
      </c>
      <c r="AE362" s="183" t="str">
        <f>OBRA!X360</f>
        <v>ING. JUAN MANUEL GARCIA ESCOTO</v>
      </c>
      <c r="AF362" s="19">
        <v>1</v>
      </c>
      <c r="AG362" s="2" t="s">
        <v>1463</v>
      </c>
      <c r="AH362" s="615">
        <f t="shared" si="22"/>
        <v>615186.80000000005</v>
      </c>
      <c r="AI362" s="2">
        <v>2000</v>
      </c>
      <c r="AJ362" s="513">
        <v>2000</v>
      </c>
      <c r="AK362" s="513"/>
      <c r="AL362" s="1513"/>
      <c r="AM362" s="1514"/>
      <c r="AN362" s="1240" t="s">
        <v>3848</v>
      </c>
      <c r="AO362" s="1286" t="s">
        <v>3848</v>
      </c>
      <c r="AP362" s="529"/>
      <c r="AQ362" s="1261" t="s">
        <v>3848</v>
      </c>
      <c r="AR362" s="1239"/>
      <c r="AS362" s="511"/>
    </row>
    <row r="363" spans="1:46" ht="117.75" hidden="1" customHeight="1">
      <c r="A363" s="16">
        <f>OBRA!J361</f>
        <v>2019</v>
      </c>
      <c r="B363" s="783" t="s">
        <v>2094</v>
      </c>
      <c r="C363" s="783">
        <v>191.09</v>
      </c>
      <c r="D363" s="783"/>
      <c r="E363" s="2" t="str">
        <f>OBRA!M361</f>
        <v>CUENTA CORRIENTE</v>
      </c>
      <c r="F363" s="156" t="s">
        <v>1428</v>
      </c>
      <c r="G363" s="38" t="s">
        <v>2206</v>
      </c>
      <c r="H363" s="12" t="str">
        <f>OBRA!N361</f>
        <v>DOP/AD/009/2019</v>
      </c>
      <c r="I363" s="2" t="str">
        <f>OBRA!O361</f>
        <v>ADMINISTRACIÓN DIRECTA</v>
      </c>
      <c r="J363" s="3" t="str">
        <f>OBRA!P361</f>
        <v>"CONSTRUCCION DE EMPEDRADOS ECOLÓGICOS, AHOGADOS EN CEMENTO Y CON HUELLAS, EN VARIAS CALLES DE LA AGENCIA MUNICIPAL DE EL MOLINO". DEL MUNICIPIO DE JOCOTEPEC, JALISCO.</v>
      </c>
      <c r="K363" s="3" t="s">
        <v>2120</v>
      </c>
      <c r="L363" s="3" t="s">
        <v>4752</v>
      </c>
      <c r="M363" s="3" t="s">
        <v>2121</v>
      </c>
      <c r="N363" s="3" t="s">
        <v>2663</v>
      </c>
      <c r="O363" s="466" t="s">
        <v>3849</v>
      </c>
      <c r="P363" s="4">
        <f>OBRA!R361</f>
        <v>750000</v>
      </c>
      <c r="Q363" s="1023">
        <f t="shared" si="19"/>
        <v>646551.72413793113</v>
      </c>
      <c r="R363" s="1023"/>
      <c r="S363" s="6">
        <f>OBRA!S361</f>
        <v>43686</v>
      </c>
      <c r="T363" s="1134" t="str">
        <f>OBRA!V361</f>
        <v>-</v>
      </c>
      <c r="U363" s="5">
        <f>OBRA!T361</f>
        <v>43689</v>
      </c>
      <c r="V363" s="11">
        <f>OBRA!U361</f>
        <v>43830</v>
      </c>
      <c r="W363" s="220">
        <v>0</v>
      </c>
      <c r="X363" s="278">
        <f>OBRA!AS361+OBRA!AT361</f>
        <v>630687.37</v>
      </c>
      <c r="Y363" s="1105" t="s">
        <v>2751</v>
      </c>
      <c r="Z363" s="146" t="str">
        <f>OBRA!W361</f>
        <v>N/A</v>
      </c>
      <c r="AA363" s="146" t="s">
        <v>68</v>
      </c>
      <c r="AB363" s="148" t="str">
        <f t="shared" si="21"/>
        <v>N/A</v>
      </c>
      <c r="AC363" s="146" t="s">
        <v>1177</v>
      </c>
      <c r="AD363" s="2" t="s">
        <v>1177</v>
      </c>
      <c r="AE363" s="183" t="str">
        <f>OBRA!X361</f>
        <v>ING. JUAN MANUEL GARCIA ESCOTO</v>
      </c>
      <c r="AF363" s="19">
        <v>2787.77</v>
      </c>
      <c r="AG363" s="2" t="s">
        <v>1548</v>
      </c>
      <c r="AH363" s="615">
        <f t="shared" si="22"/>
        <v>226.23364553029842</v>
      </c>
      <c r="AI363" s="510"/>
      <c r="AJ363" s="513">
        <v>2000</v>
      </c>
      <c r="AK363" s="513"/>
      <c r="AL363" s="1513"/>
      <c r="AM363" s="1514"/>
      <c r="AN363" s="1240" t="s">
        <v>3849</v>
      </c>
      <c r="AO363" s="1286" t="s">
        <v>3849</v>
      </c>
      <c r="AP363" s="1286" t="s">
        <v>3849</v>
      </c>
      <c r="AQ363" s="1261" t="s">
        <v>3849</v>
      </c>
      <c r="AR363" s="1239"/>
      <c r="AS363" s="1297" t="s">
        <v>3849</v>
      </c>
    </row>
    <row r="364" spans="1:46" ht="199.5" hidden="1" customHeight="1">
      <c r="A364" s="16">
        <f>OBRA!J362</f>
        <v>2019</v>
      </c>
      <c r="B364" s="783" t="s">
        <v>2094</v>
      </c>
      <c r="C364" s="783">
        <v>191.1</v>
      </c>
      <c r="D364" s="783"/>
      <c r="E364" s="2" t="str">
        <f>OBRA!M362</f>
        <v>CUENTA CORRIENTE</v>
      </c>
      <c r="F364" s="156" t="s">
        <v>1428</v>
      </c>
      <c r="G364" s="38" t="s">
        <v>2206</v>
      </c>
      <c r="H364" s="12" t="str">
        <f>OBRA!N362</f>
        <v>DOP/AD/010/2019</v>
      </c>
      <c r="I364" s="2" t="str">
        <f>OBRA!O362</f>
        <v>ADMINISTRACIÓN DIRECTA</v>
      </c>
      <c r="J364" s="3" t="str">
        <f>OBRA!P362</f>
        <v>"CONSTRUCCIÓN DE LÍNEAS HIDROSANITARIAS EN CALLE EXTRAMUROS DE PRIVADA A CARRETERA," EN SAN PEDRO TESISTAN, DEL MUNICIPIO DE JOCOTEPEC, JALISCO.</v>
      </c>
      <c r="K364" s="3" t="s">
        <v>2138</v>
      </c>
      <c r="L364" s="3" t="s">
        <v>6249</v>
      </c>
      <c r="M364" s="3" t="s">
        <v>6273</v>
      </c>
      <c r="N364" s="3" t="s">
        <v>2532</v>
      </c>
      <c r="O364" s="504" t="s">
        <v>3850</v>
      </c>
      <c r="P364" s="4">
        <f>OBRA!R362</f>
        <v>518279.12</v>
      </c>
      <c r="Q364" s="1023">
        <f t="shared" si="19"/>
        <v>446792.34482758626</v>
      </c>
      <c r="R364" s="1023"/>
      <c r="S364" s="6">
        <f>OBRA!S362</f>
        <v>43707</v>
      </c>
      <c r="T364" s="1134" t="str">
        <f>OBRA!V362</f>
        <v>-</v>
      </c>
      <c r="U364" s="5">
        <f>OBRA!T362</f>
        <v>43710</v>
      </c>
      <c r="V364" s="11">
        <f>OBRA!U362</f>
        <v>43798</v>
      </c>
      <c r="W364" s="220">
        <v>0</v>
      </c>
      <c r="X364" s="278">
        <f>OBRA!AS362+OBRA!AT362</f>
        <v>445239.22</v>
      </c>
      <c r="Y364" s="1107" t="s">
        <v>2869</v>
      </c>
      <c r="Z364" s="146" t="str">
        <f>OBRA!W362</f>
        <v>N/A</v>
      </c>
      <c r="AA364" s="146" t="s">
        <v>68</v>
      </c>
      <c r="AB364" s="148" t="str">
        <f t="shared" si="21"/>
        <v>N/A</v>
      </c>
      <c r="AC364" s="146" t="s">
        <v>1177</v>
      </c>
      <c r="AD364" s="2" t="s">
        <v>1177</v>
      </c>
      <c r="AE364" s="183" t="str">
        <f>OBRA!X362</f>
        <v>ING. J. GUADALUPE IBARRA RAMIREZ</v>
      </c>
      <c r="AF364" s="19">
        <v>351</v>
      </c>
      <c r="AG364" s="2" t="s">
        <v>1451</v>
      </c>
      <c r="AH364" s="615">
        <f t="shared" si="22"/>
        <v>1268.4878062678063</v>
      </c>
      <c r="AI364" s="2">
        <v>80</v>
      </c>
      <c r="AJ364" s="513">
        <v>80</v>
      </c>
      <c r="AK364" s="513"/>
      <c r="AL364" s="1513"/>
      <c r="AM364" s="1514"/>
      <c r="AN364" s="1223" t="s">
        <v>3850</v>
      </c>
      <c r="AO364" s="1286" t="s">
        <v>3850</v>
      </c>
      <c r="AP364" s="1286" t="s">
        <v>3850</v>
      </c>
      <c r="AQ364" s="1261" t="s">
        <v>3850</v>
      </c>
      <c r="AR364" s="1239"/>
      <c r="AS364" s="511"/>
    </row>
    <row r="365" spans="1:46" ht="131.25" hidden="1" customHeight="1">
      <c r="A365" s="16">
        <f>OBRA!J363</f>
        <v>2019</v>
      </c>
      <c r="B365" s="783" t="s">
        <v>2094</v>
      </c>
      <c r="C365" s="783">
        <v>191.11</v>
      </c>
      <c r="D365" s="783"/>
      <c r="E365" s="2" t="str">
        <f>OBRA!M363</f>
        <v>RAMO 33</v>
      </c>
      <c r="F365" s="156" t="s">
        <v>1428</v>
      </c>
      <c r="G365" s="38" t="s">
        <v>2206</v>
      </c>
      <c r="H365" s="12" t="str">
        <f>OBRA!N363</f>
        <v>DOP/AD/011/2019</v>
      </c>
      <c r="I365" s="2" t="str">
        <f>OBRA!O363</f>
        <v>ADMINISTRACIÓN DIRECTA</v>
      </c>
      <c r="J365" s="3" t="str">
        <f>OBRA!P363</f>
        <v>"REHABILITACIÓN DE RED DE AGUA POTABLE CON REPOSICIÓN DE SUPERFICIE DE RODAMIENTO EN CALLE HIDALGO ENTRE ALDAMA Y FILOSOFOS", EN LA CABECERA MUNICIPAL DE JOCOTEPEC, JALISCO.</v>
      </c>
      <c r="K365" s="3" t="s">
        <v>2122</v>
      </c>
      <c r="L365" s="3" t="s">
        <v>6244</v>
      </c>
      <c r="M365" s="3" t="s">
        <v>6285</v>
      </c>
      <c r="N365" s="3" t="s">
        <v>1975</v>
      </c>
      <c r="O365" s="466" t="s">
        <v>3851</v>
      </c>
      <c r="P365" s="79">
        <f>OBRA!R363</f>
        <v>661528.31999999995</v>
      </c>
      <c r="Q365" s="1023">
        <f t="shared" si="19"/>
        <v>570283.03448275861</v>
      </c>
      <c r="R365" s="1023"/>
      <c r="S365" s="6">
        <f>OBRA!S363</f>
        <v>43754</v>
      </c>
      <c r="T365" s="1134" t="str">
        <f>OBRA!V363</f>
        <v>-</v>
      </c>
      <c r="U365" s="5">
        <f>OBRA!T363</f>
        <v>43759</v>
      </c>
      <c r="V365" s="11">
        <f>OBRA!U363</f>
        <v>43814</v>
      </c>
      <c r="W365" s="220">
        <v>0</v>
      </c>
      <c r="X365" s="278">
        <f>OBRA!AS363+OBRA!AT363</f>
        <v>660663.76</v>
      </c>
      <c r="Y365" s="1105" t="s">
        <v>2752</v>
      </c>
      <c r="Z365" s="146" t="str">
        <f>OBRA!W363</f>
        <v>N/A</v>
      </c>
      <c r="AA365" s="146" t="s">
        <v>68</v>
      </c>
      <c r="AB365" s="148" t="str">
        <f t="shared" si="21"/>
        <v>N/A</v>
      </c>
      <c r="AC365" s="146" t="s">
        <v>1177</v>
      </c>
      <c r="AD365" s="2" t="s">
        <v>1177</v>
      </c>
      <c r="AE365" s="183" t="str">
        <f>OBRA!X363</f>
        <v>ING. J. GUADALUPE IBARRA RAMIREZ</v>
      </c>
      <c r="AF365" s="19">
        <v>208.14</v>
      </c>
      <c r="AG365" s="2" t="s">
        <v>1451</v>
      </c>
      <c r="AH365" s="615">
        <f t="shared" si="22"/>
        <v>3174.1316421639285</v>
      </c>
      <c r="AI365" s="2">
        <v>200</v>
      </c>
      <c r="AJ365" s="513">
        <v>21500</v>
      </c>
      <c r="AK365" s="513"/>
      <c r="AL365" s="1513"/>
      <c r="AM365" s="1514"/>
      <c r="AN365" s="1240" t="s">
        <v>3851</v>
      </c>
      <c r="AO365" s="1286" t="s">
        <v>3851</v>
      </c>
      <c r="AP365" s="1286" t="s">
        <v>3851</v>
      </c>
      <c r="AQ365" s="1261" t="s">
        <v>3851</v>
      </c>
      <c r="AR365" s="1239"/>
      <c r="AS365" s="1297" t="s">
        <v>3851</v>
      </c>
    </row>
    <row r="366" spans="1:46" ht="142.5" hidden="1" customHeight="1">
      <c r="A366" s="16">
        <f>OBRA!J364</f>
        <v>2019</v>
      </c>
      <c r="B366" s="783" t="s">
        <v>2094</v>
      </c>
      <c r="C366" s="783">
        <v>191.12</v>
      </c>
      <c r="D366" s="783"/>
      <c r="E366" s="2" t="str">
        <f>OBRA!M364</f>
        <v>RAMO 33</v>
      </c>
      <c r="F366" s="156" t="s">
        <v>1428</v>
      </c>
      <c r="G366" s="38" t="s">
        <v>2206</v>
      </c>
      <c r="H366" s="12" t="str">
        <f>OBRA!N364</f>
        <v>DOP/AD/012/2019</v>
      </c>
      <c r="I366" s="2" t="str">
        <f>OBRA!O364</f>
        <v>ADMINISTRACIÓN DIRECTA</v>
      </c>
      <c r="J366" s="3" t="str">
        <f>OBRA!P364</f>
        <v>"REHABILITACIÓN DE RED DE DRENAJE CON REPOSICIÓN DE SUPERFICIE DE RODAMIENTO EN CALLE HIDALGO ENTRE ALDAMA Y FILOSOFOS", EN LA CABECERA MUNICIPAL DE JOCOTEPEC, JALISCO.</v>
      </c>
      <c r="K366" s="3" t="s">
        <v>2123</v>
      </c>
      <c r="L366" s="3" t="s">
        <v>6245</v>
      </c>
      <c r="M366" s="3" t="s">
        <v>6285</v>
      </c>
      <c r="N366" s="3" t="s">
        <v>1975</v>
      </c>
      <c r="O366" s="466" t="s">
        <v>3852</v>
      </c>
      <c r="P366" s="79">
        <f>OBRA!R364</f>
        <v>886200.09</v>
      </c>
      <c r="Q366" s="1023">
        <f t="shared" si="19"/>
        <v>763965.5948275862</v>
      </c>
      <c r="R366" s="1023"/>
      <c r="S366" s="6">
        <f>OBRA!S364</f>
        <v>43754</v>
      </c>
      <c r="T366" s="1134" t="str">
        <f>OBRA!V364</f>
        <v>-</v>
      </c>
      <c r="U366" s="5">
        <f>OBRA!T364</f>
        <v>43759</v>
      </c>
      <c r="V366" s="11">
        <f>OBRA!U364</f>
        <v>43814</v>
      </c>
      <c r="W366" s="220">
        <v>0</v>
      </c>
      <c r="X366" s="278">
        <f>OBRA!AS364+OBRA!AT364</f>
        <v>885994.40999999992</v>
      </c>
      <c r="Y366" s="1105" t="s">
        <v>2753</v>
      </c>
      <c r="Z366" s="146" t="str">
        <f>OBRA!W364</f>
        <v>N/A</v>
      </c>
      <c r="AA366" s="146" t="s">
        <v>68</v>
      </c>
      <c r="AB366" s="148" t="str">
        <f t="shared" si="21"/>
        <v>N/A</v>
      </c>
      <c r="AC366" s="146" t="s">
        <v>1177</v>
      </c>
      <c r="AD366" s="2" t="s">
        <v>1177</v>
      </c>
      <c r="AE366" s="183" t="str">
        <f>OBRA!X364</f>
        <v>ING. J. GUADALUPE IBARRA RAMIREZ</v>
      </c>
      <c r="AF366" s="19">
        <v>208.14</v>
      </c>
      <c r="AG366" s="2" t="s">
        <v>1451</v>
      </c>
      <c r="AH366" s="615">
        <f t="shared" si="22"/>
        <v>4256.7234073219943</v>
      </c>
      <c r="AI366" s="2">
        <v>200</v>
      </c>
      <c r="AJ366" s="513">
        <v>21500</v>
      </c>
      <c r="AK366" s="513"/>
      <c r="AL366" s="1513"/>
      <c r="AM366" s="1514"/>
      <c r="AN366" s="1240" t="s">
        <v>3852</v>
      </c>
      <c r="AO366" s="1286" t="s">
        <v>3852</v>
      </c>
      <c r="AP366" s="1286" t="s">
        <v>3852</v>
      </c>
      <c r="AQ366" s="1261" t="s">
        <v>3852</v>
      </c>
      <c r="AR366" s="1239"/>
      <c r="AS366" s="1297" t="s">
        <v>3852</v>
      </c>
    </row>
    <row r="367" spans="1:46" ht="103.5" hidden="1" customHeight="1">
      <c r="A367" s="16">
        <f>OBRA!J365</f>
        <v>2019</v>
      </c>
      <c r="B367" s="783" t="s">
        <v>2094</v>
      </c>
      <c r="C367" s="783">
        <v>191.13</v>
      </c>
      <c r="D367" s="783"/>
      <c r="E367" s="2" t="str">
        <f>OBRA!M365</f>
        <v>RAMO 33</v>
      </c>
      <c r="F367" s="156" t="s">
        <v>1428</v>
      </c>
      <c r="G367" s="38" t="s">
        <v>2206</v>
      </c>
      <c r="H367" s="12" t="str">
        <f>OBRA!N365</f>
        <v>DOP/AD/013/2019</v>
      </c>
      <c r="I367" s="2" t="str">
        <f>OBRA!O365</f>
        <v>ADMINISTRACIÓN DIRECTA</v>
      </c>
      <c r="J367" s="3" t="str">
        <f>OBRA!P365</f>
        <v>"REHABILITACIÓN DE TOMAS DOMICILIARIAS CON REPOSICIÓN DE SUPERFICIE DE RODAMIENTO EN CALLE LA PAZ ENTRE CALLES ITURBIDE E INDEPENDENCIA" EN LA LOCALIDAD DE SAN JUAN CÓSALA, DEL MUNICIPIO DE JOCOTEPEC, JALISCO.</v>
      </c>
      <c r="K367" s="541"/>
      <c r="L367" s="3" t="s">
        <v>6244</v>
      </c>
      <c r="M367" s="3" t="s">
        <v>6284</v>
      </c>
      <c r="N367" s="3" t="s">
        <v>2524</v>
      </c>
      <c r="O367" s="466" t="s">
        <v>3853</v>
      </c>
      <c r="P367" s="79">
        <f>OBRA!R365</f>
        <v>316991.96999999997</v>
      </c>
      <c r="Q367" s="1023">
        <f t="shared" si="19"/>
        <v>273268.93965517241</v>
      </c>
      <c r="R367" s="1023"/>
      <c r="S367" s="6">
        <f>OBRA!S365</f>
        <v>43773</v>
      </c>
      <c r="T367" s="1134" t="str">
        <f>OBRA!V365</f>
        <v>-</v>
      </c>
      <c r="U367" s="5">
        <f>OBRA!T365</f>
        <v>43775</v>
      </c>
      <c r="V367" s="11">
        <f>OBRA!U365</f>
        <v>43798</v>
      </c>
      <c r="W367" s="220">
        <v>0</v>
      </c>
      <c r="X367" s="278">
        <f>OBRA!AS365+OBRA!AT365</f>
        <v>238710.43</v>
      </c>
      <c r="Y367" s="1018" t="s">
        <v>3179</v>
      </c>
      <c r="Z367" s="146" t="str">
        <f>OBRA!W365</f>
        <v>N/A</v>
      </c>
      <c r="AA367" s="146" t="s">
        <v>68</v>
      </c>
      <c r="AB367" s="148" t="str">
        <f t="shared" si="21"/>
        <v>N/A</v>
      </c>
      <c r="AC367" s="146" t="s">
        <v>1177</v>
      </c>
      <c r="AD367" s="2" t="s">
        <v>1177</v>
      </c>
      <c r="AE367" s="183" t="str">
        <f>OBRA!X365</f>
        <v>ING. J. GUADALUPE IBARRA RAMIREZ</v>
      </c>
      <c r="AF367" s="161"/>
      <c r="AG367" s="2" t="s">
        <v>1841</v>
      </c>
      <c r="AH367" s="551" t="e">
        <f t="shared" si="22"/>
        <v>#DIV/0!</v>
      </c>
      <c r="AI367" s="2">
        <v>200</v>
      </c>
      <c r="AJ367" s="513">
        <v>4000</v>
      </c>
      <c r="AK367" s="513"/>
      <c r="AL367" s="1513"/>
      <c r="AM367" s="1514"/>
      <c r="AN367" s="1240" t="s">
        <v>3853</v>
      </c>
      <c r="AO367" s="1286" t="s">
        <v>3853</v>
      </c>
      <c r="AP367" s="1286" t="s">
        <v>3853</v>
      </c>
      <c r="AQ367" s="1261" t="s">
        <v>3853</v>
      </c>
      <c r="AR367" s="1239"/>
      <c r="AS367" s="1297" t="s">
        <v>3853</v>
      </c>
    </row>
    <row r="368" spans="1:46" ht="123" hidden="1" customHeight="1">
      <c r="A368" s="16">
        <f>OBRA!J366</f>
        <v>2019</v>
      </c>
      <c r="B368" s="783" t="s">
        <v>2094</v>
      </c>
      <c r="C368" s="783">
        <v>191.14</v>
      </c>
      <c r="D368" s="783"/>
      <c r="E368" s="2" t="str">
        <f>OBRA!M366</f>
        <v>RAMO 33</v>
      </c>
      <c r="F368" s="156" t="s">
        <v>1428</v>
      </c>
      <c r="G368" s="38" t="s">
        <v>2206</v>
      </c>
      <c r="H368" s="12" t="str">
        <f>OBRA!N366</f>
        <v>DOP/AD/014/2019</v>
      </c>
      <c r="I368" s="2" t="str">
        <f>OBRA!O366</f>
        <v>ADMINISTRACIÓN DIRECTA</v>
      </c>
      <c r="J368" s="3" t="str">
        <f>OBRA!P366</f>
        <v>"REHABILITACIÓN DE DESCARGAS DOMICILIARIAS DE DRENAJE SANITARIO CON REPOSICIÓN DE SUPERFICIE DE RODAMIENTO EN CALLE LA PAZ ENTRE CALLES ITURBIDE E INDEPENDENCIA", EN LA LOCALIDAD DE SAN JUAN CÓSALA, DEL MUNICIPIO DE JOCOTEPEC, JALISCO.</v>
      </c>
      <c r="K368" s="541"/>
      <c r="L368" s="3" t="s">
        <v>6245</v>
      </c>
      <c r="M368" s="3" t="s">
        <v>6284</v>
      </c>
      <c r="N368" s="3" t="s">
        <v>2524</v>
      </c>
      <c r="O368" s="466" t="s">
        <v>3854</v>
      </c>
      <c r="P368" s="79">
        <f>OBRA!R366</f>
        <v>387742.07</v>
      </c>
      <c r="Q368" s="1023">
        <f t="shared" si="19"/>
        <v>334260.4051724138</v>
      </c>
      <c r="R368" s="1023"/>
      <c r="S368" s="6">
        <f>OBRA!S366</f>
        <v>43773</v>
      </c>
      <c r="T368" s="1134" t="str">
        <f>OBRA!V366</f>
        <v>-</v>
      </c>
      <c r="U368" s="5">
        <f>OBRA!T366</f>
        <v>43775</v>
      </c>
      <c r="V368" s="11">
        <f>OBRA!U366</f>
        <v>43798</v>
      </c>
      <c r="W368" s="220">
        <v>0</v>
      </c>
      <c r="X368" s="278">
        <f>OBRA!AS366+OBRA!AT366</f>
        <v>239516.18</v>
      </c>
      <c r="Y368" s="1018" t="s">
        <v>3180</v>
      </c>
      <c r="Z368" s="146" t="str">
        <f>OBRA!W366</f>
        <v>N/A</v>
      </c>
      <c r="AA368" s="146" t="s">
        <v>68</v>
      </c>
      <c r="AB368" s="148" t="str">
        <f t="shared" si="21"/>
        <v>N/A</v>
      </c>
      <c r="AC368" s="146" t="s">
        <v>1177</v>
      </c>
      <c r="AD368" s="2" t="s">
        <v>1177</v>
      </c>
      <c r="AE368" s="183" t="str">
        <f>OBRA!X366</f>
        <v>ING. J. GUADALUPE IBARRA RAMIREZ</v>
      </c>
      <c r="AF368" s="19">
        <v>54</v>
      </c>
      <c r="AG368" s="2" t="s">
        <v>1841</v>
      </c>
      <c r="AH368" s="615">
        <f t="shared" si="22"/>
        <v>4435.4848148148149</v>
      </c>
      <c r="AI368" s="2">
        <v>200</v>
      </c>
      <c r="AJ368" s="513">
        <v>4000</v>
      </c>
      <c r="AK368" s="513"/>
      <c r="AL368" s="1513"/>
      <c r="AM368" s="1514"/>
      <c r="AN368" s="1240" t="s">
        <v>3854</v>
      </c>
      <c r="AO368" s="1286" t="s">
        <v>3854</v>
      </c>
      <c r="AP368" s="1286" t="s">
        <v>3854</v>
      </c>
      <c r="AQ368" s="1261" t="s">
        <v>3854</v>
      </c>
      <c r="AR368" s="1239"/>
      <c r="AS368" s="1297" t="s">
        <v>3854</v>
      </c>
    </row>
    <row r="369" spans="1:45" ht="162" hidden="1" customHeight="1">
      <c r="A369" s="16">
        <f>OBRA!J367</f>
        <v>2019</v>
      </c>
      <c r="B369" s="783" t="s">
        <v>2094</v>
      </c>
      <c r="C369" s="783">
        <v>191.15</v>
      </c>
      <c r="D369" s="783"/>
      <c r="E369" s="2" t="str">
        <f>OBRA!M367</f>
        <v>RAMO 33</v>
      </c>
      <c r="F369" s="156" t="s">
        <v>1428</v>
      </c>
      <c r="G369" s="156" t="s">
        <v>2206</v>
      </c>
      <c r="H369" s="12" t="str">
        <f>OBRA!N367</f>
        <v>DOP/AD/015/2019</v>
      </c>
      <c r="I369" s="2" t="str">
        <f>OBRA!O367</f>
        <v>ADMINISTRACIÓN DIRECTA</v>
      </c>
      <c r="J369" s="3" t="str">
        <f>OBRA!P367</f>
        <v>"REHABILITACIÓN DE RED DE AGUA POTABLE CON REPOSICIÓN DE SUPERFICIE DE RODAMIENTO EN CALLE LA PAZ ENTRE CALLES ITURBIDE E INDEPENDENCIA", EN LA LOCALIDAD DE SAN JUAN CÓSALA, DEL MUNICIPIO DE JOCOTEPEC, JALISCO.</v>
      </c>
      <c r="K369" s="3" t="s">
        <v>2124</v>
      </c>
      <c r="L369" s="3" t="s">
        <v>6244</v>
      </c>
      <c r="M369" s="3" t="s">
        <v>6284</v>
      </c>
      <c r="N369" s="3" t="s">
        <v>2524</v>
      </c>
      <c r="O369" s="504" t="s">
        <v>3855</v>
      </c>
      <c r="P369" s="4">
        <f>OBRA!R367</f>
        <v>758777.4</v>
      </c>
      <c r="Q369" s="1023">
        <f t="shared" si="19"/>
        <v>654118.44827586215</v>
      </c>
      <c r="R369" s="1023"/>
      <c r="S369" s="6">
        <f>OBRA!S367</f>
        <v>43773</v>
      </c>
      <c r="T369" s="1134">
        <f>OBRA!V367</f>
        <v>43693</v>
      </c>
      <c r="U369" s="5">
        <f>OBRA!T367</f>
        <v>43775</v>
      </c>
      <c r="V369" s="11">
        <f>OBRA!U367</f>
        <v>43798</v>
      </c>
      <c r="W369" s="220">
        <v>0</v>
      </c>
      <c r="X369" s="278">
        <f>OBRA!AS367+OBRA!AT367</f>
        <v>718023.82000000007</v>
      </c>
      <c r="Y369" s="1018" t="s">
        <v>2871</v>
      </c>
      <c r="Z369" s="146" t="str">
        <f>OBRA!W367</f>
        <v>N/A</v>
      </c>
      <c r="AA369" s="146" t="s">
        <v>68</v>
      </c>
      <c r="AB369" s="148" t="str">
        <f t="shared" si="21"/>
        <v>N/A</v>
      </c>
      <c r="AC369" s="146" t="s">
        <v>1177</v>
      </c>
      <c r="AD369" s="2" t="s">
        <v>1177</v>
      </c>
      <c r="AE369" s="183" t="str">
        <f>OBRA!X367</f>
        <v>ING. J. GUADALUPE IBARRA RAMIREZ</v>
      </c>
      <c r="AF369" s="161"/>
      <c r="AG369" s="2" t="s">
        <v>1451</v>
      </c>
      <c r="AH369" s="551" t="e">
        <f t="shared" si="22"/>
        <v>#DIV/0!</v>
      </c>
      <c r="AI369" s="2">
        <v>200</v>
      </c>
      <c r="AJ369" s="513">
        <v>4000</v>
      </c>
      <c r="AK369" s="513"/>
      <c r="AL369" s="1513"/>
      <c r="AM369" s="1514"/>
      <c r="AN369" s="1240" t="s">
        <v>3855</v>
      </c>
      <c r="AO369" s="1286" t="s">
        <v>3855</v>
      </c>
      <c r="AP369" s="1286" t="s">
        <v>3855</v>
      </c>
      <c r="AQ369" s="1289" t="s">
        <v>3855</v>
      </c>
      <c r="AR369" s="1847"/>
      <c r="AS369" s="1297" t="s">
        <v>3855</v>
      </c>
    </row>
    <row r="370" spans="1:45" s="104" customFormat="1" ht="51" hidden="1" customHeight="1">
      <c r="A370" s="82">
        <f>OBRA!J368</f>
        <v>2019</v>
      </c>
      <c r="B370" s="784" t="s">
        <v>2094</v>
      </c>
      <c r="C370" s="784">
        <v>191.16</v>
      </c>
      <c r="D370" s="784"/>
      <c r="E370" s="85">
        <f>OBRA!M368</f>
        <v>0</v>
      </c>
      <c r="F370" s="514" t="s">
        <v>1428</v>
      </c>
      <c r="G370" s="575"/>
      <c r="H370" s="103" t="str">
        <f>OBRA!N368</f>
        <v>DOP/AD/016/2019</v>
      </c>
      <c r="I370" s="2" t="str">
        <f>OBRA!O368</f>
        <v>CANCELADA</v>
      </c>
      <c r="J370" s="125">
        <f>OBRA!P368</f>
        <v>0</v>
      </c>
      <c r="K370" s="125" t="s">
        <v>68</v>
      </c>
      <c r="L370" s="125"/>
      <c r="M370" s="125" t="s">
        <v>68</v>
      </c>
      <c r="N370" s="125" t="s">
        <v>68</v>
      </c>
      <c r="O370" s="541"/>
      <c r="P370" s="86">
        <f>OBRA!R368</f>
        <v>0</v>
      </c>
      <c r="Q370" s="1023">
        <f t="shared" si="19"/>
        <v>0</v>
      </c>
      <c r="R370" s="1023"/>
      <c r="S370" s="87">
        <f>OBRA!S368</f>
        <v>0</v>
      </c>
      <c r="T370" s="1134" t="str">
        <f>OBRA!V368</f>
        <v>-</v>
      </c>
      <c r="U370" s="88">
        <f>OBRA!T368</f>
        <v>0</v>
      </c>
      <c r="V370" s="89">
        <f>OBRA!U368</f>
        <v>0</v>
      </c>
      <c r="W370" s="1022" t="s">
        <v>68</v>
      </c>
      <c r="X370" s="821">
        <f>OBRA!AS368+OBRA!AT368</f>
        <v>0</v>
      </c>
      <c r="Y370" s="1016" t="s">
        <v>68</v>
      </c>
      <c r="Z370" s="147" t="str">
        <f>OBRA!W368</f>
        <v>-</v>
      </c>
      <c r="AA370" s="146" t="s">
        <v>68</v>
      </c>
      <c r="AB370" s="149" t="str">
        <f t="shared" si="21"/>
        <v>-</v>
      </c>
      <c r="AC370" s="147" t="s">
        <v>1177</v>
      </c>
      <c r="AD370" s="85" t="s">
        <v>1177</v>
      </c>
      <c r="AE370" s="184">
        <f>OBRA!X368</f>
        <v>0</v>
      </c>
      <c r="AF370" s="84">
        <v>1</v>
      </c>
      <c r="AG370" s="85"/>
      <c r="AH370" s="184">
        <f t="shared" si="22"/>
        <v>0</v>
      </c>
      <c r="AI370" s="85">
        <v>0</v>
      </c>
      <c r="AJ370" s="514"/>
      <c r="AK370" s="514"/>
      <c r="AL370" s="1515"/>
      <c r="AM370" s="1516"/>
      <c r="AN370" s="573"/>
      <c r="AO370" s="816" t="s">
        <v>68</v>
      </c>
      <c r="AP370" s="816" t="s">
        <v>68</v>
      </c>
      <c r="AQ370" s="514" t="s">
        <v>68</v>
      </c>
      <c r="AR370" s="514"/>
      <c r="AS370" s="83" t="s">
        <v>68</v>
      </c>
    </row>
    <row r="371" spans="1:45" ht="73.5" hidden="1" customHeight="1">
      <c r="A371" s="16">
        <f>OBRA!J369</f>
        <v>2019</v>
      </c>
      <c r="B371" s="783" t="s">
        <v>2094</v>
      </c>
      <c r="C371" s="783">
        <v>191.17</v>
      </c>
      <c r="D371" s="783"/>
      <c r="E371" s="2" t="str">
        <f>OBRA!M369</f>
        <v>P.I.D.</v>
      </c>
      <c r="F371" s="156" t="s">
        <v>1428</v>
      </c>
      <c r="G371" s="156" t="s">
        <v>2206</v>
      </c>
      <c r="H371" s="12" t="str">
        <f>OBRA!N369</f>
        <v>DOP/AD/017/2019</v>
      </c>
      <c r="I371" s="2" t="str">
        <f>OBRA!O369</f>
        <v>ADMINISTRACIÓN DIRECTA</v>
      </c>
      <c r="J371" s="3" t="str">
        <f>OBRA!P369</f>
        <v>"CONSTRUCCIÓN DE PUNTO INOCUO DE DESEMBARQUE EN LA CALLE 5 DE MAYO" EN LA LOCALIDAD DE SAN JUAN COSALA, DEL MUNICIPIO DE JOCOTEPEC, JALISCO.</v>
      </c>
      <c r="K371" s="3" t="s">
        <v>2125</v>
      </c>
      <c r="L371" s="3" t="s">
        <v>6246</v>
      </c>
      <c r="M371" s="3" t="s">
        <v>2126</v>
      </c>
      <c r="N371" s="26" t="s">
        <v>2524</v>
      </c>
      <c r="O371" s="1436" t="s">
        <v>3774</v>
      </c>
      <c r="P371" s="4">
        <f>OBRA!R369</f>
        <v>1248920.79</v>
      </c>
      <c r="Q371" s="1023">
        <f t="shared" si="19"/>
        <v>1076655.8534482759</v>
      </c>
      <c r="R371" s="1023"/>
      <c r="S371" s="6">
        <f>OBRA!S369</f>
        <v>43784</v>
      </c>
      <c r="T371" s="1134" t="str">
        <f>OBRA!V369</f>
        <v>-</v>
      </c>
      <c r="U371" s="5">
        <f>OBRA!T369</f>
        <v>43784</v>
      </c>
      <c r="V371" s="11">
        <f>OBRA!U369</f>
        <v>43814</v>
      </c>
      <c r="W371" s="220">
        <v>0</v>
      </c>
      <c r="X371" s="278">
        <f>OBRA!AS369+OBRA!AT369</f>
        <v>737048.95</v>
      </c>
      <c r="Y371" s="1018" t="s">
        <v>2754</v>
      </c>
      <c r="Z371" s="146" t="str">
        <f>OBRA!W369</f>
        <v>N/A</v>
      </c>
      <c r="AA371" s="146" t="s">
        <v>68</v>
      </c>
      <c r="AB371" s="148" t="str">
        <f t="shared" si="21"/>
        <v>N/A</v>
      </c>
      <c r="AC371" s="146" t="s">
        <v>1177</v>
      </c>
      <c r="AD371" s="2" t="s">
        <v>1177</v>
      </c>
      <c r="AE371" s="183" t="str">
        <f>OBRA!X369</f>
        <v>ARQ. CESAR ANTONIO ALONSO JIMENEZ</v>
      </c>
      <c r="AF371" s="19">
        <v>117.68</v>
      </c>
      <c r="AG371" s="2" t="s">
        <v>1548</v>
      </c>
      <c r="AH371" s="615">
        <f t="shared" si="22"/>
        <v>6263.1623895309303</v>
      </c>
      <c r="AI371" s="2">
        <v>300</v>
      </c>
      <c r="AJ371" s="513">
        <v>2000</v>
      </c>
      <c r="AK371" s="513"/>
      <c r="AL371" s="1513"/>
      <c r="AM371" s="1514"/>
      <c r="AN371" s="1223" t="s">
        <v>3774</v>
      </c>
      <c r="AO371" s="1322" t="s">
        <v>3774</v>
      </c>
      <c r="AP371" s="1286" t="s">
        <v>3774</v>
      </c>
      <c r="AQ371" s="1261" t="s">
        <v>3774</v>
      </c>
      <c r="AR371" s="1239"/>
      <c r="AS371" s="1297" t="s">
        <v>3774</v>
      </c>
    </row>
    <row r="372" spans="1:45" ht="93.75" hidden="1" customHeight="1">
      <c r="A372" s="16">
        <f>OBRA!J370</f>
        <v>2019</v>
      </c>
      <c r="B372" s="783" t="s">
        <v>2094</v>
      </c>
      <c r="C372" s="783">
        <v>191.18</v>
      </c>
      <c r="D372" s="783"/>
      <c r="E372" s="2" t="str">
        <f>OBRA!M370</f>
        <v>RAMO 33</v>
      </c>
      <c r="F372" s="156" t="s">
        <v>1428</v>
      </c>
      <c r="G372" s="156" t="s">
        <v>2206</v>
      </c>
      <c r="H372" s="12" t="str">
        <f>OBRA!N370</f>
        <v>DOP/AD/018/2019</v>
      </c>
      <c r="I372" s="2" t="str">
        <f>OBRA!O370</f>
        <v>ADMINISTRACIÓN DIRECTA</v>
      </c>
      <c r="J372" s="3" t="str">
        <f>OBRA!P370</f>
        <v>"REHABILITACIÓN DE LÍNEA DE DISTRIBUCIÓN DE 6" DE AGUA POTABLE, EN CALLE NIÑOS HÉROES DE CALLE ITURBIDE A CALLE VERANO", EN LA CABECERA MUNICIPAL DE JOCOTEPEC, JALISCO.</v>
      </c>
      <c r="K372" s="3" t="s">
        <v>2127</v>
      </c>
      <c r="L372" s="3" t="s">
        <v>4745</v>
      </c>
      <c r="M372" s="3" t="s">
        <v>6274</v>
      </c>
      <c r="N372" s="3" t="s">
        <v>1975</v>
      </c>
      <c r="O372" s="504" t="s">
        <v>3856</v>
      </c>
      <c r="P372" s="4">
        <f>OBRA!R370</f>
        <v>125964.92</v>
      </c>
      <c r="Q372" s="1023">
        <f t="shared" si="19"/>
        <v>108590.44827586207</v>
      </c>
      <c r="R372" s="1023"/>
      <c r="S372" s="6">
        <f>OBRA!S370</f>
        <v>43791</v>
      </c>
      <c r="T372" s="1134" t="str">
        <f>OBRA!V370</f>
        <v>-</v>
      </c>
      <c r="U372" s="5">
        <f>OBRA!T370</f>
        <v>43792</v>
      </c>
      <c r="V372" s="11">
        <f>OBRA!U370</f>
        <v>43814</v>
      </c>
      <c r="W372" s="220">
        <v>0</v>
      </c>
      <c r="X372" s="278">
        <f>OBRA!AS370+OBRA!AT370</f>
        <v>108738.26999999999</v>
      </c>
      <c r="Y372" s="1018" t="s">
        <v>2755</v>
      </c>
      <c r="Z372" s="146" t="str">
        <f>OBRA!W370</f>
        <v>N/A</v>
      </c>
      <c r="AA372" s="146" t="s">
        <v>68</v>
      </c>
      <c r="AB372" s="148" t="str">
        <f t="shared" si="21"/>
        <v>N/A</v>
      </c>
      <c r="AC372" s="146" t="s">
        <v>1177</v>
      </c>
      <c r="AD372" s="2" t="s">
        <v>1177</v>
      </c>
      <c r="AE372" s="183" t="str">
        <f>OBRA!X370</f>
        <v>ING. J. GUADALUPE IBARRA RAMIREZ</v>
      </c>
      <c r="AF372" s="19">
        <v>204</v>
      </c>
      <c r="AG372" s="2" t="s">
        <v>1451</v>
      </c>
      <c r="AH372" s="664">
        <f t="shared" si="22"/>
        <v>533.03073529411756</v>
      </c>
      <c r="AI372" s="2">
        <v>2000</v>
      </c>
      <c r="AJ372" s="513">
        <v>2000</v>
      </c>
      <c r="AK372" s="513"/>
      <c r="AL372" s="1513"/>
      <c r="AM372" s="1514"/>
      <c r="AN372" s="1240" t="s">
        <v>3856</v>
      </c>
      <c r="AO372" s="1286" t="s">
        <v>3856</v>
      </c>
      <c r="AP372" s="1286" t="s">
        <v>3856</v>
      </c>
      <c r="AQ372" s="1261" t="s">
        <v>3856</v>
      </c>
      <c r="AR372" s="1239"/>
      <c r="AS372" s="1297" t="s">
        <v>3856</v>
      </c>
    </row>
    <row r="373" spans="1:45" s="104" customFormat="1" ht="51" hidden="1" customHeight="1">
      <c r="A373" s="82">
        <f>OBRA!J371</f>
        <v>2019</v>
      </c>
      <c r="B373" s="784" t="s">
        <v>2094</v>
      </c>
      <c r="C373" s="784">
        <v>191.19</v>
      </c>
      <c r="D373" s="784"/>
      <c r="E373" s="85">
        <f>OBRA!M371</f>
        <v>0</v>
      </c>
      <c r="F373" s="83" t="s">
        <v>1428</v>
      </c>
      <c r="G373" s="514"/>
      <c r="H373" s="84" t="str">
        <f>OBRA!N371</f>
        <v>DOP/AD/019/2019</v>
      </c>
      <c r="I373" s="85" t="s">
        <v>251</v>
      </c>
      <c r="J373" s="125">
        <f>OBRA!P371</f>
        <v>0</v>
      </c>
      <c r="K373" s="125" t="s">
        <v>68</v>
      </c>
      <c r="L373" s="125"/>
      <c r="M373" s="125" t="s">
        <v>68</v>
      </c>
      <c r="N373" s="125" t="s">
        <v>68</v>
      </c>
      <c r="O373" s="541"/>
      <c r="P373" s="86">
        <f>OBRA!R371</f>
        <v>0</v>
      </c>
      <c r="Q373" s="1023">
        <f t="shared" si="19"/>
        <v>0</v>
      </c>
      <c r="R373" s="1023"/>
      <c r="S373" s="87">
        <f>OBRA!S371</f>
        <v>0</v>
      </c>
      <c r="T373" s="1134" t="str">
        <f>OBRA!V371</f>
        <v>-</v>
      </c>
      <c r="U373" s="88">
        <f>OBRA!T371</f>
        <v>0</v>
      </c>
      <c r="V373" s="89">
        <f>OBRA!U371</f>
        <v>0</v>
      </c>
      <c r="W373" s="1022" t="s">
        <v>68</v>
      </c>
      <c r="X373" s="821">
        <f>OBRA!AS371+OBRA!AT371</f>
        <v>0</v>
      </c>
      <c r="Y373" s="1016" t="s">
        <v>68</v>
      </c>
      <c r="Z373" s="147" t="str">
        <f>OBRA!W371</f>
        <v>-</v>
      </c>
      <c r="AA373" s="146" t="s">
        <v>68</v>
      </c>
      <c r="AB373" s="149" t="str">
        <f t="shared" si="21"/>
        <v>-</v>
      </c>
      <c r="AC373" s="147" t="s">
        <v>1177</v>
      </c>
      <c r="AD373" s="85" t="s">
        <v>1177</v>
      </c>
      <c r="AE373" s="184">
        <f>OBRA!X371</f>
        <v>0</v>
      </c>
      <c r="AF373" s="84">
        <v>1</v>
      </c>
      <c r="AG373" s="85"/>
      <c r="AH373" s="184">
        <f t="shared" si="22"/>
        <v>0</v>
      </c>
      <c r="AI373" s="85">
        <v>0</v>
      </c>
      <c r="AJ373" s="514"/>
      <c r="AK373" s="514"/>
      <c r="AL373" s="1515"/>
      <c r="AM373" s="1516"/>
      <c r="AN373" s="573"/>
      <c r="AO373" s="816" t="s">
        <v>68</v>
      </c>
      <c r="AP373" s="816" t="s">
        <v>68</v>
      </c>
      <c r="AQ373" s="85" t="s">
        <v>68</v>
      </c>
      <c r="AR373" s="570"/>
      <c r="AS373" s="83" t="s">
        <v>68</v>
      </c>
    </row>
    <row r="374" spans="1:45" ht="87.75" hidden="1" customHeight="1">
      <c r="A374" s="16">
        <f>OBRA!J372</f>
        <v>2019</v>
      </c>
      <c r="B374" s="783" t="s">
        <v>2094</v>
      </c>
      <c r="C374" s="783">
        <v>191.2</v>
      </c>
      <c r="D374" s="783"/>
      <c r="E374" s="2" t="str">
        <f>OBRA!M372</f>
        <v>RAMO 33</v>
      </c>
      <c r="F374" s="18" t="s">
        <v>1428</v>
      </c>
      <c r="G374" s="38" t="s">
        <v>2206</v>
      </c>
      <c r="H374" s="12" t="str">
        <f>OBRA!N372</f>
        <v>DOP/AD/020/2019</v>
      </c>
      <c r="I374" s="2" t="str">
        <f>OBRA!O372</f>
        <v>ADMINISTRACIÓN DIRECTA</v>
      </c>
      <c r="J374" s="3" t="str">
        <f>OBRA!P372</f>
        <v>"REPOSICIÓN DE TOMAS DOMICILIARIAS DE AGUA POTABLE EN CALLE VERANO ENTRE CALLES NIÑOS HÉROES Y LÓPEZ RAYÓN EN LA CABECERA MUNICIPAL DE JOCOTEPEC, JALISCO.</v>
      </c>
      <c r="K374" s="541"/>
      <c r="L374" s="173" t="s">
        <v>4745</v>
      </c>
      <c r="M374" s="173" t="s">
        <v>6275</v>
      </c>
      <c r="N374" s="3" t="s">
        <v>1975</v>
      </c>
      <c r="O374" s="1437" t="s">
        <v>3857</v>
      </c>
      <c r="P374" s="4">
        <f>OBRA!R372</f>
        <v>24608.01</v>
      </c>
      <c r="Q374" s="1023">
        <f t="shared" si="19"/>
        <v>21213.801724137931</v>
      </c>
      <c r="R374" s="1023"/>
      <c r="S374" s="6">
        <f>OBRA!S372</f>
        <v>43791</v>
      </c>
      <c r="T374" s="1134" t="str">
        <f>OBRA!V372</f>
        <v>-</v>
      </c>
      <c r="U374" s="5">
        <f>OBRA!T372</f>
        <v>43792</v>
      </c>
      <c r="V374" s="11">
        <f>OBRA!U372</f>
        <v>43814</v>
      </c>
      <c r="W374" s="220">
        <v>0</v>
      </c>
      <c r="X374" s="278">
        <f>OBRA!AS372+OBRA!AT372</f>
        <v>15408</v>
      </c>
      <c r="Y374" s="1018" t="s">
        <v>2872</v>
      </c>
      <c r="Z374" s="146" t="str">
        <f>OBRA!W372</f>
        <v>N/A</v>
      </c>
      <c r="AA374" s="146" t="s">
        <v>68</v>
      </c>
      <c r="AB374" s="148" t="str">
        <f t="shared" si="21"/>
        <v>N/A</v>
      </c>
      <c r="AC374" s="146" t="s">
        <v>1177</v>
      </c>
      <c r="AD374" s="2" t="s">
        <v>1177</v>
      </c>
      <c r="AE374" s="183" t="str">
        <f>OBRA!X372</f>
        <v>ING. JUAN MANUEL GARCIA ESCOTO</v>
      </c>
      <c r="AF374" s="211">
        <v>13</v>
      </c>
      <c r="AG374" s="388" t="s">
        <v>1841</v>
      </c>
      <c r="AH374" s="664">
        <f t="shared" si="22"/>
        <v>1185.2307692307693</v>
      </c>
      <c r="AI374" s="2">
        <v>80</v>
      </c>
      <c r="AJ374" s="513">
        <v>80</v>
      </c>
      <c r="AK374" s="513"/>
      <c r="AL374" s="1513"/>
      <c r="AM374" s="1514"/>
      <c r="AN374" s="1223" t="s">
        <v>3857</v>
      </c>
      <c r="AO374" s="529"/>
      <c r="AP374" s="529"/>
      <c r="AQ374" s="1261" t="s">
        <v>3857</v>
      </c>
      <c r="AR374" s="1239"/>
      <c r="AS374" s="511"/>
    </row>
    <row r="375" spans="1:45" s="104" customFormat="1" ht="93" hidden="1" customHeight="1">
      <c r="A375" s="82">
        <f>OBRA!J373</f>
        <v>2019</v>
      </c>
      <c r="B375" s="784" t="s">
        <v>2094</v>
      </c>
      <c r="C375" s="784">
        <v>191.21</v>
      </c>
      <c r="D375" s="784"/>
      <c r="E375" s="85" t="str">
        <f>OBRA!M373</f>
        <v>P.I.D.</v>
      </c>
      <c r="F375" s="83" t="s">
        <v>1428</v>
      </c>
      <c r="G375" s="514" t="s">
        <v>2206</v>
      </c>
      <c r="H375" s="84" t="str">
        <f>OBRA!N373</f>
        <v>DOP/AD/021/2019</v>
      </c>
      <c r="I375" s="85" t="str">
        <f>OBRA!O373</f>
        <v>CANCELADA</v>
      </c>
      <c r="J375" s="125" t="str">
        <f>OBRA!P373</f>
        <v>"CONSTRUCCIÓN DE PUNTO INOCUO DE DESEMBARQUE EN LA CALLE MORELOS" EN EL ÁREA DE DONACIÓN DEL FRACCIONAMIENTO "JARDINES DE JOCOTEPEC" EN LA CABECERA MUNICIPAL DE JOCOTEPEC, JALISCO.</v>
      </c>
      <c r="K375" s="125" t="s">
        <v>2128</v>
      </c>
      <c r="L375" s="125"/>
      <c r="M375" s="125" t="s">
        <v>2129</v>
      </c>
      <c r="N375" s="125" t="s">
        <v>68</v>
      </c>
      <c r="O375" s="541"/>
      <c r="P375" s="86">
        <f>OBRA!R373</f>
        <v>1302585.8500000001</v>
      </c>
      <c r="Q375" s="86">
        <f t="shared" si="19"/>
        <v>1122918.8362068967</v>
      </c>
      <c r="R375" s="86"/>
      <c r="S375" s="87">
        <f>OBRA!S373</f>
        <v>0</v>
      </c>
      <c r="T375" s="1134" t="str">
        <f>OBRA!V373</f>
        <v>-</v>
      </c>
      <c r="U375" s="88">
        <f>OBRA!T373</f>
        <v>0</v>
      </c>
      <c r="V375" s="89">
        <f>OBRA!U373</f>
        <v>0</v>
      </c>
      <c r="W375" s="338" t="s">
        <v>1428</v>
      </c>
      <c r="X375" s="821">
        <f>OBRA!AS373+OBRA!AT373</f>
        <v>0</v>
      </c>
      <c r="Y375" s="1016" t="s">
        <v>68</v>
      </c>
      <c r="Z375" s="147" t="str">
        <f>OBRA!W373</f>
        <v>N/A</v>
      </c>
      <c r="AA375" s="146" t="s">
        <v>68</v>
      </c>
      <c r="AB375" s="149" t="str">
        <f t="shared" si="21"/>
        <v>N/A</v>
      </c>
      <c r="AC375" s="147" t="s">
        <v>1177</v>
      </c>
      <c r="AD375" s="85" t="s">
        <v>1177</v>
      </c>
      <c r="AE375" s="184">
        <f>OBRA!X373</f>
        <v>0</v>
      </c>
      <c r="AF375" s="84"/>
      <c r="AG375" s="85"/>
      <c r="AH375" s="184" t="e">
        <f t="shared" si="22"/>
        <v>#DIV/0!</v>
      </c>
      <c r="AI375" s="85"/>
      <c r="AJ375" s="514"/>
      <c r="AK375" s="514"/>
      <c r="AL375" s="1515"/>
      <c r="AM375" s="1516"/>
      <c r="AN375" s="573"/>
      <c r="AO375" s="816" t="s">
        <v>68</v>
      </c>
      <c r="AP375" s="816" t="s">
        <v>68</v>
      </c>
      <c r="AQ375" s="85" t="s">
        <v>68</v>
      </c>
      <c r="AR375" s="570"/>
      <c r="AS375" s="83" t="s">
        <v>68</v>
      </c>
    </row>
    <row r="376" spans="1:45" ht="88.5" hidden="1" customHeight="1">
      <c r="A376" s="16">
        <f>OBRA!J374</f>
        <v>2019</v>
      </c>
      <c r="B376" s="783" t="s">
        <v>2094</v>
      </c>
      <c r="C376" s="783">
        <v>191.22</v>
      </c>
      <c r="D376" s="783"/>
      <c r="E376" s="2" t="str">
        <f>OBRA!M374</f>
        <v>RAMO 33</v>
      </c>
      <c r="F376" s="156" t="s">
        <v>1428</v>
      </c>
      <c r="G376" s="513" t="s">
        <v>2206</v>
      </c>
      <c r="H376" s="19" t="str">
        <f>OBRA!N374</f>
        <v>DOP/AD/022/2019</v>
      </c>
      <c r="I376" s="2" t="str">
        <f>OBRA!O374</f>
        <v>ADMINISTRACIÓN DIRECTA</v>
      </c>
      <c r="J376" s="3" t="str">
        <f>OBRA!P374</f>
        <v>REHABILITACIÓN DE RED DE DRENAJE SANITARIO EN CALLE LA PAZ ENTRE TACUBA Y VICENTE GUERRERO", EN LA LOCALIDAD DE SAN JUAN CÓSALA, DEL MUNICIPIO DE JOCOTEPEC, JALISCO.</v>
      </c>
      <c r="K376" s="541"/>
      <c r="L376" s="3" t="s">
        <v>4747</v>
      </c>
      <c r="M376" s="3" t="s">
        <v>6291</v>
      </c>
      <c r="N376" s="3" t="s">
        <v>2524</v>
      </c>
      <c r="O376" s="504" t="s">
        <v>3858</v>
      </c>
      <c r="P376" s="79">
        <f>OBRA!R374</f>
        <v>232200.43</v>
      </c>
      <c r="Q376" s="1023">
        <f t="shared" si="19"/>
        <v>200172.78448275864</v>
      </c>
      <c r="R376" s="1023"/>
      <c r="S376" s="67">
        <f>OBRA!S374</f>
        <v>43819</v>
      </c>
      <c r="T376" s="1134" t="str">
        <f>OBRA!V374</f>
        <v>-</v>
      </c>
      <c r="U376" s="5">
        <f>OBRA!T374</f>
        <v>43819</v>
      </c>
      <c r="V376" s="11">
        <f>OBRA!U374</f>
        <v>43830</v>
      </c>
      <c r="W376" s="220">
        <v>0</v>
      </c>
      <c r="X376" s="278">
        <f>OBRA!AS374+OBRA!AT374</f>
        <v>232635.88</v>
      </c>
      <c r="Y376" s="1018" t="s">
        <v>2874</v>
      </c>
      <c r="Z376" s="146" t="str">
        <f>OBRA!W374</f>
        <v>N/A</v>
      </c>
      <c r="AA376" s="146" t="s">
        <v>68</v>
      </c>
      <c r="AB376" s="148" t="str">
        <f t="shared" si="21"/>
        <v>N/A</v>
      </c>
      <c r="AC376" s="146" t="s">
        <v>1177</v>
      </c>
      <c r="AD376" s="2" t="s">
        <v>1177</v>
      </c>
      <c r="AE376" s="183" t="str">
        <f>OBRA!X374</f>
        <v>ING. J. GUADALUPE IBARRA RAMIREZ</v>
      </c>
      <c r="AF376" s="161"/>
      <c r="AG376" s="2" t="s">
        <v>1451</v>
      </c>
      <c r="AH376" s="183" t="e">
        <f t="shared" si="22"/>
        <v>#DIV/0!</v>
      </c>
      <c r="AI376" s="2">
        <v>200</v>
      </c>
      <c r="AJ376" s="513">
        <v>4000</v>
      </c>
      <c r="AK376" s="513"/>
      <c r="AL376" s="1513"/>
      <c r="AM376" s="1514"/>
      <c r="AN376" s="1508" t="s">
        <v>3858</v>
      </c>
      <c r="AO376" s="1322" t="s">
        <v>3858</v>
      </c>
      <c r="AP376" s="529"/>
      <c r="AQ376" s="1261" t="s">
        <v>3858</v>
      </c>
      <c r="AR376" s="1239"/>
      <c r="AS376" s="1297" t="s">
        <v>3858</v>
      </c>
    </row>
    <row r="377" spans="1:45" s="104" customFormat="1" ht="51" hidden="1" customHeight="1">
      <c r="A377" s="82">
        <f>OBRA!J375</f>
        <v>2019</v>
      </c>
      <c r="B377" s="784" t="s">
        <v>2094</v>
      </c>
      <c r="C377" s="784">
        <v>191.23</v>
      </c>
      <c r="D377" s="784"/>
      <c r="E377" s="85">
        <f>OBRA!M375</f>
        <v>0</v>
      </c>
      <c r="F377" s="83" t="s">
        <v>1428</v>
      </c>
      <c r="G377" s="514"/>
      <c r="H377" s="84" t="str">
        <f>OBRA!N375</f>
        <v>DOP/AD/023/2019</v>
      </c>
      <c r="I377" s="85" t="str">
        <f>OBRA!O375</f>
        <v>CANCELADA</v>
      </c>
      <c r="J377" s="125">
        <f>OBRA!P375</f>
        <v>0</v>
      </c>
      <c r="K377" s="125"/>
      <c r="L377" s="125"/>
      <c r="M377" s="125"/>
      <c r="N377" s="125"/>
      <c r="O377" s="125"/>
      <c r="P377" s="86">
        <f>OBRA!R375</f>
        <v>0</v>
      </c>
      <c r="Q377" s="86">
        <f t="shared" si="19"/>
        <v>0</v>
      </c>
      <c r="R377" s="86"/>
      <c r="S377" s="87">
        <f>OBRA!S375</f>
        <v>0</v>
      </c>
      <c r="T377" s="1409" t="str">
        <f>OBRA!V375</f>
        <v>-</v>
      </c>
      <c r="U377" s="88">
        <f>OBRA!T375</f>
        <v>0</v>
      </c>
      <c r="V377" s="89">
        <f>OBRA!U375</f>
        <v>0</v>
      </c>
      <c r="W377" s="338" t="s">
        <v>1428</v>
      </c>
      <c r="X377" s="821">
        <f>OBRA!AS375+OBRA!AT375</f>
        <v>0</v>
      </c>
      <c r="Y377" s="1016"/>
      <c r="Z377" s="147" t="str">
        <f>OBRA!W375</f>
        <v>N/A</v>
      </c>
      <c r="AA377" s="146" t="s">
        <v>68</v>
      </c>
      <c r="AB377" s="149" t="str">
        <f t="shared" si="21"/>
        <v>N/A</v>
      </c>
      <c r="AC377" s="147" t="s">
        <v>1177</v>
      </c>
      <c r="AD377" s="85" t="s">
        <v>1177</v>
      </c>
      <c r="AE377" s="184">
        <f>OBRA!X375</f>
        <v>0</v>
      </c>
      <c r="AF377" s="84">
        <v>1</v>
      </c>
      <c r="AG377" s="85"/>
      <c r="AH377" s="184">
        <f t="shared" si="22"/>
        <v>0</v>
      </c>
      <c r="AI377" s="85">
        <v>0</v>
      </c>
      <c r="AJ377" s="514"/>
      <c r="AK377" s="514"/>
      <c r="AL377" s="1515"/>
      <c r="AM377" s="1516"/>
      <c r="AN377" s="816"/>
      <c r="AO377" s="816"/>
      <c r="AP377" s="816"/>
      <c r="AQ377" s="85"/>
      <c r="AR377" s="570"/>
      <c r="AS377" s="83"/>
    </row>
    <row r="378" spans="1:45" ht="72.75" hidden="1" customHeight="1">
      <c r="A378" s="16">
        <f>OBRA!J376</f>
        <v>2019</v>
      </c>
      <c r="B378" s="783" t="s">
        <v>2094</v>
      </c>
      <c r="C378" s="783">
        <v>191.24</v>
      </c>
      <c r="D378" s="783"/>
      <c r="E378" s="2" t="str">
        <f>OBRA!M376</f>
        <v>RAMO 33</v>
      </c>
      <c r="F378" s="18" t="s">
        <v>1428</v>
      </c>
      <c r="G378" s="513" t="s">
        <v>2206</v>
      </c>
      <c r="H378" s="19" t="str">
        <f>OBRA!N376</f>
        <v>DOP/AD/024/2019</v>
      </c>
      <c r="I378" s="2" t="str">
        <f>OBRA!O376</f>
        <v>ADMINISTRACIÓN DIRECTA</v>
      </c>
      <c r="J378" s="3" t="str">
        <f>OBRA!P376</f>
        <v>"CONSTRUCCIÓN DE BANQUETAS 2DA. ETAPA EN LA CALLE MORELOS", EN LA LOCALIDAD DE CHANTEPEC, DEL MUNICIPIO DE JOCOTEPEC, JALISCO.</v>
      </c>
      <c r="K378" s="541"/>
      <c r="L378" s="3" t="s">
        <v>4748</v>
      </c>
      <c r="M378" s="3" t="s">
        <v>6299</v>
      </c>
      <c r="N378" s="3" t="s">
        <v>2538</v>
      </c>
      <c r="O378" s="1437" t="s">
        <v>3859</v>
      </c>
      <c r="P378" s="79">
        <f>OBRA!R376</f>
        <v>11470</v>
      </c>
      <c r="Q378" s="1023">
        <f t="shared" si="19"/>
        <v>9887.9310344827591</v>
      </c>
      <c r="R378" s="1023"/>
      <c r="S378" s="67">
        <f>OBRA!S376</f>
        <v>43801</v>
      </c>
      <c r="T378" s="1134" t="str">
        <f>OBRA!V376</f>
        <v>-</v>
      </c>
      <c r="U378" s="5">
        <f>OBRA!T376</f>
        <v>43825</v>
      </c>
      <c r="V378" s="11">
        <f>OBRA!U376</f>
        <v>43830</v>
      </c>
      <c r="W378" s="220">
        <v>0</v>
      </c>
      <c r="X378" s="278">
        <f>OBRA!AS376+OBRA!AT376</f>
        <v>11470</v>
      </c>
      <c r="Y378" s="1018" t="s">
        <v>2873</v>
      </c>
      <c r="Z378" s="146" t="str">
        <f>OBRA!W376</f>
        <v>N/A</v>
      </c>
      <c r="AA378" s="146" t="s">
        <v>68</v>
      </c>
      <c r="AB378" s="148" t="str">
        <f t="shared" si="21"/>
        <v>N/A</v>
      </c>
      <c r="AC378" s="146" t="s">
        <v>1177</v>
      </c>
      <c r="AD378" s="2" t="s">
        <v>1177</v>
      </c>
      <c r="AE378" s="183" t="str">
        <f>OBRA!X376</f>
        <v>LIC. SALVADOR CONTRERAS OLGUÍN</v>
      </c>
      <c r="AF378" s="19">
        <v>19.239999999999998</v>
      </c>
      <c r="AG378" s="2" t="s">
        <v>1548</v>
      </c>
      <c r="AH378" s="615">
        <f t="shared" si="22"/>
        <v>596.15384615384619</v>
      </c>
      <c r="AI378" s="2">
        <v>2000</v>
      </c>
      <c r="AJ378" s="513">
        <v>2000</v>
      </c>
      <c r="AK378" s="513"/>
      <c r="AL378" s="1513"/>
      <c r="AM378" s="1514"/>
      <c r="AN378" s="1508" t="s">
        <v>3859</v>
      </c>
      <c r="AO378" s="1286" t="s">
        <v>3859</v>
      </c>
      <c r="AP378" s="1322" t="s">
        <v>3859</v>
      </c>
      <c r="AQ378" s="510"/>
      <c r="AR378" s="1268"/>
      <c r="AS378" s="1297" t="s">
        <v>3859</v>
      </c>
    </row>
    <row r="379" spans="1:45" s="104" customFormat="1" ht="51" hidden="1" customHeight="1">
      <c r="A379" s="82">
        <f>OBRA!J377</f>
        <v>2019</v>
      </c>
      <c r="B379" s="784" t="s">
        <v>2094</v>
      </c>
      <c r="C379" s="784">
        <v>191.25</v>
      </c>
      <c r="D379" s="784"/>
      <c r="E379" s="85">
        <f>OBRA!M377</f>
        <v>0</v>
      </c>
      <c r="F379" s="83" t="s">
        <v>1428</v>
      </c>
      <c r="G379" s="514"/>
      <c r="H379" s="84" t="str">
        <f>OBRA!N377</f>
        <v>DOP/AD/025/2019</v>
      </c>
      <c r="I379" s="85" t="str">
        <f>OBRA!O377</f>
        <v>CANCELADA</v>
      </c>
      <c r="J379" s="125">
        <f>OBRA!P377</f>
        <v>0</v>
      </c>
      <c r="K379" s="125"/>
      <c r="L379" s="125"/>
      <c r="M379" s="125"/>
      <c r="N379" s="125"/>
      <c r="O379" s="125"/>
      <c r="P379" s="86">
        <f>OBRA!R377</f>
        <v>0</v>
      </c>
      <c r="Q379" s="86">
        <f t="shared" si="19"/>
        <v>0</v>
      </c>
      <c r="R379" s="86"/>
      <c r="S379" s="87">
        <f>OBRA!S377</f>
        <v>0</v>
      </c>
      <c r="T379" s="1409" t="str">
        <f>OBRA!V377</f>
        <v>-</v>
      </c>
      <c r="U379" s="88">
        <f>OBRA!T377</f>
        <v>0</v>
      </c>
      <c r="V379" s="89">
        <f>OBRA!U377</f>
        <v>0</v>
      </c>
      <c r="W379" s="338" t="s">
        <v>1428</v>
      </c>
      <c r="X379" s="821">
        <f>OBRA!AS377+OBRA!AT377</f>
        <v>0</v>
      </c>
      <c r="Y379" s="1016"/>
      <c r="Z379" s="147" t="str">
        <f>OBRA!W377</f>
        <v>-</v>
      </c>
      <c r="AA379" s="146" t="s">
        <v>68</v>
      </c>
      <c r="AB379" s="149" t="str">
        <f t="shared" si="21"/>
        <v>-</v>
      </c>
      <c r="AC379" s="147" t="s">
        <v>1177</v>
      </c>
      <c r="AD379" s="85" t="s">
        <v>1177</v>
      </c>
      <c r="AE379" s="184">
        <f>OBRA!X377</f>
        <v>0</v>
      </c>
      <c r="AF379" s="84">
        <v>1</v>
      </c>
      <c r="AG379" s="85"/>
      <c r="AH379" s="184">
        <f t="shared" si="22"/>
        <v>0</v>
      </c>
      <c r="AI379" s="85">
        <v>0</v>
      </c>
      <c r="AJ379" s="514"/>
      <c r="AK379" s="514"/>
      <c r="AL379" s="1515"/>
      <c r="AM379" s="1516"/>
      <c r="AN379" s="816"/>
      <c r="AO379" s="816"/>
      <c r="AP379" s="816"/>
      <c r="AQ379" s="85"/>
      <c r="AR379" s="570"/>
      <c r="AS379" s="83"/>
    </row>
    <row r="380" spans="1:45" ht="98.25" hidden="1" customHeight="1">
      <c r="A380" s="16">
        <f>OBRA!J378</f>
        <v>2019</v>
      </c>
      <c r="B380" s="783" t="s">
        <v>2094</v>
      </c>
      <c r="C380" s="783">
        <v>192.1</v>
      </c>
      <c r="D380" s="783"/>
      <c r="E380" s="2" t="str">
        <f>OBRA!M378</f>
        <v>RASTRO DIGNO / CTA-CTE</v>
      </c>
      <c r="F380" s="605" t="s">
        <v>3705</v>
      </c>
      <c r="G380" s="38" t="s">
        <v>2861</v>
      </c>
      <c r="H380" s="12" t="str">
        <f>OBRA!N378</f>
        <v>RASTRO DIGNO 2019</v>
      </c>
      <c r="I380" s="2" t="str">
        <f>OBRA!O378</f>
        <v>ADQUISICIÓN</v>
      </c>
      <c r="J380" s="3" t="str">
        <f>OBRA!P378</f>
        <v>ADQUISICIÓN DE: "UN REACTOR ANAEROBIO UASB-IC, PARA EL SISTEMA DE AGUAS RESIDUALES DEL RASTRO MUNICIPAL" DE LA CABECERA MUNICIPAL DE JOCOTEPEC, JALISCO.</v>
      </c>
      <c r="K380" s="3" t="s">
        <v>2870</v>
      </c>
      <c r="L380" s="3"/>
      <c r="M380" s="3" t="s">
        <v>2002</v>
      </c>
      <c r="N380" s="3" t="s">
        <v>1975</v>
      </c>
      <c r="O380" s="504" t="s">
        <v>3493</v>
      </c>
      <c r="P380" s="4">
        <f>OBRA!R378</f>
        <v>1688681.79</v>
      </c>
      <c r="Q380" s="1023">
        <f t="shared" si="19"/>
        <v>1455760.1637931035</v>
      </c>
      <c r="R380" s="1023"/>
      <c r="S380" s="6">
        <f>OBRA!S378</f>
        <v>43776</v>
      </c>
      <c r="T380" s="1134" t="str">
        <f>OBRA!V378</f>
        <v>-</v>
      </c>
      <c r="U380" s="5">
        <f>OBRA!T378</f>
        <v>43783</v>
      </c>
      <c r="V380" s="11">
        <f>OBRA!U378</f>
        <v>43814</v>
      </c>
      <c r="W380" s="1021">
        <v>844340.89</v>
      </c>
      <c r="X380" s="278">
        <f>P380</f>
        <v>1688681.79</v>
      </c>
      <c r="Y380" s="1018" t="s">
        <v>1428</v>
      </c>
      <c r="Z380" s="146" t="str">
        <f>OBRA!W378</f>
        <v>BIOESTERES DE MÉXICO S.A. DE C.V.</v>
      </c>
      <c r="AA380" s="146" t="s">
        <v>5666</v>
      </c>
      <c r="AB380" s="148" t="s">
        <v>3780</v>
      </c>
      <c r="AC380" s="148" t="s">
        <v>68</v>
      </c>
      <c r="AD380" s="146" t="s">
        <v>2763</v>
      </c>
      <c r="AE380" s="183" t="str">
        <f>OBRA!X378</f>
        <v>ARQ. JAIME CONDE GOMEZ</v>
      </c>
      <c r="AF380" s="19">
        <v>1</v>
      </c>
      <c r="AG380" s="2" t="s">
        <v>1841</v>
      </c>
      <c r="AH380" s="183" t="s">
        <v>68</v>
      </c>
      <c r="AI380" s="2">
        <v>2000</v>
      </c>
      <c r="AJ380" s="513">
        <v>48500</v>
      </c>
      <c r="AK380" s="513"/>
      <c r="AL380" s="1513"/>
      <c r="AM380" s="1514"/>
      <c r="AN380" s="972" t="s">
        <v>68</v>
      </c>
      <c r="AO380" s="972" t="s">
        <v>68</v>
      </c>
      <c r="AP380" s="972" t="s">
        <v>68</v>
      </c>
      <c r="AQ380" s="1139" t="s">
        <v>68</v>
      </c>
      <c r="AR380" s="1270"/>
      <c r="AS380" s="977" t="s">
        <v>68</v>
      </c>
    </row>
    <row r="381" spans="1:45" ht="58.5" hidden="1" customHeight="1">
      <c r="A381" s="16">
        <f>OBRA!J379</f>
        <v>2019</v>
      </c>
      <c r="B381" s="783" t="s">
        <v>2094</v>
      </c>
      <c r="C381" s="783">
        <v>192.2</v>
      </c>
      <c r="D381" s="783"/>
      <c r="E381" s="2" t="str">
        <f>OBRA!M379</f>
        <v>P.I.D.</v>
      </c>
      <c r="F381" s="605" t="s">
        <v>3705</v>
      </c>
      <c r="G381" s="38" t="s">
        <v>2861</v>
      </c>
      <c r="H381" s="12" t="str">
        <f>OBRA!N379</f>
        <v>PID/2019 - NEXTIPAC</v>
      </c>
      <c r="I381" s="2" t="str">
        <f>OBRA!O379</f>
        <v>ADQUISICIÓN</v>
      </c>
      <c r="J381" s="3" t="str">
        <f>OBRA!P379</f>
        <v>ADQUISICIÓN DE: UN MUELLE FLOTANTE Y ESTACIÓN DE RECICLADO, PARA LA LOCALIDAD DE NEXTIPAC.</v>
      </c>
      <c r="K381" s="3" t="s">
        <v>2130</v>
      </c>
      <c r="L381" s="3"/>
      <c r="M381" s="3" t="s">
        <v>2131</v>
      </c>
      <c r="N381" s="3" t="s">
        <v>2577</v>
      </c>
      <c r="O381" s="504" t="s">
        <v>3493</v>
      </c>
      <c r="P381" s="4">
        <f>OBRA!R379</f>
        <v>256520.08</v>
      </c>
      <c r="Q381" s="1023">
        <f t="shared" si="19"/>
        <v>221138</v>
      </c>
      <c r="R381" s="1023"/>
      <c r="S381" s="6">
        <f>OBRA!S379</f>
        <v>43759</v>
      </c>
      <c r="T381" s="1134" t="str">
        <f>OBRA!V379</f>
        <v>-</v>
      </c>
      <c r="U381" s="5" t="str">
        <f>OBRA!T379</f>
        <v>-</v>
      </c>
      <c r="V381" s="11" t="str">
        <f>OBRA!U379</f>
        <v>-</v>
      </c>
      <c r="W381" s="1020" t="s">
        <v>1428</v>
      </c>
      <c r="X381" s="278">
        <f>OBRA!AS379+OBRA!AT379</f>
        <v>256520.08</v>
      </c>
      <c r="Y381" s="1018" t="s">
        <v>1428</v>
      </c>
      <c r="Z381" s="146" t="str">
        <f>OBRA!W379</f>
        <v>C. JESÚS RAMÍREZ JIMÉNEZ</v>
      </c>
      <c r="AA381" s="146" t="s">
        <v>5665</v>
      </c>
      <c r="AB381" s="148" t="str">
        <f>Z381</f>
        <v>C. JESÚS RAMÍREZ JIMÉNEZ</v>
      </c>
      <c r="AC381" s="2" t="s">
        <v>2959</v>
      </c>
      <c r="AD381" s="146" t="s">
        <v>2959</v>
      </c>
      <c r="AE381" s="183" t="str">
        <f>OBRA!X379</f>
        <v>LIC. SALVADOR CONTRERAS OLGUÍN</v>
      </c>
      <c r="AF381" s="19">
        <v>1</v>
      </c>
      <c r="AG381" s="2" t="s">
        <v>1573</v>
      </c>
      <c r="AH381" s="183" t="s">
        <v>68</v>
      </c>
      <c r="AI381" s="2">
        <v>300</v>
      </c>
      <c r="AJ381" s="513">
        <v>2000</v>
      </c>
      <c r="AK381" s="513"/>
      <c r="AL381" s="1513"/>
      <c r="AM381" s="1514"/>
      <c r="AN381" s="972" t="s">
        <v>68</v>
      </c>
      <c r="AO381" s="972" t="s">
        <v>68</v>
      </c>
      <c r="AP381" s="972" t="s">
        <v>68</v>
      </c>
      <c r="AQ381" s="1139" t="s">
        <v>68</v>
      </c>
      <c r="AR381" s="1270"/>
      <c r="AS381" s="977" t="s">
        <v>68</v>
      </c>
    </row>
    <row r="382" spans="1:45" ht="70.5" hidden="1" customHeight="1">
      <c r="A382" s="16">
        <f>OBRA!J380</f>
        <v>2019</v>
      </c>
      <c r="B382" s="783" t="s">
        <v>2094</v>
      </c>
      <c r="C382" s="783">
        <v>192.3</v>
      </c>
      <c r="D382" s="783"/>
      <c r="E382" s="2" t="str">
        <f>OBRA!M380</f>
        <v>P.I.D.</v>
      </c>
      <c r="F382" s="605" t="s">
        <v>3705</v>
      </c>
      <c r="G382" s="38" t="s">
        <v>2861</v>
      </c>
      <c r="H382" s="12" t="str">
        <f>OBRA!N380</f>
        <v>PID/2019 - SJC</v>
      </c>
      <c r="I382" s="2" t="str">
        <f>OBRA!O380</f>
        <v>ADQUISICIÓN</v>
      </c>
      <c r="J382" s="3" t="str">
        <f>OBRA!P380</f>
        <v>ADQUISICIÓN DE: UN MUELLE FLOTANTE Y ESTACIÓN DE RECICLADO, PARA LA LOCALIDAD DE SAN JUAN CÓSALA.</v>
      </c>
      <c r="K382" s="3" t="s">
        <v>2130</v>
      </c>
      <c r="L382" s="3"/>
      <c r="M382" s="3" t="s">
        <v>3011</v>
      </c>
      <c r="N382" s="3" t="s">
        <v>2524</v>
      </c>
      <c r="O382" s="504" t="s">
        <v>3493</v>
      </c>
      <c r="P382" s="4">
        <f>OBRA!R380</f>
        <v>256520.08</v>
      </c>
      <c r="Q382" s="1023">
        <f t="shared" si="19"/>
        <v>221138</v>
      </c>
      <c r="R382" s="1023"/>
      <c r="S382" s="6">
        <f>OBRA!S380</f>
        <v>43759</v>
      </c>
      <c r="T382" s="1134" t="str">
        <f>OBRA!V380</f>
        <v>-</v>
      </c>
      <c r="U382" s="5" t="str">
        <f>OBRA!T380</f>
        <v>-</v>
      </c>
      <c r="V382" s="11" t="str">
        <f>OBRA!U380</f>
        <v>-</v>
      </c>
      <c r="W382" s="1020" t="s">
        <v>1428</v>
      </c>
      <c r="X382" s="278">
        <f>OBRA!AS380+OBRA!AT380</f>
        <v>256520.08</v>
      </c>
      <c r="Y382" s="1018" t="s">
        <v>1428</v>
      </c>
      <c r="Z382" s="146" t="str">
        <f>OBRA!W380</f>
        <v>C. JESÚS RAMÍREZ JIMÉNEZ</v>
      </c>
      <c r="AA382" s="146" t="s">
        <v>5665</v>
      </c>
      <c r="AB382" s="148" t="str">
        <f>Z382</f>
        <v>C. JESÚS RAMÍREZ JIMÉNEZ</v>
      </c>
      <c r="AC382" s="2" t="s">
        <v>2959</v>
      </c>
      <c r="AD382" s="146" t="s">
        <v>2959</v>
      </c>
      <c r="AE382" s="183" t="str">
        <f>OBRA!X380</f>
        <v>ARQ. CESAR ANTONIO ALONSO JIMENEZ</v>
      </c>
      <c r="AF382" s="19">
        <v>1</v>
      </c>
      <c r="AG382" s="2" t="s">
        <v>1573</v>
      </c>
      <c r="AH382" s="183" t="s">
        <v>68</v>
      </c>
      <c r="AI382" s="2">
        <v>300</v>
      </c>
      <c r="AJ382" s="513">
        <v>2000</v>
      </c>
      <c r="AK382" s="513"/>
      <c r="AL382" s="1513"/>
      <c r="AM382" s="1514"/>
      <c r="AN382" s="972" t="s">
        <v>68</v>
      </c>
      <c r="AO382" s="972" t="s">
        <v>68</v>
      </c>
      <c r="AP382" s="972" t="s">
        <v>68</v>
      </c>
      <c r="AQ382" s="1139" t="s">
        <v>68</v>
      </c>
      <c r="AR382" s="1270"/>
      <c r="AS382" s="977" t="s">
        <v>68</v>
      </c>
    </row>
    <row r="383" spans="1:45" ht="72" hidden="1" customHeight="1">
      <c r="A383" s="16">
        <f>OBRA!J381</f>
        <v>2019</v>
      </c>
      <c r="B383" s="783" t="s">
        <v>2094</v>
      </c>
      <c r="C383" s="783">
        <v>193.1</v>
      </c>
      <c r="D383" s="783"/>
      <c r="E383" s="2" t="str">
        <f>OBRA!M381</f>
        <v>CUENTA CORRIENTE</v>
      </c>
      <c r="F383" s="18" t="s">
        <v>1428</v>
      </c>
      <c r="G383" s="156" t="s">
        <v>2861</v>
      </c>
      <c r="H383" s="12" t="str">
        <f>OBRA!N381</f>
        <v>CTA-CTE/2019</v>
      </c>
      <c r="I383" s="2" t="str">
        <f>OBRA!O381</f>
        <v>ARRENDAMIENTO</v>
      </c>
      <c r="J383" s="3" t="str">
        <f>OBRA!P381</f>
        <v>ARRENTAMIENTO DEL: INMUEBLE UBICADO EN CALLE HIDALGO Nº 12, EN LA LOCALIDAD DEL MOLINO, PERTENECIENTE AL MUNICIPIO DE JOCOTEPEC, JALISCO.</v>
      </c>
      <c r="K383" s="3" t="s">
        <v>2132</v>
      </c>
      <c r="L383" s="3"/>
      <c r="M383" s="3" t="s">
        <v>2133</v>
      </c>
      <c r="N383" s="3" t="s">
        <v>2663</v>
      </c>
      <c r="O383" s="541"/>
      <c r="P383" s="4">
        <f>OBRA!R381</f>
        <v>4800</v>
      </c>
      <c r="Q383" s="1023">
        <f t="shared" si="19"/>
        <v>4137.9310344827591</v>
      </c>
      <c r="R383" s="79" t="s">
        <v>3954</v>
      </c>
      <c r="S383" s="6">
        <f>OBRA!S381</f>
        <v>43699</v>
      </c>
      <c r="T383" s="1134" t="str">
        <f>OBRA!V381</f>
        <v>-</v>
      </c>
      <c r="U383" s="5">
        <f>OBRA!T381</f>
        <v>43699</v>
      </c>
      <c r="V383" s="11">
        <f>OBRA!U381</f>
        <v>43821</v>
      </c>
      <c r="W383" s="1020" t="s">
        <v>1428</v>
      </c>
      <c r="X383" s="1015">
        <f>OBRA!AS381+OBRA!AT381</f>
        <v>0</v>
      </c>
      <c r="Y383" s="1018" t="s">
        <v>1428</v>
      </c>
      <c r="Z383" s="146" t="str">
        <f>OBRA!W381</f>
        <v>C. VICENTE NAVARRO RUIZ</v>
      </c>
      <c r="AA383" s="146" t="s">
        <v>5665</v>
      </c>
      <c r="AB383" s="148" t="str">
        <f>Z383</f>
        <v>C. VICENTE NAVARRO RUIZ</v>
      </c>
      <c r="AC383" s="2" t="s">
        <v>2959</v>
      </c>
      <c r="AD383" s="146" t="s">
        <v>2959</v>
      </c>
      <c r="AE383" s="183" t="str">
        <f>OBRA!X381</f>
        <v>-</v>
      </c>
      <c r="AF383" s="19" t="s">
        <v>1177</v>
      </c>
      <c r="AG383" s="2" t="s">
        <v>1177</v>
      </c>
      <c r="AH383" s="183" t="s">
        <v>68</v>
      </c>
      <c r="AI383" s="2" t="s">
        <v>1177</v>
      </c>
      <c r="AJ383" s="513" t="s">
        <v>1177</v>
      </c>
      <c r="AK383" s="513"/>
      <c r="AL383" s="1513"/>
      <c r="AM383" s="1514"/>
      <c r="AN383" s="1218"/>
      <c r="AO383" s="972" t="s">
        <v>68</v>
      </c>
      <c r="AP383" s="972" t="s">
        <v>68</v>
      </c>
      <c r="AQ383" s="1139" t="s">
        <v>68</v>
      </c>
      <c r="AR383" s="1270"/>
      <c r="AS383" s="977" t="s">
        <v>68</v>
      </c>
    </row>
    <row r="384" spans="1:45" ht="108.75" hidden="1" customHeight="1">
      <c r="A384" s="16">
        <f>OBRA!J382</f>
        <v>2019</v>
      </c>
      <c r="B384" s="783" t="s">
        <v>2094</v>
      </c>
      <c r="C384" s="783">
        <v>195.1</v>
      </c>
      <c r="D384" s="783"/>
      <c r="E384" s="2" t="str">
        <f>OBRA!M382</f>
        <v>RAMO 33</v>
      </c>
      <c r="F384" s="18" t="s">
        <v>1428</v>
      </c>
      <c r="G384" s="156" t="s">
        <v>2861</v>
      </c>
      <c r="H384" s="412" t="str">
        <f>OBRA!N382</f>
        <v>LEVANTAMIENTOS TOPOGRAFICOS</v>
      </c>
      <c r="I384" s="2" t="str">
        <f>OBRA!O382</f>
        <v>SERVICIOS</v>
      </c>
      <c r="J384" s="3" t="str">
        <f>OBRA!P382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2663</v>
      </c>
      <c r="O384" s="466" t="s">
        <v>3492</v>
      </c>
      <c r="P384" s="4">
        <f>OBRA!R382</f>
        <v>250096</v>
      </c>
      <c r="Q384" s="1023">
        <f t="shared" si="19"/>
        <v>215600.00000000003</v>
      </c>
      <c r="R384" s="79" t="s">
        <v>68</v>
      </c>
      <c r="S384" s="6">
        <f>OBRA!S382</f>
        <v>43637</v>
      </c>
      <c r="T384" s="1134" t="str">
        <f>OBRA!V382</f>
        <v>-</v>
      </c>
      <c r="U384" s="5">
        <f>OBRA!T382</f>
        <v>43640</v>
      </c>
      <c r="V384" s="11">
        <f>OBRA!U382</f>
        <v>43830</v>
      </c>
      <c r="W384" s="1020" t="s">
        <v>1428</v>
      </c>
      <c r="X384" s="1015">
        <f>OBRA!AS382+OBRA!AT382</f>
        <v>0</v>
      </c>
      <c r="Y384" s="1018" t="s">
        <v>1428</v>
      </c>
      <c r="Z384" s="146" t="str">
        <f>OBRA!W382</f>
        <v>CONSTRUCTORA PIMONT S.A. DE C.V.</v>
      </c>
      <c r="AA384" s="146" t="s">
        <v>5666</v>
      </c>
      <c r="AB384" s="148" t="s">
        <v>1833</v>
      </c>
      <c r="AC384" s="148" t="s">
        <v>2135</v>
      </c>
      <c r="AD384" s="146" t="s">
        <v>2756</v>
      </c>
      <c r="AE384" s="183" t="str">
        <f>OBRA!X382</f>
        <v>-</v>
      </c>
      <c r="AF384" s="19" t="s">
        <v>1177</v>
      </c>
      <c r="AG384" s="2" t="s">
        <v>1177</v>
      </c>
      <c r="AH384" s="183" t="s">
        <v>1177</v>
      </c>
      <c r="AI384" s="2" t="s">
        <v>1177</v>
      </c>
      <c r="AJ384" s="513" t="s">
        <v>1177</v>
      </c>
      <c r="AK384" s="513"/>
      <c r="AL384" s="1513"/>
      <c r="AM384" s="1514"/>
      <c r="AN384" s="972" t="s">
        <v>68</v>
      </c>
      <c r="AO384" s="972" t="s">
        <v>68</v>
      </c>
      <c r="AP384" s="972" t="s">
        <v>68</v>
      </c>
      <c r="AQ384" s="1139" t="s">
        <v>68</v>
      </c>
      <c r="AR384" s="1270"/>
      <c r="AS384" s="977" t="s">
        <v>68</v>
      </c>
    </row>
    <row r="385" spans="1:45" ht="159" hidden="1" customHeight="1">
      <c r="A385" s="16">
        <f>OBRA!J383</f>
        <v>2019</v>
      </c>
      <c r="B385" s="783" t="s">
        <v>2094</v>
      </c>
      <c r="C385" s="783">
        <v>196.01</v>
      </c>
      <c r="D385" s="783"/>
      <c r="E385" s="2" t="str">
        <f>OBRA!M383</f>
        <v>RAMO 33</v>
      </c>
      <c r="F385" s="156" t="s">
        <v>1428</v>
      </c>
      <c r="G385" s="156" t="s">
        <v>2206</v>
      </c>
      <c r="H385" s="12" t="str">
        <f>OBRA!N383</f>
        <v>GMJ 001 C-OP/2019</v>
      </c>
      <c r="I385" s="2" t="str">
        <f>OBRA!O383</f>
        <v>ADJUDICACIÓN DIRECTA</v>
      </c>
      <c r="J385"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75" t="s">
        <v>2134</v>
      </c>
      <c r="L385" s="3" t="s">
        <v>6247</v>
      </c>
      <c r="M385" s="3" t="s">
        <v>6276</v>
      </c>
      <c r="N385" s="3" t="s">
        <v>2524</v>
      </c>
      <c r="O385" s="466" t="s">
        <v>3494</v>
      </c>
      <c r="P385" s="4">
        <f>OBRA!R383</f>
        <v>731445.69</v>
      </c>
      <c r="Q385" s="1023">
        <f t="shared" si="19"/>
        <v>630556.62931034481</v>
      </c>
      <c r="R385" s="1023"/>
      <c r="S385" s="6">
        <f>OBRA!S383</f>
        <v>43529</v>
      </c>
      <c r="T385" s="1134">
        <f>OBRA!V383</f>
        <v>43621</v>
      </c>
      <c r="U385" s="5">
        <f>OBRA!T383</f>
        <v>43530</v>
      </c>
      <c r="V385" s="11">
        <f>OBRA!U383</f>
        <v>43616</v>
      </c>
      <c r="W385" s="1020" t="s">
        <v>1428</v>
      </c>
      <c r="X385" s="278">
        <f>OBRA!AS383+OBRA!AT383</f>
        <v>726896.94</v>
      </c>
      <c r="Y385" s="1049" t="s">
        <v>2768</v>
      </c>
      <c r="Z385" s="1048" t="str">
        <f>OBRA!W383</f>
        <v>CONSTRUCTORA PIMONT S.A. DE C.V.</v>
      </c>
      <c r="AA385" s="1698" t="s">
        <v>5666</v>
      </c>
      <c r="AB385" s="148" t="s">
        <v>1833</v>
      </c>
      <c r="AC385" s="148" t="s">
        <v>2135</v>
      </c>
      <c r="AD385" s="146" t="s">
        <v>2756</v>
      </c>
      <c r="AE385" s="183" t="str">
        <f>OBRA!X383</f>
        <v>ING. J. GUADALUPE IBARRA RAMIREZ</v>
      </c>
      <c r="AF385" s="19">
        <v>100.55</v>
      </c>
      <c r="AG385" s="2" t="s">
        <v>1451</v>
      </c>
      <c r="AH385" s="615">
        <f t="shared" ref="AH385:AH423" si="23">X385/AF385</f>
        <v>7229.2087518647431</v>
      </c>
      <c r="AI385" s="510"/>
      <c r="AJ385" s="513">
        <v>7800</v>
      </c>
      <c r="AK385" s="513"/>
      <c r="AL385" s="1513"/>
      <c r="AM385" s="1514"/>
      <c r="AN385" s="1240" t="s">
        <v>3693</v>
      </c>
      <c r="AO385" s="1240" t="s">
        <v>3693</v>
      </c>
      <c r="AP385" s="1240" t="s">
        <v>3693</v>
      </c>
      <c r="AQ385" s="1289" t="s">
        <v>3693</v>
      </c>
      <c r="AR385" s="1847"/>
      <c r="AS385" s="1290" t="s">
        <v>3693</v>
      </c>
    </row>
    <row r="386" spans="1:45" ht="95.25" hidden="1" customHeight="1">
      <c r="A386" s="16">
        <f>OBRA!J384</f>
        <v>2019</v>
      </c>
      <c r="B386" s="783" t="s">
        <v>2094</v>
      </c>
      <c r="C386" s="783">
        <v>196.02</v>
      </c>
      <c r="D386" s="783"/>
      <c r="E386" s="2" t="str">
        <f>OBRA!M384</f>
        <v>CUENTA CORRIENTE</v>
      </c>
      <c r="F386" s="156" t="s">
        <v>1428</v>
      </c>
      <c r="G386" s="156" t="s">
        <v>2206</v>
      </c>
      <c r="H386" s="12" t="str">
        <f>OBRA!N384</f>
        <v>GMJ 002 C-OP/2019</v>
      </c>
      <c r="I386" s="2" t="str">
        <f>OBRA!O384</f>
        <v>ADJUDICACIÓN DIRECTA</v>
      </c>
      <c r="J386" s="3" t="str">
        <f>OBRA!P384</f>
        <v>"CONSERVACIÓN Y MANTENIMIENTO INCLUYENTE DE BANQUETA Y ACCESO A HOSPITAL DE URGENCIAS EN LA CABECERA MUNICIPAL DE JOCOTEPEC, JALISCO"</v>
      </c>
      <c r="K386" s="3" t="s">
        <v>2137</v>
      </c>
      <c r="L386" s="3" t="s">
        <v>4748</v>
      </c>
      <c r="M386" s="3" t="s">
        <v>6304</v>
      </c>
      <c r="N386" s="3" t="s">
        <v>1975</v>
      </c>
      <c r="O386" s="466" t="s">
        <v>3494</v>
      </c>
      <c r="P386" s="4">
        <f>OBRA!R384</f>
        <v>140710.85999999999</v>
      </c>
      <c r="Q386" s="1023">
        <f t="shared" si="19"/>
        <v>121302.46551724138</v>
      </c>
      <c r="R386" s="1023"/>
      <c r="S386" s="6">
        <f>OBRA!S384</f>
        <v>43592</v>
      </c>
      <c r="T386" s="1134">
        <f>OBRA!V384</f>
        <v>43591</v>
      </c>
      <c r="U386" s="5">
        <f>OBRA!T384</f>
        <v>43593</v>
      </c>
      <c r="V386" s="11">
        <f>OBRA!U384</f>
        <v>43624</v>
      </c>
      <c r="W386" s="1020" t="s">
        <v>1428</v>
      </c>
      <c r="X386" s="278">
        <f>OBRA!AS384+OBRA!AT384</f>
        <v>140099.94</v>
      </c>
      <c r="Y386" s="1104" t="s">
        <v>2875</v>
      </c>
      <c r="Z386" s="146" t="str">
        <f>OBRA!W384</f>
        <v>CONSTRUCTORA PIMONT S.A. DE C.V.</v>
      </c>
      <c r="AA386" s="146" t="s">
        <v>5666</v>
      </c>
      <c r="AB386" s="148" t="s">
        <v>1833</v>
      </c>
      <c r="AC386" s="148" t="s">
        <v>2135</v>
      </c>
      <c r="AD386" s="146" t="s">
        <v>2756</v>
      </c>
      <c r="AE386" s="183" t="str">
        <f>OBRA!X384</f>
        <v>LIC. SALVADOR CONTRERAS OLGUÍN</v>
      </c>
      <c r="AF386" s="19">
        <v>295.60000000000002</v>
      </c>
      <c r="AG386" s="2" t="s">
        <v>1548</v>
      </c>
      <c r="AH386" s="615">
        <f t="shared" si="23"/>
        <v>473.95108254397832</v>
      </c>
      <c r="AI386" s="2">
        <v>21500</v>
      </c>
      <c r="AJ386" s="513">
        <v>21500</v>
      </c>
      <c r="AK386" s="513"/>
      <c r="AL386" s="1513"/>
      <c r="AM386" s="1514"/>
      <c r="AN386" s="1240" t="s">
        <v>3694</v>
      </c>
      <c r="AO386" s="1240" t="s">
        <v>3694</v>
      </c>
      <c r="AP386" s="1240" t="s">
        <v>3694</v>
      </c>
      <c r="AQ386" s="1289" t="s">
        <v>3694</v>
      </c>
      <c r="AR386" s="1847"/>
      <c r="AS386" s="1290" t="s">
        <v>3694</v>
      </c>
    </row>
    <row r="387" spans="1:45" ht="193.5" hidden="1" customHeight="1">
      <c r="A387" s="16">
        <f>OBRA!J385</f>
        <v>2019</v>
      </c>
      <c r="B387" s="783" t="s">
        <v>2094</v>
      </c>
      <c r="C387" s="783">
        <v>196.03</v>
      </c>
      <c r="D387" s="783"/>
      <c r="E387" s="2" t="str">
        <f>OBRA!M385</f>
        <v>RAMO 33</v>
      </c>
      <c r="F387" s="156" t="s">
        <v>1428</v>
      </c>
      <c r="G387" s="156" t="s">
        <v>2206</v>
      </c>
      <c r="H387" s="12" t="str">
        <f>OBRA!N385</f>
        <v>GMJ 003 C-OP/2019</v>
      </c>
      <c r="I387" s="2" t="str">
        <f>OBRA!O385</f>
        <v>CANCELADA</v>
      </c>
      <c r="J387" s="3" t="str">
        <f>OBRA!P385</f>
        <v>"REHABILITACIÓN DE LÍNEAS HIDROSANITARIAS EN LA CALLE PRIVADA MORELOS DELEGACIÓN DE SAN JUAN COSALA MUNICIPIO DE JOCOTEPEC, JALISCO".</v>
      </c>
      <c r="K387" s="3" t="s">
        <v>2138</v>
      </c>
      <c r="L387" s="3"/>
      <c r="M387" s="3" t="s">
        <v>2139</v>
      </c>
      <c r="N387" s="3" t="s">
        <v>2524</v>
      </c>
      <c r="O387" s="466" t="s">
        <v>3494</v>
      </c>
      <c r="P387" s="4">
        <f>OBRA!R385</f>
        <v>400650.13</v>
      </c>
      <c r="Q387" s="1023">
        <f t="shared" si="19"/>
        <v>345388.04310344829</v>
      </c>
      <c r="R387" s="1023"/>
      <c r="S387" s="6">
        <f>OBRA!S385</f>
        <v>43609</v>
      </c>
      <c r="T387" s="1134">
        <f>OBRA!V385</f>
        <v>43608</v>
      </c>
      <c r="U387" s="5">
        <f>OBRA!T385</f>
        <v>43612</v>
      </c>
      <c r="V387" s="11">
        <f>OBRA!U385</f>
        <v>43629</v>
      </c>
      <c r="W387" s="1020" t="s">
        <v>1428</v>
      </c>
      <c r="X387" s="278">
        <f>OBRA!AS385+OBRA!AT385</f>
        <v>398930.6</v>
      </c>
      <c r="Y387" s="1107" t="s">
        <v>2876</v>
      </c>
      <c r="Z387" s="146" t="str">
        <f>OBRA!W385</f>
        <v>ARQUITECTURA INGENIERÍA MENDPAD S.A. DE C.V.</v>
      </c>
      <c r="AA387" s="146" t="s">
        <v>5666</v>
      </c>
      <c r="AB387" s="148" t="s">
        <v>3781</v>
      </c>
      <c r="AC387" s="148" t="s">
        <v>2140</v>
      </c>
      <c r="AD387" s="146" t="s">
        <v>2760</v>
      </c>
      <c r="AE387" s="183" t="str">
        <f>OBRA!X385</f>
        <v>LIC. SALVADOR CONTRERAS OLGUÍN</v>
      </c>
      <c r="AF387" s="19">
        <v>138</v>
      </c>
      <c r="AG387" s="2" t="s">
        <v>1451</v>
      </c>
      <c r="AH387" s="615">
        <f t="shared" si="23"/>
        <v>2890.8014492753623</v>
      </c>
      <c r="AI387" s="2">
        <v>150</v>
      </c>
      <c r="AJ387" s="506"/>
      <c r="AK387" s="506"/>
      <c r="AL387" s="635"/>
      <c r="AM387" s="1517"/>
      <c r="AN387" s="1240" t="s">
        <v>3695</v>
      </c>
      <c r="AO387" s="1240" t="s">
        <v>3695</v>
      </c>
      <c r="AP387" s="1240" t="s">
        <v>3695</v>
      </c>
      <c r="AQ387" s="1289" t="s">
        <v>3695</v>
      </c>
      <c r="AR387" s="1847"/>
      <c r="AS387" s="1290" t="s">
        <v>3695</v>
      </c>
    </row>
    <row r="388" spans="1:45" ht="96" hidden="1" customHeight="1">
      <c r="A388" s="16">
        <f>OBRA!J386</f>
        <v>2019</v>
      </c>
      <c r="B388" s="783" t="s">
        <v>2094</v>
      </c>
      <c r="C388" s="783">
        <v>196.04</v>
      </c>
      <c r="D388" s="783"/>
      <c r="E388" s="2" t="str">
        <f>OBRA!M386</f>
        <v>RAMO 33</v>
      </c>
      <c r="F388" s="156" t="s">
        <v>1428</v>
      </c>
      <c r="G388" s="156" t="s">
        <v>2206</v>
      </c>
      <c r="H388" s="12" t="str">
        <f>OBRA!N386</f>
        <v>GMJ 004 C-OP/2019</v>
      </c>
      <c r="I388" s="2" t="str">
        <f>OBRA!O386</f>
        <v>ADJUDICACIÓN DIRECTA</v>
      </c>
      <c r="J388" s="3" t="str">
        <f>OBRA!P386</f>
        <v>"CONSTRUCCIÓN DE BANQUETAS EN CALLE CUAUHTÉMOC, DELEGACIÓN DEL CHANTE, MUNICIPIO DE JOCOTEPEC, JALISCO</v>
      </c>
      <c r="K388" s="3" t="s">
        <v>2141</v>
      </c>
      <c r="L388" s="3" t="s">
        <v>4748</v>
      </c>
      <c r="M388" s="3" t="s">
        <v>6300</v>
      </c>
      <c r="N388" s="3" t="s">
        <v>2538</v>
      </c>
      <c r="O388" s="466" t="s">
        <v>3494</v>
      </c>
      <c r="P388" s="4">
        <f>OBRA!R386</f>
        <v>149018.54</v>
      </c>
      <c r="Q388" s="1023">
        <f t="shared" si="19"/>
        <v>128464.25862068967</v>
      </c>
      <c r="R388" s="1023"/>
      <c r="S388" s="6">
        <f>OBRA!S386</f>
        <v>43609</v>
      </c>
      <c r="T388" s="1134">
        <f>OBRA!V386</f>
        <v>43608</v>
      </c>
      <c r="U388" s="5">
        <f>OBRA!T386</f>
        <v>43612</v>
      </c>
      <c r="V388" s="11">
        <f>OBRA!U386</f>
        <v>43626</v>
      </c>
      <c r="W388" s="1020" t="s">
        <v>1428</v>
      </c>
      <c r="X388" s="278">
        <f>OBRA!AS386+OBRA!AT386</f>
        <v>148378.85</v>
      </c>
      <c r="Y388" s="1018" t="s">
        <v>2769</v>
      </c>
      <c r="Z388" s="146" t="str">
        <f>OBRA!W386</f>
        <v>CONSTRUCTORA PIMONT S.A. DE C.V.</v>
      </c>
      <c r="AA388" s="146" t="s">
        <v>5666</v>
      </c>
      <c r="AB388" s="148" t="s">
        <v>1833</v>
      </c>
      <c r="AC388" s="148" t="s">
        <v>2135</v>
      </c>
      <c r="AD388" s="146" t="s">
        <v>2756</v>
      </c>
      <c r="AE388" s="183" t="str">
        <f>OBRA!X386</f>
        <v>LIC. SALVADOR CONTRERAS OLGUÍN</v>
      </c>
      <c r="AF388" s="19">
        <v>240</v>
      </c>
      <c r="AG388" s="2" t="s">
        <v>1548</v>
      </c>
      <c r="AH388" s="615">
        <f t="shared" si="23"/>
        <v>618.24520833333338</v>
      </c>
      <c r="AI388" s="510"/>
      <c r="AJ388" s="513">
        <v>2000</v>
      </c>
      <c r="AK388" s="513"/>
      <c r="AL388" s="1513"/>
      <c r="AM388" s="1514"/>
      <c r="AN388" s="1240" t="s">
        <v>3696</v>
      </c>
      <c r="AO388" s="1240" t="s">
        <v>3696</v>
      </c>
      <c r="AP388" s="1240" t="s">
        <v>3696</v>
      </c>
      <c r="AQ388" s="1289" t="s">
        <v>3696</v>
      </c>
      <c r="AR388" s="1847"/>
      <c r="AS388" s="1290" t="s">
        <v>3696</v>
      </c>
    </row>
    <row r="389" spans="1:45" ht="138.75" hidden="1" customHeight="1">
      <c r="A389" s="16">
        <f>OBRA!J387</f>
        <v>2019</v>
      </c>
      <c r="B389" s="783" t="s">
        <v>2094</v>
      </c>
      <c r="C389" s="783">
        <v>196.05</v>
      </c>
      <c r="D389" s="783"/>
      <c r="E389" s="2" t="str">
        <f>OBRA!M387</f>
        <v>RAMO 33</v>
      </c>
      <c r="F389" s="156" t="s">
        <v>1428</v>
      </c>
      <c r="G389" s="156" t="s">
        <v>2206</v>
      </c>
      <c r="H389" s="12" t="str">
        <f>OBRA!N387</f>
        <v>GMJ 005 C-OP/2019</v>
      </c>
      <c r="I389" s="2" t="str">
        <f>OBRA!O387</f>
        <v>ADJUDICACIÓN DIRECTA</v>
      </c>
      <c r="J389" s="3" t="str">
        <f>OBRA!P387</f>
        <v xml:space="preserve">"REHABILITACIÓN DE LINEAS DE AGUA POTABLE EN CALLE 20 DE NOVIEMBRE DE ITURBIDE A PRIMAVERA CON REPOSICIÓN DE SUPERFICIE DE RODAMIENTO", CABECERA MUNICIPAL DEL MUNICIPIO DE JOCOTEPEC, JALISCO. </v>
      </c>
      <c r="K389" s="3" t="s">
        <v>2143</v>
      </c>
      <c r="L389" s="3" t="s">
        <v>6244</v>
      </c>
      <c r="M389" s="3" t="s">
        <v>6283</v>
      </c>
      <c r="N389" s="3" t="s">
        <v>1975</v>
      </c>
      <c r="O389" s="466" t="s">
        <v>3494</v>
      </c>
      <c r="P389" s="4">
        <f>OBRA!R387</f>
        <v>603785.16</v>
      </c>
      <c r="Q389" s="1023">
        <f t="shared" si="19"/>
        <v>520504.44827586215</v>
      </c>
      <c r="R389" s="1023"/>
      <c r="S389" s="6">
        <f>OBRA!S387</f>
        <v>43606</v>
      </c>
      <c r="T389" s="1134">
        <f>OBRA!V387</f>
        <v>43614</v>
      </c>
      <c r="U389" s="5">
        <f>OBRA!T387</f>
        <v>43608</v>
      </c>
      <c r="V389" s="11">
        <f>OBRA!U387</f>
        <v>43677</v>
      </c>
      <c r="W389" s="1020">
        <v>150946.29</v>
      </c>
      <c r="X389" s="278">
        <f>OBRA!AS387+OBRA!AT387</f>
        <v>554784.07999999996</v>
      </c>
      <c r="Y389" s="1018" t="s">
        <v>2770</v>
      </c>
      <c r="Z389" s="146" t="str">
        <f>OBRA!W387</f>
        <v>SIFRAL INGENIERIA S.A. DE C.V.</v>
      </c>
      <c r="AA389" s="146" t="s">
        <v>5666</v>
      </c>
      <c r="AB389" s="148" t="s">
        <v>2144</v>
      </c>
      <c r="AC389" s="148" t="s">
        <v>2145</v>
      </c>
      <c r="AD389" s="146" t="s">
        <v>2765</v>
      </c>
      <c r="AE389" s="183" t="str">
        <f>OBRA!X387</f>
        <v>ING. J. GUADALUPE IBARRA RAMIREZ</v>
      </c>
      <c r="AF389" s="19">
        <v>98.47</v>
      </c>
      <c r="AG389" s="2" t="s">
        <v>1451</v>
      </c>
      <c r="AH389" s="615">
        <f t="shared" si="23"/>
        <v>5634.0416370468156</v>
      </c>
      <c r="AI389" s="2">
        <v>160</v>
      </c>
      <c r="AJ389" s="513">
        <v>1200</v>
      </c>
      <c r="AK389" s="513"/>
      <c r="AL389" s="1513"/>
      <c r="AM389" s="1514"/>
      <c r="AN389" s="1240" t="s">
        <v>3697</v>
      </c>
      <c r="AO389" s="1240" t="s">
        <v>3697</v>
      </c>
      <c r="AP389" s="1240" t="s">
        <v>3697</v>
      </c>
      <c r="AQ389" s="1289" t="s">
        <v>3697</v>
      </c>
      <c r="AR389" s="1847"/>
      <c r="AS389" s="1297" t="s">
        <v>3697</v>
      </c>
    </row>
    <row r="390" spans="1:45" ht="160.5" hidden="1" customHeight="1">
      <c r="A390" s="16">
        <f>OBRA!J388</f>
        <v>2019</v>
      </c>
      <c r="B390" s="783" t="s">
        <v>2094</v>
      </c>
      <c r="C390" s="783">
        <v>196.06</v>
      </c>
      <c r="D390" s="783"/>
      <c r="E390" s="2" t="str">
        <f>OBRA!M388</f>
        <v>RAMO 33</v>
      </c>
      <c r="F390" s="156" t="s">
        <v>1428</v>
      </c>
      <c r="G390" s="156" t="s">
        <v>2206</v>
      </c>
      <c r="H390" s="12" t="str">
        <f>OBRA!N388</f>
        <v>GMJ 006 C-OP/2019</v>
      </c>
      <c r="I390" s="2" t="str">
        <f>OBRA!O388</f>
        <v>ADJUDICACIÓN DIRECTA</v>
      </c>
      <c r="J390" s="3" t="str">
        <f>OBRA!P388</f>
        <v>"REHABILITACIÓN DE LÍNEA DE DRENAJE SANITARIO EN CALLE 20 DE NOVIEMBRE DE ITURBIDE A PRIMAVERA CON REPOSICIÓN DE SUPERFICIE DE RODAMIENTO", EN CABECERA MUNICIPAL DEL MUNICIPIO DE JOCOTEPEC, JALISCO.</v>
      </c>
      <c r="K390" s="3" t="s">
        <v>2146</v>
      </c>
      <c r="L390" s="3" t="s">
        <v>6245</v>
      </c>
      <c r="M390" s="3" t="s">
        <v>6283</v>
      </c>
      <c r="N390" s="3" t="s">
        <v>1975</v>
      </c>
      <c r="O390" s="466" t="s">
        <v>3494</v>
      </c>
      <c r="P390" s="4">
        <f>OBRA!R388</f>
        <v>619003.23</v>
      </c>
      <c r="Q390" s="1023">
        <f t="shared" si="19"/>
        <v>533623.47413793101</v>
      </c>
      <c r="R390" s="1023"/>
      <c r="S390" s="6">
        <f>OBRA!S388</f>
        <v>43606</v>
      </c>
      <c r="T390" s="1134">
        <f>OBRA!V388</f>
        <v>43614</v>
      </c>
      <c r="U390" s="5">
        <f>OBRA!T388</f>
        <v>43608</v>
      </c>
      <c r="V390" s="11">
        <f>OBRA!U388</f>
        <v>43677</v>
      </c>
      <c r="W390" s="1020">
        <v>154750.79999999999</v>
      </c>
      <c r="X390" s="278">
        <f>OBRA!AS388+OBRA!AT388</f>
        <v>569953.75</v>
      </c>
      <c r="Y390" s="1018" t="s">
        <v>2771</v>
      </c>
      <c r="Z390" s="146" t="str">
        <f>OBRA!W388</f>
        <v>SIFRAL INGENIERIA S.A. DE C.V.</v>
      </c>
      <c r="AA390" s="146" t="s">
        <v>5666</v>
      </c>
      <c r="AB390" s="148" t="s">
        <v>2144</v>
      </c>
      <c r="AC390" s="148" t="s">
        <v>2145</v>
      </c>
      <c r="AD390" s="146" t="s">
        <v>2765</v>
      </c>
      <c r="AE390" s="183" t="str">
        <f>OBRA!X388</f>
        <v>ING. J. GUADALUPE IBARRA RAMIREZ</v>
      </c>
      <c r="AF390" s="19">
        <v>104.3</v>
      </c>
      <c r="AG390" s="2" t="s">
        <v>1451</v>
      </c>
      <c r="AH390" s="615">
        <f t="shared" si="23"/>
        <v>5464.5613614573349</v>
      </c>
      <c r="AI390" s="2">
        <v>160</v>
      </c>
      <c r="AJ390" s="513">
        <v>1200</v>
      </c>
      <c r="AK390" s="513"/>
      <c r="AL390" s="1513"/>
      <c r="AM390" s="1514"/>
      <c r="AN390" s="1240" t="s">
        <v>3698</v>
      </c>
      <c r="AO390" s="1240" t="s">
        <v>3698</v>
      </c>
      <c r="AP390" s="1240" t="s">
        <v>3698</v>
      </c>
      <c r="AQ390" s="1289" t="s">
        <v>3698</v>
      </c>
      <c r="AR390" s="1847"/>
      <c r="AS390" s="1297" t="s">
        <v>3698</v>
      </c>
    </row>
    <row r="391" spans="1:45" ht="86.25" hidden="1" customHeight="1">
      <c r="A391" s="16">
        <f>OBRA!J389</f>
        <v>2019</v>
      </c>
      <c r="B391" s="783" t="s">
        <v>2094</v>
      </c>
      <c r="C391" s="783">
        <v>196.07</v>
      </c>
      <c r="D391" s="783"/>
      <c r="E391" s="2" t="str">
        <f>OBRA!M389</f>
        <v>RAMO 33</v>
      </c>
      <c r="F391" s="156" t="s">
        <v>1428</v>
      </c>
      <c r="G391" s="156" t="s">
        <v>2206</v>
      </c>
      <c r="H391" s="12" t="str">
        <f>OBRA!N389</f>
        <v>GMJ 007 C-OP/2019</v>
      </c>
      <c r="I391" s="2" t="str">
        <f>OBRA!O389</f>
        <v>CANCELADA</v>
      </c>
      <c r="J391" s="3" t="str">
        <f>OBRA!P389</f>
        <v>"CONSTRUCCIÓN DE EMPEDRADO AHOGADO EN HUELLAS DE CONCRETO MR-42 EN CALLE CARDENAL NORTE", EN LA LOCALIDAD DE SAN JUAN COSALA, MUNICIPIO DE JOCOTEPEC, JALISCO.</v>
      </c>
      <c r="K391" s="3" t="s">
        <v>2147</v>
      </c>
      <c r="L391" s="173"/>
      <c r="M391" s="173" t="s">
        <v>2148</v>
      </c>
      <c r="N391" s="173" t="s">
        <v>2524</v>
      </c>
      <c r="O391" s="466" t="s">
        <v>3494</v>
      </c>
      <c r="P391" s="4">
        <f>OBRA!R389</f>
        <v>949742.46</v>
      </c>
      <c r="Q391" s="1023">
        <f t="shared" si="19"/>
        <v>818743.5</v>
      </c>
      <c r="R391" s="1023"/>
      <c r="S391" s="6">
        <f>OBRA!S389</f>
        <v>43606</v>
      </c>
      <c r="T391" s="1134">
        <f>OBRA!V389</f>
        <v>43605</v>
      </c>
      <c r="U391" s="5">
        <f>OBRA!T389</f>
        <v>43612</v>
      </c>
      <c r="V391" s="11">
        <f>OBRA!U389</f>
        <v>43643</v>
      </c>
      <c r="W391" s="1020">
        <v>237435.62</v>
      </c>
      <c r="X391" s="278">
        <f>OBRA!AS389+OBRA!AT389</f>
        <v>949738.6</v>
      </c>
      <c r="Y391" s="1018" t="s">
        <v>2772</v>
      </c>
      <c r="Z391" s="146" t="str">
        <f>OBRA!W389</f>
        <v>ING. OCTAVIO AUGUSTO GONZALEZ TREJO</v>
      </c>
      <c r="AA391" s="146" t="s">
        <v>5665</v>
      </c>
      <c r="AB391" s="148" t="str">
        <f>Z391</f>
        <v>ING. OCTAVIO AUGUSTO GONZALEZ TREJO</v>
      </c>
      <c r="AC391" s="2" t="s">
        <v>2959</v>
      </c>
      <c r="AD391" s="146" t="s">
        <v>2959</v>
      </c>
      <c r="AE391" s="183" t="str">
        <f>OBRA!X389</f>
        <v>LIC. SALVADOR CONTRERAS OLGUÍN</v>
      </c>
      <c r="AF391" s="19">
        <v>1050</v>
      </c>
      <c r="AG391" s="2" t="s">
        <v>1548</v>
      </c>
      <c r="AH391" s="615">
        <f t="shared" si="23"/>
        <v>904.51295238095236</v>
      </c>
      <c r="AI391" s="2">
        <v>1200</v>
      </c>
      <c r="AJ391" s="506"/>
      <c r="AK391" s="506"/>
      <c r="AL391" s="635"/>
      <c r="AM391" s="1517"/>
      <c r="AN391" s="1240" t="s">
        <v>3699</v>
      </c>
      <c r="AO391" s="1240" t="s">
        <v>3699</v>
      </c>
      <c r="AP391" s="1240" t="s">
        <v>3699</v>
      </c>
      <c r="AQ391" s="1289" t="s">
        <v>3699</v>
      </c>
      <c r="AR391" s="1847"/>
      <c r="AS391" s="1297" t="s">
        <v>3699</v>
      </c>
    </row>
    <row r="392" spans="1:45" ht="206.25" hidden="1" customHeight="1">
      <c r="A392" s="16">
        <f>OBRA!J390</f>
        <v>2019</v>
      </c>
      <c r="B392" s="783" t="s">
        <v>2094</v>
      </c>
      <c r="C392" s="783">
        <v>196.08</v>
      </c>
      <c r="D392" s="783"/>
      <c r="E392" s="2" t="str">
        <f>OBRA!M390</f>
        <v>CUENTA CORRIENTE</v>
      </c>
      <c r="F392" s="156" t="s">
        <v>1428</v>
      </c>
      <c r="G392" s="156" t="s">
        <v>2206</v>
      </c>
      <c r="H392" s="12" t="str">
        <f>OBRA!N390</f>
        <v>GMJ 008 C-OP/2019</v>
      </c>
      <c r="I392" s="2" t="str">
        <f>OBRA!O390</f>
        <v>ADJUDICACIÓN DIRECTA</v>
      </c>
      <c r="J392" s="3" t="str">
        <f>OBRA!P390</f>
        <v>"CONSTRUCCION DE DEPOSITO PARA ALMACENAMIENTO DE AGUA POTABLE", EN LA LOCALIDAD DE HUEJOTITAN, MUNICIPIO DE JOCOTEPEC, JALISCO.</v>
      </c>
      <c r="K392" s="3" t="s">
        <v>2150</v>
      </c>
      <c r="L392" s="173" t="s">
        <v>5417</v>
      </c>
      <c r="M392" s="173" t="s">
        <v>2151</v>
      </c>
      <c r="N392" s="173" t="s">
        <v>2506</v>
      </c>
      <c r="O392" s="466" t="s">
        <v>3494</v>
      </c>
      <c r="P392" s="4">
        <f>OBRA!R390</f>
        <v>643537.42000000004</v>
      </c>
      <c r="Q392" s="1023">
        <f t="shared" si="19"/>
        <v>554773.63793103455</v>
      </c>
      <c r="R392" s="1023"/>
      <c r="S392" s="6">
        <f>OBRA!S390</f>
        <v>43606</v>
      </c>
      <c r="T392" s="1134">
        <f>OBRA!V390</f>
        <v>43605</v>
      </c>
      <c r="U392" s="5">
        <f>OBRA!T390</f>
        <v>43614</v>
      </c>
      <c r="V392" s="11">
        <f>OBRA!U390</f>
        <v>43675</v>
      </c>
      <c r="W392" s="1020">
        <v>160884.35999999999</v>
      </c>
      <c r="X392" s="278">
        <f>OBRA!AS390+OBRA!AT390</f>
        <v>707135.33</v>
      </c>
      <c r="Y392" s="1018" t="s">
        <v>2773</v>
      </c>
      <c r="Z392" s="146" t="str">
        <f>OBRA!W390</f>
        <v>ING. OCTAVIO AUGUSTO GONZALEZ TREJO</v>
      </c>
      <c r="AA392" s="146" t="s">
        <v>5665</v>
      </c>
      <c r="AB392" s="148" t="str">
        <f>Z392</f>
        <v>ING. OCTAVIO AUGUSTO GONZALEZ TREJO</v>
      </c>
      <c r="AC392" s="2" t="s">
        <v>2959</v>
      </c>
      <c r="AD392" s="146" t="s">
        <v>2959</v>
      </c>
      <c r="AE392" s="183" t="str">
        <f>OBRA!X390</f>
        <v>ING. RIGOBERTO OLMEDO RAMOS</v>
      </c>
      <c r="AF392" s="19">
        <v>1</v>
      </c>
      <c r="AG392" s="2" t="s">
        <v>1573</v>
      </c>
      <c r="AH392" s="183">
        <f t="shared" si="23"/>
        <v>707135.33</v>
      </c>
      <c r="AI392" s="2">
        <v>1250</v>
      </c>
      <c r="AJ392" s="513">
        <v>1250</v>
      </c>
      <c r="AK392" s="513"/>
      <c r="AL392" s="1513"/>
      <c r="AM392" s="1514"/>
      <c r="AN392" s="1240" t="s">
        <v>3700</v>
      </c>
      <c r="AO392" s="1240" t="s">
        <v>3700</v>
      </c>
      <c r="AP392" s="1240" t="s">
        <v>3700</v>
      </c>
      <c r="AQ392" s="1289" t="s">
        <v>3700</v>
      </c>
      <c r="AR392" s="1847"/>
      <c r="AS392" s="1297" t="s">
        <v>3700</v>
      </c>
    </row>
    <row r="393" spans="1:45" ht="78.75" hidden="1" customHeight="1">
      <c r="A393" s="16">
        <f>OBRA!J391</f>
        <v>2019</v>
      </c>
      <c r="B393" s="783" t="s">
        <v>2094</v>
      </c>
      <c r="C393" s="783">
        <v>196.09</v>
      </c>
      <c r="D393" s="783"/>
      <c r="E393" s="2" t="str">
        <f>OBRA!M391</f>
        <v>CUENTA CORRIENTE</v>
      </c>
      <c r="F393" s="156" t="s">
        <v>1428</v>
      </c>
      <c r="G393" s="156" t="s">
        <v>2206</v>
      </c>
      <c r="H393" s="12" t="str">
        <f>OBRA!N391</f>
        <v>GMJ 009 C-OP/2019</v>
      </c>
      <c r="I393" s="2" t="str">
        <f>OBRA!O391</f>
        <v>ADJUDICACIÓN DIRECTA</v>
      </c>
      <c r="J393" s="3" t="str">
        <f>OBRA!P391</f>
        <v>CONSTRUCCIÓN DE PLATAFORMA Y CAMINO DE ACCESO AL PREDIO DEL DEPOSITO DE AGUA EN ZONA NORTE DE LA CABECERA MUNICIPAL DE JOCOTEPEC, JALISCO.</v>
      </c>
      <c r="K393" s="3" t="s">
        <v>2152</v>
      </c>
      <c r="L393" s="3" t="s">
        <v>5417</v>
      </c>
      <c r="M393" s="3" t="s">
        <v>2153</v>
      </c>
      <c r="N393" s="3" t="s">
        <v>1975</v>
      </c>
      <c r="O393" s="466" t="s">
        <v>3494</v>
      </c>
      <c r="P393" s="4">
        <f>OBRA!R391</f>
        <v>413006.4</v>
      </c>
      <c r="Q393" s="1023">
        <f t="shared" si="19"/>
        <v>356040.00000000006</v>
      </c>
      <c r="R393" s="1023"/>
      <c r="S393" s="67">
        <f>OBRA!S391</f>
        <v>43607</v>
      </c>
      <c r="T393" s="1134">
        <f>OBRA!V391</f>
        <v>43607</v>
      </c>
      <c r="U393" s="5">
        <f>OBRA!T391</f>
        <v>43619</v>
      </c>
      <c r="V393" s="11">
        <f>OBRA!U391</f>
        <v>43645</v>
      </c>
      <c r="W393" s="1020" t="s">
        <v>1428</v>
      </c>
      <c r="X393" s="278">
        <f>OBRA!AS391+OBRA!AT391</f>
        <v>413006.4</v>
      </c>
      <c r="Y393" s="1018" t="s">
        <v>2774</v>
      </c>
      <c r="Z393" s="146" t="str">
        <f>OBRA!W391</f>
        <v>ING. OCTAVIO AUGUSTO GONZALEZ TREJO</v>
      </c>
      <c r="AA393" s="146" t="s">
        <v>5665</v>
      </c>
      <c r="AB393" s="148" t="str">
        <f>Z393</f>
        <v>ING. OCTAVIO AUGUSTO GONZALEZ TREJO</v>
      </c>
      <c r="AC393" s="2" t="s">
        <v>2959</v>
      </c>
      <c r="AD393" s="146" t="s">
        <v>2959</v>
      </c>
      <c r="AE393" s="183" t="str">
        <f>OBRA!X391</f>
        <v>ING. JUAN MANUEL GARCIA ESCOTO</v>
      </c>
      <c r="AF393" s="19">
        <v>2000</v>
      </c>
      <c r="AG393" s="2" t="s">
        <v>1548</v>
      </c>
      <c r="AH393" s="615">
        <f t="shared" si="23"/>
        <v>206.50320000000002</v>
      </c>
      <c r="AI393" s="2">
        <v>21500</v>
      </c>
      <c r="AJ393" s="513">
        <v>21500</v>
      </c>
      <c r="AK393" s="513"/>
      <c r="AL393" s="1513"/>
      <c r="AM393" s="1514"/>
      <c r="AN393" s="1277" t="s">
        <v>3701</v>
      </c>
      <c r="AO393" s="1277" t="s">
        <v>3701</v>
      </c>
      <c r="AP393" s="1277" t="s">
        <v>3701</v>
      </c>
      <c r="AQ393" s="1261" t="s">
        <v>3701</v>
      </c>
      <c r="AR393" s="1239"/>
      <c r="AS393" s="1297" t="s">
        <v>3701</v>
      </c>
    </row>
    <row r="394" spans="1:45" ht="210" hidden="1" customHeight="1">
      <c r="A394" s="16">
        <f>OBRA!J392</f>
        <v>2019</v>
      </c>
      <c r="B394" s="783" t="s">
        <v>2094</v>
      </c>
      <c r="C394" s="783">
        <v>196.1</v>
      </c>
      <c r="D394" s="783"/>
      <c r="E394" s="2" t="str">
        <f>OBRA!M392</f>
        <v>CUENTA CORRIENTE</v>
      </c>
      <c r="F394" s="156" t="s">
        <v>1428</v>
      </c>
      <c r="G394" s="156" t="s">
        <v>2206</v>
      </c>
      <c r="H394" s="12" t="str">
        <f>OBRA!N392</f>
        <v>GMJ 010 C-OP/2019</v>
      </c>
      <c r="I394" s="2" t="str">
        <f>OBRA!O392</f>
        <v>ADJUDICACIÓN DIRECTA</v>
      </c>
      <c r="J394" s="3" t="str">
        <f>OBRA!P392</f>
        <v>"CONSTRUCCIÓN DE DEPOSITO PARA ALMACENAMIENTO DE AGUA POTABLE", EN LA ZONA NORTE DE LA CABECERA MUNICIPAL DE JOCOTEPEC, JALISCO.</v>
      </c>
      <c r="K394" s="3" t="s">
        <v>2150</v>
      </c>
      <c r="L394" s="3" t="s">
        <v>5417</v>
      </c>
      <c r="M394" s="3" t="s">
        <v>2153</v>
      </c>
      <c r="N394" s="3" t="s">
        <v>1975</v>
      </c>
      <c r="O394" s="466" t="s">
        <v>3494</v>
      </c>
      <c r="P394" s="4">
        <f>OBRA!R392</f>
        <v>1649201.51</v>
      </c>
      <c r="Q394" s="1023">
        <f t="shared" ref="Q394:Q457" si="24">P394/1.16</f>
        <v>1421725.4396551724</v>
      </c>
      <c r="R394" s="1023"/>
      <c r="S394" s="67">
        <f>OBRA!S392</f>
        <v>43637</v>
      </c>
      <c r="T394" s="1134">
        <f>OBRA!V392</f>
        <v>43607</v>
      </c>
      <c r="U394" s="5">
        <f>OBRA!T392</f>
        <v>43640</v>
      </c>
      <c r="V394" s="11">
        <f>OBRA!U392</f>
        <v>43707</v>
      </c>
      <c r="W394" s="1020" t="s">
        <v>1428</v>
      </c>
      <c r="X394" s="278">
        <f>OBRA!AS392+OBRA!AT392</f>
        <v>1661297.6</v>
      </c>
      <c r="Y394" s="1018" t="s">
        <v>2775</v>
      </c>
      <c r="Z394" s="146" t="str">
        <f>OBRA!W392</f>
        <v>CONSTRUCTORA PIMONT S.A. DE C.V.</v>
      </c>
      <c r="AA394" s="146" t="s">
        <v>5666</v>
      </c>
      <c r="AB394" s="148" t="s">
        <v>1833</v>
      </c>
      <c r="AC394" s="148" t="s">
        <v>2135</v>
      </c>
      <c r="AD394" s="146" t="s">
        <v>2756</v>
      </c>
      <c r="AE394" s="183" t="str">
        <f>OBRA!X392</f>
        <v>ING. J. GUADALUPE IBARRA RAMIREZ</v>
      </c>
      <c r="AF394" s="19">
        <v>1</v>
      </c>
      <c r="AG394" s="2" t="s">
        <v>1573</v>
      </c>
      <c r="AH394" s="183">
        <f t="shared" si="23"/>
        <v>1661297.6</v>
      </c>
      <c r="AI394" s="2">
        <v>21500</v>
      </c>
      <c r="AJ394" s="513">
        <v>21500</v>
      </c>
      <c r="AK394" s="513"/>
      <c r="AL394" s="1513"/>
      <c r="AM394" s="1514"/>
      <c r="AN394" s="1298" t="s">
        <v>3702</v>
      </c>
      <c r="AO394" s="1298" t="s">
        <v>3702</v>
      </c>
      <c r="AP394" s="1298" t="s">
        <v>3702</v>
      </c>
      <c r="AQ394" s="1289" t="s">
        <v>3702</v>
      </c>
      <c r="AR394" s="1847"/>
      <c r="AS394" s="1290" t="s">
        <v>3702</v>
      </c>
    </row>
    <row r="395" spans="1:45" ht="207.75" hidden="1" customHeight="1">
      <c r="A395" s="16">
        <f>OBRA!J393</f>
        <v>2019</v>
      </c>
      <c r="B395" s="783" t="s">
        <v>2094</v>
      </c>
      <c r="C395" s="783">
        <v>196.11</v>
      </c>
      <c r="D395" s="783"/>
      <c r="E395" s="2" t="str">
        <f>OBRA!M393</f>
        <v>CUENTA CORRIENTE</v>
      </c>
      <c r="F395" s="156" t="s">
        <v>1428</v>
      </c>
      <c r="G395" s="156" t="s">
        <v>2206</v>
      </c>
      <c r="H395" s="12" t="str">
        <f>OBRA!N393</f>
        <v>GMJ 011 C-OP/2019</v>
      </c>
      <c r="I395" s="2" t="str">
        <f>OBRA!O393</f>
        <v>ADJUDICACIÓN DIRECTA</v>
      </c>
      <c r="J395" s="3" t="str">
        <f>OBRA!P393</f>
        <v>"CONSTRUCCIÓN DE DEPOSITO PARA ALMACENAMIENTO DE AGUA POTABLE", EN LA LOCALIDAD DE SAN CRISTOBAL ZAPOTITLAN, MUNICIPIO DE JOCOTEPEC, JALISCO.</v>
      </c>
      <c r="K395" s="3" t="s">
        <v>2150</v>
      </c>
      <c r="L395" s="3" t="s">
        <v>5417</v>
      </c>
      <c r="M395" s="3" t="s">
        <v>2154</v>
      </c>
      <c r="N395" s="3" t="s">
        <v>1976</v>
      </c>
      <c r="O395" s="466" t="s">
        <v>3495</v>
      </c>
      <c r="P395" s="4">
        <f>OBRA!R393</f>
        <v>643537.42000000004</v>
      </c>
      <c r="Q395" s="1023">
        <f t="shared" si="24"/>
        <v>554773.63793103455</v>
      </c>
      <c r="R395" s="1023"/>
      <c r="S395" s="6">
        <f>OBRA!S393</f>
        <v>43705</v>
      </c>
      <c r="T395" s="1134">
        <f>OBRA!V393</f>
        <v>43704</v>
      </c>
      <c r="U395" s="5">
        <f>OBRA!T393</f>
        <v>43710</v>
      </c>
      <c r="V395" s="11">
        <f>OBRA!U393</f>
        <v>43785</v>
      </c>
      <c r="W395" s="1020">
        <v>22190.94</v>
      </c>
      <c r="X395" s="278">
        <f>OBRA!AS393+OBRA!AT393</f>
        <v>643537.42000000004</v>
      </c>
      <c r="Y395" s="1105" t="s">
        <v>2776</v>
      </c>
      <c r="Z395" s="146" t="str">
        <f>OBRA!W393</f>
        <v xml:space="preserve">CONSTRUCTORA Y EDIFICACIONES REMI Y ASOCIADOS S.A. DE C.V. </v>
      </c>
      <c r="AA395" s="146" t="s">
        <v>5666</v>
      </c>
      <c r="AB395" s="148" t="s">
        <v>2155</v>
      </c>
      <c r="AC395" s="148" t="s">
        <v>2156</v>
      </c>
      <c r="AD395" s="146" t="s">
        <v>2766</v>
      </c>
      <c r="AE395" s="183" t="str">
        <f>OBRA!X393</f>
        <v>ING. RIGOBERTO OLMEDO RAMOS</v>
      </c>
      <c r="AF395" s="19">
        <v>1</v>
      </c>
      <c r="AG395" s="2" t="s">
        <v>1573</v>
      </c>
      <c r="AH395" s="183">
        <f t="shared" si="23"/>
        <v>643537.42000000004</v>
      </c>
      <c r="AI395" s="2">
        <v>2400</v>
      </c>
      <c r="AJ395" s="513">
        <v>2400</v>
      </c>
      <c r="AK395" s="513"/>
      <c r="AL395" s="1513"/>
      <c r="AM395" s="1514"/>
      <c r="AN395" s="1299" t="s">
        <v>3703</v>
      </c>
      <c r="AO395" s="1239" t="s">
        <v>3703</v>
      </c>
      <c r="AP395" s="1239" t="s">
        <v>3703</v>
      </c>
      <c r="AQ395" s="1261" t="s">
        <v>3703</v>
      </c>
      <c r="AR395" s="1239"/>
      <c r="AS395" s="1290" t="s">
        <v>3703</v>
      </c>
    </row>
    <row r="396" spans="1:45" s="104" customFormat="1" ht="51" hidden="1" customHeight="1">
      <c r="A396" s="82">
        <f>OBRA!J394</f>
        <v>2019</v>
      </c>
      <c r="B396" s="784" t="s">
        <v>2094</v>
      </c>
      <c r="C396" s="784">
        <v>196.12</v>
      </c>
      <c r="D396" s="784"/>
      <c r="E396" s="85">
        <f>OBRA!M394</f>
        <v>0</v>
      </c>
      <c r="F396" s="514"/>
      <c r="G396" s="575"/>
      <c r="H396" s="103" t="str">
        <f>OBRA!N394</f>
        <v>GMJ 012 C-OP/2019</v>
      </c>
      <c r="I396" s="85" t="str">
        <f>OBRA!O394</f>
        <v>CANCELADA</v>
      </c>
      <c r="J396" s="125">
        <f>OBRA!P394</f>
        <v>0</v>
      </c>
      <c r="K396" s="125" t="s">
        <v>68</v>
      </c>
      <c r="L396" s="125"/>
      <c r="M396" s="125" t="s">
        <v>68</v>
      </c>
      <c r="N396" s="125" t="s">
        <v>68</v>
      </c>
      <c r="O396" s="541"/>
      <c r="P396" s="86">
        <f>OBRA!R394</f>
        <v>0</v>
      </c>
      <c r="Q396" s="1023">
        <f t="shared" si="24"/>
        <v>0</v>
      </c>
      <c r="R396" s="1023"/>
      <c r="S396" s="87">
        <f>OBRA!S394</f>
        <v>0</v>
      </c>
      <c r="T396" s="1134">
        <f>OBRA!V394</f>
        <v>0</v>
      </c>
      <c r="U396" s="88">
        <f>OBRA!T394</f>
        <v>0</v>
      </c>
      <c r="V396" s="89">
        <f>OBRA!U394</f>
        <v>0</v>
      </c>
      <c r="W396" s="1020" t="s">
        <v>68</v>
      </c>
      <c r="X396" s="1155">
        <f>OBRA!AS394+OBRA!AT394</f>
        <v>0</v>
      </c>
      <c r="Y396" s="1016" t="s">
        <v>68</v>
      </c>
      <c r="Z396" s="147">
        <f>OBRA!W394</f>
        <v>0</v>
      </c>
      <c r="AA396" s="147" t="s">
        <v>68</v>
      </c>
      <c r="AB396" s="149" t="s">
        <v>68</v>
      </c>
      <c r="AC396" s="147" t="s">
        <v>68</v>
      </c>
      <c r="AD396" s="147" t="s">
        <v>68</v>
      </c>
      <c r="AE396" s="184">
        <f>OBRA!X394</f>
        <v>0</v>
      </c>
      <c r="AF396" s="84"/>
      <c r="AG396" s="85"/>
      <c r="AH396" s="184" t="e">
        <f t="shared" si="23"/>
        <v>#DIV/0!</v>
      </c>
      <c r="AI396" s="85"/>
      <c r="AJ396" s="514"/>
      <c r="AK396" s="514"/>
      <c r="AL396" s="1515"/>
      <c r="AM396" s="1516"/>
      <c r="AN396" s="573"/>
      <c r="AO396" s="816" t="s">
        <v>68</v>
      </c>
      <c r="AP396" s="816" t="s">
        <v>68</v>
      </c>
      <c r="AQ396" s="421" t="s">
        <v>68</v>
      </c>
      <c r="AR396" s="514"/>
      <c r="AS396" s="83" t="s">
        <v>68</v>
      </c>
    </row>
    <row r="397" spans="1:45" ht="84" hidden="1" customHeight="1">
      <c r="A397" s="16">
        <f>OBRA!J395</f>
        <v>2019</v>
      </c>
      <c r="B397" s="783" t="s">
        <v>2094</v>
      </c>
      <c r="C397" s="783">
        <v>196.13</v>
      </c>
      <c r="D397" s="783"/>
      <c r="E397" s="2" t="str">
        <f>OBRA!M395</f>
        <v>RAMO 33</v>
      </c>
      <c r="F397" s="156" t="s">
        <v>1428</v>
      </c>
      <c r="G397" s="156" t="s">
        <v>2206</v>
      </c>
      <c r="H397" s="12" t="str">
        <f>OBRA!N395</f>
        <v>GMJ 013 C-OP/2019</v>
      </c>
      <c r="I397" s="2" t="str">
        <f>OBRA!O395</f>
        <v>ADJUDICACIÓN DIRECTA</v>
      </c>
      <c r="J397" s="3" t="str">
        <f>OBRA!P395</f>
        <v>"CONSTRUCCIÓN DE EMPEDRADO ECOLOGICO EN LA CALLE PRIVADA MORELOS, DELEGACIÓN DE CHANTE, MUNICIPIO DE JOCOTEPEC, JALISCO".</v>
      </c>
      <c r="K397" s="3" t="s">
        <v>2157</v>
      </c>
      <c r="L397" s="3" t="s">
        <v>4752</v>
      </c>
      <c r="M397" s="3" t="s">
        <v>6297</v>
      </c>
      <c r="N397" s="3" t="s">
        <v>2538</v>
      </c>
      <c r="O397" s="466" t="s">
        <v>3495</v>
      </c>
      <c r="P397" s="4">
        <f>OBRA!R395</f>
        <v>75313.95</v>
      </c>
      <c r="Q397" s="1023">
        <f t="shared" si="24"/>
        <v>64925.818965517246</v>
      </c>
      <c r="R397" s="1023"/>
      <c r="S397" s="6">
        <f>OBRA!S395</f>
        <v>43626</v>
      </c>
      <c r="T397" s="1134">
        <f>OBRA!V395</f>
        <v>43608</v>
      </c>
      <c r="U397" s="5">
        <f>OBRA!T395</f>
        <v>43627</v>
      </c>
      <c r="V397" s="11">
        <f>OBRA!U395</f>
        <v>43637</v>
      </c>
      <c r="W397" s="1020" t="s">
        <v>1428</v>
      </c>
      <c r="X397" s="278">
        <f>OBRA!AS395+OBRA!AT395</f>
        <v>74990.720000000001</v>
      </c>
      <c r="Y397" s="1018" t="s">
        <v>2777</v>
      </c>
      <c r="Z397" s="146" t="str">
        <f>OBRA!W395</f>
        <v>CONSTRUCTORA PIMONT S.A. DE C.V.</v>
      </c>
      <c r="AA397" s="146" t="s">
        <v>5666</v>
      </c>
      <c r="AB397" s="148" t="s">
        <v>1833</v>
      </c>
      <c r="AC397" s="2" t="s">
        <v>2135</v>
      </c>
      <c r="AD397" s="146" t="s">
        <v>2756</v>
      </c>
      <c r="AE397" s="183" t="str">
        <f>OBRA!X395</f>
        <v>LIC. SALVADOR CONTRERAS OLGUÍN</v>
      </c>
      <c r="AF397" s="19">
        <v>216</v>
      </c>
      <c r="AG397" s="2" t="s">
        <v>1548</v>
      </c>
      <c r="AH397" s="615">
        <f t="shared" si="23"/>
        <v>347.17925925925925</v>
      </c>
      <c r="AI397" s="2">
        <v>50</v>
      </c>
      <c r="AJ397" s="506"/>
      <c r="AK397" s="506"/>
      <c r="AL397" s="635"/>
      <c r="AM397" s="1517"/>
      <c r="AN397" s="1298" t="s">
        <v>3704</v>
      </c>
      <c r="AO397" s="1298" t="s">
        <v>3704</v>
      </c>
      <c r="AP397" s="1298" t="s">
        <v>3704</v>
      </c>
      <c r="AQ397" s="1298" t="s">
        <v>3704</v>
      </c>
      <c r="AR397" s="1238"/>
      <c r="AS397" s="1297" t="s">
        <v>3704</v>
      </c>
    </row>
    <row r="398" spans="1:45" ht="64.5" hidden="1" customHeight="1">
      <c r="A398" s="16">
        <f>OBRA!J396</f>
        <v>2019</v>
      </c>
      <c r="B398" s="783" t="s">
        <v>2094</v>
      </c>
      <c r="C398" s="783">
        <v>196.14</v>
      </c>
      <c r="D398" s="783"/>
      <c r="E398" s="2" t="str">
        <f>OBRA!M396</f>
        <v>RAMO 33</v>
      </c>
      <c r="F398" s="156" t="s">
        <v>1428</v>
      </c>
      <c r="G398" s="156" t="s">
        <v>2206</v>
      </c>
      <c r="H398" s="12" t="str">
        <f>OBRA!N396</f>
        <v>GMJ 014 C-OP/2019</v>
      </c>
      <c r="I398" s="2" t="str">
        <f>OBRA!O396</f>
        <v>ADJUDICACIÓN DIRECTA</v>
      </c>
      <c r="J398" s="3" t="str">
        <f>OBRA!P396</f>
        <v>"CONSTRUCCIÓN DE BANQUETAS EN CALLE CUAUHTÉMOC, 2ª ETAPA, DELEGACIÓN DEL CHANTE, MUNICIPIO DE JOCOTEPEC, JALISCO</v>
      </c>
      <c r="K398" s="3" t="s">
        <v>2877</v>
      </c>
      <c r="L398" s="3" t="s">
        <v>4748</v>
      </c>
      <c r="M398" s="3" t="s">
        <v>6301</v>
      </c>
      <c r="N398" s="3" t="s">
        <v>2538</v>
      </c>
      <c r="O398" s="466" t="s">
        <v>3495</v>
      </c>
      <c r="P398" s="4">
        <f>OBRA!R396</f>
        <v>179219.86</v>
      </c>
      <c r="Q398" s="1023">
        <f t="shared" si="24"/>
        <v>154499.87931034484</v>
      </c>
      <c r="R398" s="1023"/>
      <c r="S398" s="6">
        <f>OBRA!S396</f>
        <v>43670</v>
      </c>
      <c r="T398" s="1134">
        <f>OBRA!V396</f>
        <v>43669</v>
      </c>
      <c r="U398" s="5">
        <f>OBRA!T396</f>
        <v>43671</v>
      </c>
      <c r="V398" s="11">
        <f>OBRA!U396</f>
        <v>43687</v>
      </c>
      <c r="W398" s="1020" t="s">
        <v>1428</v>
      </c>
      <c r="X398" s="278">
        <f>OBRA!AS396+OBRA!AT396</f>
        <v>185760.77</v>
      </c>
      <c r="Y398" s="1105" t="s">
        <v>2778</v>
      </c>
      <c r="Z398" s="146" t="str">
        <f>OBRA!W396</f>
        <v>INGENIERÍA ARQUITECTURA MENDPAD S.A. DE C.V.</v>
      </c>
      <c r="AA398" s="146" t="s">
        <v>5666</v>
      </c>
      <c r="AB398" s="148" t="s">
        <v>2158</v>
      </c>
      <c r="AC398" s="148" t="s">
        <v>2140</v>
      </c>
      <c r="AD398" s="146" t="s">
        <v>2760</v>
      </c>
      <c r="AE398" s="183" t="str">
        <f>OBRA!X396</f>
        <v>LIC. SALVADOR CONTRERAS OLGUÍN</v>
      </c>
      <c r="AF398" s="19">
        <v>265</v>
      </c>
      <c r="AG398" s="2" t="s">
        <v>1548</v>
      </c>
      <c r="AH398" s="615">
        <f t="shared" si="23"/>
        <v>700.98403773584903</v>
      </c>
      <c r="AI398" s="510"/>
      <c r="AJ398" s="513">
        <v>2000</v>
      </c>
      <c r="AK398" s="513"/>
      <c r="AL398" s="1513"/>
      <c r="AM398" s="1514"/>
      <c r="AN398" s="1240" t="s">
        <v>3706</v>
      </c>
      <c r="AO398" s="1223" t="s">
        <v>3706</v>
      </c>
      <c r="AP398" s="1223" t="s">
        <v>3706</v>
      </c>
      <c r="AQ398" s="1277" t="s">
        <v>3706</v>
      </c>
      <c r="AR398" s="1224"/>
      <c r="AS398" s="1297" t="s">
        <v>3706</v>
      </c>
    </row>
    <row r="399" spans="1:45" ht="66" hidden="1" customHeight="1">
      <c r="A399" s="16">
        <f>OBRA!J397</f>
        <v>2019</v>
      </c>
      <c r="B399" s="783" t="s">
        <v>2094</v>
      </c>
      <c r="C399" s="783">
        <v>196.15</v>
      </c>
      <c r="D399" s="783"/>
      <c r="E399" s="2" t="str">
        <f>OBRA!M397</f>
        <v>RAMO 33</v>
      </c>
      <c r="F399" s="156" t="s">
        <v>1428</v>
      </c>
      <c r="G399" s="156" t="s">
        <v>2206</v>
      </c>
      <c r="H399" s="12" t="str">
        <f>OBRA!N397</f>
        <v>GMJ 015 C-OP/2019</v>
      </c>
      <c r="I399" s="2" t="str">
        <f>OBRA!O397</f>
        <v>ADJUDICACIÓN DIRECTA</v>
      </c>
      <c r="J399" s="3" t="str">
        <f>OBRA!P397</f>
        <v>REHABILITACIÓN DE LINEA DE AGUA POTABLE EN LA CALLE PRIVADA CARDENAL DE CARDENAL A CERRADA, EN LA DELEGACIÓN DE SAN JUAN COSALA, JOCOTEPEC, JALISCO.</v>
      </c>
      <c r="K399" s="3" t="s">
        <v>2159</v>
      </c>
      <c r="L399" s="3" t="s">
        <v>4745</v>
      </c>
      <c r="M399" s="3" t="s">
        <v>6288</v>
      </c>
      <c r="N399" s="3" t="s">
        <v>2524</v>
      </c>
      <c r="O399" s="466" t="s">
        <v>3495</v>
      </c>
      <c r="P399" s="4">
        <f>OBRA!R397</f>
        <v>77778.12</v>
      </c>
      <c r="Q399" s="1023">
        <f t="shared" si="24"/>
        <v>67050.10344827587</v>
      </c>
      <c r="R399" s="1023"/>
      <c r="S399" s="6">
        <f>OBRA!S397</f>
        <v>43694</v>
      </c>
      <c r="T399" s="1134">
        <f>OBRA!V397</f>
        <v>43693</v>
      </c>
      <c r="U399" s="5">
        <f>OBRA!T397</f>
        <v>43703</v>
      </c>
      <c r="V399" s="11">
        <f>OBRA!U397</f>
        <v>43742</v>
      </c>
      <c r="W399" s="1020">
        <v>19444.53</v>
      </c>
      <c r="X399" s="278">
        <f>OBRA!AS397+OBRA!AT397</f>
        <v>74815.27</v>
      </c>
      <c r="Y399" s="1018" t="s">
        <v>2779</v>
      </c>
      <c r="Z399" s="146" t="str">
        <f>OBRA!W397</f>
        <v>GALJACK ARQUITECTOS  Y CONSTRUCCIONES S.A. DE C.V.</v>
      </c>
      <c r="AA399" s="146" t="s">
        <v>5666</v>
      </c>
      <c r="AB399" s="148" t="s">
        <v>2160</v>
      </c>
      <c r="AC399" s="148" t="s">
        <v>2161</v>
      </c>
      <c r="AD399" s="146" t="s">
        <v>2767</v>
      </c>
      <c r="AE399" s="183" t="str">
        <f>OBRA!X397</f>
        <v>LIC. SALVADOR CONTRERAS OLGUÍN</v>
      </c>
      <c r="AF399" s="19">
        <v>75</v>
      </c>
      <c r="AG399" s="2" t="s">
        <v>1451</v>
      </c>
      <c r="AH399" s="615">
        <f t="shared" si="23"/>
        <v>997.53693333333342</v>
      </c>
      <c r="AI399" s="2">
        <v>100</v>
      </c>
      <c r="AJ399" s="506"/>
      <c r="AK399" s="506"/>
      <c r="AL399" s="635"/>
      <c r="AM399" s="1517"/>
      <c r="AN399" s="1240" t="s">
        <v>3707</v>
      </c>
      <c r="AO399" s="1240" t="s">
        <v>3707</v>
      </c>
      <c r="AP399" s="1240" t="s">
        <v>3707</v>
      </c>
      <c r="AQ399" s="1298" t="s">
        <v>3707</v>
      </c>
      <c r="AR399" s="1238"/>
      <c r="AS399" s="1290" t="s">
        <v>3707</v>
      </c>
    </row>
    <row r="400" spans="1:45" ht="90.75" hidden="1" customHeight="1">
      <c r="A400" s="16">
        <f>OBRA!J398</f>
        <v>2019</v>
      </c>
      <c r="B400" s="783" t="s">
        <v>2094</v>
      </c>
      <c r="C400" s="783">
        <v>196.16</v>
      </c>
      <c r="D400" s="783"/>
      <c r="E400" s="2" t="str">
        <f>OBRA!M398</f>
        <v>RAMO 33</v>
      </c>
      <c r="F400" s="156" t="s">
        <v>1428</v>
      </c>
      <c r="G400" s="156" t="s">
        <v>2206</v>
      </c>
      <c r="H400" s="12" t="str">
        <f>OBRA!N398</f>
        <v>GMJ 016 C-OP/2019</v>
      </c>
      <c r="I400" s="2" t="str">
        <f>OBRA!O398</f>
        <v>ADJUDICACIÓN DIRECTA</v>
      </c>
      <c r="J400" s="3" t="str">
        <f>OBRA!P398</f>
        <v>REHABILITACION DE LINEA DE DRENAJE SANITARIO, EN LA CALLE PRIVADA CARDENAL DE CARDENAL A CERRADA, EN SAN JUAN COSALA, EN EL MUNICIPIO DE JOCOTEPEC, JALISCO.</v>
      </c>
      <c r="K400" s="3" t="s">
        <v>2162</v>
      </c>
      <c r="L400" s="3" t="s">
        <v>4747</v>
      </c>
      <c r="M400" s="3" t="s">
        <v>6288</v>
      </c>
      <c r="N400" s="3" t="s">
        <v>2524</v>
      </c>
      <c r="O400" s="466" t="s">
        <v>3495</v>
      </c>
      <c r="P400" s="4">
        <f>OBRA!R398</f>
        <v>108744.95</v>
      </c>
      <c r="Q400" s="1023">
        <f t="shared" si="24"/>
        <v>93745.646551724145</v>
      </c>
      <c r="R400" s="1023"/>
      <c r="S400" s="6">
        <f>OBRA!S398</f>
        <v>43694</v>
      </c>
      <c r="T400" s="1134">
        <f>OBRA!V398</f>
        <v>43693</v>
      </c>
      <c r="U400" s="5">
        <f>OBRA!T398</f>
        <v>43703</v>
      </c>
      <c r="V400" s="11">
        <f>OBRA!U398</f>
        <v>43742</v>
      </c>
      <c r="W400" s="1020">
        <v>27186.240000000002</v>
      </c>
      <c r="X400" s="278">
        <f>OBRA!AS398+OBRA!AT398</f>
        <v>131515.03</v>
      </c>
      <c r="Y400" s="1018" t="s">
        <v>2780</v>
      </c>
      <c r="Z400" s="146" t="str">
        <f>OBRA!W398</f>
        <v>GALJACK ARQUITECTOS S.A. DE C.V.</v>
      </c>
      <c r="AA400" s="146" t="s">
        <v>5666</v>
      </c>
      <c r="AB400" s="148" t="s">
        <v>2160</v>
      </c>
      <c r="AC400" s="148" t="s">
        <v>2161</v>
      </c>
      <c r="AD400" s="146" t="s">
        <v>2767</v>
      </c>
      <c r="AE400" s="183" t="str">
        <f>OBRA!X398</f>
        <v>LIC. SALVADOR CONTRERAS OLGUÍN</v>
      </c>
      <c r="AF400" s="19">
        <v>80</v>
      </c>
      <c r="AG400" s="2" t="s">
        <v>1451</v>
      </c>
      <c r="AH400" s="615">
        <f t="shared" si="23"/>
        <v>1643.9378750000001</v>
      </c>
      <c r="AI400" s="2">
        <v>100</v>
      </c>
      <c r="AJ400" s="506"/>
      <c r="AK400" s="506"/>
      <c r="AL400" s="635"/>
      <c r="AM400" s="1517"/>
      <c r="AN400" s="1240" t="s">
        <v>3708</v>
      </c>
      <c r="AO400" s="1240" t="s">
        <v>3708</v>
      </c>
      <c r="AP400" s="1240" t="s">
        <v>3708</v>
      </c>
      <c r="AQ400" s="1298" t="s">
        <v>3708</v>
      </c>
      <c r="AR400" s="1238"/>
      <c r="AS400" s="1290" t="s">
        <v>3708</v>
      </c>
    </row>
    <row r="401" spans="1:46" ht="136.5" hidden="1" customHeight="1">
      <c r="A401" s="16">
        <f>OBRA!J399</f>
        <v>2019</v>
      </c>
      <c r="B401" s="783" t="s">
        <v>2094</v>
      </c>
      <c r="C401" s="783">
        <v>196.17</v>
      </c>
      <c r="D401" s="783"/>
      <c r="E401" s="2" t="str">
        <f>OBRA!M399</f>
        <v>RAMO 33</v>
      </c>
      <c r="F401" s="156" t="s">
        <v>1428</v>
      </c>
      <c r="G401" s="156" t="s">
        <v>2206</v>
      </c>
      <c r="H401" s="12" t="str">
        <f>OBRA!N399</f>
        <v>GMJ 017 C-OP/2019</v>
      </c>
      <c r="I401" s="2" t="str">
        <f>OBRA!O399</f>
        <v>ADJUDICACIÓN DIRECTA</v>
      </c>
      <c r="J401" s="3" t="str">
        <f>OBRA!P399</f>
        <v>"REHABILITACIÓN DE LÍNEA DE DRENAJE CON REPOSICIÓN DE SUPERFICIE DE RODAMIENTO EN LA CALLE NIÑOS HEROES ENTRE CALLES ITURBIDE Y VERANO", EN LA CABECERA MUNICIPAL DE JOCOTEPEC, JALISCO.</v>
      </c>
      <c r="K401" s="3" t="s">
        <v>2123</v>
      </c>
      <c r="L401" s="3" t="s">
        <v>6245</v>
      </c>
      <c r="M401" s="3" t="s">
        <v>6286</v>
      </c>
      <c r="N401" s="3" t="s">
        <v>1975</v>
      </c>
      <c r="O401" s="466" t="s">
        <v>3495</v>
      </c>
      <c r="P401" s="4">
        <f>OBRA!R399</f>
        <v>983216.32</v>
      </c>
      <c r="Q401" s="1023">
        <f t="shared" si="24"/>
        <v>847600.27586206899</v>
      </c>
      <c r="R401" s="1023"/>
      <c r="S401" s="6">
        <f>OBRA!S399</f>
        <v>43707</v>
      </c>
      <c r="T401" s="1134">
        <f>OBRA!V399</f>
        <v>43705</v>
      </c>
      <c r="U401" s="5">
        <f>OBRA!T399</f>
        <v>43710</v>
      </c>
      <c r="V401" s="11">
        <f>OBRA!U399</f>
        <v>43785</v>
      </c>
      <c r="W401" s="1020">
        <v>245804.08</v>
      </c>
      <c r="X401" s="278">
        <f>OBRA!AS399+OBRA!AT399</f>
        <v>997930.57</v>
      </c>
      <c r="Y401" s="1028" t="s">
        <v>2163</v>
      </c>
      <c r="Z401" s="146" t="str">
        <f>OBRA!W399</f>
        <v>ALSERCON SA DE CV</v>
      </c>
      <c r="AA401" s="146" t="s">
        <v>5666</v>
      </c>
      <c r="AB401" s="148" t="s">
        <v>2164</v>
      </c>
      <c r="AC401" s="148" t="s">
        <v>2165</v>
      </c>
      <c r="AD401" s="146" t="s">
        <v>2759</v>
      </c>
      <c r="AE401" s="183" t="str">
        <f>OBRA!X399</f>
        <v>ING. J. GUADALUPE IBARRA RAMIREZ</v>
      </c>
      <c r="AF401" s="19">
        <v>193.9</v>
      </c>
      <c r="AG401" s="2" t="s">
        <v>1451</v>
      </c>
      <c r="AH401" s="615">
        <f t="shared" si="23"/>
        <v>5146.6249097472919</v>
      </c>
      <c r="AI401" s="2">
        <v>200</v>
      </c>
      <c r="AJ401" s="513">
        <v>5000</v>
      </c>
      <c r="AK401" s="513"/>
      <c r="AL401" s="1513"/>
      <c r="AM401" s="1514"/>
      <c r="AN401" s="1223" t="s">
        <v>3709</v>
      </c>
      <c r="AO401" s="1223" t="s">
        <v>3709</v>
      </c>
      <c r="AP401" s="1223" t="s">
        <v>3709</v>
      </c>
      <c r="AQ401" s="1277" t="s">
        <v>3709</v>
      </c>
      <c r="AR401" s="1224"/>
      <c r="AS401" s="1297" t="s">
        <v>3709</v>
      </c>
    </row>
    <row r="402" spans="1:46" ht="161.25" hidden="1" customHeight="1">
      <c r="A402" s="16">
        <f>OBRA!J400</f>
        <v>2019</v>
      </c>
      <c r="B402" s="783" t="s">
        <v>2094</v>
      </c>
      <c r="C402" s="783">
        <v>196.18</v>
      </c>
      <c r="D402" s="783"/>
      <c r="E402" s="2" t="str">
        <f>OBRA!M400</f>
        <v>RAMO 33</v>
      </c>
      <c r="F402" s="156" t="s">
        <v>1428</v>
      </c>
      <c r="G402" s="156" t="s">
        <v>2206</v>
      </c>
      <c r="H402" s="12" t="str">
        <f>OBRA!N400</f>
        <v>GMJ 018 C-OP/2019</v>
      </c>
      <c r="I402" s="2" t="str">
        <f>OBRA!O400</f>
        <v>ADJUDICACIÓN DIRECTA</v>
      </c>
      <c r="J402" s="3" t="str">
        <f>OBRA!P400</f>
        <v>"REHABILITACIÓN DE RED DE AGUA POTABLE CON REPOSICIÓN DE SUPERFICIE DE RODAMIENTO EN LA CALLE NIÑOS HEROES ENTRE CALLES ITURBIDE Y VERANO", EN LA CABECERA MUNICIPAL DE JOCOTEPEC, JALISCO.</v>
      </c>
      <c r="K402" s="3" t="s">
        <v>2166</v>
      </c>
      <c r="L402" s="3" t="s">
        <v>6244</v>
      </c>
      <c r="M402" s="3" t="s">
        <v>6287</v>
      </c>
      <c r="N402" s="3" t="s">
        <v>1975</v>
      </c>
      <c r="O402" s="466" t="s">
        <v>3495</v>
      </c>
      <c r="P402" s="79">
        <f>OBRA!R400</f>
        <v>872749.01</v>
      </c>
      <c r="Q402" s="1023">
        <f t="shared" si="24"/>
        <v>752369.83620689658</v>
      </c>
      <c r="R402" s="1023"/>
      <c r="S402" s="67">
        <f>OBRA!S400</f>
        <v>43707</v>
      </c>
      <c r="T402" s="1134">
        <f>OBRA!V400</f>
        <v>43705</v>
      </c>
      <c r="U402" s="5">
        <f>OBRA!T400</f>
        <v>43710</v>
      </c>
      <c r="V402" s="11">
        <f>OBRA!U400</f>
        <v>43785</v>
      </c>
      <c r="W402" s="1020">
        <v>218187.25</v>
      </c>
      <c r="X402" s="278">
        <f>OBRA!AS400+OBRA!AT400</f>
        <v>911481</v>
      </c>
      <c r="Y402" s="1018" t="s">
        <v>2781</v>
      </c>
      <c r="Z402" s="146" t="str">
        <f>OBRA!W400</f>
        <v>ALSERCON SA DE CV</v>
      </c>
      <c r="AA402" s="146" t="s">
        <v>5666</v>
      </c>
      <c r="AB402" s="148" t="s">
        <v>2164</v>
      </c>
      <c r="AC402" s="148" t="s">
        <v>2165</v>
      </c>
      <c r="AD402" s="146" t="s">
        <v>2759</v>
      </c>
      <c r="AE402" s="183" t="str">
        <f>OBRA!X400</f>
        <v>ING. J. GUADALUPE IBARRA RAMIREZ</v>
      </c>
      <c r="AF402" s="19">
        <v>203.26</v>
      </c>
      <c r="AG402" s="2" t="s">
        <v>1451</v>
      </c>
      <c r="AH402" s="615">
        <f t="shared" si="23"/>
        <v>4484.3107350191876</v>
      </c>
      <c r="AI402" s="2">
        <v>200</v>
      </c>
      <c r="AJ402" s="513">
        <v>5000</v>
      </c>
      <c r="AK402" s="513"/>
      <c r="AL402" s="1513"/>
      <c r="AM402" s="1514"/>
      <c r="AN402" s="1240" t="s">
        <v>3710</v>
      </c>
      <c r="AO402" s="1223" t="s">
        <v>3710</v>
      </c>
      <c r="AP402" s="1223" t="s">
        <v>3710</v>
      </c>
      <c r="AQ402" s="1277" t="s">
        <v>3710</v>
      </c>
      <c r="AR402" s="1224"/>
      <c r="AS402" s="1297" t="s">
        <v>3710</v>
      </c>
    </row>
    <row r="403" spans="1:46" ht="87.75" hidden="1" customHeight="1">
      <c r="A403" s="16">
        <f>OBRA!J401</f>
        <v>2019</v>
      </c>
      <c r="B403" s="783" t="s">
        <v>2094</v>
      </c>
      <c r="C403" s="783">
        <v>196.191</v>
      </c>
      <c r="D403" s="783"/>
      <c r="E403" s="2" t="str">
        <f>OBRA!M401</f>
        <v>RAMO 33</v>
      </c>
      <c r="F403" s="156" t="s">
        <v>1428</v>
      </c>
      <c r="G403" s="156" t="s">
        <v>2206</v>
      </c>
      <c r="H403" s="12" t="str">
        <f>OBRA!N401</f>
        <v>GMJ 019 C-OP/2019</v>
      </c>
      <c r="I403" s="2" t="str">
        <f>OBRA!O401</f>
        <v>ADJUDICACIÓN DIRECTA</v>
      </c>
      <c r="J403" s="3" t="str">
        <f>OBRA!P401</f>
        <v>"REHABILITACIÓN RED DE DRENAJE SANITARIO EN LA CALLE PRIVADA ZARAGOZA DE CALLE ZARAGOZA A CERRADA DELEGACIÓN DE SAN JUAN COSALA MUNICIPIO DE JOCOTEPEC, JALISCO".</v>
      </c>
      <c r="K403" s="3" t="s">
        <v>2168</v>
      </c>
      <c r="L403" s="3" t="s">
        <v>4747</v>
      </c>
      <c r="M403" s="3" t="s">
        <v>6289</v>
      </c>
      <c r="N403" s="3" t="s">
        <v>2524</v>
      </c>
      <c r="O403" s="466" t="s">
        <v>3495</v>
      </c>
      <c r="P403" s="79">
        <f>OBRA!R401</f>
        <v>99707.9</v>
      </c>
      <c r="Q403" s="1023">
        <f t="shared" si="24"/>
        <v>85955.086206896551</v>
      </c>
      <c r="R403" s="1023"/>
      <c r="S403" s="6">
        <f>OBRA!S401</f>
        <v>43707</v>
      </c>
      <c r="T403" s="1134">
        <f>OBRA!V401</f>
        <v>43705</v>
      </c>
      <c r="U403" s="5">
        <f>OBRA!T401</f>
        <v>43710</v>
      </c>
      <c r="V403" s="11">
        <f>OBRA!U401</f>
        <v>43731</v>
      </c>
      <c r="W403" s="1020" t="s">
        <v>1428</v>
      </c>
      <c r="X403" s="278">
        <f>OBRA!AS401+OBRA!AT401</f>
        <v>99707.9</v>
      </c>
      <c r="Y403" s="1105" t="s">
        <v>2782</v>
      </c>
      <c r="Z403" s="146" t="str">
        <f>OBRA!W401</f>
        <v>INGENIERÍA ARQUITECTURA MENDPAD S.A. DE C.V.</v>
      </c>
      <c r="AA403" s="146" t="s">
        <v>5666</v>
      </c>
      <c r="AB403" s="148" t="s">
        <v>2158</v>
      </c>
      <c r="AC403" s="148" t="s">
        <v>2140</v>
      </c>
      <c r="AD403" s="146" t="s">
        <v>2760</v>
      </c>
      <c r="AE403" s="183" t="str">
        <f>OBRA!X401</f>
        <v>LIC. SALVADOR CONTRERAS OLGUÍN</v>
      </c>
      <c r="AF403" s="19">
        <v>50</v>
      </c>
      <c r="AG403" s="2" t="s">
        <v>1451</v>
      </c>
      <c r="AH403" s="615">
        <f t="shared" si="23"/>
        <v>1994.1579999999999</v>
      </c>
      <c r="AI403" s="2">
        <v>80</v>
      </c>
      <c r="AJ403" s="513">
        <v>80</v>
      </c>
      <c r="AK403" s="513"/>
      <c r="AL403" s="1513"/>
      <c r="AM403" s="1514"/>
      <c r="AN403" s="1277" t="s">
        <v>3711</v>
      </c>
      <c r="AO403" s="1261" t="s">
        <v>3711</v>
      </c>
      <c r="AP403" s="1261" t="s">
        <v>3711</v>
      </c>
      <c r="AQ403" s="1261" t="s">
        <v>3711</v>
      </c>
      <c r="AR403" s="1239"/>
      <c r="AS403" s="1297" t="s">
        <v>3711</v>
      </c>
    </row>
    <row r="404" spans="1:46" ht="110.25" hidden="1" customHeight="1">
      <c r="A404" s="16">
        <v>2019</v>
      </c>
      <c r="B404" s="783" t="s">
        <v>2094</v>
      </c>
      <c r="C404" s="783">
        <v>196.19200000000001</v>
      </c>
      <c r="D404" s="783"/>
      <c r="E404" s="2" t="s">
        <v>77</v>
      </c>
      <c r="F404" s="156" t="s">
        <v>1428</v>
      </c>
      <c r="G404" s="156" t="s">
        <v>2206</v>
      </c>
      <c r="H404" s="12" t="str">
        <f>OBRA!N402</f>
        <v>GMJ 019 C-OP/2019</v>
      </c>
      <c r="I404" s="2" t="s">
        <v>79</v>
      </c>
      <c r="J404" s="3" t="str">
        <f>OBRA!P402</f>
        <v>"REHABILITACIÓN DE RED DE AGUA POTABLE EN PRIVADA ZARAGOZA DE CALLE ZARAGOZA A CERRADA DELEGACIÓN DE SAN JUAN COSALA MUNICIPIO DE JOCOTEPEC, JALISCO".</v>
      </c>
      <c r="K404" s="3" t="s">
        <v>2181</v>
      </c>
      <c r="L404" s="173" t="s">
        <v>4745</v>
      </c>
      <c r="M404" s="173" t="s">
        <v>6289</v>
      </c>
      <c r="N404" s="173" t="s">
        <v>2524</v>
      </c>
      <c r="O404" s="466" t="s">
        <v>3495</v>
      </c>
      <c r="P404" s="79">
        <f>OBRA!R402</f>
        <v>118188.71</v>
      </c>
      <c r="Q404" s="1023">
        <f t="shared" si="24"/>
        <v>101886.81896551726</v>
      </c>
      <c r="R404" s="1023"/>
      <c r="S404" s="6">
        <f>OBRA!S402</f>
        <v>43707</v>
      </c>
      <c r="T404" s="1134">
        <f>OBRA!V402</f>
        <v>43705</v>
      </c>
      <c r="U404" s="5">
        <f>OBRA!T402</f>
        <v>43710</v>
      </c>
      <c r="V404" s="11">
        <f>OBRA!U402</f>
        <v>43731</v>
      </c>
      <c r="W404" s="1020" t="s">
        <v>1428</v>
      </c>
      <c r="X404" s="278">
        <f>OBRA!AS402+OBRA!AT402</f>
        <v>130875.44</v>
      </c>
      <c r="Y404" s="1105" t="s">
        <v>2783</v>
      </c>
      <c r="Z404" s="146" t="s">
        <v>1302</v>
      </c>
      <c r="AA404" s="146" t="s">
        <v>5666</v>
      </c>
      <c r="AB404" s="148" t="s">
        <v>2158</v>
      </c>
      <c r="AC404" s="148" t="s">
        <v>2140</v>
      </c>
      <c r="AD404" s="146" t="s">
        <v>2760</v>
      </c>
      <c r="AE404" s="183" t="str">
        <f>OBRA!X402</f>
        <v>LIC. SALVADOR CONTRERAS OLGUÍN</v>
      </c>
      <c r="AF404" s="19">
        <v>107.47</v>
      </c>
      <c r="AG404" s="2" t="s">
        <v>1451</v>
      </c>
      <c r="AH404" s="615">
        <f t="shared" si="23"/>
        <v>1217.7858006885642</v>
      </c>
      <c r="AI404" s="2">
        <v>80</v>
      </c>
      <c r="AJ404" s="513">
        <v>80</v>
      </c>
      <c r="AK404" s="513"/>
      <c r="AL404" s="1513"/>
      <c r="AM404" s="1514"/>
      <c r="AN404" s="1277" t="s">
        <v>3711</v>
      </c>
      <c r="AO404" s="1261" t="s">
        <v>3711</v>
      </c>
      <c r="AP404" s="1261" t="s">
        <v>3711</v>
      </c>
      <c r="AQ404" s="1261" t="s">
        <v>3711</v>
      </c>
      <c r="AR404" s="1239"/>
      <c r="AS404" s="1297" t="s">
        <v>3711</v>
      </c>
    </row>
    <row r="405" spans="1:46" ht="117.75" hidden="1" customHeight="1">
      <c r="A405" s="16">
        <f>OBRA!J403</f>
        <v>2019</v>
      </c>
      <c r="B405" s="783" t="s">
        <v>2094</v>
      </c>
      <c r="C405" s="783">
        <v>196.2</v>
      </c>
      <c r="D405" s="783"/>
      <c r="E405" s="2" t="str">
        <f>OBRA!M403</f>
        <v>RAMO 33</v>
      </c>
      <c r="F405" s="156" t="s">
        <v>1428</v>
      </c>
      <c r="G405" s="156" t="s">
        <v>2206</v>
      </c>
      <c r="H405" s="12" t="str">
        <f>OBRA!N403</f>
        <v>GMJ 020 C-OP/2019</v>
      </c>
      <c r="I405" s="2" t="str">
        <f>OBRA!O403</f>
        <v>ADJUDICACIÓN DIRECTA</v>
      </c>
      <c r="J405" s="3" t="str">
        <f>OBRA!P403</f>
        <v>"CONSTRUCCIÓN DE RED DE AGUA POTABLE EN CALLE PRIVADA GUADALUPE VICTORIA DELEGACIÓN DE SAN JUAN COSALA MUNICIPIO DE JOCOTEPEC, JALISCO"</v>
      </c>
      <c r="K405" s="3" t="s">
        <v>2167</v>
      </c>
      <c r="L405" s="173" t="s">
        <v>4745</v>
      </c>
      <c r="M405" s="173" t="s">
        <v>6290</v>
      </c>
      <c r="N405" s="173" t="s">
        <v>2524</v>
      </c>
      <c r="O405" s="466" t="s">
        <v>3495</v>
      </c>
      <c r="P405" s="79">
        <f>OBRA!R403</f>
        <v>104942</v>
      </c>
      <c r="Q405" s="1023">
        <f t="shared" si="24"/>
        <v>90467.241379310348</v>
      </c>
      <c r="R405" s="1023"/>
      <c r="S405" s="6">
        <f>OBRA!S403</f>
        <v>43740</v>
      </c>
      <c r="T405" s="1134">
        <f>OBRA!V403</f>
        <v>43739</v>
      </c>
      <c r="U405" s="5">
        <f>OBRA!T403</f>
        <v>43741</v>
      </c>
      <c r="V405" s="11">
        <f>OBRA!U403</f>
        <v>43768</v>
      </c>
      <c r="W405" s="1020" t="s">
        <v>1428</v>
      </c>
      <c r="X405" s="278">
        <f>OBRA!AS403+OBRA!AT403</f>
        <v>104942</v>
      </c>
      <c r="Y405" s="1018" t="s">
        <v>2784</v>
      </c>
      <c r="Z405" s="146" t="str">
        <f>OBRA!W403</f>
        <v>INGENIERÍA ARQUITECTURA MENDPAD S.A. DE C.V.</v>
      </c>
      <c r="AA405" s="146" t="s">
        <v>5666</v>
      </c>
      <c r="AB405" s="148" t="s">
        <v>2158</v>
      </c>
      <c r="AC405" s="148" t="s">
        <v>2140</v>
      </c>
      <c r="AD405" s="146" t="s">
        <v>2760</v>
      </c>
      <c r="AE405" s="183" t="str">
        <f>OBRA!X403</f>
        <v>LIC. SALVADOR CONTRERAS OLGUÍN</v>
      </c>
      <c r="AF405" s="19">
        <v>119</v>
      </c>
      <c r="AG405" s="2" t="s">
        <v>1451</v>
      </c>
      <c r="AH405" s="615">
        <f t="shared" si="23"/>
        <v>881.86554621848734</v>
      </c>
      <c r="AI405" s="2">
        <v>60</v>
      </c>
      <c r="AJ405" s="513">
        <v>60</v>
      </c>
      <c r="AK405" s="513"/>
      <c r="AL405" s="1513"/>
      <c r="AM405" s="1514"/>
      <c r="AN405" s="1298" t="s">
        <v>3712</v>
      </c>
      <c r="AO405" s="1289" t="s">
        <v>3712</v>
      </c>
      <c r="AP405" s="1289" t="s">
        <v>3712</v>
      </c>
      <c r="AQ405" s="1289" t="s">
        <v>3712</v>
      </c>
      <c r="AR405" s="1847"/>
      <c r="AS405" s="1290" t="s">
        <v>3712</v>
      </c>
    </row>
    <row r="406" spans="1:46" ht="86.25" hidden="1" customHeight="1">
      <c r="A406" s="16">
        <v>2019</v>
      </c>
      <c r="B406" s="783" t="s">
        <v>2094</v>
      </c>
      <c r="C406" s="783">
        <v>196.21</v>
      </c>
      <c r="D406" s="783"/>
      <c r="E406" s="2" t="str">
        <f>OBRA!M404</f>
        <v>RAMO 33</v>
      </c>
      <c r="F406" s="156" t="s">
        <v>1428</v>
      </c>
      <c r="G406" s="156" t="s">
        <v>2206</v>
      </c>
      <c r="H406" s="12" t="str">
        <f>OBRA!N404</f>
        <v>GMJ 021 C-OP/2019</v>
      </c>
      <c r="I406" s="2" t="str">
        <f>OBRA!O404</f>
        <v>ADJUDICACIÓN DIRECTA</v>
      </c>
      <c r="J406" s="3" t="str">
        <f>OBRA!P404</f>
        <v>"CONSTRUCCIÓN DE LÍNEA DE DRENAJE SANITARIO EN CALLE PRIVADA GUADALUPE VICTORIA DELELGACIÓN DE SAN JUAN COSALA MUNICIPIO DE JOCOTEPEC, JALISCO".</v>
      </c>
      <c r="K406" s="3" t="s">
        <v>2168</v>
      </c>
      <c r="L406" s="173" t="s">
        <v>4747</v>
      </c>
      <c r="M406" s="173" t="s">
        <v>6290</v>
      </c>
      <c r="N406" s="173" t="s">
        <v>2524</v>
      </c>
      <c r="O406" s="466" t="s">
        <v>3496</v>
      </c>
      <c r="P406" s="79">
        <f>OBRA!R404</f>
        <v>124713.47</v>
      </c>
      <c r="Q406" s="1023">
        <f t="shared" si="24"/>
        <v>107511.61206896552</v>
      </c>
      <c r="R406" s="1023"/>
      <c r="S406" s="6">
        <f>OBRA!S404</f>
        <v>43740</v>
      </c>
      <c r="T406" s="1134">
        <f>OBRA!V404</f>
        <v>43739</v>
      </c>
      <c r="U406" s="5">
        <f>OBRA!T404</f>
        <v>43741</v>
      </c>
      <c r="V406" s="11">
        <f>OBRA!U404</f>
        <v>43768</v>
      </c>
      <c r="W406" s="1020" t="s">
        <v>1428</v>
      </c>
      <c r="X406" s="278">
        <f>OBRA!AS404+OBRA!AT404</f>
        <v>132810.69</v>
      </c>
      <c r="Y406" s="1018" t="s">
        <v>2785</v>
      </c>
      <c r="Z406" s="146" t="str">
        <f>OBRA!W404</f>
        <v>INGENIERÍA ARQUITECTURA MENDPAD S.A. DE C.V.</v>
      </c>
      <c r="AA406" s="146" t="s">
        <v>5666</v>
      </c>
      <c r="AB406" s="148" t="s">
        <v>2158</v>
      </c>
      <c r="AC406" s="148" t="s">
        <v>2140</v>
      </c>
      <c r="AD406" s="146" t="s">
        <v>2760</v>
      </c>
      <c r="AE406" s="183" t="str">
        <f>OBRA!X404</f>
        <v>LIC. SALVADOR CONTRERAS OLGUÍN</v>
      </c>
      <c r="AF406" s="19">
        <v>105</v>
      </c>
      <c r="AG406" s="2" t="s">
        <v>1451</v>
      </c>
      <c r="AH406" s="615">
        <f t="shared" si="23"/>
        <v>1264.8637142857142</v>
      </c>
      <c r="AI406" s="2">
        <v>60</v>
      </c>
      <c r="AJ406" s="513">
        <v>60</v>
      </c>
      <c r="AK406" s="513"/>
      <c r="AL406" s="1513"/>
      <c r="AM406" s="1514"/>
      <c r="AN406" s="1298" t="s">
        <v>3713</v>
      </c>
      <c r="AO406" s="1289" t="s">
        <v>3713</v>
      </c>
      <c r="AP406" s="1289" t="s">
        <v>3713</v>
      </c>
      <c r="AQ406" s="1289" t="s">
        <v>3713</v>
      </c>
      <c r="AR406" s="1847"/>
      <c r="AS406" s="1290" t="s">
        <v>3713</v>
      </c>
    </row>
    <row r="407" spans="1:46" s="104" customFormat="1" ht="81" hidden="1" customHeight="1">
      <c r="A407" s="82">
        <f>OBRA!J405</f>
        <v>2019</v>
      </c>
      <c r="B407" s="784" t="s">
        <v>2094</v>
      </c>
      <c r="C407" s="784">
        <v>196.22</v>
      </c>
      <c r="D407" s="784"/>
      <c r="E407" s="85" t="str">
        <f>OBRA!M405</f>
        <v>RASTRO DIGNO / CTA-CTE</v>
      </c>
      <c r="F407" s="1010" t="s">
        <v>2104</v>
      </c>
      <c r="G407" s="1149" t="s">
        <v>2206</v>
      </c>
      <c r="H407" s="103" t="str">
        <f>OBRA!N405</f>
        <v>GMJ 022 C-OP/2019</v>
      </c>
      <c r="I407" s="2" t="str">
        <f>OBRA!O405</f>
        <v>CANCELADA</v>
      </c>
      <c r="J407" s="125" t="str">
        <f>OBRA!P405</f>
        <v xml:space="preserve">"CONSTRUCCIÓN DE PLANTA DE TRATAMIENTO INCLUYENDO OBRA CIVIL Y EQUIPAMIENTO EN EL RASTRO MUNICIPAL", EN LA CABECERA MUNICIPAL DE JOCOTEPEC, JALISCO </v>
      </c>
      <c r="K407" s="125" t="s">
        <v>68</v>
      </c>
      <c r="L407" s="656"/>
      <c r="M407" s="656" t="s">
        <v>2169</v>
      </c>
      <c r="N407" s="656" t="s">
        <v>1975</v>
      </c>
      <c r="O407" s="541"/>
      <c r="P407" s="86">
        <f>OBRA!R405</f>
        <v>1688433.48</v>
      </c>
      <c r="Q407" s="1023">
        <f t="shared" si="24"/>
        <v>1455546.1034482759</v>
      </c>
      <c r="R407" s="1023"/>
      <c r="S407" s="87">
        <f>OBRA!S405</f>
        <v>43709</v>
      </c>
      <c r="T407" s="1134">
        <f>OBRA!V405</f>
        <v>0</v>
      </c>
      <c r="U407" s="88">
        <f>OBRA!T405</f>
        <v>43710</v>
      </c>
      <c r="V407" s="89">
        <f>OBRA!U405</f>
        <v>43785</v>
      </c>
      <c r="W407" s="1020" t="s">
        <v>68</v>
      </c>
      <c r="X407" s="821">
        <f>OBRA!AS405+OBRA!AT405</f>
        <v>0</v>
      </c>
      <c r="Y407" s="1016" t="s">
        <v>68</v>
      </c>
      <c r="Z407" s="147" t="str">
        <f>OBRA!W405</f>
        <v>C. PAUL ANTONIO VENEGAS GARCÍA</v>
      </c>
      <c r="AA407" s="147" t="s">
        <v>5665</v>
      </c>
      <c r="AB407" s="149" t="str">
        <f>Z407</f>
        <v>C. PAUL ANTONIO VENEGAS GARCÍA</v>
      </c>
      <c r="AC407" s="85" t="s">
        <v>2959</v>
      </c>
      <c r="AD407" s="147" t="s">
        <v>2959</v>
      </c>
      <c r="AE407" s="184" t="str">
        <f>OBRA!X405</f>
        <v>ARQ. JAIME CONDE GOMEZ</v>
      </c>
      <c r="AF407" s="84">
        <v>1</v>
      </c>
      <c r="AG407" s="85" t="s">
        <v>1573</v>
      </c>
      <c r="AH407" s="184">
        <f t="shared" si="23"/>
        <v>0</v>
      </c>
      <c r="AI407" s="85"/>
      <c r="AJ407" s="514"/>
      <c r="AK407" s="514"/>
      <c r="AL407" s="1515"/>
      <c r="AM407" s="1516"/>
      <c r="AN407" s="573"/>
      <c r="AO407" s="816" t="s">
        <v>68</v>
      </c>
      <c r="AP407" s="816" t="s">
        <v>68</v>
      </c>
      <c r="AQ407" s="421" t="s">
        <v>68</v>
      </c>
      <c r="AR407" s="514"/>
      <c r="AS407" s="83" t="s">
        <v>68</v>
      </c>
    </row>
    <row r="408" spans="1:46" ht="228" hidden="1" customHeight="1">
      <c r="A408" s="16">
        <f>OBRA!J406</f>
        <v>2019</v>
      </c>
      <c r="B408" s="783" t="s">
        <v>2094</v>
      </c>
      <c r="C408" s="783">
        <v>196.23</v>
      </c>
      <c r="D408" s="783"/>
      <c r="E408" s="2" t="str">
        <f>OBRA!M406</f>
        <v>RASTRO DIGNO / CTA-CTE</v>
      </c>
      <c r="F408" s="605" t="s">
        <v>3705</v>
      </c>
      <c r="G408" s="156" t="s">
        <v>2206</v>
      </c>
      <c r="H408" s="12" t="str">
        <f>OBRA!N406</f>
        <v>GMJ 023 C-OP/2019</v>
      </c>
      <c r="I408" s="2" t="str">
        <f>OBRA!O406</f>
        <v>ADJUDICACIÓN DIRECTA</v>
      </c>
      <c r="J408" s="3" t="str">
        <f>OBRA!P406</f>
        <v>“CONSTRUCCIÓN DE ÁREA DE CORRALES MÓDULO 1 PRIMERA ETAPA EN EL RASTRO MUNICIPAL”, EN LA CABECERA MUNICIPAL, DE JOCOTEPEC, JALISCO.</v>
      </c>
      <c r="K408" s="1323" t="s">
        <v>4300</v>
      </c>
      <c r="L408" s="1323" t="s">
        <v>6241</v>
      </c>
      <c r="M408" s="3" t="s">
        <v>2002</v>
      </c>
      <c r="N408" s="3" t="s">
        <v>1975</v>
      </c>
      <c r="O408" s="466" t="s">
        <v>3496</v>
      </c>
      <c r="P408" s="4">
        <f>OBRA!R406</f>
        <v>1393906.05</v>
      </c>
      <c r="Q408" s="1023">
        <f t="shared" si="24"/>
        <v>1201643.1465517243</v>
      </c>
      <c r="R408" s="1023"/>
      <c r="S408" s="6">
        <f>OBRA!S406</f>
        <v>43755</v>
      </c>
      <c r="T408" s="1134">
        <f>OBRA!V406</f>
        <v>43754</v>
      </c>
      <c r="U408" s="5">
        <f>OBRA!T406</f>
        <v>43759</v>
      </c>
      <c r="V408" s="11">
        <f>OBRA!U406</f>
        <v>43830</v>
      </c>
      <c r="W408" s="1020">
        <v>348476.5</v>
      </c>
      <c r="X408" s="278">
        <f>OBRA!AS406+OBRA!AT406</f>
        <v>1393904.46</v>
      </c>
      <c r="Y408" s="1106" t="s">
        <v>2797</v>
      </c>
      <c r="Z408" s="146" t="str">
        <f>OBRA!W406</f>
        <v>SDT CONSTRUCTORA S.A. DE C.V.</v>
      </c>
      <c r="AA408" s="146" t="s">
        <v>5666</v>
      </c>
      <c r="AB408" s="148" t="s">
        <v>2170</v>
      </c>
      <c r="AC408" s="2" t="s">
        <v>2171</v>
      </c>
      <c r="AD408" s="146" t="s">
        <v>2757</v>
      </c>
      <c r="AE408" s="183" t="str">
        <f>OBRA!X406</f>
        <v>ARQ. JAIME CONDE GOMEZ</v>
      </c>
      <c r="AF408" s="19">
        <v>731.62</v>
      </c>
      <c r="AG408" s="2" t="s">
        <v>1548</v>
      </c>
      <c r="AH408" s="615">
        <f t="shared" si="23"/>
        <v>1905.2301194609222</v>
      </c>
      <c r="AI408" s="2">
        <v>2000</v>
      </c>
      <c r="AJ408" s="513">
        <v>48500</v>
      </c>
      <c r="AK408" s="513"/>
      <c r="AL408" s="1543">
        <v>20.27947</v>
      </c>
      <c r="AM408" s="1544">
        <v>103.44511</v>
      </c>
      <c r="AN408" s="1277" t="s">
        <v>3714</v>
      </c>
      <c r="AO408" s="1261" t="s">
        <v>3714</v>
      </c>
      <c r="AP408" s="1261" t="s">
        <v>3714</v>
      </c>
      <c r="AQ408" s="1261" t="s">
        <v>3714</v>
      </c>
      <c r="AR408" s="1239"/>
      <c r="AS408" s="1290" t="s">
        <v>3714</v>
      </c>
      <c r="AT408">
        <v>100</v>
      </c>
    </row>
    <row r="409" spans="1:46" ht="72" hidden="1" customHeight="1">
      <c r="A409" s="16">
        <f>OBRA!J407</f>
        <v>2019</v>
      </c>
      <c r="B409" s="783" t="s">
        <v>2094</v>
      </c>
      <c r="C409" s="783">
        <v>196.24</v>
      </c>
      <c r="D409" s="1447" t="s">
        <v>4021</v>
      </c>
      <c r="E409" s="2" t="str">
        <f>OBRA!M407</f>
        <v>RASTRO DIGNO / CTA-CTE</v>
      </c>
      <c r="F409" s="605" t="s">
        <v>3705</v>
      </c>
      <c r="G409" s="156" t="s">
        <v>2206</v>
      </c>
      <c r="H409" s="12" t="str">
        <f>OBRA!N407</f>
        <v>GMJ 024 C-OP/2019</v>
      </c>
      <c r="I409" s="2" t="str">
        <f>OBRA!O407</f>
        <v>ADJUDICACIÓN DIRECTA</v>
      </c>
      <c r="J409" s="3" t="str">
        <f>OBRA!P407</f>
        <v>“REHABILITACIÓN DE ÁREA DE MATANZA EN ESTRUCTURA Y TECHUMBRE PRIMERA ETAPA EN EL RASTRO MUNICIPAL”, EN LA CABECERA MUNICIPAL, DE JOCOTEPEC, JALISCO.</v>
      </c>
      <c r="K409" s="541"/>
      <c r="L409" s="3" t="s">
        <v>6241</v>
      </c>
      <c r="M409" s="3" t="s">
        <v>2002</v>
      </c>
      <c r="N409" s="3" t="s">
        <v>1975</v>
      </c>
      <c r="O409" s="466" t="s">
        <v>3496</v>
      </c>
      <c r="P409" s="4">
        <f>OBRA!R407</f>
        <v>1414229.08</v>
      </c>
      <c r="Q409" s="1023">
        <f t="shared" si="24"/>
        <v>1219163.0000000002</v>
      </c>
      <c r="R409" s="1023"/>
      <c r="S409" s="6">
        <f>OBRA!S407</f>
        <v>43755</v>
      </c>
      <c r="T409" s="1134">
        <f>OBRA!V407</f>
        <v>43754</v>
      </c>
      <c r="U409" s="5">
        <f>OBRA!T407</f>
        <v>43759</v>
      </c>
      <c r="V409" s="11">
        <f>OBRA!U407</f>
        <v>43830</v>
      </c>
      <c r="W409" s="1020">
        <v>353557.27</v>
      </c>
      <c r="X409" s="278">
        <f>OBRA!AS407+OBRA!AT407</f>
        <v>1414229.1</v>
      </c>
      <c r="Y409" s="1105" t="s">
        <v>2786</v>
      </c>
      <c r="Z409" s="146" t="str">
        <f>OBRA!W407</f>
        <v>DACO, DESARROLLOS ARQUITECTÓNICOS Y CONSTRUCCIÓN OBRA CIVIL S.A. DE C.V.</v>
      </c>
      <c r="AA409" s="146" t="s">
        <v>5666</v>
      </c>
      <c r="AB409" s="148" t="s">
        <v>2172</v>
      </c>
      <c r="AC409" s="148" t="s">
        <v>2173</v>
      </c>
      <c r="AD409" s="146" t="s">
        <v>2761</v>
      </c>
      <c r="AE409" s="183" t="str">
        <f>OBRA!X407</f>
        <v>ARQ. JAIME CONDE GOMEZ</v>
      </c>
      <c r="AF409" s="19">
        <v>276.38</v>
      </c>
      <c r="AG409" s="2" t="s">
        <v>1548</v>
      </c>
      <c r="AH409" s="615">
        <f t="shared" si="23"/>
        <v>5116.9733699978296</v>
      </c>
      <c r="AI409" s="2">
        <v>2000</v>
      </c>
      <c r="AJ409" s="513">
        <v>48500</v>
      </c>
      <c r="AK409" s="513"/>
      <c r="AL409" s="1513"/>
      <c r="AM409" s="1514"/>
      <c r="AN409" s="1277" t="s">
        <v>3715</v>
      </c>
      <c r="AO409" s="1261" t="s">
        <v>3715</v>
      </c>
      <c r="AP409" s="1261" t="s">
        <v>3715</v>
      </c>
      <c r="AQ409" s="1261" t="s">
        <v>3715</v>
      </c>
      <c r="AR409" s="1239"/>
      <c r="AS409" s="1290" t="s">
        <v>3715</v>
      </c>
      <c r="AT409">
        <v>100</v>
      </c>
    </row>
    <row r="410" spans="1:46" ht="83.25" hidden="1" customHeight="1">
      <c r="A410" s="16">
        <f>OBRA!J408</f>
        <v>2019</v>
      </c>
      <c r="B410" s="783" t="s">
        <v>2094</v>
      </c>
      <c r="C410" s="783">
        <v>196.25</v>
      </c>
      <c r="D410" s="783"/>
      <c r="E410" s="2" t="str">
        <f>OBRA!M408</f>
        <v>RAMO 33</v>
      </c>
      <c r="F410" s="156" t="s">
        <v>1428</v>
      </c>
      <c r="G410" s="156" t="s">
        <v>2206</v>
      </c>
      <c r="H410" s="12" t="str">
        <f>OBRA!N408</f>
        <v>GMJ 025 C-OP/2019</v>
      </c>
      <c r="I410" s="2" t="str">
        <f>OBRA!O408</f>
        <v>ADJUDICACIÓN DIRECTA</v>
      </c>
      <c r="J410" s="3" t="str">
        <f>OBRA!P408</f>
        <v>"REHABILITACIÓN DE RED DE DRENAJE SANITARIO EN CALLE OTOÑO ENTRE CALLE NIÑOS HEROES Y ZARAGOZA" EN LA CABECERA MUNICIPAL DE JOCOTEPEC, JALISCO</v>
      </c>
      <c r="K410" s="3" t="s">
        <v>2168</v>
      </c>
      <c r="L410" s="3" t="s">
        <v>4747</v>
      </c>
      <c r="M410" s="3" t="s">
        <v>6277</v>
      </c>
      <c r="N410" s="3" t="s">
        <v>1975</v>
      </c>
      <c r="O410" s="466" t="s">
        <v>3496</v>
      </c>
      <c r="P410" s="4">
        <f>OBRA!R408</f>
        <v>198328.91</v>
      </c>
      <c r="Q410" s="1023">
        <f t="shared" si="24"/>
        <v>170973.19827586209</v>
      </c>
      <c r="R410" s="1023"/>
      <c r="S410" s="6">
        <f>OBRA!S408</f>
        <v>43755</v>
      </c>
      <c r="T410" s="1134">
        <f>OBRA!V408</f>
        <v>43754</v>
      </c>
      <c r="U410" s="5">
        <f>OBRA!T408</f>
        <v>43759</v>
      </c>
      <c r="V410" s="11">
        <f>OBRA!U408</f>
        <v>43809</v>
      </c>
      <c r="W410" s="1020" t="s">
        <v>1428</v>
      </c>
      <c r="X410" s="278">
        <f>OBRA!AS408+OBRA!AT408</f>
        <v>185500.38</v>
      </c>
      <c r="Y410" s="1018" t="s">
        <v>2788</v>
      </c>
      <c r="Z410" s="146" t="str">
        <f>OBRA!W408</f>
        <v>AV ATELIER DE ARQUITECTURA S.A. DE C.V.</v>
      </c>
      <c r="AA410" s="146" t="s">
        <v>5666</v>
      </c>
      <c r="AB410" s="148" t="s">
        <v>2174</v>
      </c>
      <c r="AC410" s="148" t="s">
        <v>2175</v>
      </c>
      <c r="AD410" s="146" t="s">
        <v>2758</v>
      </c>
      <c r="AE410" s="183" t="str">
        <f>OBRA!X408</f>
        <v>LIC. SALVADOR CONTRERAS OLGUÍN</v>
      </c>
      <c r="AF410" s="19">
        <v>131</v>
      </c>
      <c r="AG410" s="2" t="s">
        <v>1451</v>
      </c>
      <c r="AH410" s="615">
        <f t="shared" si="23"/>
        <v>1416.0334351145038</v>
      </c>
      <c r="AI410" s="2">
        <v>200</v>
      </c>
      <c r="AJ410" s="513">
        <v>200</v>
      </c>
      <c r="AK410" s="513"/>
      <c r="AL410" s="1513"/>
      <c r="AM410" s="1514"/>
      <c r="AN410" s="1298" t="s">
        <v>3716</v>
      </c>
      <c r="AO410" s="1298" t="s">
        <v>3716</v>
      </c>
      <c r="AP410" s="1277" t="s">
        <v>3716</v>
      </c>
      <c r="AQ410" s="1277" t="s">
        <v>3716</v>
      </c>
      <c r="AR410" s="1224"/>
      <c r="AS410" s="1297" t="s">
        <v>3716</v>
      </c>
    </row>
    <row r="411" spans="1:46" ht="135" hidden="1" customHeight="1">
      <c r="A411" s="16">
        <f>OBRA!J409</f>
        <v>2019</v>
      </c>
      <c r="B411" s="783" t="s">
        <v>2094</v>
      </c>
      <c r="C411" s="783">
        <v>196.26</v>
      </c>
      <c r="D411" s="783"/>
      <c r="E411" s="2" t="str">
        <f>OBRA!M409</f>
        <v>RAMO 33</v>
      </c>
      <c r="F411" s="156" t="s">
        <v>1428</v>
      </c>
      <c r="G411" s="156" t="s">
        <v>2206</v>
      </c>
      <c r="H411" s="12" t="str">
        <f>OBRA!N409</f>
        <v>GMJ 026 C-OP/2019</v>
      </c>
      <c r="I411" s="2" t="str">
        <f>OBRA!O409</f>
        <v>ADJUDICACIÓN DIRECTA</v>
      </c>
      <c r="J411" s="3" t="str">
        <f>OBRA!P409</f>
        <v>"REHABILITACIÓN DE RED DE AGUA POTABLE EN CALLE OTOÑO ENTRE CALLE NIÑOS HEROES Y ZARAGOZA" EN LA CABECERA MUNICIPAL DE JOCOTEPEC, JALISCO</v>
      </c>
      <c r="K411" s="3" t="s">
        <v>2176</v>
      </c>
      <c r="L411" s="3" t="s">
        <v>4745</v>
      </c>
      <c r="M411" s="3" t="s">
        <v>6277</v>
      </c>
      <c r="N411" s="3" t="s">
        <v>1975</v>
      </c>
      <c r="O411" s="466" t="s">
        <v>3496</v>
      </c>
      <c r="P411" s="4">
        <f>OBRA!R409</f>
        <v>135637.59</v>
      </c>
      <c r="Q411" s="1023">
        <f t="shared" si="24"/>
        <v>116928.95689655172</v>
      </c>
      <c r="R411" s="1023"/>
      <c r="S411" s="6">
        <f>OBRA!S409</f>
        <v>43755</v>
      </c>
      <c r="T411" s="1134">
        <f>OBRA!V409</f>
        <v>43754</v>
      </c>
      <c r="U411" s="5">
        <f>OBRA!T409</f>
        <v>43759</v>
      </c>
      <c r="V411" s="11">
        <f>OBRA!U409</f>
        <v>43809</v>
      </c>
      <c r="W411" s="1020" t="s">
        <v>1428</v>
      </c>
      <c r="X411" s="278">
        <f>OBRA!AS409+OBRA!AT409</f>
        <v>140274.29</v>
      </c>
      <c r="Y411" s="1018" t="s">
        <v>2789</v>
      </c>
      <c r="Z411" s="146" t="str">
        <f>OBRA!W409</f>
        <v>AV ATELIER DE ARQUITECTURA S.A. DE C.V.</v>
      </c>
      <c r="AA411" s="146" t="s">
        <v>5666</v>
      </c>
      <c r="AB411" s="148" t="s">
        <v>2174</v>
      </c>
      <c r="AC411" s="148" t="s">
        <v>2175</v>
      </c>
      <c r="AD411" s="146" t="s">
        <v>2758</v>
      </c>
      <c r="AE411" s="183" t="str">
        <f>OBRA!X409</f>
        <v>LIC. SALVADOR CONTRERAS OLGUÍN</v>
      </c>
      <c r="AF411" s="19">
        <v>121.65</v>
      </c>
      <c r="AG411" s="2" t="s">
        <v>1451</v>
      </c>
      <c r="AH411" s="615">
        <f t="shared" si="23"/>
        <v>1153.0973284011509</v>
      </c>
      <c r="AI411" s="2">
        <v>200</v>
      </c>
      <c r="AJ411" s="513">
        <v>200</v>
      </c>
      <c r="AK411" s="513"/>
      <c r="AL411" s="1513"/>
      <c r="AM411" s="1514"/>
      <c r="AN411" s="1298" t="s">
        <v>3717</v>
      </c>
      <c r="AO411" s="1298" t="s">
        <v>3717</v>
      </c>
      <c r="AP411" s="1277" t="s">
        <v>3717</v>
      </c>
      <c r="AQ411" s="1298" t="s">
        <v>3717</v>
      </c>
      <c r="AR411" s="1238"/>
      <c r="AS411" s="1297" t="s">
        <v>3717</v>
      </c>
    </row>
    <row r="412" spans="1:46" ht="87" hidden="1" customHeight="1">
      <c r="A412" s="16">
        <f>OBRA!J410</f>
        <v>2019</v>
      </c>
      <c r="B412" s="783" t="s">
        <v>2094</v>
      </c>
      <c r="C412" s="783">
        <v>196.27</v>
      </c>
      <c r="D412" s="783"/>
      <c r="E412" s="2" t="str">
        <f>OBRA!M410</f>
        <v>RAMO 33</v>
      </c>
      <c r="F412" s="156" t="s">
        <v>1428</v>
      </c>
      <c r="G412" s="156" t="s">
        <v>2206</v>
      </c>
      <c r="H412" s="12" t="str">
        <f>OBRA!N410</f>
        <v>GMJ 027 C-OP/2019</v>
      </c>
      <c r="I412" s="2" t="str">
        <f>OBRA!O410</f>
        <v>ADJUDICACIÓN DIRECTA</v>
      </c>
      <c r="J412" s="3" t="str">
        <f>OBRA!P410</f>
        <v>“CONSTRUCCIÓN DE EMPEDRADO AHOGADO EN  CEMENTO EN CALLE OTOÑO ENTRE CALLE NIÑOS HÉROES Y CALLE ZARAGOZA”  EN LA CABECERA MUNICIPAL DE JOCOTEPEC, JALISCO.</v>
      </c>
      <c r="K412" s="3" t="s">
        <v>2177</v>
      </c>
      <c r="L412" s="3" t="s">
        <v>4752</v>
      </c>
      <c r="M412" s="3" t="s">
        <v>6277</v>
      </c>
      <c r="N412" s="3" t="s">
        <v>1975</v>
      </c>
      <c r="O412" s="466" t="s">
        <v>3496</v>
      </c>
      <c r="P412" s="4">
        <f>OBRA!R410</f>
        <v>883708.77</v>
      </c>
      <c r="Q412" s="1023">
        <f t="shared" si="24"/>
        <v>761817.90517241391</v>
      </c>
      <c r="R412" s="1023"/>
      <c r="S412" s="6">
        <f>OBRA!S410</f>
        <v>43755</v>
      </c>
      <c r="T412" s="1134">
        <f>OBRA!V410</f>
        <v>43754</v>
      </c>
      <c r="U412" s="5">
        <f>OBRA!T410</f>
        <v>43759</v>
      </c>
      <c r="V412" s="11">
        <f>OBRA!U410</f>
        <v>43809</v>
      </c>
      <c r="W412" s="1020" t="s">
        <v>1428</v>
      </c>
      <c r="X412" s="278">
        <f>OBRA!AS410+OBRA!AT410</f>
        <v>826172.24</v>
      </c>
      <c r="Y412" s="1018" t="s">
        <v>2787</v>
      </c>
      <c r="Z412" s="146" t="str">
        <f>OBRA!W410</f>
        <v>AV ATELIER DE ARQUITECTURA S.A. DE C.V.</v>
      </c>
      <c r="AA412" s="146" t="s">
        <v>5666</v>
      </c>
      <c r="AB412" s="148" t="s">
        <v>2174</v>
      </c>
      <c r="AC412" s="148" t="s">
        <v>2175</v>
      </c>
      <c r="AD412" s="146" t="s">
        <v>2758</v>
      </c>
      <c r="AE412" s="183" t="str">
        <f>OBRA!X410</f>
        <v>LIC. SALVADOR CONTRERAS OLGUÍN</v>
      </c>
      <c r="AF412" s="19">
        <v>1301.04</v>
      </c>
      <c r="AG412" s="2" t="s">
        <v>1548</v>
      </c>
      <c r="AH412" s="615">
        <f t="shared" si="23"/>
        <v>635.00910041197812</v>
      </c>
      <c r="AI412" s="2">
        <v>200</v>
      </c>
      <c r="AJ412" s="513">
        <v>5000</v>
      </c>
      <c r="AK412" s="513"/>
      <c r="AL412" s="1513"/>
      <c r="AM412" s="1514"/>
      <c r="AN412" s="1277" t="s">
        <v>3718</v>
      </c>
      <c r="AO412" s="1261" t="s">
        <v>3718</v>
      </c>
      <c r="AP412" s="1261" t="s">
        <v>3718</v>
      </c>
      <c r="AQ412" s="1261" t="s">
        <v>3718</v>
      </c>
      <c r="AR412" s="1851"/>
      <c r="AS412" s="1303" t="s">
        <v>3718</v>
      </c>
    </row>
    <row r="413" spans="1:46" ht="99" hidden="1" customHeight="1">
      <c r="A413" s="16">
        <f>OBRA!J411</f>
        <v>2019</v>
      </c>
      <c r="B413" s="783" t="s">
        <v>2094</v>
      </c>
      <c r="C413" s="783">
        <v>196.28</v>
      </c>
      <c r="D413" s="783"/>
      <c r="E413" s="2" t="str">
        <f>OBRA!M411</f>
        <v>RAMO 33</v>
      </c>
      <c r="F413" s="156" t="s">
        <v>1428</v>
      </c>
      <c r="G413" s="156" t="s">
        <v>2206</v>
      </c>
      <c r="H413" s="12" t="str">
        <f>OBRA!N411</f>
        <v>GMJ 028 C-OP/2019</v>
      </c>
      <c r="I413" s="2" t="str">
        <f>OBRA!O411</f>
        <v>ADJUDICACIÓN DIRECTA</v>
      </c>
      <c r="J413" s="3" t="str">
        <f>OBRA!P411</f>
        <v>“REHABILITACIÓN DE LÍNEA DE DRENAJE EN LA CALLE INVIERNO ENTRE CALLES FRANCISCO VILLA Y 20 DE NOVIEMBRE”  EN LA CABECERA MUNICIPAL DE JOCOTEPEC, JALISCO.</v>
      </c>
      <c r="K413" s="3" t="s">
        <v>2178</v>
      </c>
      <c r="L413" s="173" t="s">
        <v>4747</v>
      </c>
      <c r="M413" s="173" t="s">
        <v>6272</v>
      </c>
      <c r="N413" s="3" t="s">
        <v>1975</v>
      </c>
      <c r="O413" s="466" t="s">
        <v>3496</v>
      </c>
      <c r="P413" s="4">
        <f>OBRA!R411</f>
        <v>269609.8</v>
      </c>
      <c r="Q413" s="1023">
        <f t="shared" si="24"/>
        <v>232422.24137931035</v>
      </c>
      <c r="R413" s="1023"/>
      <c r="S413" s="6">
        <f>OBRA!S411</f>
        <v>43754</v>
      </c>
      <c r="T413" s="1134">
        <f>OBRA!V411</f>
        <v>43753</v>
      </c>
      <c r="U413" s="5">
        <f>OBRA!T411</f>
        <v>43755</v>
      </c>
      <c r="V413" s="11">
        <f>OBRA!U411</f>
        <v>43799</v>
      </c>
      <c r="W413" s="1020" t="s">
        <v>1428</v>
      </c>
      <c r="X413" s="278">
        <f>OBRA!AS411+OBRA!AT411</f>
        <v>295953.42</v>
      </c>
      <c r="Y413" s="1018" t="s">
        <v>2790</v>
      </c>
      <c r="Z413" s="146" t="str">
        <f>OBRA!W411</f>
        <v>GRUPO CONSTRUCTOR HORUS, S.A. DE C.V.</v>
      </c>
      <c r="AA413" s="146" t="s">
        <v>5666</v>
      </c>
      <c r="AB413" s="148" t="s">
        <v>2179</v>
      </c>
      <c r="AC413" s="148" t="s">
        <v>2180</v>
      </c>
      <c r="AD413" s="146" t="s">
        <v>2764</v>
      </c>
      <c r="AE413" s="183" t="str">
        <f>OBRA!X411</f>
        <v>ING. J. GUADALUPE IBARRA RAMIREZ</v>
      </c>
      <c r="AF413" s="19">
        <v>156</v>
      </c>
      <c r="AG413" s="2" t="s">
        <v>1451</v>
      </c>
      <c r="AH413" s="615">
        <f t="shared" si="23"/>
        <v>1897.1373076923076</v>
      </c>
      <c r="AI413" s="2">
        <v>100</v>
      </c>
      <c r="AJ413" s="513">
        <v>5000</v>
      </c>
      <c r="AK413" s="513"/>
      <c r="AL413" s="1513"/>
      <c r="AM413" s="1514"/>
      <c r="AN413" s="1277" t="s">
        <v>3719</v>
      </c>
      <c r="AO413" s="1261" t="s">
        <v>3719</v>
      </c>
      <c r="AP413" s="1302" t="s">
        <v>3719</v>
      </c>
      <c r="AQ413" s="1261" t="s">
        <v>3719</v>
      </c>
      <c r="AR413" s="1239"/>
      <c r="AS413" s="1297" t="s">
        <v>3719</v>
      </c>
    </row>
    <row r="414" spans="1:46" ht="88.5" hidden="1" customHeight="1">
      <c r="A414" s="16">
        <f>OBRA!J412</f>
        <v>2019</v>
      </c>
      <c r="B414" s="783" t="s">
        <v>2094</v>
      </c>
      <c r="C414" s="783">
        <v>196.29</v>
      </c>
      <c r="D414" s="783"/>
      <c r="E414" s="2" t="str">
        <f>OBRA!M412</f>
        <v>RAMO 33</v>
      </c>
      <c r="F414" s="156" t="s">
        <v>1428</v>
      </c>
      <c r="G414" s="156" t="s">
        <v>2206</v>
      </c>
      <c r="H414" s="12" t="str">
        <f>OBRA!N412</f>
        <v>GMJ 029 C-OP/2019</v>
      </c>
      <c r="I414" s="2" t="str">
        <f>OBRA!O412</f>
        <v>ADJUDICACIÓN DIRECTA</v>
      </c>
      <c r="J414" s="3" t="str">
        <f>OBRA!P412</f>
        <v>“REHABILITACIÓN DE RED DE AGUA POTABLE EN CALLE INVIERNO ENTRE CALLES FRANCISCO VILLA Y 20 DE NOVIEMBRE”  EN LA CABECERA MUNICIPAL DE JOCOTEPEC, JALISCO.</v>
      </c>
      <c r="K414" s="3" t="s">
        <v>2181</v>
      </c>
      <c r="L414" s="173" t="s">
        <v>4745</v>
      </c>
      <c r="M414" s="173" t="s">
        <v>6272</v>
      </c>
      <c r="N414" s="3" t="s">
        <v>1975</v>
      </c>
      <c r="O414" s="466" t="s">
        <v>3496</v>
      </c>
      <c r="P414" s="4">
        <f>OBRA!R412</f>
        <v>104875.19</v>
      </c>
      <c r="Q414" s="1023">
        <f t="shared" si="24"/>
        <v>90409.646551724145</v>
      </c>
      <c r="R414" s="1023"/>
      <c r="S414" s="6">
        <f>OBRA!S412</f>
        <v>43754</v>
      </c>
      <c r="T414" s="1134">
        <f>OBRA!V412</f>
        <v>43753</v>
      </c>
      <c r="U414" s="5">
        <f>OBRA!T412</f>
        <v>43762</v>
      </c>
      <c r="V414" s="11">
        <f>OBRA!U412</f>
        <v>43799</v>
      </c>
      <c r="W414" s="1020" t="s">
        <v>1428</v>
      </c>
      <c r="X414" s="278">
        <f>OBRA!AS412+OBRA!AT412</f>
        <v>104872.2</v>
      </c>
      <c r="Y414" s="1105" t="s">
        <v>2791</v>
      </c>
      <c r="Z414" s="146" t="str">
        <f>OBRA!W412</f>
        <v>GRUPO CONSTRUCTOR HORUS, S.A. DE C.V.</v>
      </c>
      <c r="AA414" s="146" t="s">
        <v>5666</v>
      </c>
      <c r="AB414" s="148" t="s">
        <v>2179</v>
      </c>
      <c r="AC414" s="148" t="s">
        <v>2180</v>
      </c>
      <c r="AD414" s="146" t="s">
        <v>2764</v>
      </c>
      <c r="AE414" s="183" t="str">
        <f>OBRA!X412</f>
        <v>ING. J. GUADALUPE IBARRA RAMIREZ</v>
      </c>
      <c r="AF414" s="19">
        <v>156</v>
      </c>
      <c r="AG414" s="2" t="s">
        <v>1451</v>
      </c>
      <c r="AH414" s="615">
        <f t="shared" si="23"/>
        <v>672.25769230769231</v>
      </c>
      <c r="AI414" s="2">
        <v>100</v>
      </c>
      <c r="AJ414" s="513">
        <v>5000</v>
      </c>
      <c r="AK414" s="513"/>
      <c r="AL414" s="1513"/>
      <c r="AM414" s="1514"/>
      <c r="AN414" s="1277" t="s">
        <v>3720</v>
      </c>
      <c r="AO414" s="1261" t="s">
        <v>3720</v>
      </c>
      <c r="AP414" s="1289" t="s">
        <v>3720</v>
      </c>
      <c r="AQ414" s="1261" t="s">
        <v>3720</v>
      </c>
      <c r="AR414" s="1239"/>
      <c r="AS414" s="1297" t="s">
        <v>3720</v>
      </c>
    </row>
    <row r="415" spans="1:46" ht="84.75" hidden="1" customHeight="1">
      <c r="A415" s="16">
        <f>OBRA!J413</f>
        <v>2019</v>
      </c>
      <c r="B415" s="783" t="s">
        <v>2094</v>
      </c>
      <c r="C415" s="783">
        <v>196.3</v>
      </c>
      <c r="D415" s="783"/>
      <c r="E415" s="2" t="str">
        <f>OBRA!M413</f>
        <v>RAMO 33</v>
      </c>
      <c r="F415" s="156" t="s">
        <v>1428</v>
      </c>
      <c r="G415" s="156" t="s">
        <v>2206</v>
      </c>
      <c r="H415" s="12" t="str">
        <f>OBRA!N413</f>
        <v>GMJ 030 C-OP/2019</v>
      </c>
      <c r="I415" s="2" t="str">
        <f>OBRA!O413</f>
        <v>ADJUDICACIÓN DIRECTA</v>
      </c>
      <c r="J415" s="3" t="str">
        <f>OBRA!P413</f>
        <v>“FABRICACIÓN DE EMPEDRADO AHOGADO EN CEMENTO  EN CALLE INVIERNO ENTRE CALLES FRANCISCO VILLA Y 20 DE NOVIEMBRE” EN LA CABECERA MUNICIPAL DE JOCOTEPEC, JALISCO</v>
      </c>
      <c r="K415" s="3" t="s">
        <v>2177</v>
      </c>
      <c r="L415" s="173" t="s">
        <v>4752</v>
      </c>
      <c r="M415" s="173" t="s">
        <v>6272</v>
      </c>
      <c r="N415" s="3" t="s">
        <v>1975</v>
      </c>
      <c r="O415" s="466" t="s">
        <v>3496</v>
      </c>
      <c r="P415" s="4">
        <f>OBRA!R413</f>
        <v>702979.49</v>
      </c>
      <c r="Q415" s="1023">
        <f t="shared" si="24"/>
        <v>606016.80172413797</v>
      </c>
      <c r="R415" s="1023"/>
      <c r="S415" s="6">
        <f>OBRA!S413</f>
        <v>43754</v>
      </c>
      <c r="T415" s="1134">
        <f>OBRA!V413</f>
        <v>43753</v>
      </c>
      <c r="U415" s="5">
        <f>OBRA!T413</f>
        <v>43762</v>
      </c>
      <c r="V415" s="11">
        <f>OBRA!U413</f>
        <v>43799</v>
      </c>
      <c r="W415" s="1020" t="s">
        <v>1428</v>
      </c>
      <c r="X415" s="278">
        <f>OBRA!AS413+OBRA!AT413</f>
        <v>745742.71</v>
      </c>
      <c r="Y415" s="1018" t="s">
        <v>2792</v>
      </c>
      <c r="Z415" s="146" t="str">
        <f>OBRA!W413</f>
        <v>GRUPO CONSTRUCTOR HORUS, S.A. DE C.V.</v>
      </c>
      <c r="AA415" s="146" t="s">
        <v>5666</v>
      </c>
      <c r="AB415" s="148" t="s">
        <v>2179</v>
      </c>
      <c r="AC415" s="148" t="s">
        <v>2180</v>
      </c>
      <c r="AD415" s="146" t="s">
        <v>2764</v>
      </c>
      <c r="AE415" s="183" t="str">
        <f>OBRA!X413</f>
        <v>ING. J. GUADALUPE IBARRA RAMIREZ</v>
      </c>
      <c r="AF415" s="19">
        <v>984</v>
      </c>
      <c r="AG415" s="2" t="s">
        <v>1548</v>
      </c>
      <c r="AH415" s="615">
        <f t="shared" si="23"/>
        <v>757.86860772357716</v>
      </c>
      <c r="AI415" s="2">
        <v>100</v>
      </c>
      <c r="AJ415" s="513">
        <v>5000</v>
      </c>
      <c r="AK415" s="513"/>
      <c r="AL415" s="1522">
        <v>20.292999999999999</v>
      </c>
      <c r="AM415" s="1523">
        <v>103.437515</v>
      </c>
      <c r="AN415" s="1223" t="s">
        <v>3840</v>
      </c>
      <c r="AO415" s="1223" t="s">
        <v>3840</v>
      </c>
      <c r="AP415" s="1223" t="s">
        <v>3840</v>
      </c>
      <c r="AQ415" s="1277" t="s">
        <v>3840</v>
      </c>
      <c r="AR415" s="1224"/>
      <c r="AS415" s="1297" t="s">
        <v>3840</v>
      </c>
    </row>
    <row r="416" spans="1:46" ht="52.5" hidden="1" customHeight="1">
      <c r="A416" s="16">
        <f>OBRA!J414</f>
        <v>2019</v>
      </c>
      <c r="B416" s="783" t="s">
        <v>2094</v>
      </c>
      <c r="C416" s="783">
        <v>196.31</v>
      </c>
      <c r="D416" s="783"/>
      <c r="E416" s="2" t="str">
        <f>OBRA!M414</f>
        <v>RAMO 33</v>
      </c>
      <c r="F416" s="156" t="s">
        <v>1428</v>
      </c>
      <c r="G416" s="156" t="s">
        <v>2206</v>
      </c>
      <c r="H416" s="12" t="str">
        <f>OBRA!N414</f>
        <v>GMJ 031 C-OP/2019</v>
      </c>
      <c r="I416" s="2" t="str">
        <f>OBRA!O414</f>
        <v>ADJUDICACIÓN DIRECTA</v>
      </c>
      <c r="J416" s="3" t="str">
        <f>OBRA!P414</f>
        <v>"CONSTRUCCIÓN DE BANQUETAS EN CALLE MORELOS DELEGACIÓN DE CHANTEPEC MUNICIPIO DE JOCOTEPEC, JALISCO".</v>
      </c>
      <c r="K416" s="3" t="s">
        <v>2877</v>
      </c>
      <c r="L416" s="3" t="s">
        <v>4748</v>
      </c>
      <c r="M416" s="3" t="s">
        <v>6302</v>
      </c>
      <c r="N416" s="3" t="s">
        <v>2538</v>
      </c>
      <c r="O416" s="466" t="s">
        <v>3497</v>
      </c>
      <c r="P416" s="4">
        <f>OBRA!R414</f>
        <v>311860.06</v>
      </c>
      <c r="Q416" s="1023">
        <f t="shared" si="24"/>
        <v>268844.87931034487</v>
      </c>
      <c r="R416" s="1023"/>
      <c r="S416" s="6">
        <f>OBRA!S414</f>
        <v>43754</v>
      </c>
      <c r="T416" s="1134">
        <f>OBRA!V414</f>
        <v>43753</v>
      </c>
      <c r="U416" s="5">
        <f>OBRA!T414</f>
        <v>43759</v>
      </c>
      <c r="V416" s="11">
        <f>OBRA!U414</f>
        <v>43790</v>
      </c>
      <c r="W416" s="1020" t="s">
        <v>1428</v>
      </c>
      <c r="X416" s="278">
        <f>OBRA!AS414+OBRA!AT414</f>
        <v>317393.01</v>
      </c>
      <c r="Y416" s="1105" t="s">
        <v>2793</v>
      </c>
      <c r="Z416" s="146" t="str">
        <f>OBRA!W414</f>
        <v>CONSTRUCTORA PIMONT S.A. DE C.V.</v>
      </c>
      <c r="AA416" s="146" t="s">
        <v>5666</v>
      </c>
      <c r="AB416" s="148" t="s">
        <v>1833</v>
      </c>
      <c r="AC416" s="148" t="s">
        <v>2135</v>
      </c>
      <c r="AD416" s="146" t="s">
        <v>2756</v>
      </c>
      <c r="AE416" s="183" t="str">
        <f>OBRA!X414</f>
        <v>LIC. SALVADOR CONTRERAS OLGUÍN</v>
      </c>
      <c r="AF416" s="19">
        <v>71.27</v>
      </c>
      <c r="AG416" s="2" t="s">
        <v>1548</v>
      </c>
      <c r="AH416" s="615">
        <f t="shared" si="23"/>
        <v>4453.3886628314867</v>
      </c>
      <c r="AI416" s="2">
        <v>2000</v>
      </c>
      <c r="AJ416" s="513">
        <v>2000</v>
      </c>
      <c r="AK416" s="513"/>
      <c r="AL416" s="1513"/>
      <c r="AM416" s="1514"/>
      <c r="AN416" s="1298" t="s">
        <v>3721</v>
      </c>
      <c r="AO416" s="1298" t="s">
        <v>3721</v>
      </c>
      <c r="AP416" s="1277" t="s">
        <v>3721</v>
      </c>
      <c r="AQ416" s="1298" t="s">
        <v>3721</v>
      </c>
      <c r="AR416" s="1238"/>
      <c r="AS416" s="1297" t="s">
        <v>3721</v>
      </c>
    </row>
    <row r="417" spans="1:45" s="104" customFormat="1" ht="51" hidden="1" customHeight="1">
      <c r="A417" s="82">
        <f>OBRA!J415</f>
        <v>2019</v>
      </c>
      <c r="B417" s="784" t="s">
        <v>2094</v>
      </c>
      <c r="C417" s="784">
        <v>196.32</v>
      </c>
      <c r="D417" s="784"/>
      <c r="E417" s="85">
        <f>OBRA!M415</f>
        <v>0</v>
      </c>
      <c r="F417" s="514" t="s">
        <v>1428</v>
      </c>
      <c r="G417" s="575"/>
      <c r="H417" s="103" t="str">
        <f>OBRA!N415</f>
        <v>GMJ 032 C-OP/2019</v>
      </c>
      <c r="I417" s="85" t="str">
        <f>OBRA!O415</f>
        <v>CANCELADA</v>
      </c>
      <c r="J417" s="125">
        <f>OBRA!P415</f>
        <v>0</v>
      </c>
      <c r="K417" s="125" t="s">
        <v>68</v>
      </c>
      <c r="L417" s="125"/>
      <c r="M417" s="125" t="s">
        <v>68</v>
      </c>
      <c r="N417" s="125" t="s">
        <v>68</v>
      </c>
      <c r="O417" s="541"/>
      <c r="P417" s="86">
        <f>OBRA!R415</f>
        <v>0</v>
      </c>
      <c r="Q417" s="1023">
        <f t="shared" si="24"/>
        <v>0</v>
      </c>
      <c r="R417" s="1023"/>
      <c r="S417" s="87">
        <f>OBRA!S415</f>
        <v>0</v>
      </c>
      <c r="T417" s="1134">
        <f>OBRA!V415</f>
        <v>0</v>
      </c>
      <c r="U417" s="88">
        <f>OBRA!T415</f>
        <v>0</v>
      </c>
      <c r="V417" s="89">
        <f>OBRA!U415</f>
        <v>0</v>
      </c>
      <c r="W417" s="1022" t="s">
        <v>68</v>
      </c>
      <c r="X417" s="821">
        <f>OBRA!AS415+OBRA!AT415</f>
        <v>0</v>
      </c>
      <c r="Y417" s="1016" t="s">
        <v>68</v>
      </c>
      <c r="Z417" s="147">
        <f>OBRA!W415</f>
        <v>0</v>
      </c>
      <c r="AA417" s="147" t="s">
        <v>68</v>
      </c>
      <c r="AB417" s="149" t="s">
        <v>68</v>
      </c>
      <c r="AC417" s="147" t="s">
        <v>68</v>
      </c>
      <c r="AD417" s="85" t="s">
        <v>68</v>
      </c>
      <c r="AE417" s="184">
        <f>OBRA!X415</f>
        <v>0</v>
      </c>
      <c r="AF417" s="84">
        <v>1</v>
      </c>
      <c r="AG417" s="85"/>
      <c r="AH417" s="184">
        <f t="shared" si="23"/>
        <v>0</v>
      </c>
      <c r="AI417" s="85">
        <v>0</v>
      </c>
      <c r="AJ417" s="514"/>
      <c r="AK417" s="514"/>
      <c r="AL417" s="1515"/>
      <c r="AM417" s="1516"/>
      <c r="AN417" s="573"/>
      <c r="AO417" s="816" t="s">
        <v>68</v>
      </c>
      <c r="AP417" s="816" t="s">
        <v>68</v>
      </c>
      <c r="AQ417" s="421" t="s">
        <v>68</v>
      </c>
      <c r="AR417" s="514"/>
      <c r="AS417" s="83" t="s">
        <v>68</v>
      </c>
    </row>
    <row r="418" spans="1:45" s="104" customFormat="1" ht="51" hidden="1" customHeight="1">
      <c r="A418" s="82">
        <f>OBRA!J416</f>
        <v>2019</v>
      </c>
      <c r="B418" s="784" t="s">
        <v>2094</v>
      </c>
      <c r="C418" s="784">
        <v>196.33</v>
      </c>
      <c r="D418" s="784"/>
      <c r="E418" s="85">
        <f>OBRA!M416</f>
        <v>0</v>
      </c>
      <c r="F418" s="514" t="s">
        <v>1428</v>
      </c>
      <c r="G418" s="575"/>
      <c r="H418" s="103" t="str">
        <f>OBRA!N416</f>
        <v>GMJ 033 C-OP/2019</v>
      </c>
      <c r="I418" s="85" t="str">
        <f>OBRA!O416</f>
        <v>CANCELADA</v>
      </c>
      <c r="J418" s="125">
        <f>OBRA!P416</f>
        <v>0</v>
      </c>
      <c r="K418" s="125" t="s">
        <v>68</v>
      </c>
      <c r="L418" s="125"/>
      <c r="M418" s="125" t="s">
        <v>68</v>
      </c>
      <c r="N418" s="125" t="s">
        <v>68</v>
      </c>
      <c r="O418" s="541"/>
      <c r="P418" s="86">
        <f>OBRA!R416</f>
        <v>0</v>
      </c>
      <c r="Q418" s="1023">
        <f t="shared" si="24"/>
        <v>0</v>
      </c>
      <c r="R418" s="1023"/>
      <c r="S418" s="87">
        <f>OBRA!S416</f>
        <v>0</v>
      </c>
      <c r="T418" s="1134">
        <f>OBRA!V416</f>
        <v>0</v>
      </c>
      <c r="U418" s="88">
        <f>OBRA!T416</f>
        <v>0</v>
      </c>
      <c r="V418" s="89">
        <f>OBRA!U416</f>
        <v>0</v>
      </c>
      <c r="W418" s="1022" t="s">
        <v>68</v>
      </c>
      <c r="X418" s="821">
        <f>OBRA!AS416+OBRA!AT416</f>
        <v>0</v>
      </c>
      <c r="Y418" s="1016" t="s">
        <v>68</v>
      </c>
      <c r="Z418" s="147">
        <f>OBRA!W416</f>
        <v>0</v>
      </c>
      <c r="AA418" s="147" t="s">
        <v>68</v>
      </c>
      <c r="AB418" s="149" t="s">
        <v>68</v>
      </c>
      <c r="AC418" s="147" t="s">
        <v>68</v>
      </c>
      <c r="AD418" s="149" t="s">
        <v>68</v>
      </c>
      <c r="AE418" s="184">
        <f>OBRA!X416</f>
        <v>0</v>
      </c>
      <c r="AF418" s="84">
        <v>1</v>
      </c>
      <c r="AG418" s="85"/>
      <c r="AH418" s="184">
        <f t="shared" si="23"/>
        <v>0</v>
      </c>
      <c r="AI418" s="85">
        <v>0</v>
      </c>
      <c r="AJ418" s="514"/>
      <c r="AK418" s="514"/>
      <c r="AL418" s="1515"/>
      <c r="AM418" s="1516"/>
      <c r="AN418" s="573"/>
      <c r="AO418" s="816" t="s">
        <v>68</v>
      </c>
      <c r="AP418" s="816" t="s">
        <v>68</v>
      </c>
      <c r="AQ418" s="421" t="s">
        <v>68</v>
      </c>
      <c r="AR418" s="514"/>
      <c r="AS418" s="83" t="s">
        <v>68</v>
      </c>
    </row>
    <row r="419" spans="1:45" ht="77.25" hidden="1" customHeight="1">
      <c r="A419" s="16">
        <f>OBRA!J417</f>
        <v>2019</v>
      </c>
      <c r="B419" s="783" t="s">
        <v>2094</v>
      </c>
      <c r="C419" s="783">
        <v>196.34</v>
      </c>
      <c r="D419" s="783"/>
      <c r="E419" s="2" t="str">
        <f>OBRA!M417</f>
        <v>RAMO 33</v>
      </c>
      <c r="F419" s="156" t="s">
        <v>1428</v>
      </c>
      <c r="G419" s="156" t="s">
        <v>2206</v>
      </c>
      <c r="H419" s="12" t="str">
        <f>OBRA!N417</f>
        <v>GMJ 034 C-OP/2019</v>
      </c>
      <c r="I419" s="2" t="str">
        <f>OBRA!O417</f>
        <v>ADJUDICACIÓN DIRECTA</v>
      </c>
      <c r="J419" s="3" t="str">
        <f>OBRA!P417</f>
        <v xml:space="preserve">"CONSTRUCCIÓN DE RED DE DRENAJE SANITARIO, 2DA. ETAPA EN PRIVADA ZARAGOZA DE CALLE ZARAGOZA A CERRADA DELEGACIÓN DE SAN JUAN COSALA MUNICIPIO DE JOCOTEPEC, JALISCO". </v>
      </c>
      <c r="K419" s="3" t="s">
        <v>2168</v>
      </c>
      <c r="L419" s="173" t="s">
        <v>4747</v>
      </c>
      <c r="M419" s="173" t="s">
        <v>6289</v>
      </c>
      <c r="N419" s="173" t="s">
        <v>2524</v>
      </c>
      <c r="O419" s="466" t="s">
        <v>3497</v>
      </c>
      <c r="P419" s="4">
        <f>OBRA!R417</f>
        <v>82700.09</v>
      </c>
      <c r="Q419" s="1023">
        <f t="shared" si="24"/>
        <v>71293.181034482754</v>
      </c>
      <c r="R419" s="1023"/>
      <c r="S419" s="6">
        <f>OBRA!S417</f>
        <v>43754</v>
      </c>
      <c r="T419" s="1134">
        <f>OBRA!V417</f>
        <v>43753</v>
      </c>
      <c r="U419" s="5">
        <f>OBRA!T417</f>
        <v>43755</v>
      </c>
      <c r="V419" s="11">
        <f>OBRA!U417</f>
        <v>43767</v>
      </c>
      <c r="W419" s="1020" t="s">
        <v>1428</v>
      </c>
      <c r="X419" s="278">
        <f>OBRA!AS417+OBRA!AT417</f>
        <v>82700.08</v>
      </c>
      <c r="Y419" s="1018" t="s">
        <v>2794</v>
      </c>
      <c r="Z419" s="146" t="str">
        <f>OBRA!W417</f>
        <v>INGENIERÍA ARQUITECTURA MENDPAD S.A. DE C.V.</v>
      </c>
      <c r="AA419" s="146" t="s">
        <v>5666</v>
      </c>
      <c r="AB419" s="148" t="s">
        <v>2158</v>
      </c>
      <c r="AC419" s="2" t="s">
        <v>2140</v>
      </c>
      <c r="AD419" s="146" t="s">
        <v>2760</v>
      </c>
      <c r="AE419" s="183" t="str">
        <f>OBRA!X417</f>
        <v>LIC. SALVADOR CONTRERAS OLGUÍN</v>
      </c>
      <c r="AF419" s="19">
        <v>55</v>
      </c>
      <c r="AG419" s="2" t="s">
        <v>1451</v>
      </c>
      <c r="AH419" s="615">
        <f t="shared" si="23"/>
        <v>1503.6378181818181</v>
      </c>
      <c r="AI419" s="2">
        <v>80</v>
      </c>
      <c r="AJ419" s="513">
        <v>80</v>
      </c>
      <c r="AK419" s="513"/>
      <c r="AL419" s="1513"/>
      <c r="AM419" s="1514"/>
      <c r="AN419" s="1277" t="s">
        <v>3722</v>
      </c>
      <c r="AO419" s="1277" t="s">
        <v>3722</v>
      </c>
      <c r="AP419" s="1277" t="s">
        <v>3722</v>
      </c>
      <c r="AQ419" s="1277" t="s">
        <v>3722</v>
      </c>
      <c r="AR419" s="1224"/>
      <c r="AS419" s="1297" t="s">
        <v>3722</v>
      </c>
    </row>
    <row r="420" spans="1:45" ht="85.5" hidden="1" customHeight="1">
      <c r="A420" s="16">
        <f>OBRA!J418</f>
        <v>2019</v>
      </c>
      <c r="B420" s="783" t="s">
        <v>2094</v>
      </c>
      <c r="C420" s="783">
        <v>196.35</v>
      </c>
      <c r="D420" s="783"/>
      <c r="E420" s="2" t="str">
        <f>OBRA!M418</f>
        <v>RAMO 33</v>
      </c>
      <c r="F420" s="156" t="s">
        <v>1428</v>
      </c>
      <c r="G420" s="156" t="s">
        <v>2206</v>
      </c>
      <c r="H420" s="12" t="str">
        <f>OBRA!N418</f>
        <v>GMJ 035 C-OP/2019</v>
      </c>
      <c r="I420" s="2" t="str">
        <f>OBRA!O418</f>
        <v>ADJUDICACIÓN DIRECTA</v>
      </c>
      <c r="J420" s="3" t="str">
        <f>OBRA!P418</f>
        <v>"REHABILITACIÓN DE LÍNEA DE DRENAJE EN CALLE VERANO ENTRE CALLES NIÑOS HÉROES Y LÓPEZ RAYÓN CABECERA MUNICIPAL DE JOCOTEPEC, JALISCO".</v>
      </c>
      <c r="K420" s="3" t="s">
        <v>2168</v>
      </c>
      <c r="L420" s="173" t="s">
        <v>4752</v>
      </c>
      <c r="M420" s="173" t="s">
        <v>6275</v>
      </c>
      <c r="N420" s="3" t="s">
        <v>1975</v>
      </c>
      <c r="O420" s="466" t="s">
        <v>3497</v>
      </c>
      <c r="P420" s="4">
        <f>OBRA!R418</f>
        <v>118488.2</v>
      </c>
      <c r="Q420" s="1023">
        <f t="shared" si="24"/>
        <v>102145</v>
      </c>
      <c r="R420" s="1023"/>
      <c r="S420" s="6">
        <f>OBRA!S418</f>
        <v>43794</v>
      </c>
      <c r="T420" s="1134">
        <f>OBRA!V418</f>
        <v>43794</v>
      </c>
      <c r="U420" s="5">
        <f>OBRA!T418</f>
        <v>43795</v>
      </c>
      <c r="V420" s="11">
        <f>OBRA!U418</f>
        <v>43813</v>
      </c>
      <c r="W420" s="1020" t="s">
        <v>1428</v>
      </c>
      <c r="X420" s="278">
        <f>OBRA!AS418+OBRA!AT418</f>
        <v>117816.14</v>
      </c>
      <c r="Y420" s="1018" t="s">
        <v>2795</v>
      </c>
      <c r="Z420" s="146" t="str">
        <f>OBRA!W418</f>
        <v>INGENIERÍA ARQUITECTURA MENDPAD S.A. DE C.V.</v>
      </c>
      <c r="AA420" s="146" t="s">
        <v>5666</v>
      </c>
      <c r="AB420" s="148" t="s">
        <v>2158</v>
      </c>
      <c r="AC420" s="148" t="s">
        <v>2140</v>
      </c>
      <c r="AD420" s="146" t="s">
        <v>2760</v>
      </c>
      <c r="AE420" s="183" t="str">
        <f>OBRA!X418</f>
        <v>LIC. SALVADOR CONTRERAS OLGUÍN</v>
      </c>
      <c r="AF420" s="19">
        <v>42</v>
      </c>
      <c r="AG420" s="2" t="s">
        <v>1451</v>
      </c>
      <c r="AH420" s="615">
        <f t="shared" si="23"/>
        <v>2805.1461904761904</v>
      </c>
      <c r="AI420" s="2">
        <v>100</v>
      </c>
      <c r="AJ420" s="513">
        <v>1000</v>
      </c>
      <c r="AK420" s="513"/>
      <c r="AL420" s="1513"/>
      <c r="AM420" s="1514"/>
      <c r="AN420" s="1277" t="s">
        <v>3723</v>
      </c>
      <c r="AO420" s="1277" t="s">
        <v>3723</v>
      </c>
      <c r="AP420" s="1277" t="s">
        <v>3723</v>
      </c>
      <c r="AQ420" s="1277" t="s">
        <v>3723</v>
      </c>
      <c r="AR420" s="1224"/>
      <c r="AS420" s="1297" t="s">
        <v>3723</v>
      </c>
    </row>
    <row r="421" spans="1:45" ht="86.25" hidden="1" customHeight="1">
      <c r="A421" s="16">
        <f>OBRA!J419</f>
        <v>2019</v>
      </c>
      <c r="B421" s="783" t="s">
        <v>2094</v>
      </c>
      <c r="C421" s="783">
        <v>196.36</v>
      </c>
      <c r="D421" s="783"/>
      <c r="E421" s="2" t="str">
        <f>OBRA!M419</f>
        <v>RAMO 33</v>
      </c>
      <c r="F421" s="156" t="s">
        <v>1428</v>
      </c>
      <c r="G421" s="156" t="s">
        <v>2206</v>
      </c>
      <c r="H421" s="12" t="str">
        <f>OBRA!N419</f>
        <v>GMJ 036 C-OP/2019</v>
      </c>
      <c r="I421" s="2" t="str">
        <f>OBRA!O419</f>
        <v>ADJUDICACIÓN DIRECTA</v>
      </c>
      <c r="J421" s="3" t="str">
        <f>OBRA!P419</f>
        <v>"CONSTRUCCIÓN DE EMPEDRADO AHOGADO EN CEMENTO EN CALLE VERANO ENTRE NIÑOS HÉROES Y EMPEDRADO EXISTENTE CABECERA MUNICIPAL DE JOCOTEPEC, JALISCO".</v>
      </c>
      <c r="K421" s="3" t="s">
        <v>2177</v>
      </c>
      <c r="L421" s="173" t="s">
        <v>4752</v>
      </c>
      <c r="M421" s="173" t="s">
        <v>6275</v>
      </c>
      <c r="N421" s="3" t="s">
        <v>1975</v>
      </c>
      <c r="O421" s="466" t="s">
        <v>3497</v>
      </c>
      <c r="P421" s="4">
        <f>OBRA!R419</f>
        <v>267068.21999999997</v>
      </c>
      <c r="Q421" s="1023">
        <f t="shared" si="24"/>
        <v>230231.22413793101</v>
      </c>
      <c r="R421" s="1023"/>
      <c r="S421" s="6">
        <f>OBRA!S419</f>
        <v>43794</v>
      </c>
      <c r="T421" s="1134">
        <f>OBRA!V419</f>
        <v>43794</v>
      </c>
      <c r="U421" s="5">
        <f>OBRA!T419</f>
        <v>43801</v>
      </c>
      <c r="V421" s="11">
        <f>OBRA!U419</f>
        <v>43830</v>
      </c>
      <c r="W421" s="1020" t="s">
        <v>1428</v>
      </c>
      <c r="X421" s="278">
        <f>OBRA!AS419+OBRA!AT419</f>
        <v>256679.4</v>
      </c>
      <c r="Y421" s="1018" t="s">
        <v>2796</v>
      </c>
      <c r="Z421" s="146" t="str">
        <f>OBRA!W419</f>
        <v>INGENIERÍA ARQUITECTURA MENDPAD S.A. DE C.V.</v>
      </c>
      <c r="AA421" s="146" t="s">
        <v>5666</v>
      </c>
      <c r="AB421" s="148" t="s">
        <v>2158</v>
      </c>
      <c r="AC421" s="148" t="s">
        <v>2140</v>
      </c>
      <c r="AD421" s="146" t="s">
        <v>2760</v>
      </c>
      <c r="AE421" s="183" t="str">
        <f>OBRA!X419</f>
        <v>LIC. SALVADOR CONTRERAS OLGUÍN</v>
      </c>
      <c r="AF421" s="19">
        <v>432</v>
      </c>
      <c r="AG421" s="2" t="s">
        <v>1548</v>
      </c>
      <c r="AH421" s="615">
        <f t="shared" si="23"/>
        <v>594.16527777777776</v>
      </c>
      <c r="AI421" s="2">
        <v>100</v>
      </c>
      <c r="AJ421" s="513">
        <v>5000</v>
      </c>
      <c r="AK421" s="513"/>
      <c r="AL421" s="1513"/>
      <c r="AM421" s="1514"/>
      <c r="AN421" s="1223" t="s">
        <v>3724</v>
      </c>
      <c r="AO421" s="1223" t="s">
        <v>3724</v>
      </c>
      <c r="AP421" s="1223" t="s">
        <v>3724</v>
      </c>
      <c r="AQ421" s="1277" t="s">
        <v>3724</v>
      </c>
      <c r="AR421" s="1224"/>
      <c r="AS421" s="1297" t="s">
        <v>3724</v>
      </c>
    </row>
    <row r="422" spans="1:45" ht="50.25" hidden="1" customHeight="1">
      <c r="A422" s="16">
        <f>OBRA!J420</f>
        <v>2019</v>
      </c>
      <c r="B422" s="783" t="s">
        <v>2094</v>
      </c>
      <c r="C422" s="783">
        <v>196.37</v>
      </c>
      <c r="D422" s="783"/>
      <c r="E422" s="510">
        <f>OBRA!M420</f>
        <v>0</v>
      </c>
      <c r="F422" s="574"/>
      <c r="G422" s="156" t="s">
        <v>2206</v>
      </c>
      <c r="H422" s="12" t="str">
        <f>OBRA!N420</f>
        <v>GMJ 037 C-OP/2019</v>
      </c>
      <c r="I422" s="510" t="str">
        <f>OBRA!O420</f>
        <v>CANCELADA</v>
      </c>
      <c r="J422" s="541">
        <f>OBRA!P420</f>
        <v>0</v>
      </c>
      <c r="K422" s="541"/>
      <c r="L422" s="1191"/>
      <c r="M422" s="1191"/>
      <c r="N422" s="541"/>
      <c r="O422" s="867"/>
      <c r="P422" s="4">
        <f>OBRA!R420</f>
        <v>0</v>
      </c>
      <c r="Q422" s="1023">
        <f t="shared" si="24"/>
        <v>0</v>
      </c>
      <c r="R422" s="1023"/>
      <c r="S422" s="195">
        <f>OBRA!S420</f>
        <v>0</v>
      </c>
      <c r="T422" s="1198">
        <f>OBRA!V420</f>
        <v>0</v>
      </c>
      <c r="U422" s="474">
        <f>OBRA!T420</f>
        <v>0</v>
      </c>
      <c r="V422" s="509">
        <f>OBRA!U420</f>
        <v>0</v>
      </c>
      <c r="W422" s="1432"/>
      <c r="X422" s="1015">
        <f>OBRA!AS420+OBRA!AT420</f>
        <v>0</v>
      </c>
      <c r="Y422" s="1017"/>
      <c r="Z422" s="163">
        <f>OBRA!W420</f>
        <v>0</v>
      </c>
      <c r="AA422" s="163" t="s">
        <v>68</v>
      </c>
      <c r="AB422" s="1169"/>
      <c r="AC422" s="1169"/>
      <c r="AD422" s="163"/>
      <c r="AE422" s="183">
        <f>OBRA!X420</f>
        <v>0</v>
      </c>
      <c r="AF422" s="161"/>
      <c r="AG422" s="510"/>
      <c r="AH422" s="634" t="e">
        <f t="shared" si="23"/>
        <v>#DIV/0!</v>
      </c>
      <c r="AI422" s="510"/>
      <c r="AJ422" s="506"/>
      <c r="AK422" s="506"/>
      <c r="AL422" s="635"/>
      <c r="AM422" s="1517"/>
      <c r="AN422" s="573"/>
      <c r="AO422" s="573"/>
      <c r="AP422" s="573"/>
      <c r="AQ422" s="1237"/>
      <c r="AR422" s="1539"/>
      <c r="AS422" s="1235"/>
    </row>
    <row r="423" spans="1:45" ht="102" hidden="1" customHeight="1">
      <c r="A423" s="16">
        <f>OBRA!J421</f>
        <v>2019</v>
      </c>
      <c r="B423" s="783" t="s">
        <v>2094</v>
      </c>
      <c r="C423" s="783">
        <v>196.38</v>
      </c>
      <c r="D423" s="1447" t="s">
        <v>4021</v>
      </c>
      <c r="E423" s="2" t="str">
        <f>OBRA!M421</f>
        <v>P.I.D.</v>
      </c>
      <c r="F423" s="156" t="s">
        <v>1428</v>
      </c>
      <c r="G423" s="156" t="s">
        <v>2206</v>
      </c>
      <c r="H423" s="12" t="str">
        <f>OBRA!N421</f>
        <v>GMJ 038 C-OP/2019</v>
      </c>
      <c r="I423" s="2" t="str">
        <f>OBRA!O421</f>
        <v>ADJUDICACIÓN DIRECTA</v>
      </c>
      <c r="J423" s="3" t="str">
        <f>OBRA!P421</f>
        <v>"CONSTRUCCIÓN DE PUERTO INOCUO DE DESEMBARQUE (P.I.D.) EN LA AGENCIA DE NEXTIPAC MUNICIPIO DE JOCOTEPEC, JALISCO.</v>
      </c>
      <c r="K423" s="1323" t="s">
        <v>3788</v>
      </c>
      <c r="L423" s="1786" t="s">
        <v>6246</v>
      </c>
      <c r="M423" s="173" t="s">
        <v>2878</v>
      </c>
      <c r="N423" s="173" t="s">
        <v>2577</v>
      </c>
      <c r="O423" s="466" t="s">
        <v>3497</v>
      </c>
      <c r="P423" s="4">
        <f>OBRA!R421</f>
        <v>875313.77</v>
      </c>
      <c r="Q423" s="1023">
        <f t="shared" si="24"/>
        <v>754580.83620689658</v>
      </c>
      <c r="R423" s="1023"/>
      <c r="S423" s="6">
        <f>OBRA!S421</f>
        <v>43783</v>
      </c>
      <c r="T423" s="1134">
        <f>OBRA!V421</f>
        <v>43782</v>
      </c>
      <c r="U423" s="5">
        <f>OBRA!T421</f>
        <v>43784</v>
      </c>
      <c r="V423" s="11">
        <f>OBRA!U421</f>
        <v>43829</v>
      </c>
      <c r="W423" s="1020" t="s">
        <v>1428</v>
      </c>
      <c r="X423" s="278">
        <f>OBRA!AS421+OBRA!AT421</f>
        <v>875309.47</v>
      </c>
      <c r="Y423" s="1018" t="s">
        <v>2879</v>
      </c>
      <c r="Z423" s="146" t="str">
        <f>OBRA!W421</f>
        <v>CONSTRUCTORA PIMONT S.A. DE C.V.</v>
      </c>
      <c r="AA423" s="146" t="s">
        <v>5666</v>
      </c>
      <c r="AB423" s="148" t="s">
        <v>1833</v>
      </c>
      <c r="AC423" s="148" t="s">
        <v>2135</v>
      </c>
      <c r="AD423" s="146" t="s">
        <v>2756</v>
      </c>
      <c r="AE423" s="183" t="str">
        <f>OBRA!X421</f>
        <v>LIC. SALVADOR CONTRERAS OLGUÍN</v>
      </c>
      <c r="AF423" s="19">
        <v>95.9</v>
      </c>
      <c r="AG423" s="2" t="s">
        <v>1548</v>
      </c>
      <c r="AH423" s="615">
        <f t="shared" si="23"/>
        <v>9127.3145985401443</v>
      </c>
      <c r="AI423" s="2">
        <v>300</v>
      </c>
      <c r="AJ423" s="513">
        <v>2000</v>
      </c>
      <c r="AK423" s="513"/>
      <c r="AL423" s="1513"/>
      <c r="AM423" s="1514"/>
      <c r="AN423" s="1223" t="s">
        <v>3725</v>
      </c>
      <c r="AO423" s="1223" t="s">
        <v>3725</v>
      </c>
      <c r="AP423" s="1223" t="s">
        <v>3725</v>
      </c>
      <c r="AQ423" s="1277" t="s">
        <v>3725</v>
      </c>
      <c r="AR423" s="1224"/>
      <c r="AS423" s="1297" t="s">
        <v>3725</v>
      </c>
    </row>
    <row r="424" spans="1:45" ht="57.75" hidden="1" customHeight="1">
      <c r="A424" s="16">
        <f>OBRA!J422</f>
        <v>2020</v>
      </c>
      <c r="B424" s="783" t="s">
        <v>2094</v>
      </c>
      <c r="C424" s="783">
        <v>200.03</v>
      </c>
      <c r="D424" s="783"/>
      <c r="E424" s="2" t="str">
        <f>OBRA!M422</f>
        <v>CEAJ / CUENTA CORRIENTE</v>
      </c>
      <c r="F424" s="605" t="s">
        <v>3522</v>
      </c>
      <c r="G424" s="156" t="s">
        <v>2861</v>
      </c>
      <c r="H424" s="412" t="str">
        <f>OBRA!N422</f>
        <v>CEAJ-PERF-002/2020</v>
      </c>
      <c r="I424" s="2" t="str">
        <f>OBRA!O422</f>
        <v>CONVENIO</v>
      </c>
      <c r="J424" s="3" t="str">
        <f>OBRA!P422</f>
        <v>CONVENIO PARA LA PERFORACIÓN DE UN POZO PROFUNDO PARA AGUA POTABLE</v>
      </c>
      <c r="K424" s="3" t="s">
        <v>4042</v>
      </c>
      <c r="L424" s="3"/>
      <c r="M424" s="683" t="s">
        <v>3975</v>
      </c>
      <c r="N424" s="683" t="s">
        <v>2663</v>
      </c>
      <c r="O424" s="504" t="s">
        <v>3522</v>
      </c>
      <c r="P424" s="4">
        <f>OBRA!R422</f>
        <v>962427.31</v>
      </c>
      <c r="Q424" s="1023">
        <f t="shared" si="24"/>
        <v>829678.71551724151</v>
      </c>
      <c r="R424" s="1023"/>
      <c r="S424" s="6">
        <f>OBRA!S422</f>
        <v>43943</v>
      </c>
      <c r="T424" s="1134" t="s">
        <v>1177</v>
      </c>
      <c r="U424" s="5" t="str">
        <f>OBRA!T422</f>
        <v>-</v>
      </c>
      <c r="V424" s="11" t="str">
        <f>OBRA!U422</f>
        <v>-</v>
      </c>
      <c r="W424" s="1195">
        <v>0</v>
      </c>
      <c r="X424" s="1197">
        <f>X431</f>
        <v>0</v>
      </c>
      <c r="Y424" s="1018" t="s">
        <v>68</v>
      </c>
      <c r="Z424" s="146" t="str">
        <f>OBRA!W422</f>
        <v>N/A</v>
      </c>
      <c r="AA424" s="146" t="s">
        <v>68</v>
      </c>
      <c r="AB424" s="148" t="str">
        <f t="shared" ref="AB424:AB456" si="25">Z424</f>
        <v>N/A</v>
      </c>
      <c r="AC424" s="148" t="s">
        <v>68</v>
      </c>
      <c r="AD424" s="1090" t="s">
        <v>1428</v>
      </c>
      <c r="AE424" s="183" t="str">
        <f>OBRA!X422</f>
        <v>N/A</v>
      </c>
      <c r="AF424" s="19">
        <v>1</v>
      </c>
      <c r="AG424" s="2" t="s">
        <v>1463</v>
      </c>
      <c r="AH424" s="615">
        <f t="shared" ref="AH424:AH429" si="26">P424/AF424</f>
        <v>962427.31</v>
      </c>
      <c r="AI424" s="2">
        <v>400</v>
      </c>
      <c r="AJ424" s="513">
        <v>400</v>
      </c>
      <c r="AK424" s="513"/>
      <c r="AL424" s="1513"/>
      <c r="AM424" s="1514"/>
      <c r="AN424" s="571" t="s">
        <v>3498</v>
      </c>
      <c r="AO424" s="1112" t="s">
        <v>68</v>
      </c>
      <c r="AP424" s="1112" t="s">
        <v>68</v>
      </c>
      <c r="AQ424" s="975" t="s">
        <v>68</v>
      </c>
      <c r="AR424" s="975"/>
      <c r="AS424" s="974" t="s">
        <v>68</v>
      </c>
    </row>
    <row r="425" spans="1:45" ht="56.25" hidden="1" customHeight="1">
      <c r="A425" s="16">
        <f>OBRA!J423</f>
        <v>2020</v>
      </c>
      <c r="B425" s="783" t="s">
        <v>2094</v>
      </c>
      <c r="C425" s="783">
        <v>200.04</v>
      </c>
      <c r="D425" s="783"/>
      <c r="E425" s="2" t="str">
        <f>OBRA!M423</f>
        <v>RESCATE AL PATRIMONIO</v>
      </c>
      <c r="F425" s="605" t="s">
        <v>3522</v>
      </c>
      <c r="G425" s="156" t="s">
        <v>2861</v>
      </c>
      <c r="H425" s="412" t="str">
        <f>OBRA!N423</f>
        <v>CULTURA 2020</v>
      </c>
      <c r="I425" s="2" t="str">
        <f>OBRA!O423</f>
        <v>CONVENIO</v>
      </c>
      <c r="J425" s="3" t="str">
        <f>OBRA!P423</f>
        <v>REMOZAMIENTO Y MEJORAMIENTO  DE IMAGEN URBANA DEL TEMPLO DEL SEÑOR DEL MONTE</v>
      </c>
      <c r="K425" s="3" t="s">
        <v>4043</v>
      </c>
      <c r="L425" s="3"/>
      <c r="M425" s="683" t="s">
        <v>3976</v>
      </c>
      <c r="N425" s="683" t="s">
        <v>2663</v>
      </c>
      <c r="O425" s="504" t="s">
        <v>3522</v>
      </c>
      <c r="P425" s="4">
        <f>OBRA!R423</f>
        <v>1600000</v>
      </c>
      <c r="Q425" s="1023">
        <f t="shared" si="24"/>
        <v>1379310.3448275863</v>
      </c>
      <c r="R425" s="1023"/>
      <c r="S425" s="6">
        <f>OBRA!S423</f>
        <v>44162</v>
      </c>
      <c r="T425" s="1134" t="s">
        <v>1177</v>
      </c>
      <c r="U425" s="5" t="str">
        <f>OBRA!T423</f>
        <v>-</v>
      </c>
      <c r="V425" s="11" t="str">
        <f>OBRA!U423</f>
        <v>-</v>
      </c>
      <c r="W425" s="1195">
        <v>0</v>
      </c>
      <c r="X425" s="1154">
        <v>1600000</v>
      </c>
      <c r="Y425" s="1018" t="s">
        <v>68</v>
      </c>
      <c r="Z425" s="146" t="str">
        <f>OBRA!W423</f>
        <v>N/A</v>
      </c>
      <c r="AA425" s="146" t="s">
        <v>68</v>
      </c>
      <c r="AB425" s="148" t="str">
        <f t="shared" si="25"/>
        <v>N/A</v>
      </c>
      <c r="AC425" s="148" t="s">
        <v>68</v>
      </c>
      <c r="AD425" s="1090" t="s">
        <v>1428</v>
      </c>
      <c r="AE425" s="183" t="str">
        <f>OBRA!X423</f>
        <v>N/A</v>
      </c>
      <c r="AF425" s="19">
        <v>2</v>
      </c>
      <c r="AG425" s="2" t="s">
        <v>3215</v>
      </c>
      <c r="AH425" s="615">
        <f t="shared" si="26"/>
        <v>800000</v>
      </c>
      <c r="AI425" s="2">
        <v>3600</v>
      </c>
      <c r="AJ425" s="513">
        <v>3600</v>
      </c>
      <c r="AK425" s="513"/>
      <c r="AL425" s="1513"/>
      <c r="AM425" s="1514"/>
      <c r="AN425" s="571" t="s">
        <v>3498</v>
      </c>
      <c r="AO425" s="1112" t="s">
        <v>68</v>
      </c>
      <c r="AP425" s="1112" t="s">
        <v>68</v>
      </c>
      <c r="AQ425" s="975" t="s">
        <v>68</v>
      </c>
      <c r="AR425" s="975"/>
      <c r="AS425" s="974" t="s">
        <v>68</v>
      </c>
    </row>
    <row r="426" spans="1:45" ht="78" hidden="1" customHeight="1">
      <c r="A426" s="16">
        <f>OBRA!J424</f>
        <v>2020</v>
      </c>
      <c r="B426" s="783" t="s">
        <v>2094</v>
      </c>
      <c r="C426" s="783">
        <v>200.06</v>
      </c>
      <c r="D426" s="783"/>
      <c r="E426" s="2" t="str">
        <f>OBRA!M424</f>
        <v>FOCOCI</v>
      </c>
      <c r="F426" s="605" t="s">
        <v>3522</v>
      </c>
      <c r="G426" s="156" t="s">
        <v>2861</v>
      </c>
      <c r="H426" s="412" t="str">
        <f>OBRA!N424</f>
        <v>FOCOCI 2020</v>
      </c>
      <c r="I426" s="2" t="str">
        <f>OBRA!O424</f>
        <v>CONVENIO</v>
      </c>
      <c r="J426" s="3" t="str">
        <f>OBRA!P424</f>
        <v>CONSTRUCCIÓN Y EQUIPAMIENTO DE PLAZA PRINCIPAL EN CHANTEPEC, MUNICIPIO DE JOCOTEPEC, JALISCO / INTERVENCIÓN Y RESTAURACIÓN DE MERCADO MUNICIPAL MORELOS, MUNICIPO DE JOCOTEPEC, JALISCO.</v>
      </c>
      <c r="K426" s="3" t="s">
        <v>4044</v>
      </c>
      <c r="L426" s="3"/>
      <c r="M426" s="683" t="s">
        <v>3977</v>
      </c>
      <c r="N426" s="683" t="s">
        <v>2575</v>
      </c>
      <c r="O426" s="504" t="s">
        <v>3522</v>
      </c>
      <c r="P426" s="79">
        <f>OBRA!R424</f>
        <v>20000000</v>
      </c>
      <c r="Q426" s="79">
        <f t="shared" si="24"/>
        <v>17241379.31034483</v>
      </c>
      <c r="R426" s="79"/>
      <c r="S426" s="67">
        <f>OBRA!S424</f>
        <v>44054</v>
      </c>
      <c r="T426" s="1134" t="s">
        <v>1177</v>
      </c>
      <c r="U426" s="5" t="str">
        <f>OBRA!T424</f>
        <v>-</v>
      </c>
      <c r="V426" s="11" t="str">
        <f>OBRA!U424</f>
        <v>-</v>
      </c>
      <c r="W426" s="1195">
        <v>0</v>
      </c>
      <c r="X426" s="1154">
        <f>X517+X518+X519+X520</f>
        <v>19799889.41</v>
      </c>
      <c r="Y426" s="1018" t="s">
        <v>68</v>
      </c>
      <c r="Z426" s="146" t="str">
        <f>OBRA!W424</f>
        <v>N/A</v>
      </c>
      <c r="AA426" s="146" t="s">
        <v>68</v>
      </c>
      <c r="AB426" s="148" t="str">
        <f t="shared" si="25"/>
        <v>N/A</v>
      </c>
      <c r="AC426" s="148" t="s">
        <v>68</v>
      </c>
      <c r="AD426" s="146" t="s">
        <v>1428</v>
      </c>
      <c r="AE426" s="183" t="str">
        <f>OBRA!X424</f>
        <v>N/A</v>
      </c>
      <c r="AF426" s="19"/>
      <c r="AG426" s="2"/>
      <c r="AH426" s="615" t="e">
        <f t="shared" si="26"/>
        <v>#DIV/0!</v>
      </c>
      <c r="AI426" s="2"/>
      <c r="AJ426" s="513"/>
      <c r="AK426" s="513"/>
      <c r="AL426" s="1513"/>
      <c r="AM426" s="1514"/>
      <c r="AN426" s="571"/>
      <c r="AO426" s="1112" t="s">
        <v>68</v>
      </c>
      <c r="AP426" s="1112" t="s">
        <v>68</v>
      </c>
      <c r="AQ426" s="975" t="s">
        <v>68</v>
      </c>
      <c r="AR426" s="975"/>
      <c r="AS426" s="974" t="s">
        <v>68</v>
      </c>
    </row>
    <row r="427" spans="1:45" s="104" customFormat="1" ht="54.75" hidden="1" customHeight="1">
      <c r="A427" s="16">
        <f>OBRA!J425</f>
        <v>2020</v>
      </c>
      <c r="B427" s="783" t="s">
        <v>2094</v>
      </c>
      <c r="C427" s="783">
        <v>200.18</v>
      </c>
      <c r="D427" s="783"/>
      <c r="E427" s="2" t="str">
        <f>OBRA!M425</f>
        <v xml:space="preserve">RASTRO DIGNO </v>
      </c>
      <c r="F427" s="605" t="s">
        <v>3522</v>
      </c>
      <c r="G427" s="156" t="s">
        <v>2861</v>
      </c>
      <c r="H427" s="412" t="str">
        <f>OBRA!N425</f>
        <v>RASTRO DIGNO 2020</v>
      </c>
      <c r="I427" s="2" t="str">
        <f>OBRA!O425</f>
        <v>CONVENIO</v>
      </c>
      <c r="J427" s="3" t="str">
        <f>OBRA!P425</f>
        <v>PROGRAMA PARA MEJORAMIENTO DE RASTROS "RASTRO DIGNO", EJERCICIO 2020</v>
      </c>
      <c r="K427" s="3" t="s">
        <v>2867</v>
      </c>
      <c r="L427" s="3"/>
      <c r="M427" s="683" t="s">
        <v>2002</v>
      </c>
      <c r="N427" s="683" t="s">
        <v>1975</v>
      </c>
      <c r="O427" s="504" t="s">
        <v>3522</v>
      </c>
      <c r="P427" s="4">
        <f>OBRA!R425</f>
        <v>2755548.61</v>
      </c>
      <c r="Q427" s="1023">
        <f t="shared" si="24"/>
        <v>2375472.9396551726</v>
      </c>
      <c r="R427" s="1023"/>
      <c r="S427" s="6">
        <f>OBRA!S425</f>
        <v>44174</v>
      </c>
      <c r="T427" s="1134" t="s">
        <v>1177</v>
      </c>
      <c r="U427" s="5" t="str">
        <f>OBRA!T425</f>
        <v>-</v>
      </c>
      <c r="V427" s="11" t="str">
        <f>OBRA!U425</f>
        <v>-</v>
      </c>
      <c r="W427" s="1195">
        <v>0</v>
      </c>
      <c r="X427" s="1156">
        <f>X524</f>
        <v>0</v>
      </c>
      <c r="Y427" s="1018" t="s">
        <v>68</v>
      </c>
      <c r="Z427" s="146" t="str">
        <f>OBRA!W425</f>
        <v>N/A</v>
      </c>
      <c r="AA427" s="146" t="s">
        <v>68</v>
      </c>
      <c r="AB427" s="148" t="str">
        <f t="shared" si="25"/>
        <v>N/A</v>
      </c>
      <c r="AC427" s="148" t="s">
        <v>68</v>
      </c>
      <c r="AD427" s="1090" t="s">
        <v>1428</v>
      </c>
      <c r="AE427" s="183" t="str">
        <f>OBRA!X425</f>
        <v>N/A</v>
      </c>
      <c r="AF427" s="19">
        <v>2</v>
      </c>
      <c r="AG427" s="2" t="s">
        <v>3215</v>
      </c>
      <c r="AH427" s="615">
        <f t="shared" si="26"/>
        <v>1377774.3049999999</v>
      </c>
      <c r="AI427" s="2">
        <v>16000</v>
      </c>
      <c r="AJ427" s="513">
        <v>16000</v>
      </c>
      <c r="AK427" s="513"/>
      <c r="AL427" s="1513"/>
      <c r="AM427" s="1514"/>
      <c r="AN427" s="571" t="s">
        <v>3498</v>
      </c>
      <c r="AO427" s="1112" t="s">
        <v>68</v>
      </c>
      <c r="AP427" s="1112" t="s">
        <v>68</v>
      </c>
      <c r="AQ427" s="975" t="s">
        <v>68</v>
      </c>
      <c r="AR427" s="975"/>
      <c r="AS427" s="974" t="s">
        <v>68</v>
      </c>
    </row>
    <row r="428" spans="1:45" ht="72" hidden="1" customHeight="1">
      <c r="A428" s="16">
        <f>OBRA!J426</f>
        <v>2020</v>
      </c>
      <c r="B428" s="783" t="s">
        <v>2094</v>
      </c>
      <c r="C428" s="783">
        <v>200.19</v>
      </c>
      <c r="D428" s="783"/>
      <c r="E428" s="2" t="str">
        <f>OBRA!M426</f>
        <v>EMP P/LA REACTIVACIÓN ECONÓMICA EN MPIOS</v>
      </c>
      <c r="F428" s="605" t="s">
        <v>3522</v>
      </c>
      <c r="G428" s="156" t="s">
        <v>2861</v>
      </c>
      <c r="H428" s="412" t="str">
        <f>OBRA!N426</f>
        <v>SADER/DGIR/EMP/057/2020</v>
      </c>
      <c r="I428" s="2" t="str">
        <f>OBRA!O426</f>
        <v>CONVENIO</v>
      </c>
      <c r="J428" s="3" t="str">
        <f>OBRA!P426</f>
        <v xml:space="preserve">PROGRAMA DE EMPEDRADOS PARA LA REACTIVACIÓN ECONÓMICA EN MUNICIPIOS </v>
      </c>
      <c r="K428" s="3" t="s">
        <v>4045</v>
      </c>
      <c r="L428" s="3"/>
      <c r="M428" s="683" t="s">
        <v>2118</v>
      </c>
      <c r="N428" s="683" t="s">
        <v>1975</v>
      </c>
      <c r="O428" s="504" t="s">
        <v>3522</v>
      </c>
      <c r="P428" s="4">
        <f>OBRA!R426</f>
        <v>7000000</v>
      </c>
      <c r="Q428" s="1023">
        <f t="shared" si="24"/>
        <v>6034482.7586206896</v>
      </c>
      <c r="R428" s="1023"/>
      <c r="S428" s="6">
        <f>OBRA!S426</f>
        <v>44085</v>
      </c>
      <c r="T428" s="1134" t="s">
        <v>1177</v>
      </c>
      <c r="U428" s="5" t="str">
        <f>OBRA!T426</f>
        <v>-</v>
      </c>
      <c r="V428" s="11" t="str">
        <f>OBRA!U426</f>
        <v>-</v>
      </c>
      <c r="W428" s="1195">
        <v>0</v>
      </c>
      <c r="X428" s="1156">
        <f>X435+X437+X439+X440+X442+X444+X446+X448+X450+X452+X453+X455</f>
        <v>0</v>
      </c>
      <c r="Y428" s="1018" t="s">
        <v>68</v>
      </c>
      <c r="Z428" s="146" t="str">
        <f>OBRA!W426</f>
        <v>N/A</v>
      </c>
      <c r="AA428" s="146" t="s">
        <v>68</v>
      </c>
      <c r="AB428" s="148" t="str">
        <f t="shared" si="25"/>
        <v>N/A</v>
      </c>
      <c r="AC428" s="148" t="s">
        <v>68</v>
      </c>
      <c r="AD428" s="1090" t="s">
        <v>1428</v>
      </c>
      <c r="AE428" s="183" t="str">
        <f>OBRA!X426</f>
        <v>N/A</v>
      </c>
      <c r="AF428" s="19">
        <v>2</v>
      </c>
      <c r="AG428" s="2" t="s">
        <v>3215</v>
      </c>
      <c r="AH428" s="615">
        <f t="shared" si="26"/>
        <v>3500000</v>
      </c>
      <c r="AI428" s="2">
        <v>22000</v>
      </c>
      <c r="AJ428" s="513">
        <v>22000</v>
      </c>
      <c r="AK428" s="513"/>
      <c r="AL428" s="1513"/>
      <c r="AM428" s="1514"/>
      <c r="AN428" s="571" t="s">
        <v>3498</v>
      </c>
      <c r="AO428" s="1112" t="s">
        <v>68</v>
      </c>
      <c r="AP428" s="1112" t="s">
        <v>68</v>
      </c>
      <c r="AQ428" s="975" t="s">
        <v>68</v>
      </c>
      <c r="AR428" s="975"/>
      <c r="AS428" s="974" t="s">
        <v>68</v>
      </c>
    </row>
    <row r="429" spans="1:45" ht="74.25" hidden="1" customHeight="1">
      <c r="A429" s="16">
        <f>OBRA!J427</f>
        <v>2020</v>
      </c>
      <c r="B429" s="783" t="s">
        <v>2094</v>
      </c>
      <c r="C429" s="783">
        <v>201.01</v>
      </c>
      <c r="D429" s="783"/>
      <c r="E429" s="2" t="str">
        <f>OBRA!M427</f>
        <v>CUENTA CORRIENTE</v>
      </c>
      <c r="F429" s="605" t="s">
        <v>3522</v>
      </c>
      <c r="G429" s="156" t="s">
        <v>2861</v>
      </c>
      <c r="H429" s="412" t="str">
        <f>OBRA!N427</f>
        <v>DOP/AD/001/2020</v>
      </c>
      <c r="I429" s="2" t="str">
        <f>OBRA!O427</f>
        <v>ADMINISTRACIÓN DIRECTA</v>
      </c>
      <c r="J429" s="3" t="str">
        <f>OBRA!P427</f>
        <v>"ADQUISICION DE MATERIALES PARA LA LINEA DE ALIMENTACION DEL DEPOSITO NUEVO , EN LA LOCALIDAD DE HUEJOTITAN, MUNICIPIO DE JOCOTEPEC, JALISCO"</v>
      </c>
      <c r="K429" s="3" t="s">
        <v>4046</v>
      </c>
      <c r="L429" s="3" t="s">
        <v>5417</v>
      </c>
      <c r="M429" s="683" t="s">
        <v>2151</v>
      </c>
      <c r="N429" s="683" t="s">
        <v>2506</v>
      </c>
      <c r="O429" s="504" t="s">
        <v>3652</v>
      </c>
      <c r="P429" s="4">
        <f>OBRA!R427</f>
        <v>149601.96</v>
      </c>
      <c r="Q429" s="1023">
        <f t="shared" si="24"/>
        <v>128967.20689655172</v>
      </c>
      <c r="R429" s="1023"/>
      <c r="S429" s="6">
        <f>OBRA!S427</f>
        <v>43924</v>
      </c>
      <c r="T429" s="1134" t="s">
        <v>1177</v>
      </c>
      <c r="U429" s="5">
        <f>OBRA!T427</f>
        <v>43893</v>
      </c>
      <c r="V429" s="11">
        <f>OBRA!U427</f>
        <v>43982</v>
      </c>
      <c r="W429" s="1195">
        <v>0</v>
      </c>
      <c r="X429" s="278">
        <f>OBRA!AS427+OBRA!AT427</f>
        <v>148382.19</v>
      </c>
      <c r="Y429" s="1018" t="s">
        <v>68</v>
      </c>
      <c r="Z429" s="146" t="str">
        <f>OBRA!W427</f>
        <v>N/A</v>
      </c>
      <c r="AA429" s="146" t="s">
        <v>68</v>
      </c>
      <c r="AB429" s="148" t="str">
        <f t="shared" si="25"/>
        <v>N/A</v>
      </c>
      <c r="AC429" s="148" t="s">
        <v>1177</v>
      </c>
      <c r="AD429" s="1090" t="s">
        <v>1177</v>
      </c>
      <c r="AE429" s="183" t="str">
        <f>OBRA!X427</f>
        <v>ING. JUAN MANUEL GARCIA ESCOTO</v>
      </c>
      <c r="AF429" s="19">
        <v>2</v>
      </c>
      <c r="AG429" s="2" t="s">
        <v>3215</v>
      </c>
      <c r="AH429" s="615">
        <f t="shared" si="26"/>
        <v>74800.98</v>
      </c>
      <c r="AI429" s="2">
        <v>48500</v>
      </c>
      <c r="AJ429" s="513">
        <v>48500</v>
      </c>
      <c r="AK429" s="513"/>
      <c r="AL429" s="1522">
        <v>20.359369999999998</v>
      </c>
      <c r="AM429" s="1523">
        <v>103.48399000000001</v>
      </c>
      <c r="AN429" s="571" t="s">
        <v>3498</v>
      </c>
      <c r="AO429" s="1112" t="s">
        <v>68</v>
      </c>
      <c r="AP429" s="1112" t="s">
        <v>68</v>
      </c>
      <c r="AQ429" s="975" t="s">
        <v>68</v>
      </c>
      <c r="AR429" s="975"/>
      <c r="AS429" s="974" t="s">
        <v>68</v>
      </c>
    </row>
    <row r="430" spans="1:45" ht="57.75" hidden="1" customHeight="1">
      <c r="A430" s="16">
        <f>OBRA!J428</f>
        <v>2020</v>
      </c>
      <c r="B430" s="783" t="s">
        <v>2094</v>
      </c>
      <c r="C430" s="783">
        <v>201.02</v>
      </c>
      <c r="D430" s="783"/>
      <c r="E430" s="2" t="str">
        <f>OBRA!M428</f>
        <v>CUENTA CORRIENTE</v>
      </c>
      <c r="F430" s="156" t="s">
        <v>1428</v>
      </c>
      <c r="G430" s="156" t="s">
        <v>2861</v>
      </c>
      <c r="H430" s="412" t="str">
        <f>OBRA!N428</f>
        <v>DOP/AD/002/2020</v>
      </c>
      <c r="I430" s="2" t="str">
        <f>OBRA!O428</f>
        <v>ADMINISTRACIÓN DIRECTA</v>
      </c>
      <c r="J430" s="3" t="str">
        <f>OBRA!P428</f>
        <v>"REHABILITACIÓN Y MANTENIMIENTO DE "LA CASA DE CULTURA SAN JUAN COSALA, DEL MUNICIPIO DE JOCOTEPEC, JALISCO.</v>
      </c>
      <c r="K430" s="541"/>
      <c r="L430" s="3" t="s">
        <v>6241</v>
      </c>
      <c r="M430" s="683" t="s">
        <v>3031</v>
      </c>
      <c r="N430" s="683" t="s">
        <v>2524</v>
      </c>
      <c r="O430" s="504" t="s">
        <v>3653</v>
      </c>
      <c r="P430" s="4">
        <f>OBRA!R428</f>
        <v>655000</v>
      </c>
      <c r="Q430" s="1023">
        <f t="shared" si="24"/>
        <v>564655.17241379316</v>
      </c>
      <c r="R430" s="1023"/>
      <c r="S430" s="6">
        <f>OBRA!S428</f>
        <v>43924</v>
      </c>
      <c r="T430" s="1134" t="s">
        <v>1177</v>
      </c>
      <c r="U430" s="5">
        <f>OBRA!T428</f>
        <v>43924</v>
      </c>
      <c r="V430" s="11">
        <f>OBRA!U428</f>
        <v>44043</v>
      </c>
      <c r="W430" s="220">
        <v>0</v>
      </c>
      <c r="X430" s="1156">
        <f>OBRA!AS428+OBRA!AT428</f>
        <v>0</v>
      </c>
      <c r="Y430" s="1018" t="s">
        <v>2911</v>
      </c>
      <c r="Z430" s="146" t="str">
        <f>OBRA!W428</f>
        <v>N/A</v>
      </c>
      <c r="AA430" s="146" t="s">
        <v>68</v>
      </c>
      <c r="AB430" s="148" t="str">
        <f t="shared" si="25"/>
        <v>N/A</v>
      </c>
      <c r="AC430" s="148" t="s">
        <v>1177</v>
      </c>
      <c r="AD430" s="1090" t="s">
        <v>1177</v>
      </c>
      <c r="AE430" s="183" t="str">
        <f>OBRA!X428</f>
        <v>HACIENDA MPAL</v>
      </c>
      <c r="AF430" s="19">
        <v>152</v>
      </c>
      <c r="AG430" s="2" t="s">
        <v>1451</v>
      </c>
      <c r="AH430" s="615">
        <f t="shared" ref="AH430:AH461" si="27">X430/AF430</f>
        <v>0</v>
      </c>
      <c r="AI430" s="2">
        <v>650</v>
      </c>
      <c r="AJ430" s="513">
        <v>650</v>
      </c>
      <c r="AK430" s="513"/>
      <c r="AL430" s="1522">
        <v>20.287504999999999</v>
      </c>
      <c r="AM430" s="1523">
        <v>103.340613</v>
      </c>
      <c r="AN430" s="1240" t="s">
        <v>3652</v>
      </c>
      <c r="AO430" s="573"/>
      <c r="AP430" s="1223" t="s">
        <v>3652</v>
      </c>
      <c r="AQ430" s="1223" t="s">
        <v>3652</v>
      </c>
      <c r="AR430" s="1287"/>
      <c r="AS430" s="1268"/>
    </row>
    <row r="431" spans="1:45" ht="70.5" hidden="1" customHeight="1">
      <c r="A431" s="16">
        <f>OBRA!J429</f>
        <v>2020</v>
      </c>
      <c r="B431" s="783" t="s">
        <v>2094</v>
      </c>
      <c r="C431" s="783">
        <v>201.03</v>
      </c>
      <c r="D431" s="1447"/>
      <c r="E431" s="2" t="str">
        <f>OBRA!M429</f>
        <v>CEAJ / CUENTA CORRIENTE</v>
      </c>
      <c r="F431" s="156" t="s">
        <v>1428</v>
      </c>
      <c r="G431" s="156" t="s">
        <v>2861</v>
      </c>
      <c r="H431" s="412" t="str">
        <f>OBRA!N429</f>
        <v>DOP/AD/003/2020</v>
      </c>
      <c r="I431" s="2" t="str">
        <f>OBRA!O429</f>
        <v>ADMINISTRACIÓN DIRECTA</v>
      </c>
      <c r="J431" s="3" t="str">
        <f>OBRA!P429</f>
        <v>"MATERIALES E INSUMOS NECESARIOS PARA LA PERFORACIÓN DE POZO PROFUNDO EN LA LOCALIDAD DE LAS TROJES, DEL MUNICIPIO DE JOCOTEPEC, JALISCO.</v>
      </c>
      <c r="K431" s="3" t="s">
        <v>4047</v>
      </c>
      <c r="L431" s="3" t="s">
        <v>4751</v>
      </c>
      <c r="M431" s="683" t="s">
        <v>4082</v>
      </c>
      <c r="N431" s="683" t="s">
        <v>2614</v>
      </c>
      <c r="O431" s="504" t="s">
        <v>3654</v>
      </c>
      <c r="P431" s="4">
        <f>OBRA!R429</f>
        <v>962427.31</v>
      </c>
      <c r="Q431" s="1023">
        <f t="shared" si="24"/>
        <v>829678.71551724151</v>
      </c>
      <c r="R431" s="1023"/>
      <c r="S431" s="6">
        <f>OBRA!S429</f>
        <v>43945</v>
      </c>
      <c r="T431" s="1134" t="s">
        <v>1177</v>
      </c>
      <c r="U431" s="5">
        <f>OBRA!T429</f>
        <v>43945</v>
      </c>
      <c r="V431" s="11">
        <f>OBRA!U429</f>
        <v>44098</v>
      </c>
      <c r="W431" s="220">
        <v>0</v>
      </c>
      <c r="X431" s="1197">
        <f>OBRA!AS429+OBRA!AT429</f>
        <v>0</v>
      </c>
      <c r="Y431" s="1018" t="s">
        <v>2944</v>
      </c>
      <c r="Z431" s="146" t="str">
        <f>OBRA!W429</f>
        <v>N/A</v>
      </c>
      <c r="AA431" s="146" t="s">
        <v>68</v>
      </c>
      <c r="AB431" s="148" t="str">
        <f t="shared" si="25"/>
        <v>N/A</v>
      </c>
      <c r="AC431" s="148" t="s">
        <v>1177</v>
      </c>
      <c r="AD431" s="1090" t="s">
        <v>1177</v>
      </c>
      <c r="AE431" s="183" t="str">
        <f>OBRA!X429</f>
        <v>ARQ. JAIME CONDE GOMEZ</v>
      </c>
      <c r="AF431" s="19">
        <v>343.85</v>
      </c>
      <c r="AG431" s="2" t="s">
        <v>1548</v>
      </c>
      <c r="AH431" s="551">
        <f t="shared" si="27"/>
        <v>0</v>
      </c>
      <c r="AI431" s="2">
        <v>4000</v>
      </c>
      <c r="AJ431" s="513">
        <v>4000</v>
      </c>
      <c r="AK431" s="513"/>
      <c r="AL431" s="1524"/>
      <c r="AM431" s="1525"/>
      <c r="AN431" s="1240" t="s">
        <v>3653</v>
      </c>
      <c r="AO431" s="1223" t="s">
        <v>3653</v>
      </c>
      <c r="AP431" s="573"/>
      <c r="AQ431" s="1223" t="s">
        <v>3653</v>
      </c>
      <c r="AR431" s="1287"/>
      <c r="AS431" s="1268"/>
    </row>
    <row r="432" spans="1:45" ht="88.5" hidden="1" customHeight="1">
      <c r="A432" s="16">
        <f>OBRA!J430</f>
        <v>2020</v>
      </c>
      <c r="B432" s="783" t="s">
        <v>2094</v>
      </c>
      <c r="C432" s="783">
        <v>201.04</v>
      </c>
      <c r="D432" s="783"/>
      <c r="E432" s="2" t="str">
        <f>OBRA!M430</f>
        <v>CUENTA CORRIENTE</v>
      </c>
      <c r="F432" s="605" t="s">
        <v>3522</v>
      </c>
      <c r="G432" s="156" t="s">
        <v>2861</v>
      </c>
      <c r="H432" s="412" t="str">
        <f>OBRA!N430</f>
        <v>DOP/AD/004/2020</v>
      </c>
      <c r="I432" s="2" t="str">
        <f>OBRA!O430</f>
        <v>ADMINISTRACIÓN DIRECTA</v>
      </c>
      <c r="J432" s="3" t="str">
        <f>OBRA!P430</f>
        <v>FABRICACIÓN DE EMPEDRADO NORMAL CON HUELLAS DE CONCRETO EN CALLE LA PAZ ENTRE VICENTE GUERRERO E ITURBIDE" EN LA DELEGACIÓN DE SAN JUAN COSALA, DEL MUNICIPIO DE JOCOTEPEC, JALISCO.</v>
      </c>
      <c r="K432" s="541"/>
      <c r="L432" s="3" t="s">
        <v>4752</v>
      </c>
      <c r="M432" s="683" t="s">
        <v>3978</v>
      </c>
      <c r="N432" s="683" t="s">
        <v>2524</v>
      </c>
      <c r="O432" s="529"/>
      <c r="P432" s="4">
        <f>OBRA!R430</f>
        <v>192779.35</v>
      </c>
      <c r="Q432" s="1023">
        <f t="shared" si="24"/>
        <v>166189.09482758623</v>
      </c>
      <c r="R432" s="1023"/>
      <c r="S432" s="6">
        <f>OBRA!S430</f>
        <v>43910</v>
      </c>
      <c r="T432" s="1134" t="s">
        <v>1177</v>
      </c>
      <c r="U432" s="5">
        <f>OBRA!T430</f>
        <v>43913</v>
      </c>
      <c r="V432" s="11">
        <f>OBRA!U430</f>
        <v>43960</v>
      </c>
      <c r="W432" s="220">
        <v>0</v>
      </c>
      <c r="X432" s="1197">
        <f>OBRA!AS430+OBRA!AT430</f>
        <v>0</v>
      </c>
      <c r="Y432" s="1089" t="s">
        <v>2799</v>
      </c>
      <c r="Z432" s="146" t="str">
        <f>OBRA!W430</f>
        <v>N/A</v>
      </c>
      <c r="AA432" s="146" t="s">
        <v>68</v>
      </c>
      <c r="AB432" s="148" t="str">
        <f t="shared" si="25"/>
        <v>N/A</v>
      </c>
      <c r="AC432" s="148" t="s">
        <v>1177</v>
      </c>
      <c r="AD432" s="1090" t="s">
        <v>1177</v>
      </c>
      <c r="AE432" s="183" t="str">
        <f>OBRA!X430</f>
        <v>TESORERÍA</v>
      </c>
      <c r="AF432" s="19">
        <v>1</v>
      </c>
      <c r="AG432" s="2" t="s">
        <v>1463</v>
      </c>
      <c r="AH432" s="551">
        <f t="shared" si="27"/>
        <v>0</v>
      </c>
      <c r="AI432" s="2">
        <v>400</v>
      </c>
      <c r="AJ432" s="513">
        <v>400</v>
      </c>
      <c r="AK432" s="513"/>
      <c r="AL432" s="1522">
        <v>20.286078</v>
      </c>
      <c r="AM432" s="1523">
        <v>103.34253</v>
      </c>
      <c r="AN432" s="1223" t="s">
        <v>3654</v>
      </c>
      <c r="AO432" s="573"/>
      <c r="AP432" s="573"/>
      <c r="AQ432" s="1223" t="s">
        <v>3654</v>
      </c>
      <c r="AR432" s="1287"/>
      <c r="AS432" s="1268"/>
    </row>
    <row r="433" spans="1:45" ht="62.25" hidden="1" customHeight="1">
      <c r="A433" s="16">
        <f>OBRA!J431</f>
        <v>2020</v>
      </c>
      <c r="B433" s="783" t="s">
        <v>2094</v>
      </c>
      <c r="C433" s="783">
        <v>201.05</v>
      </c>
      <c r="D433" s="783"/>
      <c r="E433" s="2" t="str">
        <f>OBRA!M431</f>
        <v>CUENTA CORRIENTE</v>
      </c>
      <c r="F433" s="156" t="s">
        <v>1428</v>
      </c>
      <c r="G433" s="156" t="s">
        <v>2861</v>
      </c>
      <c r="H433" s="412" t="str">
        <f>OBRA!N431</f>
        <v>DOP/AD/005/2020</v>
      </c>
      <c r="I433" s="2" t="str">
        <f>OBRA!O431</f>
        <v>ADMINISTRACIÓN DIRECTA</v>
      </c>
      <c r="J433" s="3" t="str">
        <f>OBRA!P431</f>
        <v>"ELABORACIÓN DE MURO PERIMETRAL, EN LA CASA DE CULTURA" UBICADA EN LA DELEGACIÓN DE SAN JUAN COSALA, DEL MUNICIPIO DE JOCOTEPEC, JALISCO.</v>
      </c>
      <c r="K433" s="541"/>
      <c r="L433" s="3" t="s">
        <v>6241</v>
      </c>
      <c r="M433" s="683" t="s">
        <v>3031</v>
      </c>
      <c r="N433" s="683" t="s">
        <v>2524</v>
      </c>
      <c r="O433" s="541"/>
      <c r="P433" s="79">
        <f>OBRA!R431</f>
        <v>50000</v>
      </c>
      <c r="Q433" s="1023">
        <f t="shared" si="24"/>
        <v>43103.448275862072</v>
      </c>
      <c r="R433" s="1023"/>
      <c r="S433" s="67">
        <f>OBRA!S431</f>
        <v>43924</v>
      </c>
      <c r="T433" s="1134" t="s">
        <v>1177</v>
      </c>
      <c r="U433" s="5">
        <f>OBRA!T431</f>
        <v>43924</v>
      </c>
      <c r="V433" s="11">
        <f>OBRA!U431</f>
        <v>43961</v>
      </c>
      <c r="W433" s="220">
        <v>0</v>
      </c>
      <c r="X433" s="1197">
        <f>OBRA!AS431+OBRA!AT431</f>
        <v>0</v>
      </c>
      <c r="Y433" s="1018" t="s">
        <v>3869</v>
      </c>
      <c r="Z433" s="146" t="str">
        <f>OBRA!W431</f>
        <v>N/A</v>
      </c>
      <c r="AA433" s="146" t="s">
        <v>68</v>
      </c>
      <c r="AB433" s="148" t="str">
        <f t="shared" si="25"/>
        <v>N/A</v>
      </c>
      <c r="AC433" s="148" t="s">
        <v>1177</v>
      </c>
      <c r="AD433" s="1090" t="s">
        <v>1177</v>
      </c>
      <c r="AE433" s="183" t="str">
        <f>OBRA!X431</f>
        <v>HACIENDA MPAL</v>
      </c>
      <c r="AF433" s="161">
        <v>57</v>
      </c>
      <c r="AG433" s="2" t="s">
        <v>1451</v>
      </c>
      <c r="AH433" s="183">
        <f t="shared" si="27"/>
        <v>0</v>
      </c>
      <c r="AI433" s="2">
        <v>4000</v>
      </c>
      <c r="AJ433" s="513">
        <v>4000</v>
      </c>
      <c r="AK433" s="513"/>
      <c r="AL433" s="1522">
        <v>20.287499</v>
      </c>
      <c r="AM433" s="1523">
        <v>103.340625</v>
      </c>
      <c r="AN433" s="573"/>
      <c r="AO433" s="573"/>
      <c r="AP433" s="573"/>
      <c r="AQ433" s="573"/>
      <c r="AR433" s="785"/>
      <c r="AS433" s="1268"/>
    </row>
    <row r="434" spans="1:45" ht="81.75" hidden="1" customHeight="1">
      <c r="A434" s="16">
        <f>OBRA!J432</f>
        <v>2020</v>
      </c>
      <c r="B434" s="783" t="s">
        <v>2094</v>
      </c>
      <c r="C434" s="783">
        <v>201.06</v>
      </c>
      <c r="D434" s="783"/>
      <c r="E434" s="2" t="str">
        <f>OBRA!M432</f>
        <v>RAMO 33</v>
      </c>
      <c r="F434" s="156" t="s">
        <v>1428</v>
      </c>
      <c r="G434" s="156" t="s">
        <v>2861</v>
      </c>
      <c r="H434" s="412" t="str">
        <f>OBRA!N432</f>
        <v>DOP/AD/006/2020</v>
      </c>
      <c r="I434" s="2" t="s">
        <v>251</v>
      </c>
      <c r="J434" s="3" t="str">
        <f>OBRA!P432</f>
        <v>SUMINISTRO Y COLOCACIÓN DE MACHUELO PRE FABRICADO EN LA CALLE LOS ÁNGELES ENTRE PRIVADA ALDAMA Y CERRADA”, EN LA CABECERA MUNICIPAL DE JOCOTEPEC, JALISCO</v>
      </c>
      <c r="K434" s="541"/>
      <c r="L434" s="541"/>
      <c r="M434" s="3" t="s">
        <v>3979</v>
      </c>
      <c r="N434" s="3" t="s">
        <v>1975</v>
      </c>
      <c r="O434" s="529"/>
      <c r="P434" s="79">
        <f>OBRA!R432</f>
        <v>42478.36</v>
      </c>
      <c r="Q434" s="79">
        <f t="shared" si="24"/>
        <v>36619.275862068971</v>
      </c>
      <c r="R434" s="79"/>
      <c r="S434" s="67">
        <f>OBRA!S432</f>
        <v>44103</v>
      </c>
      <c r="T434" s="1134" t="s">
        <v>1177</v>
      </c>
      <c r="U434" s="5">
        <f>OBRA!T432</f>
        <v>44106</v>
      </c>
      <c r="V434" s="11">
        <f>OBRA!U432</f>
        <v>44120</v>
      </c>
      <c r="W434" s="1195">
        <v>0</v>
      </c>
      <c r="X434" s="1196">
        <f>OBRA!AS432+OBRA!AT432</f>
        <v>38982.61</v>
      </c>
      <c r="Y434" s="1018" t="s">
        <v>2753</v>
      </c>
      <c r="Z434" s="146" t="str">
        <f>OBRA!W432</f>
        <v>N/A</v>
      </c>
      <c r="AA434" s="146" t="s">
        <v>68</v>
      </c>
      <c r="AB434" s="148" t="str">
        <f t="shared" si="25"/>
        <v>N/A</v>
      </c>
      <c r="AC434" s="148" t="s">
        <v>1177</v>
      </c>
      <c r="AD434" s="1090" t="s">
        <v>1177</v>
      </c>
      <c r="AE434" s="183" t="str">
        <f>OBRA!X432</f>
        <v>ING. J. GUADALUPE IBARRA RAMIREZ</v>
      </c>
      <c r="AF434" s="161"/>
      <c r="AG434" s="510"/>
      <c r="AH434" s="551" t="e">
        <f t="shared" si="27"/>
        <v>#DIV/0!</v>
      </c>
      <c r="AI434" s="2">
        <v>4000</v>
      </c>
      <c r="AJ434" s="513">
        <v>4000</v>
      </c>
      <c r="AK434" s="513"/>
      <c r="AL434" s="1513"/>
      <c r="AM434" s="1514"/>
      <c r="AN434" s="968"/>
      <c r="AO434" s="573"/>
      <c r="AP434" s="573"/>
      <c r="AQ434" s="573"/>
      <c r="AR434" s="785"/>
      <c r="AS434" s="1268"/>
    </row>
    <row r="435" spans="1:45" ht="74.25" hidden="1" customHeight="1">
      <c r="A435" s="16">
        <f>OBRA!J433</f>
        <v>2020</v>
      </c>
      <c r="B435" s="783" t="s">
        <v>2094</v>
      </c>
      <c r="C435" s="783">
        <v>201.07</v>
      </c>
      <c r="D435" s="783"/>
      <c r="E435" s="2" t="str">
        <f>OBRA!M433</f>
        <v>EMP P/LA REACTIVACIÓN ECONÓMICA EN MPIOS</v>
      </c>
      <c r="F435" s="156" t="s">
        <v>1428</v>
      </c>
      <c r="G435" s="156" t="s">
        <v>2206</v>
      </c>
      <c r="H435" s="412" t="str">
        <f>OBRA!N433</f>
        <v>DOP/AD/007/2020</v>
      </c>
      <c r="I435" s="2" t="str">
        <f>OBRA!O433</f>
        <v>ADMINISTRACIÓN DIRECTA</v>
      </c>
      <c r="J435" s="3" t="str">
        <f>OBRA!P433</f>
        <v>CONSTRUCCIÓN DE EMPEDRADO ZAMPEADO EN VIALIDAD CALLE JUAREZ DE KM 0+000.00 AL KM 0+126.10, EN LA LOCALIDAD DE LAS TROJES DEL MUNICIPIO DE JOCOTEPEC, JALISCO.</v>
      </c>
      <c r="K435" s="3" t="s">
        <v>3982</v>
      </c>
      <c r="L435" s="3" t="s">
        <v>4752</v>
      </c>
      <c r="M435" s="683" t="s">
        <v>3980</v>
      </c>
      <c r="N435" s="683" t="s">
        <v>2614</v>
      </c>
      <c r="O435" s="1586" t="s">
        <v>4187</v>
      </c>
      <c r="P435" s="4">
        <f>OBRA!R433</f>
        <v>196881.44</v>
      </c>
      <c r="Q435" s="1023">
        <f t="shared" si="24"/>
        <v>169725.37931034484</v>
      </c>
      <c r="R435" s="1023"/>
      <c r="S435" s="6">
        <f>OBRA!S433</f>
        <v>44089</v>
      </c>
      <c r="T435" s="1134" t="s">
        <v>1177</v>
      </c>
      <c r="U435" s="5">
        <f>OBRA!T433</f>
        <v>44144</v>
      </c>
      <c r="V435" s="11">
        <f>OBRA!U433</f>
        <v>44191</v>
      </c>
      <c r="W435" s="220">
        <v>0</v>
      </c>
      <c r="X435" s="1595">
        <f>OBRA!AS433+OBRA!AT433</f>
        <v>0</v>
      </c>
      <c r="Y435" s="1018" t="s">
        <v>3559</v>
      </c>
      <c r="Z435" s="146" t="str">
        <f>OBRA!W433</f>
        <v>N/A</v>
      </c>
      <c r="AA435" s="146" t="s">
        <v>68</v>
      </c>
      <c r="AB435" s="148" t="str">
        <f t="shared" si="25"/>
        <v>N/A</v>
      </c>
      <c r="AC435" s="148" t="s">
        <v>1177</v>
      </c>
      <c r="AD435" s="1090" t="s">
        <v>1177</v>
      </c>
      <c r="AE435" s="183" t="str">
        <f>OBRA!X433</f>
        <v>ING. J. GUADALUPE IBARRA RAMIREZ</v>
      </c>
      <c r="AF435" s="19">
        <v>225</v>
      </c>
      <c r="AG435" s="2" t="s">
        <v>1451</v>
      </c>
      <c r="AH435" s="615">
        <f t="shared" si="27"/>
        <v>0</v>
      </c>
      <c r="AI435" s="2">
        <v>100</v>
      </c>
      <c r="AJ435" s="513">
        <v>500</v>
      </c>
      <c r="AK435" s="513"/>
      <c r="AL435" s="1522">
        <v>20.336055000000002</v>
      </c>
      <c r="AM435" s="1523">
        <v>103.327597</v>
      </c>
      <c r="AN435" s="1223" t="s">
        <v>3655</v>
      </c>
      <c r="AO435" s="1223" t="s">
        <v>3655</v>
      </c>
      <c r="AP435" s="1223" t="s">
        <v>3655</v>
      </c>
      <c r="AQ435" s="1223" t="s">
        <v>3655</v>
      </c>
      <c r="AR435" s="1287"/>
      <c r="AS435" s="1239" t="s">
        <v>3655</v>
      </c>
    </row>
    <row r="436" spans="1:45" ht="83.25" hidden="1" customHeight="1">
      <c r="A436" s="16">
        <f>OBRA!J434</f>
        <v>2020</v>
      </c>
      <c r="B436" s="783" t="s">
        <v>2094</v>
      </c>
      <c r="C436" s="783">
        <v>201.071</v>
      </c>
      <c r="D436" s="783"/>
      <c r="E436" s="2" t="str">
        <f>OBRA!M434</f>
        <v>CTA-CTE / EMP P REACT ECO MPIOS</v>
      </c>
      <c r="F436" s="605" t="s">
        <v>3522</v>
      </c>
      <c r="G436" s="156" t="s">
        <v>2861</v>
      </c>
      <c r="H436" s="412" t="str">
        <f>OBRA!N434</f>
        <v>DOP/AD/007-A/2020</v>
      </c>
      <c r="I436" s="2" t="str">
        <f>OBRA!O434</f>
        <v>ADMINISTRACIÓN DIRECTA</v>
      </c>
      <c r="J436" s="3" t="str">
        <f>OBRA!P434</f>
        <v>CONSTRUCCIÓN DE EMPEDRADO ZAMPEADO EN VIALIDAD CALLE JUAREZ DE KM 0+000.00 AL KM 0+126.10, EN LA LOCALIDAD DE LAS TROJES DEL MUNICIPIO DE JOCOTEPEC, JALISCO</v>
      </c>
      <c r="K436" s="3" t="s">
        <v>3982</v>
      </c>
      <c r="L436" s="3" t="s">
        <v>4752</v>
      </c>
      <c r="M436" s="683" t="s">
        <v>3980</v>
      </c>
      <c r="N436" s="683" t="s">
        <v>2614</v>
      </c>
      <c r="O436" s="529"/>
      <c r="P436" s="4">
        <f>OBRA!R434</f>
        <v>283094.36</v>
      </c>
      <c r="Q436" s="1023">
        <f t="shared" si="24"/>
        <v>244046.86206896554</v>
      </c>
      <c r="R436" s="1023"/>
      <c r="S436" s="6">
        <f>OBRA!S434</f>
        <v>44089</v>
      </c>
      <c r="T436" s="1134" t="s">
        <v>1177</v>
      </c>
      <c r="U436" s="5">
        <f>OBRA!T434</f>
        <v>44137</v>
      </c>
      <c r="V436" s="11">
        <f>OBRA!U434</f>
        <v>44191</v>
      </c>
      <c r="W436" s="220">
        <v>0</v>
      </c>
      <c r="X436" s="1197">
        <f>OBRA!AS434+OBRA!AT434</f>
        <v>0</v>
      </c>
      <c r="Y436" s="1018" t="s">
        <v>3484</v>
      </c>
      <c r="Z436" s="146" t="str">
        <f>OBRA!W434</f>
        <v>N/A</v>
      </c>
      <c r="AA436" s="146" t="s">
        <v>68</v>
      </c>
      <c r="AB436" s="148" t="str">
        <f t="shared" si="25"/>
        <v>N/A</v>
      </c>
      <c r="AC436" s="148" t="s">
        <v>1177</v>
      </c>
      <c r="AD436" s="1090" t="s">
        <v>1177</v>
      </c>
      <c r="AE436" s="183">
        <f>OBRA!X434</f>
        <v>0</v>
      </c>
      <c r="AF436" s="19">
        <v>807.4</v>
      </c>
      <c r="AG436" s="2" t="s">
        <v>1548</v>
      </c>
      <c r="AH436" s="551">
        <f t="shared" si="27"/>
        <v>0</v>
      </c>
      <c r="AI436" s="2">
        <v>60</v>
      </c>
      <c r="AJ436" s="513">
        <v>60</v>
      </c>
      <c r="AK436" s="513"/>
      <c r="AL436" s="1522">
        <v>20.336055000000002</v>
      </c>
      <c r="AM436" s="1523">
        <v>103.327597</v>
      </c>
      <c r="AN436" s="1223" t="s">
        <v>3532</v>
      </c>
      <c r="AO436" s="1223" t="s">
        <v>3532</v>
      </c>
      <c r="AP436" s="1223" t="s">
        <v>3532</v>
      </c>
      <c r="AQ436" s="573"/>
      <c r="AR436" s="785"/>
      <c r="AS436" s="1268"/>
    </row>
    <row r="437" spans="1:45" ht="73.5" hidden="1" customHeight="1">
      <c r="A437" s="16">
        <f>OBRA!J435</f>
        <v>2020</v>
      </c>
      <c r="B437" s="783" t="s">
        <v>2094</v>
      </c>
      <c r="C437" s="783">
        <v>201.08</v>
      </c>
      <c r="D437" s="783"/>
      <c r="E437" s="2" t="str">
        <f>OBRA!M435</f>
        <v>EMP P/LA REACTIVACIÓN ECONÓMICA EN MPIOS</v>
      </c>
      <c r="F437" s="605" t="s">
        <v>3522</v>
      </c>
      <c r="G437" s="156" t="s">
        <v>2861</v>
      </c>
      <c r="H437" s="412" t="str">
        <f>OBRA!N435</f>
        <v>DOP/AD/008/2020</v>
      </c>
      <c r="I437" s="2" t="str">
        <f>OBRA!O435</f>
        <v>ADMINISTRACIÓN DIRECTA</v>
      </c>
      <c r="J437" s="3" t="str">
        <f>OBRA!P435</f>
        <v>CONSTRUCCIÓN DE EMPEDRADO ZAMPEADO EN CALLES DE LA DELEGACIÓN DE HUEJOTITAN</v>
      </c>
      <c r="K437" s="3" t="s">
        <v>3982</v>
      </c>
      <c r="L437" s="3" t="s">
        <v>4752</v>
      </c>
      <c r="M437" s="683" t="s">
        <v>3981</v>
      </c>
      <c r="N437" s="683" t="s">
        <v>2506</v>
      </c>
      <c r="O437" s="504" t="s">
        <v>4188</v>
      </c>
      <c r="P437" s="4">
        <f>OBRA!R435</f>
        <v>1079624.5</v>
      </c>
      <c r="Q437" s="1023">
        <f t="shared" si="24"/>
        <v>930710.77586206899</v>
      </c>
      <c r="R437" s="1023"/>
      <c r="S437" s="6">
        <f>OBRA!S435</f>
        <v>44454</v>
      </c>
      <c r="T437" s="1134" t="s">
        <v>1177</v>
      </c>
      <c r="U437" s="5">
        <f>OBRA!T435</f>
        <v>44166</v>
      </c>
      <c r="V437" s="11">
        <f>OBRA!U435</f>
        <v>44196</v>
      </c>
      <c r="W437" s="220">
        <v>0</v>
      </c>
      <c r="X437" s="1197">
        <f>OBRA!AS435+OBRA!AT435</f>
        <v>0</v>
      </c>
      <c r="Y437" s="1018" t="s">
        <v>4122</v>
      </c>
      <c r="Z437" s="146" t="str">
        <f>OBRA!W435</f>
        <v>N/A</v>
      </c>
      <c r="AA437" s="146" t="s">
        <v>68</v>
      </c>
      <c r="AB437" s="148" t="str">
        <f t="shared" si="25"/>
        <v>N/A</v>
      </c>
      <c r="AC437" s="148" t="s">
        <v>1177</v>
      </c>
      <c r="AD437" s="1090" t="s">
        <v>1177</v>
      </c>
      <c r="AE437" s="183" t="str">
        <f>OBRA!X435</f>
        <v>ING. J. GUADALUPE IBARRA RAMIREZ</v>
      </c>
      <c r="AF437" s="19">
        <v>807.4</v>
      </c>
      <c r="AG437" s="2" t="s">
        <v>1548</v>
      </c>
      <c r="AH437" s="551">
        <f t="shared" si="27"/>
        <v>0</v>
      </c>
      <c r="AI437" s="2">
        <v>60</v>
      </c>
      <c r="AJ437" s="513">
        <v>60</v>
      </c>
      <c r="AK437" s="513"/>
      <c r="AL437" s="1522" t="s">
        <v>68</v>
      </c>
      <c r="AM437" s="1523" t="s">
        <v>68</v>
      </c>
      <c r="AN437" s="573"/>
      <c r="AO437" s="573"/>
      <c r="AP437" s="573"/>
      <c r="AQ437" s="573"/>
      <c r="AR437" s="785"/>
      <c r="AS437" s="1268"/>
    </row>
    <row r="438" spans="1:45" ht="73.5" hidden="1" customHeight="1">
      <c r="A438" s="16">
        <f>OBRA!J436</f>
        <v>2020</v>
      </c>
      <c r="B438" s="783" t="s">
        <v>2094</v>
      </c>
      <c r="C438" s="783">
        <v>201.08099999999999</v>
      </c>
      <c r="D438" s="783"/>
      <c r="E438" s="2" t="str">
        <f>OBRA!M436</f>
        <v>CTA-CTE / EMP P REACT ECO MPIOS</v>
      </c>
      <c r="F438" s="605" t="s">
        <v>3522</v>
      </c>
      <c r="G438" s="156" t="s">
        <v>2861</v>
      </c>
      <c r="H438" s="412" t="str">
        <f>OBRA!N436</f>
        <v>DOP/AD/008-A/2020</v>
      </c>
      <c r="I438" s="2" t="str">
        <f>OBRA!O436</f>
        <v>ADMINISTRACIÓN DIRECTA</v>
      </c>
      <c r="J438" s="3" t="str">
        <f>OBRA!P436</f>
        <v>CONSTRUCCIÓN DE EMPEDRADO ZAMPEADO, EN LA LOCALIDAD DE HUEJOTITAN DEL MUNICIPIO DE JOCOTEPEC, JALISCO.</v>
      </c>
      <c r="K438" s="3" t="s">
        <v>3982</v>
      </c>
      <c r="L438" s="3" t="s">
        <v>4752</v>
      </c>
      <c r="M438" s="683" t="s">
        <v>3981</v>
      </c>
      <c r="N438" s="683" t="s">
        <v>2506</v>
      </c>
      <c r="O438" s="529"/>
      <c r="P438" s="4">
        <f>OBRA!R436</f>
        <v>327960.31</v>
      </c>
      <c r="Q438" s="1023">
        <f t="shared" si="24"/>
        <v>282724.4051724138</v>
      </c>
      <c r="R438" s="1023"/>
      <c r="S438" s="6">
        <f>OBRA!S436</f>
        <v>44089</v>
      </c>
      <c r="T438" s="1134" t="s">
        <v>1177</v>
      </c>
      <c r="U438" s="5">
        <f>OBRA!T436</f>
        <v>44166</v>
      </c>
      <c r="V438" s="11">
        <f>OBRA!U436</f>
        <v>44196</v>
      </c>
      <c r="W438" s="220">
        <v>0</v>
      </c>
      <c r="X438" s="1197">
        <f>OBRA!AS436+OBRA!AT436</f>
        <v>0</v>
      </c>
      <c r="Y438" s="1018" t="s">
        <v>3484</v>
      </c>
      <c r="Z438" s="146" t="str">
        <f>OBRA!W436</f>
        <v>N/A</v>
      </c>
      <c r="AA438" s="146" t="s">
        <v>68</v>
      </c>
      <c r="AB438" s="148" t="str">
        <f t="shared" si="25"/>
        <v>N/A</v>
      </c>
      <c r="AC438" s="148" t="s">
        <v>1177</v>
      </c>
      <c r="AD438" s="1090" t="s">
        <v>1177</v>
      </c>
      <c r="AE438" s="183">
        <f>OBRA!X436</f>
        <v>0</v>
      </c>
      <c r="AF438" s="19">
        <v>4550</v>
      </c>
      <c r="AG438" s="2" t="s">
        <v>1548</v>
      </c>
      <c r="AH438" s="551">
        <f t="shared" si="27"/>
        <v>0</v>
      </c>
      <c r="AI438" s="2">
        <v>250</v>
      </c>
      <c r="AJ438" s="513">
        <v>1300</v>
      </c>
      <c r="AK438" s="513"/>
      <c r="AL438" s="1522" t="s">
        <v>68</v>
      </c>
      <c r="AM438" s="1523" t="s">
        <v>68</v>
      </c>
      <c r="AN438" s="1223" t="s">
        <v>3536</v>
      </c>
      <c r="AO438" s="1223" t="s">
        <v>3536</v>
      </c>
      <c r="AP438" s="1223" t="s">
        <v>3536</v>
      </c>
      <c r="AQ438" s="1223" t="s">
        <v>3536</v>
      </c>
      <c r="AR438" s="1287"/>
      <c r="AS438" s="1268"/>
    </row>
    <row r="439" spans="1:45" ht="92.25" hidden="1" customHeight="1">
      <c r="A439" s="16">
        <f>OBRA!J437</f>
        <v>2020</v>
      </c>
      <c r="B439" s="783" t="s">
        <v>2094</v>
      </c>
      <c r="C439" s="783">
        <v>201.09</v>
      </c>
      <c r="D439" s="783"/>
      <c r="E439" s="2" t="str">
        <f>OBRA!M437</f>
        <v>EMP P/LA REACTIVACIÓN ECONÓMICA EN MPIOS</v>
      </c>
      <c r="F439" s="605" t="s">
        <v>3522</v>
      </c>
      <c r="G439" s="156" t="s">
        <v>2861</v>
      </c>
      <c r="H439" s="412" t="str">
        <f>OBRA!N437</f>
        <v>DOP/AD/009/2020</v>
      </c>
      <c r="I439" s="2" t="str">
        <f>OBRA!O437</f>
        <v>ADMINISTRACIÓN DIRECTA</v>
      </c>
      <c r="J439" s="3" t="str">
        <f>OBRA!P437</f>
        <v>CONSTRUCCIÓN DE EMPEDRADO ZAMPEADO EN VIALIDAD CALLE RAMON CORONA DEL 0+000 AL 0+101.50 ENTRE GALEANA Y FRANCISCO I MADERO,EN LA LOCALIDAD DE POTRERILLOS DEL MUNICIPIO DE JOCOTEPEC, JALISCO.</v>
      </c>
      <c r="K439" s="3" t="s">
        <v>3982</v>
      </c>
      <c r="L439" s="3" t="s">
        <v>4752</v>
      </c>
      <c r="M439" s="683" t="s">
        <v>3983</v>
      </c>
      <c r="N439" s="683" t="s">
        <v>2515</v>
      </c>
      <c r="O439" s="504" t="s">
        <v>4189</v>
      </c>
      <c r="P439" s="4">
        <f>OBRA!R437</f>
        <v>193929.96</v>
      </c>
      <c r="Q439" s="1023">
        <f t="shared" si="24"/>
        <v>167181</v>
      </c>
      <c r="R439" s="1023"/>
      <c r="S439" s="6">
        <f>OBRA!S437</f>
        <v>44089</v>
      </c>
      <c r="T439" s="1134" t="s">
        <v>1177</v>
      </c>
      <c r="U439" s="5">
        <f>OBRA!T437</f>
        <v>44140</v>
      </c>
      <c r="V439" s="11">
        <f>OBRA!U437</f>
        <v>44191</v>
      </c>
      <c r="W439" s="220">
        <v>0</v>
      </c>
      <c r="X439" s="1197">
        <f>OBRA!AS437+OBRA!AT437</f>
        <v>0</v>
      </c>
      <c r="Y439" s="1018" t="s">
        <v>4122</v>
      </c>
      <c r="Z439" s="146" t="str">
        <f>OBRA!W437</f>
        <v>N/A</v>
      </c>
      <c r="AA439" s="146" t="s">
        <v>68</v>
      </c>
      <c r="AB439" s="148" t="str">
        <f t="shared" si="25"/>
        <v>N/A</v>
      </c>
      <c r="AC439" s="148" t="s">
        <v>1177</v>
      </c>
      <c r="AD439" s="1090" t="s">
        <v>1177</v>
      </c>
      <c r="AE439" s="183" t="str">
        <f>OBRA!X437</f>
        <v>ING. J. GUADALUPE IBARRA RAMIREZ</v>
      </c>
      <c r="AF439" s="19">
        <f>AF438</f>
        <v>4550</v>
      </c>
      <c r="AG439" s="2" t="str">
        <f>AG438</f>
        <v>M2</v>
      </c>
      <c r="AH439" s="551">
        <f t="shared" si="27"/>
        <v>0</v>
      </c>
      <c r="AI439" s="2">
        <f>AI438</f>
        <v>250</v>
      </c>
      <c r="AJ439" s="513">
        <f>AJ438</f>
        <v>1300</v>
      </c>
      <c r="AK439" s="513"/>
      <c r="AL439" s="1522">
        <v>20.338339000000001</v>
      </c>
      <c r="AM439" s="1523">
        <v>103.381462</v>
      </c>
      <c r="AN439" s="573"/>
      <c r="AO439" s="573"/>
      <c r="AP439" s="573"/>
      <c r="AQ439" s="573"/>
      <c r="AR439" s="785"/>
      <c r="AS439" s="1268"/>
    </row>
    <row r="440" spans="1:45" ht="86.25" hidden="1" customHeight="1">
      <c r="A440" s="16">
        <f>OBRA!J438</f>
        <v>2020</v>
      </c>
      <c r="B440" s="783" t="s">
        <v>2094</v>
      </c>
      <c r="C440" s="783">
        <v>201.09100000000001</v>
      </c>
      <c r="D440" s="783"/>
      <c r="E440" s="2" t="str">
        <f>OBRA!M438</f>
        <v>EMP P/LA REACTIVACIÓN ECONÓMICA EN MPIOS</v>
      </c>
      <c r="F440" s="605" t="s">
        <v>3522</v>
      </c>
      <c r="G440" s="156" t="s">
        <v>2861</v>
      </c>
      <c r="H440" s="412" t="str">
        <f>OBRA!N438</f>
        <v>DOP/AD/009/2020</v>
      </c>
      <c r="I440" s="2" t="str">
        <f>OBRA!O438</f>
        <v>ADMINISTRACIÓN DIRECTA</v>
      </c>
      <c r="J440" s="3" t="str">
        <f>OBRA!P438</f>
        <v>CONSTRUCCIÓN DE EMPEDRADO ZAMPEADO EN VIALIDAD FRANCISCO I MADERO DEL KM 0+000 AL 0+173.50 ENTRE BENITO JUAREZ Y CERRADA, EN LA LOCALIDAD DE POTRERILLOS DEL MUNICIPIO DE JOCOTEPEC, JALISCO.</v>
      </c>
      <c r="K440" s="3" t="s">
        <v>3982</v>
      </c>
      <c r="L440" s="3" t="s">
        <v>4752</v>
      </c>
      <c r="M440" s="683" t="s">
        <v>3984</v>
      </c>
      <c r="N440" s="683" t="s">
        <v>2515</v>
      </c>
      <c r="O440" s="504" t="s">
        <v>4189</v>
      </c>
      <c r="P440" s="4">
        <f>OBRA!R438</f>
        <v>331496.03999999998</v>
      </c>
      <c r="Q440" s="1023">
        <f t="shared" si="24"/>
        <v>285772.44827586209</v>
      </c>
      <c r="R440" s="1023"/>
      <c r="S440" s="6">
        <f>OBRA!S438</f>
        <v>44089</v>
      </c>
      <c r="T440" s="1134" t="s">
        <v>1177</v>
      </c>
      <c r="U440" s="5">
        <f>OBRA!T438</f>
        <v>44140</v>
      </c>
      <c r="V440" s="11">
        <f>OBRA!U438</f>
        <v>44191</v>
      </c>
      <c r="W440" s="220">
        <v>0</v>
      </c>
      <c r="X440" s="1197">
        <f>OBRA!AS438+OBRA!AT438</f>
        <v>0</v>
      </c>
      <c r="Y440" s="1018" t="s">
        <v>3484</v>
      </c>
      <c r="Z440" s="146" t="str">
        <f>OBRA!W438</f>
        <v>N/A</v>
      </c>
      <c r="AA440" s="146" t="s">
        <v>68</v>
      </c>
      <c r="AB440" s="148" t="str">
        <f t="shared" si="25"/>
        <v>N/A</v>
      </c>
      <c r="AC440" s="148" t="s">
        <v>1177</v>
      </c>
      <c r="AD440" s="1090" t="s">
        <v>1177</v>
      </c>
      <c r="AE440" s="183" t="str">
        <f>OBRA!X438</f>
        <v>ING. J. GUADALUPE IBARRA RAMIREZ</v>
      </c>
      <c r="AF440" s="19">
        <v>812</v>
      </c>
      <c r="AG440" s="2" t="s">
        <v>1548</v>
      </c>
      <c r="AH440" s="551">
        <f t="shared" si="27"/>
        <v>0</v>
      </c>
      <c r="AI440" s="2">
        <v>100</v>
      </c>
      <c r="AJ440" s="513">
        <v>450</v>
      </c>
      <c r="AK440" s="513"/>
      <c r="AL440" s="1522">
        <v>20.338339000000001</v>
      </c>
      <c r="AM440" s="1523">
        <v>103.381462</v>
      </c>
      <c r="AN440" s="1223" t="s">
        <v>3538</v>
      </c>
      <c r="AO440" s="1223" t="s">
        <v>3538</v>
      </c>
      <c r="AP440" s="573"/>
      <c r="AQ440" s="573"/>
      <c r="AR440" s="785"/>
      <c r="AS440" s="1268"/>
    </row>
    <row r="441" spans="1:45" ht="60" hidden="1" customHeight="1">
      <c r="A441" s="16">
        <f>OBRA!J439</f>
        <v>2020</v>
      </c>
      <c r="B441" s="783" t="s">
        <v>2094</v>
      </c>
      <c r="C441" s="783">
        <v>201.09200000000001</v>
      </c>
      <c r="D441" s="783"/>
      <c r="E441" s="2" t="str">
        <f>OBRA!M439</f>
        <v>CTA-CTE / EMP P REACT ECO MPIOS</v>
      </c>
      <c r="F441" s="605" t="s">
        <v>3522</v>
      </c>
      <c r="G441" s="156" t="s">
        <v>2861</v>
      </c>
      <c r="H441" s="412" t="str">
        <f>OBRA!N439</f>
        <v>DOP/AD/009-A/2020</v>
      </c>
      <c r="I441" s="2" t="str">
        <f>OBRA!O439</f>
        <v>ADMINISTRACIÓN DIRECTA</v>
      </c>
      <c r="J441" s="3" t="str">
        <f>OBRA!P439</f>
        <v>CONSTRUCCIÓN DE EMPEDRADO ZAMPEADO, EN LA LOCALIDAD DE POTRERILLOS DEL MUNICIPIO DE JOCOTEPEC, JALISCO</v>
      </c>
      <c r="K441" s="3" t="s">
        <v>3982</v>
      </c>
      <c r="L441" s="3" t="s">
        <v>4752</v>
      </c>
      <c r="M441" s="683" t="s">
        <v>3985</v>
      </c>
      <c r="N441" s="683" t="s">
        <v>2515</v>
      </c>
      <c r="O441" s="529"/>
      <c r="P441" s="4">
        <f>OBRA!R439</f>
        <v>174032.11</v>
      </c>
      <c r="Q441" s="1023">
        <f t="shared" si="24"/>
        <v>150027.68103448275</v>
      </c>
      <c r="R441" s="1023"/>
      <c r="S441" s="6">
        <f>OBRA!S439</f>
        <v>44089</v>
      </c>
      <c r="T441" s="1134" t="s">
        <v>1177</v>
      </c>
      <c r="U441" s="5">
        <f>OBRA!T439</f>
        <v>44140</v>
      </c>
      <c r="V441" s="11">
        <f>OBRA!U439</f>
        <v>44191</v>
      </c>
      <c r="W441" s="220">
        <v>0</v>
      </c>
      <c r="X441" s="1197">
        <f>OBRA!AS439+OBRA!AT439</f>
        <v>0</v>
      </c>
      <c r="Y441" s="1018" t="s">
        <v>3484</v>
      </c>
      <c r="Z441" s="146" t="str">
        <f>OBRA!W439</f>
        <v>N/A</v>
      </c>
      <c r="AA441" s="146" t="s">
        <v>68</v>
      </c>
      <c r="AB441" s="148" t="str">
        <f t="shared" si="25"/>
        <v>N/A</v>
      </c>
      <c r="AC441" s="148" t="s">
        <v>1177</v>
      </c>
      <c r="AD441" s="1090" t="s">
        <v>1177</v>
      </c>
      <c r="AE441" s="183">
        <f>OBRA!X439</f>
        <v>0</v>
      </c>
      <c r="AF441" s="19">
        <v>1388</v>
      </c>
      <c r="AG441" s="2" t="s">
        <v>1548</v>
      </c>
      <c r="AH441" s="551">
        <f t="shared" si="27"/>
        <v>0</v>
      </c>
      <c r="AI441" s="2">
        <v>120</v>
      </c>
      <c r="AJ441" s="513">
        <v>200</v>
      </c>
      <c r="AK441" s="513"/>
      <c r="AL441" s="1522" t="s">
        <v>68</v>
      </c>
      <c r="AM441" s="1523" t="s">
        <v>68</v>
      </c>
      <c r="AN441" s="1223" t="s">
        <v>3538</v>
      </c>
      <c r="AO441" s="1223" t="s">
        <v>3538</v>
      </c>
      <c r="AP441" s="1223" t="s">
        <v>3538</v>
      </c>
      <c r="AQ441" s="573"/>
      <c r="AR441" s="785"/>
      <c r="AS441" s="1268"/>
    </row>
    <row r="442" spans="1:45" ht="72" hidden="1" customHeight="1">
      <c r="A442" s="16">
        <f>OBRA!J440</f>
        <v>2020</v>
      </c>
      <c r="B442" s="783" t="s">
        <v>2094</v>
      </c>
      <c r="C442" s="783">
        <v>201.1</v>
      </c>
      <c r="D442" s="783"/>
      <c r="E442" s="2" t="str">
        <f>OBRA!M440</f>
        <v>EMP P/LA REACTIVACIÓN ECONÓMICA EN MPIOS</v>
      </c>
      <c r="F442" s="605" t="s">
        <v>3522</v>
      </c>
      <c r="G442" s="156" t="s">
        <v>2861</v>
      </c>
      <c r="H442" s="412" t="str">
        <f>OBRA!N440</f>
        <v>DOP/AD/010/2020</v>
      </c>
      <c r="I442" s="2" t="str">
        <f>OBRA!O440</f>
        <v>ADMINISTRACIÓN DIRECTA</v>
      </c>
      <c r="J442" s="3" t="str">
        <f>OBRA!P440</f>
        <v>CONSTRUCCIÓN DE EMPEDRADO ZAMPEADO EN VIALIDAD AV. DEL TRABAJO DE KM 0+000.00 AL KM 0+215.00 (ENTRE VICENTE GUERRERO Y ALLENDE) SAN CRISTOBAL</v>
      </c>
      <c r="K442" s="3" t="s">
        <v>3982</v>
      </c>
      <c r="L442" s="3" t="s">
        <v>4752</v>
      </c>
      <c r="M442" s="683" t="s">
        <v>3986</v>
      </c>
      <c r="N442" s="683" t="s">
        <v>1976</v>
      </c>
      <c r="O442" s="504" t="s">
        <v>4190</v>
      </c>
      <c r="P442" s="4">
        <f>OBRA!R440</f>
        <v>410787.6</v>
      </c>
      <c r="Q442" s="1023">
        <f t="shared" si="24"/>
        <v>354127.24137931038</v>
      </c>
      <c r="R442" s="1023"/>
      <c r="S442" s="6">
        <f>OBRA!S440</f>
        <v>44089</v>
      </c>
      <c r="T442" s="1134" t="s">
        <v>1177</v>
      </c>
      <c r="U442" s="5">
        <f>OBRA!T440</f>
        <v>44166</v>
      </c>
      <c r="V442" s="11">
        <f>OBRA!U440</f>
        <v>44196</v>
      </c>
      <c r="W442" s="220">
        <v>0</v>
      </c>
      <c r="X442" s="1197">
        <f>OBRA!AS440+OBRA!AT440</f>
        <v>0</v>
      </c>
      <c r="Y442" s="1018" t="s">
        <v>4122</v>
      </c>
      <c r="Z442" s="146" t="str">
        <f>OBRA!W440</f>
        <v>N/A</v>
      </c>
      <c r="AA442" s="146" t="s">
        <v>68</v>
      </c>
      <c r="AB442" s="148" t="str">
        <f t="shared" si="25"/>
        <v>N/A</v>
      </c>
      <c r="AC442" s="148" t="s">
        <v>1177</v>
      </c>
      <c r="AD442" s="1090" t="s">
        <v>1177</v>
      </c>
      <c r="AE442" s="183" t="str">
        <f>OBRA!X440</f>
        <v>ING. J. GUADALUPE IBARRA RAMIREZ</v>
      </c>
      <c r="AF442" s="19">
        <f>AF441</f>
        <v>1388</v>
      </c>
      <c r="AG442" s="2" t="str">
        <f>AG441</f>
        <v>M2</v>
      </c>
      <c r="AH442" s="551">
        <f t="shared" si="27"/>
        <v>0</v>
      </c>
      <c r="AI442" s="2">
        <f>AI441</f>
        <v>120</v>
      </c>
      <c r="AJ442" s="513">
        <f>AJ441</f>
        <v>200</v>
      </c>
      <c r="AK442" s="513"/>
      <c r="AL442" s="1522">
        <v>20.223068999999999</v>
      </c>
      <c r="AM442" s="1523">
        <v>103.360921</v>
      </c>
      <c r="AN442" s="573"/>
      <c r="AO442" s="573"/>
      <c r="AP442" s="573"/>
      <c r="AQ442" s="573"/>
      <c r="AR442" s="785"/>
      <c r="AS442" s="1268"/>
    </row>
    <row r="443" spans="1:45" ht="90" hidden="1" customHeight="1">
      <c r="A443" s="16">
        <f>OBRA!J441</f>
        <v>2020</v>
      </c>
      <c r="B443" s="783" t="s">
        <v>2094</v>
      </c>
      <c r="C443" s="783">
        <v>201.101</v>
      </c>
      <c r="D443" s="783"/>
      <c r="E443" s="2" t="str">
        <f>OBRA!M441</f>
        <v>CTA-CTE / EMP P REACT ECO MPIOS</v>
      </c>
      <c r="F443" s="605" t="s">
        <v>3522</v>
      </c>
      <c r="G443" s="156" t="s">
        <v>2861</v>
      </c>
      <c r="H443" s="412" t="str">
        <f>OBRA!N441</f>
        <v>DOP/AD/010-A/2020</v>
      </c>
      <c r="I443" s="2" t="str">
        <f>OBRA!O441</f>
        <v>ADMINISTRACIÓN DIRECTA</v>
      </c>
      <c r="J443" s="3" t="str">
        <f>OBRA!P441</f>
        <v>CONSTRUCCIÓN DE EMPEDRADO ZAMPEADO EN VIALIDAD AV. DEL TRABAJO DE KM 0+000.00 AL KM 0+215.00 (ENTRE VICENTE GUERRERO Y ALLENDE), EN LA LOCALIDAD DE SAN CRISTÓBAL ZAPOTITLÁN DEL MUNICIPIO DE JOCOTEPEC, JALISCO.</v>
      </c>
      <c r="K443" s="3" t="s">
        <v>3982</v>
      </c>
      <c r="L443" s="3" t="s">
        <v>4752</v>
      </c>
      <c r="M443" s="683" t="s">
        <v>3986</v>
      </c>
      <c r="N443" s="683" t="s">
        <v>1976</v>
      </c>
      <c r="O443" s="529"/>
      <c r="P443" s="4">
        <f>OBRA!R441</f>
        <v>149317.53</v>
      </c>
      <c r="Q443" s="1023">
        <f t="shared" si="24"/>
        <v>128722.00862068967</v>
      </c>
      <c r="R443" s="1023"/>
      <c r="S443" s="6">
        <f>OBRA!S441</f>
        <v>44089</v>
      </c>
      <c r="T443" s="1134" t="s">
        <v>1177</v>
      </c>
      <c r="U443" s="5">
        <f>OBRA!T441</f>
        <v>44166</v>
      </c>
      <c r="V443" s="11">
        <f>OBRA!U441</f>
        <v>44196</v>
      </c>
      <c r="W443" s="220">
        <v>0</v>
      </c>
      <c r="X443" s="1197">
        <f>OBRA!AS441+OBRA!AT441</f>
        <v>0</v>
      </c>
      <c r="Y443" s="1018" t="s">
        <v>3484</v>
      </c>
      <c r="Z443" s="146" t="str">
        <f>OBRA!W441</f>
        <v>N/A</v>
      </c>
      <c r="AA443" s="146" t="s">
        <v>68</v>
      </c>
      <c r="AB443" s="148" t="str">
        <f t="shared" si="25"/>
        <v>N/A</v>
      </c>
      <c r="AC443" s="148" t="s">
        <v>1177</v>
      </c>
      <c r="AD443" s="1090" t="s">
        <v>1177</v>
      </c>
      <c r="AE443" s="183">
        <f>OBRA!X441</f>
        <v>0</v>
      </c>
      <c r="AF443" s="19">
        <v>1720</v>
      </c>
      <c r="AG443" s="2" t="s">
        <v>1548</v>
      </c>
      <c r="AH443" s="551">
        <f t="shared" si="27"/>
        <v>0</v>
      </c>
      <c r="AI443" s="2">
        <v>250</v>
      </c>
      <c r="AJ443" s="513">
        <v>2400</v>
      </c>
      <c r="AK443" s="513"/>
      <c r="AL443" s="1522">
        <v>20.223068999999999</v>
      </c>
      <c r="AM443" s="1523">
        <v>103.360921</v>
      </c>
      <c r="AN443" s="1223" t="s">
        <v>3530</v>
      </c>
      <c r="AO443" s="1223" t="s">
        <v>3530</v>
      </c>
      <c r="AP443" s="1223" t="s">
        <v>3530</v>
      </c>
      <c r="AQ443" s="1224" t="s">
        <v>3530</v>
      </c>
      <c r="AR443" s="1224"/>
      <c r="AS443" s="1268"/>
    </row>
    <row r="444" spans="1:45" ht="84.75" hidden="1" customHeight="1">
      <c r="A444" s="16">
        <f>OBRA!J442</f>
        <v>2020</v>
      </c>
      <c r="B444" s="783" t="s">
        <v>2094</v>
      </c>
      <c r="C444" s="783">
        <v>201.11</v>
      </c>
      <c r="D444" s="783"/>
      <c r="E444" s="2" t="str">
        <f>OBRA!M442</f>
        <v>EMP P/LA REACTIVACIÓN ECONÓMICA EN MPIOS</v>
      </c>
      <c r="F444" s="605" t="s">
        <v>3522</v>
      </c>
      <c r="G444" s="156" t="s">
        <v>2861</v>
      </c>
      <c r="H444" s="412" t="str">
        <f>OBRA!N442</f>
        <v>DOP/AD/011/2020</v>
      </c>
      <c r="I444" s="2" t="str">
        <f>OBRA!O442</f>
        <v>ADMINISTRACIÓN DIRECTA</v>
      </c>
      <c r="J444" s="3" t="str">
        <f>OBRA!P442</f>
        <v>CONSTRUCCIÓN DE EMPEDRADO ZAMPEADO EN CALLES DE LA AGENCIA DE EL SAUZ</v>
      </c>
      <c r="K444" s="3" t="s">
        <v>3982</v>
      </c>
      <c r="L444" s="3" t="s">
        <v>4752</v>
      </c>
      <c r="M444" s="683" t="s">
        <v>3987</v>
      </c>
      <c r="N444" s="683" t="s">
        <v>2503</v>
      </c>
      <c r="O444" s="504" t="s">
        <v>4019</v>
      </c>
      <c r="P444" s="4">
        <f>OBRA!R442</f>
        <v>781012.26</v>
      </c>
      <c r="Q444" s="1023">
        <f t="shared" si="24"/>
        <v>673286.43103448278</v>
      </c>
      <c r="R444" s="1023"/>
      <c r="S444" s="6">
        <f>OBRA!S442</f>
        <v>44089</v>
      </c>
      <c r="T444" s="1134" t="s">
        <v>1177</v>
      </c>
      <c r="U444" s="5">
        <f>OBRA!T442</f>
        <v>44150</v>
      </c>
      <c r="V444" s="11">
        <f>OBRA!U442</f>
        <v>44181</v>
      </c>
      <c r="W444" s="220">
        <v>0</v>
      </c>
      <c r="X444" s="1197">
        <f>OBRA!AS442+OBRA!AT442</f>
        <v>0</v>
      </c>
      <c r="Y444" s="1018" t="s">
        <v>4122</v>
      </c>
      <c r="Z444" s="146" t="str">
        <f>OBRA!W442</f>
        <v>N/A</v>
      </c>
      <c r="AA444" s="146" t="s">
        <v>68</v>
      </c>
      <c r="AB444" s="148" t="str">
        <f t="shared" si="25"/>
        <v>N/A</v>
      </c>
      <c r="AC444" s="148" t="s">
        <v>1177</v>
      </c>
      <c r="AD444" s="1090" t="s">
        <v>1177</v>
      </c>
      <c r="AE444" s="183" t="str">
        <f>OBRA!X442</f>
        <v>ING. J. GUADALUPE IBARRA RAMIREZ</v>
      </c>
      <c r="AF444" s="19">
        <f>AF443</f>
        <v>1720</v>
      </c>
      <c r="AG444" s="2" t="str">
        <f>AG443</f>
        <v>M2</v>
      </c>
      <c r="AH444" s="551">
        <f t="shared" si="27"/>
        <v>0</v>
      </c>
      <c r="AI444" s="2">
        <f>AI443</f>
        <v>250</v>
      </c>
      <c r="AJ444" s="513">
        <f>AJ443</f>
        <v>2400</v>
      </c>
      <c r="AK444" s="513"/>
      <c r="AL444" s="1522" t="s">
        <v>68</v>
      </c>
      <c r="AM444" s="1523" t="s">
        <v>68</v>
      </c>
      <c r="AN444" s="573" t="s">
        <v>4019</v>
      </c>
      <c r="AO444" s="573"/>
      <c r="AP444" s="573"/>
      <c r="AQ444" s="573"/>
      <c r="AR444" s="785"/>
      <c r="AS444" s="1268"/>
    </row>
    <row r="445" spans="1:45" ht="92.25" hidden="1" customHeight="1">
      <c r="A445" s="16">
        <f>OBRA!J443</f>
        <v>2020</v>
      </c>
      <c r="B445" s="783" t="s">
        <v>2094</v>
      </c>
      <c r="C445" s="783">
        <v>201.11099999999999</v>
      </c>
      <c r="D445" s="783"/>
      <c r="E445" s="2" t="str">
        <f>OBRA!M443</f>
        <v>CTA-CTE / EMP P REACT ECO MPIOS</v>
      </c>
      <c r="F445" s="605" t="s">
        <v>3522</v>
      </c>
      <c r="G445" s="156" t="s">
        <v>2861</v>
      </c>
      <c r="H445" s="412" t="str">
        <f>OBRA!N443</f>
        <v>DOP/AD/011-A/2020</v>
      </c>
      <c r="I445" s="2" t="str">
        <f>OBRA!O443</f>
        <v>ADMINISTRACIÓN DIRECTA</v>
      </c>
      <c r="J445" s="3" t="str">
        <f>OBRA!P443</f>
        <v>CONSTRUCCIÓN DE EMPEDRADO ZAMPEADO, EN LA AGENCIA DE EL SAUZ</v>
      </c>
      <c r="K445" s="3" t="s">
        <v>3982</v>
      </c>
      <c r="L445" s="3" t="s">
        <v>4752</v>
      </c>
      <c r="M445" s="683" t="s">
        <v>3987</v>
      </c>
      <c r="N445" s="683" t="s">
        <v>2503</v>
      </c>
      <c r="O445" s="529"/>
      <c r="P445" s="4">
        <f>OBRA!R443</f>
        <v>289700.96999999997</v>
      </c>
      <c r="Q445" s="1023">
        <f t="shared" si="24"/>
        <v>249742.21551724136</v>
      </c>
      <c r="R445" s="1023"/>
      <c r="S445" s="6">
        <f>OBRA!S443</f>
        <v>44089</v>
      </c>
      <c r="T445" s="1134" t="s">
        <v>1177</v>
      </c>
      <c r="U445" s="5">
        <f>OBRA!T443</f>
        <v>44150</v>
      </c>
      <c r="V445" s="11">
        <f>OBRA!U443</f>
        <v>44181</v>
      </c>
      <c r="W445" s="220">
        <v>0</v>
      </c>
      <c r="X445" s="1197">
        <f>OBRA!AS443+OBRA!AT443</f>
        <v>0</v>
      </c>
      <c r="Y445" s="1018" t="s">
        <v>3484</v>
      </c>
      <c r="Z445" s="146" t="str">
        <f>OBRA!W443</f>
        <v>N/A</v>
      </c>
      <c r="AA445" s="146" t="s">
        <v>68</v>
      </c>
      <c r="AB445" s="148" t="str">
        <f t="shared" si="25"/>
        <v>N/A</v>
      </c>
      <c r="AC445" s="148" t="s">
        <v>1177</v>
      </c>
      <c r="AD445" s="1090" t="s">
        <v>1177</v>
      </c>
      <c r="AE445" s="183">
        <f>OBRA!X443</f>
        <v>0</v>
      </c>
      <c r="AF445" s="19">
        <v>3181.05</v>
      </c>
      <c r="AG445" s="2" t="s">
        <v>1548</v>
      </c>
      <c r="AH445" s="551">
        <f t="shared" si="27"/>
        <v>0</v>
      </c>
      <c r="AI445" s="2">
        <v>260</v>
      </c>
      <c r="AJ445" s="513">
        <v>260</v>
      </c>
      <c r="AK445" s="513"/>
      <c r="AL445" s="1522" t="s">
        <v>68</v>
      </c>
      <c r="AM445" s="1523" t="s">
        <v>68</v>
      </c>
      <c r="AN445" s="1223" t="s">
        <v>3533</v>
      </c>
      <c r="AO445" s="1223" t="s">
        <v>3533</v>
      </c>
      <c r="AP445" s="1223" t="s">
        <v>3533</v>
      </c>
      <c r="AQ445" s="1223" t="s">
        <v>3533</v>
      </c>
      <c r="AR445" s="1287"/>
      <c r="AS445" s="1268"/>
    </row>
    <row r="446" spans="1:45" ht="72.75" hidden="1" customHeight="1">
      <c r="A446" s="16">
        <f>OBRA!J444</f>
        <v>2020</v>
      </c>
      <c r="B446" s="783" t="s">
        <v>2094</v>
      </c>
      <c r="C446" s="783">
        <v>201.12</v>
      </c>
      <c r="D446" s="783"/>
      <c r="E446" s="2" t="str">
        <f>OBRA!M444</f>
        <v>EMP P/LA REACTIVACIÓN ECONÓMICA EN MPIOS</v>
      </c>
      <c r="F446" s="605" t="s">
        <v>3522</v>
      </c>
      <c r="G446" s="156" t="s">
        <v>2861</v>
      </c>
      <c r="H446" s="412" t="str">
        <f>OBRA!N444</f>
        <v>DOP/AD/012/2020</v>
      </c>
      <c r="I446" s="2" t="str">
        <f>OBRA!O444</f>
        <v>ADMINISTRACIÓN DIRECTA</v>
      </c>
      <c r="J446" s="3" t="str">
        <f>OBRA!P444</f>
        <v>CONSTRUCCIÓN DE EMPEDRADO ZAMPEADO EN VIALIDAD ANDADOR PEATONAL ENTRE SAN LUCIANO Y SAN LUCIANO DE ABAJO DE KM 0+000.00 AL KM 0+746.00, SAN LUCIANO</v>
      </c>
      <c r="K446" s="3" t="s">
        <v>3982</v>
      </c>
      <c r="L446" s="3" t="s">
        <v>4752</v>
      </c>
      <c r="M446" s="683" t="s">
        <v>3988</v>
      </c>
      <c r="N446" s="683" t="s">
        <v>2613</v>
      </c>
      <c r="O446" s="504" t="s">
        <v>4191</v>
      </c>
      <c r="P446" s="4">
        <f>OBRA!R444</f>
        <v>448092.36</v>
      </c>
      <c r="Q446" s="1023">
        <f t="shared" si="24"/>
        <v>386286.5172413793</v>
      </c>
      <c r="R446" s="1023"/>
      <c r="S446" s="6">
        <f>OBRA!S444</f>
        <v>44089</v>
      </c>
      <c r="T446" s="1134" t="s">
        <v>1177</v>
      </c>
      <c r="U446" s="5">
        <f>OBRA!T444</f>
        <v>44166</v>
      </c>
      <c r="V446" s="11">
        <f>OBRA!U444</f>
        <v>44196</v>
      </c>
      <c r="W446" s="220">
        <v>0</v>
      </c>
      <c r="X446" s="1197">
        <f>OBRA!AS444+OBRA!AT444</f>
        <v>0</v>
      </c>
      <c r="Y446" s="1018" t="s">
        <v>4122</v>
      </c>
      <c r="Z446" s="146" t="str">
        <f>OBRA!W444</f>
        <v>N/A</v>
      </c>
      <c r="AA446" s="146" t="s">
        <v>68</v>
      </c>
      <c r="AB446" s="148" t="str">
        <f t="shared" si="25"/>
        <v>N/A</v>
      </c>
      <c r="AC446" s="148" t="s">
        <v>1177</v>
      </c>
      <c r="AD446" s="1090" t="s">
        <v>1177</v>
      </c>
      <c r="AE446" s="183" t="str">
        <f>OBRA!X444</f>
        <v>ING. J. GUADALUPE IBARRA RAMIREZ</v>
      </c>
      <c r="AF446" s="19">
        <f>AF445</f>
        <v>3181.05</v>
      </c>
      <c r="AG446" s="2" t="str">
        <f>AG445</f>
        <v>M2</v>
      </c>
      <c r="AH446" s="551">
        <f t="shared" si="27"/>
        <v>0</v>
      </c>
      <c r="AI446" s="2">
        <f>AI445</f>
        <v>260</v>
      </c>
      <c r="AJ446" s="513">
        <f>AJ445</f>
        <v>260</v>
      </c>
      <c r="AK446" s="513"/>
      <c r="AL446" s="1522">
        <v>20.315778000000002</v>
      </c>
      <c r="AM446" s="1523">
        <v>103.420536</v>
      </c>
      <c r="AN446" s="573"/>
      <c r="AO446" s="573"/>
      <c r="AP446" s="573"/>
      <c r="AQ446" s="573"/>
      <c r="AR446" s="785"/>
      <c r="AS446" s="1268"/>
    </row>
    <row r="447" spans="1:45" ht="93.75" hidden="1" customHeight="1">
      <c r="A447" s="16">
        <f>OBRA!J445</f>
        <v>2020</v>
      </c>
      <c r="B447" s="783" t="s">
        <v>2094</v>
      </c>
      <c r="C447" s="783">
        <v>201.12100000000001</v>
      </c>
      <c r="D447" s="783"/>
      <c r="E447" s="2" t="str">
        <f>OBRA!M445</f>
        <v>CTA-CTE / EMP P REACT ECO MPIOS</v>
      </c>
      <c r="F447" s="605" t="s">
        <v>3522</v>
      </c>
      <c r="G447" s="156" t="s">
        <v>2861</v>
      </c>
      <c r="H447" s="412" t="str">
        <f>OBRA!N445</f>
        <v>DOP/AD/012-A/2020</v>
      </c>
      <c r="I447" s="2" t="str">
        <f>OBRA!O445</f>
        <v>ADMINISTRACIÓN DIRECTA</v>
      </c>
      <c r="J447" s="3" t="str">
        <f>OBRA!P445</f>
        <v>CONSTRUCCIÓN DE EMPEDRADO ZAMPEADO EN VIALIDAD ANDADOR PEATONAL ENTRE SAN LUCIANO Y SAN LUCIANO DE ABAJO DE KM 0+000.00 AL KM 0+746.00, EN LA LOCALIDAD DE SAN LUCIANO DEL MUNICIPIO DE JOCOTEPEC, JALISCO.</v>
      </c>
      <c r="K447" s="3" t="s">
        <v>3982</v>
      </c>
      <c r="L447" s="3" t="s">
        <v>4752</v>
      </c>
      <c r="M447" s="683" t="s">
        <v>3988</v>
      </c>
      <c r="N447" s="683" t="s">
        <v>2613</v>
      </c>
      <c r="O447" s="504" t="s">
        <v>4191</v>
      </c>
      <c r="P447" s="4">
        <f>OBRA!R445</f>
        <v>180637.7</v>
      </c>
      <c r="Q447" s="1023">
        <f t="shared" si="24"/>
        <v>155722.15517241383</v>
      </c>
      <c r="R447" s="1023"/>
      <c r="S447" s="6">
        <f>OBRA!S445</f>
        <v>44089</v>
      </c>
      <c r="T447" s="1134" t="s">
        <v>1177</v>
      </c>
      <c r="U447" s="5">
        <f>OBRA!T445</f>
        <v>44166</v>
      </c>
      <c r="V447" s="11">
        <f>OBRA!U445</f>
        <v>44196</v>
      </c>
      <c r="W447" s="220">
        <v>0</v>
      </c>
      <c r="X447" s="1197">
        <f>OBRA!AS445+OBRA!AT445</f>
        <v>0</v>
      </c>
      <c r="Y447" s="1018" t="s">
        <v>3484</v>
      </c>
      <c r="Z447" s="146" t="str">
        <f>OBRA!W445</f>
        <v>N/A</v>
      </c>
      <c r="AA447" s="146" t="s">
        <v>68</v>
      </c>
      <c r="AB447" s="148" t="str">
        <f t="shared" si="25"/>
        <v>N/A</v>
      </c>
      <c r="AC447" s="148" t="s">
        <v>1177</v>
      </c>
      <c r="AD447" s="1090" t="s">
        <v>1177</v>
      </c>
      <c r="AE447" s="183">
        <f>OBRA!X445</f>
        <v>0</v>
      </c>
      <c r="AF447" s="19">
        <v>1492</v>
      </c>
      <c r="AG447" s="2" t="s">
        <v>1548</v>
      </c>
      <c r="AH447" s="551">
        <f t="shared" si="27"/>
        <v>0</v>
      </c>
      <c r="AI447" s="2">
        <v>300</v>
      </c>
      <c r="AJ447" s="513">
        <v>300</v>
      </c>
      <c r="AK447" s="513"/>
      <c r="AL447" s="1522">
        <v>20.315778000000002</v>
      </c>
      <c r="AM447" s="1523">
        <v>103.420536</v>
      </c>
      <c r="AN447" s="1223" t="s">
        <v>3529</v>
      </c>
      <c r="AO447" s="1223" t="s">
        <v>3529</v>
      </c>
      <c r="AP447" s="1223" t="s">
        <v>3529</v>
      </c>
      <c r="AQ447" s="1224" t="s">
        <v>3529</v>
      </c>
      <c r="AR447" s="1224"/>
      <c r="AS447" s="1268"/>
    </row>
    <row r="448" spans="1:45" ht="90" hidden="1" customHeight="1">
      <c r="A448" s="16">
        <f>OBRA!J446</f>
        <v>2020</v>
      </c>
      <c r="B448" s="783" t="s">
        <v>2094</v>
      </c>
      <c r="C448" s="783">
        <v>201.13</v>
      </c>
      <c r="D448" s="783"/>
      <c r="E448" s="2" t="str">
        <f>OBRA!M446</f>
        <v>EMP P/LA REACTIVACIÓN ECONÓMICA EN MPIOS</v>
      </c>
      <c r="F448" s="605" t="s">
        <v>3522</v>
      </c>
      <c r="G448" s="156" t="s">
        <v>2861</v>
      </c>
      <c r="H448" s="412" t="str">
        <f>OBRA!N446</f>
        <v>DOP/AD/013/2020</v>
      </c>
      <c r="I448" s="2" t="str">
        <f>OBRA!O446</f>
        <v>ADMINISTRACIÓN DIRECTA</v>
      </c>
      <c r="J448" s="3" t="str">
        <f>OBRA!P446</f>
        <v>CONSTRUCCIÓN DE EMPEDRADO ZAMPEADO, EN CALLES PRIMAVERA, REFUGIO SALAZAR IBARRA, PROF(A) CATALINA VALENCIA Y PBRO MARCOS CASTELLANOS, DEL FRACC. "EL CARRIZAL", EN LA CABECERA MUNICIPAL DE JOCOTEPEC JALISCO.</v>
      </c>
      <c r="K448" s="3" t="s">
        <v>3982</v>
      </c>
      <c r="L448" s="3" t="s">
        <v>4752</v>
      </c>
      <c r="M448" s="683" t="s">
        <v>3989</v>
      </c>
      <c r="N448" s="683" t="s">
        <v>1975</v>
      </c>
      <c r="O448" s="529"/>
      <c r="P448" s="4">
        <f>OBRA!R446</f>
        <v>846155.00000000012</v>
      </c>
      <c r="Q448" s="1023">
        <f t="shared" si="24"/>
        <v>729443.96551724151</v>
      </c>
      <c r="R448" s="1023"/>
      <c r="S448" s="6">
        <f>OBRA!S446</f>
        <v>44089</v>
      </c>
      <c r="T448" s="1134" t="s">
        <v>1177</v>
      </c>
      <c r="U448" s="5">
        <f>OBRA!T446</f>
        <v>44139</v>
      </c>
      <c r="V448" s="11">
        <f>OBRA!U446</f>
        <v>44191</v>
      </c>
      <c r="W448" s="220">
        <v>0</v>
      </c>
      <c r="X448" s="1197">
        <f>OBRA!AS446+OBRA!AT446</f>
        <v>0</v>
      </c>
      <c r="Y448" s="1018" t="s">
        <v>4122</v>
      </c>
      <c r="Z448" s="146" t="str">
        <f>OBRA!W446</f>
        <v>N/A</v>
      </c>
      <c r="AA448" s="146" t="s">
        <v>68</v>
      </c>
      <c r="AB448" s="148" t="str">
        <f t="shared" si="25"/>
        <v>N/A</v>
      </c>
      <c r="AC448" s="148" t="s">
        <v>1177</v>
      </c>
      <c r="AD448" s="1090" t="s">
        <v>1177</v>
      </c>
      <c r="AE448" s="183" t="str">
        <f>OBRA!X446</f>
        <v>ING. J. GUADALUPE IBARRA RAMIREZ</v>
      </c>
      <c r="AF448" s="19">
        <f>AF447</f>
        <v>1492</v>
      </c>
      <c r="AG448" s="2" t="str">
        <f>AG447</f>
        <v>M2</v>
      </c>
      <c r="AH448" s="551">
        <f t="shared" si="27"/>
        <v>0</v>
      </c>
      <c r="AI448" s="2">
        <f>AI447</f>
        <v>300</v>
      </c>
      <c r="AJ448" s="513">
        <f>AJ447</f>
        <v>300</v>
      </c>
      <c r="AK448" s="513"/>
      <c r="AL448" s="1522" t="s">
        <v>68</v>
      </c>
      <c r="AM448" s="1523" t="s">
        <v>68</v>
      </c>
      <c r="AN448" s="573"/>
      <c r="AO448" s="573"/>
      <c r="AP448" s="573"/>
      <c r="AQ448" s="573"/>
      <c r="AR448" s="785"/>
      <c r="AS448" s="1268"/>
    </row>
    <row r="449" spans="1:45" ht="78.75" hidden="1" customHeight="1">
      <c r="A449" s="16">
        <f>OBRA!J447</f>
        <v>2020</v>
      </c>
      <c r="B449" s="783" t="s">
        <v>2094</v>
      </c>
      <c r="C449" s="783">
        <v>201.131</v>
      </c>
      <c r="D449" s="783"/>
      <c r="E449" s="2" t="str">
        <f>OBRA!M447</f>
        <v>CTA-CTE / EMP P REACT ECO MPIOS</v>
      </c>
      <c r="F449" s="605" t="s">
        <v>3522</v>
      </c>
      <c r="G449" s="156" t="s">
        <v>2861</v>
      </c>
      <c r="H449" s="412" t="str">
        <f>OBRA!N447</f>
        <v>DOP/AD/013-A/2020</v>
      </c>
      <c r="I449" s="2" t="str">
        <f>OBRA!O447</f>
        <v>ADMINISTRACIÓN DIRECTA</v>
      </c>
      <c r="J449" s="3" t="str">
        <f>OBRA!P447</f>
        <v>CONSTRUCCIÓN DE EMPEDRADO ZAMPEADO, EN FRACC. "EL CARRIZAL", EN LA CABECERA MUNICIPAL DE JOCOTEPEC JALISCO.</v>
      </c>
      <c r="K449" s="3" t="s">
        <v>3982</v>
      </c>
      <c r="L449" s="3" t="s">
        <v>4752</v>
      </c>
      <c r="M449" s="683" t="s">
        <v>3989</v>
      </c>
      <c r="N449" s="683" t="s">
        <v>1975</v>
      </c>
      <c r="O449" s="529"/>
      <c r="P449" s="4">
        <f>OBRA!R447</f>
        <v>219218.46</v>
      </c>
      <c r="Q449" s="1023">
        <f t="shared" si="24"/>
        <v>188981.43103448275</v>
      </c>
      <c r="R449" s="1023"/>
      <c r="S449" s="6">
        <f>OBRA!S447</f>
        <v>44089</v>
      </c>
      <c r="T449" s="1134" t="s">
        <v>1177</v>
      </c>
      <c r="U449" s="5">
        <f>OBRA!T447</f>
        <v>44139</v>
      </c>
      <c r="V449" s="11">
        <f>OBRA!U447</f>
        <v>44191</v>
      </c>
      <c r="W449" s="220">
        <v>0</v>
      </c>
      <c r="X449" s="1197">
        <f>OBRA!AS447+OBRA!AT447</f>
        <v>0</v>
      </c>
      <c r="Y449" s="1018" t="s">
        <v>3484</v>
      </c>
      <c r="Z449" s="146" t="str">
        <f>OBRA!W447</f>
        <v>N/A</v>
      </c>
      <c r="AA449" s="146" t="s">
        <v>68</v>
      </c>
      <c r="AB449" s="148" t="str">
        <f t="shared" si="25"/>
        <v>N/A</v>
      </c>
      <c r="AC449" s="148" t="s">
        <v>1177</v>
      </c>
      <c r="AD449" s="1090" t="s">
        <v>1177</v>
      </c>
      <c r="AE449" s="183">
        <f>OBRA!X447</f>
        <v>0</v>
      </c>
      <c r="AF449" s="19">
        <v>3500</v>
      </c>
      <c r="AG449" s="2" t="s">
        <v>1548</v>
      </c>
      <c r="AH449" s="551">
        <f t="shared" si="27"/>
        <v>0</v>
      </c>
      <c r="AI449" s="2">
        <v>500</v>
      </c>
      <c r="AJ449" s="513">
        <v>5500</v>
      </c>
      <c r="AK449" s="513"/>
      <c r="AL449" s="1522" t="s">
        <v>68</v>
      </c>
      <c r="AM449" s="1523" t="s">
        <v>68</v>
      </c>
      <c r="AN449" s="1223" t="s">
        <v>3534</v>
      </c>
      <c r="AO449" s="1223" t="s">
        <v>3534</v>
      </c>
      <c r="AP449" s="1223" t="s">
        <v>3534</v>
      </c>
      <c r="AQ449" s="573"/>
      <c r="AR449" s="785"/>
      <c r="AS449" s="1268"/>
    </row>
    <row r="450" spans="1:45" ht="82.5" hidden="1" customHeight="1">
      <c r="A450" s="16">
        <f>OBRA!J448</f>
        <v>2020</v>
      </c>
      <c r="B450" s="783" t="s">
        <v>2094</v>
      </c>
      <c r="C450" s="783">
        <v>201.14</v>
      </c>
      <c r="D450" s="1447" t="s">
        <v>4021</v>
      </c>
      <c r="E450" s="2" t="str">
        <f>OBRA!M448</f>
        <v>EMP P/LA REACTIVACIÓN ECONÓMICA EN MPIOS</v>
      </c>
      <c r="F450" s="605" t="s">
        <v>3522</v>
      </c>
      <c r="G450" s="156" t="s">
        <v>2861</v>
      </c>
      <c r="H450" s="412" t="str">
        <f>OBRA!N448</f>
        <v>DOP/AD/014/2020</v>
      </c>
      <c r="I450" s="2" t="str">
        <f>OBRA!O448</f>
        <v>ADMINISTRACIÓN DIRECTA</v>
      </c>
      <c r="J450" s="3" t="str">
        <f>OBRA!P448</f>
        <v>CONSTRUCCIÓN DE EMPEDRADO ZAMPEADO EN VIALIDAD CALLE HIDALGO SUR DE KM 0+000.00 AL KM 0+170.00 (DE DONATO GUERRA A EMPEDRADO EXISTENTE) CABECERA MUNICIPAL DE JOCOTEPEC, JALISCO.</v>
      </c>
      <c r="K450" s="3" t="s">
        <v>3982</v>
      </c>
      <c r="L450" s="3" t="s">
        <v>4752</v>
      </c>
      <c r="M450" s="683" t="s">
        <v>3990</v>
      </c>
      <c r="N450" s="683" t="s">
        <v>1975</v>
      </c>
      <c r="O450" s="504" t="s">
        <v>4024</v>
      </c>
      <c r="P450" s="4">
        <f>OBRA!R448</f>
        <v>367959.98</v>
      </c>
      <c r="Q450" s="1023">
        <f t="shared" si="24"/>
        <v>317206.87931034481</v>
      </c>
      <c r="R450" s="1023"/>
      <c r="S450" s="6">
        <f>OBRA!S448</f>
        <v>44089</v>
      </c>
      <c r="T450" s="1134" t="s">
        <v>1177</v>
      </c>
      <c r="U450" s="5">
        <f>OBRA!T448</f>
        <v>44172</v>
      </c>
      <c r="V450" s="11">
        <f>OBRA!U448</f>
        <v>44196</v>
      </c>
      <c r="W450" s="220">
        <v>0</v>
      </c>
      <c r="X450" s="1197">
        <f>OBRA!AS448+OBRA!AT448</f>
        <v>0</v>
      </c>
      <c r="Y450" s="1018" t="s">
        <v>4026</v>
      </c>
      <c r="Z450" s="146" t="str">
        <f>OBRA!W448</f>
        <v>N/A</v>
      </c>
      <c r="AA450" s="146" t="s">
        <v>68</v>
      </c>
      <c r="AB450" s="148" t="str">
        <f t="shared" si="25"/>
        <v>N/A</v>
      </c>
      <c r="AC450" s="148" t="s">
        <v>1177</v>
      </c>
      <c r="AD450" s="1090" t="s">
        <v>1177</v>
      </c>
      <c r="AE450" s="183" t="str">
        <f>OBRA!X448</f>
        <v>ING. J. GUADALUPE IBARRA RAMIREZ</v>
      </c>
      <c r="AF450" s="19">
        <f>AF449</f>
        <v>3500</v>
      </c>
      <c r="AG450" s="2" t="str">
        <f>AG449</f>
        <v>M2</v>
      </c>
      <c r="AH450" s="551">
        <f t="shared" si="27"/>
        <v>0</v>
      </c>
      <c r="AI450" s="2">
        <f>AI449</f>
        <v>500</v>
      </c>
      <c r="AJ450" s="513">
        <f>AJ449</f>
        <v>5500</v>
      </c>
      <c r="AK450" s="513"/>
      <c r="AL450" s="1522">
        <v>20.279517999999999</v>
      </c>
      <c r="AM450" s="1523">
        <v>103.43153</v>
      </c>
      <c r="AN450" s="573"/>
      <c r="AO450" s="573"/>
      <c r="AP450" s="573"/>
      <c r="AQ450" s="573"/>
      <c r="AR450" s="785"/>
      <c r="AS450" s="1268"/>
    </row>
    <row r="451" spans="1:45" ht="86.25" hidden="1" customHeight="1">
      <c r="A451" s="16">
        <f>OBRA!J449</f>
        <v>2020</v>
      </c>
      <c r="B451" s="783" t="s">
        <v>2094</v>
      </c>
      <c r="C451" s="783">
        <v>201.14099999999999</v>
      </c>
      <c r="D451" s="1447" t="s">
        <v>4021</v>
      </c>
      <c r="E451" s="2" t="str">
        <f>OBRA!M449</f>
        <v>CTA-CTE / EMP P REACT ECO MPIOS</v>
      </c>
      <c r="F451" s="605" t="s">
        <v>3522</v>
      </c>
      <c r="G451" s="156" t="s">
        <v>2861</v>
      </c>
      <c r="H451" s="412" t="str">
        <f>OBRA!N449</f>
        <v>DOP/AD/014-A/2020</v>
      </c>
      <c r="I451" s="2" t="str">
        <f>OBRA!O449</f>
        <v>ADMINISTRACIÓN DIRECTA</v>
      </c>
      <c r="J451" s="3" t="str">
        <f>OBRA!P449</f>
        <v>CONSTRUCCIÓN DE EMPEDRADO ZAMPEADO EN VIALIDAD CALLE HIDALGO SUR DE KM 0+000.00 AL KM 0+170.00 (DE DONATO GUERRA A EMPEDRADO EXISTENTE), EN LA CEBECERA MUNICIPAL DE JOCOTEPEC, JALISCO.</v>
      </c>
      <c r="K451" s="3" t="s">
        <v>3982</v>
      </c>
      <c r="L451" s="3" t="s">
        <v>4752</v>
      </c>
      <c r="M451" s="683" t="s">
        <v>3990</v>
      </c>
      <c r="N451" s="683" t="s">
        <v>1975</v>
      </c>
      <c r="O451" s="504" t="s">
        <v>4024</v>
      </c>
      <c r="P451" s="4">
        <f>OBRA!R449</f>
        <v>134912.99</v>
      </c>
      <c r="Q451" s="1023">
        <f t="shared" si="24"/>
        <v>116304.30172413793</v>
      </c>
      <c r="R451" s="1023"/>
      <c r="S451" s="6">
        <f>OBRA!S449</f>
        <v>44089</v>
      </c>
      <c r="T451" s="1134" t="s">
        <v>1177</v>
      </c>
      <c r="U451" s="5">
        <f>OBRA!T449</f>
        <v>44172</v>
      </c>
      <c r="V451" s="11">
        <f>OBRA!U449</f>
        <v>44196</v>
      </c>
      <c r="W451" s="220">
        <v>0</v>
      </c>
      <c r="X451" s="1197">
        <f>OBRA!AS449+OBRA!AT449</f>
        <v>0</v>
      </c>
      <c r="Y451" s="1018" t="s">
        <v>3484</v>
      </c>
      <c r="Z451" s="146" t="str">
        <f>OBRA!W449</f>
        <v>N/A</v>
      </c>
      <c r="AA451" s="146" t="s">
        <v>68</v>
      </c>
      <c r="AB451" s="148" t="str">
        <f t="shared" si="25"/>
        <v>N/A</v>
      </c>
      <c r="AC451" s="148" t="s">
        <v>1177</v>
      </c>
      <c r="AD451" s="1090" t="s">
        <v>1177</v>
      </c>
      <c r="AE451" s="183">
        <f>OBRA!X449</f>
        <v>0</v>
      </c>
      <c r="AF451" s="19">
        <v>1557.64</v>
      </c>
      <c r="AG451" s="2" t="s">
        <v>1548</v>
      </c>
      <c r="AH451" s="551">
        <f t="shared" si="27"/>
        <v>0</v>
      </c>
      <c r="AI451" s="2">
        <v>300</v>
      </c>
      <c r="AJ451" s="513">
        <v>2000</v>
      </c>
      <c r="AK451" s="513"/>
      <c r="AL451" s="1522">
        <v>20.279517999999999</v>
      </c>
      <c r="AM451" s="1523">
        <v>103.43153</v>
      </c>
      <c r="AN451" s="1223" t="s">
        <v>3531</v>
      </c>
      <c r="AO451" s="1223" t="s">
        <v>3531</v>
      </c>
      <c r="AP451" s="573"/>
      <c r="AQ451" s="573"/>
      <c r="AR451" s="785"/>
      <c r="AS451" s="1268"/>
    </row>
    <row r="452" spans="1:45" ht="101.25" hidden="1" customHeight="1">
      <c r="A452" s="16">
        <f>OBRA!J450</f>
        <v>2020</v>
      </c>
      <c r="B452" s="783" t="s">
        <v>2094</v>
      </c>
      <c r="C452" s="783">
        <v>201.15</v>
      </c>
      <c r="D452" s="783"/>
      <c r="E452" s="2" t="str">
        <f>OBRA!M450</f>
        <v>EMP P/LA REACTIVACIÓN ECONÓMICA EN MPIOS</v>
      </c>
      <c r="F452" s="605" t="s">
        <v>3522</v>
      </c>
      <c r="G452" s="156" t="s">
        <v>2861</v>
      </c>
      <c r="H452" s="412" t="str">
        <f>OBRA!N450</f>
        <v>DOP/AD/015/2020</v>
      </c>
      <c r="I452" s="2" t="str">
        <f>OBRA!O450</f>
        <v>ADMINISTRACIÓN DIRECTA</v>
      </c>
      <c r="J452" s="3" t="str">
        <f>OBRA!P450</f>
        <v>CONSTRUCCIÓN DE EMPEDRADO ZAMPEADO EN CALLES MTRA MARGARITA MIRANDA RAMOS, EDUARDO SOLIS, GILBERTO PARRA PAZ Y MA DEL ROSARIO BERNAL, DEL FRACC. "LAS PALMAS" EN LA CABECERA MUNICIPAL DE JOCOTEPEC, JALISCO.</v>
      </c>
      <c r="K452" s="3" t="s">
        <v>3982</v>
      </c>
      <c r="L452" s="3" t="s">
        <v>4752</v>
      </c>
      <c r="M452" s="683" t="s">
        <v>3991</v>
      </c>
      <c r="N452" s="683" t="s">
        <v>1975</v>
      </c>
      <c r="O452" s="504" t="s">
        <v>4192</v>
      </c>
      <c r="P452" s="4">
        <f>OBRA!R450</f>
        <v>856034.87000000011</v>
      </c>
      <c r="Q452" s="1023">
        <f t="shared" si="24"/>
        <v>737961.09482758632</v>
      </c>
      <c r="R452" s="1023"/>
      <c r="S452" s="6">
        <f>OBRA!S450</f>
        <v>44089</v>
      </c>
      <c r="T452" s="1134" t="s">
        <v>1177</v>
      </c>
      <c r="U452" s="5">
        <f>OBRA!T450</f>
        <v>44153</v>
      </c>
      <c r="V452" s="11">
        <f>OBRA!U450</f>
        <v>44191</v>
      </c>
      <c r="W452" s="220">
        <v>0</v>
      </c>
      <c r="X452" s="1197">
        <f>OBRA!AS450+OBRA!AT450</f>
        <v>0</v>
      </c>
      <c r="Y452" s="1018" t="s">
        <v>4122</v>
      </c>
      <c r="Z452" s="146" t="str">
        <f>OBRA!W450</f>
        <v>N/A</v>
      </c>
      <c r="AA452" s="146" t="s">
        <v>68</v>
      </c>
      <c r="AB452" s="148" t="str">
        <f t="shared" si="25"/>
        <v>N/A</v>
      </c>
      <c r="AC452" s="148" t="s">
        <v>1177</v>
      </c>
      <c r="AD452" s="1090" t="s">
        <v>1177</v>
      </c>
      <c r="AE452" s="183" t="str">
        <f>OBRA!X450</f>
        <v>ING. J. GUADALUPE IBARRA RAMIREZ</v>
      </c>
      <c r="AF452" s="19">
        <f>AF451</f>
        <v>1557.64</v>
      </c>
      <c r="AG452" s="2" t="str">
        <f>AG451</f>
        <v>M2</v>
      </c>
      <c r="AH452" s="551">
        <f t="shared" si="27"/>
        <v>0</v>
      </c>
      <c r="AI452" s="2">
        <f>AI451</f>
        <v>300</v>
      </c>
      <c r="AJ452" s="513">
        <f>AJ451</f>
        <v>2000</v>
      </c>
      <c r="AK452" s="513"/>
      <c r="AL452" s="1522" t="s">
        <v>68</v>
      </c>
      <c r="AM452" s="1523" t="s">
        <v>68</v>
      </c>
      <c r="AN452" s="573"/>
      <c r="AO452" s="573"/>
      <c r="AP452" s="573"/>
      <c r="AQ452" s="573"/>
      <c r="AR452" s="785"/>
      <c r="AS452" s="1268"/>
    </row>
    <row r="453" spans="1:45" ht="81.75" hidden="1" customHeight="1">
      <c r="A453" s="16">
        <f>OBRA!J451</f>
        <v>2020</v>
      </c>
      <c r="B453" s="783" t="s">
        <v>2094</v>
      </c>
      <c r="C453" s="783">
        <v>201.15100000000001</v>
      </c>
      <c r="D453" s="783"/>
      <c r="E453" s="2" t="str">
        <f>OBRA!M451</f>
        <v>EMP P/LA REACTIVACIÓN ECONÓMICA EN MPIOS</v>
      </c>
      <c r="F453" s="605" t="s">
        <v>3522</v>
      </c>
      <c r="G453" s="156" t="s">
        <v>2861</v>
      </c>
      <c r="H453" s="412" t="str">
        <f>OBRA!N451</f>
        <v>DOP/AD/015/2020</v>
      </c>
      <c r="I453" s="2" t="str">
        <f>OBRA!O451</f>
        <v>ADMINISTRACIÓN DIRECTA</v>
      </c>
      <c r="J453" s="3" t="str">
        <f>OBRA!P451</f>
        <v>CONSTRUCCIÓN DE EMPEDRADO ZAMPEADO EN VIALIDAD CALLE CHAPULTEPEC DE KM 0+000 AL KM 0+395.65 (ENTRE 1RO DE MAYO Y CHURUBUSCO), EN LA CABECERA MUNICIPAL DE JOCOTEPEC, JALISCO.</v>
      </c>
      <c r="K453" s="3" t="s">
        <v>3982</v>
      </c>
      <c r="L453" s="3" t="s">
        <v>4752</v>
      </c>
      <c r="M453" s="683" t="s">
        <v>3992</v>
      </c>
      <c r="N453" s="683" t="s">
        <v>2512</v>
      </c>
      <c r="O453" s="504" t="s">
        <v>4192</v>
      </c>
      <c r="P453" s="4">
        <f>OBRA!R451</f>
        <v>196467.44</v>
      </c>
      <c r="Q453" s="1023">
        <f t="shared" si="24"/>
        <v>169368.4827586207</v>
      </c>
      <c r="R453" s="1023"/>
      <c r="S453" s="6">
        <f>OBRA!S451</f>
        <v>44089</v>
      </c>
      <c r="T453" s="1134" t="s">
        <v>1177</v>
      </c>
      <c r="U453" s="5">
        <f>OBRA!T451</f>
        <v>44153</v>
      </c>
      <c r="V453" s="11">
        <f>OBRA!U451</f>
        <v>44191</v>
      </c>
      <c r="W453" s="220">
        <v>0</v>
      </c>
      <c r="X453" s="1197">
        <f>OBRA!AS451+OBRA!AT451</f>
        <v>0</v>
      </c>
      <c r="Y453" s="1018" t="s">
        <v>3484</v>
      </c>
      <c r="Z453" s="146" t="str">
        <f>OBRA!W451</f>
        <v>N/A</v>
      </c>
      <c r="AA453" s="146" t="s">
        <v>68</v>
      </c>
      <c r="AB453" s="148" t="str">
        <f t="shared" si="25"/>
        <v>N/A</v>
      </c>
      <c r="AC453" s="148" t="s">
        <v>1177</v>
      </c>
      <c r="AD453" s="1090" t="s">
        <v>1177</v>
      </c>
      <c r="AE453" s="183" t="str">
        <f>OBRA!X451</f>
        <v>ING. J. GUADALUPE IBARRA RAMIREZ</v>
      </c>
      <c r="AF453" s="19">
        <v>3576.5</v>
      </c>
      <c r="AG453" s="2" t="s">
        <v>1548</v>
      </c>
      <c r="AH453" s="551">
        <f t="shared" si="27"/>
        <v>0</v>
      </c>
      <c r="AI453" s="2">
        <v>350</v>
      </c>
      <c r="AJ453" s="513">
        <v>350</v>
      </c>
      <c r="AK453" s="513"/>
      <c r="AL453" s="1522">
        <v>20.277894</v>
      </c>
      <c r="AM453" s="1523">
        <v>103.435349</v>
      </c>
      <c r="AN453" s="1223" t="s">
        <v>3535</v>
      </c>
      <c r="AO453" s="1223" t="s">
        <v>3535</v>
      </c>
      <c r="AP453" s="1223" t="s">
        <v>3535</v>
      </c>
      <c r="AQ453" s="573"/>
      <c r="AR453" s="785"/>
      <c r="AS453" s="1268"/>
    </row>
    <row r="454" spans="1:45" ht="77.25" hidden="1" customHeight="1">
      <c r="A454" s="16">
        <f>OBRA!J452</f>
        <v>2020</v>
      </c>
      <c r="B454" s="783" t="s">
        <v>2094</v>
      </c>
      <c r="C454" s="783">
        <v>201.15199999999999</v>
      </c>
      <c r="D454" s="783"/>
      <c r="E454" s="2" t="str">
        <f>OBRA!M452</f>
        <v>CTA-CTE / EMP P REACT ECO MPIOS</v>
      </c>
      <c r="F454" s="605" t="s">
        <v>3522</v>
      </c>
      <c r="G454" s="156" t="s">
        <v>2861</v>
      </c>
      <c r="H454" s="412" t="str">
        <f>OBRA!N452</f>
        <v>DOP/AD/015-A/2020</v>
      </c>
      <c r="I454" s="2" t="str">
        <f>OBRA!O452</f>
        <v>ADMINISTRACIÓN DIRECTA</v>
      </c>
      <c r="J454" s="3" t="str">
        <f>OBRA!P452</f>
        <v>CONSTRUCCIÓN DE EMPEDRADO ZAMPEADO EN FRACC. "LAS PALMAS", EN LA CABECERA MUNICIPAL DE JOCOTEPEC, JALISCO.</v>
      </c>
      <c r="K454" s="3" t="s">
        <v>3982</v>
      </c>
      <c r="L454" s="3" t="s">
        <v>4752</v>
      </c>
      <c r="M454" s="683" t="s">
        <v>3991</v>
      </c>
      <c r="N454" s="683" t="s">
        <v>1975</v>
      </c>
      <c r="O454" s="529"/>
      <c r="P454" s="4">
        <f>OBRA!R452</f>
        <v>230070.08</v>
      </c>
      <c r="Q454" s="1023">
        <f t="shared" si="24"/>
        <v>198336.27586206896</v>
      </c>
      <c r="R454" s="1023"/>
      <c r="S454" s="6">
        <f>OBRA!S452</f>
        <v>44089</v>
      </c>
      <c r="T454" s="1134" t="s">
        <v>1177</v>
      </c>
      <c r="U454" s="5">
        <f>OBRA!T452</f>
        <v>44153</v>
      </c>
      <c r="V454" s="11">
        <f>OBRA!U452</f>
        <v>44191</v>
      </c>
      <c r="W454" s="220">
        <v>0</v>
      </c>
      <c r="X454" s="1197">
        <f>OBRA!AS452+OBRA!AT452</f>
        <v>0</v>
      </c>
      <c r="Y454" s="1018" t="s">
        <v>3484</v>
      </c>
      <c r="Z454" s="146" t="str">
        <f>OBRA!W452</f>
        <v>N/A</v>
      </c>
      <c r="AA454" s="146" t="s">
        <v>68</v>
      </c>
      <c r="AB454" s="148" t="str">
        <f t="shared" si="25"/>
        <v>N/A</v>
      </c>
      <c r="AC454" s="148" t="s">
        <v>1177</v>
      </c>
      <c r="AD454" s="1090" t="s">
        <v>1177</v>
      </c>
      <c r="AE454" s="183">
        <f>OBRA!X452</f>
        <v>0</v>
      </c>
      <c r="AF454" s="19">
        <v>740.62</v>
      </c>
      <c r="AG454" s="2" t="s">
        <v>1548</v>
      </c>
      <c r="AH454" s="551">
        <f t="shared" si="27"/>
        <v>0</v>
      </c>
      <c r="AI454" s="2">
        <v>150</v>
      </c>
      <c r="AJ454" s="513">
        <v>1500</v>
      </c>
      <c r="AK454" s="513"/>
      <c r="AL454" s="1522" t="s">
        <v>68</v>
      </c>
      <c r="AM454" s="1523" t="s">
        <v>68</v>
      </c>
      <c r="AN454" s="1223" t="s">
        <v>3535</v>
      </c>
      <c r="AO454" s="1223" t="s">
        <v>3535</v>
      </c>
      <c r="AP454" s="573"/>
      <c r="AQ454" s="573"/>
      <c r="AR454" s="785"/>
      <c r="AS454" s="1268"/>
    </row>
    <row r="455" spans="1:45" ht="81.75" hidden="1" customHeight="1">
      <c r="A455" s="16">
        <f>OBRA!J453</f>
        <v>2020</v>
      </c>
      <c r="B455" s="783" t="s">
        <v>2094</v>
      </c>
      <c r="C455" s="783">
        <v>201.16</v>
      </c>
      <c r="D455" s="1447" t="s">
        <v>4021</v>
      </c>
      <c r="E455" s="2" t="str">
        <f>OBRA!M453</f>
        <v>EMP P/LA REACTIVACIÓN ECONÓMICA EN MPIOS</v>
      </c>
      <c r="F455" s="605" t="s">
        <v>3522</v>
      </c>
      <c r="G455" s="156" t="s">
        <v>2206</v>
      </c>
      <c r="H455" s="412" t="str">
        <f>OBRA!N453</f>
        <v>DOP/AD/016/2020</v>
      </c>
      <c r="I455" s="2" t="str">
        <f>OBRA!O453</f>
        <v>ADMINISTRACIÓN DIRECTA</v>
      </c>
      <c r="J455" s="3" t="str">
        <f>OBRA!P453</f>
        <v>CONSTRUCCIÓN DE EMPEDRADO ZAMPEADO EN C. INVIERNO, C. LAZARO CARDENAS, C. GONZALEZ ORTEGA Y CHAPULTEPEC EN CABECERA MUNICIPAL DE JOCOTEPEC, JALISCO.</v>
      </c>
      <c r="K455" s="3" t="s">
        <v>3982</v>
      </c>
      <c r="L455" s="3" t="s">
        <v>4752</v>
      </c>
      <c r="M455" s="683" t="s">
        <v>3993</v>
      </c>
      <c r="N455" s="683" t="s">
        <v>1975</v>
      </c>
      <c r="O455" s="504" t="s">
        <v>4025</v>
      </c>
      <c r="P455" s="4">
        <f>OBRA!R453</f>
        <v>1291558.55</v>
      </c>
      <c r="Q455" s="1023">
        <f t="shared" si="24"/>
        <v>1113412.5431034483</v>
      </c>
      <c r="R455" s="1023"/>
      <c r="S455" s="6">
        <f>OBRA!S453</f>
        <v>44089</v>
      </c>
      <c r="T455" s="1134" t="s">
        <v>1177</v>
      </c>
      <c r="U455" s="5">
        <f>OBRA!T453</f>
        <v>44139</v>
      </c>
      <c r="V455" s="11">
        <f>OBRA!U453</f>
        <v>44196</v>
      </c>
      <c r="W455" s="220">
        <v>0</v>
      </c>
      <c r="X455" s="1197">
        <f>OBRA!AS453+OBRA!AT453</f>
        <v>0</v>
      </c>
      <c r="Y455" s="1018" t="s">
        <v>4026</v>
      </c>
      <c r="Z455" s="146" t="str">
        <f>OBRA!W453</f>
        <v>N/A</v>
      </c>
      <c r="AA455" s="146" t="s">
        <v>68</v>
      </c>
      <c r="AB455" s="148" t="str">
        <f t="shared" si="25"/>
        <v>N/A</v>
      </c>
      <c r="AC455" s="148" t="s">
        <v>1177</v>
      </c>
      <c r="AD455" s="1090" t="s">
        <v>1177</v>
      </c>
      <c r="AE455" s="183" t="str">
        <f>OBRA!X453</f>
        <v>ING. J. GUADALUPE IBARRA RAMIREZ</v>
      </c>
      <c r="AF455" s="19">
        <f>AF454</f>
        <v>740.62</v>
      </c>
      <c r="AG455" s="2" t="str">
        <f>AG454</f>
        <v>M2</v>
      </c>
      <c r="AH455" s="551">
        <f t="shared" si="27"/>
        <v>0</v>
      </c>
      <c r="AI455" s="2">
        <f>AI454</f>
        <v>150</v>
      </c>
      <c r="AJ455" s="513">
        <f>AJ454</f>
        <v>1500</v>
      </c>
      <c r="AK455" s="513"/>
      <c r="AL455" s="1522" t="s">
        <v>68</v>
      </c>
      <c r="AM455" s="1523" t="s">
        <v>68</v>
      </c>
      <c r="AN455" s="573"/>
      <c r="AO455" s="573"/>
      <c r="AP455" s="573"/>
      <c r="AQ455" s="573"/>
      <c r="AR455" s="785"/>
      <c r="AS455" s="1268"/>
    </row>
    <row r="456" spans="1:45" ht="90" hidden="1" customHeight="1">
      <c r="A456" s="16">
        <f>OBRA!J454</f>
        <v>2020</v>
      </c>
      <c r="B456" s="783" t="s">
        <v>2094</v>
      </c>
      <c r="C456" s="783">
        <v>201.161</v>
      </c>
      <c r="D456" s="1447" t="s">
        <v>4021</v>
      </c>
      <c r="E456" s="2" t="str">
        <f>OBRA!M454</f>
        <v>CTA-CTE / EMP P REACT ECO MPIOS</v>
      </c>
      <c r="F456" s="605" t="s">
        <v>3522</v>
      </c>
      <c r="G456" s="156" t="s">
        <v>2206</v>
      </c>
      <c r="H456" s="412" t="str">
        <f>OBRA!N454</f>
        <v>DOP/AD/016-A/2020</v>
      </c>
      <c r="I456" s="2" t="str">
        <f>OBRA!O454</f>
        <v>ADMINISTRACIÓN DIRECTA</v>
      </c>
      <c r="J456" s="3" t="str">
        <f>OBRA!P454</f>
        <v>CONSTRUCCIÓN DE EMPEDRADO ZAMPEADO EN C. INVIERNO, C. LAZARO CARDENAS, C. GONZALEZ ORTEGA Y CHAPULTEPEC EN CABECERA MUNICIPAL DE JOCOTEPEC, JALISCO.</v>
      </c>
      <c r="K456" s="3" t="s">
        <v>3982</v>
      </c>
      <c r="L456" s="3" t="s">
        <v>4752</v>
      </c>
      <c r="M456" s="683" t="s">
        <v>3993</v>
      </c>
      <c r="N456" s="683" t="s">
        <v>1975</v>
      </c>
      <c r="O456" s="504" t="s">
        <v>4025</v>
      </c>
      <c r="P456" s="4">
        <f>OBRA!R454</f>
        <v>542961</v>
      </c>
      <c r="Q456" s="1023">
        <f t="shared" si="24"/>
        <v>468069.82758620696</v>
      </c>
      <c r="R456" s="1023"/>
      <c r="S456" s="6">
        <f>OBRA!S454</f>
        <v>44089</v>
      </c>
      <c r="T456" s="1134" t="s">
        <v>1177</v>
      </c>
      <c r="U456" s="5">
        <f>OBRA!T454</f>
        <v>44139</v>
      </c>
      <c r="V456" s="11">
        <f>OBRA!U454</f>
        <v>44196</v>
      </c>
      <c r="W456" s="220">
        <v>0</v>
      </c>
      <c r="X456" s="1197">
        <f>OBRA!AS454+OBRA!AT454</f>
        <v>0</v>
      </c>
      <c r="Y456" s="1018" t="s">
        <v>3484</v>
      </c>
      <c r="Z456" s="146" t="str">
        <f>OBRA!W454</f>
        <v>N/A</v>
      </c>
      <c r="AA456" s="146" t="s">
        <v>68</v>
      </c>
      <c r="AB456" s="148" t="str">
        <f t="shared" si="25"/>
        <v>N/A</v>
      </c>
      <c r="AC456" s="148" t="s">
        <v>1177</v>
      </c>
      <c r="AD456" s="1090" t="s">
        <v>1177</v>
      </c>
      <c r="AE456" s="183">
        <f>OBRA!X454</f>
        <v>0</v>
      </c>
      <c r="AF456" s="19">
        <v>5527.87</v>
      </c>
      <c r="AG456" s="2" t="s">
        <v>1548</v>
      </c>
      <c r="AH456" s="551">
        <f t="shared" si="27"/>
        <v>0</v>
      </c>
      <c r="AI456" s="2">
        <v>500</v>
      </c>
      <c r="AJ456" s="513">
        <v>11000</v>
      </c>
      <c r="AK456" s="513"/>
      <c r="AL456" s="1522" t="s">
        <v>68</v>
      </c>
      <c r="AM456" s="1523" t="s">
        <v>68</v>
      </c>
      <c r="AN456" s="1223" t="s">
        <v>3537</v>
      </c>
      <c r="AO456" s="1223" t="s">
        <v>3537</v>
      </c>
      <c r="AP456" s="1223" t="s">
        <v>3537</v>
      </c>
      <c r="AQ456" s="573"/>
      <c r="AR456" s="785"/>
      <c r="AS456" s="1268"/>
    </row>
    <row r="457" spans="1:45" ht="79.5" hidden="1" customHeight="1">
      <c r="A457" s="16">
        <f>OBRA!J455</f>
        <v>2020</v>
      </c>
      <c r="B457" s="783" t="s">
        <v>2094</v>
      </c>
      <c r="C457" s="783">
        <v>205.01</v>
      </c>
      <c r="D457" s="783"/>
      <c r="E457" s="2" t="str">
        <f>OBRA!M455</f>
        <v>CUENTA CORRIENTE</v>
      </c>
      <c r="F457" s="605" t="s">
        <v>3522</v>
      </c>
      <c r="G457" s="156" t="s">
        <v>2861</v>
      </c>
      <c r="H457" s="412" t="str">
        <f>OBRA!N455</f>
        <v>C.P.S.P. DOP 001/2020</v>
      </c>
      <c r="I457" s="2" t="str">
        <f>OBRA!O455</f>
        <v>SERVICIOS</v>
      </c>
      <c r="J457" s="3" t="str">
        <f>OBRA!P455</f>
        <v>REGISTRO ELECTRICO VERSIÓN MULTIPARAMETROS, PARA EL PROYECTO DE PERFORACIÓN DE POZO PROFUNDO, EN LA AGENCIA MUNICIPAL DE EL MOLINO, DEL MUNICIPIO DE JOCOTEPEC, JALISCO.</v>
      </c>
      <c r="K457" s="1175" t="s">
        <v>4193</v>
      </c>
      <c r="L457" s="1175"/>
      <c r="M457" s="683" t="s">
        <v>3975</v>
      </c>
      <c r="N457" s="683" t="s">
        <v>2663</v>
      </c>
      <c r="O457" s="1441" t="s">
        <v>3727</v>
      </c>
      <c r="P457" s="4">
        <f>OBRA!R455</f>
        <v>15080</v>
      </c>
      <c r="Q457" s="1023">
        <f t="shared" si="24"/>
        <v>13000</v>
      </c>
      <c r="R457" s="79" t="s">
        <v>68</v>
      </c>
      <c r="S457" s="6">
        <f>OBRA!S455</f>
        <v>43864</v>
      </c>
      <c r="T457" s="1134" t="s">
        <v>1177</v>
      </c>
      <c r="U457" s="5">
        <f>OBRA!T455</f>
        <v>43865</v>
      </c>
      <c r="V457" s="11">
        <f>OBRA!U455</f>
        <v>43879</v>
      </c>
      <c r="W457" s="220">
        <v>0</v>
      </c>
      <c r="X457" s="1197">
        <f>OBRA!AS455+OBRA!AT455</f>
        <v>0</v>
      </c>
      <c r="Y457" s="1018" t="s">
        <v>1428</v>
      </c>
      <c r="Z457" s="146" t="str">
        <f>OBRA!W455</f>
        <v xml:space="preserve">CICLOS GIP SC </v>
      </c>
      <c r="AA457" s="146" t="s">
        <v>5666</v>
      </c>
      <c r="AB457" s="148" t="s">
        <v>2999</v>
      </c>
      <c r="AC457" s="148" t="s">
        <v>2987</v>
      </c>
      <c r="AD457" s="146" t="s">
        <v>2988</v>
      </c>
      <c r="AE457" s="183" t="str">
        <f>OBRA!X455</f>
        <v>ING. JUAN MANUEL GARCIA ESCOTO</v>
      </c>
      <c r="AF457" s="19">
        <f>AF456</f>
        <v>5527.87</v>
      </c>
      <c r="AG457" s="2" t="str">
        <f>AG456</f>
        <v>M2</v>
      </c>
      <c r="AH457" s="551">
        <f t="shared" si="27"/>
        <v>0</v>
      </c>
      <c r="AI457" s="2">
        <f>AI456</f>
        <v>500</v>
      </c>
      <c r="AJ457" s="513">
        <f>AJ456</f>
        <v>11000</v>
      </c>
      <c r="AK457" s="513"/>
      <c r="AL457" s="1513"/>
      <c r="AM457" s="1514"/>
      <c r="AN457" s="573"/>
      <c r="AO457" s="573"/>
      <c r="AP457" s="573"/>
      <c r="AQ457" s="573"/>
      <c r="AR457" s="785"/>
      <c r="AS457" s="1268"/>
    </row>
    <row r="458" spans="1:45" ht="251.25" hidden="1" customHeight="1">
      <c r="A458" s="16">
        <f>OBRA!J456</f>
        <v>2020</v>
      </c>
      <c r="B458" s="783" t="s">
        <v>2094</v>
      </c>
      <c r="C458" s="783">
        <v>205.02</v>
      </c>
      <c r="D458" s="783"/>
      <c r="E458" s="2" t="str">
        <f>OBRA!M456</f>
        <v>CUENTA CORRIENTE</v>
      </c>
      <c r="F458" s="605" t="s">
        <v>3522</v>
      </c>
      <c r="G458" s="156" t="s">
        <v>2861</v>
      </c>
      <c r="H458" s="412" t="str">
        <f>OBRA!N456</f>
        <v>C.P.S.P. DOP 002/2020</v>
      </c>
      <c r="I458" s="2" t="str">
        <f>OBRA!O456</f>
        <v>SERVICIOS</v>
      </c>
      <c r="J458"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4194</v>
      </c>
      <c r="L458" s="3"/>
      <c r="M458" s="683" t="s">
        <v>3975</v>
      </c>
      <c r="N458" s="683" t="s">
        <v>2663</v>
      </c>
      <c r="O458" s="1441" t="s">
        <v>3727</v>
      </c>
      <c r="P458" s="79">
        <f>OBRA!R456</f>
        <v>139246.39999999999</v>
      </c>
      <c r="Q458" s="1023">
        <f t="shared" ref="Q458:Q521" si="28">P458/1.16</f>
        <v>120040</v>
      </c>
      <c r="R458" s="79" t="s">
        <v>68</v>
      </c>
      <c r="S458" s="6">
        <f>OBRA!S456</f>
        <v>44275</v>
      </c>
      <c r="T458" s="1134" t="str">
        <f>OBRA!V456</f>
        <v>-</v>
      </c>
      <c r="U458" s="5">
        <f>OBRA!T456</f>
        <v>44287</v>
      </c>
      <c r="V458" s="11">
        <f>OBRA!U456</f>
        <v>44289</v>
      </c>
      <c r="W458" s="1195">
        <v>83547.839999999997</v>
      </c>
      <c r="X458" s="1156">
        <f>OBRA!AS456+OBRA!AT456</f>
        <v>0</v>
      </c>
      <c r="Y458" s="1018" t="s">
        <v>1428</v>
      </c>
      <c r="Z458" s="146" t="str">
        <f>OBRA!W456</f>
        <v>AJG INGENIERIA, SA DE CV</v>
      </c>
      <c r="AA458" s="146" t="s">
        <v>5666</v>
      </c>
      <c r="AB458" s="148" t="s">
        <v>3783</v>
      </c>
      <c r="AC458" s="148" t="s">
        <v>3784</v>
      </c>
      <c r="AD458" s="146" t="s">
        <v>3785</v>
      </c>
      <c r="AE458" s="183" t="str">
        <f>OBRA!X456</f>
        <v>ING. JUAN MANUEL GARCIA ESCOTO</v>
      </c>
      <c r="AF458" s="211">
        <v>1</v>
      </c>
      <c r="AG458" s="388" t="s">
        <v>1463</v>
      </c>
      <c r="AH458" s="551">
        <f t="shared" si="27"/>
        <v>0</v>
      </c>
      <c r="AI458" s="388">
        <v>2100</v>
      </c>
      <c r="AJ458" s="1507">
        <v>2100</v>
      </c>
      <c r="AK458" s="1507"/>
      <c r="AL458" s="1518"/>
      <c r="AM458" s="1519"/>
      <c r="AN458" s="1112" t="s">
        <v>68</v>
      </c>
      <c r="AO458" s="571" t="s">
        <v>68</v>
      </c>
      <c r="AP458" s="571" t="s">
        <v>68</v>
      </c>
      <c r="AQ458" s="506"/>
      <c r="AR458" s="506"/>
      <c r="AS458" s="1270" t="s">
        <v>68</v>
      </c>
    </row>
    <row r="459" spans="1:45" ht="44.25" hidden="1" customHeight="1">
      <c r="A459" s="82">
        <f>OBRA!J457</f>
        <v>2020</v>
      </c>
      <c r="B459" s="784" t="s">
        <v>2094</v>
      </c>
      <c r="C459" s="784">
        <v>205.03</v>
      </c>
      <c r="D459" s="784"/>
      <c r="E459" s="85">
        <f>OBRA!M457</f>
        <v>0</v>
      </c>
      <c r="F459" s="1149" t="s">
        <v>3522</v>
      </c>
      <c r="G459" s="575" t="s">
        <v>2206</v>
      </c>
      <c r="H459" s="421" t="str">
        <f>OBRA!N457</f>
        <v>C.P.S.P. DOP 003/2020</v>
      </c>
      <c r="I459" s="85" t="str">
        <f>OBRA!O457</f>
        <v>CANCELADA</v>
      </c>
      <c r="J459" s="125" t="str">
        <f>OBRA!P457</f>
        <v>CONTRATO CANCELADO</v>
      </c>
      <c r="K459" s="125"/>
      <c r="L459" s="125"/>
      <c r="M459" s="125"/>
      <c r="N459" s="125"/>
      <c r="O459" s="812"/>
      <c r="P459" s="86">
        <f>OBRA!R457</f>
        <v>0</v>
      </c>
      <c r="Q459" s="86">
        <f t="shared" si="28"/>
        <v>0</v>
      </c>
      <c r="R459" s="86"/>
      <c r="S459" s="87">
        <f>OBRA!S457</f>
        <v>0</v>
      </c>
      <c r="T459" s="1409">
        <f>OBRA!V457</f>
        <v>0</v>
      </c>
      <c r="U459" s="88">
        <f>OBRA!T457</f>
        <v>0</v>
      </c>
      <c r="V459" s="89">
        <f>OBRA!U457</f>
        <v>0</v>
      </c>
      <c r="W459" s="1410">
        <v>0</v>
      </c>
      <c r="X459" s="1155">
        <f>OBRA!AS457+OBRA!AT457</f>
        <v>0</v>
      </c>
      <c r="Y459" s="1016"/>
      <c r="Z459" s="147">
        <f>OBRA!W457</f>
        <v>0</v>
      </c>
      <c r="AA459" s="147" t="s">
        <v>68</v>
      </c>
      <c r="AB459" s="149" t="s">
        <v>68</v>
      </c>
      <c r="AC459" s="149" t="s">
        <v>68</v>
      </c>
      <c r="AD459" s="147" t="s">
        <v>1428</v>
      </c>
      <c r="AE459" s="184">
        <f>OBRA!X457</f>
        <v>0</v>
      </c>
      <c r="AF459" s="84">
        <v>240</v>
      </c>
      <c r="AG459" s="85" t="s">
        <v>1451</v>
      </c>
      <c r="AH459" s="184">
        <f t="shared" si="27"/>
        <v>0</v>
      </c>
      <c r="AI459" s="85">
        <v>2100</v>
      </c>
      <c r="AJ459" s="514">
        <v>2100</v>
      </c>
      <c r="AK459" s="514"/>
      <c r="AL459" s="1515"/>
      <c r="AM459" s="1516"/>
      <c r="AN459" s="1411" t="s">
        <v>68</v>
      </c>
      <c r="AO459" s="816" t="s">
        <v>68</v>
      </c>
      <c r="AP459" s="816" t="s">
        <v>68</v>
      </c>
      <c r="AQ459" s="514"/>
      <c r="AR459" s="514"/>
      <c r="AS459" s="1433" t="s">
        <v>68</v>
      </c>
    </row>
    <row r="460" spans="1:45" ht="111.75" hidden="1" customHeight="1">
      <c r="A460" s="16">
        <f>OBRA!J458</f>
        <v>2020</v>
      </c>
      <c r="B460" s="783" t="s">
        <v>2094</v>
      </c>
      <c r="C460" s="783">
        <v>205.04</v>
      </c>
      <c r="D460" s="783"/>
      <c r="E460" s="2" t="str">
        <f>OBRA!M458</f>
        <v>CUENTA CORRIENTE</v>
      </c>
      <c r="F460" s="156" t="s">
        <v>1428</v>
      </c>
      <c r="G460" s="156" t="s">
        <v>2861</v>
      </c>
      <c r="H460" s="412" t="str">
        <f>OBRA!N458</f>
        <v>C.P.S.P. DOP 004/2020</v>
      </c>
      <c r="I460" s="2" t="str">
        <f>OBRA!O458</f>
        <v>SERVICIOS</v>
      </c>
      <c r="J460" s="3" t="str">
        <f>OBRA!P458</f>
        <v>ESTUDIOS DE MECÁNICA DE SUELOS Y DE COMPACTACIÓN, CORRESPONDIENTE AL PROYECTO: "REHABILITACIÓN DE IMAGEN URBANA EN CALLE GUADALUPE VICTORIA SUR ENTRE VICENTE GUERRERO Y DONATO GUERRA", EN LA CABECERA MUNICIPAL DE JOCOTEPEC, JALISCO.</v>
      </c>
      <c r="K460" s="451" t="s">
        <v>3034</v>
      </c>
      <c r="L460" s="451"/>
      <c r="M460" s="683" t="s">
        <v>3994</v>
      </c>
      <c r="N460" s="683" t="s">
        <v>1975</v>
      </c>
      <c r="O460" s="504" t="s">
        <v>3727</v>
      </c>
      <c r="P460" s="79">
        <f>OBRA!R458</f>
        <v>25520</v>
      </c>
      <c r="Q460" s="1023">
        <f t="shared" si="28"/>
        <v>22000</v>
      </c>
      <c r="R460" s="79" t="s">
        <v>68</v>
      </c>
      <c r="S460" s="6">
        <f>OBRA!S458</f>
        <v>43979</v>
      </c>
      <c r="T460" s="1134" t="str">
        <f>OBRA!V458</f>
        <v>-</v>
      </c>
      <c r="U460" s="5" t="str">
        <f>OBRA!T458</f>
        <v>NO APLICA</v>
      </c>
      <c r="V460" s="11" t="str">
        <f>OBRA!U458</f>
        <v>NO APLICA</v>
      </c>
      <c r="W460" s="1195">
        <v>0</v>
      </c>
      <c r="X460" s="1156">
        <f>OBRA!AS458+OBRA!AT458</f>
        <v>0</v>
      </c>
      <c r="Y460" s="1018" t="s">
        <v>1428</v>
      </c>
      <c r="Z460" s="146" t="str">
        <f>OBRA!W458</f>
        <v>SUPERVISIÓN PROYECTOS Y LABORATORIO PARA LA CONSTRUCCIÓN</v>
      </c>
      <c r="AA460" s="146" t="s">
        <v>5666</v>
      </c>
      <c r="AB460" s="148" t="s">
        <v>3039</v>
      </c>
      <c r="AC460" s="399" t="s">
        <v>2992</v>
      </c>
      <c r="AD460" s="1090" t="s">
        <v>2993</v>
      </c>
      <c r="AE460" s="183" t="str">
        <f>OBRA!X458</f>
        <v>ING. HECTOR JESUS HERNANDEZ</v>
      </c>
      <c r="AF460" s="19">
        <v>1</v>
      </c>
      <c r="AG460" s="2" t="s">
        <v>1573</v>
      </c>
      <c r="AH460" s="551">
        <f t="shared" si="27"/>
        <v>0</v>
      </c>
      <c r="AI460" s="2">
        <v>200</v>
      </c>
      <c r="AJ460" s="513">
        <v>1000</v>
      </c>
      <c r="AK460" s="513"/>
      <c r="AL460" s="1513"/>
      <c r="AM460" s="1514"/>
      <c r="AN460" s="1112" t="s">
        <v>68</v>
      </c>
      <c r="AO460" s="571" t="s">
        <v>68</v>
      </c>
      <c r="AP460" s="571" t="s">
        <v>68</v>
      </c>
      <c r="AQ460" s="506"/>
      <c r="AR460" s="506"/>
      <c r="AS460" s="1270" t="s">
        <v>68</v>
      </c>
    </row>
    <row r="461" spans="1:45" ht="108.75" hidden="1" customHeight="1">
      <c r="A461" s="16">
        <f>OBRA!J459</f>
        <v>2020</v>
      </c>
      <c r="B461" s="783" t="s">
        <v>2094</v>
      </c>
      <c r="C461" s="783">
        <v>205.05</v>
      </c>
      <c r="D461" s="783"/>
      <c r="E461" s="2" t="str">
        <f>OBRA!M459</f>
        <v>CUENTA CORRIENTE</v>
      </c>
      <c r="F461" s="156" t="s">
        <v>1428</v>
      </c>
      <c r="G461" s="156" t="s">
        <v>2861</v>
      </c>
      <c r="H461" s="412" t="str">
        <f>OBRA!N459</f>
        <v>C.P.S.P. DOP 005/2020</v>
      </c>
      <c r="I461" s="2" t="str">
        <f>OBRA!O459</f>
        <v>SERVICIOS</v>
      </c>
      <c r="J461" s="3" t="str">
        <f>OBRA!P459</f>
        <v>ESTUDIOS DE MECÁNICA DE SUELOS, COMPACTACIÓN Y CALCULO ESTRUCTURAL, CORRESPONDIENTE AL PROYECTO: "REHABILITACIÓN DE LA CANCHA UNIDAD DEPORTIVA ZARAGOZA 1ERA. ETAPA", EN LA CABECERA MUNICIPAL DE JOCOTEPEC, JALISCO.</v>
      </c>
      <c r="K461" s="451" t="s">
        <v>3034</v>
      </c>
      <c r="L461" s="451"/>
      <c r="M461" s="683" t="s">
        <v>3995</v>
      </c>
      <c r="N461" s="683" t="s">
        <v>1975</v>
      </c>
      <c r="O461" s="1441" t="s">
        <v>3727</v>
      </c>
      <c r="P461" s="79">
        <f>OBRA!R459</f>
        <v>36772</v>
      </c>
      <c r="Q461" s="1023">
        <f t="shared" si="28"/>
        <v>31700.000000000004</v>
      </c>
      <c r="R461" s="79" t="s">
        <v>68</v>
      </c>
      <c r="S461" s="6">
        <f>OBRA!S459</f>
        <v>43979</v>
      </c>
      <c r="T461" s="1134" t="str">
        <f>OBRA!V459</f>
        <v>-</v>
      </c>
      <c r="U461" s="5" t="str">
        <f>OBRA!T459</f>
        <v>NO APLICA</v>
      </c>
      <c r="V461" s="11" t="str">
        <f>OBRA!U459</f>
        <v>NO APLICA</v>
      </c>
      <c r="W461" s="1195">
        <v>0</v>
      </c>
      <c r="X461" s="1156">
        <f>OBRA!AS459+OBRA!AT459</f>
        <v>0</v>
      </c>
      <c r="Y461" s="1018" t="s">
        <v>1428</v>
      </c>
      <c r="Z461" s="146" t="str">
        <f>OBRA!W459</f>
        <v>SUPERVISIÓN PROYECTOS Y LABORATORIO PARA LA CONSTRUCCIÓN</v>
      </c>
      <c r="AA461" s="146" t="s">
        <v>5666</v>
      </c>
      <c r="AB461" s="148" t="s">
        <v>3039</v>
      </c>
      <c r="AC461" s="148" t="s">
        <v>2992</v>
      </c>
      <c r="AD461" s="146" t="s">
        <v>2993</v>
      </c>
      <c r="AE461" s="183" t="str">
        <f>OBRA!X459</f>
        <v>ING. HECTOR JESUS HERNANDEZ</v>
      </c>
      <c r="AF461" s="19">
        <v>1</v>
      </c>
      <c r="AG461" s="2" t="s">
        <v>1573</v>
      </c>
      <c r="AH461" s="551">
        <f t="shared" si="27"/>
        <v>0</v>
      </c>
      <c r="AI461" s="2">
        <v>500</v>
      </c>
      <c r="AJ461" s="513">
        <v>500</v>
      </c>
      <c r="AK461" s="513"/>
      <c r="AL461" s="1513"/>
      <c r="AM461" s="1514"/>
      <c r="AN461" s="1112" t="s">
        <v>68</v>
      </c>
      <c r="AO461" s="571" t="s">
        <v>68</v>
      </c>
      <c r="AP461" s="571" t="s">
        <v>68</v>
      </c>
      <c r="AQ461" s="506"/>
      <c r="AR461" s="506"/>
      <c r="AS461" s="1270" t="s">
        <v>68</v>
      </c>
    </row>
    <row r="462" spans="1:45" ht="94.5" hidden="1" customHeight="1">
      <c r="A462" s="16">
        <f>OBRA!J460</f>
        <v>2020</v>
      </c>
      <c r="B462" s="783" t="s">
        <v>2094</v>
      </c>
      <c r="C462" s="783">
        <v>205.06</v>
      </c>
      <c r="D462" s="783"/>
      <c r="E462" s="2" t="str">
        <f>OBRA!M460</f>
        <v>CUENTA CORRIENTE</v>
      </c>
      <c r="F462" s="156" t="s">
        <v>1428</v>
      </c>
      <c r="G462" s="156" t="s">
        <v>2861</v>
      </c>
      <c r="H462" s="412" t="str">
        <f>OBRA!N460</f>
        <v>C.P.S.P. DOP 006/2020</v>
      </c>
      <c r="I462" s="2" t="str">
        <f>OBRA!O460</f>
        <v>SERVICIOS</v>
      </c>
      <c r="J462" s="3" t="str">
        <f>OBRA!P460</f>
        <v>ESTUDIOS DE MECÁNICA DE SUELOS Y COMPACTACIÓN, CORRESPONDIENTE AL PROYECTO: "REHABILITACIÓN DE CANCHA DE USOS MULTIPLES UBICADA EN EL MALECÓN", EN LA LOCALIDAD DE SAN JUAN COSALA, DEL MUNICIPIO DE JOCOTEPEC, JALISCO.</v>
      </c>
      <c r="K462" s="451" t="s">
        <v>3034</v>
      </c>
      <c r="L462" s="451"/>
      <c r="M462" s="683" t="s">
        <v>3996</v>
      </c>
      <c r="N462" s="683" t="s">
        <v>2524</v>
      </c>
      <c r="O462" s="1441" t="s">
        <v>3727</v>
      </c>
      <c r="P462" s="79">
        <f>OBRA!R460</f>
        <v>18096</v>
      </c>
      <c r="Q462" s="1023">
        <f t="shared" si="28"/>
        <v>15600.000000000002</v>
      </c>
      <c r="R462" s="79" t="s">
        <v>68</v>
      </c>
      <c r="S462" s="6">
        <f>OBRA!S460</f>
        <v>43979</v>
      </c>
      <c r="T462" s="1134" t="str">
        <f>OBRA!V460</f>
        <v>-</v>
      </c>
      <c r="U462" s="5" t="str">
        <f>OBRA!T460</f>
        <v>NO APLICA</v>
      </c>
      <c r="V462" s="11" t="str">
        <f>OBRA!U460</f>
        <v>NO APLICA</v>
      </c>
      <c r="W462" s="1195">
        <v>0</v>
      </c>
      <c r="X462" s="1156">
        <f>OBRA!AS460+OBRA!AT460</f>
        <v>0</v>
      </c>
      <c r="Y462" s="1018" t="s">
        <v>1428</v>
      </c>
      <c r="Z462" s="146" t="str">
        <f>OBRA!W460</f>
        <v>SUPERVISIÓN PROYECTOS Y LABORATORIO PARA LA CONSTRUCCIÓN</v>
      </c>
      <c r="AA462" s="146" t="s">
        <v>5666</v>
      </c>
      <c r="AB462" s="148" t="s">
        <v>3039</v>
      </c>
      <c r="AC462" s="148" t="s">
        <v>2992</v>
      </c>
      <c r="AD462" s="146" t="s">
        <v>2993</v>
      </c>
      <c r="AE462" s="183" t="str">
        <f>OBRA!X460</f>
        <v>ING. HECTOR JESUS HERNANDEZ</v>
      </c>
      <c r="AF462" s="19">
        <v>1</v>
      </c>
      <c r="AG462" s="2" t="s">
        <v>1573</v>
      </c>
      <c r="AH462" s="551">
        <f t="shared" ref="AH462:AH493" si="29">X462/AF462</f>
        <v>0</v>
      </c>
      <c r="AI462" s="2">
        <v>2000</v>
      </c>
      <c r="AJ462" s="513">
        <v>8000</v>
      </c>
      <c r="AK462" s="513"/>
      <c r="AL462" s="1513"/>
      <c r="AM462" s="1514"/>
      <c r="AN462" s="1112" t="s">
        <v>68</v>
      </c>
      <c r="AO462" s="571" t="s">
        <v>68</v>
      </c>
      <c r="AP462" s="571" t="s">
        <v>68</v>
      </c>
      <c r="AQ462" s="506"/>
      <c r="AR462" s="506"/>
      <c r="AS462" s="1270" t="s">
        <v>68</v>
      </c>
    </row>
    <row r="463" spans="1:45" ht="84.75" hidden="1" customHeight="1">
      <c r="A463" s="16">
        <f>OBRA!J461</f>
        <v>2020</v>
      </c>
      <c r="B463" s="783" t="s">
        <v>2094</v>
      </c>
      <c r="C463" s="783">
        <v>205.07</v>
      </c>
      <c r="D463" s="783"/>
      <c r="E463" s="2" t="str">
        <f>OBRA!M461</f>
        <v>CUENTA CORRIENTE</v>
      </c>
      <c r="F463" s="156" t="s">
        <v>1428</v>
      </c>
      <c r="G463" s="156" t="s">
        <v>2861</v>
      </c>
      <c r="H463" s="412" t="str">
        <f>OBRA!N461</f>
        <v>C.P.S.P. DOP 007/2020</v>
      </c>
      <c r="I463" s="2" t="str">
        <f>OBRA!O461</f>
        <v>SERVICIOS</v>
      </c>
      <c r="J463" s="3" t="str">
        <f>OBRA!P461</f>
        <v>ESTUDIOS DE MECÁNICA DE SUELOS Y COMPACTACIÓN, CORRESPONDIENTE AL PROYECTO: "CONSTRUCCIÓN DE JARDÍN DE NIÑOS "MIGUEL HIDALGO", EN LA CABECERA MUNICIPAL DE JOCOTEPEC, JALISCO.</v>
      </c>
      <c r="K463" s="451" t="s">
        <v>3034</v>
      </c>
      <c r="L463" s="451"/>
      <c r="M463" s="683" t="s">
        <v>3997</v>
      </c>
      <c r="N463" s="683" t="s">
        <v>1975</v>
      </c>
      <c r="O463" s="1441" t="s">
        <v>3727</v>
      </c>
      <c r="P463" s="79">
        <f>OBRA!R461</f>
        <v>22772</v>
      </c>
      <c r="Q463" s="1023">
        <f t="shared" si="28"/>
        <v>19631.034482758623</v>
      </c>
      <c r="R463" s="79" t="s">
        <v>68</v>
      </c>
      <c r="S463" s="6">
        <f>OBRA!S461</f>
        <v>43979</v>
      </c>
      <c r="T463" s="1134" t="str">
        <f>OBRA!V461</f>
        <v>-</v>
      </c>
      <c r="U463" s="5" t="str">
        <f>OBRA!T461</f>
        <v>NO APLICA</v>
      </c>
      <c r="V463" s="11" t="str">
        <f>OBRA!U461</f>
        <v>NO APLICA</v>
      </c>
      <c r="W463" s="1195">
        <v>0</v>
      </c>
      <c r="X463" s="1156">
        <f>OBRA!AS461+OBRA!AT461</f>
        <v>0</v>
      </c>
      <c r="Y463" s="1018" t="s">
        <v>1428</v>
      </c>
      <c r="Z463" s="146" t="str">
        <f>OBRA!W461</f>
        <v>SUPERVISIÓN PROYECTOS Y LABORATORIO PARA LA CONSTRUCCIÓN</v>
      </c>
      <c r="AA463" s="146" t="s">
        <v>5666</v>
      </c>
      <c r="AB463" s="148" t="s">
        <v>3039</v>
      </c>
      <c r="AC463" s="148" t="s">
        <v>2992</v>
      </c>
      <c r="AD463" s="146" t="s">
        <v>2993</v>
      </c>
      <c r="AE463" s="183" t="str">
        <f>OBRA!X461</f>
        <v>ING. HECTOR JESUS HERNANDEZ</v>
      </c>
      <c r="AF463" s="19">
        <v>1</v>
      </c>
      <c r="AG463" s="2" t="s">
        <v>1573</v>
      </c>
      <c r="AH463" s="551">
        <f t="shared" si="29"/>
        <v>0</v>
      </c>
      <c r="AI463" s="2">
        <v>200</v>
      </c>
      <c r="AJ463" s="513">
        <v>1000</v>
      </c>
      <c r="AK463" s="513"/>
      <c r="AL463" s="1513"/>
      <c r="AM463" s="1514"/>
      <c r="AN463" s="1112" t="s">
        <v>68</v>
      </c>
      <c r="AO463" s="571" t="s">
        <v>68</v>
      </c>
      <c r="AP463" s="571" t="s">
        <v>68</v>
      </c>
      <c r="AQ463" s="506"/>
      <c r="AR463" s="506"/>
      <c r="AS463" s="1270" t="s">
        <v>68</v>
      </c>
    </row>
    <row r="464" spans="1:45" ht="96.75" hidden="1" customHeight="1">
      <c r="A464" s="16">
        <f>OBRA!J462</f>
        <v>2020</v>
      </c>
      <c r="B464" s="783" t="s">
        <v>2094</v>
      </c>
      <c r="C464" s="783">
        <v>205.08</v>
      </c>
      <c r="D464" s="783"/>
      <c r="E464" s="2" t="str">
        <f>OBRA!M462</f>
        <v>CUENTA CORRIENTE</v>
      </c>
      <c r="F464" s="156" t="s">
        <v>1428</v>
      </c>
      <c r="G464" s="156" t="s">
        <v>2861</v>
      </c>
      <c r="H464" s="412" t="str">
        <f>OBRA!N462</f>
        <v>C.P.S.P. DOP 008/2020</v>
      </c>
      <c r="I464" s="2" t="str">
        <f>OBRA!O462</f>
        <v>SERVICIOS</v>
      </c>
      <c r="J464" s="3" t="str">
        <f>OBRA!P462</f>
        <v>ESTUDIOS DE MECÁNICA DE SUELOS Y COMPACTACIÓN, CORRESPONDIENTE AL PROYECTO: "CONSTRUCCIÓN DE JARDÍN DE NIÑOS "ITZCOATL", EN LA LOCALIDAD DE NEXTIPAC. DEL MUNICIPIO DE JOCOTEPEC, JALISCO.</v>
      </c>
      <c r="K464" s="451" t="s">
        <v>3034</v>
      </c>
      <c r="L464" s="451"/>
      <c r="M464" s="683" t="s">
        <v>3998</v>
      </c>
      <c r="N464" s="683" t="s">
        <v>2577</v>
      </c>
      <c r="O464" s="1441" t="s">
        <v>3727</v>
      </c>
      <c r="P464" s="79">
        <f>OBRA!R462</f>
        <v>22772</v>
      </c>
      <c r="Q464" s="1023">
        <f t="shared" si="28"/>
        <v>19631.034482758623</v>
      </c>
      <c r="R464" s="79" t="s">
        <v>68</v>
      </c>
      <c r="S464" s="6">
        <f>OBRA!S462</f>
        <v>43979</v>
      </c>
      <c r="T464" s="1134" t="str">
        <f>OBRA!V462</f>
        <v>-</v>
      </c>
      <c r="U464" s="5" t="str">
        <f>OBRA!T462</f>
        <v>NO APLICA</v>
      </c>
      <c r="V464" s="11" t="str">
        <f>OBRA!U462</f>
        <v>NO APLICA</v>
      </c>
      <c r="W464" s="1195">
        <v>0</v>
      </c>
      <c r="X464" s="1156">
        <f>OBRA!AS462+OBRA!AT462</f>
        <v>0</v>
      </c>
      <c r="Y464" s="1018" t="s">
        <v>1428</v>
      </c>
      <c r="Z464" s="146" t="str">
        <f>OBRA!W462</f>
        <v>SUPERVISIÓN PROYECTOS Y LABORATORIO PARA LA CONSTRUCCIÓN</v>
      </c>
      <c r="AA464" s="146" t="s">
        <v>5666</v>
      </c>
      <c r="AB464" s="148" t="s">
        <v>3039</v>
      </c>
      <c r="AC464" s="148" t="s">
        <v>2992</v>
      </c>
      <c r="AD464" s="146" t="s">
        <v>2993</v>
      </c>
      <c r="AE464" s="183" t="str">
        <f>OBRA!X462</f>
        <v>ING. HECTOR JESUS HERNANDEZ</v>
      </c>
      <c r="AF464" s="19">
        <v>1</v>
      </c>
      <c r="AG464" s="2" t="s">
        <v>1573</v>
      </c>
      <c r="AH464" s="551">
        <f t="shared" si="29"/>
        <v>0</v>
      </c>
      <c r="AI464" s="2">
        <v>200</v>
      </c>
      <c r="AJ464" s="513">
        <v>1000</v>
      </c>
      <c r="AK464" s="513"/>
      <c r="AL464" s="1513"/>
      <c r="AM464" s="1514"/>
      <c r="AN464" s="1112" t="s">
        <v>68</v>
      </c>
      <c r="AO464" s="571" t="s">
        <v>68</v>
      </c>
      <c r="AP464" s="571" t="s">
        <v>68</v>
      </c>
      <c r="AQ464" s="506"/>
      <c r="AR464" s="506"/>
      <c r="AS464" s="1270" t="s">
        <v>68</v>
      </c>
    </row>
    <row r="465" spans="1:45" ht="96" hidden="1" customHeight="1">
      <c r="A465" s="16">
        <f>OBRA!J463</f>
        <v>2020</v>
      </c>
      <c r="B465" s="783" t="s">
        <v>2094</v>
      </c>
      <c r="C465" s="783">
        <v>205.09</v>
      </c>
      <c r="D465" s="783"/>
      <c r="E465" s="2" t="str">
        <f>OBRA!M463</f>
        <v>CUENTA CORRIENTE</v>
      </c>
      <c r="F465" s="156" t="s">
        <v>1428</v>
      </c>
      <c r="G465" s="156" t="s">
        <v>2861</v>
      </c>
      <c r="H465" s="412" t="str">
        <f>OBRA!N463</f>
        <v>C.P.S.P. DOP 009/2020</v>
      </c>
      <c r="I465" s="2" t="str">
        <f>OBRA!O463</f>
        <v>SERVICIOS</v>
      </c>
      <c r="J465" s="3" t="str">
        <f>OBRA!P463</f>
        <v>REGISTRO ELECTRICO VERSIÓN MULTIPARAMETROS, PARA EL PROYECTO DE PERFORACIÓN DE: PERFORACIÓN DE POZO PROFUNDO, EN LA AGENCIA MUNICIPAL DE LAS TROJES, DEL MUNICIPIO DE JOCOTEPEC, JALISCO.</v>
      </c>
      <c r="K465" s="173" t="s">
        <v>3035</v>
      </c>
      <c r="L465" s="173"/>
      <c r="M465" s="683" t="s">
        <v>3032</v>
      </c>
      <c r="N465" s="683" t="s">
        <v>2614</v>
      </c>
      <c r="O465" s="1441" t="s">
        <v>3727</v>
      </c>
      <c r="P465" s="79">
        <f>OBRA!R463</f>
        <v>17400</v>
      </c>
      <c r="Q465" s="1023">
        <f t="shared" si="28"/>
        <v>15000.000000000002</v>
      </c>
      <c r="R465" s="79" t="s">
        <v>68</v>
      </c>
      <c r="S465" s="6">
        <f>OBRA!S463</f>
        <v>44050</v>
      </c>
      <c r="T465" s="1134" t="str">
        <f>OBRA!V463</f>
        <v>-</v>
      </c>
      <c r="U465" s="5">
        <f>OBRA!T463</f>
        <v>44050</v>
      </c>
      <c r="V465" s="11">
        <f>OBRA!U463</f>
        <v>44055</v>
      </c>
      <c r="W465" s="1195">
        <v>0</v>
      </c>
      <c r="X465" s="1156">
        <f>OBRA!AS463+OBRA!AT463</f>
        <v>0</v>
      </c>
      <c r="Y465" s="1018" t="s">
        <v>1428</v>
      </c>
      <c r="Z465" s="146" t="str">
        <f>OBRA!W463</f>
        <v xml:space="preserve">CICLOS GIP SC </v>
      </c>
      <c r="AA465" s="146" t="s">
        <v>5666</v>
      </c>
      <c r="AB465" s="148" t="s">
        <v>2999</v>
      </c>
      <c r="AC465" s="148" t="s">
        <v>2987</v>
      </c>
      <c r="AD465" s="146" t="s">
        <v>2988</v>
      </c>
      <c r="AE465" s="183" t="str">
        <f>OBRA!X463</f>
        <v>ING. HECTOR JESUS HERNANDEZ</v>
      </c>
      <c r="AF465" s="19">
        <v>1</v>
      </c>
      <c r="AG465" s="2" t="s">
        <v>1463</v>
      </c>
      <c r="AH465" s="551">
        <f t="shared" si="29"/>
        <v>0</v>
      </c>
      <c r="AI465" s="2">
        <v>800</v>
      </c>
      <c r="AJ465" s="513">
        <v>800</v>
      </c>
      <c r="AK465" s="513"/>
      <c r="AL465" s="1513"/>
      <c r="AM465" s="1514"/>
      <c r="AN465" s="1112" t="s">
        <v>68</v>
      </c>
      <c r="AO465" s="571" t="s">
        <v>68</v>
      </c>
      <c r="AP465" s="571" t="s">
        <v>68</v>
      </c>
      <c r="AQ465" s="506"/>
      <c r="AR465" s="506"/>
      <c r="AS465" s="1270" t="s">
        <v>68</v>
      </c>
    </row>
    <row r="466" spans="1:45" ht="117" hidden="1" customHeight="1">
      <c r="A466" s="16">
        <f>OBRA!J464</f>
        <v>2020</v>
      </c>
      <c r="B466" s="783" t="s">
        <v>2094</v>
      </c>
      <c r="C466" s="783">
        <v>205.1</v>
      </c>
      <c r="D466" s="783"/>
      <c r="E466" s="2" t="str">
        <f>OBRA!M464</f>
        <v>CUENTA CORRIENTE</v>
      </c>
      <c r="F466" s="156" t="s">
        <v>1428</v>
      </c>
      <c r="G466" s="156" t="s">
        <v>2861</v>
      </c>
      <c r="H466" s="412" t="str">
        <f>OBRA!N464</f>
        <v>C.P.S.P. DOP 010/2020</v>
      </c>
      <c r="I466" s="2" t="str">
        <f>OBRA!O464</f>
        <v>SERVICIOS</v>
      </c>
      <c r="J466" s="3" t="str">
        <f>OBRA!P464</f>
        <v>"ESTUDIO DE MECANICA DE SUELOS Y PRUEBAS COMPACTACIÓN", CORRESPONDIENTE AL PROYECTO. "CONSTRUCCIÓN Y EQUIPAMIENTO DE LA PLAZA PRINCIPAL 1ERA ETAPA" DE LA DELEGACIÓN DE CHANTEPEC, DEL MUNICIPIO DE JOCOTEPEC, JALISCO.</v>
      </c>
      <c r="K466" s="451" t="s">
        <v>3034</v>
      </c>
      <c r="L466" s="451"/>
      <c r="M466" s="683" t="s">
        <v>3326</v>
      </c>
      <c r="N466" s="683" t="s">
        <v>2538</v>
      </c>
      <c r="O466" s="504" t="s">
        <v>3499</v>
      </c>
      <c r="P466" s="79">
        <f>OBRA!R464</f>
        <v>34046</v>
      </c>
      <c r="Q466" s="1023">
        <f t="shared" si="28"/>
        <v>29350.000000000004</v>
      </c>
      <c r="R466" s="79" t="s">
        <v>68</v>
      </c>
      <c r="S466" s="6">
        <f>OBRA!S464</f>
        <v>44026</v>
      </c>
      <c r="T466" s="1134" t="str">
        <f>OBRA!V464</f>
        <v>-</v>
      </c>
      <c r="U466" s="5" t="str">
        <f>OBRA!T464</f>
        <v>NO APLICA</v>
      </c>
      <c r="V466" s="11" t="str">
        <f>OBRA!U464</f>
        <v>NO APLICA</v>
      </c>
      <c r="W466" s="1195">
        <v>0</v>
      </c>
      <c r="X466" s="1156">
        <f>OBRA!AS464+OBRA!AT464</f>
        <v>0</v>
      </c>
      <c r="Y466" s="1018" t="s">
        <v>1428</v>
      </c>
      <c r="Z466" s="146" t="str">
        <f>OBRA!W464</f>
        <v>SUPERVISIÓN PROYECTOS Y LABORATORIO PARA LA CONSTRUCCIÓN</v>
      </c>
      <c r="AA466" s="146" t="s">
        <v>5666</v>
      </c>
      <c r="AB466" s="148" t="s">
        <v>3039</v>
      </c>
      <c r="AC466" s="148" t="s">
        <v>3786</v>
      </c>
      <c r="AD466" s="146" t="s">
        <v>3787</v>
      </c>
      <c r="AE466" s="183" t="str">
        <f>OBRA!X464</f>
        <v>ARQ. EDUARDO ROMERO CARRILLO</v>
      </c>
      <c r="AF466" s="19">
        <v>1</v>
      </c>
      <c r="AG466" s="2" t="s">
        <v>1573</v>
      </c>
      <c r="AH466" s="551">
        <f t="shared" si="29"/>
        <v>0</v>
      </c>
      <c r="AI466" s="2">
        <v>3600</v>
      </c>
      <c r="AJ466" s="513">
        <v>3600</v>
      </c>
      <c r="AK466" s="513"/>
      <c r="AL466" s="1513"/>
      <c r="AM466" s="1514"/>
      <c r="AN466" s="1112" t="s">
        <v>68</v>
      </c>
      <c r="AO466" s="571" t="s">
        <v>68</v>
      </c>
      <c r="AP466" s="571" t="s">
        <v>68</v>
      </c>
      <c r="AQ466" s="506"/>
      <c r="AR466" s="506"/>
      <c r="AS466" s="1270" t="s">
        <v>68</v>
      </c>
    </row>
    <row r="467" spans="1:45" ht="78.75" hidden="1" customHeight="1">
      <c r="A467" s="16">
        <f>OBRA!J465</f>
        <v>2020</v>
      </c>
      <c r="B467" s="783" t="s">
        <v>2094</v>
      </c>
      <c r="C467" s="783">
        <v>205.11</v>
      </c>
      <c r="D467" s="783"/>
      <c r="E467" s="2" t="str">
        <f>OBRA!M465</f>
        <v>CUENTA CORRIENTE</v>
      </c>
      <c r="F467" s="156" t="s">
        <v>1428</v>
      </c>
      <c r="G467" s="156" t="s">
        <v>2861</v>
      </c>
      <c r="H467" s="412" t="str">
        <f>OBRA!N465</f>
        <v>C.P.S.P. DOP 011/2020</v>
      </c>
      <c r="I467" s="2" t="str">
        <f>OBRA!O465</f>
        <v>SERVICIOS</v>
      </c>
      <c r="J467" s="3" t="str">
        <f>OBRA!P465</f>
        <v>LEVANTAMIENTO TOPOGRÁFICO DE ÁREA DE DONACIÓN Y UBICACIÓN DEL DEPÓSITO PARA AGUA POTABLE EN LADO NORTE DE LA CABECERA MUNICIPAL DE JOCOTEPEC, JALISCO.</v>
      </c>
      <c r="K467" s="451" t="s">
        <v>3034</v>
      </c>
      <c r="L467" s="451"/>
      <c r="M467" s="683" t="s">
        <v>3327</v>
      </c>
      <c r="N467" s="683" t="s">
        <v>2575</v>
      </c>
      <c r="O467" s="504" t="s">
        <v>3500</v>
      </c>
      <c r="P467" s="79">
        <f>OBRA!R465</f>
        <v>4059.9999999999995</v>
      </c>
      <c r="Q467" s="1023">
        <f t="shared" si="28"/>
        <v>3500</v>
      </c>
      <c r="R467" s="79" t="s">
        <v>68</v>
      </c>
      <c r="S467" s="6">
        <f>OBRA!S465</f>
        <v>44454</v>
      </c>
      <c r="T467" s="1134" t="str">
        <f>OBRA!V465</f>
        <v>-</v>
      </c>
      <c r="U467" s="5" t="str">
        <f>OBRA!T465</f>
        <v>NO APLICA</v>
      </c>
      <c r="V467" s="11" t="str">
        <f>OBRA!U465</f>
        <v>NO APLICA</v>
      </c>
      <c r="W467" s="1195">
        <v>0</v>
      </c>
      <c r="X467" s="1156">
        <f>OBRA!AS465+OBRA!AT465</f>
        <v>0</v>
      </c>
      <c r="Y467" s="1018" t="s">
        <v>1428</v>
      </c>
      <c r="Z467" s="146" t="str">
        <f>OBRA!W465</f>
        <v>JUAN MANUEL GARCIA ESCOTO</v>
      </c>
      <c r="AA467" s="146" t="s">
        <v>5665</v>
      </c>
      <c r="AB467" s="148" t="str">
        <f>Z467</f>
        <v>JUAN MANUEL GARCIA ESCOTO</v>
      </c>
      <c r="AC467" s="148" t="s">
        <v>2976</v>
      </c>
      <c r="AD467" s="146" t="s">
        <v>2976</v>
      </c>
      <c r="AE467" s="183" t="str">
        <f>OBRA!X465</f>
        <v>ING. HECTOR JESUS HERNANDEZ</v>
      </c>
      <c r="AF467" s="19">
        <v>1</v>
      </c>
      <c r="AG467" s="2" t="s">
        <v>1573</v>
      </c>
      <c r="AH467" s="551">
        <f t="shared" si="29"/>
        <v>0</v>
      </c>
      <c r="AI467" s="510"/>
      <c r="AJ467" s="506"/>
      <c r="AK467" s="506"/>
      <c r="AL467" s="635"/>
      <c r="AM467" s="1517"/>
      <c r="AN467" s="1112" t="s">
        <v>68</v>
      </c>
      <c r="AO467" s="571" t="s">
        <v>68</v>
      </c>
      <c r="AP467" s="571" t="s">
        <v>68</v>
      </c>
      <c r="AQ467" s="506"/>
      <c r="AR467" s="506"/>
      <c r="AS467" s="1270" t="s">
        <v>68</v>
      </c>
    </row>
    <row r="468" spans="1:45" ht="132" hidden="1" customHeight="1">
      <c r="A468" s="16">
        <f>OBRA!J466</f>
        <v>2020</v>
      </c>
      <c r="B468" s="783" t="s">
        <v>2094</v>
      </c>
      <c r="C468" s="783">
        <v>205.12</v>
      </c>
      <c r="D468" s="783"/>
      <c r="E468" s="2" t="str">
        <f>OBRA!M466</f>
        <v>CUENTA CORRIENTE</v>
      </c>
      <c r="F468" s="156" t="s">
        <v>1428</v>
      </c>
      <c r="G468" s="156" t="s">
        <v>2861</v>
      </c>
      <c r="H468" s="412" t="str">
        <f>OBRA!N466</f>
        <v>C.P.S.P. DOP 012/2020</v>
      </c>
      <c r="I468" s="2" t="str">
        <f>OBRA!O466</f>
        <v>SERVICIOS</v>
      </c>
      <c r="J468"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2989</v>
      </c>
      <c r="L468" s="173"/>
      <c r="M468" s="683" t="s">
        <v>3328</v>
      </c>
      <c r="N468" s="683" t="s">
        <v>2614</v>
      </c>
      <c r="O468" s="504" t="s">
        <v>3500</v>
      </c>
      <c r="P468" s="79">
        <f>OBRA!R466</f>
        <v>139246</v>
      </c>
      <c r="Q468" s="1023">
        <f t="shared" si="28"/>
        <v>120039.6551724138</v>
      </c>
      <c r="R468" s="79" t="s">
        <v>68</v>
      </c>
      <c r="S468" s="6">
        <f>OBRA!S466</f>
        <v>44082</v>
      </c>
      <c r="T468" s="1134" t="str">
        <f>OBRA!V466</f>
        <v>-</v>
      </c>
      <c r="U468" s="5">
        <f>OBRA!T466</f>
        <v>44088</v>
      </c>
      <c r="V468" s="11">
        <f>OBRA!U466</f>
        <v>44094</v>
      </c>
      <c r="W468" s="1195">
        <v>139246</v>
      </c>
      <c r="X468" s="1156">
        <f>OBRA!AS466+OBRA!AT466</f>
        <v>0</v>
      </c>
      <c r="Y468" s="1018" t="s">
        <v>1428</v>
      </c>
      <c r="Z468" s="146" t="str">
        <f>OBRA!W466</f>
        <v>AJG INGENIERIA, SA DE CV</v>
      </c>
      <c r="AA468" s="146" t="s">
        <v>5666</v>
      </c>
      <c r="AB468" s="148" t="s">
        <v>3783</v>
      </c>
      <c r="AC468" s="148" t="s">
        <v>3784</v>
      </c>
      <c r="AD468" s="146" t="s">
        <v>3785</v>
      </c>
      <c r="AE468" s="183" t="str">
        <f>OBRA!X466</f>
        <v>ING. HECTOR JESUS HERNANDEZ</v>
      </c>
      <c r="AF468" s="19">
        <v>1</v>
      </c>
      <c r="AG468" s="2" t="s">
        <v>1573</v>
      </c>
      <c r="AH468" s="551">
        <f t="shared" si="29"/>
        <v>0</v>
      </c>
      <c r="AI468" s="2">
        <v>800</v>
      </c>
      <c r="AJ468" s="513">
        <v>800</v>
      </c>
      <c r="AK468" s="513"/>
      <c r="AL468" s="1513"/>
      <c r="AM468" s="1514"/>
      <c r="AN468" s="1112" t="s">
        <v>68</v>
      </c>
      <c r="AO468" s="571" t="s">
        <v>68</v>
      </c>
      <c r="AP468" s="571" t="s">
        <v>68</v>
      </c>
      <c r="AQ468" s="506"/>
      <c r="AR468" s="506"/>
      <c r="AS468" s="1270" t="s">
        <v>68</v>
      </c>
    </row>
    <row r="469" spans="1:45" ht="90" hidden="1" customHeight="1">
      <c r="A469" s="16">
        <f>OBRA!J467</f>
        <v>2020</v>
      </c>
      <c r="B469" s="783" t="s">
        <v>2094</v>
      </c>
      <c r="C469" s="783">
        <v>205.13</v>
      </c>
      <c r="D469" s="783"/>
      <c r="E469" s="2" t="str">
        <f>OBRA!M467</f>
        <v>CUENTA CORRIENTE</v>
      </c>
      <c r="F469" s="156" t="s">
        <v>1428</v>
      </c>
      <c r="G469" s="156" t="s">
        <v>2861</v>
      </c>
      <c r="H469" s="412" t="str">
        <f>OBRA!N467</f>
        <v>C.P.S.P. DOP 013/2020</v>
      </c>
      <c r="I469" s="2" t="str">
        <f>OBRA!O467</f>
        <v>SERVICIOS</v>
      </c>
      <c r="J469"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3" t="s">
        <v>3034</v>
      </c>
      <c r="L469" s="683"/>
      <c r="M469" s="683" t="s">
        <v>3329</v>
      </c>
      <c r="N469" s="683" t="s">
        <v>1975</v>
      </c>
      <c r="O469" s="504" t="s">
        <v>3500</v>
      </c>
      <c r="P469" s="79">
        <f>OBRA!R467</f>
        <v>139246</v>
      </c>
      <c r="Q469" s="1023">
        <f t="shared" si="28"/>
        <v>120039.6551724138</v>
      </c>
      <c r="R469" s="79" t="s">
        <v>68</v>
      </c>
      <c r="S469" s="6">
        <f>OBRA!S467</f>
        <v>44081</v>
      </c>
      <c r="T469" s="1134" t="str">
        <f>OBRA!V467</f>
        <v>-</v>
      </c>
      <c r="U469" s="5">
        <f>OBRA!T467</f>
        <v>44082</v>
      </c>
      <c r="V469" s="11">
        <f>OBRA!U467</f>
        <v>44086</v>
      </c>
      <c r="W469" s="1195">
        <v>139246</v>
      </c>
      <c r="X469" s="1156">
        <f>OBRA!AS467+OBRA!AT467</f>
        <v>0</v>
      </c>
      <c r="Y469" s="1018" t="s">
        <v>1428</v>
      </c>
      <c r="Z469" s="146" t="str">
        <f>OBRA!W467</f>
        <v>AJG INGENIERIA, SA DE CV</v>
      </c>
      <c r="AA469" s="146" t="s">
        <v>5666</v>
      </c>
      <c r="AB469" s="148" t="s">
        <v>3783</v>
      </c>
      <c r="AC469" s="148" t="s">
        <v>3784</v>
      </c>
      <c r="AD469" s="146" t="s">
        <v>3785</v>
      </c>
      <c r="AE469" s="183" t="str">
        <f>OBRA!X467</f>
        <v>ING. HECTOR JESUS HERNANDEZ</v>
      </c>
      <c r="AF469" s="19">
        <v>1</v>
      </c>
      <c r="AG469" s="2" t="s">
        <v>1573</v>
      </c>
      <c r="AH469" s="551">
        <f t="shared" si="29"/>
        <v>0</v>
      </c>
      <c r="AI469" s="2">
        <v>22100</v>
      </c>
      <c r="AJ469" s="513">
        <v>22100</v>
      </c>
      <c r="AK469" s="513"/>
      <c r="AL469" s="1513"/>
      <c r="AM469" s="1514"/>
      <c r="AN469" s="1112" t="s">
        <v>68</v>
      </c>
      <c r="AO469" s="571" t="s">
        <v>68</v>
      </c>
      <c r="AP469" s="571" t="s">
        <v>68</v>
      </c>
      <c r="AQ469" s="506"/>
      <c r="AR469" s="506"/>
      <c r="AS469" s="1270" t="s">
        <v>68</v>
      </c>
    </row>
    <row r="470" spans="1:45" ht="142.5" hidden="1" customHeight="1">
      <c r="A470" s="16">
        <f>OBRA!J468</f>
        <v>2020</v>
      </c>
      <c r="B470" s="783" t="s">
        <v>2094</v>
      </c>
      <c r="C470" s="783">
        <v>205.14</v>
      </c>
      <c r="D470" s="783"/>
      <c r="E470" s="2" t="str">
        <f>OBRA!M468</f>
        <v>CUENTA CORRIENTE</v>
      </c>
      <c r="F470" s="156" t="s">
        <v>1428</v>
      </c>
      <c r="G470" s="156" t="s">
        <v>2861</v>
      </c>
      <c r="H470" s="412" t="str">
        <f>OBRA!N468</f>
        <v>C.P.S.P. DOP 014/2020</v>
      </c>
      <c r="I470" s="2" t="str">
        <f>OBRA!O468</f>
        <v>SERVICIOS</v>
      </c>
      <c r="J470"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1" t="s">
        <v>3034</v>
      </c>
      <c r="L470" s="451"/>
      <c r="M470" s="683" t="s">
        <v>1558</v>
      </c>
      <c r="N470" s="683" t="s">
        <v>2524</v>
      </c>
      <c r="O470" s="504" t="s">
        <v>3500</v>
      </c>
      <c r="P470" s="79">
        <f>OBRA!R468</f>
        <v>32944</v>
      </c>
      <c r="Q470" s="1023">
        <f t="shared" si="28"/>
        <v>28400.000000000004</v>
      </c>
      <c r="R470" s="79" t="s">
        <v>68</v>
      </c>
      <c r="S470" s="6">
        <f>OBRA!S468</f>
        <v>44075</v>
      </c>
      <c r="T470" s="1134" t="str">
        <f>OBRA!V468</f>
        <v>-</v>
      </c>
      <c r="U470" s="5" t="str">
        <f>OBRA!T468</f>
        <v>NO APLICA</v>
      </c>
      <c r="V470" s="11" t="str">
        <f>OBRA!U468</f>
        <v>NO APLICA</v>
      </c>
      <c r="W470" s="1195">
        <v>0</v>
      </c>
      <c r="X470" s="1156">
        <f>OBRA!AS468+OBRA!AT468</f>
        <v>0</v>
      </c>
      <c r="Y470" s="1018" t="s">
        <v>1428</v>
      </c>
      <c r="Z470" s="146" t="str">
        <f>OBRA!W468</f>
        <v>SUPERVISIÓN PROYECTOS Y LABORATORIO PARA LA CONSTRUCCIÓN</v>
      </c>
      <c r="AA470" s="146" t="s">
        <v>5666</v>
      </c>
      <c r="AB470" s="148" t="s">
        <v>3039</v>
      </c>
      <c r="AC470" s="148" t="s">
        <v>3786</v>
      </c>
      <c r="AD470" s="146" t="s">
        <v>3787</v>
      </c>
      <c r="AE470" s="183" t="str">
        <f>OBRA!X468</f>
        <v>LIC. SALVADOR CONTRERAS OLGUÍN</v>
      </c>
      <c r="AF470" s="19">
        <v>1</v>
      </c>
      <c r="AG470" s="2" t="s">
        <v>1573</v>
      </c>
      <c r="AH470" s="551">
        <f t="shared" si="29"/>
        <v>0</v>
      </c>
      <c r="AI470" s="2">
        <v>500</v>
      </c>
      <c r="AJ470" s="513">
        <v>4000</v>
      </c>
      <c r="AK470" s="513"/>
      <c r="AL470" s="1513"/>
      <c r="AM470" s="1514"/>
      <c r="AN470" s="1112" t="s">
        <v>68</v>
      </c>
      <c r="AO470" s="571" t="s">
        <v>68</v>
      </c>
      <c r="AP470" s="571" t="s">
        <v>68</v>
      </c>
      <c r="AQ470" s="506"/>
      <c r="AR470" s="506"/>
      <c r="AS470" s="1270" t="s">
        <v>68</v>
      </c>
    </row>
    <row r="471" spans="1:45" ht="166.5" hidden="1" customHeight="1">
      <c r="A471" s="16">
        <f>OBRA!J469</f>
        <v>2020</v>
      </c>
      <c r="B471" s="783" t="s">
        <v>2094</v>
      </c>
      <c r="C471" s="783">
        <v>205.15</v>
      </c>
      <c r="D471" s="783"/>
      <c r="E471" s="2" t="str">
        <f>OBRA!M469</f>
        <v>CUENTA CORRIENTE</v>
      </c>
      <c r="F471" s="156" t="s">
        <v>1428</v>
      </c>
      <c r="G471" s="156" t="s">
        <v>2861</v>
      </c>
      <c r="H471" s="412" t="str">
        <f>OBRA!N469</f>
        <v>C.P.S.P. DOP 015/2020</v>
      </c>
      <c r="I471" s="2" t="str">
        <f>OBRA!O469</f>
        <v>SERVICIOS</v>
      </c>
      <c r="J471"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1" t="s">
        <v>3034</v>
      </c>
      <c r="L471" s="451"/>
      <c r="M471" s="683" t="s">
        <v>3330</v>
      </c>
      <c r="N471" s="683" t="s">
        <v>1975</v>
      </c>
      <c r="O471" s="504" t="s">
        <v>3500</v>
      </c>
      <c r="P471" s="79">
        <f>OBRA!R469</f>
        <v>25520</v>
      </c>
      <c r="Q471" s="1023">
        <f t="shared" si="28"/>
        <v>22000</v>
      </c>
      <c r="R471" s="79" t="s">
        <v>68</v>
      </c>
      <c r="S471" s="6">
        <f>OBRA!S469</f>
        <v>44075</v>
      </c>
      <c r="T471" s="1134" t="str">
        <f>OBRA!V469</f>
        <v>-</v>
      </c>
      <c r="U471" s="5" t="str">
        <f>OBRA!T469</f>
        <v>NO APLICA</v>
      </c>
      <c r="V471" s="11" t="str">
        <f>OBRA!U469</f>
        <v>NO APLICA</v>
      </c>
      <c r="W471" s="1195">
        <v>0</v>
      </c>
      <c r="X471" s="1156">
        <f>OBRA!AS469+OBRA!AT469</f>
        <v>0</v>
      </c>
      <c r="Y471" s="1018" t="s">
        <v>1428</v>
      </c>
      <c r="Z471" s="146" t="str">
        <f>OBRA!W469</f>
        <v>SUPERVISIÓN PROYECTOS Y LABORATORIO PARA LA CONSTRUCCIÓN</v>
      </c>
      <c r="AA471" s="146" t="s">
        <v>5666</v>
      </c>
      <c r="AB471" s="148" t="s">
        <v>3039</v>
      </c>
      <c r="AC471" s="148" t="s">
        <v>3786</v>
      </c>
      <c r="AD471" s="146" t="s">
        <v>3787</v>
      </c>
      <c r="AE471" s="183" t="str">
        <f>OBRA!X469</f>
        <v>ARQ. JAIME CONDE GOMEZ</v>
      </c>
      <c r="AF471" s="19">
        <v>1</v>
      </c>
      <c r="AG471" s="2" t="s">
        <v>1573</v>
      </c>
      <c r="AH471" s="551">
        <f t="shared" si="29"/>
        <v>0</v>
      </c>
      <c r="AI471" s="2">
        <v>150</v>
      </c>
      <c r="AJ471" s="513">
        <v>300</v>
      </c>
      <c r="AK471" s="513"/>
      <c r="AL471" s="1513"/>
      <c r="AM471" s="1514"/>
      <c r="AN471" s="1112" t="s">
        <v>68</v>
      </c>
      <c r="AO471" s="571" t="s">
        <v>68</v>
      </c>
      <c r="AP471" s="571" t="s">
        <v>68</v>
      </c>
      <c r="AQ471" s="506"/>
      <c r="AR471" s="506"/>
      <c r="AS471" s="1270" t="s">
        <v>68</v>
      </c>
    </row>
    <row r="472" spans="1:45" ht="142.5" hidden="1" customHeight="1">
      <c r="A472" s="16">
        <f>OBRA!J470</f>
        <v>2020</v>
      </c>
      <c r="B472" s="783" t="s">
        <v>2094</v>
      </c>
      <c r="C472" s="783">
        <v>205.16</v>
      </c>
      <c r="D472" s="783"/>
      <c r="E472" s="2" t="str">
        <f>OBRA!M470</f>
        <v>CUENTA CORRIENTE</v>
      </c>
      <c r="F472" s="156" t="s">
        <v>1428</v>
      </c>
      <c r="G472" s="156" t="s">
        <v>2861</v>
      </c>
      <c r="H472" s="412" t="str">
        <f>OBRA!N470</f>
        <v>C.P.S.P. DOP 016/2020</v>
      </c>
      <c r="I472" s="2" t="str">
        <f>OBRA!O470</f>
        <v>SERVICIOS</v>
      </c>
      <c r="J472"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1" t="s">
        <v>3034</v>
      </c>
      <c r="L472" s="451"/>
      <c r="M472" s="683" t="s">
        <v>3331</v>
      </c>
      <c r="N472" s="683" t="s">
        <v>1975</v>
      </c>
      <c r="O472" s="504" t="s">
        <v>3500</v>
      </c>
      <c r="P472" s="79">
        <f>OBRA!R470</f>
        <v>36656</v>
      </c>
      <c r="Q472" s="1023">
        <f t="shared" si="28"/>
        <v>31600.000000000004</v>
      </c>
      <c r="R472" s="79" t="s">
        <v>68</v>
      </c>
      <c r="S472" s="6">
        <f>OBRA!S470</f>
        <v>44124</v>
      </c>
      <c r="T472" s="1134" t="str">
        <f>OBRA!V470</f>
        <v>-</v>
      </c>
      <c r="U472" s="5" t="str">
        <f>OBRA!T470</f>
        <v>NO APLICA</v>
      </c>
      <c r="V472" s="11" t="str">
        <f>OBRA!U470</f>
        <v>NO APLICA</v>
      </c>
      <c r="W472" s="1195">
        <v>0</v>
      </c>
      <c r="X472" s="1156">
        <f>OBRA!AS470+OBRA!AT470</f>
        <v>0</v>
      </c>
      <c r="Y472" s="1018" t="s">
        <v>1428</v>
      </c>
      <c r="Z472" s="146" t="str">
        <f>OBRA!W470</f>
        <v>SUPERVISIÓN PROYECTOS Y LABORATORIO PARA LA CONSTRUCCIÓN</v>
      </c>
      <c r="AA472" s="146" t="s">
        <v>5666</v>
      </c>
      <c r="AB472" s="148" t="s">
        <v>3039</v>
      </c>
      <c r="AC472" s="148" t="s">
        <v>3786</v>
      </c>
      <c r="AD472" s="146" t="s">
        <v>3787</v>
      </c>
      <c r="AE472" s="183" t="str">
        <f>OBRA!X470</f>
        <v>ING. J. GUADALUPE IBARRA RAMIREZ</v>
      </c>
      <c r="AF472" s="19">
        <v>1</v>
      </c>
      <c r="AG472" s="2" t="s">
        <v>1573</v>
      </c>
      <c r="AH472" s="551">
        <f t="shared" si="29"/>
        <v>0</v>
      </c>
      <c r="AI472" s="2">
        <v>350</v>
      </c>
      <c r="AJ472" s="513">
        <v>1000</v>
      </c>
      <c r="AK472" s="513"/>
      <c r="AL472" s="1513"/>
      <c r="AM472" s="1514"/>
      <c r="AN472" s="1112" t="s">
        <v>68</v>
      </c>
      <c r="AO472" s="571" t="s">
        <v>68</v>
      </c>
      <c r="AP472" s="571" t="s">
        <v>68</v>
      </c>
      <c r="AQ472" s="506"/>
      <c r="AR472" s="506"/>
      <c r="AS472" s="1270" t="s">
        <v>68</v>
      </c>
    </row>
    <row r="473" spans="1:45" ht="77.25" hidden="1" customHeight="1">
      <c r="A473" s="16">
        <f>OBRA!J471</f>
        <v>2020</v>
      </c>
      <c r="B473" s="783" t="s">
        <v>2094</v>
      </c>
      <c r="C473" s="783">
        <v>205.17</v>
      </c>
      <c r="D473" s="783"/>
      <c r="E473" s="2" t="str">
        <f>OBRA!M471</f>
        <v>CUENTA CORRIENTE</v>
      </c>
      <c r="F473" s="156" t="s">
        <v>1428</v>
      </c>
      <c r="G473" s="156" t="s">
        <v>2861</v>
      </c>
      <c r="H473" s="412" t="str">
        <f>OBRA!N471</f>
        <v>C.P.S.P. DOP 017/2020</v>
      </c>
      <c r="I473" s="2" t="str">
        <f>OBRA!O471</f>
        <v>SERVICIOS</v>
      </c>
      <c r="J473" s="3" t="str">
        <f>OBRA!P471</f>
        <v>LEVANTAMIENTOS TOPOGRÁFICOS DE ÁREA DE DONACIÓN Y UBICACIÓN DEL POZO DE AGUA POTABLE EN C. ALLENDE, EN LA CABECERA MUNICIPAL DE JOCOTEPEC, JALISCO.</v>
      </c>
      <c r="K473" s="173" t="s">
        <v>3782</v>
      </c>
      <c r="L473" s="173"/>
      <c r="M473" s="683" t="s">
        <v>3332</v>
      </c>
      <c r="N473" s="683" t="s">
        <v>1975</v>
      </c>
      <c r="O473" s="504" t="s">
        <v>3500</v>
      </c>
      <c r="P473" s="79">
        <f>OBRA!R471</f>
        <v>4059.9999999999995</v>
      </c>
      <c r="Q473" s="1023">
        <f t="shared" si="28"/>
        <v>3500</v>
      </c>
      <c r="R473" s="79" t="s">
        <v>68</v>
      </c>
      <c r="S473" s="67">
        <f>OBRA!S471</f>
        <v>44089</v>
      </c>
      <c r="T473" s="1134" t="str">
        <f>OBRA!V471</f>
        <v>-</v>
      </c>
      <c r="U473" s="5" t="str">
        <f>OBRA!T471</f>
        <v>-</v>
      </c>
      <c r="V473" s="11" t="str">
        <f>OBRA!U471</f>
        <v>-</v>
      </c>
      <c r="W473" s="1195">
        <v>0</v>
      </c>
      <c r="X473" s="1156">
        <f>OBRA!AS471+OBRA!AT471</f>
        <v>0</v>
      </c>
      <c r="Y473" s="1018" t="s">
        <v>1428</v>
      </c>
      <c r="Z473" s="146" t="str">
        <f>OBRA!W471</f>
        <v>ING. JUAN MANUEL GARCÍA ESCOTO</v>
      </c>
      <c r="AA473" s="146" t="s">
        <v>5665</v>
      </c>
      <c r="AB473" s="148" t="str">
        <f t="shared" ref="AB473:AB486" si="30">Z473</f>
        <v>ING. JUAN MANUEL GARCÍA ESCOTO</v>
      </c>
      <c r="AC473" s="148" t="s">
        <v>2976</v>
      </c>
      <c r="AD473" s="146" t="s">
        <v>2976</v>
      </c>
      <c r="AE473" s="183" t="str">
        <f>OBRA!X471</f>
        <v>ING. HECTOR JESUS HERNANDEZ</v>
      </c>
      <c r="AF473" s="19">
        <v>1</v>
      </c>
      <c r="AG473" s="2" t="s">
        <v>1573</v>
      </c>
      <c r="AH473" s="551">
        <f t="shared" si="29"/>
        <v>0</v>
      </c>
      <c r="AI473" s="510"/>
      <c r="AJ473" s="506"/>
      <c r="AK473" s="506"/>
      <c r="AL473" s="635"/>
      <c r="AM473" s="1517"/>
      <c r="AN473" s="1112" t="s">
        <v>68</v>
      </c>
      <c r="AO473" s="571" t="s">
        <v>68</v>
      </c>
      <c r="AP473" s="571" t="s">
        <v>68</v>
      </c>
      <c r="AQ473" s="506"/>
      <c r="AR473" s="506"/>
      <c r="AS473" s="1270" t="s">
        <v>68</v>
      </c>
    </row>
    <row r="474" spans="1:45" ht="84" hidden="1" customHeight="1">
      <c r="A474" s="16">
        <f>OBRA!J472</f>
        <v>2020</v>
      </c>
      <c r="B474" s="783" t="s">
        <v>2094</v>
      </c>
      <c r="C474" s="783">
        <v>205.18</v>
      </c>
      <c r="D474" s="783"/>
      <c r="E474" s="2" t="str">
        <f>OBRA!M472</f>
        <v>CUENTA CORRIENTE</v>
      </c>
      <c r="F474" s="156" t="s">
        <v>1428</v>
      </c>
      <c r="G474" s="156" t="s">
        <v>2861</v>
      </c>
      <c r="H474" s="412" t="str">
        <f>OBRA!N472</f>
        <v>C.P.S.P. DOP 018/2020</v>
      </c>
      <c r="I474" s="2" t="str">
        <f>OBRA!O472</f>
        <v>SERVICIOS</v>
      </c>
      <c r="J474" s="3" t="str">
        <f>OBRA!P472</f>
        <v>LEVANTAMIENTO TOPOGRÁFICO DE ÁREA DE DONACIÓN PARA PROYECTO DEL SENDERO "ANDADOR PANORÁMICO" EN ZONA NORTE, EN LA CABECERA MUNICIPAL DE JOCOTEPEC, JALISCO.</v>
      </c>
      <c r="K474" s="3" t="s">
        <v>3782</v>
      </c>
      <c r="L474" s="3"/>
      <c r="M474" s="683" t="s">
        <v>3775</v>
      </c>
      <c r="N474" s="683" t="s">
        <v>1975</v>
      </c>
      <c r="O474" s="504" t="s">
        <v>3500</v>
      </c>
      <c r="P474" s="79">
        <f>OBRA!R472</f>
        <v>20880</v>
      </c>
      <c r="Q474" s="1023">
        <f t="shared" si="28"/>
        <v>18000</v>
      </c>
      <c r="R474" s="79" t="s">
        <v>68</v>
      </c>
      <c r="S474" s="67">
        <f>OBRA!S472</f>
        <v>44089</v>
      </c>
      <c r="T474" s="1134" t="str">
        <f>OBRA!V472</f>
        <v>-</v>
      </c>
      <c r="U474" s="5" t="str">
        <f>OBRA!T472</f>
        <v>-</v>
      </c>
      <c r="V474" s="11" t="str">
        <f>OBRA!U472</f>
        <v>-</v>
      </c>
      <c r="W474" s="1195">
        <v>0</v>
      </c>
      <c r="X474" s="1156">
        <f>OBRA!AS472+OBRA!AT472</f>
        <v>0</v>
      </c>
      <c r="Y474" s="1018" t="s">
        <v>1428</v>
      </c>
      <c r="Z474" s="146" t="str">
        <f>OBRA!W472</f>
        <v>ING. JUAN MANUEL GARCÍA ESCOTO</v>
      </c>
      <c r="AA474" s="146" t="s">
        <v>5665</v>
      </c>
      <c r="AB474" s="148" t="str">
        <f t="shared" si="30"/>
        <v>ING. JUAN MANUEL GARCÍA ESCOTO</v>
      </c>
      <c r="AC474" s="148" t="s">
        <v>2976</v>
      </c>
      <c r="AD474" s="146" t="s">
        <v>2976</v>
      </c>
      <c r="AE474" s="183" t="str">
        <f>OBRA!X472</f>
        <v>ING. HECTOR JESUS HERNANDEZ</v>
      </c>
      <c r="AF474" s="19">
        <v>1</v>
      </c>
      <c r="AG474" s="2" t="s">
        <v>1573</v>
      </c>
      <c r="AH474" s="551">
        <f t="shared" si="29"/>
        <v>0</v>
      </c>
      <c r="AI474" s="510"/>
      <c r="AJ474" s="506"/>
      <c r="AK474" s="506"/>
      <c r="AL474" s="635"/>
      <c r="AM474" s="1517"/>
      <c r="AN474" s="1112" t="s">
        <v>68</v>
      </c>
      <c r="AO474" s="571" t="s">
        <v>68</v>
      </c>
      <c r="AP474" s="571" t="s">
        <v>68</v>
      </c>
      <c r="AQ474" s="506"/>
      <c r="AR474" s="506"/>
      <c r="AS474" s="1270" t="s">
        <v>68</v>
      </c>
    </row>
    <row r="475" spans="1:45" ht="88.5" hidden="1" customHeight="1">
      <c r="A475" s="16">
        <f>OBRA!J473</f>
        <v>2020</v>
      </c>
      <c r="B475" s="783" t="s">
        <v>2094</v>
      </c>
      <c r="C475" s="783">
        <v>205.19</v>
      </c>
      <c r="D475" s="783"/>
      <c r="E475" s="2" t="str">
        <f>OBRA!M473</f>
        <v>CUENTA CORRIENTE</v>
      </c>
      <c r="F475" s="156" t="s">
        <v>1428</v>
      </c>
      <c r="G475" s="156" t="s">
        <v>2861</v>
      </c>
      <c r="H475" s="412" t="str">
        <f>OBRA!N473</f>
        <v>C.P.S.P. DOP 019/2020</v>
      </c>
      <c r="I475" s="2" t="str">
        <f>OBRA!O473</f>
        <v>SERVICIOS</v>
      </c>
      <c r="J475" s="3" t="str">
        <f>OBRA!P473</f>
        <v>LEVANTAMIENTO TOPOGRÁFICO DE ÁREA DE DONACIÓN DEL TERRENO PARA EL PROYECTO DE LA PLANTA DE RECICLADO, UBICADO EN EL CRUCERO A POTRERILLOS DEL MUNICIPIO DE JOCOTEPEC, JALISCO.</v>
      </c>
      <c r="K475" s="3" t="s">
        <v>3782</v>
      </c>
      <c r="L475" s="3"/>
      <c r="M475" s="683" t="s">
        <v>3776</v>
      </c>
      <c r="N475" s="683" t="s">
        <v>3776</v>
      </c>
      <c r="O475" s="504" t="s">
        <v>3500</v>
      </c>
      <c r="P475" s="79">
        <f>OBRA!R473</f>
        <v>5800</v>
      </c>
      <c r="Q475" s="1023">
        <f t="shared" si="28"/>
        <v>5000</v>
      </c>
      <c r="R475" s="79" t="s">
        <v>68</v>
      </c>
      <c r="S475" s="67">
        <f>OBRA!S473</f>
        <v>44089</v>
      </c>
      <c r="T475" s="1134" t="str">
        <f>OBRA!V473</f>
        <v>-</v>
      </c>
      <c r="U475" s="5" t="str">
        <f>OBRA!T473</f>
        <v>-</v>
      </c>
      <c r="V475" s="11" t="str">
        <f>OBRA!U473</f>
        <v>-</v>
      </c>
      <c r="W475" s="1195">
        <v>0</v>
      </c>
      <c r="X475" s="1156">
        <f>OBRA!AS473+OBRA!AT473</f>
        <v>0</v>
      </c>
      <c r="Y475" s="1018" t="s">
        <v>1428</v>
      </c>
      <c r="Z475" s="146" t="str">
        <f>OBRA!W473</f>
        <v>ING. JUAN MANUEL GARCÍA ESCOTO</v>
      </c>
      <c r="AA475" s="146" t="s">
        <v>5665</v>
      </c>
      <c r="AB475" s="148" t="str">
        <f t="shared" si="30"/>
        <v>ING. JUAN MANUEL GARCÍA ESCOTO</v>
      </c>
      <c r="AC475" s="148" t="s">
        <v>2976</v>
      </c>
      <c r="AD475" s="146" t="s">
        <v>2976</v>
      </c>
      <c r="AE475" s="183" t="str">
        <f>OBRA!X473</f>
        <v>ING. HECTOR JESUS HERNANDEZ</v>
      </c>
      <c r="AF475" s="19">
        <v>1</v>
      </c>
      <c r="AG475" s="2" t="s">
        <v>1573</v>
      </c>
      <c r="AH475" s="551">
        <f t="shared" si="29"/>
        <v>0</v>
      </c>
      <c r="AI475" s="510"/>
      <c r="AJ475" s="506"/>
      <c r="AK475" s="506"/>
      <c r="AL475" s="635"/>
      <c r="AM475" s="1517"/>
      <c r="AN475" s="1112" t="s">
        <v>68</v>
      </c>
      <c r="AO475" s="571" t="s">
        <v>68</v>
      </c>
      <c r="AP475" s="571" t="s">
        <v>68</v>
      </c>
      <c r="AQ475" s="506"/>
      <c r="AR475" s="506"/>
      <c r="AS475" s="1270" t="s">
        <v>68</v>
      </c>
    </row>
    <row r="476" spans="1:45" ht="102" hidden="1" customHeight="1">
      <c r="A476" s="16">
        <f>OBRA!J474</f>
        <v>2020</v>
      </c>
      <c r="B476" s="783" t="s">
        <v>2094</v>
      </c>
      <c r="C476" s="783">
        <v>205.2</v>
      </c>
      <c r="D476" s="783"/>
      <c r="E476" s="2" t="str">
        <f>OBRA!M474</f>
        <v>CUENTA CORRIENTE</v>
      </c>
      <c r="F476" s="156" t="s">
        <v>1428</v>
      </c>
      <c r="G476" s="156" t="s">
        <v>2861</v>
      </c>
      <c r="H476" s="412" t="str">
        <f>OBRA!N474</f>
        <v>C.P.S.P. DOP 020/2020</v>
      </c>
      <c r="I476" s="2" t="str">
        <f>OBRA!O474</f>
        <v>SERVICIOS</v>
      </c>
      <c r="J476" s="3" t="str">
        <f>OBRA!P474</f>
        <v>LEVANTAMIENTO TOPORÁFICO DE ÁREA DE DONACIÓN DEL TERRENO PARA EL CAMPAMENTO DE LA GUARDIA NACIONAL, UBICADO EN EL EJIDO DE HUEJOTITÁN EN CRUCERO A POTRERILLOS, DEL MUNICIPIO DE JOCOTEPEC, JALISCO,</v>
      </c>
      <c r="K476" s="3" t="s">
        <v>3782</v>
      </c>
      <c r="L476" s="3"/>
      <c r="M476" s="683" t="s">
        <v>3776</v>
      </c>
      <c r="N476" s="683" t="s">
        <v>3776</v>
      </c>
      <c r="O476" s="504" t="s">
        <v>3500</v>
      </c>
      <c r="P476" s="79">
        <f>OBRA!R474</f>
        <v>5220</v>
      </c>
      <c r="Q476" s="1023">
        <f t="shared" si="28"/>
        <v>4500</v>
      </c>
      <c r="R476" s="79" t="s">
        <v>68</v>
      </c>
      <c r="S476" s="67">
        <f>OBRA!S474</f>
        <v>44089</v>
      </c>
      <c r="T476" s="1134" t="str">
        <f>OBRA!V474</f>
        <v>-</v>
      </c>
      <c r="U476" s="5" t="str">
        <f>OBRA!T474</f>
        <v>-</v>
      </c>
      <c r="V476" s="11" t="str">
        <f>OBRA!U474</f>
        <v>-</v>
      </c>
      <c r="W476" s="1195">
        <v>0</v>
      </c>
      <c r="X476" s="1156">
        <f>OBRA!AS474+OBRA!AT474</f>
        <v>0</v>
      </c>
      <c r="Y476" s="1018" t="s">
        <v>1428</v>
      </c>
      <c r="Z476" s="146" t="str">
        <f>OBRA!W474</f>
        <v>ING. JUAN MANUEL GARCÍA ESCOTO</v>
      </c>
      <c r="AA476" s="146" t="s">
        <v>5665</v>
      </c>
      <c r="AB476" s="148" t="str">
        <f t="shared" si="30"/>
        <v>ING. JUAN MANUEL GARCÍA ESCOTO</v>
      </c>
      <c r="AC476" s="148" t="s">
        <v>2976</v>
      </c>
      <c r="AD476" s="146" t="s">
        <v>2976</v>
      </c>
      <c r="AE476" s="183" t="str">
        <f>OBRA!X474</f>
        <v>ING. HECTOR JESUS HERNANDEZ</v>
      </c>
      <c r="AF476" s="19">
        <v>1</v>
      </c>
      <c r="AG476" s="2" t="s">
        <v>1573</v>
      </c>
      <c r="AH476" s="551">
        <f t="shared" si="29"/>
        <v>0</v>
      </c>
      <c r="AI476" s="510"/>
      <c r="AJ476" s="506"/>
      <c r="AK476" s="506"/>
      <c r="AL476" s="635"/>
      <c r="AM476" s="1517"/>
      <c r="AN476" s="1112" t="s">
        <v>68</v>
      </c>
      <c r="AO476" s="571" t="s">
        <v>68</v>
      </c>
      <c r="AP476" s="571" t="s">
        <v>68</v>
      </c>
      <c r="AQ476" s="506"/>
      <c r="AR476" s="506"/>
      <c r="AS476" s="1270" t="s">
        <v>68</v>
      </c>
    </row>
    <row r="477" spans="1:45" ht="87.75" hidden="1" customHeight="1">
      <c r="A477" s="16">
        <f>OBRA!J475</f>
        <v>2020</v>
      </c>
      <c r="B477" s="783" t="s">
        <v>2094</v>
      </c>
      <c r="C477" s="783">
        <v>205.21</v>
      </c>
      <c r="D477" s="783"/>
      <c r="E477" s="2" t="str">
        <f>OBRA!M475</f>
        <v>CUENTA CORRIENTE</v>
      </c>
      <c r="F477" s="156" t="s">
        <v>1428</v>
      </c>
      <c r="G477" s="156" t="s">
        <v>2861</v>
      </c>
      <c r="H477" s="412" t="str">
        <f>OBRA!N475</f>
        <v>C.P.S.P. DOP 021/2020</v>
      </c>
      <c r="I477" s="2" t="str">
        <f>OBRA!O475</f>
        <v>SERVICIOS</v>
      </c>
      <c r="J477" s="3" t="str">
        <f>OBRA!P475</f>
        <v>LEVANTAMIENTO TOGRÁFICO DE ÁREA Y LÍMITES DE PROPIEDAD DE LA CALLE HIDALGO NORTE DE CALLE ALDAMA A FILÓSOFOS, EN LA CABECERA MUNICIPAL DE JOCOTEPEC, JALISCO.</v>
      </c>
      <c r="K477" s="3" t="s">
        <v>3782</v>
      </c>
      <c r="L477" s="3"/>
      <c r="M477" s="683" t="s">
        <v>3777</v>
      </c>
      <c r="N477" s="683" t="s">
        <v>1975</v>
      </c>
      <c r="O477" s="504" t="s">
        <v>3501</v>
      </c>
      <c r="P477" s="79">
        <f>OBRA!R475</f>
        <v>5800</v>
      </c>
      <c r="Q477" s="1023">
        <f t="shared" si="28"/>
        <v>5000</v>
      </c>
      <c r="R477" s="79" t="s">
        <v>68</v>
      </c>
      <c r="S477" s="67">
        <f>OBRA!S475</f>
        <v>44089</v>
      </c>
      <c r="T477" s="1134" t="str">
        <f>OBRA!V475</f>
        <v>-</v>
      </c>
      <c r="U477" s="5" t="str">
        <f>OBRA!T475</f>
        <v>-</v>
      </c>
      <c r="V477" s="11" t="str">
        <f>OBRA!U475</f>
        <v>-</v>
      </c>
      <c r="W477" s="1195">
        <v>0</v>
      </c>
      <c r="X477" s="1156">
        <f>OBRA!AS475+OBRA!AT475</f>
        <v>0</v>
      </c>
      <c r="Y477" s="1018" t="s">
        <v>1428</v>
      </c>
      <c r="Z477" s="146" t="str">
        <f>OBRA!W475</f>
        <v>ING. JUAN MANUEL GARCÍA ESCOTO</v>
      </c>
      <c r="AA477" s="146" t="s">
        <v>5665</v>
      </c>
      <c r="AB477" s="148" t="str">
        <f t="shared" si="30"/>
        <v>ING. JUAN MANUEL GARCÍA ESCOTO</v>
      </c>
      <c r="AC477" s="148" t="s">
        <v>2976</v>
      </c>
      <c r="AD477" s="146" t="s">
        <v>2976</v>
      </c>
      <c r="AE477" s="183" t="str">
        <f>OBRA!X475</f>
        <v>ING. HECTOR JESUS HERNANDEZ</v>
      </c>
      <c r="AF477" s="19">
        <v>1</v>
      </c>
      <c r="AG477" s="2" t="s">
        <v>1573</v>
      </c>
      <c r="AH477" s="551">
        <f t="shared" si="29"/>
        <v>0</v>
      </c>
      <c r="AI477" s="510"/>
      <c r="AJ477" s="506"/>
      <c r="AK477" s="506"/>
      <c r="AL477" s="635"/>
      <c r="AM477" s="1517"/>
      <c r="AN477" s="1112" t="s">
        <v>68</v>
      </c>
      <c r="AO477" s="571" t="s">
        <v>68</v>
      </c>
      <c r="AP477" s="571" t="s">
        <v>68</v>
      </c>
      <c r="AQ477" s="506"/>
      <c r="AR477" s="506"/>
      <c r="AS477" s="1270" t="s">
        <v>68</v>
      </c>
    </row>
    <row r="478" spans="1:45" ht="102.75" hidden="1" customHeight="1">
      <c r="A478" s="16">
        <f>OBRA!J476</f>
        <v>2020</v>
      </c>
      <c r="B478" s="783" t="s">
        <v>2094</v>
      </c>
      <c r="C478" s="783">
        <v>205.22</v>
      </c>
      <c r="D478" s="783"/>
      <c r="E478" s="2" t="str">
        <f>OBRA!M476</f>
        <v>CUENTA CORRIENTE</v>
      </c>
      <c r="F478" s="156" t="s">
        <v>1428</v>
      </c>
      <c r="G478" s="156" t="s">
        <v>2861</v>
      </c>
      <c r="H478" s="412" t="str">
        <f>OBRA!N476</f>
        <v>C.P.S.P. DOP 022/2020</v>
      </c>
      <c r="I478" s="2" t="str">
        <f>OBRA!O476</f>
        <v>SERVICIOS</v>
      </c>
      <c r="J478" s="3" t="str">
        <f>OBRA!P476</f>
        <v>LEVANTAMIENTO TOPOGRÁFICO DEL PREDIO Y CONSTRUCCIÓN EXISTENTE PARA EL PROYECTO DE LA REMODELACIÓN DEL RASTRO MUNICIPAL UBICADO EN CALLE CHAPULTEPEC PTE, S/N, EN LA CABECERA MUNICIPAL DE JOCOTEPEC, JALISCO.</v>
      </c>
      <c r="K478" s="3" t="s">
        <v>3782</v>
      </c>
      <c r="L478" s="3"/>
      <c r="M478" s="683" t="s">
        <v>2002</v>
      </c>
      <c r="N478" s="683" t="s">
        <v>1975</v>
      </c>
      <c r="O478" s="504" t="s">
        <v>3501</v>
      </c>
      <c r="P478" s="79">
        <f>OBRA!R476</f>
        <v>5220</v>
      </c>
      <c r="Q478" s="1023">
        <f t="shared" si="28"/>
        <v>4500</v>
      </c>
      <c r="R478" s="79" t="s">
        <v>68</v>
      </c>
      <c r="S478" s="67">
        <f>OBRA!S476</f>
        <v>44089</v>
      </c>
      <c r="T478" s="1134" t="str">
        <f>OBRA!V476</f>
        <v>-</v>
      </c>
      <c r="U478" s="5" t="str">
        <f>OBRA!T476</f>
        <v>-</v>
      </c>
      <c r="V478" s="11" t="str">
        <f>OBRA!U476</f>
        <v>-</v>
      </c>
      <c r="W478" s="1195">
        <v>0</v>
      </c>
      <c r="X478" s="1156">
        <f>OBRA!AS476+OBRA!AT476</f>
        <v>0</v>
      </c>
      <c r="Y478" s="1018" t="s">
        <v>1428</v>
      </c>
      <c r="Z478" s="146" t="str">
        <f>OBRA!W476</f>
        <v>ING. JUAN MANUEL GARCÍA ESCOTO</v>
      </c>
      <c r="AA478" s="146" t="s">
        <v>5665</v>
      </c>
      <c r="AB478" s="148" t="str">
        <f t="shared" si="30"/>
        <v>ING. JUAN MANUEL GARCÍA ESCOTO</v>
      </c>
      <c r="AC478" s="148" t="s">
        <v>2976</v>
      </c>
      <c r="AD478" s="146" t="s">
        <v>2976</v>
      </c>
      <c r="AE478" s="183" t="str">
        <f>OBRA!X476</f>
        <v>ING. HECTOR JESUS HERNANDEZ</v>
      </c>
      <c r="AF478" s="19">
        <v>1</v>
      </c>
      <c r="AG478" s="2" t="s">
        <v>1573</v>
      </c>
      <c r="AH478" s="551">
        <f t="shared" si="29"/>
        <v>0</v>
      </c>
      <c r="AI478" s="510"/>
      <c r="AJ478" s="506"/>
      <c r="AK478" s="506"/>
      <c r="AL478" s="635"/>
      <c r="AM478" s="1517"/>
      <c r="AN478" s="1112" t="s">
        <v>68</v>
      </c>
      <c r="AO478" s="571" t="s">
        <v>68</v>
      </c>
      <c r="AP478" s="571" t="s">
        <v>68</v>
      </c>
      <c r="AQ478" s="506"/>
      <c r="AR478" s="506"/>
      <c r="AS478" s="1270" t="s">
        <v>68</v>
      </c>
    </row>
    <row r="479" spans="1:45" ht="93" hidden="1" customHeight="1">
      <c r="A479" s="16">
        <f>OBRA!J477</f>
        <v>2020</v>
      </c>
      <c r="B479" s="783" t="s">
        <v>2094</v>
      </c>
      <c r="C479" s="783">
        <v>205.23</v>
      </c>
      <c r="D479" s="783"/>
      <c r="E479" s="2" t="str">
        <f>OBRA!M477</f>
        <v>CUENTA CORRIENTE</v>
      </c>
      <c r="F479" s="156" t="s">
        <v>1428</v>
      </c>
      <c r="G479" s="156" t="s">
        <v>2861</v>
      </c>
      <c r="H479" s="412" t="str">
        <f>OBRA!N477</f>
        <v>C.P.S.P. DOP 023/2020</v>
      </c>
      <c r="I479" s="2" t="str">
        <f>OBRA!O477</f>
        <v>SERVICIOS</v>
      </c>
      <c r="J479" s="3" t="str">
        <f>OBRA!P477</f>
        <v>LEVANTAMIENTO TOPOGRÁFICO EN ÁREA DE DONACIÓN DEL TERRENO PARA LA UBICACIÓN DEL DEPÓSITO NUEVO DE AGUA POTABLE, EN LA DELEGACIÓN DE SAN CRISTOBAL ZAPOTITLÁN, DEL MUNICIPIO DE JOCOTEPEC, JALISCO.</v>
      </c>
      <c r="K479" s="3" t="s">
        <v>3782</v>
      </c>
      <c r="L479" s="3"/>
      <c r="M479" s="683" t="s">
        <v>1976</v>
      </c>
      <c r="N479" s="683" t="s">
        <v>1976</v>
      </c>
      <c r="O479" s="504" t="s">
        <v>3501</v>
      </c>
      <c r="P479" s="79">
        <f>OBRA!R477</f>
        <v>1739.9999999999998</v>
      </c>
      <c r="Q479" s="1023">
        <f t="shared" si="28"/>
        <v>1500</v>
      </c>
      <c r="R479" s="79" t="s">
        <v>68</v>
      </c>
      <c r="S479" s="67">
        <f>OBRA!S477</f>
        <v>44089</v>
      </c>
      <c r="T479" s="1134" t="str">
        <f>OBRA!V477</f>
        <v>-</v>
      </c>
      <c r="U479" s="5" t="str">
        <f>OBRA!T477</f>
        <v>-</v>
      </c>
      <c r="V479" s="11" t="str">
        <f>OBRA!U477</f>
        <v>-</v>
      </c>
      <c r="W479" s="1195">
        <v>0</v>
      </c>
      <c r="X479" s="1156">
        <f>OBRA!AS477+OBRA!AT477</f>
        <v>0</v>
      </c>
      <c r="Y479" s="1018" t="s">
        <v>1428</v>
      </c>
      <c r="Z479" s="146" t="str">
        <f>OBRA!W477</f>
        <v>ING. JUAN MANUEL GARCÍA ESCOTO</v>
      </c>
      <c r="AA479" s="146" t="s">
        <v>5665</v>
      </c>
      <c r="AB479" s="148" t="str">
        <f t="shared" si="30"/>
        <v>ING. JUAN MANUEL GARCÍA ESCOTO</v>
      </c>
      <c r="AC479" s="148" t="s">
        <v>2976</v>
      </c>
      <c r="AD479" s="146" t="s">
        <v>2976</v>
      </c>
      <c r="AE479" s="183" t="str">
        <f>OBRA!X477</f>
        <v>ING. HECTOR JESUS HERNANDEZ</v>
      </c>
      <c r="AF479" s="19">
        <v>1</v>
      </c>
      <c r="AG479" s="2" t="s">
        <v>1573</v>
      </c>
      <c r="AH479" s="551">
        <f t="shared" si="29"/>
        <v>0</v>
      </c>
      <c r="AI479" s="510"/>
      <c r="AJ479" s="506"/>
      <c r="AK479" s="506"/>
      <c r="AL479" s="635"/>
      <c r="AM479" s="1517"/>
      <c r="AN479" s="1112" t="s">
        <v>68</v>
      </c>
      <c r="AO479" s="571" t="s">
        <v>68</v>
      </c>
      <c r="AP479" s="571" t="s">
        <v>68</v>
      </c>
      <c r="AQ479" s="506"/>
      <c r="AR479" s="506"/>
      <c r="AS479" s="1270" t="s">
        <v>68</v>
      </c>
    </row>
    <row r="480" spans="1:45" ht="83.25" hidden="1" customHeight="1">
      <c r="A480" s="16">
        <f>OBRA!J478</f>
        <v>2020</v>
      </c>
      <c r="B480" s="783" t="s">
        <v>2094</v>
      </c>
      <c r="C480" s="783">
        <v>205.24</v>
      </c>
      <c r="D480" s="783"/>
      <c r="E480" s="2" t="str">
        <f>OBRA!M478</f>
        <v>CUENTA CORRIENTE</v>
      </c>
      <c r="F480" s="156" t="s">
        <v>1428</v>
      </c>
      <c r="G480" s="156" t="s">
        <v>2861</v>
      </c>
      <c r="H480" s="412" t="str">
        <f>OBRA!N478</f>
        <v>C.P.S.P. DOP 024/2020</v>
      </c>
      <c r="I480" s="2" t="str">
        <f>OBRA!O478</f>
        <v>SERVICIOS</v>
      </c>
      <c r="J480" s="3" t="str">
        <f>OBRA!P478</f>
        <v>LEVANTAMIENTO TOPOGRÁFICO DE PREDIO Y CONSTRUCCIÓN EXISTENTE EN CASA DE CULTURA UBICADO EN CALLE CARDENAL, EN LA DELEGACIÓN DE SAN JUAN COSALÁ, DEL MUNICIPIO DE JOCOTEPEC, JALISCO.</v>
      </c>
      <c r="K480" s="3" t="s">
        <v>3782</v>
      </c>
      <c r="L480" s="3"/>
      <c r="M480" s="683" t="s">
        <v>3031</v>
      </c>
      <c r="N480" s="683" t="s">
        <v>2524</v>
      </c>
      <c r="O480" s="504" t="s">
        <v>3501</v>
      </c>
      <c r="P480" s="79">
        <f>OBRA!R478</f>
        <v>2900</v>
      </c>
      <c r="Q480" s="1023">
        <f t="shared" si="28"/>
        <v>2500</v>
      </c>
      <c r="R480" s="79" t="s">
        <v>68</v>
      </c>
      <c r="S480" s="67">
        <f>OBRA!S478</f>
        <v>44089</v>
      </c>
      <c r="T480" s="1134" t="str">
        <f>OBRA!V478</f>
        <v>-</v>
      </c>
      <c r="U480" s="5" t="str">
        <f>OBRA!T478</f>
        <v>-</v>
      </c>
      <c r="V480" s="11" t="str">
        <f>OBRA!U478</f>
        <v>-</v>
      </c>
      <c r="W480" s="1195">
        <v>0</v>
      </c>
      <c r="X480" s="1156">
        <f>OBRA!AS478+OBRA!AT478</f>
        <v>0</v>
      </c>
      <c r="Y480" s="1018" t="s">
        <v>1428</v>
      </c>
      <c r="Z480" s="146" t="str">
        <f>OBRA!W478</f>
        <v>ING. JUAN MANUEL GARCÍA ESCOTO</v>
      </c>
      <c r="AA480" s="146" t="s">
        <v>5665</v>
      </c>
      <c r="AB480" s="148" t="str">
        <f t="shared" si="30"/>
        <v>ING. JUAN MANUEL GARCÍA ESCOTO</v>
      </c>
      <c r="AC480" s="148" t="s">
        <v>2976</v>
      </c>
      <c r="AD480" s="146" t="s">
        <v>2976</v>
      </c>
      <c r="AE480" s="183" t="str">
        <f>OBRA!X478</f>
        <v>ING. HECTOR JESUS HERNANDEZ</v>
      </c>
      <c r="AF480" s="19">
        <v>1</v>
      </c>
      <c r="AG480" s="2" t="s">
        <v>1573</v>
      </c>
      <c r="AH480" s="551">
        <f t="shared" si="29"/>
        <v>0</v>
      </c>
      <c r="AI480" s="2">
        <v>4000</v>
      </c>
      <c r="AJ480" s="513">
        <v>4000</v>
      </c>
      <c r="AK480" s="513"/>
      <c r="AL480" s="1513"/>
      <c r="AM480" s="1514"/>
      <c r="AN480" s="1112" t="s">
        <v>68</v>
      </c>
      <c r="AO480" s="571" t="s">
        <v>68</v>
      </c>
      <c r="AP480" s="571" t="s">
        <v>68</v>
      </c>
      <c r="AQ480" s="1287" t="s">
        <v>3653</v>
      </c>
      <c r="AR480" s="1287"/>
      <c r="AS480" s="1270" t="s">
        <v>68</v>
      </c>
    </row>
    <row r="481" spans="1:45" ht="75" hidden="1" customHeight="1">
      <c r="A481" s="16">
        <f>OBRA!J479</f>
        <v>2020</v>
      </c>
      <c r="B481" s="783" t="s">
        <v>2094</v>
      </c>
      <c r="C481" s="783">
        <v>205.25</v>
      </c>
      <c r="D481" s="783"/>
      <c r="E481" s="2" t="str">
        <f>OBRA!M479</f>
        <v>CUENTA CORRIENTE</v>
      </c>
      <c r="F481" s="156" t="s">
        <v>1428</v>
      </c>
      <c r="G481" s="156" t="s">
        <v>2861</v>
      </c>
      <c r="H481" s="412" t="str">
        <f>OBRA!N479</f>
        <v>C.P.S.P. DOP 025/2020</v>
      </c>
      <c r="I481" s="2" t="str">
        <f>OBRA!O479</f>
        <v>SERVICIOS</v>
      </c>
      <c r="J481" s="3" t="str">
        <f>OBRA!P479</f>
        <v>LEVANTAMIENTO TOPOGRÁFICO EN CALLES Y UBICACIÓN DE ÁREAS CONCESIONADAS PARA PUESTOS DEL TIANGUIS NAVIDEÑO (ZONA CENTRO), EN LA CABECERA MUNICIPAL DE JOCOTEPEC, JALISCO.</v>
      </c>
      <c r="K481" s="3" t="s">
        <v>3782</v>
      </c>
      <c r="L481" s="3"/>
      <c r="M481" s="683" t="s">
        <v>3778</v>
      </c>
      <c r="N481" s="683" t="s">
        <v>1975</v>
      </c>
      <c r="O481" s="504" t="s">
        <v>3501</v>
      </c>
      <c r="P481" s="79">
        <f>OBRA!R479</f>
        <v>2900</v>
      </c>
      <c r="Q481" s="1023">
        <f t="shared" si="28"/>
        <v>2500</v>
      </c>
      <c r="R481" s="79" t="s">
        <v>68</v>
      </c>
      <c r="S481" s="67">
        <f>OBRA!S479</f>
        <v>44089</v>
      </c>
      <c r="T481" s="1134" t="str">
        <f>OBRA!V479</f>
        <v>-</v>
      </c>
      <c r="U481" s="5" t="str">
        <f>OBRA!T479</f>
        <v>-</v>
      </c>
      <c r="V481" s="11" t="str">
        <f>OBRA!U479</f>
        <v>-</v>
      </c>
      <c r="W481" s="1195">
        <v>0</v>
      </c>
      <c r="X481" s="1156">
        <f>OBRA!AS479+OBRA!AT479</f>
        <v>0</v>
      </c>
      <c r="Y481" s="1018" t="s">
        <v>1428</v>
      </c>
      <c r="Z481" s="146" t="str">
        <f>OBRA!W479</f>
        <v>ING. JUAN MANUEL GARCÍA ESCOTO</v>
      </c>
      <c r="AA481" s="146" t="s">
        <v>5665</v>
      </c>
      <c r="AB481" s="148" t="str">
        <f t="shared" si="30"/>
        <v>ING. JUAN MANUEL GARCÍA ESCOTO</v>
      </c>
      <c r="AC481" s="148" t="s">
        <v>2976</v>
      </c>
      <c r="AD481" s="146" t="s">
        <v>2976</v>
      </c>
      <c r="AE481" s="183" t="str">
        <f>OBRA!X479</f>
        <v>ING. HECTOR JESUS HERNANDEZ</v>
      </c>
      <c r="AF481" s="19">
        <v>1</v>
      </c>
      <c r="AG481" s="2" t="s">
        <v>1573</v>
      </c>
      <c r="AH481" s="551">
        <f t="shared" si="29"/>
        <v>0</v>
      </c>
      <c r="AI481" s="510"/>
      <c r="AJ481" s="506"/>
      <c r="AK481" s="506"/>
      <c r="AL481" s="635"/>
      <c r="AM481" s="1517"/>
      <c r="AN481" s="1112" t="s">
        <v>68</v>
      </c>
      <c r="AO481" s="571" t="s">
        <v>68</v>
      </c>
      <c r="AP481" s="571" t="s">
        <v>68</v>
      </c>
      <c r="AQ481" s="1425"/>
      <c r="AR481" s="506"/>
      <c r="AS481" s="1270" t="s">
        <v>68</v>
      </c>
    </row>
    <row r="482" spans="1:45" ht="87" hidden="1" customHeight="1">
      <c r="A482" s="16">
        <f>OBRA!J480</f>
        <v>2020</v>
      </c>
      <c r="B482" s="783" t="s">
        <v>2094</v>
      </c>
      <c r="C482" s="783">
        <v>205.26</v>
      </c>
      <c r="D482" s="783"/>
      <c r="E482" s="2" t="str">
        <f>OBRA!M480</f>
        <v>CUENTA CORRIENTE</v>
      </c>
      <c r="F482" s="156" t="s">
        <v>1428</v>
      </c>
      <c r="G482" s="156" t="s">
        <v>2861</v>
      </c>
      <c r="H482" s="412" t="str">
        <f>OBRA!N480</f>
        <v>C.P.S.P. DOP 026/2020</v>
      </c>
      <c r="I482" s="2" t="str">
        <f>OBRA!O480</f>
        <v>SERVICIOS</v>
      </c>
      <c r="J482" s="3" t="str">
        <f>OBRA!P480</f>
        <v>LEVANTAMIENTO TOPOGRÁFICO EN ÁREAS DE DONACIÓN DEL TERRENO PARA LA UBICACIÓN DEL POZO DE AGUA POTABLE, EN LA LOCALIDAD DE EL MOLINO, MUNICIPIO DE JOCOTEPEC, JALISCO.</v>
      </c>
      <c r="K482" s="3" t="s">
        <v>3782</v>
      </c>
      <c r="L482" s="3"/>
      <c r="M482" s="683" t="s">
        <v>2663</v>
      </c>
      <c r="N482" s="683" t="s">
        <v>2663</v>
      </c>
      <c r="O482" s="504" t="s">
        <v>3501</v>
      </c>
      <c r="P482" s="79">
        <f>OBRA!R480</f>
        <v>4059.9999999999995</v>
      </c>
      <c r="Q482" s="1023">
        <f t="shared" si="28"/>
        <v>3500</v>
      </c>
      <c r="R482" s="79" t="s">
        <v>68</v>
      </c>
      <c r="S482" s="67">
        <f>OBRA!S480</f>
        <v>44089</v>
      </c>
      <c r="T482" s="1134" t="str">
        <f>OBRA!V480</f>
        <v>-</v>
      </c>
      <c r="U482" s="5" t="str">
        <f>OBRA!T480</f>
        <v>-</v>
      </c>
      <c r="V482" s="11" t="str">
        <f>OBRA!U480</f>
        <v>-</v>
      </c>
      <c r="W482" s="1195">
        <v>0</v>
      </c>
      <c r="X482" s="1156">
        <f>OBRA!AS480+OBRA!AT480</f>
        <v>0</v>
      </c>
      <c r="Y482" s="1018" t="s">
        <v>1428</v>
      </c>
      <c r="Z482" s="146" t="str">
        <f>OBRA!W480</f>
        <v>ING. JUAN MANUEL GARCÍA ESCOTO</v>
      </c>
      <c r="AA482" s="146" t="s">
        <v>5665</v>
      </c>
      <c r="AB482" s="148" t="str">
        <f t="shared" si="30"/>
        <v>ING. JUAN MANUEL GARCÍA ESCOTO</v>
      </c>
      <c r="AC482" s="148" t="s">
        <v>2976</v>
      </c>
      <c r="AD482" s="146" t="s">
        <v>2976</v>
      </c>
      <c r="AE482" s="183" t="str">
        <f>OBRA!X480</f>
        <v>ING. HECTOR JESUS HERNANDEZ</v>
      </c>
      <c r="AF482" s="19">
        <v>1</v>
      </c>
      <c r="AG482" s="2" t="s">
        <v>1573</v>
      </c>
      <c r="AH482" s="551">
        <f t="shared" si="29"/>
        <v>0</v>
      </c>
      <c r="AI482" s="510"/>
      <c r="AJ482" s="506"/>
      <c r="AK482" s="506"/>
      <c r="AL482" s="635"/>
      <c r="AM482" s="1517"/>
      <c r="AN482" s="1112" t="s">
        <v>68</v>
      </c>
      <c r="AO482" s="571" t="s">
        <v>68</v>
      </c>
      <c r="AP482" s="571" t="s">
        <v>68</v>
      </c>
      <c r="AQ482" s="506"/>
      <c r="AR482" s="506"/>
      <c r="AS482" s="1270" t="s">
        <v>68</v>
      </c>
    </row>
    <row r="483" spans="1:45" ht="78.75" hidden="1" customHeight="1">
      <c r="A483" s="16">
        <f>OBRA!J481</f>
        <v>2020</v>
      </c>
      <c r="B483" s="783" t="s">
        <v>2094</v>
      </c>
      <c r="C483" s="783">
        <v>205.27</v>
      </c>
      <c r="D483" s="783"/>
      <c r="E483" s="2" t="str">
        <f>OBRA!M481</f>
        <v>CUENTA CORRIENTE</v>
      </c>
      <c r="F483" s="156" t="s">
        <v>1428</v>
      </c>
      <c r="G483" s="156" t="s">
        <v>2861</v>
      </c>
      <c r="H483" s="412" t="str">
        <f>OBRA!N481</f>
        <v>C.P.S.P. DOP 027/2020</v>
      </c>
      <c r="I483" s="2" t="str">
        <f>OBRA!O481</f>
        <v>SERVICIOS</v>
      </c>
      <c r="J483" s="3" t="str">
        <f>OBRA!P481</f>
        <v>LEVANTAMIENTO TOPOGRÁFICO DE ÁREA DE DONACIÓN DEL TERRENO PARA EL DEPÓSITO DE AGUA POTABLE, EN LA DELGACIÓN DE HUEJOTITÁN, DEL MUNICIPIO DE JOCOTEPEC, JALISCO.</v>
      </c>
      <c r="K483" s="3" t="s">
        <v>3782</v>
      </c>
      <c r="L483" s="3"/>
      <c r="M483" s="683" t="s">
        <v>2506</v>
      </c>
      <c r="N483" s="683" t="s">
        <v>2506</v>
      </c>
      <c r="O483" s="504" t="s">
        <v>3501</v>
      </c>
      <c r="P483" s="79">
        <f>OBRA!R481</f>
        <v>3711.9999999999995</v>
      </c>
      <c r="Q483" s="1023">
        <f t="shared" si="28"/>
        <v>3200</v>
      </c>
      <c r="R483" s="79" t="s">
        <v>68</v>
      </c>
      <c r="S483" s="67">
        <f>OBRA!S481</f>
        <v>44089</v>
      </c>
      <c r="T483" s="1134" t="str">
        <f>OBRA!V481</f>
        <v>-</v>
      </c>
      <c r="U483" s="5" t="str">
        <f>OBRA!T481</f>
        <v>-</v>
      </c>
      <c r="V483" s="11" t="str">
        <f>OBRA!U481</f>
        <v>-</v>
      </c>
      <c r="W483" s="1195">
        <v>0</v>
      </c>
      <c r="X483" s="1156">
        <f>OBRA!AS481+OBRA!AT481</f>
        <v>0</v>
      </c>
      <c r="Y483" s="1018" t="s">
        <v>1428</v>
      </c>
      <c r="Z483" s="146" t="str">
        <f>OBRA!W481</f>
        <v>ING. JUAN MANUEL GARCÍA ESCOTO</v>
      </c>
      <c r="AA483" s="146" t="s">
        <v>5665</v>
      </c>
      <c r="AB483" s="148" t="str">
        <f t="shared" si="30"/>
        <v>ING. JUAN MANUEL GARCÍA ESCOTO</v>
      </c>
      <c r="AC483" s="148" t="s">
        <v>2976</v>
      </c>
      <c r="AD483" s="146" t="s">
        <v>2976</v>
      </c>
      <c r="AE483" s="183" t="str">
        <f>OBRA!X481</f>
        <v>ING. HECTOR JESUS HERNANDEZ</v>
      </c>
      <c r="AF483" s="19">
        <v>1</v>
      </c>
      <c r="AG483" s="2" t="s">
        <v>1573</v>
      </c>
      <c r="AH483" s="551">
        <f t="shared" si="29"/>
        <v>0</v>
      </c>
      <c r="AI483" s="510"/>
      <c r="AJ483" s="506"/>
      <c r="AK483" s="506"/>
      <c r="AL483" s="635"/>
      <c r="AM483" s="1517"/>
      <c r="AN483" s="1112" t="s">
        <v>68</v>
      </c>
      <c r="AO483" s="571" t="s">
        <v>68</v>
      </c>
      <c r="AP483" s="571" t="s">
        <v>68</v>
      </c>
      <c r="AQ483" s="506"/>
      <c r="AR483" s="506"/>
      <c r="AS483" s="1270" t="s">
        <v>68</v>
      </c>
    </row>
    <row r="484" spans="1:45" ht="111.75" hidden="1" customHeight="1">
      <c r="A484" s="16">
        <f>OBRA!J482</f>
        <v>2020</v>
      </c>
      <c r="B484" s="783" t="s">
        <v>2094</v>
      </c>
      <c r="C484" s="783">
        <v>205.28</v>
      </c>
      <c r="D484" s="783"/>
      <c r="E484" s="2" t="str">
        <f>OBRA!M482</f>
        <v>CUENTA CORRIENTE</v>
      </c>
      <c r="F484" s="156" t="s">
        <v>1428</v>
      </c>
      <c r="G484" s="156" t="s">
        <v>2861</v>
      </c>
      <c r="H484" s="412" t="str">
        <f>OBRA!N482</f>
        <v>C.P.S.P. DOP 028/2020</v>
      </c>
      <c r="I484" s="2" t="str">
        <f>OBRA!O482</f>
        <v>SERVICIOS</v>
      </c>
      <c r="J484" s="3" t="str">
        <f>OBRA!P482</f>
        <v>LEVANAMIENTO TOPOGRÁFICO DE ÁREAS Y LÍMITES DE PROPIEDAD DEL CAMINO PROLONGACIÓN CALLE MATAMOROS DE DONATO QUERRA HASTA INGRESO AL FRACCIONAMIENTO ROCA AZUL, EN LA CABECERA MUNICIPAL DE JOCOTEPEC, JALISCO.</v>
      </c>
      <c r="K484" s="3" t="s">
        <v>3782</v>
      </c>
      <c r="L484" s="3"/>
      <c r="M484" s="683" t="s">
        <v>3779</v>
      </c>
      <c r="N484" s="683" t="s">
        <v>1975</v>
      </c>
      <c r="O484" s="504" t="s">
        <v>3501</v>
      </c>
      <c r="P484" s="79">
        <f>OBRA!R482</f>
        <v>9860</v>
      </c>
      <c r="Q484" s="1023">
        <f t="shared" si="28"/>
        <v>8500</v>
      </c>
      <c r="R484" s="79" t="s">
        <v>68</v>
      </c>
      <c r="S484" s="67">
        <f>OBRA!S482</f>
        <v>44089</v>
      </c>
      <c r="T484" s="1134" t="str">
        <f>OBRA!V482</f>
        <v>-</v>
      </c>
      <c r="U484" s="5" t="str">
        <f>OBRA!T482</f>
        <v>-</v>
      </c>
      <c r="V484" s="11" t="str">
        <f>OBRA!U482</f>
        <v>-</v>
      </c>
      <c r="W484" s="1195">
        <v>0</v>
      </c>
      <c r="X484" s="1156">
        <f>OBRA!AS482+OBRA!AT482</f>
        <v>0</v>
      </c>
      <c r="Y484" s="1018" t="s">
        <v>1428</v>
      </c>
      <c r="Z484" s="146" t="str">
        <f>OBRA!W482</f>
        <v>ING. JUAN MANUEL GARCÍA ESCOTO</v>
      </c>
      <c r="AA484" s="146" t="s">
        <v>5665</v>
      </c>
      <c r="AB484" s="148" t="str">
        <f t="shared" si="30"/>
        <v>ING. JUAN MANUEL GARCÍA ESCOTO</v>
      </c>
      <c r="AC484" s="148" t="s">
        <v>2976</v>
      </c>
      <c r="AD484" s="146" t="s">
        <v>2976</v>
      </c>
      <c r="AE484" s="183" t="str">
        <f>OBRA!X482</f>
        <v>ING. HECTOR JESUS HERNANDEZ</v>
      </c>
      <c r="AF484" s="19">
        <v>1</v>
      </c>
      <c r="AG484" s="2" t="s">
        <v>1573</v>
      </c>
      <c r="AH484" s="551">
        <f t="shared" si="29"/>
        <v>0</v>
      </c>
      <c r="AI484" s="510"/>
      <c r="AJ484" s="506"/>
      <c r="AK484" s="506"/>
      <c r="AL484" s="635"/>
      <c r="AM484" s="1517"/>
      <c r="AN484" s="1112" t="s">
        <v>68</v>
      </c>
      <c r="AO484" s="571" t="s">
        <v>68</v>
      </c>
      <c r="AP484" s="571" t="s">
        <v>68</v>
      </c>
      <c r="AQ484" s="506"/>
      <c r="AR484" s="506"/>
      <c r="AS484" s="1270" t="s">
        <v>68</v>
      </c>
    </row>
    <row r="485" spans="1:45" s="104" customFormat="1" ht="35.25" hidden="1" customHeight="1">
      <c r="A485" s="82">
        <f>OBRA!J483</f>
        <v>2020</v>
      </c>
      <c r="B485" s="784" t="s">
        <v>2094</v>
      </c>
      <c r="C485" s="784">
        <v>205.3</v>
      </c>
      <c r="D485" s="784"/>
      <c r="E485" s="85" t="str">
        <f>OBRA!M483</f>
        <v>CUENTA CORRIENTE</v>
      </c>
      <c r="F485" s="575" t="s">
        <v>1428</v>
      </c>
      <c r="G485" s="575" t="s">
        <v>2206</v>
      </c>
      <c r="H485" s="421" t="str">
        <f>OBRA!N483</f>
        <v>C.P.S.P. DOP 029/2020</v>
      </c>
      <c r="I485" s="85" t="str">
        <f>OBRA!O483</f>
        <v>CANCELADA</v>
      </c>
      <c r="J485" s="125" t="str">
        <f>OBRA!P483</f>
        <v>CONTRATO CANCELADO</v>
      </c>
      <c r="K485" s="125"/>
      <c r="L485" s="125"/>
      <c r="M485" s="125"/>
      <c r="N485" s="125"/>
      <c r="O485" s="812"/>
      <c r="P485" s="86">
        <f>OBRA!R483</f>
        <v>0</v>
      </c>
      <c r="Q485" s="86">
        <f t="shared" si="28"/>
        <v>0</v>
      </c>
      <c r="R485" s="86"/>
      <c r="S485" s="87">
        <f>OBRA!S483</f>
        <v>0</v>
      </c>
      <c r="T485" s="1409" t="str">
        <f>OBRA!V483</f>
        <v>-</v>
      </c>
      <c r="U485" s="88" t="str">
        <f>OBRA!T483</f>
        <v>-</v>
      </c>
      <c r="V485" s="89" t="str">
        <f>OBRA!U483</f>
        <v>-</v>
      </c>
      <c r="W485" s="1410">
        <v>0</v>
      </c>
      <c r="X485" s="1155">
        <f>OBRA!AS483+OBRA!AT483</f>
        <v>0</v>
      </c>
      <c r="Y485" s="1016"/>
      <c r="Z485" s="147" t="str">
        <f>OBRA!W483</f>
        <v>ING. JUAN MANUEL GARCÍA ESCOTO</v>
      </c>
      <c r="AA485" s="147" t="s">
        <v>5665</v>
      </c>
      <c r="AB485" s="149" t="str">
        <f t="shared" si="30"/>
        <v>ING. JUAN MANUEL GARCÍA ESCOTO</v>
      </c>
      <c r="AC485" s="149"/>
      <c r="AD485" s="147"/>
      <c r="AE485" s="184">
        <f>OBRA!X483</f>
        <v>0</v>
      </c>
      <c r="AF485" s="84"/>
      <c r="AG485" s="85"/>
      <c r="AH485" s="184" t="e">
        <f t="shared" si="29"/>
        <v>#DIV/0!</v>
      </c>
      <c r="AI485" s="85"/>
      <c r="AJ485" s="514"/>
      <c r="AK485" s="514"/>
      <c r="AL485" s="1515"/>
      <c r="AM485" s="1516"/>
      <c r="AN485" s="816"/>
      <c r="AO485" s="816" t="s">
        <v>68</v>
      </c>
      <c r="AP485" s="816" t="s">
        <v>68</v>
      </c>
      <c r="AQ485" s="514"/>
      <c r="AR485" s="514"/>
      <c r="AS485" s="570"/>
    </row>
    <row r="486" spans="1:45" ht="69.75" hidden="1" customHeight="1">
      <c r="A486" s="16">
        <f>OBRA!J484</f>
        <v>2020</v>
      </c>
      <c r="B486" s="783" t="s">
        <v>2094</v>
      </c>
      <c r="C486" s="783">
        <v>205.3</v>
      </c>
      <c r="D486" s="783"/>
      <c r="E486" s="2" t="str">
        <f>OBRA!M484</f>
        <v>CUENTA CORRIENTE</v>
      </c>
      <c r="F486" s="156" t="s">
        <v>1428</v>
      </c>
      <c r="G486" s="156" t="s">
        <v>2861</v>
      </c>
      <c r="H486" s="412" t="str">
        <f>OBRA!N484</f>
        <v>C.P.S.P. DOP 030/2020</v>
      </c>
      <c r="I486" s="2" t="str">
        <f>OBRA!O484</f>
        <v>SERVICIOS</v>
      </c>
      <c r="J486" s="3" t="str">
        <f>OBRA!P484</f>
        <v>LEVANTAMIENTO TOPOGRÁFICO DE ÁREA DEL PREDIO DEL VERTEDERO MUNICIPAL, UBICADO EN EL EJIDO DE LA LOMA DEL MUNICIPIO DE JOCOTEPEC, JALISCO.</v>
      </c>
      <c r="K486" s="683" t="s">
        <v>3953</v>
      </c>
      <c r="L486" s="683"/>
      <c r="M486" s="683" t="s">
        <v>2650</v>
      </c>
      <c r="N486" s="683" t="s">
        <v>2575</v>
      </c>
      <c r="O486" s="504" t="s">
        <v>3501</v>
      </c>
      <c r="P486" s="79">
        <f>OBRA!R484</f>
        <v>9280</v>
      </c>
      <c r="Q486" s="1023">
        <f t="shared" si="28"/>
        <v>8000.0000000000009</v>
      </c>
      <c r="R486" s="79" t="s">
        <v>68</v>
      </c>
      <c r="S486" s="67">
        <f>OBRA!S484</f>
        <v>44089</v>
      </c>
      <c r="T486" s="1134" t="str">
        <f>OBRA!V484</f>
        <v>-</v>
      </c>
      <c r="U486" s="5" t="str">
        <f>OBRA!T484</f>
        <v>-</v>
      </c>
      <c r="V486" s="11" t="str">
        <f>OBRA!U484</f>
        <v>-</v>
      </c>
      <c r="W486" s="1195">
        <v>0</v>
      </c>
      <c r="X486" s="1156">
        <f>OBRA!AS484+OBRA!AT484</f>
        <v>0</v>
      </c>
      <c r="Y486" s="1018" t="s">
        <v>3955</v>
      </c>
      <c r="Z486" s="146" t="str">
        <f>OBRA!W484</f>
        <v>ING. JUAN MANUEL GARCÍA ESCOTO</v>
      </c>
      <c r="AA486" s="146" t="s">
        <v>5665</v>
      </c>
      <c r="AB486" s="148" t="str">
        <f t="shared" si="30"/>
        <v>ING. JUAN MANUEL GARCÍA ESCOTO</v>
      </c>
      <c r="AC486" s="148" t="s">
        <v>2976</v>
      </c>
      <c r="AD486" s="146" t="s">
        <v>2976</v>
      </c>
      <c r="AE486" s="183" t="str">
        <f>OBRA!X484</f>
        <v>ING. HECTOR JESUS HERNANDEZ</v>
      </c>
      <c r="AF486" s="161"/>
      <c r="AG486" s="2" t="s">
        <v>3954</v>
      </c>
      <c r="AH486" s="551" t="e">
        <f t="shared" si="29"/>
        <v>#DIV/0!</v>
      </c>
      <c r="AI486" s="510"/>
      <c r="AJ486" s="506"/>
      <c r="AK486" s="506"/>
      <c r="AL486" s="635"/>
      <c r="AM486" s="1517"/>
      <c r="AN486" s="1112" t="s">
        <v>68</v>
      </c>
      <c r="AO486" s="571" t="s">
        <v>68</v>
      </c>
      <c r="AP486" s="571" t="s">
        <v>68</v>
      </c>
      <c r="AQ486" s="513" t="s">
        <v>68</v>
      </c>
      <c r="AR486" s="513"/>
      <c r="AS486" s="1270" t="s">
        <v>68</v>
      </c>
    </row>
    <row r="487" spans="1:45" ht="82.5" hidden="1" customHeight="1">
      <c r="A487" s="16">
        <f>OBRA!J485</f>
        <v>2020</v>
      </c>
      <c r="B487" s="783" t="s">
        <v>2094</v>
      </c>
      <c r="C487" s="783">
        <v>205.31</v>
      </c>
      <c r="D487" s="783"/>
      <c r="E487" s="2" t="str">
        <f>OBRA!M485</f>
        <v>CUENTA CORRIENTE</v>
      </c>
      <c r="F487" s="156" t="s">
        <v>1428</v>
      </c>
      <c r="G487" s="156" t="s">
        <v>2861</v>
      </c>
      <c r="H487" s="412" t="str">
        <f>OBRA!N485</f>
        <v>C.P.S.P. DOP 031/2020</v>
      </c>
      <c r="I487" s="2" t="str">
        <f>OBRA!O485</f>
        <v>SERVICIOS</v>
      </c>
      <c r="J487" s="3" t="str">
        <f>OBRA!P485</f>
        <v>LEVANTAMIENTO TOPOGRÁFICO DE ÁREA Y LÍMITES DE PROPIEDAD EN CALLE 5 DE MAYO ENTRE AV. DE LA CRUZ Y AV. DEL PARQUE, EN LA DELEGACIÓN DE HUEJOTITÁN DEL MUNICIPIO DE JOCOTEPEC, JALISCO.</v>
      </c>
      <c r="K487" s="683" t="s">
        <v>3952</v>
      </c>
      <c r="L487" s="683"/>
      <c r="M487" s="683" t="s">
        <v>2650</v>
      </c>
      <c r="N487" s="683" t="s">
        <v>2575</v>
      </c>
      <c r="O487" s="504" t="s">
        <v>3501</v>
      </c>
      <c r="P487" s="79">
        <f>OBRA!R485</f>
        <v>5220</v>
      </c>
      <c r="Q487" s="1023">
        <f t="shared" si="28"/>
        <v>4500</v>
      </c>
      <c r="R487" s="79" t="s">
        <v>68</v>
      </c>
      <c r="S487" s="67">
        <f>OBRA!S485</f>
        <v>44089</v>
      </c>
      <c r="T487" s="1134" t="str">
        <f>OBRA!V485</f>
        <v>-</v>
      </c>
      <c r="U487" s="5" t="str">
        <f>OBRA!T485</f>
        <v>-</v>
      </c>
      <c r="V487" s="11" t="str">
        <f>OBRA!U485</f>
        <v>-</v>
      </c>
      <c r="W487" s="1195">
        <v>0</v>
      </c>
      <c r="X487" s="1156">
        <f>OBRA!AS485+OBRA!AT485</f>
        <v>0</v>
      </c>
      <c r="Y487" s="1018" t="s">
        <v>3955</v>
      </c>
      <c r="Z487" s="146" t="str">
        <f>OBRA!W485</f>
        <v>ING. JUAN MANUEL GARCÍA ESCOTO</v>
      </c>
      <c r="AA487" s="146" t="s">
        <v>5665</v>
      </c>
      <c r="AB487" s="148" t="s">
        <v>2902</v>
      </c>
      <c r="AC487" s="148" t="s">
        <v>3337</v>
      </c>
      <c r="AD487" s="146" t="s">
        <v>3338</v>
      </c>
      <c r="AE487" s="183" t="str">
        <f>OBRA!X485</f>
        <v>ING. HECTOR JESUS HERNANDEZ</v>
      </c>
      <c r="AF487" s="161"/>
      <c r="AG487" s="2" t="s">
        <v>3954</v>
      </c>
      <c r="AH487" s="551" t="e">
        <f t="shared" si="29"/>
        <v>#DIV/0!</v>
      </c>
      <c r="AI487" s="510"/>
      <c r="AJ487" s="506"/>
      <c r="AK487" s="506"/>
      <c r="AL487" s="635"/>
      <c r="AM487" s="1517"/>
      <c r="AN487" s="1112" t="s">
        <v>68</v>
      </c>
      <c r="AO487" s="571" t="s">
        <v>68</v>
      </c>
      <c r="AP487" s="571" t="s">
        <v>68</v>
      </c>
      <c r="AQ487" s="513" t="s">
        <v>68</v>
      </c>
      <c r="AR487" s="513"/>
      <c r="AS487" s="1270" t="s">
        <v>68</v>
      </c>
    </row>
    <row r="488" spans="1:45" ht="85.5" hidden="1" customHeight="1">
      <c r="A488" s="16">
        <f>OBRA!J486</f>
        <v>2020</v>
      </c>
      <c r="B488" s="783" t="s">
        <v>2094</v>
      </c>
      <c r="C488" s="783">
        <v>205.32</v>
      </c>
      <c r="D488" s="783"/>
      <c r="E488" s="2" t="str">
        <f>OBRA!M486</f>
        <v>CUENTA CORRIENTE</v>
      </c>
      <c r="F488" s="156" t="s">
        <v>1428</v>
      </c>
      <c r="G488" s="156" t="s">
        <v>2861</v>
      </c>
      <c r="H488" s="412" t="str">
        <f>OBRA!N486</f>
        <v>C.P.S.P. DOP 032/2020</v>
      </c>
      <c r="I488" s="2" t="str">
        <f>OBRA!O486</f>
        <v>SERVICIOS</v>
      </c>
      <c r="J488" s="3" t="str">
        <f>OBRA!P486</f>
        <v>LEVANTAMIENTO TOPOGRÁFICO DE PREDIO Y ÁREA DE UNIDAD DEPORTIVA SUR PARA EL PROYECTO "POLIDEPORTIVO" UBICADO EN CALLE DONATO GUERRA, EN LA CABECERA MUNICIPAL DE JOCOTEPEC, JALISCO.</v>
      </c>
      <c r="K488" s="3" t="s">
        <v>3782</v>
      </c>
      <c r="L488" s="3"/>
      <c r="M488" s="683" t="s">
        <v>3999</v>
      </c>
      <c r="N488" s="683" t="s">
        <v>1975</v>
      </c>
      <c r="O488" s="504" t="s">
        <v>3501</v>
      </c>
      <c r="P488" s="79">
        <f>OBRA!R486</f>
        <v>9860</v>
      </c>
      <c r="Q488" s="1023">
        <f t="shared" si="28"/>
        <v>8500</v>
      </c>
      <c r="R488" s="79" t="s">
        <v>68</v>
      </c>
      <c r="S488" s="67">
        <f>OBRA!S486</f>
        <v>44089</v>
      </c>
      <c r="T488" s="1134" t="str">
        <f>OBRA!V486</f>
        <v>-</v>
      </c>
      <c r="U488" s="5" t="str">
        <f>OBRA!T486</f>
        <v>-</v>
      </c>
      <c r="V488" s="11" t="str">
        <f>OBRA!U486</f>
        <v>-</v>
      </c>
      <c r="W488" s="1195">
        <v>0</v>
      </c>
      <c r="X488" s="1156">
        <f>OBRA!AS486+OBRA!AT486</f>
        <v>0</v>
      </c>
      <c r="Y488" s="1018" t="s">
        <v>1428</v>
      </c>
      <c r="Z488" s="146" t="str">
        <f>OBRA!W486</f>
        <v>ING. JUAN MANUEL GARCÍA ESCOTO</v>
      </c>
      <c r="AA488" s="146" t="s">
        <v>5665</v>
      </c>
      <c r="AB488" s="148" t="str">
        <f>Z488</f>
        <v>ING. JUAN MANUEL GARCÍA ESCOTO</v>
      </c>
      <c r="AC488" s="148" t="s">
        <v>2976</v>
      </c>
      <c r="AD488" s="146" t="s">
        <v>2976</v>
      </c>
      <c r="AE488" s="183" t="str">
        <f>OBRA!X486</f>
        <v>ING. HECTOR JESUS HERNANDEZ</v>
      </c>
      <c r="AF488" s="161"/>
      <c r="AG488" s="510"/>
      <c r="AH488" s="551" t="e">
        <f t="shared" si="29"/>
        <v>#DIV/0!</v>
      </c>
      <c r="AI488" s="510"/>
      <c r="AJ488" s="506"/>
      <c r="AK488" s="506"/>
      <c r="AL488" s="635"/>
      <c r="AM488" s="1517"/>
      <c r="AN488" s="1112" t="s">
        <v>68</v>
      </c>
      <c r="AO488" s="571" t="s">
        <v>68</v>
      </c>
      <c r="AP488" s="571" t="s">
        <v>68</v>
      </c>
      <c r="AQ488" s="513" t="s">
        <v>68</v>
      </c>
      <c r="AR488" s="513"/>
      <c r="AS488" s="1270" t="s">
        <v>68</v>
      </c>
    </row>
    <row r="489" spans="1:45" ht="84.75" hidden="1" customHeight="1">
      <c r="A489" s="16">
        <f>OBRA!J487</f>
        <v>2020</v>
      </c>
      <c r="B489" s="783" t="s">
        <v>2094</v>
      </c>
      <c r="C489" s="783">
        <v>205.33</v>
      </c>
      <c r="D489" s="783"/>
      <c r="E489" s="2" t="str">
        <f>OBRA!M487</f>
        <v>CUENTA CORRIENTE</v>
      </c>
      <c r="F489" s="156" t="s">
        <v>1428</v>
      </c>
      <c r="G489" s="156" t="s">
        <v>2861</v>
      </c>
      <c r="H489" s="412" t="str">
        <f>OBRA!N487</f>
        <v>C.P.S.P. DOP 033/2020</v>
      </c>
      <c r="I489" s="2" t="str">
        <f>OBRA!O487</f>
        <v>SERVICIOS</v>
      </c>
      <c r="J489" s="3" t="str">
        <f>OBRA!P487</f>
        <v>LEVANTAMIENTO TOPOGRÁFICO DE ÁREAS Y LÍMITES DE PROPIEDAD DE LA CALLE HIDALGO SUR DE CALLE DONATO GUERRA AL ARROYO, EN LA CABECERA MUNICIPAL DE JOCOTEPEC, JALISCO.</v>
      </c>
      <c r="K489" s="683" t="s">
        <v>3952</v>
      </c>
      <c r="L489" s="683"/>
      <c r="M489" s="683" t="s">
        <v>3990</v>
      </c>
      <c r="N489" s="683" t="s">
        <v>1975</v>
      </c>
      <c r="O489" s="504" t="s">
        <v>3501</v>
      </c>
      <c r="P489" s="79">
        <f>OBRA!R487</f>
        <v>4059.9999999999995</v>
      </c>
      <c r="Q489" s="1023">
        <f t="shared" si="28"/>
        <v>3500</v>
      </c>
      <c r="R489" s="79" t="s">
        <v>68</v>
      </c>
      <c r="S489" s="67">
        <f>OBRA!S487</f>
        <v>44089</v>
      </c>
      <c r="T489" s="1134" t="str">
        <f>OBRA!V487</f>
        <v>-</v>
      </c>
      <c r="U489" s="5" t="str">
        <f>OBRA!T487</f>
        <v>-</v>
      </c>
      <c r="V489" s="11" t="str">
        <f>OBRA!U487</f>
        <v>-</v>
      </c>
      <c r="W489" s="1195">
        <v>0</v>
      </c>
      <c r="X489" s="1156">
        <f>OBRA!AS487+OBRA!AT487</f>
        <v>0</v>
      </c>
      <c r="Y489" s="1018" t="s">
        <v>1428</v>
      </c>
      <c r="Z489" s="146" t="str">
        <f>OBRA!W487</f>
        <v>ING. JUAN MANUEL GARCÍA ESCOTO</v>
      </c>
      <c r="AA489" s="146" t="s">
        <v>5665</v>
      </c>
      <c r="AB489" s="148" t="str">
        <f>Z489</f>
        <v>ING. JUAN MANUEL GARCÍA ESCOTO</v>
      </c>
      <c r="AC489" s="148" t="s">
        <v>2976</v>
      </c>
      <c r="AD489" s="146" t="s">
        <v>2976</v>
      </c>
      <c r="AE489" s="183" t="str">
        <f>OBRA!X487</f>
        <v>ING. HECTOR JESUS HERNANDEZ</v>
      </c>
      <c r="AF489" s="161"/>
      <c r="AG489" s="2" t="s">
        <v>2294</v>
      </c>
      <c r="AH489" s="551" t="e">
        <f t="shared" si="29"/>
        <v>#DIV/0!</v>
      </c>
      <c r="AI489" s="510"/>
      <c r="AJ489" s="506"/>
      <c r="AK489" s="506"/>
      <c r="AL489" s="635"/>
      <c r="AM489" s="1517"/>
      <c r="AN489" s="1112" t="s">
        <v>68</v>
      </c>
      <c r="AO489" s="571" t="s">
        <v>68</v>
      </c>
      <c r="AP489" s="571" t="s">
        <v>68</v>
      </c>
      <c r="AQ489" s="513" t="s">
        <v>68</v>
      </c>
      <c r="AR489" s="513"/>
      <c r="AS489" s="1270" t="s">
        <v>68</v>
      </c>
    </row>
    <row r="490" spans="1:45" ht="60" hidden="1" customHeight="1">
      <c r="A490" s="16">
        <f>OBRA!J488</f>
        <v>2020</v>
      </c>
      <c r="B490" s="783" t="s">
        <v>2094</v>
      </c>
      <c r="C490" s="783">
        <v>206.01</v>
      </c>
      <c r="D490" s="783"/>
      <c r="E490" s="2" t="str">
        <f>OBRA!M488</f>
        <v>CUENTA CORRIENTE</v>
      </c>
      <c r="F490" s="156" t="s">
        <v>1428</v>
      </c>
      <c r="G490" s="156" t="s">
        <v>2206</v>
      </c>
      <c r="H490" s="412" t="str">
        <f>OBRA!N488</f>
        <v>GMJ 001C- OP/2020</v>
      </c>
      <c r="I490" s="2" t="str">
        <f>OBRA!O488</f>
        <v>ADJUDICACIÓN DIRECTA</v>
      </c>
      <c r="J490" s="3" t="str">
        <f>OBRA!P488</f>
        <v>CONSTRUCCIÓN DE LÍNEAS DE DRENAJE SANITARIO Y DRENAJE PLUVIAL EN LA CALLE RODRIGO DE TRIANA" EN LA CABECERA MUNICIPAL DE JOCOTEPEC, JALISCO".</v>
      </c>
      <c r="K490" s="683" t="s">
        <v>3953</v>
      </c>
      <c r="L490" s="3" t="s">
        <v>4747</v>
      </c>
      <c r="M490" s="683" t="s">
        <v>4083</v>
      </c>
      <c r="N490" s="683" t="s">
        <v>1975</v>
      </c>
      <c r="O490" s="504" t="s">
        <v>4128</v>
      </c>
      <c r="P490" s="79">
        <f>OBRA!R488</f>
        <v>156714.98000000001</v>
      </c>
      <c r="Q490" s="1023">
        <f t="shared" si="28"/>
        <v>135099.12068965519</v>
      </c>
      <c r="R490" s="1023"/>
      <c r="S490" s="67">
        <f>OBRA!S488</f>
        <v>43894</v>
      </c>
      <c r="T490" s="1134">
        <f>OBRA!V488</f>
        <v>43892</v>
      </c>
      <c r="U490" s="5">
        <f>OBRA!T488</f>
        <v>43894</v>
      </c>
      <c r="V490" s="11">
        <f>OBRA!U488</f>
        <v>43960</v>
      </c>
      <c r="W490" s="1195">
        <v>0</v>
      </c>
      <c r="X490" s="1154">
        <f>OBRA!AS488+OBRA!AT488</f>
        <v>156609.66</v>
      </c>
      <c r="Y490" s="1089" t="s">
        <v>4123</v>
      </c>
      <c r="Z490" s="146" t="str">
        <f>OBRA!W488</f>
        <v xml:space="preserve">GRUPO CONSTRUCTOR PAVIMAQ, S.A. DE C.V. </v>
      </c>
      <c r="AA490" s="146" t="s">
        <v>5666</v>
      </c>
      <c r="AB490" s="148" t="s">
        <v>2801</v>
      </c>
      <c r="AC490" s="148" t="s">
        <v>2800</v>
      </c>
      <c r="AD490" s="146" t="s">
        <v>4124</v>
      </c>
      <c r="AE490" s="183" t="str">
        <f>OBRA!X488</f>
        <v>ARQ. CESAR ANTONIO ALONSO JIMENEZ</v>
      </c>
      <c r="AF490" s="19">
        <v>78.099999999999994</v>
      </c>
      <c r="AG490" s="2" t="s">
        <v>1451</v>
      </c>
      <c r="AH490" s="615">
        <f t="shared" si="29"/>
        <v>2005.2453265044817</v>
      </c>
      <c r="AI490" s="2">
        <v>120</v>
      </c>
      <c r="AJ490" s="513">
        <v>120</v>
      </c>
      <c r="AK490" s="513"/>
      <c r="AL490" s="1522">
        <v>20.281600999999998</v>
      </c>
      <c r="AM490" s="1523">
        <v>103.41943000000001</v>
      </c>
      <c r="AN490" s="571" t="s">
        <v>4129</v>
      </c>
      <c r="AO490" s="571" t="s">
        <v>4129</v>
      </c>
      <c r="AP490" s="571" t="s">
        <v>4129</v>
      </c>
      <c r="AQ490" s="501" t="s">
        <v>4129</v>
      </c>
      <c r="AR490" s="501"/>
      <c r="AS490" s="1505" t="s">
        <v>4129</v>
      </c>
    </row>
    <row r="491" spans="1:45" ht="111" hidden="1" customHeight="1">
      <c r="A491" s="16">
        <f>OBRA!J489</f>
        <v>2020</v>
      </c>
      <c r="B491" s="783" t="s">
        <v>2094</v>
      </c>
      <c r="C491" s="783">
        <v>206.02</v>
      </c>
      <c r="D491" s="783"/>
      <c r="E491" s="2" t="str">
        <f>OBRA!M489</f>
        <v>RAMO 33</v>
      </c>
      <c r="F491" s="156" t="s">
        <v>1428</v>
      </c>
      <c r="G491" s="156" t="s">
        <v>2206</v>
      </c>
      <c r="H491" s="412" t="str">
        <f>OBRA!N489</f>
        <v>GMJ 002C- OP/2020</v>
      </c>
      <c r="I491" s="2" t="str">
        <f>OBRA!O489</f>
        <v>ADJUDICACIÓN DIRECTA</v>
      </c>
      <c r="J491" s="3" t="str">
        <f>OBRA!P489</f>
        <v>"CONSTRUCCIÓN DE EMPEDRADO NORMAL CON HUELLAS DE ADOQUÍN EN CALLE CUAUHTÉMOC 3ERA. ETAPA DE CARCAMO A 160 ML AL ORIENTE" EN LA DELEGACIÓN DE CHANTEPEC, MUNICIPIO DE JOCOTEPEC, JALISCO.</v>
      </c>
      <c r="K491" s="3" t="s">
        <v>4145</v>
      </c>
      <c r="L491" s="3" t="s">
        <v>4752</v>
      </c>
      <c r="M491" s="683" t="s">
        <v>4002</v>
      </c>
      <c r="N491" s="3" t="s">
        <v>2538</v>
      </c>
      <c r="O491" s="504" t="s">
        <v>4128</v>
      </c>
      <c r="P491" s="4">
        <f>OBRA!R489</f>
        <v>654632.78</v>
      </c>
      <c r="Q491" s="1023">
        <f t="shared" si="28"/>
        <v>564338.60344827594</v>
      </c>
      <c r="R491" s="1023"/>
      <c r="S491" s="6">
        <f>OBRA!S489</f>
        <v>43936</v>
      </c>
      <c r="T491" s="1134">
        <f>OBRA!V489</f>
        <v>43934</v>
      </c>
      <c r="U491" s="5">
        <f>OBRA!T489</f>
        <v>43937</v>
      </c>
      <c r="V491" s="11">
        <f>OBRA!U489</f>
        <v>43958</v>
      </c>
      <c r="W491" s="1195">
        <v>0</v>
      </c>
      <c r="X491" s="1154">
        <f>OBRA!AS489+OBRA!AT489</f>
        <v>685944.29</v>
      </c>
      <c r="Y491" s="1018" t="s">
        <v>4125</v>
      </c>
      <c r="Z491" s="146" t="str">
        <f>OBRA!W489</f>
        <v>ING. OCTAVIO AUGUSTO GONZALEZ TREJO</v>
      </c>
      <c r="AA491" s="146" t="s">
        <v>5665</v>
      </c>
      <c r="AB491" s="148" t="str">
        <f>Z491</f>
        <v>ING. OCTAVIO AUGUSTO GONZALEZ TREJO</v>
      </c>
      <c r="AC491" s="148" t="s">
        <v>2959</v>
      </c>
      <c r="AD491" s="146" t="s">
        <v>2959</v>
      </c>
      <c r="AE491" s="183" t="str">
        <f>OBRA!X489</f>
        <v>LIC. SALVADOR CONTRERAS OLGUÍN</v>
      </c>
      <c r="AF491" s="19">
        <v>992</v>
      </c>
      <c r="AG491" s="2" t="s">
        <v>1548</v>
      </c>
      <c r="AH491" s="615">
        <f t="shared" si="29"/>
        <v>691.47609879032257</v>
      </c>
      <c r="AI491" s="2">
        <v>80</v>
      </c>
      <c r="AJ491" s="513">
        <v>1800</v>
      </c>
      <c r="AK491" s="513"/>
      <c r="AL491" s="1522">
        <v>20.291502000000001</v>
      </c>
      <c r="AM491" s="1523">
        <v>103.387879</v>
      </c>
      <c r="AN491" s="571" t="s">
        <v>4130</v>
      </c>
      <c r="AO491" s="571" t="s">
        <v>4130</v>
      </c>
      <c r="AP491" s="571" t="s">
        <v>4130</v>
      </c>
      <c r="AQ491" s="501" t="s">
        <v>4130</v>
      </c>
      <c r="AR491" s="501"/>
      <c r="AS491" s="1505" t="s">
        <v>4130</v>
      </c>
    </row>
    <row r="492" spans="1:45" ht="87" hidden="1" customHeight="1">
      <c r="A492" s="16">
        <f>OBRA!J490</f>
        <v>2020</v>
      </c>
      <c r="B492" s="783" t="s">
        <v>2094</v>
      </c>
      <c r="C492" s="783">
        <v>206.03</v>
      </c>
      <c r="D492" s="783"/>
      <c r="E492" s="2" t="str">
        <f>OBRA!M490</f>
        <v>RAMO 33</v>
      </c>
      <c r="F492" s="156" t="s">
        <v>1428</v>
      </c>
      <c r="G492" s="156" t="s">
        <v>2206</v>
      </c>
      <c r="H492" s="412" t="str">
        <f>OBRA!N490</f>
        <v>GMJ 003C- OP/2020</v>
      </c>
      <c r="I492" s="2" t="str">
        <f>OBRA!O490</f>
        <v>ADJUDICACIÓN DIRECTA</v>
      </c>
      <c r="J492" s="3" t="str">
        <f>OBRA!P490</f>
        <v>"CONSTRUCCIÓN DE EMPEDRADO NORMAL CON HUELLAS DE CONCRETO EN CALLE LIBERTAD DE RICO A CRISTÓBAL COLÓN" EN LA LOCALIDAD DE NEXTIPAC, MUNICIPIO DE JOCOTEPEC, JALISCO</v>
      </c>
      <c r="K492" s="3" t="s">
        <v>4146</v>
      </c>
      <c r="L492" s="3" t="s">
        <v>4752</v>
      </c>
      <c r="M492" s="683" t="s">
        <v>4084</v>
      </c>
      <c r="N492" s="683" t="s">
        <v>2577</v>
      </c>
      <c r="O492" s="504" t="s">
        <v>4128</v>
      </c>
      <c r="P492" s="4">
        <f>OBRA!R490</f>
        <v>248927.96</v>
      </c>
      <c r="Q492" s="1023">
        <f t="shared" si="28"/>
        <v>214593.06896551725</v>
      </c>
      <c r="R492" s="1023"/>
      <c r="S492" s="6">
        <f>OBRA!S490</f>
        <v>43948</v>
      </c>
      <c r="T492" s="1134">
        <f>OBRA!V490</f>
        <v>43945</v>
      </c>
      <c r="U492" s="5">
        <f>OBRA!T490</f>
        <v>43949</v>
      </c>
      <c r="V492" s="11">
        <f>OBRA!U490</f>
        <v>43980</v>
      </c>
      <c r="W492" s="1021">
        <v>62231.99</v>
      </c>
      <c r="X492" s="1154">
        <f>OBRA!AS490+OBRA!AT490</f>
        <v>255753.06</v>
      </c>
      <c r="Y492" s="1018" t="s">
        <v>4126</v>
      </c>
      <c r="Z492" s="146" t="str">
        <f>OBRA!W490</f>
        <v>GRUPO CONSTRUCTOR EDVI S.A. DE C.V.</v>
      </c>
      <c r="AA492" s="146" t="s">
        <v>5666</v>
      </c>
      <c r="AB492" s="148" t="s">
        <v>2902</v>
      </c>
      <c r="AC492" s="2" t="s">
        <v>3337</v>
      </c>
      <c r="AD492" s="146" t="s">
        <v>3338</v>
      </c>
      <c r="AE492" s="183" t="str">
        <f>OBRA!X490</f>
        <v>ARQ. CESAR ANTONIO ALONSO JIMENEZ</v>
      </c>
      <c r="AF492" s="19">
        <v>317.99</v>
      </c>
      <c r="AG492" s="2" t="s">
        <v>1548</v>
      </c>
      <c r="AH492" s="615">
        <f t="shared" si="29"/>
        <v>804.28019749048713</v>
      </c>
      <c r="AI492" s="2">
        <v>500</v>
      </c>
      <c r="AJ492" s="513">
        <v>1000</v>
      </c>
      <c r="AK492" s="513"/>
      <c r="AL492" s="1522">
        <v>20.289967999999998</v>
      </c>
      <c r="AM492" s="1523">
        <v>103.417689</v>
      </c>
      <c r="AN492" s="571" t="s">
        <v>4127</v>
      </c>
      <c r="AO492" s="571" t="s">
        <v>4127</v>
      </c>
      <c r="AP492" s="571" t="s">
        <v>4127</v>
      </c>
      <c r="AQ492" s="501" t="s">
        <v>4127</v>
      </c>
      <c r="AR492" s="501"/>
      <c r="AS492" s="1505" t="s">
        <v>4127</v>
      </c>
    </row>
    <row r="493" spans="1:45" ht="109.5" hidden="1" customHeight="1">
      <c r="A493" s="16">
        <f>OBRA!J491</f>
        <v>2020</v>
      </c>
      <c r="B493" s="783" t="s">
        <v>2094</v>
      </c>
      <c r="C493" s="783">
        <v>206.04</v>
      </c>
      <c r="D493" s="783"/>
      <c r="E493" s="2" t="str">
        <f>OBRA!M491</f>
        <v>RAMO 33</v>
      </c>
      <c r="F493" s="156" t="s">
        <v>1428</v>
      </c>
      <c r="G493" s="156" t="s">
        <v>2206</v>
      </c>
      <c r="H493" s="412" t="str">
        <f>OBRA!N491</f>
        <v>GMJ 004C- OP/2020</v>
      </c>
      <c r="I493" s="2" t="str">
        <f>OBRA!O491</f>
        <v>ADJUDICACIÓN DIRECTA</v>
      </c>
      <c r="J493" s="3" t="str">
        <f>OBRA!P491</f>
        <v>"CONSTRUCCIÓN DE EMPEDRADO AHOGADO EN CEMENTO CON HUELLAS DE CONCRETO EN CALLE PADRE ADALBERTO MACIAS" EN LA CABECERA MUNICIPAL DE JOCOTEPEC, JALISCO.</v>
      </c>
      <c r="K493" s="3" t="s">
        <v>4147</v>
      </c>
      <c r="L493" s="3" t="s">
        <v>4752</v>
      </c>
      <c r="M493" s="683" t="s">
        <v>4085</v>
      </c>
      <c r="N493" s="683" t="s">
        <v>1975</v>
      </c>
      <c r="O493" s="504" t="s">
        <v>4128</v>
      </c>
      <c r="P493" s="4">
        <f>OBRA!R491</f>
        <v>1010980.5</v>
      </c>
      <c r="Q493" s="1023">
        <f t="shared" si="28"/>
        <v>871534.91379310354</v>
      </c>
      <c r="R493" s="1023"/>
      <c r="S493" s="6">
        <f>OBRA!S491</f>
        <v>43951</v>
      </c>
      <c r="T493" s="1134">
        <f>OBRA!V491</f>
        <v>43950</v>
      </c>
      <c r="U493" s="5">
        <f>OBRA!T491</f>
        <v>43962</v>
      </c>
      <c r="V493" s="11">
        <f>OBRA!U491</f>
        <v>44054</v>
      </c>
      <c r="W493" s="1021">
        <v>252745.25</v>
      </c>
      <c r="X493" s="1154">
        <f>OBRA!AS491+OBRA!AT491</f>
        <v>966143.58</v>
      </c>
      <c r="Y493" s="1018" t="s">
        <v>4131</v>
      </c>
      <c r="Z493" s="146" t="str">
        <f>OBRA!W491</f>
        <v>SERVICIO Y CONSTRUCCIÓN NATENIO S.A. DE C.V.</v>
      </c>
      <c r="AA493" s="146" t="s">
        <v>5666</v>
      </c>
      <c r="AB493" s="399" t="s">
        <v>3948</v>
      </c>
      <c r="AC493" s="388" t="s">
        <v>3949</v>
      </c>
      <c r="AD493" s="388" t="s">
        <v>3950</v>
      </c>
      <c r="AE493" s="183" t="str">
        <f>OBRA!X491</f>
        <v>ARQ. JAIME CONDE GOMEZ</v>
      </c>
      <c r="AF493" s="19">
        <v>1261.4000000000001</v>
      </c>
      <c r="AG493" s="2" t="s">
        <v>1548</v>
      </c>
      <c r="AH493" s="615">
        <f t="shared" si="29"/>
        <v>765.92958617409215</v>
      </c>
      <c r="AI493" s="2">
        <v>500</v>
      </c>
      <c r="AJ493" s="513">
        <v>500</v>
      </c>
      <c r="AK493" s="513"/>
      <c r="AL493" s="1522">
        <v>20.280659</v>
      </c>
      <c r="AM493" s="1523">
        <v>103.44593</v>
      </c>
      <c r="AN493" s="571" t="s">
        <v>4132</v>
      </c>
      <c r="AO493" s="573"/>
      <c r="AP493" s="571" t="s">
        <v>4132</v>
      </c>
      <c r="AQ493" s="501" t="s">
        <v>4132</v>
      </c>
      <c r="AR493" s="501"/>
      <c r="AS493" s="1504"/>
    </row>
    <row r="494" spans="1:45" ht="73.5" hidden="1" customHeight="1">
      <c r="A494" s="16">
        <f>OBRA!J492</f>
        <v>2020</v>
      </c>
      <c r="B494" s="783" t="s">
        <v>2094</v>
      </c>
      <c r="C494" s="783">
        <v>206.05</v>
      </c>
      <c r="D494" s="783"/>
      <c r="E494" s="2" t="str">
        <f>OBRA!M492</f>
        <v>RAMO 33</v>
      </c>
      <c r="F494" s="156" t="s">
        <v>1428</v>
      </c>
      <c r="G494" s="156" t="s">
        <v>2206</v>
      </c>
      <c r="H494" s="412" t="str">
        <f>OBRA!N492</f>
        <v>GMJ 005C- OP/2020</v>
      </c>
      <c r="I494" s="2" t="str">
        <f>OBRA!O492</f>
        <v>ADJUDICACIÓN DIRECTA</v>
      </c>
      <c r="J494" s="3" t="str">
        <f>OBRA!P492</f>
        <v>"CONSTRUCCIÓN DE LÍNEA DE DRENAJE SANITARIO EN CALLE LIBERTAD DE RICO A CRISTOBAL COLON" EN LA LOCALIDAD DE NEXTIPAC, MUNICIPIO DE JOCOTEPEC, JALISCO.</v>
      </c>
      <c r="K494" s="541"/>
      <c r="L494" s="3" t="s">
        <v>4747</v>
      </c>
      <c r="M494" s="683" t="s">
        <v>4084</v>
      </c>
      <c r="N494" s="683" t="s">
        <v>2577</v>
      </c>
      <c r="O494" s="504" t="s">
        <v>4128</v>
      </c>
      <c r="P494" s="4">
        <f>OBRA!R492</f>
        <v>125624.96000000001</v>
      </c>
      <c r="Q494" s="1023">
        <f t="shared" si="28"/>
        <v>108297.37931034484</v>
      </c>
      <c r="R494" s="1023"/>
      <c r="S494" s="6">
        <f>OBRA!S492</f>
        <v>43948</v>
      </c>
      <c r="T494" s="1134">
        <f>OBRA!V492</f>
        <v>43945</v>
      </c>
      <c r="U494" s="5">
        <f>OBRA!T492</f>
        <v>43949</v>
      </c>
      <c r="V494" s="11">
        <f>OBRA!U492</f>
        <v>43980</v>
      </c>
      <c r="W494" s="1195">
        <v>0</v>
      </c>
      <c r="X494" s="1154">
        <f>OBRA!AS492+OBRA!AT492</f>
        <v>133293.67000000001</v>
      </c>
      <c r="Y494" s="1018" t="s">
        <v>4133</v>
      </c>
      <c r="Z494" s="146" t="str">
        <f>OBRA!W492</f>
        <v>GRUPO CONSTRUCTOR EDVI SA DE CV</v>
      </c>
      <c r="AA494" s="146" t="s">
        <v>5666</v>
      </c>
      <c r="AB494" s="399" t="s">
        <v>3948</v>
      </c>
      <c r="AC494" s="1090" t="s">
        <v>3949</v>
      </c>
      <c r="AD494" s="388" t="s">
        <v>3950</v>
      </c>
      <c r="AE494" s="183" t="str">
        <f>OBRA!X492</f>
        <v>ARQ. CESAR ANTONIO ALONSO JIMENEZ</v>
      </c>
      <c r="AF494" s="19">
        <v>74.2</v>
      </c>
      <c r="AG494" s="2" t="s">
        <v>1451</v>
      </c>
      <c r="AH494" s="615">
        <f t="shared" ref="AH494:AH527" si="31">X494/AF494</f>
        <v>1796.4106469002697</v>
      </c>
      <c r="AI494" s="2">
        <v>150</v>
      </c>
      <c r="AJ494" s="513">
        <v>500</v>
      </c>
      <c r="AK494" s="513"/>
      <c r="AL494" s="1522">
        <v>20.289967999999998</v>
      </c>
      <c r="AM494" s="1523">
        <v>103.417689</v>
      </c>
      <c r="AN494" s="571" t="s">
        <v>4134</v>
      </c>
      <c r="AO494" s="571" t="s">
        <v>4134</v>
      </c>
      <c r="AP494" s="571" t="s">
        <v>4134</v>
      </c>
      <c r="AQ494" s="501" t="s">
        <v>4134</v>
      </c>
      <c r="AR494" s="501"/>
      <c r="AS494" s="1505" t="s">
        <v>4134</v>
      </c>
    </row>
    <row r="495" spans="1:45" ht="90.75" hidden="1" customHeight="1">
      <c r="A495" s="16">
        <f>OBRA!J493</f>
        <v>2020</v>
      </c>
      <c r="B495" s="783" t="s">
        <v>2094</v>
      </c>
      <c r="C495" s="783">
        <v>206.06</v>
      </c>
      <c r="D495" s="783"/>
      <c r="E495" s="2" t="str">
        <f>OBRA!M493</f>
        <v>RAMO 33</v>
      </c>
      <c r="F495" s="156" t="s">
        <v>1428</v>
      </c>
      <c r="G495" s="156" t="s">
        <v>2206</v>
      </c>
      <c r="H495" s="412" t="str">
        <f>OBRA!N493</f>
        <v>GMJ 006C- OP/2020</v>
      </c>
      <c r="I495" s="2" t="str">
        <f>OBRA!O493</f>
        <v>ADJUDICACIÓN DIRECTA</v>
      </c>
      <c r="J495" s="3" t="str">
        <f>OBRA!P493</f>
        <v>REHABILITACIÓN DE REDES HIDROSANITARIAS Y SUPERFICIE DE RODAMIENTO EN LA CALLE NICÓLAS BRAVO ENTRE CALLE ALDAMA Y CALLE LOS ANGELES" DE LA CABECERA MUNICIPAL, DE JOCOTEPEC, JALISCO.</v>
      </c>
      <c r="K495" s="541"/>
      <c r="L495" s="3" t="s">
        <v>6248</v>
      </c>
      <c r="M495" s="683" t="s">
        <v>4086</v>
      </c>
      <c r="N495" s="683" t="s">
        <v>1975</v>
      </c>
      <c r="O495" s="529" t="s">
        <v>4128</v>
      </c>
      <c r="P495" s="4">
        <f>OBRA!R493</f>
        <v>965741.4</v>
      </c>
      <c r="Q495" s="1023">
        <f t="shared" si="28"/>
        <v>832535.68965517252</v>
      </c>
      <c r="R495" s="1023"/>
      <c r="S495" s="6">
        <f>OBRA!S493</f>
        <v>43977</v>
      </c>
      <c r="T495" s="1134">
        <f>OBRA!V493</f>
        <v>43976</v>
      </c>
      <c r="U495" s="5">
        <f>OBRA!T493</f>
        <v>43984</v>
      </c>
      <c r="V495" s="11">
        <f>OBRA!U493</f>
        <v>44040</v>
      </c>
      <c r="W495" s="1021">
        <v>241435.35</v>
      </c>
      <c r="X495" s="1154">
        <f>OBRA!AS493+OBRA!AT493</f>
        <v>961549.42</v>
      </c>
      <c r="Y495" s="1107" t="s">
        <v>2820</v>
      </c>
      <c r="Z495" s="146" t="str">
        <f>OBRA!W493</f>
        <v>SONAYBER INGENIERIA Y CONSTRUCCIONES S.A. DE C.V.</v>
      </c>
      <c r="AA495" s="146" t="s">
        <v>5666</v>
      </c>
      <c r="AB495" s="148" t="s">
        <v>2821</v>
      </c>
      <c r="AC495" s="146" t="s">
        <v>2822</v>
      </c>
      <c r="AD495" s="2" t="s">
        <v>2823</v>
      </c>
      <c r="AE495" s="183" t="str">
        <f>OBRA!X493</f>
        <v>ING. J. GUADALUPE IBARRA RAMIREZ</v>
      </c>
      <c r="AF495" s="19">
        <v>878.94</v>
      </c>
      <c r="AG495" s="2" t="s">
        <v>1548</v>
      </c>
      <c r="AH495" s="615">
        <f t="shared" si="31"/>
        <v>1093.9875531890686</v>
      </c>
      <c r="AI495" s="2">
        <v>250</v>
      </c>
      <c r="AJ495" s="513">
        <v>1000</v>
      </c>
      <c r="AK495" s="513"/>
      <c r="AL495" s="1522">
        <v>20.289107000000001</v>
      </c>
      <c r="AM495" s="1523">
        <v>103.425094</v>
      </c>
      <c r="AN495" s="1223" t="s">
        <v>3524</v>
      </c>
      <c r="AO495" s="1240" t="s">
        <v>3524</v>
      </c>
      <c r="AP495" s="1240" t="s">
        <v>3524</v>
      </c>
      <c r="AQ495" s="1224" t="s">
        <v>3524</v>
      </c>
      <c r="AR495" s="1224"/>
      <c r="AS495" s="1239" t="s">
        <v>3524</v>
      </c>
    </row>
    <row r="496" spans="1:45" ht="92.25" hidden="1" customHeight="1">
      <c r="A496" s="16">
        <f>OBRA!J494</f>
        <v>2020</v>
      </c>
      <c r="B496" s="783" t="s">
        <v>2094</v>
      </c>
      <c r="C496" s="783">
        <v>206.07</v>
      </c>
      <c r="D496" s="783"/>
      <c r="E496" s="2" t="str">
        <f>OBRA!M494</f>
        <v>RAMO 33</v>
      </c>
      <c r="F496" s="156" t="s">
        <v>1428</v>
      </c>
      <c r="G496" s="156" t="s">
        <v>2206</v>
      </c>
      <c r="H496" s="412" t="str">
        <f>OBRA!N494</f>
        <v>GMJ 007C- OP/2020</v>
      </c>
      <c r="I496" s="2" t="str">
        <f>OBRA!O494</f>
        <v>ADJUDICACIÓN DIRECTA</v>
      </c>
      <c r="J496" s="3" t="str">
        <f>OBRA!P494</f>
        <v>"REHABILITACIÓN DE REDES HIDROSANITARIAS Y FABRICACIÓN DE SUPERFICIE DE RODAMIENTO EN PRIV. NICOLAS BRAVO ENTRE NICÓLAS BRAVO A CERRADA" DE LA CABECERA MUNICIPAL, DE JOCOTEPEC, JALISCO.</v>
      </c>
      <c r="K496" s="541"/>
      <c r="L496" s="173" t="s">
        <v>6248</v>
      </c>
      <c r="M496" s="451" t="s">
        <v>4000</v>
      </c>
      <c r="N496" s="451" t="s">
        <v>1975</v>
      </c>
      <c r="O496" s="529" t="s">
        <v>4128</v>
      </c>
      <c r="P496" s="4">
        <f>OBRA!R494</f>
        <v>334158.86</v>
      </c>
      <c r="Q496" s="1023">
        <f t="shared" si="28"/>
        <v>288067.9827586207</v>
      </c>
      <c r="R496" s="1023"/>
      <c r="S496" s="6">
        <f>OBRA!S494</f>
        <v>43977</v>
      </c>
      <c r="T496" s="1134">
        <f>OBRA!V494</f>
        <v>43976</v>
      </c>
      <c r="U496" s="5">
        <f>OBRA!T494</f>
        <v>43984</v>
      </c>
      <c r="V496" s="11">
        <f>OBRA!U494</f>
        <v>44040</v>
      </c>
      <c r="W496" s="1021">
        <v>83539.72</v>
      </c>
      <c r="X496" s="1154">
        <f>OBRA!AS494+OBRA!AT494</f>
        <v>340712.1</v>
      </c>
      <c r="Y496" s="1089" t="s">
        <v>2832</v>
      </c>
      <c r="Z496" s="146" t="str">
        <f>OBRA!W494</f>
        <v>SONAYBER INGENIERIA Y CONSTRUCCIONES S.A. DE C.V.</v>
      </c>
      <c r="AA496" s="146" t="s">
        <v>5666</v>
      </c>
      <c r="AB496" s="148" t="s">
        <v>2821</v>
      </c>
      <c r="AC496" s="146" t="s">
        <v>2822</v>
      </c>
      <c r="AD496" s="148" t="s">
        <v>2823</v>
      </c>
      <c r="AE496" s="183" t="str">
        <f>OBRA!X494</f>
        <v>ING. J. GUADALUPE IBARRA RAMIREZ</v>
      </c>
      <c r="AF496" s="19">
        <v>227.5</v>
      </c>
      <c r="AG496" s="2" t="s">
        <v>1548</v>
      </c>
      <c r="AH496" s="615">
        <f t="shared" si="31"/>
        <v>1497.6356043956043</v>
      </c>
      <c r="AI496" s="2">
        <v>100</v>
      </c>
      <c r="AJ496" s="513">
        <v>100</v>
      </c>
      <c r="AK496" s="513"/>
      <c r="AL496" s="1522">
        <v>20.289232999999999</v>
      </c>
      <c r="AM496" s="1523">
        <v>103.42476000000001</v>
      </c>
      <c r="AN496" s="1240" t="s">
        <v>3525</v>
      </c>
      <c r="AO496" s="1240" t="s">
        <v>3525</v>
      </c>
      <c r="AP496" s="1240" t="s">
        <v>3525</v>
      </c>
      <c r="AQ496" s="1224" t="s">
        <v>3525</v>
      </c>
      <c r="AR496" s="1224"/>
      <c r="AS496" s="1239" t="s">
        <v>3525</v>
      </c>
    </row>
    <row r="497" spans="1:46" ht="109.5" hidden="1" customHeight="1">
      <c r="A497" s="16">
        <f>OBRA!J495</f>
        <v>2020</v>
      </c>
      <c r="B497" s="783" t="s">
        <v>2094</v>
      </c>
      <c r="C497" s="783">
        <v>206.08</v>
      </c>
      <c r="D497" s="783"/>
      <c r="E497" s="2" t="str">
        <f>OBRA!M495</f>
        <v>RAMO 33</v>
      </c>
      <c r="F497" s="156" t="s">
        <v>1428</v>
      </c>
      <c r="G497" s="156" t="s">
        <v>2206</v>
      </c>
      <c r="H497" s="412" t="str">
        <f>OBRA!N495</f>
        <v>GMJ 008C- OP/2020</v>
      </c>
      <c r="I497" s="2" t="str">
        <f>OBRA!O495</f>
        <v>ADJUDICACIÓN DIRECTA</v>
      </c>
      <c r="J497" s="3" t="str">
        <f>OBRA!P495</f>
        <v>"CONSTRUCCÓN DE EMPEDRADO AHOGADO EN CEMENTO EN CALLE HUASOYO ENTRE CALLE PROLONGACIÓN MORELOS Y CALLE RIVERA DEL LAGO" EN LA DELEGACIÓN DE CHANTEPEC, DEL MUNICIPIO DE JOCOTEPEC, JALISCO.</v>
      </c>
      <c r="K497" s="541"/>
      <c r="L497" s="173" t="s">
        <v>4752</v>
      </c>
      <c r="M497" s="451" t="s">
        <v>4001</v>
      </c>
      <c r="N497" s="173" t="s">
        <v>2538</v>
      </c>
      <c r="O497" s="504" t="s">
        <v>4128</v>
      </c>
      <c r="P497" s="4">
        <f>OBRA!R495</f>
        <v>755011.1</v>
      </c>
      <c r="Q497" s="1023">
        <f t="shared" si="28"/>
        <v>650871.63793103455</v>
      </c>
      <c r="R497" s="1023"/>
      <c r="S497" s="6">
        <f>OBRA!S495</f>
        <v>43977</v>
      </c>
      <c r="T497" s="1134">
        <f>OBRA!V495</f>
        <v>43976</v>
      </c>
      <c r="U497" s="5">
        <f>OBRA!T495</f>
        <v>43984</v>
      </c>
      <c r="V497" s="11">
        <f>OBRA!U495</f>
        <v>44037</v>
      </c>
      <c r="W497" s="1021">
        <v>188752.77</v>
      </c>
      <c r="X497" s="1154">
        <f>OBRA!AS495+OBRA!AT495</f>
        <v>665921</v>
      </c>
      <c r="Y497" s="1018" t="s">
        <v>2881</v>
      </c>
      <c r="Z497" s="146" t="str">
        <f>OBRA!W495</f>
        <v>CONSTRUCCIÓN Y SUPERVISIÓN COMA S.A. DE C.V.</v>
      </c>
      <c r="AA497" s="146" t="s">
        <v>5666</v>
      </c>
      <c r="AB497" s="148" t="s">
        <v>2901</v>
      </c>
      <c r="AC497" s="146" t="s">
        <v>2890</v>
      </c>
      <c r="AD497" s="148" t="s">
        <v>2891</v>
      </c>
      <c r="AE497" s="183" t="str">
        <f>OBRA!X495</f>
        <v>LIC. SALVADOR CONTRERAS OLGUÍN</v>
      </c>
      <c r="AF497" s="19">
        <v>851.72</v>
      </c>
      <c r="AG497" s="2" t="s">
        <v>1548</v>
      </c>
      <c r="AH497" s="615">
        <f t="shared" si="31"/>
        <v>781.85436528436571</v>
      </c>
      <c r="AI497" s="2">
        <v>120</v>
      </c>
      <c r="AJ497" s="513">
        <v>120</v>
      </c>
      <c r="AK497" s="513"/>
      <c r="AL497" s="1522">
        <v>20.288114</v>
      </c>
      <c r="AM497" s="1523">
        <v>103.397525</v>
      </c>
      <c r="AN497" s="1223" t="s">
        <v>3656</v>
      </c>
      <c r="AO497" s="1223" t="s">
        <v>3656</v>
      </c>
      <c r="AP497" s="1223" t="s">
        <v>3656</v>
      </c>
      <c r="AQ497" s="1224" t="s">
        <v>3656</v>
      </c>
      <c r="AR497" s="1224"/>
      <c r="AS497" s="1239" t="s">
        <v>3656</v>
      </c>
    </row>
    <row r="498" spans="1:46" ht="87" hidden="1" customHeight="1">
      <c r="A498" s="16">
        <f>OBRA!J496</f>
        <v>2020</v>
      </c>
      <c r="B498" s="783" t="s">
        <v>2094</v>
      </c>
      <c r="C498" s="783">
        <v>206.09</v>
      </c>
      <c r="D498" s="783"/>
      <c r="E498" s="2" t="str">
        <f>OBRA!M496</f>
        <v>RAMO 33</v>
      </c>
      <c r="F498" s="18" t="s">
        <v>1428</v>
      </c>
      <c r="G498" s="156" t="s">
        <v>2206</v>
      </c>
      <c r="H498" s="412" t="str">
        <f>OBRA!N496</f>
        <v>GMJ 009C- OP/2020</v>
      </c>
      <c r="I498" s="2" t="str">
        <f>OBRA!O496</f>
        <v>ADJUDICACIÓN DIRECTA</v>
      </c>
      <c r="J498" s="3" t="str">
        <f>OBRA!P496</f>
        <v>"CONSTRUCCIÓN DE EMPEDRADO NORMAL EN AVENIDA DE LOS MAESTROS DE CALLE ALLENDE A CALLE GUADALUPE VICTORIA" DE LA CABECERA MUNICIPAL, DE JOCOTEPEC, JALISCO</v>
      </c>
      <c r="K498" s="541"/>
      <c r="L498" s="173" t="s">
        <v>4752</v>
      </c>
      <c r="M498" s="451" t="s">
        <v>1618</v>
      </c>
      <c r="N498" s="451" t="s">
        <v>1975</v>
      </c>
      <c r="O498" s="529" t="s">
        <v>4128</v>
      </c>
      <c r="P498" s="4">
        <f>OBRA!R496</f>
        <v>317000</v>
      </c>
      <c r="Q498" s="1023">
        <f t="shared" si="28"/>
        <v>273275.86206896551</v>
      </c>
      <c r="R498" s="1023"/>
      <c r="S498" s="67">
        <f>OBRA!S496</f>
        <v>44005</v>
      </c>
      <c r="T498" s="1134">
        <f>OBRA!V496</f>
        <v>44004</v>
      </c>
      <c r="U498" s="5">
        <f>OBRA!T496</f>
        <v>44032</v>
      </c>
      <c r="V498" s="11">
        <f>OBRA!U496</f>
        <v>44063</v>
      </c>
      <c r="W498" s="1158">
        <v>79250</v>
      </c>
      <c r="X498" s="1154">
        <f>OBRA!AS496+OBRA!AT496</f>
        <v>316487.46000000002</v>
      </c>
      <c r="Y498" s="1018" t="s">
        <v>2968</v>
      </c>
      <c r="Z498" s="146" t="str">
        <f>OBRA!W496</f>
        <v>GRUPO ARANGE, S.A. DE C.V.</v>
      </c>
      <c r="AA498" s="146" t="s">
        <v>5666</v>
      </c>
      <c r="AB498" s="148" t="s">
        <v>2902</v>
      </c>
      <c r="AC498" s="146" t="s">
        <v>2883</v>
      </c>
      <c r="AD498" s="148" t="s">
        <v>2885</v>
      </c>
      <c r="AE498" s="183" t="str">
        <f>OBRA!X496</f>
        <v>ING. LUIS RIGOBERTO OLMEDO NAVARRO</v>
      </c>
      <c r="AF498" s="19">
        <v>488.63</v>
      </c>
      <c r="AG498" s="2" t="s">
        <v>1548</v>
      </c>
      <c r="AH498" s="615">
        <f t="shared" si="31"/>
        <v>647.70370218774951</v>
      </c>
      <c r="AI498" s="2">
        <v>50</v>
      </c>
      <c r="AJ498" s="513">
        <v>1000</v>
      </c>
      <c r="AK498" s="513"/>
      <c r="AL498" s="1522">
        <v>20.290447</v>
      </c>
      <c r="AM498" s="1523">
        <v>103.428602</v>
      </c>
      <c r="AN498" s="1240" t="s">
        <v>3518</v>
      </c>
      <c r="AO498" s="1240" t="s">
        <v>3518</v>
      </c>
      <c r="AP498" s="1240" t="s">
        <v>3518</v>
      </c>
      <c r="AQ498" s="1238" t="s">
        <v>3518</v>
      </c>
      <c r="AR498" s="1238"/>
      <c r="AS498" s="1239" t="s">
        <v>3518</v>
      </c>
    </row>
    <row r="499" spans="1:46" ht="87" hidden="1" customHeight="1">
      <c r="A499" s="16">
        <f>OBRA!J497</f>
        <v>2020</v>
      </c>
      <c r="B499" s="783" t="s">
        <v>2094</v>
      </c>
      <c r="C499" s="783">
        <v>206.1</v>
      </c>
      <c r="D499" s="783"/>
      <c r="E499" s="2" t="s">
        <v>77</v>
      </c>
      <c r="F499" s="18" t="s">
        <v>1428</v>
      </c>
      <c r="G499" s="156" t="s">
        <v>2206</v>
      </c>
      <c r="H499" s="412" t="str">
        <f>OBRA!N497</f>
        <v>GMJ 010C- OP/2020</v>
      </c>
      <c r="I499" s="2" t="str">
        <f>OBRA!O497</f>
        <v>ADJUDICACIÓN DIRECTA</v>
      </c>
      <c r="J499" s="3" t="str">
        <f>OBRA!P497</f>
        <v>"CONSTRUCCIÓN DE EMPEDRADO NORMAL CON HUELLAS DE ADOQUÍN EN CALLE CUAUHTÉMOC 4TA. ETAPA" EN LA DELEGACIÓN DE CHANTEPEC, MUNICIPIO DE JOCOTEPEC, JALISCO.</v>
      </c>
      <c r="K499" s="541"/>
      <c r="L499" s="3" t="s">
        <v>4752</v>
      </c>
      <c r="M499" s="683" t="s">
        <v>4002</v>
      </c>
      <c r="N499" s="3" t="s">
        <v>2538</v>
      </c>
      <c r="O499" s="504" t="s">
        <v>4128</v>
      </c>
      <c r="P499" s="4">
        <f>OBRA!R497</f>
        <v>239360.13</v>
      </c>
      <c r="Q499" s="1023">
        <f t="shared" si="28"/>
        <v>206344.93965517243</v>
      </c>
      <c r="R499" s="1023"/>
      <c r="S499" s="6">
        <f>OBRA!S497</f>
        <v>43974</v>
      </c>
      <c r="T499" s="1134">
        <f>OBRA!V497</f>
        <v>43973</v>
      </c>
      <c r="U499" s="5">
        <f>OBRA!T497</f>
        <v>43976</v>
      </c>
      <c r="V499" s="11">
        <f>OBRA!U497</f>
        <v>43983</v>
      </c>
      <c r="W499" s="1195">
        <v>0</v>
      </c>
      <c r="X499" s="1154">
        <f>OBRA!AS497+OBRA!AT497</f>
        <v>233601.31</v>
      </c>
      <c r="Y499" s="1018" t="s">
        <v>2833</v>
      </c>
      <c r="Z499" s="146" t="str">
        <f>OBRA!W497</f>
        <v>ING. OCTAVIO AUGUSTO GONZALEZ TREJO</v>
      </c>
      <c r="AA499" s="146" t="s">
        <v>5665</v>
      </c>
      <c r="AB499" s="148" t="str">
        <f>Z499</f>
        <v>ING. OCTAVIO AUGUSTO GONZALEZ TREJO</v>
      </c>
      <c r="AC499" s="148" t="s">
        <v>2959</v>
      </c>
      <c r="AD499" s="146" t="s">
        <v>2959</v>
      </c>
      <c r="AE499" s="183" t="str">
        <f>OBRA!X497</f>
        <v>LIC. SALVADOR CONTRERAS OLGUÍN</v>
      </c>
      <c r="AF499" s="19">
        <v>322.39999999999998</v>
      </c>
      <c r="AG499" s="2" t="s">
        <v>1548</v>
      </c>
      <c r="AH499" s="615">
        <f t="shared" si="31"/>
        <v>724.56982009925559</v>
      </c>
      <c r="AI499" s="2">
        <v>100</v>
      </c>
      <c r="AJ499" s="513">
        <v>2000</v>
      </c>
      <c r="AK499" s="513"/>
      <c r="AL499" s="1522">
        <v>20.291830000000001</v>
      </c>
      <c r="AM499" s="1523">
        <v>103.386571</v>
      </c>
      <c r="AN499" s="1223" t="s">
        <v>3512</v>
      </c>
      <c r="AO499" s="1223" t="s">
        <v>3512</v>
      </c>
      <c r="AP499" s="1277" t="s">
        <v>3587</v>
      </c>
      <c r="AQ499" s="1224" t="s">
        <v>3512</v>
      </c>
      <c r="AR499" s="1224"/>
      <c r="AS499" s="1239" t="s">
        <v>3587</v>
      </c>
    </row>
    <row r="500" spans="1:46" ht="94.5" hidden="1" customHeight="1">
      <c r="A500" s="16">
        <f>OBRA!J498</f>
        <v>2020</v>
      </c>
      <c r="B500" s="783" t="s">
        <v>2094</v>
      </c>
      <c r="C500" s="783">
        <v>206.11</v>
      </c>
      <c r="D500" s="783"/>
      <c r="E500" s="2" t="str">
        <f>OBRA!M498</f>
        <v>CUENTA CORRIENTE</v>
      </c>
      <c r="F500" s="18" t="s">
        <v>1428</v>
      </c>
      <c r="G500" s="156" t="s">
        <v>2206</v>
      </c>
      <c r="H500" s="412" t="str">
        <f>OBRA!N498</f>
        <v>GMJ 011C- OP/2020</v>
      </c>
      <c r="I500" s="2" t="str">
        <f>OBRA!O498</f>
        <v>ADJUDICACIÓN DIRECTA</v>
      </c>
      <c r="J500" s="3" t="str">
        <f>OBRA!P498</f>
        <v>"CONSTRUCCIÓN DE EMPEDRADO NORMAL CON HUELLAS DE ADOQUÍN EN CALLE CUAUHTÉMOC 5TA. ETAPA" EN LA DELEGACIÓN DE CHANTEPEC, MUNICIPIO DE JOCOTEPEC, JALISCO.</v>
      </c>
      <c r="K500" s="541"/>
      <c r="L500" s="3" t="s">
        <v>4752</v>
      </c>
      <c r="M500" s="683" t="s">
        <v>4002</v>
      </c>
      <c r="N500" s="3" t="s">
        <v>2538</v>
      </c>
      <c r="O500" s="504" t="s">
        <v>4149</v>
      </c>
      <c r="P500" s="4">
        <f>OBRA!R498</f>
        <v>410553.76</v>
      </c>
      <c r="Q500" s="1023">
        <f t="shared" si="28"/>
        <v>353925.6551724138</v>
      </c>
      <c r="R500" s="1023"/>
      <c r="S500" s="6">
        <f>OBRA!S498</f>
        <v>43978</v>
      </c>
      <c r="T500" s="1134">
        <f>OBRA!V498</f>
        <v>43977</v>
      </c>
      <c r="U500" s="5">
        <f>OBRA!T498</f>
        <v>43952</v>
      </c>
      <c r="V500" s="11">
        <f>OBRA!U498</f>
        <v>43987</v>
      </c>
      <c r="W500" s="1195">
        <v>0</v>
      </c>
      <c r="X500" s="1154">
        <f>OBRA!AS498+OBRA!AT498</f>
        <v>401181.07</v>
      </c>
      <c r="Y500" s="1018" t="s">
        <v>2834</v>
      </c>
      <c r="Z500" s="146" t="str">
        <f>OBRA!W498</f>
        <v>ING. OCTAVIO AUGUSTO GONZALEZ TREJO</v>
      </c>
      <c r="AA500" s="146" t="s">
        <v>5665</v>
      </c>
      <c r="AB500" s="148" t="str">
        <f>Z500</f>
        <v>ING. OCTAVIO AUGUSTO GONZALEZ TREJO</v>
      </c>
      <c r="AC500" s="2" t="s">
        <v>2959</v>
      </c>
      <c r="AD500" s="146" t="s">
        <v>2959</v>
      </c>
      <c r="AE500" s="183" t="str">
        <f>OBRA!X498</f>
        <v>LIC. SALVADOR CONTRERAS OLGUÍN</v>
      </c>
      <c r="AF500" s="19">
        <v>558</v>
      </c>
      <c r="AG500" s="2" t="s">
        <v>1548</v>
      </c>
      <c r="AH500" s="615">
        <f t="shared" si="31"/>
        <v>718.96249103942648</v>
      </c>
      <c r="AI500" s="2">
        <v>100</v>
      </c>
      <c r="AJ500" s="513">
        <v>2000</v>
      </c>
      <c r="AK500" s="513"/>
      <c r="AL500" s="1522">
        <v>20.291982000000001</v>
      </c>
      <c r="AM500" s="1523">
        <v>103.385777</v>
      </c>
      <c r="AN500" s="1223" t="s">
        <v>3513</v>
      </c>
      <c r="AO500" s="1223" t="s">
        <v>3513</v>
      </c>
      <c r="AP500" s="1286" t="s">
        <v>3513</v>
      </c>
      <c r="AQ500" s="1224" t="s">
        <v>3513</v>
      </c>
      <c r="AR500" s="1224"/>
      <c r="AS500" s="1239" t="s">
        <v>3513</v>
      </c>
    </row>
    <row r="501" spans="1:46" ht="90" hidden="1" customHeight="1">
      <c r="A501" s="16">
        <f>OBRA!J499</f>
        <v>2020</v>
      </c>
      <c r="B501" s="783" t="s">
        <v>2094</v>
      </c>
      <c r="C501" s="783">
        <v>206.12</v>
      </c>
      <c r="D501" s="783"/>
      <c r="E501" s="2" t="str">
        <f>OBRA!M499</f>
        <v>RAMO 33</v>
      </c>
      <c r="F501" s="18" t="s">
        <v>1428</v>
      </c>
      <c r="G501" s="156" t="s">
        <v>2206</v>
      </c>
      <c r="H501" s="412" t="str">
        <f>OBRA!N499</f>
        <v>GMJ 012C- OP/2020</v>
      </c>
      <c r="I501" s="2" t="str">
        <f>OBRA!O499</f>
        <v>ADJUDICACIÓN DIRECTA</v>
      </c>
      <c r="J501" s="3" t="str">
        <f>OBRA!P499</f>
        <v>"CONSTRUCCIÓN DE REDES HIDROSANITARIAS Y SUPERFICIE DE RODAMIENTO EN LA CALLE LOS ANGELES ENTRE PRIVADA ALDAMA Y CERRADA" DE LA CABECERA MUNICIPAL, DE JOCOTEPEC, JALISCO.</v>
      </c>
      <c r="K501" s="541"/>
      <c r="L501" s="173" t="s">
        <v>6248</v>
      </c>
      <c r="M501" s="451" t="s">
        <v>4003</v>
      </c>
      <c r="N501" s="451" t="s">
        <v>1975</v>
      </c>
      <c r="O501" s="504" t="s">
        <v>4149</v>
      </c>
      <c r="P501" s="4">
        <f>OBRA!R499</f>
        <v>1306545.6299999999</v>
      </c>
      <c r="Q501" s="1023">
        <f t="shared" si="28"/>
        <v>1126332.4396551724</v>
      </c>
      <c r="R501" s="1023"/>
      <c r="S501" s="6">
        <f>OBRA!S499</f>
        <v>43987</v>
      </c>
      <c r="T501" s="1134">
        <f>OBRA!V499</f>
        <v>43986</v>
      </c>
      <c r="U501" s="5">
        <f>OBRA!T499</f>
        <v>43990</v>
      </c>
      <c r="V501" s="11">
        <f>OBRA!U499</f>
        <v>44057</v>
      </c>
      <c r="W501" s="1021">
        <v>326636.40999999997</v>
      </c>
      <c r="X501" s="1154">
        <f>OBRA!AS499+OBRA!AT499</f>
        <v>1281375.1299999999</v>
      </c>
      <c r="Y501" s="1107" t="s">
        <v>2886</v>
      </c>
      <c r="Z501" s="146" t="str">
        <f>OBRA!W499</f>
        <v xml:space="preserve">INFRAESTRUCTURA Y EDIFICACIONES OROZCO S.A. DE C.V. </v>
      </c>
      <c r="AA501" s="146" t="s">
        <v>5666</v>
      </c>
      <c r="AB501" s="148" t="s">
        <v>2900</v>
      </c>
      <c r="AC501" s="2" t="s">
        <v>2887</v>
      </c>
      <c r="AD501" s="146" t="s">
        <v>2888</v>
      </c>
      <c r="AE501" s="183" t="str">
        <f>OBRA!X499</f>
        <v>ING. J. GUADALUPE IBARRA RAMIREZ</v>
      </c>
      <c r="AF501" s="19">
        <v>1240</v>
      </c>
      <c r="AG501" s="2" t="s">
        <v>1548</v>
      </c>
      <c r="AH501" s="615">
        <f t="shared" si="31"/>
        <v>1033.3670403225806</v>
      </c>
      <c r="AI501" s="2">
        <v>130</v>
      </c>
      <c r="AJ501" s="513">
        <v>1000</v>
      </c>
      <c r="AK501" s="513"/>
      <c r="AL501" s="1522">
        <v>20.289629999999999</v>
      </c>
      <c r="AM501" s="1523">
        <v>103.425144</v>
      </c>
      <c r="AN501" s="1223" t="s">
        <v>3526</v>
      </c>
      <c r="AO501" s="1240" t="s">
        <v>3526</v>
      </c>
      <c r="AP501" s="1240" t="s">
        <v>3526</v>
      </c>
      <c r="AQ501" s="1224" t="s">
        <v>3526</v>
      </c>
      <c r="AR501" s="1224"/>
      <c r="AS501" s="1426" t="s">
        <v>3526</v>
      </c>
    </row>
    <row r="502" spans="1:46" ht="106.5" hidden="1" customHeight="1">
      <c r="A502" s="16">
        <f>OBRA!J500</f>
        <v>2020</v>
      </c>
      <c r="B502" s="783" t="s">
        <v>2094</v>
      </c>
      <c r="C502" s="783">
        <v>206.13</v>
      </c>
      <c r="D502" s="783"/>
      <c r="E502" s="2" t="str">
        <f>OBRA!M500</f>
        <v>RAMO 33</v>
      </c>
      <c r="F502" s="18" t="s">
        <v>1428</v>
      </c>
      <c r="G502" s="156" t="s">
        <v>2206</v>
      </c>
      <c r="H502" s="412" t="str">
        <f>OBRA!N500</f>
        <v>GMJ 013C- OP/2020</v>
      </c>
      <c r="I502" s="2" t="str">
        <f>OBRA!O500</f>
        <v>ADJUDICACIÓN DIRECTA</v>
      </c>
      <c r="J502" s="3" t="str">
        <f>OBRA!P500</f>
        <v>"CONSTRUCCIÓN DE REDES HIDROSANITARIAS Y CONSTRUCCIÒN DE EMPEDRADO NORMAL CON HUELLAS DE CONCRETO EN CALLE PRIVADA VERANO DE CALLE VERANO A CERRADA" DE LA CABECERA MUNICIPAL, DE JOCOTEPEC, JALISCO.</v>
      </c>
      <c r="K502" s="541"/>
      <c r="L502" s="3" t="s">
        <v>6248</v>
      </c>
      <c r="M502" s="683" t="s">
        <v>1493</v>
      </c>
      <c r="N502" s="683" t="s">
        <v>1975</v>
      </c>
      <c r="O502" s="504" t="s">
        <v>4149</v>
      </c>
      <c r="P502" s="4">
        <f>OBRA!R500</f>
        <v>281826.5</v>
      </c>
      <c r="Q502" s="1023">
        <f t="shared" si="28"/>
        <v>242953.87931034484</v>
      </c>
      <c r="R502" s="1023"/>
      <c r="S502" s="6">
        <f>OBRA!S500</f>
        <v>43994</v>
      </c>
      <c r="T502" s="1134">
        <f>OBRA!V500</f>
        <v>43993</v>
      </c>
      <c r="U502" s="5">
        <f>OBRA!T500</f>
        <v>43997</v>
      </c>
      <c r="V502" s="11">
        <f>OBRA!U500</f>
        <v>44011</v>
      </c>
      <c r="W502" s="1021">
        <f>P502*0.1</f>
        <v>28182.65</v>
      </c>
      <c r="X502" s="1154">
        <f>OBRA!AS500+OBRA!AT500</f>
        <v>320004.51</v>
      </c>
      <c r="Y502" s="1107" t="s">
        <v>2889</v>
      </c>
      <c r="Z502" s="146" t="str">
        <f>OBRA!W500</f>
        <v>GRUPO CONSTRUCTOR EDVI SA DE CV</v>
      </c>
      <c r="AA502" s="146" t="s">
        <v>5666</v>
      </c>
      <c r="AB502" s="148" t="s">
        <v>2802</v>
      </c>
      <c r="AC502" s="146" t="s">
        <v>2746</v>
      </c>
      <c r="AD502" s="148" t="s">
        <v>2748</v>
      </c>
      <c r="AE502" s="183" t="str">
        <f>OBRA!X500</f>
        <v>ING. LUIS RIGOBERTO OLMEDO NAVARRO</v>
      </c>
      <c r="AF502" s="19">
        <v>235.2</v>
      </c>
      <c r="AG502" s="2" t="s">
        <v>1548</v>
      </c>
      <c r="AH502" s="615">
        <f t="shared" si="31"/>
        <v>1360.5633928571431</v>
      </c>
      <c r="AI502" s="2">
        <v>60</v>
      </c>
      <c r="AJ502" s="513">
        <v>60</v>
      </c>
      <c r="AK502" s="513"/>
      <c r="AL502" s="1522">
        <v>20.291166</v>
      </c>
      <c r="AM502" s="1523">
        <v>103.43314599999999</v>
      </c>
      <c r="AN502" s="1223" t="s">
        <v>3527</v>
      </c>
      <c r="AO502" s="968"/>
      <c r="AP502" s="1240" t="s">
        <v>3527</v>
      </c>
      <c r="AQ502" s="1238" t="s">
        <v>3527</v>
      </c>
      <c r="AR502" s="1238"/>
      <c r="AS502" s="1277" t="s">
        <v>3527</v>
      </c>
    </row>
    <row r="503" spans="1:46" ht="96.75" hidden="1" customHeight="1">
      <c r="A503" s="16">
        <f>OBRA!J501</f>
        <v>2020</v>
      </c>
      <c r="B503" s="783" t="s">
        <v>2094</v>
      </c>
      <c r="C503" s="783">
        <v>206.14</v>
      </c>
      <c r="D503" s="783"/>
      <c r="E503" s="2" t="str">
        <f>OBRA!M501</f>
        <v>RAMO 33</v>
      </c>
      <c r="F503" s="18" t="s">
        <v>1428</v>
      </c>
      <c r="G503" s="156" t="s">
        <v>2206</v>
      </c>
      <c r="H503" s="412" t="str">
        <f>OBRA!N501</f>
        <v>GMJ 014C- OP/2020</v>
      </c>
      <c r="I503" s="2" t="str">
        <f>OBRA!O501</f>
        <v>ADJUDICACIÓN DIRECTA</v>
      </c>
      <c r="J503" s="3" t="str">
        <f>OBRA!P501</f>
        <v>"CONSTRUCCIÓN DE RED DE DRENAJE Y CONSTRUCCIÓN DE RED DE AGUA POTABLE EN CALLE GUADALUPE VICTORIA ENTRE AVENIDA DE LOS MAESTROS Y FILOSOFOS" DE LA CABECERA MUNICIPAL, DE JOCOTEPEC, JALISCO.</v>
      </c>
      <c r="K503" s="1407"/>
      <c r="L503" s="3" t="s">
        <v>6249</v>
      </c>
      <c r="M503" s="683" t="s">
        <v>4004</v>
      </c>
      <c r="N503" s="683" t="s">
        <v>1975</v>
      </c>
      <c r="O503" s="504" t="s">
        <v>4149</v>
      </c>
      <c r="P503" s="4">
        <f>OBRA!R501</f>
        <v>241381.67</v>
      </c>
      <c r="Q503" s="1023">
        <f t="shared" si="28"/>
        <v>208087.64655172417</v>
      </c>
      <c r="R503" s="1023"/>
      <c r="S503" s="6">
        <f>OBRA!S501</f>
        <v>43994</v>
      </c>
      <c r="T503" s="1134">
        <f>OBRA!V501</f>
        <v>43993</v>
      </c>
      <c r="U503" s="5">
        <f>OBRA!T501</f>
        <v>44000</v>
      </c>
      <c r="V503" s="11">
        <f>OBRA!U501</f>
        <v>44030</v>
      </c>
      <c r="W503" s="278">
        <v>60345.52</v>
      </c>
      <c r="X503" s="1019">
        <f>OBRA!AS501+OBRA!AT501</f>
        <v>230567.7</v>
      </c>
      <c r="Y503" s="1107" t="s">
        <v>2884</v>
      </c>
      <c r="Z503" s="146" t="str">
        <f>OBRA!W501</f>
        <v>GRUPO ARANGE, S.A. DE C.V.</v>
      </c>
      <c r="AA503" s="146" t="s">
        <v>5666</v>
      </c>
      <c r="AB503" s="148" t="s">
        <v>2902</v>
      </c>
      <c r="AC503" s="146" t="s">
        <v>2883</v>
      </c>
      <c r="AD503" s="148" t="s">
        <v>2885</v>
      </c>
      <c r="AE503" s="183" t="str">
        <f>OBRA!X501</f>
        <v>LIC. SALVADOR CONTRERAS OLGUÍN</v>
      </c>
      <c r="AF503" s="19">
        <f>73.55+68.68</f>
        <v>142.23000000000002</v>
      </c>
      <c r="AG503" s="2" t="s">
        <v>1451</v>
      </c>
      <c r="AH503" s="615">
        <f t="shared" si="31"/>
        <v>1621.090487238979</v>
      </c>
      <c r="AI503" s="2">
        <v>50</v>
      </c>
      <c r="AJ503" s="513">
        <v>300</v>
      </c>
      <c r="AK503" s="513"/>
      <c r="AL503" s="1522">
        <v>20.290732999999999</v>
      </c>
      <c r="AM503" s="1523">
        <v>103.42832799999999</v>
      </c>
      <c r="AN503" s="1223" t="s">
        <v>3520</v>
      </c>
      <c r="AO503" s="1223" t="s">
        <v>3520</v>
      </c>
      <c r="AP503" s="1223" t="s">
        <v>3520</v>
      </c>
      <c r="AQ503" s="1224" t="s">
        <v>3520</v>
      </c>
      <c r="AR503" s="1224"/>
      <c r="AS503" s="1239" t="s">
        <v>3520</v>
      </c>
    </row>
    <row r="504" spans="1:46" s="104" customFormat="1" ht="84.75" hidden="1" customHeight="1">
      <c r="A504" s="16">
        <f>OBRA!J502</f>
        <v>2020</v>
      </c>
      <c r="B504" s="783" t="s">
        <v>2094</v>
      </c>
      <c r="C504" s="783">
        <v>206.15</v>
      </c>
      <c r="D504" s="783"/>
      <c r="E504" s="2" t="str">
        <f>OBRA!M502</f>
        <v>CUENTA CORRIENTE</v>
      </c>
      <c r="F504" s="18" t="s">
        <v>1428</v>
      </c>
      <c r="G504" s="156" t="s">
        <v>2206</v>
      </c>
      <c r="H504" s="412" t="str">
        <f>OBRA!N502</f>
        <v>GMJ 015C- OP/2020</v>
      </c>
      <c r="I504" s="2" t="str">
        <f>OBRA!O502</f>
        <v>ADJUDICACIÓN DIRECTA</v>
      </c>
      <c r="J504" s="3" t="str">
        <f>OBRA!P502</f>
        <v>"CONSTRUCCIÓN DE LÍNEA DE DRENAJE SANITARIO Y LINEA DE AGUA POTABLE EN CALLE GUADALUPE VICTORIA ENTRE FILOSOFOS Y CIENTIFICOS" DE LA CABECERA MUNICIPAL, DE JOCOTEPEC, JALISCO.</v>
      </c>
      <c r="K504" s="1407"/>
      <c r="L504" s="1175" t="s">
        <v>6249</v>
      </c>
      <c r="M504" s="683" t="s">
        <v>4005</v>
      </c>
      <c r="N504" s="683" t="s">
        <v>1975</v>
      </c>
      <c r="O504" s="504" t="s">
        <v>4149</v>
      </c>
      <c r="P504" s="4">
        <f>OBRA!R502</f>
        <v>232396.73</v>
      </c>
      <c r="Q504" s="1023">
        <f t="shared" si="28"/>
        <v>200342.00862068968</v>
      </c>
      <c r="R504" s="1023"/>
      <c r="S504" s="6">
        <f>OBRA!S502</f>
        <v>44012</v>
      </c>
      <c r="T504" s="1134">
        <f>OBRA!V502</f>
        <v>44011</v>
      </c>
      <c r="U504" s="5">
        <f>OBRA!T502</f>
        <v>44046</v>
      </c>
      <c r="V504" s="11">
        <f>OBRA!U502</f>
        <v>44099</v>
      </c>
      <c r="W504" s="1195">
        <v>0</v>
      </c>
      <c r="X504" s="1019">
        <f>OBRA!AS502+OBRA!AT502</f>
        <v>251704.57</v>
      </c>
      <c r="Y504" s="1089" t="s">
        <v>2927</v>
      </c>
      <c r="Z504" s="146" t="str">
        <f>OBRA!W502</f>
        <v>GRUPO CONSTRUCOR PAVIMAQ, S.A. DE C.V.</v>
      </c>
      <c r="AA504" s="146" t="s">
        <v>5666</v>
      </c>
      <c r="AB504" s="148" t="s">
        <v>2801</v>
      </c>
      <c r="AC504" s="148" t="s">
        <v>2800</v>
      </c>
      <c r="AD504" s="146" t="s">
        <v>2928</v>
      </c>
      <c r="AE504" s="183" t="str">
        <f>OBRA!X502</f>
        <v>ARQ. CESAR ANTONIO ALONSO JIMENEZ</v>
      </c>
      <c r="AF504" s="19">
        <f>73.5+68.68</f>
        <v>142.18</v>
      </c>
      <c r="AG504" s="2" t="s">
        <v>1451</v>
      </c>
      <c r="AH504" s="615">
        <f t="shared" si="31"/>
        <v>1770.3233225488816</v>
      </c>
      <c r="AI504" s="2">
        <v>50</v>
      </c>
      <c r="AJ504" s="513">
        <v>50</v>
      </c>
      <c r="AK504" s="513"/>
      <c r="AL504" s="1522">
        <v>20.291397</v>
      </c>
      <c r="AM504" s="1523">
        <v>103.428212</v>
      </c>
      <c r="AN504" s="1223" t="s">
        <v>3521</v>
      </c>
      <c r="AO504" s="1223" t="s">
        <v>3521</v>
      </c>
      <c r="AP504" s="1223" t="s">
        <v>3521</v>
      </c>
      <c r="AQ504" s="1287" t="s">
        <v>3521</v>
      </c>
      <c r="AR504" s="1287"/>
      <c r="AS504" s="1428" t="s">
        <v>3521</v>
      </c>
    </row>
    <row r="505" spans="1:46" ht="86.25" hidden="1" customHeight="1">
      <c r="A505" s="16">
        <f>OBRA!J503</f>
        <v>2020</v>
      </c>
      <c r="B505" s="783" t="s">
        <v>2094</v>
      </c>
      <c r="C505" s="783">
        <v>206.16</v>
      </c>
      <c r="D505" s="783"/>
      <c r="E505" s="2" t="str">
        <f>OBRA!M503</f>
        <v>CUENTA CORRIENTE</v>
      </c>
      <c r="F505" s="18" t="s">
        <v>1428</v>
      </c>
      <c r="G505" s="156" t="s">
        <v>2206</v>
      </c>
      <c r="H505" s="412" t="str">
        <f>OBRA!N503</f>
        <v>GMJ 016C- OP/2020</v>
      </c>
      <c r="I505" s="2" t="str">
        <f>OBRA!O503</f>
        <v>ADJUDICACIÓN DIRECTA</v>
      </c>
      <c r="J505" s="3" t="str">
        <f>OBRA!P503</f>
        <v>"COLOCACIÓN DE EMPEDRADO AHOGADO EN CEMENTO CALLE JAVIER MINA ENTRE CALLE SIN NOMBRE Y ALLENDE" EN LA LOCALIDAD DE EL MOLINO DEL MUNICIPIO DE JOCOTEPEC, JALISCO.</v>
      </c>
      <c r="K505" s="541"/>
      <c r="L505" s="3" t="s">
        <v>4752</v>
      </c>
      <c r="M505" s="683" t="s">
        <v>4007</v>
      </c>
      <c r="N505" s="683" t="s">
        <v>2663</v>
      </c>
      <c r="O505" s="504" t="s">
        <v>4149</v>
      </c>
      <c r="P505" s="4">
        <f>OBRA!R503</f>
        <v>302749.5</v>
      </c>
      <c r="Q505" s="1023">
        <f t="shared" si="28"/>
        <v>260990.94827586209</v>
      </c>
      <c r="R505" s="1023"/>
      <c r="S505" s="6">
        <f>OBRA!S503</f>
        <v>44007</v>
      </c>
      <c r="T505" s="1134">
        <f>OBRA!V503</f>
        <v>44006</v>
      </c>
      <c r="U505" s="5">
        <f>OBRA!T503</f>
        <v>44008</v>
      </c>
      <c r="V505" s="11">
        <f>OBRA!U503</f>
        <v>44074</v>
      </c>
      <c r="W505" s="1195">
        <v>0</v>
      </c>
      <c r="X505" s="1019">
        <f>OBRA!AS503+OBRA!AT503</f>
        <v>301450.13</v>
      </c>
      <c r="Y505" s="1018" t="s">
        <v>2930</v>
      </c>
      <c r="Z505" s="146" t="str">
        <f>OBRA!W503</f>
        <v>SERVICIO Y CONSTRUCCIÓN NATENIO S.A. DE C.V.</v>
      </c>
      <c r="AA505" s="146" t="s">
        <v>5666</v>
      </c>
      <c r="AB505" s="148" t="s">
        <v>2805</v>
      </c>
      <c r="AC505" s="2" t="s">
        <v>2806</v>
      </c>
      <c r="AD505" s="412" t="s">
        <v>2969</v>
      </c>
      <c r="AE505" s="183" t="str">
        <f>OBRA!X503</f>
        <v>ING. J. GUADALUPE IBARRA RAMIREZ</v>
      </c>
      <c r="AF505" s="19">
        <v>660</v>
      </c>
      <c r="AG505" s="2" t="s">
        <v>1548</v>
      </c>
      <c r="AH505" s="615">
        <f t="shared" si="31"/>
        <v>456.74262121212121</v>
      </c>
      <c r="AI505" s="2">
        <v>250</v>
      </c>
      <c r="AJ505" s="513">
        <v>1000</v>
      </c>
      <c r="AK505" s="513"/>
      <c r="AL505" s="1522">
        <v>20.388652</v>
      </c>
      <c r="AM505" s="1523">
        <v>103.531414</v>
      </c>
      <c r="AN505" s="1223" t="s">
        <v>3596</v>
      </c>
      <c r="AO505" s="1223" t="s">
        <v>3596</v>
      </c>
      <c r="AP505" s="1223" t="s">
        <v>3596</v>
      </c>
      <c r="AQ505" s="1277" t="s">
        <v>3596</v>
      </c>
      <c r="AR505" s="1277"/>
      <c r="AS505" s="1277" t="s">
        <v>3596</v>
      </c>
      <c r="AT505" t="s">
        <v>3595</v>
      </c>
    </row>
    <row r="506" spans="1:46" ht="81" hidden="1" customHeight="1">
      <c r="A506" s="16">
        <f>OBRA!J504</f>
        <v>2020</v>
      </c>
      <c r="B506" s="783" t="s">
        <v>2094</v>
      </c>
      <c r="C506" s="783">
        <v>206.17</v>
      </c>
      <c r="D506" s="783"/>
      <c r="E506" s="2" t="str">
        <f>OBRA!M504</f>
        <v>CUENTA CORRIENTE</v>
      </c>
      <c r="F506" s="18" t="s">
        <v>1428</v>
      </c>
      <c r="G506" s="156" t="s">
        <v>2206</v>
      </c>
      <c r="H506" s="412" t="str">
        <f>OBRA!N504</f>
        <v>GMJ 017C- OP/2020</v>
      </c>
      <c r="I506" s="2" t="str">
        <f>OBRA!O504</f>
        <v>ADJUDICACIÓN DIRECTA</v>
      </c>
      <c r="J506" s="3" t="str">
        <f>OBRA!P504</f>
        <v>"CONSTRUCCION DE EMPEDRADO AHOGADO EN CEMENTO EN CALLE MATAMOROS DE JAVIER MINA Y CALLE SIN NOMBRE" DE LA LOCALIDAD DE EL MOLINO, DEL MUNICIPIO DE JOCOTEPEC, JALISCO.</v>
      </c>
      <c r="K506" s="541"/>
      <c r="L506" s="3" t="s">
        <v>4752</v>
      </c>
      <c r="M506" s="683" t="s">
        <v>4006</v>
      </c>
      <c r="N506" s="683" t="s">
        <v>2663</v>
      </c>
      <c r="O506" s="504" t="s">
        <v>4149</v>
      </c>
      <c r="P506" s="4">
        <f>OBRA!R504</f>
        <v>423536.77</v>
      </c>
      <c r="Q506" s="1023">
        <f t="shared" si="28"/>
        <v>365117.90517241386</v>
      </c>
      <c r="R506" s="1023"/>
      <c r="S506" s="6">
        <f>OBRA!S504</f>
        <v>44012</v>
      </c>
      <c r="T506" s="1134">
        <f>OBRA!V504</f>
        <v>44011</v>
      </c>
      <c r="U506" s="5">
        <f>OBRA!T504</f>
        <v>44018</v>
      </c>
      <c r="V506" s="11">
        <f>OBRA!U504</f>
        <v>44104</v>
      </c>
      <c r="W506" s="1195">
        <v>0</v>
      </c>
      <c r="X506" s="1019">
        <f>OBRA!AS504+OBRA!AT504</f>
        <v>423219.71</v>
      </c>
      <c r="Y506" s="1018" t="s">
        <v>2930</v>
      </c>
      <c r="Z506" s="146" t="str">
        <f>OBRA!W504</f>
        <v>SERVICIO Y CONSTRUCCIÓN NATENIO S.A. DE C.V.</v>
      </c>
      <c r="AA506" s="146" t="s">
        <v>5666</v>
      </c>
      <c r="AB506" s="148" t="s">
        <v>2805</v>
      </c>
      <c r="AC506" s="148" t="s">
        <v>2806</v>
      </c>
      <c r="AD506" s="146" t="s">
        <v>2969</v>
      </c>
      <c r="AE506" s="183" t="str">
        <f>OBRA!X504</f>
        <v>ING. J. GUADALUPE IBARRA RAMIREZ</v>
      </c>
      <c r="AF506" s="19">
        <v>927.6</v>
      </c>
      <c r="AG506" s="2" t="s">
        <v>1548</v>
      </c>
      <c r="AH506" s="615">
        <f t="shared" si="31"/>
        <v>456.25238249245365</v>
      </c>
      <c r="AI506" s="2">
        <v>250</v>
      </c>
      <c r="AJ506" s="513">
        <v>500</v>
      </c>
      <c r="AK506" s="513"/>
      <c r="AL506" s="1522">
        <v>20.388701000000001</v>
      </c>
      <c r="AM506" s="1523">
        <v>103.530861</v>
      </c>
      <c r="AN506" s="1223" t="s">
        <v>3597</v>
      </c>
      <c r="AO506" s="1223" t="s">
        <v>3597</v>
      </c>
      <c r="AP506" s="1223" t="s">
        <v>3597</v>
      </c>
      <c r="AQ506" s="1224" t="s">
        <v>3597</v>
      </c>
      <c r="AR506" s="1224"/>
      <c r="AS506" s="1239" t="s">
        <v>3597</v>
      </c>
    </row>
    <row r="507" spans="1:46" ht="74.25" hidden="1" customHeight="1">
      <c r="A507" s="16">
        <f>OBRA!J505</f>
        <v>2020</v>
      </c>
      <c r="B507" s="783" t="s">
        <v>2094</v>
      </c>
      <c r="C507" s="783">
        <v>206.18</v>
      </c>
      <c r="D507" s="783"/>
      <c r="E507" s="2" t="str">
        <f>OBRA!M505</f>
        <v>RAMO 33</v>
      </c>
      <c r="F507" s="18" t="s">
        <v>1428</v>
      </c>
      <c r="G507" s="156" t="s">
        <v>2206</v>
      </c>
      <c r="H507" s="412" t="str">
        <f>OBRA!N505</f>
        <v>GMJ 018C- OP/2020</v>
      </c>
      <c r="I507" s="2" t="str">
        <f>OBRA!O505</f>
        <v>ADJUDICACIÓN DIRECTA</v>
      </c>
      <c r="J507" s="3" t="str">
        <f>OBRA!P505</f>
        <v>"EQUIPAMIENTO DE POZO PROFUNDO DE AGUA POTABLE" EN LA AGENCIA MINICIPAL DE CHANTEPEC, DEL MUNICIPIO DE JOCOTEPEC, JALISCO.</v>
      </c>
      <c r="K507" s="3" t="s">
        <v>4148</v>
      </c>
      <c r="L507" s="3" t="s">
        <v>4751</v>
      </c>
      <c r="M507" s="683" t="s">
        <v>4020</v>
      </c>
      <c r="N507" s="683" t="s">
        <v>2538</v>
      </c>
      <c r="O507" s="504" t="s">
        <v>4149</v>
      </c>
      <c r="P507" s="4">
        <f>OBRA!R505</f>
        <v>174784.71</v>
      </c>
      <c r="Q507" s="1023">
        <f t="shared" si="28"/>
        <v>150676.47413793104</v>
      </c>
      <c r="R507" s="1023"/>
      <c r="S507" s="6">
        <f>OBRA!S505</f>
        <v>44019</v>
      </c>
      <c r="T507" s="1134">
        <f>OBRA!V505</f>
        <v>44018</v>
      </c>
      <c r="U507" s="5">
        <f>OBRA!T505</f>
        <v>44032</v>
      </c>
      <c r="V507" s="11">
        <f>OBRA!U505</f>
        <v>44051</v>
      </c>
      <c r="W507" s="278">
        <v>43696.18</v>
      </c>
      <c r="X507" s="1019">
        <f>OBRA!AS505+OBRA!AT505</f>
        <v>174784.71</v>
      </c>
      <c r="Y507" s="1018" t="s">
        <v>2933</v>
      </c>
      <c r="Z507" s="146" t="str">
        <f>OBRA!W505</f>
        <v>JESSICA MONSERRAT RIVERA TORRES</v>
      </c>
      <c r="AA507" s="146" t="s">
        <v>5665</v>
      </c>
      <c r="AB507" s="148" t="s">
        <v>2932</v>
      </c>
      <c r="AC507" s="148" t="s">
        <v>2959</v>
      </c>
      <c r="AD507" s="146" t="s">
        <v>2959</v>
      </c>
      <c r="AE507" s="183" t="str">
        <f>OBRA!X505</f>
        <v>ING. RIGOBERTO OLMEDO RAMOS</v>
      </c>
      <c r="AF507" s="19">
        <v>1</v>
      </c>
      <c r="AG507" s="2" t="s">
        <v>1463</v>
      </c>
      <c r="AH507" s="183">
        <f t="shared" si="31"/>
        <v>174784.71</v>
      </c>
      <c r="AI507" s="2">
        <v>1800</v>
      </c>
      <c r="AJ507" s="513">
        <v>1800</v>
      </c>
      <c r="AK507" s="513"/>
      <c r="AL507" s="1522">
        <v>20.290621999999999</v>
      </c>
      <c r="AM507" s="1523">
        <v>103.41037799999999</v>
      </c>
      <c r="AN507" s="1223" t="s">
        <v>3598</v>
      </c>
      <c r="AO507" s="573"/>
      <c r="AP507" s="1223" t="s">
        <v>4150</v>
      </c>
      <c r="AQ507" s="1224" t="s">
        <v>3598</v>
      </c>
      <c r="AR507" s="1224"/>
      <c r="AS507" s="1239" t="s">
        <v>3598</v>
      </c>
    </row>
    <row r="508" spans="1:46" ht="70.5" hidden="1" customHeight="1">
      <c r="A508" s="16">
        <f>OBRA!J506</f>
        <v>2020</v>
      </c>
      <c r="B508" s="783" t="s">
        <v>2094</v>
      </c>
      <c r="C508" s="783">
        <v>206.19</v>
      </c>
      <c r="D508" s="783"/>
      <c r="E508" s="2" t="str">
        <f>OBRA!M506</f>
        <v>RAMO 33</v>
      </c>
      <c r="F508" s="18" t="s">
        <v>1428</v>
      </c>
      <c r="G508" s="156" t="s">
        <v>2206</v>
      </c>
      <c r="H508" s="412" t="str">
        <f>OBRA!N506</f>
        <v>GMJ 019C- OP/2020</v>
      </c>
      <c r="I508" s="2" t="str">
        <f>OBRA!O506</f>
        <v>ADJUDICACIÓN DIRECTA</v>
      </c>
      <c r="J508" s="3" t="str">
        <f>OBRA!P506</f>
        <v>"REHABILITACIÓN DE POZO PROFUNDO DE AGUA POTABLE EN LA AGENCIA DE NEXTIPAC", DEL MUNICIPIO DE JOCOTEPEC, JALISCO.</v>
      </c>
      <c r="K508" s="541"/>
      <c r="L508" s="3" t="s">
        <v>4751</v>
      </c>
      <c r="M508" s="683" t="s">
        <v>2488</v>
      </c>
      <c r="N508" s="683" t="s">
        <v>2577</v>
      </c>
      <c r="O508" s="504" t="s">
        <v>4149</v>
      </c>
      <c r="P508" s="4">
        <f>OBRA!R506</f>
        <v>165908.29999999999</v>
      </c>
      <c r="Q508" s="1023">
        <f t="shared" si="28"/>
        <v>143024.39655172414</v>
      </c>
      <c r="R508" s="1023"/>
      <c r="S508" s="6">
        <f>OBRA!S506</f>
        <v>44019</v>
      </c>
      <c r="T508" s="1134">
        <f>OBRA!V506</f>
        <v>44018</v>
      </c>
      <c r="U508" s="5">
        <f>OBRA!T506</f>
        <v>44032</v>
      </c>
      <c r="V508" s="11">
        <f>OBRA!U506</f>
        <v>44051</v>
      </c>
      <c r="W508" s="278">
        <v>41477.089999999997</v>
      </c>
      <c r="X508" s="1098">
        <f>OBRA!AS506+OBRA!AT506</f>
        <v>0</v>
      </c>
      <c r="Y508" s="1018" t="s">
        <v>2935</v>
      </c>
      <c r="Z508" s="146" t="str">
        <f>OBRA!W506</f>
        <v>JESSICA MONSERRAT RIVERA TORRES</v>
      </c>
      <c r="AA508" s="146" t="s">
        <v>5665</v>
      </c>
      <c r="AB508" s="148" t="s">
        <v>2932</v>
      </c>
      <c r="AC508" s="2" t="s">
        <v>2959</v>
      </c>
      <c r="AD508" s="146" t="s">
        <v>2959</v>
      </c>
      <c r="AE508" s="183" t="str">
        <f>OBRA!X506</f>
        <v>ING. RIGOBERTO OLMEDO RAMOS</v>
      </c>
      <c r="AF508" s="19">
        <v>250</v>
      </c>
      <c r="AG508" s="2" t="s">
        <v>1451</v>
      </c>
      <c r="AH508" s="183">
        <f t="shared" si="31"/>
        <v>0</v>
      </c>
      <c r="AI508" s="2">
        <v>2000</v>
      </c>
      <c r="AJ508" s="513">
        <v>2000</v>
      </c>
      <c r="AK508" s="513"/>
      <c r="AL508" s="1522">
        <v>20.286681999999999</v>
      </c>
      <c r="AM508" s="1523">
        <v>103.423992</v>
      </c>
      <c r="AN508" s="1223" t="s">
        <v>3599</v>
      </c>
      <c r="AO508" s="1424" t="s">
        <v>1177</v>
      </c>
      <c r="AP508" s="1223" t="s">
        <v>3599</v>
      </c>
      <c r="AQ508" s="1263" t="s">
        <v>1177</v>
      </c>
      <c r="AR508" s="1263"/>
      <c r="AS508" s="1269" t="s">
        <v>1177</v>
      </c>
    </row>
    <row r="509" spans="1:46" ht="34.5" hidden="1" customHeight="1">
      <c r="A509" s="82">
        <f>OBRA!J507</f>
        <v>2020</v>
      </c>
      <c r="B509" s="784" t="s">
        <v>2094</v>
      </c>
      <c r="C509" s="784">
        <v>206.2</v>
      </c>
      <c r="D509" s="784"/>
      <c r="E509" s="85">
        <f>OBRA!M507</f>
        <v>0</v>
      </c>
      <c r="F509" s="83"/>
      <c r="G509" s="575" t="s">
        <v>2206</v>
      </c>
      <c r="H509" s="421" t="str">
        <f>OBRA!N507</f>
        <v>GMJ 020C- OP/2020</v>
      </c>
      <c r="I509" s="85" t="str">
        <f>OBRA!O507</f>
        <v>CANCELADA</v>
      </c>
      <c r="J509" s="125" t="str">
        <f>OBRA!P507</f>
        <v>CONTRATO CANCELADO</v>
      </c>
      <c r="K509" s="125"/>
      <c r="L509" s="125"/>
      <c r="M509" s="125" t="s">
        <v>68</v>
      </c>
      <c r="N509" s="125" t="s">
        <v>68</v>
      </c>
      <c r="O509" s="812"/>
      <c r="P509" s="86">
        <f>OBRA!R507</f>
        <v>0</v>
      </c>
      <c r="Q509" s="86">
        <f t="shared" si="28"/>
        <v>0</v>
      </c>
      <c r="R509" s="86"/>
      <c r="S509" s="87">
        <f>OBRA!S507</f>
        <v>0</v>
      </c>
      <c r="T509" s="1409">
        <f>OBRA!V507</f>
        <v>0</v>
      </c>
      <c r="U509" s="88">
        <f>OBRA!T507</f>
        <v>0</v>
      </c>
      <c r="V509" s="89">
        <f>OBRA!U507</f>
        <v>0</v>
      </c>
      <c r="W509" s="821"/>
      <c r="X509" s="1430">
        <f>OBRA!AS507+OBRA!AT507</f>
        <v>0</v>
      </c>
      <c r="Y509" s="1016"/>
      <c r="Z509" s="147">
        <f>OBRA!W507</f>
        <v>0</v>
      </c>
      <c r="AA509" s="147" t="s">
        <v>68</v>
      </c>
      <c r="AB509" s="149"/>
      <c r="AC509" s="85"/>
      <c r="AD509" s="147"/>
      <c r="AE509" s="184">
        <f>OBRA!X507</f>
        <v>0</v>
      </c>
      <c r="AF509" s="84"/>
      <c r="AG509" s="85"/>
      <c r="AH509" s="184" t="e">
        <f t="shared" si="31"/>
        <v>#DIV/0!</v>
      </c>
      <c r="AI509" s="85"/>
      <c r="AJ509" s="514"/>
      <c r="AK509" s="514"/>
      <c r="AL509" s="1515"/>
      <c r="AM509" s="1516"/>
      <c r="AN509" s="816"/>
      <c r="AO509" s="812"/>
      <c r="AP509" s="816"/>
      <c r="AQ509" s="514"/>
      <c r="AR509" s="514"/>
      <c r="AS509" s="570"/>
    </row>
    <row r="510" spans="1:46" ht="107.25" hidden="1" customHeight="1">
      <c r="A510" s="16">
        <f>OBRA!J508</f>
        <v>2020</v>
      </c>
      <c r="B510" s="783" t="s">
        <v>2094</v>
      </c>
      <c r="C510" s="783">
        <v>206.21</v>
      </c>
      <c r="D510" s="783"/>
      <c r="E510" s="2" t="str">
        <f>OBRA!M508</f>
        <v>RAMO 33</v>
      </c>
      <c r="F510" s="18" t="s">
        <v>1428</v>
      </c>
      <c r="G510" s="156" t="s">
        <v>2206</v>
      </c>
      <c r="H510" s="412" t="str">
        <f>OBRA!N508</f>
        <v>GMJ 021C- OP/2020</v>
      </c>
      <c r="I510" s="2" t="str">
        <f>OBRA!O508</f>
        <v>ADJUDICACIÓN DIRECTA</v>
      </c>
      <c r="J510" s="3" t="str">
        <f>OBRA!P508</f>
        <v>"CONSTRUCCIÓN DE EMPEDRADO NORMAL CON HUELLAS DE CONCRETO EN CALLE EMILIANO ZAPATA ENTRE PIPILA Y CALLE CERRADA" DE LA LOCALIDAD DE ZAPOTITÁN DE HIDALGO, EL MUNICIPIO DE JOCOTEPEC, JALISCO.</v>
      </c>
      <c r="K510" s="541"/>
      <c r="L510" s="3" t="s">
        <v>4752</v>
      </c>
      <c r="M510" s="683" t="s">
        <v>4008</v>
      </c>
      <c r="N510" s="683" t="s">
        <v>3623</v>
      </c>
      <c r="O510" s="466" t="s">
        <v>4022</v>
      </c>
      <c r="P510" s="4">
        <f>OBRA!R508</f>
        <v>773550.52</v>
      </c>
      <c r="Q510" s="1023">
        <f t="shared" si="28"/>
        <v>666853.89655172417</v>
      </c>
      <c r="R510" s="1023"/>
      <c r="S510" s="6">
        <f>OBRA!S508</f>
        <v>44021</v>
      </c>
      <c r="T510" s="1134">
        <f>OBRA!V508</f>
        <v>44020</v>
      </c>
      <c r="U510" s="5">
        <f>OBRA!T508</f>
        <v>44032</v>
      </c>
      <c r="V510" s="11">
        <f>OBRA!U508</f>
        <v>44077</v>
      </c>
      <c r="W510" s="278">
        <v>193876.63</v>
      </c>
      <c r="X510" s="1019">
        <f>OBRA!AS508+OBRA!AT508</f>
        <v>773314.41</v>
      </c>
      <c r="Y510" s="1018" t="s">
        <v>2938</v>
      </c>
      <c r="Z510" s="146" t="str">
        <f>OBRA!W508</f>
        <v xml:space="preserve">DESARROLLO DAP S.A. DE C.V. </v>
      </c>
      <c r="AA510" s="146" t="s">
        <v>5666</v>
      </c>
      <c r="AB510" s="148" t="s">
        <v>2939</v>
      </c>
      <c r="AC510" s="148" t="s">
        <v>2940</v>
      </c>
      <c r="AD510" s="146" t="s">
        <v>2941</v>
      </c>
      <c r="AE510" s="183" t="str">
        <f>OBRA!X508</f>
        <v>ARQ. JAIME CONDE GOMEZ</v>
      </c>
      <c r="AF510" s="19">
        <v>1022.62</v>
      </c>
      <c r="AG510" s="2" t="s">
        <v>1548</v>
      </c>
      <c r="AH510" s="615">
        <f t="shared" si="31"/>
        <v>756.20896325125659</v>
      </c>
      <c r="AI510" s="2">
        <v>100</v>
      </c>
      <c r="AJ510" s="513">
        <v>500</v>
      </c>
      <c r="AK510" s="513"/>
      <c r="AL510" s="1522">
        <v>20.324287000000002</v>
      </c>
      <c r="AM510" s="1523">
        <v>103.480902</v>
      </c>
      <c r="AN510" s="1223" t="s">
        <v>3657</v>
      </c>
      <c r="AO510" s="1223" t="s">
        <v>3657</v>
      </c>
      <c r="AP510" s="1223" t="s">
        <v>3657</v>
      </c>
      <c r="AQ510" s="1224" t="s">
        <v>3657</v>
      </c>
      <c r="AR510" s="1224"/>
      <c r="AS510" s="1239" t="s">
        <v>3657</v>
      </c>
    </row>
    <row r="511" spans="1:46" ht="175.5" hidden="1" customHeight="1">
      <c r="A511" s="16">
        <f>OBRA!J509</f>
        <v>2020</v>
      </c>
      <c r="B511" s="783" t="s">
        <v>2094</v>
      </c>
      <c r="C511" s="783">
        <v>206.22</v>
      </c>
      <c r="D511" s="783"/>
      <c r="E511" s="2" t="str">
        <f>OBRA!M509</f>
        <v>RAMO 33</v>
      </c>
      <c r="F511" s="18" t="s">
        <v>1428</v>
      </c>
      <c r="G511" s="156" t="s">
        <v>2206</v>
      </c>
      <c r="H511" s="412" t="str">
        <f>OBRA!N509</f>
        <v>GMJ 022C- OP/2020</v>
      </c>
      <c r="I511" s="2" t="str">
        <f>OBRA!O509</f>
        <v>ADJUDICACIÓN DIRECTA</v>
      </c>
      <c r="J511"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45" t="s">
        <v>4302</v>
      </c>
      <c r="L511" s="1323" t="s">
        <v>6248</v>
      </c>
      <c r="M511" s="683" t="s">
        <v>4009</v>
      </c>
      <c r="N511" s="683" t="s">
        <v>3623</v>
      </c>
      <c r="O511" s="466" t="s">
        <v>4022</v>
      </c>
      <c r="P511" s="4">
        <f>OBRA!R509</f>
        <v>844236.05</v>
      </c>
      <c r="Q511" s="1023">
        <f t="shared" si="28"/>
        <v>727789.69827586215</v>
      </c>
      <c r="R511" s="1023"/>
      <c r="S511" s="6">
        <f>OBRA!S509</f>
        <v>44021</v>
      </c>
      <c r="T511" s="1134">
        <f>OBRA!V509</f>
        <v>44020</v>
      </c>
      <c r="U511" s="5">
        <f>OBRA!T509</f>
        <v>44027</v>
      </c>
      <c r="V511" s="11">
        <f>OBRA!U509</f>
        <v>44088</v>
      </c>
      <c r="W511" s="278">
        <v>211059.01</v>
      </c>
      <c r="X511" s="1019">
        <f>OBRA!AS509+OBRA!AT509</f>
        <v>947197.91</v>
      </c>
      <c r="Y511" s="1089" t="s">
        <v>2974</v>
      </c>
      <c r="Z511" s="146" t="str">
        <f>OBRA!W509</f>
        <v xml:space="preserve">BAUEN INGENIERÍA Y MAQUINARIA S.A. DE C.V. </v>
      </c>
      <c r="AA511" s="146" t="s">
        <v>5666</v>
      </c>
      <c r="AB511" s="148" t="s">
        <v>3037</v>
      </c>
      <c r="AC511" s="148" t="s">
        <v>2977</v>
      </c>
      <c r="AD511" s="146" t="s">
        <v>2978</v>
      </c>
      <c r="AE511" s="183" t="str">
        <f>OBRA!X509</f>
        <v>ARQ. JAIME CONDE GOMEZ</v>
      </c>
      <c r="AF511" s="19">
        <v>682.64</v>
      </c>
      <c r="AG511" s="2" t="s">
        <v>1548</v>
      </c>
      <c r="AH511" s="615">
        <f t="shared" si="31"/>
        <v>1387.5511396929569</v>
      </c>
      <c r="AI511" s="2">
        <v>100</v>
      </c>
      <c r="AJ511" s="513">
        <v>1000</v>
      </c>
      <c r="AK511" s="513"/>
      <c r="AL511" s="1522">
        <v>20.324774999999999</v>
      </c>
      <c r="AM511" s="1523">
        <v>103.48221100000001</v>
      </c>
      <c r="AN511" s="1223" t="s">
        <v>3528</v>
      </c>
      <c r="AO511" s="1223" t="s">
        <v>3528</v>
      </c>
      <c r="AP511" s="573"/>
      <c r="AQ511" s="1224" t="s">
        <v>3528</v>
      </c>
      <c r="AR511" s="1224"/>
      <c r="AS511" s="1239" t="s">
        <v>3528</v>
      </c>
    </row>
    <row r="512" spans="1:46" ht="74.25" hidden="1" customHeight="1">
      <c r="A512" s="16">
        <f>OBRA!J510</f>
        <v>2020</v>
      </c>
      <c r="B512" s="783" t="s">
        <v>2094</v>
      </c>
      <c r="C512" s="783">
        <v>206.23</v>
      </c>
      <c r="D512" s="783"/>
      <c r="E512" s="2" t="str">
        <f>OBRA!M510</f>
        <v>RAMO 33</v>
      </c>
      <c r="F512" s="18" t="s">
        <v>1428</v>
      </c>
      <c r="G512" s="38" t="s">
        <v>2206</v>
      </c>
      <c r="H512" s="412" t="str">
        <f>OBRA!N510</f>
        <v>GMJ 023C- OP/2020</v>
      </c>
      <c r="I512" s="2" t="str">
        <f>OBRA!O510</f>
        <v>ADJUDICACIÓN DIRECTA</v>
      </c>
      <c r="J512" s="3" t="str">
        <f>OBRA!P510</f>
        <v xml:space="preserve">"REHABILITACIÓN DE POZO PROFUNDO DE AGUA POTABLE EN CALLE JOSE SANTANA", EN LA CABECERA MUNICIPAL DE JOCOTEPEC, JALISCO </v>
      </c>
      <c r="K512" s="3" t="s">
        <v>4303</v>
      </c>
      <c r="L512" s="3" t="s">
        <v>4751</v>
      </c>
      <c r="M512" s="683" t="s">
        <v>4010</v>
      </c>
      <c r="N512" s="683" t="s">
        <v>1975</v>
      </c>
      <c r="O512" s="466" t="s">
        <v>4022</v>
      </c>
      <c r="P512" s="4">
        <f>OBRA!R510</f>
        <v>189588.54</v>
      </c>
      <c r="Q512" s="1023">
        <f t="shared" si="28"/>
        <v>163438.39655172414</v>
      </c>
      <c r="R512" s="1023"/>
      <c r="S512" s="6">
        <f>OBRA!S510</f>
        <v>44019</v>
      </c>
      <c r="T512" s="1134">
        <f>OBRA!V510</f>
        <v>44018</v>
      </c>
      <c r="U512" s="5">
        <f>OBRA!T510</f>
        <v>44032</v>
      </c>
      <c r="V512" s="11">
        <f>OBRA!U510</f>
        <v>44051</v>
      </c>
      <c r="W512" s="278">
        <v>47397.15</v>
      </c>
      <c r="X512" s="1019">
        <f>OBRA!AS510+OBRA!AT510</f>
        <v>189588.55</v>
      </c>
      <c r="Y512" s="1018" t="s">
        <v>2943</v>
      </c>
      <c r="Z512" s="146" t="str">
        <f>OBRA!W510</f>
        <v>JESSICA MONSERRAT RIVERA TORRES</v>
      </c>
      <c r="AA512" s="146" t="s">
        <v>5665</v>
      </c>
      <c r="AB512" s="148" t="s">
        <v>2932</v>
      </c>
      <c r="AC512" s="148" t="s">
        <v>2959</v>
      </c>
      <c r="AD512" s="146" t="s">
        <v>2959</v>
      </c>
      <c r="AE512" s="183" t="str">
        <f>OBRA!X510</f>
        <v>ING. RIGOBERTO OLMEDO RAMOS</v>
      </c>
      <c r="AF512" s="19">
        <v>1</v>
      </c>
      <c r="AG512" s="2" t="s">
        <v>1463</v>
      </c>
      <c r="AH512" s="183">
        <f t="shared" si="31"/>
        <v>189588.55</v>
      </c>
      <c r="AI512" s="2">
        <v>11000</v>
      </c>
      <c r="AJ512" s="513">
        <v>11000</v>
      </c>
      <c r="AK512" s="513"/>
      <c r="AL512" s="1522">
        <v>20.285993000000001</v>
      </c>
      <c r="AM512" s="1523">
        <v>103.43696799999999</v>
      </c>
      <c r="AN512" s="1223" t="s">
        <v>3600</v>
      </c>
      <c r="AO512" s="573"/>
      <c r="AP512" s="1223" t="s">
        <v>3600</v>
      </c>
      <c r="AQ512" s="1224" t="s">
        <v>3600</v>
      </c>
      <c r="AR512" s="1224"/>
      <c r="AS512" s="1239" t="s">
        <v>3600</v>
      </c>
    </row>
    <row r="513" spans="1:45" ht="156.75" hidden="1" customHeight="1">
      <c r="A513" s="16">
        <f>OBRA!J511</f>
        <v>2020</v>
      </c>
      <c r="B513" s="783" t="s">
        <v>2094</v>
      </c>
      <c r="C513" s="783">
        <v>206.23</v>
      </c>
      <c r="D513" s="783"/>
      <c r="E513" s="2" t="str">
        <f>OBRA!M511</f>
        <v>RAMO 33</v>
      </c>
      <c r="F513" s="18" t="s">
        <v>1428</v>
      </c>
      <c r="G513" s="38" t="s">
        <v>2206</v>
      </c>
      <c r="H513" s="412" t="str">
        <f>OBRA!N511</f>
        <v>GMJ 024C- OP/2020</v>
      </c>
      <c r="I513" s="2" t="str">
        <f>OBRA!O511</f>
        <v>ADJUDICACIÓN DIRECTA</v>
      </c>
      <c r="J513" s="3" t="str">
        <f>OBRA!P511</f>
        <v>"REHABILITACIÓN DE RED DE DRENAJE SANITARIO CON REPOSICIÓN DE SUPERFICIE DE RODAMIENTO EN CALLE XÓCHITL 2DA ETAPA DEL CADENAMIENTO 00+200 A LA CALLE CUAUHTÉMOC EN LA DELEGACIÓN DE CHANTEPEC, MUNICIPIO DE JOCOTEPEC, JALISCO.</v>
      </c>
      <c r="K513" s="1175" t="s">
        <v>4152</v>
      </c>
      <c r="L513" s="3" t="s">
        <v>6245</v>
      </c>
      <c r="M513" s="683" t="s">
        <v>4011</v>
      </c>
      <c r="N513" s="683" t="s">
        <v>2538</v>
      </c>
      <c r="O513" s="466" t="s">
        <v>4022</v>
      </c>
      <c r="P513" s="79">
        <f>OBRA!R511</f>
        <v>1003699.45</v>
      </c>
      <c r="Q513" s="1023">
        <f t="shared" si="28"/>
        <v>865258.14655172417</v>
      </c>
      <c r="R513" s="1023"/>
      <c r="S513" s="67">
        <f>OBRA!S511</f>
        <v>44028</v>
      </c>
      <c r="T513" s="1134">
        <f>OBRA!V511</f>
        <v>44026</v>
      </c>
      <c r="U513" s="5">
        <f>OBRA!T511</f>
        <v>44032</v>
      </c>
      <c r="V513" s="11">
        <f>OBRA!U511</f>
        <v>44089</v>
      </c>
      <c r="W513" s="278">
        <v>250924.86</v>
      </c>
      <c r="X513" s="1019">
        <f>OBRA!AS511+OBRA!AT511</f>
        <v>961943.47</v>
      </c>
      <c r="Y513" s="1018" t="s">
        <v>2984</v>
      </c>
      <c r="Z513" s="146" t="str">
        <f>OBRA!W511</f>
        <v>ING. SERGIO CABRERA</v>
      </c>
      <c r="AA513" s="146" t="s">
        <v>5665</v>
      </c>
      <c r="AB513" s="148" t="s">
        <v>739</v>
      </c>
      <c r="AC513" s="2" t="s">
        <v>2976</v>
      </c>
      <c r="AD513" s="146" t="s">
        <v>2976</v>
      </c>
      <c r="AE513" s="183" t="str">
        <f>OBRA!X511</f>
        <v>ING. LUIS RIGOBERTO OLMEDO NAVARRO</v>
      </c>
      <c r="AF513" s="19">
        <v>210</v>
      </c>
      <c r="AG513" s="2" t="s">
        <v>1451</v>
      </c>
      <c r="AH513" s="615">
        <f t="shared" si="31"/>
        <v>4580.6831904761902</v>
      </c>
      <c r="AI513" s="2">
        <v>370</v>
      </c>
      <c r="AJ513" s="513">
        <v>3600</v>
      </c>
      <c r="AK513" s="513"/>
      <c r="AL513" s="1522">
        <v>20.290914999999998</v>
      </c>
      <c r="AM513" s="1523">
        <v>103.393833</v>
      </c>
      <c r="AN513" s="1223" t="s">
        <v>3508</v>
      </c>
      <c r="AO513" s="1223" t="s">
        <v>3508</v>
      </c>
      <c r="AP513" s="1223" t="s">
        <v>4151</v>
      </c>
      <c r="AQ513" s="1224" t="s">
        <v>3508</v>
      </c>
      <c r="AR513" s="1224"/>
      <c r="AS513" s="1239" t="s">
        <v>3508</v>
      </c>
    </row>
    <row r="514" spans="1:45" ht="203.25" hidden="1" customHeight="1">
      <c r="A514" s="16">
        <f>OBRA!J512</f>
        <v>2020</v>
      </c>
      <c r="B514" s="783" t="s">
        <v>2094</v>
      </c>
      <c r="C514" s="783">
        <v>206.25</v>
      </c>
      <c r="D514" s="783"/>
      <c r="E514" s="2" t="str">
        <f>OBRA!M512</f>
        <v>RAMO 33</v>
      </c>
      <c r="F514" s="18" t="s">
        <v>1428</v>
      </c>
      <c r="G514" s="38" t="s">
        <v>2206</v>
      </c>
      <c r="H514" s="412" t="str">
        <f>OBRA!N512</f>
        <v>GMJ 025C- OP/2020</v>
      </c>
      <c r="I514" s="2" t="str">
        <f>OBRA!O512</f>
        <v>ADJUDICACIÓN DIRECTA</v>
      </c>
      <c r="J514"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75" t="s">
        <v>4153</v>
      </c>
      <c r="L514" s="3" t="s">
        <v>6244</v>
      </c>
      <c r="M514" s="683" t="s">
        <v>4011</v>
      </c>
      <c r="N514" s="3" t="s">
        <v>2538</v>
      </c>
      <c r="O514" s="466" t="s">
        <v>4022</v>
      </c>
      <c r="P514" s="4">
        <f>OBRA!R512</f>
        <v>961974.96</v>
      </c>
      <c r="Q514" s="1023">
        <f t="shared" si="28"/>
        <v>829288.75862068962</v>
      </c>
      <c r="R514" s="1023"/>
      <c r="S514" s="6">
        <f>OBRA!S512</f>
        <v>44028</v>
      </c>
      <c r="T514" s="1134">
        <f>OBRA!V512</f>
        <v>44026</v>
      </c>
      <c r="U514" s="5">
        <f>OBRA!T512</f>
        <v>44032</v>
      </c>
      <c r="V514" s="11">
        <f>OBRA!U512</f>
        <v>44089</v>
      </c>
      <c r="W514" s="278">
        <f>183159.38*1.16</f>
        <v>212464.88079999998</v>
      </c>
      <c r="X514" s="1019">
        <f>OBRA!AS512+OBRA!AT512</f>
        <v>976127.66</v>
      </c>
      <c r="Y514" s="1018" t="s">
        <v>2975</v>
      </c>
      <c r="Z514" s="146" t="str">
        <f>OBRA!W512</f>
        <v>ING. SERGIO CABRERA</v>
      </c>
      <c r="AA514" s="146" t="s">
        <v>5665</v>
      </c>
      <c r="AB514" s="148" t="s">
        <v>739</v>
      </c>
      <c r="AC514" s="148" t="s">
        <v>2976</v>
      </c>
      <c r="AD514" s="146" t="s">
        <v>2976</v>
      </c>
      <c r="AE514" s="183" t="str">
        <f>OBRA!X512</f>
        <v>ING. LUIS RIGOBERTO OLMEDO NAVARRO</v>
      </c>
      <c r="AF514" s="19">
        <v>218</v>
      </c>
      <c r="AG514" s="2" t="s">
        <v>1451</v>
      </c>
      <c r="AH514" s="615">
        <f t="shared" si="31"/>
        <v>4477.6498165137618</v>
      </c>
      <c r="AI514" s="2">
        <v>370</v>
      </c>
      <c r="AJ514" s="513">
        <v>3600</v>
      </c>
      <c r="AK514" s="513"/>
      <c r="AL514" s="1522">
        <v>20.290914999999998</v>
      </c>
      <c r="AM514" s="1523">
        <v>103.393833</v>
      </c>
      <c r="AN514" s="1223" t="s">
        <v>3507</v>
      </c>
      <c r="AO514" s="1223" t="s">
        <v>3507</v>
      </c>
      <c r="AP514" s="1223" t="s">
        <v>3507</v>
      </c>
      <c r="AQ514" s="1224" t="s">
        <v>3507</v>
      </c>
      <c r="AR514" s="1224"/>
      <c r="AS514" s="1239" t="s">
        <v>3507</v>
      </c>
    </row>
    <row r="515" spans="1:45" ht="115.5" hidden="1" customHeight="1">
      <c r="A515" s="16">
        <f>OBRA!J513</f>
        <v>2020</v>
      </c>
      <c r="B515" s="783" t="s">
        <v>2094</v>
      </c>
      <c r="C515" s="783">
        <v>206.26</v>
      </c>
      <c r="D515" s="1447" t="s">
        <v>4021</v>
      </c>
      <c r="E515" s="2" t="str">
        <f>OBRA!M513</f>
        <v>RAMO 33</v>
      </c>
      <c r="F515" s="18" t="s">
        <v>1428</v>
      </c>
      <c r="G515" s="38" t="s">
        <v>2206</v>
      </c>
      <c r="H515" s="412" t="str">
        <f>OBRA!N513</f>
        <v>GMJ 026C- OP/2020</v>
      </c>
      <c r="I515" s="2" t="str">
        <f>OBRA!O513</f>
        <v>ADJUDICACIÓN DIRECTA</v>
      </c>
      <c r="J515" s="3" t="str">
        <f>OBRA!P513</f>
        <v>"REHABILITACIÓN DE BANQUETAS Y SUPERFICIE DE RODAMIENTO EN INGRESO PRINCIPAL EN CALLE XÓCHITL DE CARRETERA JOCOTEPEC-CHAPALA A LA CALLE CUAUHTÉMOC" EN LA DELEGACIÓN DE CHANTEPEC, MUNICIPIO DE JOCOTEPEC, JALISCO.</v>
      </c>
      <c r="K515" s="541"/>
      <c r="L515" s="3" t="s">
        <v>6250</v>
      </c>
      <c r="M515" s="683" t="s">
        <v>4011</v>
      </c>
      <c r="N515" s="3" t="s">
        <v>2538</v>
      </c>
      <c r="O515" s="466" t="s">
        <v>4022</v>
      </c>
      <c r="P515" s="4">
        <f>OBRA!R513</f>
        <v>720809.67</v>
      </c>
      <c r="Q515" s="1023">
        <f t="shared" si="28"/>
        <v>621387.64655172417</v>
      </c>
      <c r="R515" s="1023"/>
      <c r="S515" s="6">
        <f>OBRA!S513</f>
        <v>44076</v>
      </c>
      <c r="T515" s="1134">
        <f>OBRA!V513</f>
        <v>44074</v>
      </c>
      <c r="U515" s="5">
        <f>OBRA!T513</f>
        <v>44069</v>
      </c>
      <c r="V515" s="11">
        <f>OBRA!U513</f>
        <v>44142</v>
      </c>
      <c r="W515" s="278">
        <v>180202.41</v>
      </c>
      <c r="X515" s="1019">
        <f>OBRA!AS513+OBRA!AT513</f>
        <v>822451.21</v>
      </c>
      <c r="Y515" s="1018" t="s">
        <v>3355</v>
      </c>
      <c r="Z515" s="146" t="str">
        <f>OBRA!W513</f>
        <v>ALSERCON SA DE CV</v>
      </c>
      <c r="AA515" s="146" t="s">
        <v>5666</v>
      </c>
      <c r="AB515" s="148" t="s">
        <v>2164</v>
      </c>
      <c r="AC515" s="148" t="s">
        <v>2165</v>
      </c>
      <c r="AD515" s="146" t="s">
        <v>2759</v>
      </c>
      <c r="AE515" s="183" t="str">
        <f>OBRA!X513</f>
        <v>ARQ. CESAR ANTONIO ALONSO JIMENEZ</v>
      </c>
      <c r="AF515" s="19">
        <v>524.09</v>
      </c>
      <c r="AG515" s="2" t="s">
        <v>1548</v>
      </c>
      <c r="AH515" s="615">
        <f t="shared" si="31"/>
        <v>1569.2938426606115</v>
      </c>
      <c r="AI515" s="2">
        <v>700</v>
      </c>
      <c r="AJ515" s="513">
        <v>2700</v>
      </c>
      <c r="AK515" s="513"/>
      <c r="AL515" s="1522">
        <v>20.290914999999998</v>
      </c>
      <c r="AM515" s="1523">
        <v>103.393833</v>
      </c>
      <c r="AN515" s="1223" t="s">
        <v>3519</v>
      </c>
      <c r="AO515" s="1223" t="s">
        <v>3519</v>
      </c>
      <c r="AP515" s="1223" t="s">
        <v>3519</v>
      </c>
      <c r="AQ515" s="1224" t="s">
        <v>3519</v>
      </c>
      <c r="AR515" s="1224"/>
      <c r="AS515" s="1239" t="s">
        <v>3789</v>
      </c>
    </row>
    <row r="516" spans="1:45" ht="226.5" hidden="1" customHeight="1">
      <c r="A516" s="16">
        <f>OBRA!J514</f>
        <v>2020</v>
      </c>
      <c r="B516" s="783" t="s">
        <v>2094</v>
      </c>
      <c r="C516" s="783">
        <v>206.27</v>
      </c>
      <c r="D516" s="783"/>
      <c r="E516" s="2" t="str">
        <f>OBRA!M514</f>
        <v>RAMO 33</v>
      </c>
      <c r="F516" s="18" t="s">
        <v>1428</v>
      </c>
      <c r="G516" s="156" t="s">
        <v>2206</v>
      </c>
      <c r="H516" s="412" t="str">
        <f>OBRA!N514</f>
        <v>GMJ 027C- OP/2020</v>
      </c>
      <c r="I516" s="2" t="str">
        <f>OBRA!O514</f>
        <v>CONCURSO SIMPLIFICADO SUMARIO</v>
      </c>
      <c r="J516" s="3" t="str">
        <f>OBRA!P514</f>
        <v>"CONSTRUCCIÓN DE POZO PROFUNDO EN CALLE ALLENDE NORTE" EN LA CABECERA MUNICIPAL DE JOCOTEPEC, JALISCO</v>
      </c>
      <c r="K516" s="1175" t="s">
        <v>4304</v>
      </c>
      <c r="L516" s="1175" t="s">
        <v>4751</v>
      </c>
      <c r="M516" s="683" t="s">
        <v>3332</v>
      </c>
      <c r="N516" s="683" t="s">
        <v>1975</v>
      </c>
      <c r="O516" s="466" t="s">
        <v>4022</v>
      </c>
      <c r="P516" s="79">
        <f>OBRA!R514</f>
        <v>2630623.62</v>
      </c>
      <c r="Q516" s="1023">
        <f t="shared" si="28"/>
        <v>2267778.9827586208</v>
      </c>
      <c r="R516" s="1023"/>
      <c r="S516" s="67">
        <f>OBRA!S514</f>
        <v>44007</v>
      </c>
      <c r="T516" s="1134" t="str">
        <f>OBRA!V514</f>
        <v>-</v>
      </c>
      <c r="U516" s="5">
        <f>OBRA!T514</f>
        <v>44008</v>
      </c>
      <c r="V516" s="11">
        <f>OBRA!U514</f>
        <v>44099</v>
      </c>
      <c r="W516" s="278">
        <f>P516*0.3</f>
        <v>789187.08600000001</v>
      </c>
      <c r="X516" s="1019">
        <f>OBRA!AS514+OBRA!AT514</f>
        <v>2631734.15</v>
      </c>
      <c r="Y516" s="1018" t="s">
        <v>3335</v>
      </c>
      <c r="Z516" s="146" t="str">
        <f>OBRA!W514</f>
        <v>CONVADI, S.A. DE C.V.</v>
      </c>
      <c r="AA516" s="146" t="s">
        <v>5666</v>
      </c>
      <c r="AB516" s="148" t="s">
        <v>3336</v>
      </c>
      <c r="AC516" s="146" t="s">
        <v>3337</v>
      </c>
      <c r="AD516" s="2" t="s">
        <v>3338</v>
      </c>
      <c r="AE516" s="183" t="str">
        <f>OBRA!X514</f>
        <v>ING. J. GUADALUPE IBARRA RAMIREZ</v>
      </c>
      <c r="AF516" s="19">
        <v>250</v>
      </c>
      <c r="AG516" s="2" t="s">
        <v>1451</v>
      </c>
      <c r="AH516" s="615">
        <f t="shared" si="31"/>
        <v>10526.936599999999</v>
      </c>
      <c r="AI516" s="2">
        <v>22000</v>
      </c>
      <c r="AJ516" s="513">
        <v>22000</v>
      </c>
      <c r="AK516" s="513"/>
      <c r="AL516" s="1522">
        <v>20.291990999999999</v>
      </c>
      <c r="AM516" s="1523">
        <v>103.42882400000001</v>
      </c>
      <c r="AN516" s="1223" t="s">
        <v>3619</v>
      </c>
      <c r="AO516" s="573"/>
      <c r="AP516" s="573"/>
      <c r="AQ516" s="1224" t="s">
        <v>3619</v>
      </c>
      <c r="AR516" s="1224"/>
      <c r="AS516" s="1239" t="s">
        <v>3619</v>
      </c>
    </row>
    <row r="517" spans="1:45" ht="54" hidden="1" customHeight="1">
      <c r="A517" s="16">
        <f>OBRA!J515</f>
        <v>2020</v>
      </c>
      <c r="B517" s="783" t="s">
        <v>2094</v>
      </c>
      <c r="C517" s="783">
        <v>206.28</v>
      </c>
      <c r="D517" s="1447" t="s">
        <v>4021</v>
      </c>
      <c r="E517" s="2" t="str">
        <f>OBRA!M515</f>
        <v>FOCOCI</v>
      </c>
      <c r="F517" s="704" t="s">
        <v>3522</v>
      </c>
      <c r="G517" s="156" t="s">
        <v>2206</v>
      </c>
      <c r="H517" s="412" t="str">
        <f>OBRA!N515</f>
        <v>FOCOCI-OP-CSS-028/2020</v>
      </c>
      <c r="I517" s="2" t="str">
        <f>OBRA!O515</f>
        <v>CONCURSO SIMPLIFICADO SUMARIO</v>
      </c>
      <c r="J517" s="3" t="str">
        <f>OBRA!P515</f>
        <v>CONSTRUCCIÓN Y EQUIPAMIENTO DE PLAZA PRINCIPAL EN CHANTEPEC, MUNICIPIO DE JOCOTEPEC, JALISCO.</v>
      </c>
      <c r="K517" s="541"/>
      <c r="L517" s="3" t="s">
        <v>6242</v>
      </c>
      <c r="M517" s="683" t="s">
        <v>4011</v>
      </c>
      <c r="N517" s="683" t="s">
        <v>2538</v>
      </c>
      <c r="O517" s="867"/>
      <c r="P517" s="4">
        <f>OBRA!R515</f>
        <v>8270578.4299999997</v>
      </c>
      <c r="Q517" s="1023">
        <f t="shared" si="28"/>
        <v>7129808.9913793104</v>
      </c>
      <c r="R517" s="1023"/>
      <c r="S517" s="6">
        <f>OBRA!S515</f>
        <v>44120</v>
      </c>
      <c r="T517" s="1134" t="str">
        <f>OBRA!V515</f>
        <v>NO APLICA</v>
      </c>
      <c r="U517" s="5">
        <f>OBRA!T515</f>
        <v>44123</v>
      </c>
      <c r="V517" s="11">
        <f>OBRA!U515</f>
        <v>44176</v>
      </c>
      <c r="W517" s="278">
        <v>2067644.6</v>
      </c>
      <c r="X517" s="1019">
        <f>OBRA!AS515+OBRA!AT515</f>
        <v>8270576.8799999999</v>
      </c>
      <c r="Y517" s="1018" t="s">
        <v>3626</v>
      </c>
      <c r="Z517" s="146" t="str">
        <f>OBRA!W515</f>
        <v>ING. SERGIO CABRERA</v>
      </c>
      <c r="AA517" s="146" t="s">
        <v>5665</v>
      </c>
      <c r="AB517" s="148" t="str">
        <f>Z517</f>
        <v>ING. SERGIO CABRERA</v>
      </c>
      <c r="AC517" s="146" t="s">
        <v>2976</v>
      </c>
      <c r="AD517" s="2" t="s">
        <v>2976</v>
      </c>
      <c r="AE517" s="183" t="str">
        <f>OBRA!X515</f>
        <v>ARQ. EDUARDO ROMERO CARRILLO</v>
      </c>
      <c r="AF517" s="19">
        <v>8536.41</v>
      </c>
      <c r="AG517" s="2" t="s">
        <v>1548</v>
      </c>
      <c r="AH517" s="615">
        <f t="shared" si="31"/>
        <v>968.8589090730178</v>
      </c>
      <c r="AI517" s="2">
        <v>3600</v>
      </c>
      <c r="AJ517" s="513">
        <v>3600</v>
      </c>
      <c r="AK517" s="513"/>
      <c r="AL517" s="1522">
        <v>20.291142000000001</v>
      </c>
      <c r="AM517" s="1523">
        <v>103.39428100000001</v>
      </c>
      <c r="AN517" s="1223" t="s">
        <v>3539</v>
      </c>
      <c r="AO517" s="1223" t="s">
        <v>3539</v>
      </c>
      <c r="AP517" s="1223" t="s">
        <v>3539</v>
      </c>
      <c r="AQ517" s="1224" t="s">
        <v>3539</v>
      </c>
      <c r="AR517" s="1224"/>
      <c r="AS517" s="1239" t="s">
        <v>3539</v>
      </c>
    </row>
    <row r="518" spans="1:45" ht="74.25" hidden="1" customHeight="1">
      <c r="A518" s="16">
        <f>OBRA!J516</f>
        <v>2020</v>
      </c>
      <c r="B518" s="783" t="s">
        <v>2094</v>
      </c>
      <c r="C518" s="783">
        <v>206.29</v>
      </c>
      <c r="D518" s="1447" t="s">
        <v>4021</v>
      </c>
      <c r="E518" s="2" t="str">
        <f>OBRA!M516</f>
        <v>FOCOCI</v>
      </c>
      <c r="F518" s="704" t="s">
        <v>3522</v>
      </c>
      <c r="G518" s="156" t="s">
        <v>2206</v>
      </c>
      <c r="H518" s="412" t="str">
        <f>OBRA!N516</f>
        <v>FOCOCI-OP-CSS-029/2020</v>
      </c>
      <c r="I518" s="2" t="str">
        <f>OBRA!O516</f>
        <v>CONCURSO SIMPLIFICADO SUMARIO</v>
      </c>
      <c r="J518" s="3" t="str">
        <f>OBRA!P516</f>
        <v>CONSTRUCCIÓN Y EQUIPAMIENTO DE PLAZA PRINCIPAL EN CHANTEPEC MUNICIPIO DE JOCOTEPEC, JALISCO". (CONSTRUCCIÓN DE EDIFICIO ADMINISTRATIVO)</v>
      </c>
      <c r="K518" s="541"/>
      <c r="L518" s="3" t="s">
        <v>6242</v>
      </c>
      <c r="M518" s="683" t="s">
        <v>4011</v>
      </c>
      <c r="N518" s="683" t="s">
        <v>2538</v>
      </c>
      <c r="O518" s="867"/>
      <c r="P518" s="4">
        <f>OBRA!R516</f>
        <v>1729413</v>
      </c>
      <c r="Q518" s="1023">
        <f t="shared" si="28"/>
        <v>1490873.2758620691</v>
      </c>
      <c r="R518" s="1023"/>
      <c r="S518" s="6">
        <f>OBRA!S516</f>
        <v>44485</v>
      </c>
      <c r="T518" s="1134" t="str">
        <f>OBRA!V516</f>
        <v>NO APLICA</v>
      </c>
      <c r="U518" s="5">
        <f>OBRA!T516</f>
        <v>44123</v>
      </c>
      <c r="V518" s="11">
        <f>OBRA!U516</f>
        <v>44196</v>
      </c>
      <c r="W518" s="883">
        <v>0</v>
      </c>
      <c r="X518" s="1019">
        <f>OBRA!AS516+OBRA!AT516</f>
        <v>1729413.01</v>
      </c>
      <c r="Y518" s="1018" t="s">
        <v>3366</v>
      </c>
      <c r="Z518" s="146" t="str">
        <f>OBRA!W516</f>
        <v xml:space="preserve">SOJO SERVICIOS DE INGENIERIA Y OBRAS, S.A. DE C.V. </v>
      </c>
      <c r="AA518" s="146" t="s">
        <v>5666</v>
      </c>
      <c r="AB518" s="148" t="s">
        <v>3342</v>
      </c>
      <c r="AC518" s="146" t="s">
        <v>3343</v>
      </c>
      <c r="AD518" s="2" t="s">
        <v>3344</v>
      </c>
      <c r="AE518" s="183" t="str">
        <f>OBRA!X516</f>
        <v>ARQ. EDUARDO ROMERO CARRILLO</v>
      </c>
      <c r="AF518" s="19">
        <v>185.76</v>
      </c>
      <c r="AG518" s="2" t="s">
        <v>1548</v>
      </c>
      <c r="AH518" s="615">
        <f t="shared" si="31"/>
        <v>9309.9322243755396</v>
      </c>
      <c r="AI518" s="2">
        <v>3600</v>
      </c>
      <c r="AJ518" s="513">
        <v>3600</v>
      </c>
      <c r="AK518" s="513"/>
      <c r="AL518" s="1522">
        <v>20.291142000000001</v>
      </c>
      <c r="AM518" s="1523">
        <v>103.39428100000001</v>
      </c>
      <c r="AN518" s="1223" t="s">
        <v>3540</v>
      </c>
      <c r="AO518" s="1223" t="s">
        <v>3540</v>
      </c>
      <c r="AP518" s="1223" t="s">
        <v>3540</v>
      </c>
      <c r="AQ518" s="1224" t="s">
        <v>3540</v>
      </c>
      <c r="AR518" s="1224"/>
      <c r="AS518" s="1239" t="s">
        <v>3540</v>
      </c>
    </row>
    <row r="519" spans="1:45" ht="78" hidden="1" customHeight="1">
      <c r="A519" s="16">
        <f>OBRA!J517</f>
        <v>2020</v>
      </c>
      <c r="B519" s="783" t="s">
        <v>2094</v>
      </c>
      <c r="C519" s="783">
        <v>206.3</v>
      </c>
      <c r="D519" s="1447" t="s">
        <v>4021</v>
      </c>
      <c r="E519" s="2" t="str">
        <f>OBRA!M517</f>
        <v>FOCOCI</v>
      </c>
      <c r="F519" s="704" t="s">
        <v>3522</v>
      </c>
      <c r="G519" s="156" t="s">
        <v>2206</v>
      </c>
      <c r="H519" s="412" t="str">
        <f>OBRA!N517</f>
        <v>FOCOCI-OP-CSS-030/2020</v>
      </c>
      <c r="I519" s="2" t="str">
        <f>OBRA!O517</f>
        <v>CONCURSO SIMPLIFICADO SUMARIO</v>
      </c>
      <c r="J519" s="3" t="str">
        <f>OBRA!P517</f>
        <v>OBRA CIVIL "INTERVENCIÓN Y RESTAURACIÓN DE MERCADO MUNICIPAL MORELOS”, UBICADO EN CALLE MORELOS EN LA CABECERA MUNICIPAL DE JOCOTEPEC, JALISCO.</v>
      </c>
      <c r="K519" s="541"/>
      <c r="L519" s="3" t="s">
        <v>6241</v>
      </c>
      <c r="M519" s="683" t="s">
        <v>4012</v>
      </c>
      <c r="N519" s="683" t="s">
        <v>1975</v>
      </c>
      <c r="O519" s="466" t="s">
        <v>4022</v>
      </c>
      <c r="P519" s="4">
        <f>OBRA!R517</f>
        <v>4896549.54</v>
      </c>
      <c r="Q519" s="1023">
        <f t="shared" si="28"/>
        <v>4221163.3965517245</v>
      </c>
      <c r="R519" s="1023"/>
      <c r="S519" s="6">
        <f>OBRA!S517</f>
        <v>44110</v>
      </c>
      <c r="T519" s="1134">
        <f>OBRA!V517</f>
        <v>44109</v>
      </c>
      <c r="U519" s="5">
        <f>OBRA!T517</f>
        <v>44130</v>
      </c>
      <c r="V519" s="11">
        <f>OBRA!U517</f>
        <v>44196</v>
      </c>
      <c r="W519" s="883">
        <v>0</v>
      </c>
      <c r="X519" s="1019">
        <f>OBRA!AS517+OBRA!AT517</f>
        <v>5170423.96</v>
      </c>
      <c r="Y519" s="1018" t="s">
        <v>3365</v>
      </c>
      <c r="Z519" s="146" t="str">
        <f>OBRA!W517</f>
        <v xml:space="preserve">DESARROLLO DAP S.A. DE C.V. </v>
      </c>
      <c r="AA519" s="146" t="s">
        <v>5666</v>
      </c>
      <c r="AB519" s="148" t="s">
        <v>3360</v>
      </c>
      <c r="AC519" s="146" t="s">
        <v>2940</v>
      </c>
      <c r="AD519" s="2" t="s">
        <v>3361</v>
      </c>
      <c r="AE519" s="183" t="str">
        <f>OBRA!X517</f>
        <v>LIC. SALVADOR CONTRERAS OLGUÍN</v>
      </c>
      <c r="AF519" s="19">
        <v>2007.25</v>
      </c>
      <c r="AG519" s="2" t="s">
        <v>1548</v>
      </c>
      <c r="AH519" s="615">
        <f t="shared" si="31"/>
        <v>2575.8744351724995</v>
      </c>
      <c r="AI519" s="2">
        <v>21500</v>
      </c>
      <c r="AJ519" s="513">
        <v>35000</v>
      </c>
      <c r="AK519" s="513"/>
      <c r="AL519" s="1522">
        <v>20.286819999999999</v>
      </c>
      <c r="AM519" s="1523">
        <v>103.43096199999999</v>
      </c>
      <c r="AN519" s="1223" t="s">
        <v>3624</v>
      </c>
      <c r="AO519" s="1223" t="s">
        <v>3624</v>
      </c>
      <c r="AP519" s="1223" t="s">
        <v>3624</v>
      </c>
      <c r="AQ519" s="1224" t="s">
        <v>3624</v>
      </c>
      <c r="AR519" s="1224"/>
      <c r="AS519" s="1239" t="s">
        <v>3624</v>
      </c>
    </row>
    <row r="520" spans="1:45" ht="73.5" hidden="1" customHeight="1">
      <c r="A520" s="16">
        <f>OBRA!J518</f>
        <v>2020</v>
      </c>
      <c r="B520" s="783" t="s">
        <v>2094</v>
      </c>
      <c r="C520" s="783">
        <v>206.31</v>
      </c>
      <c r="D520" s="1447" t="s">
        <v>4021</v>
      </c>
      <c r="E520" s="2" t="str">
        <f>OBRA!M518</f>
        <v>FOCOCI</v>
      </c>
      <c r="F520" s="605" t="s">
        <v>3522</v>
      </c>
      <c r="G520" s="156" t="s">
        <v>2206</v>
      </c>
      <c r="H520" s="412" t="str">
        <f>OBRA!N518</f>
        <v>FOCOCI-OP-CSS-031/2020</v>
      </c>
      <c r="I520" s="2" t="str">
        <f>OBRA!O518</f>
        <v>CONCURSO SIMPLIFICADO SUMARIO</v>
      </c>
      <c r="J520" s="3" t="str">
        <f>OBRA!P518</f>
        <v>"INTERVENCIÓN Y RESTAURACIÓN DE MERCADO MUNICIPAL MORELOS”, UBICADO EN CALLE MORELOS EN LA CABECERA MUNICIPAL DE JOCOTEPEC, JALISCO</v>
      </c>
      <c r="K520" s="541"/>
      <c r="L520" s="3" t="s">
        <v>6241</v>
      </c>
      <c r="M520" s="683" t="s">
        <v>4012</v>
      </c>
      <c r="N520" s="683" t="s">
        <v>1975</v>
      </c>
      <c r="O520" s="504" t="s">
        <v>4023</v>
      </c>
      <c r="P520" s="4">
        <f>OBRA!R518</f>
        <v>4629575.57</v>
      </c>
      <c r="Q520" s="1023">
        <f t="shared" si="28"/>
        <v>3991013.4224137939</v>
      </c>
      <c r="R520" s="1023"/>
      <c r="S520" s="6">
        <f>OBRA!S518</f>
        <v>44110</v>
      </c>
      <c r="T520" s="1134">
        <f>OBRA!V518</f>
        <v>44109</v>
      </c>
      <c r="U520" s="5">
        <f>OBRA!T518</f>
        <v>44164</v>
      </c>
      <c r="V520" s="11">
        <f>OBRA!U518</f>
        <v>44185</v>
      </c>
      <c r="W520" s="883">
        <v>0</v>
      </c>
      <c r="X520" s="1019">
        <f>OBRA!AS518+OBRA!AT518</f>
        <v>4629475.5599999996</v>
      </c>
      <c r="Y520" s="1018" t="s">
        <v>3365</v>
      </c>
      <c r="Z520" s="146" t="str">
        <f>OBRA!W518</f>
        <v xml:space="preserve">JUAN PABLO BALLESTEROS ARREOLA </v>
      </c>
      <c r="AA520" s="146" t="s">
        <v>5665</v>
      </c>
      <c r="AB520" s="148" t="str">
        <f>Z520</f>
        <v xml:space="preserve">JUAN PABLO BALLESTEROS ARREOLA </v>
      </c>
      <c r="AC520" s="148" t="s">
        <v>2976</v>
      </c>
      <c r="AD520" s="1090" t="s">
        <v>2976</v>
      </c>
      <c r="AE520" s="183" t="str">
        <f>OBRA!X518</f>
        <v>LIC. SALVADOR CONTRERAS OLGUÍN</v>
      </c>
      <c r="AF520" s="19">
        <v>2007.25</v>
      </c>
      <c r="AG520" s="2" t="s">
        <v>1548</v>
      </c>
      <c r="AH520" s="615">
        <f t="shared" si="31"/>
        <v>2306.3771627849046</v>
      </c>
      <c r="AI520" s="2">
        <v>21500</v>
      </c>
      <c r="AJ520" s="513">
        <v>35000</v>
      </c>
      <c r="AK520" s="513"/>
      <c r="AL520" s="1522">
        <v>20.286819999999999</v>
      </c>
      <c r="AM520" s="1523">
        <v>103.43096199999999</v>
      </c>
      <c r="AN520" s="1223" t="s">
        <v>3625</v>
      </c>
      <c r="AO520" s="1223" t="s">
        <v>3625</v>
      </c>
      <c r="AP520" s="1223" t="s">
        <v>3625</v>
      </c>
      <c r="AQ520" s="1224" t="s">
        <v>3625</v>
      </c>
      <c r="AR520" s="1224"/>
      <c r="AS520" s="1239" t="s">
        <v>3625</v>
      </c>
    </row>
    <row r="521" spans="1:45" ht="122.25" hidden="1" customHeight="1">
      <c r="A521" s="16">
        <f>OBRA!J519</f>
        <v>2020</v>
      </c>
      <c r="B521" s="783" t="s">
        <v>2094</v>
      </c>
      <c r="C521" s="783">
        <v>206.32</v>
      </c>
      <c r="D521" s="783"/>
      <c r="E521" s="2" t="str">
        <f>OBRA!M519</f>
        <v>RAMO 33</v>
      </c>
      <c r="F521" s="1431" t="s">
        <v>1428</v>
      </c>
      <c r="G521" s="156" t="s">
        <v>2206</v>
      </c>
      <c r="H521" s="412" t="str">
        <f>OBRA!N519</f>
        <v>GMJ 032C- OP/2020</v>
      </c>
      <c r="I521" s="2" t="str">
        <f>OBRA!O519</f>
        <v>ADJUDICACIÓN DIRECTA</v>
      </c>
      <c r="J521" s="3" t="str">
        <f>OBRA!P519</f>
        <v>"CONSTRUCCIÓN DE LÍNEA DE DRENAJE SANITARIO EN PRIVADA RAÚL RAMÍREZ", EN LA LOCALIDAD DE SAN JUAN COSALA DEL MUNICIPIO DE JOCOTEPEC, JALISCO.</v>
      </c>
      <c r="K521" s="3" t="s">
        <v>4154</v>
      </c>
      <c r="L521" s="3" t="s">
        <v>4747</v>
      </c>
      <c r="M521" s="683" t="s">
        <v>4087</v>
      </c>
      <c r="N521" s="683" t="s">
        <v>2524</v>
      </c>
      <c r="O521" s="504" t="s">
        <v>4023</v>
      </c>
      <c r="P521" s="4">
        <f>OBRA!R519</f>
        <v>287771.56</v>
      </c>
      <c r="Q521" s="1023">
        <f t="shared" si="28"/>
        <v>248078.93103448278</v>
      </c>
      <c r="R521" s="1023"/>
      <c r="S521" s="6">
        <f>OBRA!S519</f>
        <v>44155</v>
      </c>
      <c r="T521" s="1134">
        <f>OBRA!V519</f>
        <v>44154</v>
      </c>
      <c r="U521" s="5">
        <f>OBRA!T519</f>
        <v>44165</v>
      </c>
      <c r="V521" s="11">
        <f>OBRA!U519</f>
        <v>44180</v>
      </c>
      <c r="W521" s="220">
        <v>0</v>
      </c>
      <c r="X521" s="1019">
        <f>OBRA!AS519+OBRA!AT519</f>
        <v>287771.57</v>
      </c>
      <c r="Y521" s="1018" t="s">
        <v>4135</v>
      </c>
      <c r="Z521" s="146" t="str">
        <f>OBRA!W519</f>
        <v>SERVICIO Y CONSTRUCCIÓN NATENIO S.A. DE C.V.</v>
      </c>
      <c r="AA521" s="146" t="s">
        <v>5666</v>
      </c>
      <c r="AB521" s="148" t="s">
        <v>2805</v>
      </c>
      <c r="AC521" s="2" t="s">
        <v>2806</v>
      </c>
      <c r="AD521" s="1090" t="s">
        <v>2969</v>
      </c>
      <c r="AE521" s="183" t="str">
        <f>OBRA!X519</f>
        <v>LIC. SALVADOR CONTRERAS OLGUÍN</v>
      </c>
      <c r="AF521" s="19">
        <v>172.45</v>
      </c>
      <c r="AG521" s="2" t="s">
        <v>1451</v>
      </c>
      <c r="AH521" s="615">
        <f t="shared" si="31"/>
        <v>1668.7246738184983</v>
      </c>
      <c r="AI521" s="2">
        <v>50</v>
      </c>
      <c r="AJ521" s="513">
        <v>50</v>
      </c>
      <c r="AK521" s="513"/>
      <c r="AL521" s="1522">
        <v>20.287182999999999</v>
      </c>
      <c r="AM521" s="1523">
        <v>103.334082</v>
      </c>
      <c r="AN521" s="571" t="s">
        <v>4136</v>
      </c>
      <c r="AO521" s="571" t="s">
        <v>4136</v>
      </c>
      <c r="AP521" s="571" t="s">
        <v>4136</v>
      </c>
      <c r="AQ521" s="501" t="s">
        <v>4136</v>
      </c>
      <c r="AR521" s="501"/>
      <c r="AS521" s="1505" t="s">
        <v>4136</v>
      </c>
    </row>
    <row r="522" spans="1:45" ht="228" hidden="1" customHeight="1">
      <c r="A522" s="16">
        <f>OBRA!J520</f>
        <v>2020</v>
      </c>
      <c r="B522" s="783" t="s">
        <v>2094</v>
      </c>
      <c r="C522" s="783">
        <v>206.33</v>
      </c>
      <c r="D522" s="783"/>
      <c r="E522" s="2" t="str">
        <f>OBRA!M520</f>
        <v>RESCATE AL PATRIMONIO</v>
      </c>
      <c r="F522" s="704" t="s">
        <v>3522</v>
      </c>
      <c r="G522" s="156" t="s">
        <v>2206</v>
      </c>
      <c r="H522" s="412" t="str">
        <f>OBRA!N520</f>
        <v>GMJ 033C- OP/2020</v>
      </c>
      <c r="I522" s="2" t="str">
        <f>OBRA!O520</f>
        <v>ADJUDICACIÓN DIRECTA</v>
      </c>
      <c r="J522" s="3" t="str">
        <f>OBRA!P520</f>
        <v>"REMOZAMIENTO Y MEJORAMIENTO DE IMAGEN URBANA EN EL TEMPLO DEL SEÑOR DEL MONTE” EN LA CABECERA MUNICIPAL DE JOCOTEPEC, JALISCO</v>
      </c>
      <c r="K522" s="3" t="s">
        <v>4155</v>
      </c>
      <c r="L522" s="3" t="s">
        <v>6241</v>
      </c>
      <c r="M522" s="683" t="s">
        <v>3976</v>
      </c>
      <c r="N522" s="683" t="s">
        <v>1975</v>
      </c>
      <c r="O522" s="504" t="s">
        <v>4023</v>
      </c>
      <c r="P522" s="4">
        <f>OBRA!R520</f>
        <v>1600000</v>
      </c>
      <c r="Q522" s="1023">
        <f t="shared" ref="Q522:Q585" si="32">P522/1.16</f>
        <v>1379310.3448275863</v>
      </c>
      <c r="R522" s="1023"/>
      <c r="S522" s="6">
        <f>OBRA!S520</f>
        <v>44158</v>
      </c>
      <c r="T522" s="1134">
        <f>OBRA!V520</f>
        <v>44155</v>
      </c>
      <c r="U522" s="5">
        <f>OBRA!T520</f>
        <v>44166</v>
      </c>
      <c r="V522" s="11">
        <f>OBRA!U520</f>
        <v>44189</v>
      </c>
      <c r="W522" s="220">
        <v>0</v>
      </c>
      <c r="X522" s="1019">
        <f>OBRA!AS520+OBRA!AT520</f>
        <v>1600000</v>
      </c>
      <c r="Y522" s="1018" t="s">
        <v>3339</v>
      </c>
      <c r="Z522" s="146" t="str">
        <f>OBRA!W520</f>
        <v>CONSTRUCCIONES ADMAYAL, S.A. DE C.V</v>
      </c>
      <c r="AA522" s="146" t="s">
        <v>5666</v>
      </c>
      <c r="AB522" s="148" t="s">
        <v>3345</v>
      </c>
      <c r="AC522" s="2" t="s">
        <v>3346</v>
      </c>
      <c r="AD522" s="146" t="s">
        <v>3347</v>
      </c>
      <c r="AE522" s="183" t="str">
        <f>OBRA!X520</f>
        <v>ING. LUIS RIGOBERTO OLMEDO NAVARRO</v>
      </c>
      <c r="AF522" s="19">
        <v>2832.99</v>
      </c>
      <c r="AG522" s="2" t="s">
        <v>1548</v>
      </c>
      <c r="AH522" s="615">
        <f t="shared" si="31"/>
        <v>564.77431971168278</v>
      </c>
      <c r="AI522" s="2">
        <v>7000</v>
      </c>
      <c r="AJ522" s="513">
        <v>21500</v>
      </c>
      <c r="AK522" s="513"/>
      <c r="AL522" s="1522">
        <v>20.285461999999999</v>
      </c>
      <c r="AM522" s="1523">
        <v>103.429884</v>
      </c>
      <c r="AN522" s="1223" t="s">
        <v>3505</v>
      </c>
      <c r="AO522" s="1223" t="s">
        <v>3505</v>
      </c>
      <c r="AP522" s="1223" t="s">
        <v>3505</v>
      </c>
      <c r="AQ522" s="1224" t="s">
        <v>3505</v>
      </c>
      <c r="AR522" s="1224"/>
      <c r="AS522" s="1239" t="s">
        <v>3505</v>
      </c>
    </row>
    <row r="523" spans="1:45" ht="167.25" hidden="1" customHeight="1">
      <c r="A523" s="16">
        <f>OBRA!J521</f>
        <v>2020</v>
      </c>
      <c r="B523" s="783" t="s">
        <v>2094</v>
      </c>
      <c r="C523" s="783">
        <v>206.34</v>
      </c>
      <c r="D523" s="783"/>
      <c r="E523" s="2" t="str">
        <f>OBRA!M521</f>
        <v>RAMO 33</v>
      </c>
      <c r="F523" s="1431" t="s">
        <v>1428</v>
      </c>
      <c r="G523" s="156" t="s">
        <v>2206</v>
      </c>
      <c r="H523" s="412" t="str">
        <f>OBRA!N521</f>
        <v>GMJ 034C- OP/2020</v>
      </c>
      <c r="I523" s="2" t="str">
        <f>OBRA!O521</f>
        <v>ADJUDICACIÓN DIRECTA</v>
      </c>
      <c r="J523" s="3" t="str">
        <f>OBRA!P521</f>
        <v>"REHABILITACIÓN DE LÍNEAS HIDROSANITARIAS En CALLE CHAPULTEPEC ENTRE VICENTE GUERRERO Y CARRETERA FEDERAL Nº 15 ”, EN LA CABECERA MUNICIPAL DE JOCOTEPEC, JALISCO.</v>
      </c>
      <c r="K523" s="1323" t="s">
        <v>4156</v>
      </c>
      <c r="L523" s="1323" t="s">
        <v>6249</v>
      </c>
      <c r="M523" s="683" t="s">
        <v>4013</v>
      </c>
      <c r="N523" s="683" t="s">
        <v>1975</v>
      </c>
      <c r="O523" s="504" t="s">
        <v>4023</v>
      </c>
      <c r="P523" s="4">
        <f>OBRA!R521</f>
        <v>914194.81</v>
      </c>
      <c r="Q523" s="1023">
        <f t="shared" si="32"/>
        <v>788098.97413793113</v>
      </c>
      <c r="R523" s="1023"/>
      <c r="S523" s="6">
        <f>OBRA!S521</f>
        <v>44168</v>
      </c>
      <c r="T523" s="1134">
        <f>OBRA!V521</f>
        <v>44167</v>
      </c>
      <c r="U523" s="5">
        <f>OBRA!T521</f>
        <v>44169</v>
      </c>
      <c r="V523" s="11">
        <f>OBRA!U521</f>
        <v>44180</v>
      </c>
      <c r="W523" s="220">
        <v>0</v>
      </c>
      <c r="X523" s="1019">
        <f>OBRA!AS521+OBRA!AT521</f>
        <v>911242.76</v>
      </c>
      <c r="Y523" s="1089" t="s">
        <v>4137</v>
      </c>
      <c r="Z523" s="146" t="str">
        <f>OBRA!W521</f>
        <v>CONSTRUCCIÓN Y SUPERVISIÓN COMA S.A. DE C.V.</v>
      </c>
      <c r="AA523" s="146" t="s">
        <v>5666</v>
      </c>
      <c r="AB523" s="148" t="s">
        <v>2901</v>
      </c>
      <c r="AC523" s="148" t="s">
        <v>2890</v>
      </c>
      <c r="AD523" s="1090" t="s">
        <v>4138</v>
      </c>
      <c r="AE523" s="183" t="str">
        <f>OBRA!X521</f>
        <v>ARQ. CESAR ANTONIO ALONSO JIMENEZ</v>
      </c>
      <c r="AF523" s="19">
        <f>295.6+302.84</f>
        <v>598.44000000000005</v>
      </c>
      <c r="AG523" s="2" t="s">
        <v>1451</v>
      </c>
      <c r="AH523" s="615">
        <f t="shared" si="31"/>
        <v>1522.6969453913507</v>
      </c>
      <c r="AI523" s="2">
        <v>150</v>
      </c>
      <c r="AJ523" s="513">
        <v>300</v>
      </c>
      <c r="AK523" s="513"/>
      <c r="AL523" s="1522">
        <v>20.279247000000002</v>
      </c>
      <c r="AM523" s="1523">
        <v>103.446308</v>
      </c>
      <c r="AN523" s="571" t="s">
        <v>3662</v>
      </c>
      <c r="AO523" s="571" t="s">
        <v>3662</v>
      </c>
      <c r="AP523" s="571" t="s">
        <v>3662</v>
      </c>
      <c r="AQ523" s="501" t="s">
        <v>3662</v>
      </c>
      <c r="AR523" s="501"/>
      <c r="AS523" s="1505" t="s">
        <v>3662</v>
      </c>
    </row>
    <row r="524" spans="1:45" ht="62.25" hidden="1" customHeight="1">
      <c r="A524" s="16">
        <f>OBRA!J522</f>
        <v>2020</v>
      </c>
      <c r="B524" s="783" t="s">
        <v>2094</v>
      </c>
      <c r="C524" s="783">
        <v>206.35</v>
      </c>
      <c r="D524" s="783"/>
      <c r="E524" s="2" t="str">
        <f>OBRA!M522</f>
        <v>RASTRO DIGNO</v>
      </c>
      <c r="F524" s="605" t="s">
        <v>3522</v>
      </c>
      <c r="G524" s="156" t="s">
        <v>2206</v>
      </c>
      <c r="H524" s="412" t="str">
        <f>OBRA!N522</f>
        <v>GMJ 035C- OP/2020</v>
      </c>
      <c r="I524" s="2" t="str">
        <f>OBRA!O522</f>
        <v>ADJUDICACIÓN DIRECTA</v>
      </c>
      <c r="J524" s="3" t="str">
        <f>OBRA!P522</f>
        <v>OBRA CIVIL "REHABILITACIÓN DEL RASTRO MUNICIPAL 2DA ETAPA", DE LA CABECERA MUNICIPAL DE JOCOTEPEC, JALISCO.</v>
      </c>
      <c r="K524" s="541"/>
      <c r="L524" s="3" t="s">
        <v>6241</v>
      </c>
      <c r="M524" s="683" t="s">
        <v>2002</v>
      </c>
      <c r="N524" s="683" t="s">
        <v>1975</v>
      </c>
      <c r="O524" s="504" t="s">
        <v>4023</v>
      </c>
      <c r="P524" s="79">
        <f>OBRA!R522</f>
        <v>537866.98</v>
      </c>
      <c r="Q524" s="1023">
        <f t="shared" si="32"/>
        <v>463678.43103448278</v>
      </c>
      <c r="R524" s="1023"/>
      <c r="S524" s="67">
        <f>OBRA!S522</f>
        <v>44195</v>
      </c>
      <c r="T524" s="1134">
        <f>OBRA!V522</f>
        <v>44560</v>
      </c>
      <c r="U524" s="5">
        <f>OBRA!T522</f>
        <v>44195</v>
      </c>
      <c r="V524" s="11">
        <f>OBRA!U522</f>
        <v>44227</v>
      </c>
      <c r="W524" s="278">
        <v>134466.74</v>
      </c>
      <c r="X524" s="1098">
        <f>OBRA!AS522+OBRA!AT522</f>
        <v>0</v>
      </c>
      <c r="Y524" s="1018" t="s">
        <v>3363</v>
      </c>
      <c r="Z524" s="146" t="str">
        <f>OBRA!W522</f>
        <v>ALSERCON SA DE CV</v>
      </c>
      <c r="AA524" s="146" t="s">
        <v>5666</v>
      </c>
      <c r="AB524" s="148" t="s">
        <v>2164</v>
      </c>
      <c r="AC524" s="148" t="s">
        <v>2165</v>
      </c>
      <c r="AD524" s="146" t="s">
        <v>3364</v>
      </c>
      <c r="AE524" s="183" t="str">
        <f>OBRA!X522</f>
        <v>ARQ. JAIME CONDE GOMEZ</v>
      </c>
      <c r="AF524" s="161"/>
      <c r="AG524" s="2" t="s">
        <v>1548</v>
      </c>
      <c r="AH524" s="551" t="e">
        <f t="shared" si="31"/>
        <v>#DIV/0!</v>
      </c>
      <c r="AI524" s="2">
        <v>250</v>
      </c>
      <c r="AJ524" s="513">
        <v>49000</v>
      </c>
      <c r="AK524" s="513"/>
      <c r="AL524" s="1522">
        <v>20.279305999999998</v>
      </c>
      <c r="AM524" s="1523">
        <v>103.44510099999999</v>
      </c>
      <c r="AN524" s="1277" t="s">
        <v>4157</v>
      </c>
      <c r="AO524" s="573"/>
      <c r="AP524" s="573"/>
      <c r="AQ524" s="506"/>
      <c r="AR524" s="506"/>
      <c r="AS524" s="1268"/>
    </row>
    <row r="525" spans="1:45" ht="45.75" hidden="1" customHeight="1">
      <c r="A525" s="16">
        <f>OBRA!J523</f>
        <v>2020</v>
      </c>
      <c r="B525" s="783" t="s">
        <v>2094</v>
      </c>
      <c r="C525" s="783">
        <v>206.36</v>
      </c>
      <c r="D525" s="783"/>
      <c r="E525" s="510">
        <f>OBRA!M523</f>
        <v>0</v>
      </c>
      <c r="F525" s="511"/>
      <c r="G525" s="156" t="s">
        <v>2206</v>
      </c>
      <c r="H525" s="412" t="str">
        <f>OBRA!N523</f>
        <v>GMJ 036C- OP/2020</v>
      </c>
      <c r="I525" s="510" t="str">
        <f>OBRA!O523</f>
        <v>CANCELADA</v>
      </c>
      <c r="J525" s="541" t="str">
        <f>OBRA!P523</f>
        <v>CONTRATO CANCELADO</v>
      </c>
      <c r="K525" s="541"/>
      <c r="L525" s="541"/>
      <c r="M525" s="541" t="s">
        <v>68</v>
      </c>
      <c r="N525" s="541"/>
      <c r="O525" s="541"/>
      <c r="P525" s="63">
        <f>OBRA!R523</f>
        <v>0</v>
      </c>
      <c r="Q525" s="1023">
        <f t="shared" si="32"/>
        <v>0</v>
      </c>
      <c r="R525" s="1023"/>
      <c r="S525" s="195">
        <f>OBRA!S523</f>
        <v>0</v>
      </c>
      <c r="T525" s="1198">
        <f>OBRA!V523</f>
        <v>0</v>
      </c>
      <c r="U525" s="474">
        <f>OBRA!T523</f>
        <v>0</v>
      </c>
      <c r="V525" s="509">
        <f>OBRA!U523</f>
        <v>0</v>
      </c>
      <c r="W525" s="1015"/>
      <c r="X525" s="1098">
        <f>OBRA!AS523+OBRA!AT523</f>
        <v>0</v>
      </c>
      <c r="Y525" s="1017"/>
      <c r="Z525" s="163">
        <f>OBRA!W523</f>
        <v>0</v>
      </c>
      <c r="AA525" s="163" t="s">
        <v>5665</v>
      </c>
      <c r="AB525" s="1169">
        <f>Z525</f>
        <v>0</v>
      </c>
      <c r="AC525" s="1169"/>
      <c r="AD525" s="163"/>
      <c r="AE525" s="551">
        <f>OBRA!X523</f>
        <v>0</v>
      </c>
      <c r="AF525" s="161"/>
      <c r="AG525" s="510"/>
      <c r="AH525" s="551" t="e">
        <f t="shared" si="31"/>
        <v>#DIV/0!</v>
      </c>
      <c r="AI525" s="510"/>
      <c r="AJ525" s="506"/>
      <c r="AK525" s="506"/>
      <c r="AL525" s="635"/>
      <c r="AM525" s="1517"/>
      <c r="AN525" s="573"/>
      <c r="AO525" s="573"/>
      <c r="AP525" s="573"/>
      <c r="AQ525" s="506"/>
      <c r="AR525" s="506"/>
      <c r="AS525" s="1268"/>
    </row>
    <row r="526" spans="1:45" ht="54" hidden="1" customHeight="1">
      <c r="A526" s="16">
        <f>OBRA!J524</f>
        <v>2020</v>
      </c>
      <c r="B526" s="783" t="s">
        <v>2094</v>
      </c>
      <c r="C526" s="783">
        <v>206.37</v>
      </c>
      <c r="D526" s="783"/>
      <c r="E526" s="2" t="str">
        <f>OBRA!M524</f>
        <v>RAMO 33</v>
      </c>
      <c r="F526" s="18" t="s">
        <v>1428</v>
      </c>
      <c r="G526" s="156" t="s">
        <v>2206</v>
      </c>
      <c r="H526" s="412" t="str">
        <f>OBRA!N524</f>
        <v>GMJ 037C- OP/2020</v>
      </c>
      <c r="I526" s="2" t="str">
        <f>OBRA!O524</f>
        <v>ADJUDICACIÓN DIRECTA</v>
      </c>
      <c r="J526" s="3" t="str">
        <f>OBRA!P524</f>
        <v>"CONSTRUCCIÓN DE BANQUETAS EN UNIDAD DEPORTIVA ZARAGOZA” EN LA CABECERA MUNICIPAL DE JOCOTEPEC, JALISCO.</v>
      </c>
      <c r="K526" s="541"/>
      <c r="L526" s="3" t="s">
        <v>4748</v>
      </c>
      <c r="M526" s="683" t="s">
        <v>3995</v>
      </c>
      <c r="N526" s="683" t="s">
        <v>1975</v>
      </c>
      <c r="O526" s="529" t="s">
        <v>4023</v>
      </c>
      <c r="P526" s="4">
        <f>OBRA!R524</f>
        <v>229496.26</v>
      </c>
      <c r="Q526" s="1023">
        <f t="shared" si="32"/>
        <v>197841.60344827588</v>
      </c>
      <c r="R526" s="1023"/>
      <c r="S526" s="6">
        <f>OBRA!S524</f>
        <v>44168</v>
      </c>
      <c r="T526" s="1134">
        <f>OBRA!V524</f>
        <v>44167</v>
      </c>
      <c r="U526" s="5">
        <f>OBRA!T524</f>
        <v>44172</v>
      </c>
      <c r="V526" s="11">
        <f>OBRA!U524</f>
        <v>44184</v>
      </c>
      <c r="W526" s="220">
        <v>0</v>
      </c>
      <c r="X526" s="1019">
        <f>OBRA!AS524+OBRA!AT524</f>
        <v>229496.26</v>
      </c>
      <c r="Y526" s="1018" t="s">
        <v>3340</v>
      </c>
      <c r="Z526" s="146" t="str">
        <f>OBRA!W524</f>
        <v>PLANOS Y OBRAS LODEIRO S.A. DE C.V.</v>
      </c>
      <c r="AA526" s="146" t="s">
        <v>5666</v>
      </c>
      <c r="AB526" s="148" t="s">
        <v>3348</v>
      </c>
      <c r="AC526" s="2" t="s">
        <v>3349</v>
      </c>
      <c r="AD526" s="146" t="s">
        <v>3350</v>
      </c>
      <c r="AE526" s="183" t="str">
        <f>OBRA!X524</f>
        <v>ING. RIGOBERTO OR / ARQ. JAIME CONDE</v>
      </c>
      <c r="AF526" s="19">
        <v>251.6</v>
      </c>
      <c r="AG526" s="2" t="s">
        <v>1548</v>
      </c>
      <c r="AH526" s="615">
        <f t="shared" si="31"/>
        <v>912.14729729729731</v>
      </c>
      <c r="AI526" s="2">
        <v>2000</v>
      </c>
      <c r="AJ526" s="513">
        <v>22000</v>
      </c>
      <c r="AK526" s="513"/>
      <c r="AL526" s="1522">
        <v>20.292607</v>
      </c>
      <c r="AM526" s="1523">
        <v>103.435622</v>
      </c>
      <c r="AN526" s="1277" t="s">
        <v>3790</v>
      </c>
      <c r="AO526" s="1223" t="s">
        <v>3790</v>
      </c>
      <c r="AP526" s="1223" t="s">
        <v>3790</v>
      </c>
      <c r="AQ526" s="1224" t="s">
        <v>3790</v>
      </c>
      <c r="AR526" s="1224"/>
      <c r="AS526" s="1239" t="s">
        <v>3790</v>
      </c>
    </row>
    <row r="527" spans="1:45" ht="106.5" hidden="1" customHeight="1">
      <c r="A527" s="16">
        <f>OBRA!J525</f>
        <v>2020</v>
      </c>
      <c r="B527" s="783" t="s">
        <v>2094</v>
      </c>
      <c r="C527" s="783">
        <v>206.38</v>
      </c>
      <c r="D527" s="783"/>
      <c r="E527" s="2" t="str">
        <f>OBRA!M525</f>
        <v>CUENTA CORRIENTE</v>
      </c>
      <c r="F527" s="18" t="s">
        <v>1428</v>
      </c>
      <c r="G527" s="156" t="s">
        <v>2206</v>
      </c>
      <c r="H527" s="412" t="str">
        <f>OBRA!N525</f>
        <v>GMJ 038C- OP/2020</v>
      </c>
      <c r="I527" s="2" t="str">
        <f>OBRA!O525</f>
        <v>ADJUDICACIÓN DIRECTA</v>
      </c>
      <c r="J527" s="3" t="str">
        <f>OBRA!P525</f>
        <v>"CONSTRUCCIÓN DE DEPÓSITO DE AGUA, LINEA DE LLENADO Y DISTRIBUCCIÓN DE AGUA POTABLE EN CUARTEL DE LA GUARDIA NACIONAL", PARA ABASTECER ZONA 6 EN CRUCERO A LA DELEGACIÓN DE POTRERILLOS DEL MUNICIPIO DE JOCOTEPEC, JALISCO.</v>
      </c>
      <c r="K527" s="1407"/>
      <c r="L527" s="1175" t="s">
        <v>5417</v>
      </c>
      <c r="M527" s="683" t="s">
        <v>4014</v>
      </c>
      <c r="N527" s="683" t="s">
        <v>3776</v>
      </c>
      <c r="O527" s="504" t="s">
        <v>4023</v>
      </c>
      <c r="P527" s="4">
        <f>OBRA!R525</f>
        <v>868714.16</v>
      </c>
      <c r="Q527" s="1023">
        <f t="shared" si="32"/>
        <v>748891.51724137936</v>
      </c>
      <c r="R527" s="1023"/>
      <c r="S527" s="6">
        <f>OBRA!S525</f>
        <v>44548</v>
      </c>
      <c r="T527" s="1134">
        <f>OBRA!V525</f>
        <v>44181</v>
      </c>
      <c r="U527" s="5">
        <f>OBRA!T525</f>
        <v>44194</v>
      </c>
      <c r="V527" s="11">
        <f>OBRA!U525</f>
        <v>44284</v>
      </c>
      <c r="W527" s="278">
        <v>217178.54</v>
      </c>
      <c r="X527" s="1098">
        <f>OBRA!AS525+OBRA!AT525</f>
        <v>0</v>
      </c>
      <c r="Y527" s="1018" t="s">
        <v>3341</v>
      </c>
      <c r="Z527" s="146" t="str">
        <f>OBRA!W525</f>
        <v>ALSERCON SA DE CV</v>
      </c>
      <c r="AA527" s="146" t="s">
        <v>5666</v>
      </c>
      <c r="AB527" s="148" t="s">
        <v>2164</v>
      </c>
      <c r="AC527" s="2" t="s">
        <v>2165</v>
      </c>
      <c r="AD527" s="146" t="s">
        <v>2759</v>
      </c>
      <c r="AE527" s="183" t="str">
        <f>OBRA!X525</f>
        <v>ARQ. JAIME CONDE GOMEZ</v>
      </c>
      <c r="AF527" s="19">
        <v>462.05</v>
      </c>
      <c r="AG527" s="2" t="s">
        <v>1548</v>
      </c>
      <c r="AH527" s="551">
        <f t="shared" si="31"/>
        <v>0</v>
      </c>
      <c r="AI527" s="2">
        <v>350</v>
      </c>
      <c r="AJ527" s="513">
        <v>500</v>
      </c>
      <c r="AK527" s="513"/>
      <c r="AL527" s="1522">
        <v>20.297528</v>
      </c>
      <c r="AM527" s="1523">
        <v>103.47035</v>
      </c>
      <c r="AN527" s="1277" t="s">
        <v>3651</v>
      </c>
      <c r="AO527" s="1223" t="s">
        <v>3651</v>
      </c>
      <c r="AP527" s="1223" t="s">
        <v>3651</v>
      </c>
      <c r="AQ527" s="1224" t="s">
        <v>3651</v>
      </c>
      <c r="AR527" s="1224"/>
      <c r="AS527" s="1268"/>
    </row>
    <row r="528" spans="1:45" ht="144.75" customHeight="1">
      <c r="A528" s="16">
        <f>OBRA!J526</f>
        <v>2021</v>
      </c>
      <c r="B528" s="783" t="s">
        <v>2094</v>
      </c>
      <c r="C528" s="783">
        <f>OBRA!K526</f>
        <v>211004</v>
      </c>
      <c r="D528" s="783" t="s">
        <v>551</v>
      </c>
      <c r="E528" s="2" t="str">
        <f>OBRA!M526</f>
        <v>FOCOCI</v>
      </c>
      <c r="F528" s="704" t="s">
        <v>3805</v>
      </c>
      <c r="G528" s="156" t="s">
        <v>2206</v>
      </c>
      <c r="H528" s="412" t="str">
        <f>OBRA!N526</f>
        <v>CONV/FOCOCI/004-2021</v>
      </c>
      <c r="I528" s="2" t="str">
        <f>OBRA!O526</f>
        <v>CONVENIO</v>
      </c>
      <c r="J528"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175"/>
      <c r="L528" s="1175"/>
      <c r="M528" s="3" t="s">
        <v>4060</v>
      </c>
      <c r="N528" s="3" t="s">
        <v>2575</v>
      </c>
      <c r="O528" s="504" t="s">
        <v>3805</v>
      </c>
      <c r="P528" s="79">
        <f>OBRA!R526</f>
        <v>9000000</v>
      </c>
      <c r="Q528" s="1023">
        <f t="shared" si="32"/>
        <v>7758620.6896551726</v>
      </c>
      <c r="R528" s="1023"/>
      <c r="S528" s="67">
        <f>OBRA!S526</f>
        <v>44251</v>
      </c>
      <c r="T528" s="1134" t="str">
        <f>OBRA!V526</f>
        <v>-</v>
      </c>
      <c r="U528" s="5">
        <f>OBRA!T526</f>
        <v>44251</v>
      </c>
      <c r="V528" s="11">
        <f>OBRA!U526</f>
        <v>44469</v>
      </c>
      <c r="W528" s="1195">
        <v>0</v>
      </c>
      <c r="X528" s="1019">
        <f>X576+X577</f>
        <v>9000000</v>
      </c>
      <c r="Y528" s="1018" t="s">
        <v>68</v>
      </c>
      <c r="Z528" s="146" t="s">
        <v>68</v>
      </c>
      <c r="AA528" s="146" t="s">
        <v>68</v>
      </c>
      <c r="AB528" s="148" t="s">
        <v>68</v>
      </c>
      <c r="AC528" s="146" t="s">
        <v>68</v>
      </c>
      <c r="AD528" s="2" t="s">
        <v>68</v>
      </c>
      <c r="AE528" s="183" t="str">
        <f>OBRA!X526</f>
        <v>N/A</v>
      </c>
      <c r="AF528" s="19" t="s">
        <v>68</v>
      </c>
      <c r="AG528" s="2" t="s">
        <v>68</v>
      </c>
      <c r="AH528" s="183" t="s">
        <v>1177</v>
      </c>
      <c r="AI528" s="2">
        <v>350</v>
      </c>
      <c r="AJ528" s="513">
        <v>500</v>
      </c>
      <c r="AK528" s="513"/>
      <c r="AL528" s="1513"/>
      <c r="AM528" s="1514"/>
      <c r="AN528" s="571" t="s">
        <v>3805</v>
      </c>
      <c r="AO528" s="571" t="s">
        <v>68</v>
      </c>
      <c r="AP528" s="571" t="s">
        <v>68</v>
      </c>
      <c r="AQ528" s="513" t="s">
        <v>68</v>
      </c>
      <c r="AR528" s="513"/>
      <c r="AS528" s="1427" t="s">
        <v>68</v>
      </c>
    </row>
    <row r="529" spans="1:45" s="1050" customFormat="1" ht="113.25" hidden="1" customHeight="1">
      <c r="A529" s="532">
        <f>OBRA!J527</f>
        <v>2021</v>
      </c>
      <c r="B529" s="1490" t="s">
        <v>2094</v>
      </c>
      <c r="C529" s="783">
        <f>OBRA!K527</f>
        <v>212001</v>
      </c>
      <c r="D529" s="1490" t="s">
        <v>551</v>
      </c>
      <c r="E529" s="186" t="str">
        <f>OBRA!M527</f>
        <v>CUENTA CORRIENTE</v>
      </c>
      <c r="F529" s="1464" t="s">
        <v>1428</v>
      </c>
      <c r="G529" s="577" t="s">
        <v>2206</v>
      </c>
      <c r="H529" s="1491" t="str">
        <f>OBRA!N527</f>
        <v>DOP/AD/001/2021</v>
      </c>
      <c r="I529" s="186" t="str">
        <f>OBRA!O527</f>
        <v>CANCELADA</v>
      </c>
      <c r="J529" s="106" t="str">
        <f>OBRA!P527</f>
        <v>"CONSTRUCCIÓN DE PUENTE PEATONAL EN CALLE LIBERTAD Y CALLE 5 DE MAYO" EN LA DELEGACIÓN DE ZAPOTITÁN DE HIDALGO, DEL MUNICIPIO DE JOCOTEPEC, JALISCO.</v>
      </c>
      <c r="K529" s="106"/>
      <c r="L529" s="106"/>
      <c r="M529" s="106" t="s">
        <v>4081</v>
      </c>
      <c r="N529" s="106" t="s">
        <v>3623</v>
      </c>
      <c r="O529" s="106"/>
      <c r="P529" s="1064">
        <f>OBRA!R527</f>
        <v>710000</v>
      </c>
      <c r="Q529" s="1064">
        <f t="shared" si="32"/>
        <v>612068.96551724139</v>
      </c>
      <c r="R529" s="1064"/>
      <c r="S529" s="1463">
        <f>OBRA!S527</f>
        <v>44221</v>
      </c>
      <c r="T529" s="1492" t="str">
        <f>OBRA!V527</f>
        <v>-</v>
      </c>
      <c r="U529" s="1071">
        <f>OBRA!T527</f>
        <v>44222</v>
      </c>
      <c r="V529" s="1077">
        <f>OBRA!U527</f>
        <v>44377</v>
      </c>
      <c r="W529" s="1467">
        <v>0</v>
      </c>
      <c r="X529" s="1494">
        <f>OBRA!AS527+OBRA!AT527</f>
        <v>0</v>
      </c>
      <c r="Y529" s="1495" t="s">
        <v>3482</v>
      </c>
      <c r="Z529" s="1496" t="str">
        <f>OBRA!W527</f>
        <v>N/A</v>
      </c>
      <c r="AA529" s="146" t="s">
        <v>68</v>
      </c>
      <c r="AB529" s="1502" t="str">
        <f>Z529</f>
        <v>N/A</v>
      </c>
      <c r="AC529" s="1496" t="s">
        <v>1177</v>
      </c>
      <c r="AD529" s="1502" t="s">
        <v>1177</v>
      </c>
      <c r="AE529" s="1497" t="str">
        <f>OBRA!X527</f>
        <v>ING. LUIS RIGOBERTO OLMEDO NAVARRO</v>
      </c>
      <c r="AF529" s="829"/>
      <c r="AG529" s="186"/>
      <c r="AH529" s="1497" t="e">
        <f t="shared" ref="AH529:AH548" si="33">X529/AF529</f>
        <v>#DIV/0!</v>
      </c>
      <c r="AI529" s="186">
        <v>500</v>
      </c>
      <c r="AJ529" s="516">
        <v>3000</v>
      </c>
      <c r="AK529" s="516"/>
      <c r="AL529" s="1520" t="s">
        <v>68</v>
      </c>
      <c r="AM529" s="1521" t="s">
        <v>68</v>
      </c>
      <c r="AN529" s="1503"/>
      <c r="AO529" s="1503"/>
      <c r="AP529" s="1503"/>
      <c r="AQ529" s="516"/>
      <c r="AR529" s="516"/>
      <c r="AS529" s="1499"/>
    </row>
    <row r="530" spans="1:45" ht="103.5" customHeight="1">
      <c r="A530" s="16">
        <f>OBRA!J528</f>
        <v>2021</v>
      </c>
      <c r="B530" s="783" t="s">
        <v>2094</v>
      </c>
      <c r="C530" s="783">
        <f>OBRA!K528</f>
        <v>212002</v>
      </c>
      <c r="D530" s="783" t="s">
        <v>551</v>
      </c>
      <c r="E530" s="2" t="str">
        <f>OBRA!M528</f>
        <v>CUENTA CORRIENTE</v>
      </c>
      <c r="F530" s="18" t="s">
        <v>1428</v>
      </c>
      <c r="G530" s="156" t="s">
        <v>2206</v>
      </c>
      <c r="H530" s="412" t="str">
        <f>OBRA!N528</f>
        <v>DOP/AD/002/2021</v>
      </c>
      <c r="I530" s="2" t="str">
        <f>OBRA!O528</f>
        <v>ADMINISTRACIÓN DIRECTA</v>
      </c>
      <c r="J530" s="3" t="str">
        <f>OBRA!P528</f>
        <v>"SUMINISTRO Y COLOCACIÓN DE TECHUMBRE EN CANCHA DE USOS MULTIPLES" UBICADA EN CALLES PEDRO MORENO Y MORELOS, ABASOLO Y 16 DE SEPTIEMBRE, EN LA DELEGACIÓN DE ZAPOTITÁN DE HIDALGO, DEL MUNICIPIO DE JOCOTEPEC, JALISCO.</v>
      </c>
      <c r="K530" s="3"/>
      <c r="L530" s="3" t="s">
        <v>6251</v>
      </c>
      <c r="M530" s="3" t="s">
        <v>3862</v>
      </c>
      <c r="N530" s="3" t="s">
        <v>3623</v>
      </c>
      <c r="O530" s="504" t="s">
        <v>3933</v>
      </c>
      <c r="P530" s="79">
        <f>OBRA!R528</f>
        <v>650000</v>
      </c>
      <c r="Q530" s="1023">
        <f t="shared" si="32"/>
        <v>560344.82758620696</v>
      </c>
      <c r="R530" s="1023"/>
      <c r="S530" s="67">
        <f>OBRA!S528</f>
        <v>44221</v>
      </c>
      <c r="T530" s="1134" t="str">
        <f>OBRA!V528</f>
        <v>-</v>
      </c>
      <c r="U530" s="5">
        <f>OBRA!T528</f>
        <v>44222</v>
      </c>
      <c r="V530" s="11">
        <f>OBRA!U528</f>
        <v>44377</v>
      </c>
      <c r="W530" s="220">
        <v>0</v>
      </c>
      <c r="X530" s="1019">
        <f>OBRA!AS528+OBRA!AT528</f>
        <v>693456.15999999992</v>
      </c>
      <c r="Y530" s="1018" t="s">
        <v>3484</v>
      </c>
      <c r="Z530" s="146" t="str">
        <f>OBRA!W528</f>
        <v>N/A</v>
      </c>
      <c r="AA530" s="146" t="s">
        <v>68</v>
      </c>
      <c r="AB530" s="148" t="str">
        <f t="shared" ref="AB530:AB541" si="34">Z530</f>
        <v>N/A</v>
      </c>
      <c r="AC530" s="146" t="s">
        <v>1177</v>
      </c>
      <c r="AD530" s="148" t="s">
        <v>1177</v>
      </c>
      <c r="AE530" s="183" t="str">
        <f>OBRA!X528</f>
        <v xml:space="preserve">ING. ENRIQUE ENRÍQUEZ VÁZQUEZ </v>
      </c>
      <c r="AF530" s="19">
        <v>567.16999999999996</v>
      </c>
      <c r="AG530" s="2" t="s">
        <v>1548</v>
      </c>
      <c r="AH530" s="183">
        <f t="shared" si="33"/>
        <v>1222.6601548036742</v>
      </c>
      <c r="AI530" s="2"/>
      <c r="AJ530" s="513"/>
      <c r="AK530" s="513"/>
      <c r="AL530" s="1522">
        <v>20.327221999999999</v>
      </c>
      <c r="AM530" s="1523">
        <v>103.480161</v>
      </c>
      <c r="AN530" s="571" t="s">
        <v>3933</v>
      </c>
      <c r="AO530" s="571"/>
      <c r="AP530" s="571"/>
      <c r="AQ530" s="513"/>
      <c r="AR530" s="513"/>
      <c r="AS530" s="124"/>
    </row>
    <row r="531" spans="1:45" ht="115.5" customHeight="1">
      <c r="A531" s="16">
        <f>OBRA!J529</f>
        <v>2021</v>
      </c>
      <c r="B531" s="783" t="s">
        <v>2094</v>
      </c>
      <c r="C531" s="783">
        <f>OBRA!K529</f>
        <v>212003</v>
      </c>
      <c r="D531" s="783" t="s">
        <v>551</v>
      </c>
      <c r="E531" s="2" t="str">
        <f>OBRA!M529</f>
        <v>RAMO 33</v>
      </c>
      <c r="F531" s="18" t="s">
        <v>1428</v>
      </c>
      <c r="G531" s="156" t="s">
        <v>2206</v>
      </c>
      <c r="H531" s="412" t="str">
        <f>OBRA!N529</f>
        <v>DOP/AD/003/2021</v>
      </c>
      <c r="I531" s="2" t="str">
        <f>OBRA!O529</f>
        <v>ADMINISTRACIÓN DIRECTA</v>
      </c>
      <c r="J531" s="3" t="str">
        <f>OBRA!P529</f>
        <v>"REHABILITACIÓN DE LÍNEA DE AGUA POTABLE EN CALLE MORELOS DE CALLE RICO A CALLE RIVERA DEL LAGO Y REHABILITACIÓN DE LÍNEA DE DRENAJE SANITARIO EN CALLE MORELOS DE CALLE RICO HASTA MALECÓN", EN LA CABECERA MUNICIPAL DE JOCOTEPEC, JALISCO, (NEXTIPAC).</v>
      </c>
      <c r="K531" s="3"/>
      <c r="L531" s="3" t="s">
        <v>4745</v>
      </c>
      <c r="M531" s="3" t="s">
        <v>6278</v>
      </c>
      <c r="N531" s="3" t="s">
        <v>1975</v>
      </c>
      <c r="O531" s="504" t="s">
        <v>3933</v>
      </c>
      <c r="P531" s="79">
        <f>OBRA!R529</f>
        <v>174639.07</v>
      </c>
      <c r="Q531" s="1023">
        <f t="shared" si="32"/>
        <v>150550.92241379313</v>
      </c>
      <c r="R531" s="1023"/>
      <c r="S531" s="67">
        <f>OBRA!S529</f>
        <v>44435</v>
      </c>
      <c r="T531" s="1134" t="str">
        <f>OBRA!V529</f>
        <v>-</v>
      </c>
      <c r="U531" s="5">
        <f>OBRA!T529</f>
        <v>44440</v>
      </c>
      <c r="V531" s="11">
        <f>OBRA!U529</f>
        <v>44455</v>
      </c>
      <c r="W531" s="220">
        <v>0</v>
      </c>
      <c r="X531" s="1019">
        <f>OBRA!AS529+OBRA!AT529</f>
        <v>0</v>
      </c>
      <c r="Y531" s="1018" t="s">
        <v>3483</v>
      </c>
      <c r="Z531" s="146" t="str">
        <f>OBRA!W529</f>
        <v>N/A</v>
      </c>
      <c r="AA531" s="146" t="s">
        <v>68</v>
      </c>
      <c r="AB531" s="148" t="str">
        <f t="shared" si="34"/>
        <v>N/A</v>
      </c>
      <c r="AC531" s="146" t="s">
        <v>1177</v>
      </c>
      <c r="AD531" s="148" t="s">
        <v>1177</v>
      </c>
      <c r="AE531" s="183" t="str">
        <f>OBRA!X529</f>
        <v>ING. J. GUADALUPE IBARRA RAMIREZ</v>
      </c>
      <c r="AF531" s="19">
        <v>48.83</v>
      </c>
      <c r="AG531" s="2" t="s">
        <v>1451</v>
      </c>
      <c r="AH531" s="183">
        <f t="shared" si="33"/>
        <v>0</v>
      </c>
      <c r="AI531" s="2"/>
      <c r="AJ531" s="513"/>
      <c r="AK531" s="513"/>
      <c r="AL531" s="1522">
        <v>20.287732999999999</v>
      </c>
      <c r="AM531" s="1523">
        <v>103.416605</v>
      </c>
      <c r="AN531" s="571" t="s">
        <v>3933</v>
      </c>
      <c r="AO531" s="571"/>
      <c r="AP531" s="571"/>
      <c r="AQ531" s="513"/>
      <c r="AR531" s="513"/>
      <c r="AS531" s="124"/>
    </row>
    <row r="532" spans="1:45" ht="75.75" customHeight="1">
      <c r="A532" s="16">
        <f>OBRA!J530</f>
        <v>2021</v>
      </c>
      <c r="B532" s="783" t="s">
        <v>2094</v>
      </c>
      <c r="C532" s="783">
        <f>OBRA!K530</f>
        <v>212004</v>
      </c>
      <c r="D532" s="783" t="s">
        <v>551</v>
      </c>
      <c r="E532" s="2" t="str">
        <f>OBRA!M530</f>
        <v>CUENTA CORRIENTE</v>
      </c>
      <c r="F532" s="18" t="s">
        <v>1428</v>
      </c>
      <c r="G532" s="156" t="s">
        <v>2206</v>
      </c>
      <c r="H532" s="412" t="str">
        <f>OBRA!N530</f>
        <v>DOP/AD/004/2021</v>
      </c>
      <c r="I532" s="2" t="str">
        <f>OBRA!O530</f>
        <v>ADMINISTRACIÓN DIRECTA</v>
      </c>
      <c r="J532" s="3" t="str">
        <f>OBRA!P530</f>
        <v>"REHABILITACIÓN DE PISOS EN AULAS DE LA ESCUELA PRIMARIA JOSE SANTANA", EN LA CABECERA MUNICIPAL DE JOCOTEPEC, JALISCO.</v>
      </c>
      <c r="K532" s="3"/>
      <c r="L532" s="3" t="s">
        <v>4759</v>
      </c>
      <c r="M532" s="3" t="s">
        <v>3863</v>
      </c>
      <c r="N532" s="3" t="s">
        <v>1975</v>
      </c>
      <c r="O532" s="3"/>
      <c r="P532" s="79">
        <f>OBRA!R530</f>
        <v>27000</v>
      </c>
      <c r="Q532" s="1023">
        <f t="shared" si="32"/>
        <v>23275.862068965518</v>
      </c>
      <c r="R532" s="1023"/>
      <c r="S532" s="67">
        <f>OBRA!S530</f>
        <v>44225</v>
      </c>
      <c r="T532" s="1134" t="str">
        <f>OBRA!V530</f>
        <v>-</v>
      </c>
      <c r="U532" s="5">
        <f>OBRA!T530</f>
        <v>44228</v>
      </c>
      <c r="V532" s="11">
        <f>OBRA!U530</f>
        <v>44250</v>
      </c>
      <c r="W532" s="220">
        <v>0</v>
      </c>
      <c r="X532" s="1019">
        <f>OBRA!AS530+OBRA!AT530</f>
        <v>0</v>
      </c>
      <c r="Y532" s="1018" t="s">
        <v>3483</v>
      </c>
      <c r="Z532" s="146" t="str">
        <f>OBRA!W530</f>
        <v>N/A</v>
      </c>
      <c r="AA532" s="146" t="s">
        <v>68</v>
      </c>
      <c r="AB532" s="148" t="str">
        <f t="shared" si="34"/>
        <v>N/A</v>
      </c>
      <c r="AC532" s="146" t="s">
        <v>1177</v>
      </c>
      <c r="AD532" s="148" t="s">
        <v>1177</v>
      </c>
      <c r="AE532" s="183" t="str">
        <f>OBRA!X530</f>
        <v>LIC. SALVADOR CONTRERAS OLGUÍN</v>
      </c>
      <c r="AF532" s="19"/>
      <c r="AG532" s="2" t="s">
        <v>1548</v>
      </c>
      <c r="AH532" s="183" t="e">
        <f t="shared" si="33"/>
        <v>#DIV/0!</v>
      </c>
      <c r="AI532" s="2">
        <v>250</v>
      </c>
      <c r="AJ532" s="513">
        <v>950</v>
      </c>
      <c r="AK532" s="513"/>
      <c r="AL532" s="1522">
        <v>20.284606</v>
      </c>
      <c r="AM532" s="1523">
        <v>103.42886799999999</v>
      </c>
      <c r="AN532" s="571"/>
      <c r="AO532" s="571"/>
      <c r="AP532" s="571"/>
      <c r="AQ532" s="513"/>
      <c r="AR532" s="513"/>
      <c r="AS532" s="124"/>
    </row>
    <row r="533" spans="1:45" ht="86.25" customHeight="1">
      <c r="A533" s="16">
        <f>OBRA!J531</f>
        <v>2021</v>
      </c>
      <c r="B533" s="783" t="s">
        <v>2094</v>
      </c>
      <c r="C533" s="783">
        <f>OBRA!K531</f>
        <v>212005</v>
      </c>
      <c r="D533" s="783" t="s">
        <v>551</v>
      </c>
      <c r="E533" s="2" t="str">
        <f>OBRA!M531</f>
        <v>CUENTA CORRIENTE</v>
      </c>
      <c r="F533" s="18" t="s">
        <v>1428</v>
      </c>
      <c r="G533" s="156" t="s">
        <v>2206</v>
      </c>
      <c r="H533" s="412" t="str">
        <f>OBRA!N531</f>
        <v>DOP/AD/005/2021</v>
      </c>
      <c r="I533" s="2" t="str">
        <f>OBRA!O531</f>
        <v>ADMINISTRACIÓN DIRECTA</v>
      </c>
      <c r="J533" s="3" t="str">
        <f>OBRA!P531</f>
        <v>"MANO DE OBRA PARA LA REACTIVACIÓN DE LÍNEAS HIDROSANITARIAS EN CALLE JUÁREZ, CALLE 30 DE SEPTIEMBRE Y C. 5 DE MAYO", EN LA DELEGACIÓN DE HUEJOTITÁN, DEL MUNICIPIO DE JOCOTEPEC, JALISCO.</v>
      </c>
      <c r="K533" s="3"/>
      <c r="L533" s="3" t="s">
        <v>6249</v>
      </c>
      <c r="M533" s="3" t="s">
        <v>3861</v>
      </c>
      <c r="N533" s="3" t="s">
        <v>2506</v>
      </c>
      <c r="O533" s="3"/>
      <c r="P533" s="79">
        <f>OBRA!R531</f>
        <v>266000</v>
      </c>
      <c r="Q533" s="1023">
        <f t="shared" si="32"/>
        <v>229310.34482758623</v>
      </c>
      <c r="R533" s="1023"/>
      <c r="S533" s="67">
        <f>OBRA!S531</f>
        <v>44225</v>
      </c>
      <c r="T533" s="1134" t="str">
        <f>OBRA!V531</f>
        <v>-</v>
      </c>
      <c r="U533" s="5">
        <f>OBRA!T531</f>
        <v>44228</v>
      </c>
      <c r="V533" s="11">
        <f>OBRA!U531</f>
        <v>44281</v>
      </c>
      <c r="W533" s="220">
        <v>0</v>
      </c>
      <c r="X533" s="1019">
        <f>OBRA!AS531+OBRA!AT531</f>
        <v>0</v>
      </c>
      <c r="Y533" s="1018" t="s">
        <v>4139</v>
      </c>
      <c r="Z533" s="146" t="str">
        <f>OBRA!W531</f>
        <v>N/A</v>
      </c>
      <c r="AA533" s="146" t="s">
        <v>68</v>
      </c>
      <c r="AB533" s="148" t="str">
        <f t="shared" si="34"/>
        <v>N/A</v>
      </c>
      <c r="AC533" s="146" t="s">
        <v>1177</v>
      </c>
      <c r="AD533" s="148" t="s">
        <v>1177</v>
      </c>
      <c r="AE533" s="183" t="str">
        <f>OBRA!X531</f>
        <v>ING. LUIS RIGOBERTO OLMEDO NAVARRO</v>
      </c>
      <c r="AF533" s="19">
        <f>330+158+164</f>
        <v>652</v>
      </c>
      <c r="AG533" s="2" t="s">
        <v>1451</v>
      </c>
      <c r="AH533" s="615">
        <f t="shared" si="33"/>
        <v>0</v>
      </c>
      <c r="AI533" s="2"/>
      <c r="AJ533" s="513"/>
      <c r="AK533" s="513"/>
      <c r="AL533" s="1522">
        <v>20.356826000000002</v>
      </c>
      <c r="AM533" s="1523">
        <v>103.48700100000001</v>
      </c>
      <c r="AN533" s="571"/>
      <c r="AO533" s="571"/>
      <c r="AP533" s="571"/>
      <c r="AQ533" s="513"/>
      <c r="AR533" s="513"/>
      <c r="AS533" s="124"/>
    </row>
    <row r="534" spans="1:45" s="1050" customFormat="1" ht="48.75" hidden="1" customHeight="1">
      <c r="A534" s="532">
        <f>OBRA!J532</f>
        <v>2021</v>
      </c>
      <c r="B534" s="1490" t="s">
        <v>2094</v>
      </c>
      <c r="C534" s="783">
        <f>OBRA!K532</f>
        <v>212006</v>
      </c>
      <c r="D534" s="1490" t="s">
        <v>551</v>
      </c>
      <c r="E534" s="186">
        <f>OBRA!M532</f>
        <v>0</v>
      </c>
      <c r="F534" s="1464"/>
      <c r="G534" s="577" t="s">
        <v>2206</v>
      </c>
      <c r="H534" s="1491" t="str">
        <f>OBRA!N532</f>
        <v>DOP/AD/006/2021</v>
      </c>
      <c r="I534" s="186" t="str">
        <f>OBRA!O532</f>
        <v>CANCELADA</v>
      </c>
      <c r="J534" s="106">
        <f>OBRA!P532</f>
        <v>0</v>
      </c>
      <c r="K534" s="106"/>
      <c r="L534" s="106"/>
      <c r="M534" s="106"/>
      <c r="N534" s="106"/>
      <c r="O534" s="106"/>
      <c r="P534" s="1064">
        <f>OBRA!R532</f>
        <v>0</v>
      </c>
      <c r="Q534" s="1064">
        <f t="shared" si="32"/>
        <v>0</v>
      </c>
      <c r="R534" s="1064"/>
      <c r="S534" s="1463">
        <f>OBRA!S532</f>
        <v>0</v>
      </c>
      <c r="T534" s="1492" t="str">
        <f>OBRA!V532</f>
        <v>-</v>
      </c>
      <c r="U534" s="1071">
        <f>OBRA!T532</f>
        <v>0</v>
      </c>
      <c r="V534" s="1077">
        <f>OBRA!U532</f>
        <v>0</v>
      </c>
      <c r="W534" s="1467">
        <v>0</v>
      </c>
      <c r="X534" s="1494">
        <f>OBRA!AS532+OBRA!AT532</f>
        <v>0</v>
      </c>
      <c r="Y534" s="1495"/>
      <c r="Z534" s="1496" t="str">
        <f>OBRA!W532</f>
        <v>N/A</v>
      </c>
      <c r="AA534" s="146" t="s">
        <v>68</v>
      </c>
      <c r="AB534" s="1502" t="str">
        <f t="shared" si="34"/>
        <v>N/A</v>
      </c>
      <c r="AC534" s="1496" t="s">
        <v>1177</v>
      </c>
      <c r="AD534" s="1502" t="s">
        <v>1177</v>
      </c>
      <c r="AE534" s="1497" t="str">
        <f>OBRA!X532</f>
        <v>DANIEL RODRIGUEZ</v>
      </c>
      <c r="AF534" s="829"/>
      <c r="AG534" s="186"/>
      <c r="AH534" s="1497" t="e">
        <f t="shared" si="33"/>
        <v>#DIV/0!</v>
      </c>
      <c r="AI534" s="186"/>
      <c r="AJ534" s="516"/>
      <c r="AK534" s="516"/>
      <c r="AL534" s="1520"/>
      <c r="AM534" s="1521"/>
      <c r="AN534" s="1503"/>
      <c r="AO534" s="1503"/>
      <c r="AP534" s="1503"/>
      <c r="AQ534" s="516"/>
      <c r="AR534" s="516"/>
      <c r="AS534" s="1499"/>
    </row>
    <row r="535" spans="1:45" s="1050" customFormat="1" ht="77.25" hidden="1" customHeight="1">
      <c r="A535" s="532">
        <f>OBRA!J533</f>
        <v>2021</v>
      </c>
      <c r="B535" s="1490" t="s">
        <v>2094</v>
      </c>
      <c r="C535" s="783">
        <f>OBRA!K533</f>
        <v>212007</v>
      </c>
      <c r="D535" s="1490" t="s">
        <v>551</v>
      </c>
      <c r="E535" s="186" t="str">
        <f>OBRA!M533</f>
        <v>CUENTA CORRIENTE</v>
      </c>
      <c r="F535" s="1464" t="s">
        <v>1428</v>
      </c>
      <c r="G535" s="577" t="s">
        <v>2206</v>
      </c>
      <c r="H535" s="1491" t="str">
        <f>OBRA!N533</f>
        <v>DOP/AD/007/2021</v>
      </c>
      <c r="I535" s="186" t="str">
        <f>OBRA!O533</f>
        <v>CANCELADA</v>
      </c>
      <c r="J535" s="106" t="str">
        <f>OBRA!P533</f>
        <v xml:space="preserve">“MANO DE OBRA PARA LA REHABILITACIÓN DE LÍNEA DRENAJE EN CALLE LIBERTAD EN LA DELEGACIÓN DE POTRERILLOS”, DEL MUNICIPIO DE JOCOTEPEC, JALISCO. </v>
      </c>
      <c r="K535" s="106"/>
      <c r="L535" s="106"/>
      <c r="M535" s="106" t="s">
        <v>4088</v>
      </c>
      <c r="N535" s="106" t="s">
        <v>2515</v>
      </c>
      <c r="O535" s="1500" t="s">
        <v>3934</v>
      </c>
      <c r="P535" s="1064">
        <f>OBRA!R533</f>
        <v>227155</v>
      </c>
      <c r="Q535" s="1064">
        <f t="shared" si="32"/>
        <v>195823.27586206899</v>
      </c>
      <c r="R535" s="1064"/>
      <c r="S535" s="1463">
        <f>OBRA!S533</f>
        <v>44302</v>
      </c>
      <c r="T535" s="1492" t="str">
        <f>OBRA!V533</f>
        <v>-</v>
      </c>
      <c r="U535" s="1071">
        <f>OBRA!T533</f>
        <v>44228</v>
      </c>
      <c r="V535" s="1077">
        <f>OBRA!U533</f>
        <v>44281</v>
      </c>
      <c r="W535" s="1467">
        <v>0</v>
      </c>
      <c r="X535" s="1494">
        <f>OBRA!AS533+OBRA!AT533</f>
        <v>0</v>
      </c>
      <c r="Y535" s="1495" t="s">
        <v>3921</v>
      </c>
      <c r="Z535" s="1496" t="str">
        <f>OBRA!W533</f>
        <v>N/A</v>
      </c>
      <c r="AA535" s="146" t="s">
        <v>68</v>
      </c>
      <c r="AB535" s="1502" t="str">
        <f t="shared" si="34"/>
        <v>N/A</v>
      </c>
      <c r="AC535" s="1496" t="s">
        <v>1177</v>
      </c>
      <c r="AD535" s="1502" t="s">
        <v>1177</v>
      </c>
      <c r="AE535" s="1497">
        <f>OBRA!X533</f>
        <v>0</v>
      </c>
      <c r="AF535" s="829"/>
      <c r="AG535" s="186"/>
      <c r="AH535" s="1497" t="e">
        <f t="shared" si="33"/>
        <v>#DIV/0!</v>
      </c>
      <c r="AI535" s="186"/>
      <c r="AJ535" s="516"/>
      <c r="AK535" s="516"/>
      <c r="AL535" s="1554">
        <v>20.339117999999999</v>
      </c>
      <c r="AM535" s="1555">
        <v>103.37781699999999</v>
      </c>
      <c r="AN535" s="1503" t="s">
        <v>3934</v>
      </c>
      <c r="AO535" s="1503"/>
      <c r="AP535" s="1503"/>
      <c r="AQ535" s="516"/>
      <c r="AR535" s="516"/>
      <c r="AS535" s="1499"/>
    </row>
    <row r="536" spans="1:45" ht="84" customHeight="1">
      <c r="A536" s="16">
        <f>OBRA!J534</f>
        <v>2021</v>
      </c>
      <c r="B536" s="783" t="s">
        <v>2094</v>
      </c>
      <c r="C536" s="783">
        <f>OBRA!K534</f>
        <v>212008</v>
      </c>
      <c r="D536" s="783" t="s">
        <v>551</v>
      </c>
      <c r="E536" s="2" t="str">
        <f>OBRA!M534</f>
        <v>RAMO 33</v>
      </c>
      <c r="F536" s="18" t="s">
        <v>1428</v>
      </c>
      <c r="G536" s="156" t="s">
        <v>2206</v>
      </c>
      <c r="H536" s="412" t="str">
        <f>OBRA!N534</f>
        <v>DOP/AD/008/2021</v>
      </c>
      <c r="I536" s="2" t="str">
        <f>OBRA!O534</f>
        <v>ADMINISTRACIÓN DIRECTA</v>
      </c>
      <c r="J536" s="3" t="str">
        <f>OBRA!P534</f>
        <v>"CONSTRUCCIÓN DE DRENAJE SANITARIO EN PRIVADA FRANCISCO VILLA DE LA CALLE 1RO DE MAYO A CERRADA" EN LA DELEGACIÓN DE LA LOMA, EN EL MUNICIPIO DE JOCOTEPEC, JALISCO.</v>
      </c>
      <c r="K536" s="3"/>
      <c r="L536" s="3" t="s">
        <v>4747</v>
      </c>
      <c r="M536" s="3" t="s">
        <v>3951</v>
      </c>
      <c r="N536" s="3" t="s">
        <v>2512</v>
      </c>
      <c r="O536" s="504" t="s">
        <v>6888</v>
      </c>
      <c r="P536" s="79">
        <f>OBRA!R534</f>
        <v>113778.58</v>
      </c>
      <c r="Q536" s="1023">
        <f t="shared" si="32"/>
        <v>98084.982758620696</v>
      </c>
      <c r="R536" s="1023"/>
      <c r="S536" s="67">
        <f>OBRA!S534</f>
        <v>44356</v>
      </c>
      <c r="T536" s="1134" t="str">
        <f>OBRA!V534</f>
        <v>-</v>
      </c>
      <c r="U536" s="5">
        <f>OBRA!T534</f>
        <v>44361</v>
      </c>
      <c r="V536" s="11">
        <f>OBRA!U534</f>
        <v>44379</v>
      </c>
      <c r="W536" s="220">
        <v>0</v>
      </c>
      <c r="X536" s="1019">
        <f>OBRA!AS534+OBRA!AT534</f>
        <v>0</v>
      </c>
      <c r="Y536" s="1018" t="s">
        <v>3924</v>
      </c>
      <c r="Z536" s="146" t="str">
        <f>OBRA!W534</f>
        <v>N/A</v>
      </c>
      <c r="AA536" s="146" t="s">
        <v>68</v>
      </c>
      <c r="AB536" s="148" t="str">
        <f t="shared" si="34"/>
        <v>N/A</v>
      </c>
      <c r="AC536" s="146" t="s">
        <v>1177</v>
      </c>
      <c r="AD536" s="148" t="s">
        <v>1177</v>
      </c>
      <c r="AE536" s="183" t="str">
        <f>OBRA!X534</f>
        <v>DANIEL RODRIGUEZ</v>
      </c>
      <c r="AF536" s="19">
        <v>62</v>
      </c>
      <c r="AG536" s="2" t="s">
        <v>1451</v>
      </c>
      <c r="AH536" s="183">
        <f t="shared" si="33"/>
        <v>0</v>
      </c>
      <c r="AI536" s="2"/>
      <c r="AJ536" s="513"/>
      <c r="AK536" s="513"/>
      <c r="AL536" s="1522">
        <v>20.278479000000001</v>
      </c>
      <c r="AM536" s="1523">
        <v>103.435001</v>
      </c>
      <c r="AN536" s="571" t="s">
        <v>6888</v>
      </c>
      <c r="AO536" s="571"/>
      <c r="AP536" s="571"/>
      <c r="AQ536" s="513"/>
      <c r="AR536" s="513"/>
      <c r="AS536" s="124"/>
    </row>
    <row r="537" spans="1:45" s="1050" customFormat="1" ht="90.75" hidden="1" customHeight="1">
      <c r="A537" s="532">
        <f>OBRA!J535</f>
        <v>2021</v>
      </c>
      <c r="B537" s="1490" t="s">
        <v>2094</v>
      </c>
      <c r="C537" s="783">
        <f>OBRA!K535</f>
        <v>212009</v>
      </c>
      <c r="D537" s="1490" t="s">
        <v>551</v>
      </c>
      <c r="E537" s="186" t="str">
        <f>OBRA!M535</f>
        <v>CUENTA CORRIENTE</v>
      </c>
      <c r="F537" s="1464" t="s">
        <v>1428</v>
      </c>
      <c r="G537" s="577" t="s">
        <v>2206</v>
      </c>
      <c r="H537" s="1491" t="str">
        <f>OBRA!N535</f>
        <v>DOP/AD/009/2021</v>
      </c>
      <c r="I537" s="186" t="str">
        <f>OBRA!O535</f>
        <v>CANCELADA</v>
      </c>
      <c r="J537" s="106" t="str">
        <f>OBRA!P535</f>
        <v>“CONSTRUCCIÓN DE LÍNEA DE AGUA POTABLE EN PRIV. FRANCISCO VILLA DE LA CALLE 1RO DE MAYO A CERRADA”, EN LA DELEGACIÓN DE LA LOMA, EN EL MUNICIPIO DE JOCOTEPEC, JALISCO.</v>
      </c>
      <c r="K537" s="106"/>
      <c r="L537" s="106"/>
      <c r="M537" s="106" t="s">
        <v>3951</v>
      </c>
      <c r="N537" s="106" t="s">
        <v>2512</v>
      </c>
      <c r="O537" s="106"/>
      <c r="P537" s="1064">
        <f>OBRA!R535</f>
        <v>77686.679999999993</v>
      </c>
      <c r="Q537" s="1064">
        <f t="shared" si="32"/>
        <v>66971.275862068971</v>
      </c>
      <c r="R537" s="1064"/>
      <c r="S537" s="1463">
        <f>OBRA!S535</f>
        <v>44356</v>
      </c>
      <c r="T537" s="1492" t="str">
        <f>OBRA!V535</f>
        <v>-</v>
      </c>
      <c r="U537" s="1071">
        <f>OBRA!T535</f>
        <v>44369</v>
      </c>
      <c r="V537" s="1077">
        <f>OBRA!U535</f>
        <v>44383</v>
      </c>
      <c r="W537" s="1467">
        <v>0</v>
      </c>
      <c r="X537" s="1494">
        <f>OBRA!AS535+OBRA!AT535</f>
        <v>0</v>
      </c>
      <c r="Y537" s="1495" t="s">
        <v>3924</v>
      </c>
      <c r="Z537" s="1496" t="str">
        <f>OBRA!W535</f>
        <v>N/A</v>
      </c>
      <c r="AA537" s="146" t="s">
        <v>68</v>
      </c>
      <c r="AB537" s="1502" t="str">
        <f t="shared" si="34"/>
        <v>N/A</v>
      </c>
      <c r="AC537" s="1496" t="s">
        <v>1177</v>
      </c>
      <c r="AD537" s="1502" t="s">
        <v>1177</v>
      </c>
      <c r="AE537" s="1497" t="str">
        <f>OBRA!X535</f>
        <v>DANIEL RODRIGUEZ</v>
      </c>
      <c r="AF537" s="829"/>
      <c r="AG537" s="186"/>
      <c r="AH537" s="1556" t="e">
        <f t="shared" si="33"/>
        <v>#DIV/0!</v>
      </c>
      <c r="AI537" s="186"/>
      <c r="AJ537" s="516"/>
      <c r="AK537" s="516"/>
      <c r="AL537" s="1554">
        <v>20.278479000000001</v>
      </c>
      <c r="AM537" s="1555">
        <v>103.435001</v>
      </c>
      <c r="AN537" s="1503"/>
      <c r="AO537" s="1503"/>
      <c r="AP537" s="1503"/>
      <c r="AQ537" s="516"/>
      <c r="AR537" s="516"/>
      <c r="AS537" s="1499"/>
    </row>
    <row r="538" spans="1:45" s="1050" customFormat="1" ht="60" hidden="1" customHeight="1">
      <c r="A538" s="532">
        <f>OBRA!J536</f>
        <v>2021</v>
      </c>
      <c r="B538" s="1490" t="s">
        <v>2094</v>
      </c>
      <c r="C538" s="783">
        <f>OBRA!K536</f>
        <v>212010</v>
      </c>
      <c r="D538" s="1490"/>
      <c r="E538" s="186">
        <f>OBRA!M536</f>
        <v>0</v>
      </c>
      <c r="F538" s="1464"/>
      <c r="G538" s="577" t="s">
        <v>2206</v>
      </c>
      <c r="H538" s="1491" t="str">
        <f>OBRA!N536</f>
        <v>DOP/AD/010/2021</v>
      </c>
      <c r="I538" s="186" t="str">
        <f>OBRA!O536</f>
        <v>CANCELADA</v>
      </c>
      <c r="J538" s="106">
        <f>OBRA!P536</f>
        <v>0</v>
      </c>
      <c r="K538" s="106"/>
      <c r="L538" s="106"/>
      <c r="M538" s="106" t="s">
        <v>68</v>
      </c>
      <c r="N538" s="106" t="s">
        <v>68</v>
      </c>
      <c r="O538" s="106"/>
      <c r="P538" s="1064">
        <f>OBRA!R536</f>
        <v>0</v>
      </c>
      <c r="Q538" s="1064">
        <f t="shared" si="32"/>
        <v>0</v>
      </c>
      <c r="R538" s="1064"/>
      <c r="S538" s="1463">
        <f>OBRA!S536</f>
        <v>0</v>
      </c>
      <c r="T538" s="1492">
        <f>OBRA!V536</f>
        <v>0</v>
      </c>
      <c r="U538" s="1071">
        <f>OBRA!T536</f>
        <v>0</v>
      </c>
      <c r="V538" s="1077">
        <f>OBRA!U536</f>
        <v>0</v>
      </c>
      <c r="W538" s="1467">
        <v>0</v>
      </c>
      <c r="X538" s="1494">
        <f>OBRA!AS536+OBRA!AT536</f>
        <v>0</v>
      </c>
      <c r="Y538" s="1495"/>
      <c r="Z538" s="1496" t="str">
        <f>OBRA!W536</f>
        <v>N/A</v>
      </c>
      <c r="AA538" s="146" t="s">
        <v>68</v>
      </c>
      <c r="AB538" s="1502" t="str">
        <f t="shared" si="34"/>
        <v>N/A</v>
      </c>
      <c r="AC538" s="1496" t="s">
        <v>1177</v>
      </c>
      <c r="AD538" s="1502" t="s">
        <v>1177</v>
      </c>
      <c r="AE538" s="1497">
        <f>OBRA!X536</f>
        <v>0</v>
      </c>
      <c r="AF538" s="829"/>
      <c r="AG538" s="186"/>
      <c r="AH538" s="1497" t="e">
        <f t="shared" si="33"/>
        <v>#DIV/0!</v>
      </c>
      <c r="AI538" s="186"/>
      <c r="AJ538" s="516"/>
      <c r="AK538" s="516"/>
      <c r="AL538" s="1520"/>
      <c r="AM538" s="1521"/>
      <c r="AN538" s="1503"/>
      <c r="AO538" s="1503"/>
      <c r="AP538" s="1503"/>
      <c r="AQ538" s="516"/>
      <c r="AR538" s="516"/>
      <c r="AS538" s="1499"/>
    </row>
    <row r="539" spans="1:45" ht="135.75" customHeight="1">
      <c r="A539" s="16">
        <f>OBRA!J537</f>
        <v>2021</v>
      </c>
      <c r="B539" s="783" t="s">
        <v>2094</v>
      </c>
      <c r="C539" s="783">
        <f>OBRA!K537</f>
        <v>212011</v>
      </c>
      <c r="D539" s="783" t="s">
        <v>551</v>
      </c>
      <c r="E539" s="2" t="str">
        <f>OBRA!M537</f>
        <v>CUENTA CORRIENTE</v>
      </c>
      <c r="F539" s="18" t="s">
        <v>1428</v>
      </c>
      <c r="G539" s="156" t="s">
        <v>2206</v>
      </c>
      <c r="H539" s="412" t="str">
        <f>OBRA!N537</f>
        <v>DOP/AD/011/2021</v>
      </c>
      <c r="I539" s="2" t="str">
        <f>OBRA!O537</f>
        <v>ADMINISTRACIÓN DIRECTA</v>
      </c>
      <c r="J539"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
      <c r="L539" s="3" t="s">
        <v>6241</v>
      </c>
      <c r="M539" s="3" t="s">
        <v>3976</v>
      </c>
      <c r="N539" s="3" t="s">
        <v>1975</v>
      </c>
      <c r="O539" s="3"/>
      <c r="P539" s="79">
        <f>OBRA!R537</f>
        <v>271040</v>
      </c>
      <c r="Q539" s="1023">
        <f t="shared" si="32"/>
        <v>233655.17241379313</v>
      </c>
      <c r="R539" s="1023"/>
      <c r="S539" s="67">
        <f>OBRA!S537</f>
        <v>44232</v>
      </c>
      <c r="T539" s="1134" t="str">
        <f>OBRA!V537</f>
        <v>-</v>
      </c>
      <c r="U539" s="5">
        <f>OBRA!T537</f>
        <v>44236</v>
      </c>
      <c r="V539" s="11">
        <f>OBRA!U537</f>
        <v>44257</v>
      </c>
      <c r="W539" s="220">
        <v>0</v>
      </c>
      <c r="X539" s="1019">
        <f>OBRA!AS537+OBRA!AT537</f>
        <v>0</v>
      </c>
      <c r="Y539" s="1018" t="s">
        <v>4140</v>
      </c>
      <c r="Z539" s="146" t="str">
        <f>OBRA!W537</f>
        <v>N/A</v>
      </c>
      <c r="AA539" s="146" t="s">
        <v>68</v>
      </c>
      <c r="AB539" s="148" t="str">
        <f t="shared" si="34"/>
        <v>N/A</v>
      </c>
      <c r="AC539" s="146" t="s">
        <v>1177</v>
      </c>
      <c r="AD539" s="148" t="s">
        <v>1177</v>
      </c>
      <c r="AE539" s="183" t="str">
        <f>OBRA!X537</f>
        <v>ING. LUIS RIGOBERTO OLMEDO NAVARRO</v>
      </c>
      <c r="AF539" s="19">
        <v>536.30999999999995</v>
      </c>
      <c r="AG539" s="2" t="s">
        <v>1548</v>
      </c>
      <c r="AH539" s="615">
        <f t="shared" si="33"/>
        <v>0</v>
      </c>
      <c r="AI539" s="2"/>
      <c r="AJ539" s="513"/>
      <c r="AK539" s="513"/>
      <c r="AL539" s="1522">
        <v>20.285461999999999</v>
      </c>
      <c r="AM539" s="1523">
        <v>103.429884</v>
      </c>
      <c r="AN539" s="571"/>
      <c r="AO539" s="571"/>
      <c r="AP539" s="571"/>
      <c r="AQ539" s="513"/>
      <c r="AR539" s="513"/>
      <c r="AS539" s="124"/>
    </row>
    <row r="540" spans="1:45" s="1050" customFormat="1" ht="41.25" hidden="1" customHeight="1">
      <c r="A540" s="532">
        <f>OBRA!J538</f>
        <v>2021</v>
      </c>
      <c r="B540" s="1490" t="s">
        <v>2094</v>
      </c>
      <c r="C540" s="783">
        <f>OBRA!K538</f>
        <v>212012</v>
      </c>
      <c r="D540" s="1490"/>
      <c r="E540" s="186" t="str">
        <f>OBRA!M538</f>
        <v>RASTRO DIGNO 2020</v>
      </c>
      <c r="F540" s="1464" t="s">
        <v>1428</v>
      </c>
      <c r="G540" s="577" t="s">
        <v>2206</v>
      </c>
      <c r="H540" s="1491" t="str">
        <f>OBRA!N538</f>
        <v>DOP/AD/012/2021</v>
      </c>
      <c r="I540" s="186" t="str">
        <f>OBRA!O538</f>
        <v>CANCELADA</v>
      </c>
      <c r="J540" s="106" t="str">
        <f>OBRA!P538</f>
        <v>“COMPLEMENTO DE OBRA CIVIL EN EL RASTRO MUNICIPAL”, DE LA CABECERA MUNICIPAL DE JOCOTEPEC, JALISCO.</v>
      </c>
      <c r="K540" s="106"/>
      <c r="L540" s="106"/>
      <c r="M540" s="106" t="s">
        <v>68</v>
      </c>
      <c r="N540" s="106" t="s">
        <v>68</v>
      </c>
      <c r="O540" s="106"/>
      <c r="P540" s="1064">
        <f>OBRA!R538</f>
        <v>124003.71</v>
      </c>
      <c r="Q540" s="1064">
        <f t="shared" si="32"/>
        <v>106899.75000000001</v>
      </c>
      <c r="R540" s="1064"/>
      <c r="S540" s="1463">
        <f>OBRA!S538</f>
        <v>44438</v>
      </c>
      <c r="T540" s="1492" t="str">
        <f>OBRA!V538</f>
        <v>-</v>
      </c>
      <c r="U540" s="1071">
        <f>OBRA!T538</f>
        <v>44445</v>
      </c>
      <c r="V540" s="1077">
        <f>OBRA!U538</f>
        <v>44463</v>
      </c>
      <c r="W540" s="1467">
        <v>0</v>
      </c>
      <c r="X540" s="1494">
        <f>OBRA!AS538+OBRA!AT538</f>
        <v>0</v>
      </c>
      <c r="Y540" s="1495"/>
      <c r="Z540" s="1496" t="str">
        <f>OBRA!W538</f>
        <v>-</v>
      </c>
      <c r="AA540" s="146" t="s">
        <v>68</v>
      </c>
      <c r="AB540" s="1502" t="str">
        <f t="shared" si="34"/>
        <v>-</v>
      </c>
      <c r="AC540" s="1496" t="s">
        <v>1177</v>
      </c>
      <c r="AD540" s="1502" t="s">
        <v>1177</v>
      </c>
      <c r="AE540" s="1497" t="str">
        <f>OBRA!X538</f>
        <v>ARQ. JAIME CONDE GOMEZ</v>
      </c>
      <c r="AF540" s="829"/>
      <c r="AG540" s="186"/>
      <c r="AH540" s="1497" t="e">
        <f t="shared" si="33"/>
        <v>#DIV/0!</v>
      </c>
      <c r="AI540" s="186"/>
      <c r="AJ540" s="516"/>
      <c r="AK540" s="516"/>
      <c r="AL540" s="1520"/>
      <c r="AM540" s="1521"/>
      <c r="AN540" s="1503"/>
      <c r="AO540" s="1503"/>
      <c r="AP540" s="1503"/>
      <c r="AQ540" s="516"/>
      <c r="AR540" s="516"/>
      <c r="AS540" s="1499"/>
    </row>
    <row r="541" spans="1:45" ht="114.75" customHeight="1">
      <c r="A541" s="16">
        <f>OBRA!J539</f>
        <v>2021</v>
      </c>
      <c r="B541" s="783" t="s">
        <v>2094</v>
      </c>
      <c r="C541" s="783">
        <f>OBRA!K539</f>
        <v>212013</v>
      </c>
      <c r="D541" s="1557" t="s">
        <v>551</v>
      </c>
      <c r="E541" s="2" t="str">
        <f>OBRA!M539</f>
        <v>CUENTA CORRIENTE</v>
      </c>
      <c r="F541" s="18" t="s">
        <v>1428</v>
      </c>
      <c r="G541" s="156" t="s">
        <v>2206</v>
      </c>
      <c r="H541" s="412" t="str">
        <f>OBRA!N539</f>
        <v>DOP/AD/013/2021</v>
      </c>
      <c r="I541" s="2" t="str">
        <f>OBRA!O539</f>
        <v>ADMINISTRACIÓN DIRECTA</v>
      </c>
      <c r="J541" s="3" t="str">
        <f>OBRA!P539</f>
        <v>“MANTENIMIENTO, REPARACIÓN DE SUPERFICIE DE RODAMIENTO EN EMPEDRADO ZAMPEADO (GRIETA SUPERFICIAL Y ESTRUCTURAL), CONSTRUCCIÓN DE MACHUELO EN C. PADRE ADALBERTO MACIAS”, EN LA CABECERA MUNICIPAL DE JOCOTEPEC, JALISCO.</v>
      </c>
      <c r="K541" s="3"/>
      <c r="L541" s="3" t="s">
        <v>4752</v>
      </c>
      <c r="M541" s="3" t="s">
        <v>4085</v>
      </c>
      <c r="N541" s="3" t="s">
        <v>1975</v>
      </c>
      <c r="O541" s="3"/>
      <c r="P541" s="79">
        <f>OBRA!R539</f>
        <v>168528.09</v>
      </c>
      <c r="Q541" s="1023">
        <f t="shared" si="32"/>
        <v>145282.83620689655</v>
      </c>
      <c r="R541" s="1023"/>
      <c r="S541" s="67">
        <f>OBRA!S539</f>
        <v>44407</v>
      </c>
      <c r="T541" s="1134" t="str">
        <f>OBRA!V539</f>
        <v>-</v>
      </c>
      <c r="U541" s="5">
        <f>OBRA!T539</f>
        <v>44410</v>
      </c>
      <c r="V541" s="11">
        <f>OBRA!U539</f>
        <v>44469</v>
      </c>
      <c r="W541" s="220">
        <v>0</v>
      </c>
      <c r="X541" s="1019">
        <f>OBRA!AS539+OBRA!AT539</f>
        <v>0</v>
      </c>
      <c r="Y541" s="1018" t="s">
        <v>4141</v>
      </c>
      <c r="Z541" s="146" t="str">
        <f>OBRA!W539</f>
        <v>N/A</v>
      </c>
      <c r="AA541" s="146" t="s">
        <v>68</v>
      </c>
      <c r="AB541" s="148" t="str">
        <f t="shared" si="34"/>
        <v>N/A</v>
      </c>
      <c r="AC541" s="146" t="s">
        <v>1177</v>
      </c>
      <c r="AD541" s="148" t="s">
        <v>1177</v>
      </c>
      <c r="AE541" s="183" t="str">
        <f>OBRA!X539</f>
        <v>ING. J. GUADALUPE IBARRA RAMIREZ</v>
      </c>
      <c r="AF541" s="19">
        <v>561.4</v>
      </c>
      <c r="AG541" s="2" t="s">
        <v>1548</v>
      </c>
      <c r="AH541" s="615">
        <f t="shared" si="33"/>
        <v>0</v>
      </c>
      <c r="AI541" s="2"/>
      <c r="AJ541" s="513"/>
      <c r="AK541" s="513"/>
      <c r="AL541" s="1522">
        <v>20.280659</v>
      </c>
      <c r="AM541" s="1523">
        <v>103.44593</v>
      </c>
      <c r="AN541" s="1900"/>
      <c r="AO541" s="1900"/>
      <c r="AP541" s="1900"/>
      <c r="AQ541" s="513"/>
      <c r="AR541" s="513"/>
      <c r="AS541" s="124"/>
    </row>
    <row r="542" spans="1:45" ht="114.75" customHeight="1">
      <c r="A542" s="16">
        <f>OBRA!J540</f>
        <v>2021</v>
      </c>
      <c r="B542" s="1415" t="s">
        <v>2094</v>
      </c>
      <c r="C542" s="783">
        <f>OBRA!K540</f>
        <v>212014</v>
      </c>
      <c r="D542" s="1562" t="s">
        <v>551</v>
      </c>
      <c r="E542" s="412" t="str">
        <f>OBRA!M540</f>
        <v>EMP P/LA REACTIVACIÓN ECONÓMICA EN MPIOS</v>
      </c>
      <c r="F542" s="511"/>
      <c r="G542" s="156" t="s">
        <v>2206</v>
      </c>
      <c r="H542" s="412" t="str">
        <f>OBRA!N540</f>
        <v>DOP/AD/014/2021</v>
      </c>
      <c r="I542" s="2" t="str">
        <f>OBRA!O540</f>
        <v>ADMINISTRACIÓN DIRECTA</v>
      </c>
      <c r="J542" s="3" t="str">
        <f>OBRA!P540</f>
        <v>CONSTRUCCIÓN DE EMPEDRADO ZAMPEADO EN VIALIDAD CALLE GUAYABITOS, EN LA LOCALIDAD DE CHANTEPEC, DEL MUNICIPIO DE JOCOTEPEC, JALISCO.</v>
      </c>
      <c r="K542" s="3"/>
      <c r="L542" s="3" t="s">
        <v>4752</v>
      </c>
      <c r="M542" s="3" t="s">
        <v>4089</v>
      </c>
      <c r="N542" s="3" t="s">
        <v>2538</v>
      </c>
      <c r="O542" s="504" t="s">
        <v>6889</v>
      </c>
      <c r="P542" s="79">
        <f>OBRA!R540</f>
        <v>80674.649999999994</v>
      </c>
      <c r="Q542" s="1023">
        <f t="shared" ref="Q542:Q548" si="35">P542/1.16</f>
        <v>69547.112068965522</v>
      </c>
      <c r="R542" s="1023"/>
      <c r="S542" s="67">
        <f>OBRA!S540</f>
        <v>44378</v>
      </c>
      <c r="T542" s="1134" t="str">
        <f>OBRA!V540</f>
        <v>-</v>
      </c>
      <c r="U542" s="5">
        <f>OBRA!T540</f>
        <v>44438</v>
      </c>
      <c r="V542" s="11">
        <f>OBRA!U540</f>
        <v>44464</v>
      </c>
      <c r="W542" s="220"/>
      <c r="X542" s="1019">
        <f>OBRA!AS540+OBRA!AT540</f>
        <v>0</v>
      </c>
      <c r="Y542" s="1018" t="s">
        <v>4142</v>
      </c>
      <c r="Z542" s="146" t="str">
        <f>OBRA!W540</f>
        <v>N/A</v>
      </c>
      <c r="AA542" s="146" t="s">
        <v>68</v>
      </c>
      <c r="AB542" s="148" t="str">
        <f t="shared" ref="AB542:AB548" si="36">Z542</f>
        <v>N/A</v>
      </c>
      <c r="AC542" s="146" t="s">
        <v>1177</v>
      </c>
      <c r="AD542" s="148" t="s">
        <v>1177</v>
      </c>
      <c r="AE542" s="183" t="str">
        <f>OBRA!X540</f>
        <v>DANIEL RODRIGUEZ</v>
      </c>
      <c r="AF542" s="19">
        <v>231</v>
      </c>
      <c r="AG542" s="2" t="s">
        <v>1548</v>
      </c>
      <c r="AH542" s="615">
        <f t="shared" si="33"/>
        <v>0</v>
      </c>
      <c r="AI542" s="2"/>
      <c r="AJ542" s="513"/>
      <c r="AK542" s="513"/>
      <c r="AL542" s="1522">
        <v>20.289618999999998</v>
      </c>
      <c r="AM542" s="1523">
        <v>103.41275899999999</v>
      </c>
      <c r="AN542" s="1324" t="s">
        <v>6889</v>
      </c>
      <c r="AO542" s="1324" t="s">
        <v>6889</v>
      </c>
      <c r="AP542" s="1324" t="s">
        <v>6889</v>
      </c>
      <c r="AQ542" s="501" t="s">
        <v>6889</v>
      </c>
      <c r="AR542" s="501" t="s">
        <v>6889</v>
      </c>
      <c r="AS542" s="1505" t="s">
        <v>6889</v>
      </c>
    </row>
    <row r="543" spans="1:45" ht="114.75" customHeight="1">
      <c r="A543" s="16">
        <f>OBRA!J541</f>
        <v>2021</v>
      </c>
      <c r="B543" s="1415" t="s">
        <v>2094</v>
      </c>
      <c r="C543" s="783">
        <f>OBRA!K541</f>
        <v>212015</v>
      </c>
      <c r="D543" s="1562" t="s">
        <v>551</v>
      </c>
      <c r="E543" s="412" t="str">
        <f>OBRA!M541</f>
        <v>EMP P/LA REACTIVACIÓN ECONÓMICA EN MPIOS</v>
      </c>
      <c r="F543" s="511"/>
      <c r="G543" s="156" t="s">
        <v>2206</v>
      </c>
      <c r="H543" s="412" t="str">
        <f>OBRA!N541</f>
        <v>DOP/AD/015/2021</v>
      </c>
      <c r="I543" s="2" t="str">
        <f>OBRA!O541</f>
        <v>ADMINISTRACIÓN DIRECTA</v>
      </c>
      <c r="J543" s="3" t="str">
        <f>OBRA!P541</f>
        <v>CONSTRUCCIÓN DE EMPEDRADO ZAMPEADO EN LA LOCALIDAD DE LA LOMA</v>
      </c>
      <c r="K543" s="3"/>
      <c r="L543" s="3" t="s">
        <v>4752</v>
      </c>
      <c r="M543" s="3" t="s">
        <v>4090</v>
      </c>
      <c r="N543" s="3" t="s">
        <v>2512</v>
      </c>
      <c r="O543" s="504" t="s">
        <v>6889</v>
      </c>
      <c r="P543" s="79">
        <f>OBRA!R541</f>
        <v>966321.38</v>
      </c>
      <c r="Q543" s="1023">
        <f t="shared" si="35"/>
        <v>833035.67241379316</v>
      </c>
      <c r="R543" s="1023"/>
      <c r="S543" s="67">
        <f>OBRA!S541</f>
        <v>44378</v>
      </c>
      <c r="T543" s="1134" t="str">
        <f>OBRA!V541</f>
        <v>-</v>
      </c>
      <c r="U543" s="5">
        <f>OBRA!T541</f>
        <v>44438</v>
      </c>
      <c r="V543" s="11">
        <f>OBRA!U541</f>
        <v>44452</v>
      </c>
      <c r="W543" s="220"/>
      <c r="X543" s="1019">
        <f>OBRA!AS541+OBRA!AT541</f>
        <v>0</v>
      </c>
      <c r="Y543" s="1018" t="s">
        <v>4143</v>
      </c>
      <c r="Z543" s="146" t="str">
        <f>OBRA!W541</f>
        <v>N/A</v>
      </c>
      <c r="AA543" s="146" t="s">
        <v>68</v>
      </c>
      <c r="AB543" s="148" t="str">
        <f t="shared" si="36"/>
        <v>N/A</v>
      </c>
      <c r="AC543" s="146" t="s">
        <v>1177</v>
      </c>
      <c r="AD543" s="148" t="s">
        <v>1177</v>
      </c>
      <c r="AE543" s="183" t="str">
        <f>OBRA!X541</f>
        <v>DANIEL RODRIGUEZ</v>
      </c>
      <c r="AF543" s="19">
        <f>805.55+1130.32+736.37</f>
        <v>2672.24</v>
      </c>
      <c r="AG543" s="2" t="s">
        <v>1548</v>
      </c>
      <c r="AH543" s="615">
        <f t="shared" si="33"/>
        <v>0</v>
      </c>
      <c r="AI543" s="2"/>
      <c r="AJ543" s="513"/>
      <c r="AK543" s="513"/>
      <c r="AL543" s="1522" t="s">
        <v>68</v>
      </c>
      <c r="AM543" s="1523" t="s">
        <v>68</v>
      </c>
      <c r="AN543" s="1324" t="s">
        <v>6889</v>
      </c>
      <c r="AO543" s="1324" t="s">
        <v>6889</v>
      </c>
      <c r="AP543" s="1324" t="s">
        <v>6889</v>
      </c>
      <c r="AQ543" s="501" t="s">
        <v>6889</v>
      </c>
      <c r="AR543" s="501" t="s">
        <v>6889</v>
      </c>
      <c r="AS543" s="1505" t="s">
        <v>6889</v>
      </c>
    </row>
    <row r="544" spans="1:45" ht="114.75" customHeight="1">
      <c r="A544" s="16">
        <f>OBRA!J542</f>
        <v>2021</v>
      </c>
      <c r="B544" s="1415" t="s">
        <v>2094</v>
      </c>
      <c r="C544" s="783">
        <f>OBRA!K542</f>
        <v>212016</v>
      </c>
      <c r="D544" s="1562" t="s">
        <v>551</v>
      </c>
      <c r="E544" s="412" t="str">
        <f>OBRA!M542</f>
        <v>EMP P/LA REACTIVACIÓN ECONÓMICA EN MPIOS</v>
      </c>
      <c r="F544" s="511"/>
      <c r="G544" s="156" t="s">
        <v>2206</v>
      </c>
      <c r="H544" s="412" t="str">
        <f>OBRA!N542</f>
        <v>DOP/AD/016/2021</v>
      </c>
      <c r="I544" s="2" t="str">
        <f>OBRA!O542</f>
        <v>ADMINISTRACIÓN DIRECTA</v>
      </c>
      <c r="J544" s="3" t="str">
        <f>OBRA!P542</f>
        <v>CONSTRUCCIÓN DE EMPEDRADO ZAMPEADO EN LA LOCALIDAD DE LA SAN JUAN COSALA</v>
      </c>
      <c r="K544" s="3"/>
      <c r="L544" s="3" t="s">
        <v>4752</v>
      </c>
      <c r="M544" s="3" t="s">
        <v>4091</v>
      </c>
      <c r="N544" s="3" t="s">
        <v>2524</v>
      </c>
      <c r="O544" s="504" t="s">
        <v>6889</v>
      </c>
      <c r="P544" s="79">
        <f>OBRA!R542</f>
        <v>831652.39</v>
      </c>
      <c r="Q544" s="1023">
        <f t="shared" si="35"/>
        <v>716941.71551724139</v>
      </c>
      <c r="R544" s="1023"/>
      <c r="S544" s="67">
        <f>OBRA!S542</f>
        <v>44378</v>
      </c>
      <c r="T544" s="1134">
        <f>OBRA!V542</f>
        <v>0</v>
      </c>
      <c r="U544" s="5">
        <f>OBRA!T542</f>
        <v>44466</v>
      </c>
      <c r="V544" s="11">
        <f>OBRA!U542</f>
        <v>44541</v>
      </c>
      <c r="W544" s="220"/>
      <c r="X544" s="1019">
        <f>OBRA!AS542+OBRA!AT542</f>
        <v>0</v>
      </c>
      <c r="Y544" s="1018" t="s">
        <v>4143</v>
      </c>
      <c r="Z544" s="146" t="str">
        <f>OBRA!W542</f>
        <v>N/A</v>
      </c>
      <c r="AA544" s="146" t="s">
        <v>68</v>
      </c>
      <c r="AB544" s="148" t="str">
        <f t="shared" si="36"/>
        <v>N/A</v>
      </c>
      <c r="AC544" s="146" t="s">
        <v>1177</v>
      </c>
      <c r="AD544" s="148" t="s">
        <v>1177</v>
      </c>
      <c r="AE544" s="183" t="str">
        <f>OBRA!X542</f>
        <v>DANIEL RODRIGUEZ</v>
      </c>
      <c r="AF544" s="19">
        <f>545.85+494.4+497.78+740.6</f>
        <v>2278.63</v>
      </c>
      <c r="AG544" s="2" t="s">
        <v>1548</v>
      </c>
      <c r="AH544" s="615">
        <f t="shared" si="33"/>
        <v>0</v>
      </c>
      <c r="AI544" s="2"/>
      <c r="AJ544" s="513"/>
      <c r="AK544" s="513"/>
      <c r="AL544" s="1522" t="s">
        <v>68</v>
      </c>
      <c r="AM544" s="1523" t="s">
        <v>68</v>
      </c>
      <c r="AN544" s="1324" t="s">
        <v>6889</v>
      </c>
      <c r="AO544" s="1324" t="s">
        <v>6889</v>
      </c>
      <c r="AP544" s="1324" t="s">
        <v>6889</v>
      </c>
      <c r="AQ544" s="501" t="s">
        <v>6889</v>
      </c>
      <c r="AR544" s="501" t="s">
        <v>6889</v>
      </c>
      <c r="AS544" s="1505" t="s">
        <v>6889</v>
      </c>
    </row>
    <row r="545" spans="1:45" ht="114.75" customHeight="1">
      <c r="A545" s="16">
        <f>OBRA!J543</f>
        <v>2021</v>
      </c>
      <c r="B545" s="1415" t="s">
        <v>2094</v>
      </c>
      <c r="C545" s="783">
        <f>OBRA!K543</f>
        <v>212017</v>
      </c>
      <c r="D545" s="1562" t="s">
        <v>551</v>
      </c>
      <c r="E545" s="412" t="str">
        <f>OBRA!M543</f>
        <v>EMP P/LA REACTIVACIÓN ECONÓMICA EN MPIOS</v>
      </c>
      <c r="F545" s="511"/>
      <c r="G545" s="156" t="s">
        <v>2206</v>
      </c>
      <c r="H545" s="412" t="str">
        <f>OBRA!N543</f>
        <v>DOP/AD/017/2021</v>
      </c>
      <c r="I545" s="2" t="str">
        <f>OBRA!O543</f>
        <v>ADMINISTRACIÓN DIRECTA</v>
      </c>
      <c r="J545" s="3" t="str">
        <f>OBRA!P543</f>
        <v>CONSTRUCCIÓN DE EMPEDRADO ZAMPEADO EN LA LOCALIDAD DE LA NEXTIPAC</v>
      </c>
      <c r="K545" s="3"/>
      <c r="L545" s="3" t="s">
        <v>4752</v>
      </c>
      <c r="M545" s="3" t="s">
        <v>4092</v>
      </c>
      <c r="N545" s="3" t="s">
        <v>2577</v>
      </c>
      <c r="O545" s="504" t="s">
        <v>6889</v>
      </c>
      <c r="P545" s="79">
        <f>OBRA!R543</f>
        <v>1965177.84</v>
      </c>
      <c r="Q545" s="1023">
        <f t="shared" si="35"/>
        <v>1694118.8275862071</v>
      </c>
      <c r="R545" s="1023"/>
      <c r="S545" s="67">
        <f>OBRA!S543</f>
        <v>44378</v>
      </c>
      <c r="T545" s="1134">
        <f>OBRA!V543</f>
        <v>0</v>
      </c>
      <c r="U545" s="5">
        <f>OBRA!T543</f>
        <v>44438</v>
      </c>
      <c r="V545" s="11">
        <f>OBRA!U543</f>
        <v>44492</v>
      </c>
      <c r="W545" s="220"/>
      <c r="X545" s="1019">
        <f>OBRA!AS543+OBRA!AT543</f>
        <v>0</v>
      </c>
      <c r="Y545" s="1018" t="s">
        <v>4143</v>
      </c>
      <c r="Z545" s="146" t="str">
        <f>OBRA!W543</f>
        <v>N/A</v>
      </c>
      <c r="AA545" s="146" t="s">
        <v>68</v>
      </c>
      <c r="AB545" s="148" t="str">
        <f t="shared" si="36"/>
        <v>N/A</v>
      </c>
      <c r="AC545" s="146" t="s">
        <v>1177</v>
      </c>
      <c r="AD545" s="148" t="s">
        <v>1177</v>
      </c>
      <c r="AE545" s="183" t="str">
        <f>OBRA!X543</f>
        <v>DANIEL RODRIGUEZ</v>
      </c>
      <c r="AF545" s="19">
        <f>2042.44+3523.2</f>
        <v>5565.6399999999994</v>
      </c>
      <c r="AG545" s="2" t="s">
        <v>1548</v>
      </c>
      <c r="AH545" s="615">
        <f t="shared" si="33"/>
        <v>0</v>
      </c>
      <c r="AI545" s="2"/>
      <c r="AJ545" s="513"/>
      <c r="AK545" s="513"/>
      <c r="AL545" s="1522" t="s">
        <v>68</v>
      </c>
      <c r="AM545" s="1523" t="s">
        <v>68</v>
      </c>
      <c r="AN545" s="1324" t="s">
        <v>6889</v>
      </c>
      <c r="AO545" s="1324" t="s">
        <v>6889</v>
      </c>
      <c r="AP545" s="1324" t="s">
        <v>6889</v>
      </c>
      <c r="AQ545" s="501" t="s">
        <v>6889</v>
      </c>
      <c r="AR545" s="501" t="s">
        <v>6889</v>
      </c>
      <c r="AS545" s="1505" t="s">
        <v>6889</v>
      </c>
    </row>
    <row r="546" spans="1:45" ht="114.75" customHeight="1">
      <c r="A546" s="16">
        <f>OBRA!J544</f>
        <v>2021</v>
      </c>
      <c r="B546" s="1415" t="s">
        <v>2094</v>
      </c>
      <c r="C546" s="783">
        <f>OBRA!K544</f>
        <v>212018</v>
      </c>
      <c r="D546" s="1562" t="s">
        <v>551</v>
      </c>
      <c r="E546" s="412" t="str">
        <f>OBRA!M544</f>
        <v>EMP P/LA REACTIVACIÓN ECONÓMICA EN MPIOS</v>
      </c>
      <c r="F546" s="511"/>
      <c r="G546" s="156" t="s">
        <v>2206</v>
      </c>
      <c r="H546" s="412" t="str">
        <f>OBRA!N544</f>
        <v>DOP/AD/018/2021</v>
      </c>
      <c r="I546" s="2" t="str">
        <f>OBRA!O544</f>
        <v>ADMINISTRACIÓN DIRECTA</v>
      </c>
      <c r="J546" s="3" t="str">
        <f>OBRA!P544</f>
        <v>CONSTRUCCIÓN DE EMPEDRADO ZAMPEADO EN VIALIDAD CALLE FERNANDO MONTES DE OCA DE KM  0+000.00 AL KM 0+254.71 (ENTRE CALLE VICENTE SUAREZ Y CALLE SIN, EN LA LOCALIDAD DE EL MOLINO, DEL MUNICIPIO DE JOCOTEPEC, JALISCO.</v>
      </c>
      <c r="K546" s="3"/>
      <c r="L546" s="3" t="s">
        <v>4752</v>
      </c>
      <c r="M546" s="3" t="s">
        <v>4093</v>
      </c>
      <c r="N546" s="3" t="s">
        <v>2663</v>
      </c>
      <c r="O546" s="504" t="s">
        <v>6889</v>
      </c>
      <c r="P546" s="79">
        <f>OBRA!R544</f>
        <v>643795.13</v>
      </c>
      <c r="Q546" s="1023">
        <f t="shared" si="35"/>
        <v>554995.80172413797</v>
      </c>
      <c r="R546" s="1023"/>
      <c r="S546" s="67">
        <f>OBRA!S544</f>
        <v>44378</v>
      </c>
      <c r="T546" s="1134">
        <f>OBRA!V544</f>
        <v>0</v>
      </c>
      <c r="U546" s="5">
        <f>OBRA!T544</f>
        <v>44487</v>
      </c>
      <c r="V546" s="11">
        <f>OBRA!U544</f>
        <v>44541</v>
      </c>
      <c r="W546" s="220"/>
      <c r="X546" s="1019">
        <f>OBRA!AS544+OBRA!AT544</f>
        <v>0</v>
      </c>
      <c r="Y546" s="1018" t="s">
        <v>4143</v>
      </c>
      <c r="Z546" s="146" t="str">
        <f>OBRA!W544</f>
        <v>N/A</v>
      </c>
      <c r="AA546" s="146" t="s">
        <v>68</v>
      </c>
      <c r="AB546" s="148" t="str">
        <f t="shared" si="36"/>
        <v>N/A</v>
      </c>
      <c r="AC546" s="146" t="s">
        <v>1177</v>
      </c>
      <c r="AD546" s="148" t="s">
        <v>1177</v>
      </c>
      <c r="AE546" s="183" t="str">
        <f>OBRA!X544</f>
        <v>DANIEL RODRIGUEZ</v>
      </c>
      <c r="AF546" s="19">
        <v>1782.99</v>
      </c>
      <c r="AG546" s="2" t="s">
        <v>1548</v>
      </c>
      <c r="AH546" s="615">
        <f t="shared" si="33"/>
        <v>0</v>
      </c>
      <c r="AI546" s="2"/>
      <c r="AJ546" s="513"/>
      <c r="AK546" s="513"/>
      <c r="AL546" s="1522">
        <v>20.388923999999999</v>
      </c>
      <c r="AM546" s="1523">
        <v>103.53686999999999</v>
      </c>
      <c r="AN546" s="1324" t="s">
        <v>6889</v>
      </c>
      <c r="AO546" s="1324" t="s">
        <v>6889</v>
      </c>
      <c r="AP546" s="1324" t="s">
        <v>6889</v>
      </c>
      <c r="AQ546" s="501" t="s">
        <v>6889</v>
      </c>
      <c r="AR546" s="501" t="s">
        <v>6889</v>
      </c>
      <c r="AS546" s="1505" t="s">
        <v>6889</v>
      </c>
    </row>
    <row r="547" spans="1:45" ht="114.75" customHeight="1">
      <c r="A547" s="16">
        <f>OBRA!J545</f>
        <v>2021</v>
      </c>
      <c r="B547" s="1415" t="s">
        <v>2094</v>
      </c>
      <c r="C547" s="783">
        <f>OBRA!K545</f>
        <v>212019</v>
      </c>
      <c r="D547" s="1562" t="s">
        <v>551</v>
      </c>
      <c r="E547" s="412" t="str">
        <f>OBRA!M545</f>
        <v>EMP P/LA REACTIVACIÓN ECONÓMICA EN MPIOS</v>
      </c>
      <c r="F547" s="511"/>
      <c r="G547" s="156" t="s">
        <v>2206</v>
      </c>
      <c r="H547" s="412" t="str">
        <f>OBRA!N545</f>
        <v>DOP/AD/019/2021</v>
      </c>
      <c r="I547" s="2" t="str">
        <f>OBRA!O545</f>
        <v>ADMINISTRACIÓN DIRECTA</v>
      </c>
      <c r="J547" s="3" t="str">
        <f>OBRA!P545</f>
        <v>CONSTRUCCIÓN DE EMPEDRADO ZAMPEADO EN VIALIDAD CALLE LIBERTAD DE KM 0+000.00 AL KM 0+221.00 (ENTRE BENITO JUAREZ A ESMERALDA), EN LA LOCALIDAD DE POTRERILLOS DEL MUNICIPIO DE JOCOTEPEC, JALISCO.</v>
      </c>
      <c r="K547" s="3"/>
      <c r="L547" s="3" t="s">
        <v>4752</v>
      </c>
      <c r="M547" s="3" t="s">
        <v>4094</v>
      </c>
      <c r="N547" s="3" t="s">
        <v>2515</v>
      </c>
      <c r="O547" s="504" t="s">
        <v>6889</v>
      </c>
      <c r="P547" s="79">
        <f>OBRA!R545</f>
        <v>512378.61</v>
      </c>
      <c r="Q547" s="1023">
        <f t="shared" si="35"/>
        <v>441705.69827586209</v>
      </c>
      <c r="R547" s="1023"/>
      <c r="S547" s="67">
        <f>OBRA!S545</f>
        <v>44378</v>
      </c>
      <c r="T547" s="1134">
        <f>OBRA!V545</f>
        <v>0</v>
      </c>
      <c r="U547" s="5">
        <f>OBRA!T545</f>
        <v>44513</v>
      </c>
      <c r="V547" s="11">
        <f>OBRA!U545</f>
        <v>44541</v>
      </c>
      <c r="W547" s="220"/>
      <c r="X547" s="1019">
        <f>OBRA!AS545+OBRA!AT545</f>
        <v>0</v>
      </c>
      <c r="Y547" s="1018" t="s">
        <v>4143</v>
      </c>
      <c r="Z547" s="146" t="str">
        <f>OBRA!W545</f>
        <v>N/A</v>
      </c>
      <c r="AA547" s="146" t="s">
        <v>68</v>
      </c>
      <c r="AB547" s="148" t="str">
        <f t="shared" si="36"/>
        <v>N/A</v>
      </c>
      <c r="AC547" s="146" t="s">
        <v>1177</v>
      </c>
      <c r="AD547" s="148" t="s">
        <v>1177</v>
      </c>
      <c r="AE547" s="183" t="str">
        <f>OBRA!X545</f>
        <v>DANIEL RODRIGUEZ</v>
      </c>
      <c r="AF547" s="19">
        <v>1361.3</v>
      </c>
      <c r="AG547" s="2" t="s">
        <v>1548</v>
      </c>
      <c r="AH547" s="615">
        <f t="shared" si="33"/>
        <v>0</v>
      </c>
      <c r="AI547" s="2"/>
      <c r="AJ547" s="513"/>
      <c r="AK547" s="513"/>
      <c r="AL547" s="1522">
        <v>20.339117999999999</v>
      </c>
      <c r="AM547" s="1523">
        <v>103.37781699999999</v>
      </c>
      <c r="AN547" s="1324" t="s">
        <v>6889</v>
      </c>
      <c r="AO547" s="1324" t="s">
        <v>6889</v>
      </c>
      <c r="AP547" s="1324" t="s">
        <v>6889</v>
      </c>
      <c r="AQ547" s="501" t="s">
        <v>6889</v>
      </c>
      <c r="AR547" s="501" t="s">
        <v>6889</v>
      </c>
      <c r="AS547" s="1505" t="s">
        <v>6889</v>
      </c>
    </row>
    <row r="548" spans="1:45" s="1050" customFormat="1" ht="114.75" hidden="1" customHeight="1">
      <c r="A548" s="532">
        <f>OBRA!J546</f>
        <v>2021</v>
      </c>
      <c r="B548" s="1490" t="s">
        <v>2094</v>
      </c>
      <c r="C548" s="783">
        <f>OBRA!K546</f>
        <v>212020</v>
      </c>
      <c r="D548" s="1558" t="s">
        <v>551</v>
      </c>
      <c r="E548" s="186">
        <f>OBRA!M546</f>
        <v>0</v>
      </c>
      <c r="F548" s="1464"/>
      <c r="G548" s="577"/>
      <c r="H548" s="1491" t="str">
        <f>OBRA!N546</f>
        <v>DOP/AD/020/2021</v>
      </c>
      <c r="I548" s="186" t="str">
        <f>OBRA!O546</f>
        <v>CANCELADA</v>
      </c>
      <c r="J548" s="106">
        <f>OBRA!P546</f>
        <v>0</v>
      </c>
      <c r="K548" s="106"/>
      <c r="L548" s="106"/>
      <c r="M548" s="106"/>
      <c r="N548" s="106"/>
      <c r="O548" s="1500"/>
      <c r="P548" s="1064">
        <f>OBRA!R546</f>
        <v>0</v>
      </c>
      <c r="Q548" s="1064">
        <f t="shared" si="35"/>
        <v>0</v>
      </c>
      <c r="R548" s="1064"/>
      <c r="S548" s="1463">
        <f>OBRA!S546</f>
        <v>0</v>
      </c>
      <c r="T548" s="1492">
        <f>OBRA!V546</f>
        <v>0</v>
      </c>
      <c r="U548" s="1071">
        <f>OBRA!T546</f>
        <v>0</v>
      </c>
      <c r="V548" s="1077">
        <f>OBRA!U546</f>
        <v>0</v>
      </c>
      <c r="W548" s="1467"/>
      <c r="X548" s="1494">
        <f>OBRA!AS546+OBRA!AT546</f>
        <v>0</v>
      </c>
      <c r="Y548" s="1495"/>
      <c r="Z548" s="1496">
        <f>OBRA!W546</f>
        <v>0</v>
      </c>
      <c r="AA548" s="146" t="s">
        <v>68</v>
      </c>
      <c r="AB548" s="1502">
        <f t="shared" si="36"/>
        <v>0</v>
      </c>
      <c r="AC548" s="1496" t="s">
        <v>1177</v>
      </c>
      <c r="AD548" s="1502" t="s">
        <v>1177</v>
      </c>
      <c r="AE548" s="1497">
        <f>OBRA!X546</f>
        <v>0</v>
      </c>
      <c r="AF548" s="829"/>
      <c r="AG548" s="186"/>
      <c r="AH548" s="1497" t="e">
        <f t="shared" si="33"/>
        <v>#DIV/0!</v>
      </c>
      <c r="AI548" s="186"/>
      <c r="AJ548" s="516"/>
      <c r="AK548" s="516"/>
      <c r="AL548" s="1520"/>
      <c r="AM548" s="1521"/>
      <c r="AN548" s="1498"/>
      <c r="AO548" s="1498"/>
      <c r="AP548" s="1498"/>
      <c r="AQ548" s="516"/>
      <c r="AR548" s="516"/>
      <c r="AS548" s="1499"/>
    </row>
    <row r="549" spans="1:45" ht="101.25" customHeight="1">
      <c r="A549" s="16">
        <f>OBRA!J547</f>
        <v>2021</v>
      </c>
      <c r="B549" s="1415" t="s">
        <v>2094</v>
      </c>
      <c r="C549" s="783">
        <f>OBRA!K547</f>
        <v>213001</v>
      </c>
      <c r="D549" s="1562" t="s">
        <v>551</v>
      </c>
      <c r="E549" s="412" t="str">
        <f>OBRA!M547</f>
        <v>CUENTA CORRIENTE</v>
      </c>
      <c r="F549" s="18" t="s">
        <v>1428</v>
      </c>
      <c r="G549" s="156" t="s">
        <v>2861</v>
      </c>
      <c r="H549" s="412" t="str">
        <f>OBRA!N547</f>
        <v>C- OP 001/2021</v>
      </c>
      <c r="I549" s="2" t="str">
        <f>OBRA!O547</f>
        <v>ARRENDAMIENTO</v>
      </c>
      <c r="J549" s="3" t="str">
        <f>OBRA!P547</f>
        <v>RENTA DE CAMIÓN DE VOLTEO MARCA FREIGHTLINER DE 14 M3, PARA SER UTILIZADO EN EL MÓDULO DE MAQUINARÍA DEL MUNICIPIO DE JOCOTEPEC, JALISCO.</v>
      </c>
      <c r="K549" s="3" t="s">
        <v>3821</v>
      </c>
      <c r="L549" s="3"/>
      <c r="M549" s="3" t="s">
        <v>3763</v>
      </c>
      <c r="N549" s="3" t="s">
        <v>2575</v>
      </c>
      <c r="O549" s="504" t="s">
        <v>3817</v>
      </c>
      <c r="P549" s="79">
        <f>OBRA!R547</f>
        <v>45000</v>
      </c>
      <c r="Q549" s="1023">
        <f t="shared" si="32"/>
        <v>38793.103448275862</v>
      </c>
      <c r="R549" s="4" t="s">
        <v>3954</v>
      </c>
      <c r="S549" s="67">
        <f>OBRA!S547</f>
        <v>44204</v>
      </c>
      <c r="T549" s="1134" t="str">
        <f>OBRA!V547</f>
        <v>-</v>
      </c>
      <c r="U549" s="5">
        <f>OBRA!T547</f>
        <v>44208</v>
      </c>
      <c r="V549" s="11">
        <f>OBRA!U547</f>
        <v>44298</v>
      </c>
      <c r="W549" s="1195">
        <v>0</v>
      </c>
      <c r="X549" s="1019">
        <f>OBRA!AS547+OBRA!AT547</f>
        <v>0</v>
      </c>
      <c r="Y549" s="1018" t="s">
        <v>1428</v>
      </c>
      <c r="Z549" s="146" t="str">
        <f>OBRA!W547</f>
        <v>URIEL PALOS CUEVAS</v>
      </c>
      <c r="AA549" s="146" t="s">
        <v>5665</v>
      </c>
      <c r="AB549" s="2" t="str">
        <f t="shared" ref="AB549:AB554" si="37">Z549</f>
        <v>URIEL PALOS CUEVAS</v>
      </c>
      <c r="AC549" s="2" t="s">
        <v>4494</v>
      </c>
      <c r="AD549" s="2" t="s">
        <v>4495</v>
      </c>
      <c r="AE549" s="183" t="str">
        <f>OBRA!X547</f>
        <v>DANIEL RODRIGUEZ</v>
      </c>
      <c r="AF549" s="19">
        <v>1</v>
      </c>
      <c r="AG549" s="2" t="s">
        <v>6756</v>
      </c>
      <c r="AH549" s="183">
        <f>P549/AF549</f>
        <v>45000</v>
      </c>
      <c r="AI549" s="2"/>
      <c r="AJ549" s="513"/>
      <c r="AK549" s="1888">
        <v>1</v>
      </c>
      <c r="AL549" s="1513"/>
      <c r="AM549" s="1514"/>
      <c r="AN549" s="504" t="s">
        <v>3817</v>
      </c>
      <c r="AO549" s="1900"/>
      <c r="AP549" s="1900"/>
      <c r="AQ549" s="513" t="s">
        <v>68</v>
      </c>
      <c r="AR549" s="513"/>
      <c r="AS549" s="124" t="s">
        <v>68</v>
      </c>
    </row>
    <row r="550" spans="1:45" ht="98.25" customHeight="1">
      <c r="A550" s="16">
        <f>OBRA!J548</f>
        <v>2021</v>
      </c>
      <c r="B550" s="1415" t="s">
        <v>2094</v>
      </c>
      <c r="C550" s="783">
        <f>OBRA!K548</f>
        <v>213002</v>
      </c>
      <c r="D550" s="1562" t="s">
        <v>551</v>
      </c>
      <c r="E550" s="412" t="str">
        <f>OBRA!M548</f>
        <v>CUENTA CORRIENTE</v>
      </c>
      <c r="F550" s="18" t="s">
        <v>1428</v>
      </c>
      <c r="G550" s="156" t="s">
        <v>2861</v>
      </c>
      <c r="H550" s="412" t="str">
        <f>OBRA!N548</f>
        <v>C- OP 002/2021</v>
      </c>
      <c r="I550" s="2" t="str">
        <f>OBRA!O548</f>
        <v>ARRENDAMIENTO</v>
      </c>
      <c r="J550" s="3" t="str">
        <f>OBRA!P548</f>
        <v>RENTA DE RETROEXCAVADORA MARCA JOHN DEERE MOD 310SJ, PARA SER UTILIZADA EN LIMPIEZA DE CALLES DEL PROGRAMA SADER 2021 DEL MUNICIPIO DE JOCOTEPEC, JALISCO.</v>
      </c>
      <c r="K550" s="3" t="s">
        <v>5622</v>
      </c>
      <c r="L550" s="3"/>
      <c r="M550" s="3" t="s">
        <v>3763</v>
      </c>
      <c r="N550" s="3" t="s">
        <v>2575</v>
      </c>
      <c r="O550" s="504" t="s">
        <v>3817</v>
      </c>
      <c r="P550" s="79">
        <f>OBRA!R548</f>
        <v>64960</v>
      </c>
      <c r="Q550" s="1023">
        <f t="shared" si="32"/>
        <v>56000.000000000007</v>
      </c>
      <c r="R550" s="4" t="s">
        <v>3954</v>
      </c>
      <c r="S550" s="67">
        <f>OBRA!S548</f>
        <v>44224</v>
      </c>
      <c r="T550" s="1134" t="str">
        <f>OBRA!V548</f>
        <v>-</v>
      </c>
      <c r="U550" s="5">
        <f>OBRA!T548</f>
        <v>44228</v>
      </c>
      <c r="V550" s="11">
        <f>OBRA!U548</f>
        <v>44255</v>
      </c>
      <c r="W550" s="1195">
        <v>0</v>
      </c>
      <c r="X550" s="1019">
        <f>OBRA!AS548+OBRA!AT548</f>
        <v>0</v>
      </c>
      <c r="Y550" s="1018" t="s">
        <v>1428</v>
      </c>
      <c r="Z550" s="146" t="str">
        <f>OBRA!W548</f>
        <v>GRUPO ARANGE, S.A. DE C.V.</v>
      </c>
      <c r="AA550" s="146" t="s">
        <v>5666</v>
      </c>
      <c r="AB550" s="2" t="str">
        <f t="shared" si="37"/>
        <v>GRUPO ARANGE, S.A. DE C.V.</v>
      </c>
      <c r="AC550" s="2" t="s">
        <v>2883</v>
      </c>
      <c r="AD550" s="146" t="s">
        <v>4496</v>
      </c>
      <c r="AE550" s="183" t="str">
        <f>OBRA!X548</f>
        <v>DANIEL RODRIGUEZ</v>
      </c>
      <c r="AF550" s="19">
        <v>1</v>
      </c>
      <c r="AG550" s="2" t="s">
        <v>6756</v>
      </c>
      <c r="AH550" s="183">
        <f t="shared" ref="AH550:AH566" si="38">P550/AF550</f>
        <v>64960</v>
      </c>
      <c r="AI550" s="2"/>
      <c r="AJ550" s="513"/>
      <c r="AK550" s="1888">
        <v>1</v>
      </c>
      <c r="AL550" s="1513"/>
      <c r="AM550" s="1514"/>
      <c r="AN550" s="504" t="s">
        <v>3817</v>
      </c>
      <c r="AO550" s="1900"/>
      <c r="AP550" s="1900"/>
      <c r="AQ550" s="513" t="s">
        <v>68</v>
      </c>
      <c r="AR550" s="513"/>
      <c r="AS550" s="124" t="s">
        <v>68</v>
      </c>
    </row>
    <row r="551" spans="1:45" s="1050" customFormat="1" ht="36" hidden="1" customHeight="1">
      <c r="A551" s="532">
        <f>OBRA!J549</f>
        <v>2021</v>
      </c>
      <c r="B551" s="1490" t="s">
        <v>2094</v>
      </c>
      <c r="C551" s="783">
        <f>OBRA!K549</f>
        <v>213003</v>
      </c>
      <c r="D551" s="1558" t="s">
        <v>551</v>
      </c>
      <c r="E551" s="186" t="str">
        <f>OBRA!M549</f>
        <v>CUENTA CORRIENTE</v>
      </c>
      <c r="F551" s="1464" t="s">
        <v>1428</v>
      </c>
      <c r="G551" s="577" t="s">
        <v>2861</v>
      </c>
      <c r="H551" s="1491" t="str">
        <f>OBRA!N549</f>
        <v>C- OP 003/2021</v>
      </c>
      <c r="I551" s="186" t="str">
        <f>OBRA!O549</f>
        <v>ARRENDAMIENTO (CANCELADO)</v>
      </c>
      <c r="J551" s="106">
        <f>OBRA!P549</f>
        <v>0</v>
      </c>
      <c r="K551" s="106"/>
      <c r="L551" s="106"/>
      <c r="M551" s="106" t="s">
        <v>68</v>
      </c>
      <c r="N551" s="106" t="s">
        <v>68</v>
      </c>
      <c r="O551" s="1500"/>
      <c r="P551" s="1064">
        <f>OBRA!R549</f>
        <v>0</v>
      </c>
      <c r="Q551" s="1064">
        <f t="shared" si="32"/>
        <v>0</v>
      </c>
      <c r="R551" s="4" t="s">
        <v>2294</v>
      </c>
      <c r="S551" s="1463">
        <f>OBRA!S549</f>
        <v>0</v>
      </c>
      <c r="T551" s="1492" t="str">
        <f>OBRA!V549</f>
        <v>-</v>
      </c>
      <c r="U551" s="1071">
        <f>OBRA!T549</f>
        <v>0</v>
      </c>
      <c r="V551" s="1077">
        <f>OBRA!U549</f>
        <v>0</v>
      </c>
      <c r="W551" s="1493">
        <v>0</v>
      </c>
      <c r="X551" s="1494">
        <f>OBRA!AS549+OBRA!AT549</f>
        <v>0</v>
      </c>
      <c r="Y551" s="1495"/>
      <c r="Z551" s="1496">
        <f>OBRA!W549</f>
        <v>0</v>
      </c>
      <c r="AA551" s="1496" t="s">
        <v>5666</v>
      </c>
      <c r="AB551" s="186">
        <f t="shared" si="37"/>
        <v>0</v>
      </c>
      <c r="AC551" s="186"/>
      <c r="AD551" s="1496"/>
      <c r="AE551" s="1497">
        <f>OBRA!X549</f>
        <v>0</v>
      </c>
      <c r="AF551" s="829"/>
      <c r="AG551" s="186"/>
      <c r="AH551" s="551" t="e">
        <f t="shared" si="38"/>
        <v>#DIV/0!</v>
      </c>
      <c r="AI551" s="186"/>
      <c r="AJ551" s="516"/>
      <c r="AK551" s="516"/>
      <c r="AL551" s="1520"/>
      <c r="AM551" s="1521"/>
      <c r="AN551" s="1498"/>
      <c r="AO551" s="1498"/>
      <c r="AP551" s="1498"/>
      <c r="AQ551" s="516" t="s">
        <v>68</v>
      </c>
      <c r="AR551" s="516"/>
      <c r="AS551" s="1499" t="s">
        <v>68</v>
      </c>
    </row>
    <row r="552" spans="1:45" ht="90" customHeight="1">
      <c r="A552" s="16">
        <f>OBRA!J550</f>
        <v>2021</v>
      </c>
      <c r="B552" s="1415" t="s">
        <v>2094</v>
      </c>
      <c r="C552" s="783">
        <f>OBRA!K550</f>
        <v>213004</v>
      </c>
      <c r="D552" s="1562" t="s">
        <v>551</v>
      </c>
      <c r="E552" s="412" t="str">
        <f>OBRA!M550</f>
        <v>CUENTA CORRIENTE</v>
      </c>
      <c r="F552" s="18" t="s">
        <v>1428</v>
      </c>
      <c r="G552" s="156" t="s">
        <v>2861</v>
      </c>
      <c r="H552" s="412" t="str">
        <f>OBRA!N550</f>
        <v>C- OP 004/2021</v>
      </c>
      <c r="I552" s="2" t="str">
        <f>OBRA!O550</f>
        <v>ARRENDAMIENTO</v>
      </c>
      <c r="J552" s="3" t="str">
        <f>OBRA!P550</f>
        <v>RENTA DE RETROEXCAVADORA CATERPILAR 416E PARA SER UTILIZADA EN LA OBRA: REHABILITACIÓN DE LÍNEAS HIDROSANITARIAS EN CALLE JUÁREZ, CALLE 30 DE SEPTIEMBRE Y C. 5 DE MAYO" EN LA DELEGACIÓN DE HUEJOTITÁN, DEL MUNICIPIO DE JOCOTEPEC, JALISCO.</v>
      </c>
      <c r="K552" s="3" t="s">
        <v>3822</v>
      </c>
      <c r="L552" s="3"/>
      <c r="M552" s="3" t="s">
        <v>3823</v>
      </c>
      <c r="N552" s="3" t="s">
        <v>2506</v>
      </c>
      <c r="O552" s="504" t="s">
        <v>3817</v>
      </c>
      <c r="P552" s="79">
        <f>OBRA!R550</f>
        <v>580</v>
      </c>
      <c r="Q552" s="1023">
        <f t="shared" si="32"/>
        <v>500.00000000000006</v>
      </c>
      <c r="R552" s="4" t="s">
        <v>2294</v>
      </c>
      <c r="S552" s="67">
        <f>OBRA!S550</f>
        <v>44227</v>
      </c>
      <c r="T552" s="1134" t="str">
        <f>OBRA!V550</f>
        <v>-</v>
      </c>
      <c r="U552" s="5" t="str">
        <f>OBRA!T550</f>
        <v>-</v>
      </c>
      <c r="V552" s="11" t="str">
        <f>OBRA!U550</f>
        <v>-</v>
      </c>
      <c r="W552" s="1195">
        <v>0</v>
      </c>
      <c r="X552" s="1019">
        <f>OBRA!AS550+OBRA!AT550</f>
        <v>0</v>
      </c>
      <c r="Y552" s="1018" t="s">
        <v>1428</v>
      </c>
      <c r="Z552" s="146" t="str">
        <f>OBRA!W550</f>
        <v>ING. SERGIO CABRERA</v>
      </c>
      <c r="AA552" s="146" t="s">
        <v>5665</v>
      </c>
      <c r="AB552" s="2" t="str">
        <f t="shared" si="37"/>
        <v>ING. SERGIO CABRERA</v>
      </c>
      <c r="AC552" s="2" t="s">
        <v>2959</v>
      </c>
      <c r="AD552" s="146" t="s">
        <v>2959</v>
      </c>
      <c r="AE552" s="183" t="str">
        <f>OBRA!X550</f>
        <v>LIC. SALVADOR CONTRERAS OLGUÍN</v>
      </c>
      <c r="AF552" s="19">
        <v>1</v>
      </c>
      <c r="AG552" s="2" t="s">
        <v>6756</v>
      </c>
      <c r="AH552" s="183">
        <f t="shared" si="38"/>
        <v>580</v>
      </c>
      <c r="AI552" s="2"/>
      <c r="AJ552" s="513"/>
      <c r="AK552" s="1888">
        <v>1</v>
      </c>
      <c r="AL552" s="1513"/>
      <c r="AM552" s="1514"/>
      <c r="AN552" s="504" t="s">
        <v>3817</v>
      </c>
      <c r="AO552" s="1900"/>
      <c r="AP552" s="1900"/>
      <c r="AQ552" s="513" t="s">
        <v>68</v>
      </c>
      <c r="AR552" s="513"/>
      <c r="AS552" s="124" t="s">
        <v>68</v>
      </c>
    </row>
    <row r="553" spans="1:45" ht="105" customHeight="1">
      <c r="A553" s="16">
        <f>OBRA!J551</f>
        <v>2021</v>
      </c>
      <c r="B553" s="1415" t="s">
        <v>2094</v>
      </c>
      <c r="C553" s="783">
        <f>OBRA!K551</f>
        <v>213005</v>
      </c>
      <c r="D553" s="1562" t="s">
        <v>551</v>
      </c>
      <c r="E553" s="412" t="str">
        <f>OBRA!M551</f>
        <v>CUENTA CORRIENTE</v>
      </c>
      <c r="F553" s="18" t="s">
        <v>1428</v>
      </c>
      <c r="G553" s="156" t="s">
        <v>2861</v>
      </c>
      <c r="H553" s="412" t="str">
        <f>OBRA!N551</f>
        <v>C- OP 005/2021</v>
      </c>
      <c r="I553" s="2" t="str">
        <f>OBRA!O551</f>
        <v>ARRENDAMIENTO</v>
      </c>
      <c r="J553" s="3" t="str">
        <f>OBRA!P551</f>
        <v>RENTA DE CAMIÓN DE 14 M3, PARA SER UTILIZADO EN LA OBRA: REHABILITACIÓN DE LÍNEAS HIDROSANITARIAS EN CALLE JUÁREZ, CALLE 30 DE SEPTIEMBRE Y C. 5 DE MAYO" EN LA DELEGACIÓN DE HUEJOTITÁN, DEL MUNICIPIO DE JOCOTEPEC, JALISCO.</v>
      </c>
      <c r="K553" s="3" t="s">
        <v>5624</v>
      </c>
      <c r="L553" s="3"/>
      <c r="M553" s="3" t="s">
        <v>3823</v>
      </c>
      <c r="N553" s="3" t="s">
        <v>2506</v>
      </c>
      <c r="O553" s="504" t="s">
        <v>3817</v>
      </c>
      <c r="P553" s="79">
        <f>OBRA!R551</f>
        <v>696</v>
      </c>
      <c r="Q553" s="1023">
        <f t="shared" si="32"/>
        <v>600</v>
      </c>
      <c r="R553" s="4" t="s">
        <v>2462</v>
      </c>
      <c r="S553" s="67">
        <f>OBRA!S551</f>
        <v>44227</v>
      </c>
      <c r="T553" s="1134" t="str">
        <f>OBRA!V551</f>
        <v>-</v>
      </c>
      <c r="U553" s="5" t="str">
        <f>OBRA!T551</f>
        <v>-</v>
      </c>
      <c r="V553" s="11" t="str">
        <f>OBRA!U551</f>
        <v>-</v>
      </c>
      <c r="W553" s="1195">
        <v>0</v>
      </c>
      <c r="X553" s="1019">
        <f>OBRA!AS551+OBRA!AT551</f>
        <v>0</v>
      </c>
      <c r="Y553" s="1018" t="s">
        <v>1428</v>
      </c>
      <c r="Z553" s="146" t="str">
        <f>OBRA!W551</f>
        <v>ING. SERGIO CABRERA</v>
      </c>
      <c r="AA553" s="146" t="s">
        <v>5665</v>
      </c>
      <c r="AB553" s="2" t="str">
        <f t="shared" si="37"/>
        <v>ING. SERGIO CABRERA</v>
      </c>
      <c r="AC553" s="2" t="s">
        <v>2959</v>
      </c>
      <c r="AD553" s="146" t="s">
        <v>2959</v>
      </c>
      <c r="AE553" s="183" t="str">
        <f>OBRA!X551</f>
        <v>LIC. SALVADOR CONTRERAS OLGUÍN</v>
      </c>
      <c r="AF553" s="19">
        <v>1</v>
      </c>
      <c r="AG553" s="2" t="s">
        <v>6756</v>
      </c>
      <c r="AH553" s="183">
        <f t="shared" si="38"/>
        <v>696</v>
      </c>
      <c r="AI553" s="2"/>
      <c r="AJ553" s="513"/>
      <c r="AK553" s="1888">
        <v>1</v>
      </c>
      <c r="AL553" s="1513"/>
      <c r="AM553" s="1514"/>
      <c r="AN553" s="504" t="s">
        <v>3817</v>
      </c>
      <c r="AO553" s="1900"/>
      <c r="AP553" s="1900"/>
      <c r="AQ553" s="513" t="s">
        <v>68</v>
      </c>
      <c r="AR553" s="513"/>
      <c r="AS553" s="124" t="s">
        <v>68</v>
      </c>
    </row>
    <row r="554" spans="1:45" ht="95.25" customHeight="1">
      <c r="A554" s="16">
        <f>OBRA!J552</f>
        <v>2021</v>
      </c>
      <c r="B554" s="1415" t="s">
        <v>2094</v>
      </c>
      <c r="C554" s="783">
        <f>OBRA!K552</f>
        <v>213006</v>
      </c>
      <c r="D554" s="1562" t="s">
        <v>551</v>
      </c>
      <c r="E554" s="412" t="str">
        <f>OBRA!M552</f>
        <v>CUENTA CORRIENTE</v>
      </c>
      <c r="F554" s="18" t="s">
        <v>1428</v>
      </c>
      <c r="G554" s="156" t="s">
        <v>2861</v>
      </c>
      <c r="H554" s="412" t="str">
        <f>OBRA!N552</f>
        <v>C- OP 006/2021</v>
      </c>
      <c r="I554" s="2" t="str">
        <f>OBRA!O552</f>
        <v>ARRENDAMIENTO</v>
      </c>
      <c r="J554" s="3" t="str">
        <f>OBRA!P552</f>
        <v>RENTA DE CAMIÓN TIPO PIPA MARCA DINA MOD. 1982 CON CAPACIDAD DE 8,000 LITROS PARA ACARRERO DE AGUA, PARA SER UTILIZADA EN LAS OBRAS DEL PROGRAMA SADER 2020 EN EL MUNICIPIO.</v>
      </c>
      <c r="K554" s="3" t="s">
        <v>5623</v>
      </c>
      <c r="L554" s="3"/>
      <c r="M554" s="3" t="s">
        <v>3763</v>
      </c>
      <c r="N554" s="3" t="s">
        <v>2575</v>
      </c>
      <c r="O554" s="504" t="s">
        <v>3817</v>
      </c>
      <c r="P554" s="79">
        <f>OBRA!R552</f>
        <v>23200</v>
      </c>
      <c r="Q554" s="1023">
        <f t="shared" si="32"/>
        <v>20000</v>
      </c>
      <c r="R554" s="4" t="s">
        <v>3954</v>
      </c>
      <c r="S554" s="67">
        <f>OBRA!S552</f>
        <v>44263</v>
      </c>
      <c r="T554" s="1134" t="str">
        <f>OBRA!V552</f>
        <v>-</v>
      </c>
      <c r="U554" s="5" t="str">
        <f>OBRA!T552</f>
        <v>-</v>
      </c>
      <c r="V554" s="11" t="str">
        <f>OBRA!U552</f>
        <v>-</v>
      </c>
      <c r="W554" s="1195">
        <v>0</v>
      </c>
      <c r="X554" s="1019">
        <f>OBRA!AS552+OBRA!AT552</f>
        <v>0</v>
      </c>
      <c r="Y554" s="1018" t="s">
        <v>1428</v>
      </c>
      <c r="Z554" s="146" t="str">
        <f>OBRA!W552</f>
        <v xml:space="preserve">SEBASTIAN MARQUEZ RAMOS </v>
      </c>
      <c r="AA554" s="146" t="s">
        <v>5665</v>
      </c>
      <c r="AB554" s="2" t="str">
        <f t="shared" si="37"/>
        <v xml:space="preserve">SEBASTIAN MARQUEZ RAMOS </v>
      </c>
      <c r="AC554" s="2" t="s">
        <v>2959</v>
      </c>
      <c r="AD554" s="146" t="s">
        <v>2959</v>
      </c>
      <c r="AE554" s="183" t="str">
        <f>OBRA!X552</f>
        <v>DANIEL RODRIGUEZ</v>
      </c>
      <c r="AF554" s="19">
        <v>1</v>
      </c>
      <c r="AG554" s="2" t="s">
        <v>6756</v>
      </c>
      <c r="AH554" s="183">
        <f t="shared" si="38"/>
        <v>23200</v>
      </c>
      <c r="AI554" s="2"/>
      <c r="AJ554" s="513"/>
      <c r="AK554" s="1888">
        <v>1</v>
      </c>
      <c r="AL554" s="1513"/>
      <c r="AM554" s="1514"/>
      <c r="AN554" s="504" t="s">
        <v>3817</v>
      </c>
      <c r="AO554" s="1900"/>
      <c r="AP554" s="1900"/>
      <c r="AQ554" s="513" t="s">
        <v>68</v>
      </c>
      <c r="AR554" s="513"/>
      <c r="AS554" s="124" t="s">
        <v>68</v>
      </c>
    </row>
    <row r="555" spans="1:45" ht="94.5" customHeight="1">
      <c r="A555" s="16">
        <f>OBRA!J553</f>
        <v>2021</v>
      </c>
      <c r="B555" s="1415" t="s">
        <v>2094</v>
      </c>
      <c r="C555" s="783">
        <f>OBRA!K553</f>
        <v>213007</v>
      </c>
      <c r="D555" s="1562" t="s">
        <v>551</v>
      </c>
      <c r="E555" s="412" t="str">
        <f>OBRA!M553</f>
        <v>CUENTA CORRIENTE</v>
      </c>
      <c r="F555" s="18" t="s">
        <v>1428</v>
      </c>
      <c r="G555" s="156" t="s">
        <v>2861</v>
      </c>
      <c r="H555" s="412" t="str">
        <f>OBRA!N553</f>
        <v>C- OP 007/2021</v>
      </c>
      <c r="I555" s="2" t="str">
        <f>OBRA!O553</f>
        <v>ARRENDAMIENTO</v>
      </c>
      <c r="J555" s="3" t="str">
        <f>OBRA!P553</f>
        <v>RENTA DE CAMIÓN TIPO PIPA MARCA DINA MOD. 1982 CON CAPACIDAD DE 8,000 LITROS PARA ACARRERO DE AGUA, PARA SER UTILIZADA EN LAS OBRAS DEL PROGRAMA SADER 2020 EN EL MUNICIPIO.</v>
      </c>
      <c r="K555" s="3" t="s">
        <v>5623</v>
      </c>
      <c r="L555" s="3"/>
      <c r="M555" s="3" t="s">
        <v>3763</v>
      </c>
      <c r="N555" s="3" t="s">
        <v>2575</v>
      </c>
      <c r="O555" s="504" t="s">
        <v>3817</v>
      </c>
      <c r="P555" s="79">
        <f>OBRA!R553</f>
        <v>23200</v>
      </c>
      <c r="Q555" s="1023">
        <f t="shared" si="32"/>
        <v>20000</v>
      </c>
      <c r="R555" s="4" t="s">
        <v>3954</v>
      </c>
      <c r="S555" s="67">
        <f>OBRA!S553</f>
        <v>44263</v>
      </c>
      <c r="T555" s="1134" t="str">
        <f>OBRA!V553</f>
        <v>-</v>
      </c>
      <c r="U555" s="5" t="str">
        <f>OBRA!T553</f>
        <v>-</v>
      </c>
      <c r="V555" s="11" t="str">
        <f>OBRA!U553</f>
        <v>-</v>
      </c>
      <c r="W555" s="1195">
        <v>0</v>
      </c>
      <c r="X555" s="1019">
        <f>OBRA!AS553+OBRA!AT553</f>
        <v>0</v>
      </c>
      <c r="Y555" s="1018" t="s">
        <v>1428</v>
      </c>
      <c r="Z555" s="146" t="str">
        <f>OBRA!W553</f>
        <v>GRUPO ARANGE, S.A. DE C.V.</v>
      </c>
      <c r="AA555" s="146" t="s">
        <v>5666</v>
      </c>
      <c r="AB555" s="2" t="s">
        <v>2902</v>
      </c>
      <c r="AC555" s="2" t="s">
        <v>2883</v>
      </c>
      <c r="AD555" s="146" t="s">
        <v>4496</v>
      </c>
      <c r="AE555" s="183" t="str">
        <f>OBRA!X553</f>
        <v>DANIEL RODRIGUEZ</v>
      </c>
      <c r="AF555" s="19">
        <v>1</v>
      </c>
      <c r="AG555" s="2" t="s">
        <v>6756</v>
      </c>
      <c r="AH555" s="183">
        <f t="shared" si="38"/>
        <v>23200</v>
      </c>
      <c r="AI555" s="2"/>
      <c r="AJ555" s="513"/>
      <c r="AK555" s="1888">
        <v>1</v>
      </c>
      <c r="AL555" s="1513"/>
      <c r="AM555" s="1514"/>
      <c r="AN555" s="504" t="s">
        <v>3817</v>
      </c>
      <c r="AO555" s="1900"/>
      <c r="AP555" s="1900"/>
      <c r="AQ555" s="513" t="s">
        <v>68</v>
      </c>
      <c r="AR555" s="513"/>
      <c r="AS555" s="124" t="s">
        <v>68</v>
      </c>
    </row>
    <row r="556" spans="1:45" ht="114.75" customHeight="1">
      <c r="A556" s="16">
        <f>OBRA!J554</f>
        <v>2021</v>
      </c>
      <c r="B556" s="1415" t="s">
        <v>2094</v>
      </c>
      <c r="C556" s="783">
        <f>OBRA!K554</f>
        <v>213008</v>
      </c>
      <c r="D556" s="1562" t="s">
        <v>551</v>
      </c>
      <c r="E556" s="412" t="str">
        <f>OBRA!M554</f>
        <v>CUENTA CORRIENTE</v>
      </c>
      <c r="F556" s="18" t="s">
        <v>1428</v>
      </c>
      <c r="G556" s="156" t="s">
        <v>2861</v>
      </c>
      <c r="H556" s="412" t="str">
        <f>OBRA!N554</f>
        <v>C- OP 008/2021</v>
      </c>
      <c r="I556" s="2" t="str">
        <f>OBRA!O554</f>
        <v>ARRENDAMIENTO</v>
      </c>
      <c r="J556" s="3" t="str">
        <f>OBRA!P554</f>
        <v>RENTA DE CAMIÓN DE VOLTEO MARCA FREIGHTLINER DE 7 M3, PARA SER UTILIZADO EN LA CONSTRUCCIÓN DE DRENAJE SANITARIO EN PRIVADA FRANCISCO VILLA DE LA CALLE 1RO DE MAYO A CERRADA, EN LA LOCALIDAD DE LA LOMA, DEL MUNICIPIO DE JOCOTEPEC, JALISCO.</v>
      </c>
      <c r="K556" s="3" t="s">
        <v>5619</v>
      </c>
      <c r="L556" s="3"/>
      <c r="M556" s="3" t="s">
        <v>3951</v>
      </c>
      <c r="N556" s="3" t="s">
        <v>2512</v>
      </c>
      <c r="O556" s="504" t="s">
        <v>3817</v>
      </c>
      <c r="P556" s="79">
        <f>OBRA!R554</f>
        <v>4686.3999999999996</v>
      </c>
      <c r="Q556" s="1023">
        <f t="shared" si="32"/>
        <v>4040</v>
      </c>
      <c r="R556" s="4" t="s">
        <v>5591</v>
      </c>
      <c r="S556" s="67">
        <f>OBRA!S554</f>
        <v>44364</v>
      </c>
      <c r="T556" s="1134" t="str">
        <f>OBRA!V554</f>
        <v>-</v>
      </c>
      <c r="U556" s="5" t="str">
        <f>OBRA!T554</f>
        <v>-</v>
      </c>
      <c r="V556" s="11" t="str">
        <f>OBRA!U554</f>
        <v>-</v>
      </c>
      <c r="W556" s="1195">
        <v>0</v>
      </c>
      <c r="X556" s="1019">
        <f>OBRA!AS554+OBRA!AT554</f>
        <v>0</v>
      </c>
      <c r="Y556" s="1018" t="s">
        <v>1428</v>
      </c>
      <c r="Z556" s="146" t="str">
        <f>OBRA!W554</f>
        <v>INDUSTRIAS UNIDAS BOGDAN, S.A. DE C.V.</v>
      </c>
      <c r="AA556" s="146" t="s">
        <v>5666</v>
      </c>
      <c r="AB556" s="2" t="s">
        <v>3948</v>
      </c>
      <c r="AC556" s="2" t="s">
        <v>3949</v>
      </c>
      <c r="AD556" s="146" t="s">
        <v>4497</v>
      </c>
      <c r="AE556" s="183" t="str">
        <f>OBRA!X554</f>
        <v>DANIEL RODRIGUEZ</v>
      </c>
      <c r="AF556" s="19">
        <v>1</v>
      </c>
      <c r="AG556" s="2" t="s">
        <v>6756</v>
      </c>
      <c r="AH556" s="183">
        <f t="shared" si="38"/>
        <v>4686.3999999999996</v>
      </c>
      <c r="AI556" s="2"/>
      <c r="AJ556" s="513"/>
      <c r="AK556" s="1888">
        <v>1</v>
      </c>
      <c r="AL556" s="1513"/>
      <c r="AM556" s="1514"/>
      <c r="AN556" s="504" t="s">
        <v>3817</v>
      </c>
      <c r="AO556" s="1900"/>
      <c r="AP556" s="1900"/>
      <c r="AQ556" s="513" t="s">
        <v>68</v>
      </c>
      <c r="AR556" s="513"/>
      <c r="AS556" s="124" t="s">
        <v>68</v>
      </c>
    </row>
    <row r="557" spans="1:45" ht="114.75" customHeight="1">
      <c r="A557" s="16">
        <f>OBRA!J555</f>
        <v>2021</v>
      </c>
      <c r="B557" s="1415" t="s">
        <v>2094</v>
      </c>
      <c r="C557" s="783">
        <f>OBRA!K555</f>
        <v>213009</v>
      </c>
      <c r="D557" s="1562" t="s">
        <v>551</v>
      </c>
      <c r="E557" s="412" t="str">
        <f>OBRA!M555</f>
        <v>CUENTA CORRIENTE</v>
      </c>
      <c r="F557" s="18" t="s">
        <v>1428</v>
      </c>
      <c r="G557" s="156" t="s">
        <v>2861</v>
      </c>
      <c r="H557" s="412" t="str">
        <f>OBRA!N555</f>
        <v>C- OP 009/2021</v>
      </c>
      <c r="I557" s="2" t="str">
        <f>OBRA!O555</f>
        <v>ARRENDAMIENTO</v>
      </c>
      <c r="J557" s="3" t="str">
        <f>OBRA!P555</f>
        <v>RENTA DE RETROEXCAVADORA CATERPILAR 416E PARA SER UTILIZADA EN LA CONSTRUCCIÓN DE DRENAJE SANITARIO EN PRIVADA FRANCISCO VILLA DE LA CALLE 1RO DE MAYO A CERRADA, EN LA LOCALIDAD DE LA LOMA, DEL MUNICIPIO DE JOCOTEPEC, JALISCO.</v>
      </c>
      <c r="K557" s="3" t="s">
        <v>3824</v>
      </c>
      <c r="L557" s="3"/>
      <c r="M557" s="3" t="s">
        <v>3951</v>
      </c>
      <c r="N557" s="3" t="s">
        <v>2512</v>
      </c>
      <c r="O557" s="504" t="s">
        <v>3818</v>
      </c>
      <c r="P557" s="79">
        <f>OBRA!R555</f>
        <v>554.48</v>
      </c>
      <c r="Q557" s="1023">
        <f t="shared" si="32"/>
        <v>478.00000000000006</v>
      </c>
      <c r="R557" s="4" t="s">
        <v>2294</v>
      </c>
      <c r="S557" s="67">
        <f>OBRA!S555</f>
        <v>44364</v>
      </c>
      <c r="T557" s="1134" t="str">
        <f>OBRA!V555</f>
        <v>-</v>
      </c>
      <c r="U557" s="5" t="str">
        <f>OBRA!T555</f>
        <v>-</v>
      </c>
      <c r="V557" s="11" t="str">
        <f>OBRA!U555</f>
        <v>-</v>
      </c>
      <c r="W557" s="1195">
        <v>0</v>
      </c>
      <c r="X557" s="1019">
        <f>OBRA!AS555+OBRA!AT555</f>
        <v>0</v>
      </c>
      <c r="Y557" s="1018" t="s">
        <v>1428</v>
      </c>
      <c r="Z557" s="146" t="str">
        <f>OBRA!W555</f>
        <v>INDUSTRIAS UNIDAS BOGDAN, S.A. DE C.V.</v>
      </c>
      <c r="AA557" s="146" t="s">
        <v>5666</v>
      </c>
      <c r="AB557" s="2" t="s">
        <v>3948</v>
      </c>
      <c r="AC557" s="2" t="s">
        <v>3949</v>
      </c>
      <c r="AD557" s="2" t="s">
        <v>4497</v>
      </c>
      <c r="AE557" s="183" t="str">
        <f>OBRA!X555</f>
        <v>DANIEL RODRIGUEZ</v>
      </c>
      <c r="AF557" s="19">
        <v>1</v>
      </c>
      <c r="AG557" s="2" t="s">
        <v>6756</v>
      </c>
      <c r="AH557" s="183">
        <f t="shared" si="38"/>
        <v>554.48</v>
      </c>
      <c r="AI557" s="2"/>
      <c r="AJ557" s="513"/>
      <c r="AK557" s="1888">
        <v>1</v>
      </c>
      <c r="AL557" s="1513"/>
      <c r="AM557" s="1514"/>
      <c r="AN557" s="504" t="s">
        <v>3818</v>
      </c>
      <c r="AO557" s="1900"/>
      <c r="AP557" s="1900"/>
      <c r="AQ557" s="513" t="s">
        <v>68</v>
      </c>
      <c r="AR557" s="513"/>
      <c r="AS557" s="124" t="s">
        <v>68</v>
      </c>
    </row>
    <row r="558" spans="1:45" ht="89.25" customHeight="1">
      <c r="A558" s="16">
        <f>OBRA!J556</f>
        <v>2021</v>
      </c>
      <c r="B558" s="1415" t="s">
        <v>2094</v>
      </c>
      <c r="C558" s="783">
        <f>OBRA!K556</f>
        <v>214001</v>
      </c>
      <c r="D558" s="1562" t="s">
        <v>551</v>
      </c>
      <c r="E558" s="412" t="str">
        <f>OBRA!M556</f>
        <v>CUENTA CORRIENTE</v>
      </c>
      <c r="F558" s="18" t="s">
        <v>1428</v>
      </c>
      <c r="G558" s="156" t="s">
        <v>2861</v>
      </c>
      <c r="H558" s="412" t="str">
        <f>OBRA!N556</f>
        <v>C.P.S.P. D.O.P. 001/2021</v>
      </c>
      <c r="I558" s="2" t="str">
        <f>OBRA!O556</f>
        <v>SERVICIOS</v>
      </c>
      <c r="J558" s="3" t="str">
        <f>OBRA!P556</f>
        <v>ESTUDIO GEOHIDROLÓGICO-GEOFÍSICOS PARA LOCALIZACIÓN Y/O PERFORACIÓN DE POZO PARA AGUA POTABLE UBICADO EN CALLE MORELOS EN LA AGENCIA DE NEXTIPAC, DEL MUNICIPIO DE JOCOTEPEC, JALISCO.</v>
      </c>
      <c r="K558" s="3" t="s">
        <v>5618</v>
      </c>
      <c r="L558" s="3"/>
      <c r="M558" s="3" t="s">
        <v>4095</v>
      </c>
      <c r="N558" s="3" t="s">
        <v>2577</v>
      </c>
      <c r="O558" s="504" t="s">
        <v>3818</v>
      </c>
      <c r="P558" s="79">
        <f>OBRA!R556</f>
        <v>11600</v>
      </c>
      <c r="Q558" s="1023">
        <f t="shared" si="32"/>
        <v>10000</v>
      </c>
      <c r="R558" s="79" t="s">
        <v>68</v>
      </c>
      <c r="S558" s="67">
        <f>OBRA!S556</f>
        <v>44204</v>
      </c>
      <c r="T558" s="1134" t="str">
        <f>OBRA!V556</f>
        <v>-</v>
      </c>
      <c r="U558" s="5">
        <f>OBRA!T556</f>
        <v>44207</v>
      </c>
      <c r="V558" s="11">
        <f>OBRA!U556</f>
        <v>44214</v>
      </c>
      <c r="W558" s="1901">
        <v>0</v>
      </c>
      <c r="X558" s="1019">
        <f>OBRA!AS556+OBRA!AT556</f>
        <v>0</v>
      </c>
      <c r="Y558" s="1018" t="s">
        <v>1428</v>
      </c>
      <c r="Z558" s="146" t="str">
        <f>OBRA!W556</f>
        <v>J. TRINIDAD NÚÑEZ BRITO</v>
      </c>
      <c r="AA558" s="146" t="s">
        <v>5665</v>
      </c>
      <c r="AB558" s="2" t="s">
        <v>3756</v>
      </c>
      <c r="AC558" s="1770" t="s">
        <v>4426</v>
      </c>
      <c r="AD558" s="1769" t="s">
        <v>5633</v>
      </c>
      <c r="AE558" s="183" t="str">
        <f>OBRA!X556</f>
        <v>ING. MIGUEL MACHUCA HERNÁNDEZ</v>
      </c>
      <c r="AF558" s="19">
        <v>1</v>
      </c>
      <c r="AG558" s="2" t="s">
        <v>6758</v>
      </c>
      <c r="AH558" s="183">
        <f t="shared" si="38"/>
        <v>11600</v>
      </c>
      <c r="AI558" s="2"/>
      <c r="AJ558" s="513"/>
      <c r="AK558" s="1888">
        <v>1</v>
      </c>
      <c r="AL558" s="1513"/>
      <c r="AM558" s="1514"/>
      <c r="AN558" s="504" t="s">
        <v>3818</v>
      </c>
      <c r="AO558" s="1900"/>
      <c r="AP558" s="1900"/>
      <c r="AQ558" s="513" t="s">
        <v>68</v>
      </c>
      <c r="AR558" s="513"/>
      <c r="AS558" s="124" t="s">
        <v>68</v>
      </c>
    </row>
    <row r="559" spans="1:45" s="1050" customFormat="1" ht="44.25" hidden="1" customHeight="1">
      <c r="A559" s="532">
        <f>OBRA!J557</f>
        <v>2021</v>
      </c>
      <c r="B559" s="1490" t="s">
        <v>2094</v>
      </c>
      <c r="C559" s="783">
        <f>OBRA!K557</f>
        <v>214002</v>
      </c>
      <c r="D559" s="1558" t="s">
        <v>551</v>
      </c>
      <c r="E559" s="186" t="str">
        <f>OBRA!M557</f>
        <v>CUENTA CORRIENTE</v>
      </c>
      <c r="F559" s="1464" t="s">
        <v>1428</v>
      </c>
      <c r="G559" s="577" t="s">
        <v>2861</v>
      </c>
      <c r="H559" s="1491" t="str">
        <f>OBRA!N557</f>
        <v>C.P.S.P. D.O.P. 002/2021</v>
      </c>
      <c r="I559" s="186" t="str">
        <f>OBRA!O557</f>
        <v>SERVICIOS (CANCELADO)</v>
      </c>
      <c r="J559" s="106">
        <f>OBRA!P557</f>
        <v>0</v>
      </c>
      <c r="K559" s="106"/>
      <c r="L559" s="106"/>
      <c r="M559" s="106" t="s">
        <v>68</v>
      </c>
      <c r="N559" s="106" t="s">
        <v>68</v>
      </c>
      <c r="O559" s="1500"/>
      <c r="P559" s="1064">
        <f>OBRA!R557</f>
        <v>0</v>
      </c>
      <c r="Q559" s="1064">
        <f t="shared" si="32"/>
        <v>0</v>
      </c>
      <c r="R559" s="1064"/>
      <c r="S559" s="1463">
        <f>OBRA!S557</f>
        <v>0</v>
      </c>
      <c r="T559" s="1492" t="str">
        <f>OBRA!V557</f>
        <v>-</v>
      </c>
      <c r="U559" s="1071">
        <f>OBRA!T557</f>
        <v>0</v>
      </c>
      <c r="V559" s="1077">
        <f>OBRA!U557</f>
        <v>0</v>
      </c>
      <c r="W559" s="1501">
        <v>0</v>
      </c>
      <c r="X559" s="1494">
        <f>OBRA!AS557+OBRA!AT557</f>
        <v>0</v>
      </c>
      <c r="Y559" s="1495"/>
      <c r="Z559" s="1496">
        <f>OBRA!W557</f>
        <v>0</v>
      </c>
      <c r="AA559" s="1496" t="s">
        <v>68</v>
      </c>
      <c r="AB559" s="186"/>
      <c r="AC559" s="186"/>
      <c r="AD559" s="186"/>
      <c r="AE559" s="1497">
        <f>OBRA!X557</f>
        <v>0</v>
      </c>
      <c r="AF559" s="829"/>
      <c r="AG559" s="186"/>
      <c r="AH559" s="551" t="e">
        <f t="shared" si="38"/>
        <v>#DIV/0!</v>
      </c>
      <c r="AI559" s="186"/>
      <c r="AJ559" s="516"/>
      <c r="AK559" s="516"/>
      <c r="AL559" s="1520"/>
      <c r="AM559" s="1521"/>
      <c r="AN559" s="1498"/>
      <c r="AO559" s="1498"/>
      <c r="AP559" s="1498"/>
      <c r="AQ559" s="516" t="s">
        <v>68</v>
      </c>
      <c r="AR559" s="516"/>
      <c r="AS559" s="1499" t="s">
        <v>68</v>
      </c>
    </row>
    <row r="560" spans="1:45" ht="84.75" customHeight="1">
      <c r="A560" s="16">
        <f>OBRA!J558</f>
        <v>2021</v>
      </c>
      <c r="B560" s="1415" t="s">
        <v>2094</v>
      </c>
      <c r="C560" s="783">
        <f>OBRA!K558</f>
        <v>214003</v>
      </c>
      <c r="D560" s="1562" t="s">
        <v>551</v>
      </c>
      <c r="E560" s="412" t="str">
        <f>OBRA!M558</f>
        <v>CUENTA CORRIENTE</v>
      </c>
      <c r="F560" s="18" t="s">
        <v>1428</v>
      </c>
      <c r="G560" s="156" t="s">
        <v>2861</v>
      </c>
      <c r="H560" s="412" t="str">
        <f>OBRA!N558</f>
        <v>C.P.S.P. D.O.P. 003/2021</v>
      </c>
      <c r="I560" s="2" t="str">
        <f>OBRA!O558</f>
        <v>SERVICIOS</v>
      </c>
      <c r="J560" s="3" t="str">
        <f>OBRA!P558</f>
        <v>GESTIÓN DE: "LICENCIA DEL PERMISO PARA REMOZAMIENTO Y MEJORAMIENTO DE IMAGEN URBANA EN EL TEMPLO DEL SEÑOR DEL MONTE", EN LA CABECERA MUNICIPAL DE JOCOTEPEC, JALISCO.</v>
      </c>
      <c r="K560" s="3" t="s">
        <v>5625</v>
      </c>
      <c r="L560" s="3"/>
      <c r="M560" s="3" t="s">
        <v>3976</v>
      </c>
      <c r="N560" s="3" t="s">
        <v>1975</v>
      </c>
      <c r="O560" s="504" t="s">
        <v>3818</v>
      </c>
      <c r="P560" s="79">
        <f>OBRA!R558</f>
        <v>23200</v>
      </c>
      <c r="Q560" s="1023">
        <f t="shared" si="32"/>
        <v>20000</v>
      </c>
      <c r="R560" s="79" t="s">
        <v>68</v>
      </c>
      <c r="S560" s="67">
        <f>OBRA!S558</f>
        <v>44212</v>
      </c>
      <c r="T560" s="1134" t="str">
        <f>OBRA!V558</f>
        <v>-</v>
      </c>
      <c r="U560" s="5" t="str">
        <f>OBRA!T558</f>
        <v>-</v>
      </c>
      <c r="V560" s="11" t="str">
        <f>OBRA!U558</f>
        <v>-</v>
      </c>
      <c r="W560" s="1901">
        <v>0</v>
      </c>
      <c r="X560" s="1019">
        <f>OBRA!AS558+OBRA!AT558</f>
        <v>0</v>
      </c>
      <c r="Y560" s="1018" t="s">
        <v>1428</v>
      </c>
      <c r="Z560" s="146" t="str">
        <f>OBRA!W558</f>
        <v>ARGUELLES ARQUITECTOS, S.A. DE C.V.</v>
      </c>
      <c r="AA560" s="146" t="s">
        <v>5666</v>
      </c>
      <c r="AB560" s="2" t="s">
        <v>4498</v>
      </c>
      <c r="AC560" s="2" t="s">
        <v>1572</v>
      </c>
      <c r="AD560" s="2" t="s">
        <v>4499</v>
      </c>
      <c r="AE560" s="183" t="str">
        <f>OBRA!X558</f>
        <v>ARQ. FRANCISCO SALAZAR</v>
      </c>
      <c r="AF560" s="19">
        <v>1</v>
      </c>
      <c r="AG560" s="2" t="s">
        <v>1573</v>
      </c>
      <c r="AH560" s="183">
        <f t="shared" si="38"/>
        <v>23200</v>
      </c>
      <c r="AI560" s="2"/>
      <c r="AJ560" s="513"/>
      <c r="AK560" s="1888">
        <v>1</v>
      </c>
      <c r="AL560" s="1513"/>
      <c r="AM560" s="1514"/>
      <c r="AN560" s="504" t="s">
        <v>3818</v>
      </c>
      <c r="AO560" s="1900"/>
      <c r="AP560" s="1900"/>
      <c r="AQ560" s="513" t="s">
        <v>68</v>
      </c>
      <c r="AR560" s="513"/>
      <c r="AS560" s="124" t="s">
        <v>68</v>
      </c>
    </row>
    <row r="561" spans="1:45" s="1050" customFormat="1" ht="51" hidden="1" customHeight="1">
      <c r="A561" s="532">
        <f>OBRA!J559</f>
        <v>2021</v>
      </c>
      <c r="B561" s="1490" t="s">
        <v>2094</v>
      </c>
      <c r="C561" s="783">
        <f>OBRA!K559</f>
        <v>214004</v>
      </c>
      <c r="D561" s="1558" t="s">
        <v>551</v>
      </c>
      <c r="E561" s="186" t="str">
        <f>OBRA!M559</f>
        <v>CUENTA CORRIENTE</v>
      </c>
      <c r="F561" s="1464" t="s">
        <v>1428</v>
      </c>
      <c r="G561" s="577" t="s">
        <v>2861</v>
      </c>
      <c r="H561" s="1491" t="str">
        <f>OBRA!N559</f>
        <v>C.P.S.P. D.O.P. 004/2021</v>
      </c>
      <c r="I561" s="186" t="str">
        <f>OBRA!O559</f>
        <v>SERVICIOS (CANCELADO)</v>
      </c>
      <c r="J561" s="106">
        <f>OBRA!P559</f>
        <v>0</v>
      </c>
      <c r="K561" s="106"/>
      <c r="L561" s="106"/>
      <c r="M561" s="106" t="s">
        <v>68</v>
      </c>
      <c r="N561" s="106" t="s">
        <v>68</v>
      </c>
      <c r="O561" s="106"/>
      <c r="P561" s="1064">
        <f>OBRA!R559</f>
        <v>0</v>
      </c>
      <c r="Q561" s="1064">
        <f t="shared" si="32"/>
        <v>0</v>
      </c>
      <c r="R561" s="1064"/>
      <c r="S561" s="1463">
        <f>OBRA!S559</f>
        <v>0</v>
      </c>
      <c r="T561" s="1492" t="str">
        <f>OBRA!V559</f>
        <v>-</v>
      </c>
      <c r="U561" s="1071">
        <f>OBRA!T559</f>
        <v>0</v>
      </c>
      <c r="V561" s="1077">
        <f>OBRA!U559</f>
        <v>0</v>
      </c>
      <c r="W561" s="1493">
        <v>0</v>
      </c>
      <c r="X561" s="1494">
        <f>OBRA!AS559+OBRA!AT559</f>
        <v>0</v>
      </c>
      <c r="Y561" s="1495"/>
      <c r="Z561" s="1496">
        <f>OBRA!W559</f>
        <v>0</v>
      </c>
      <c r="AA561" s="1496" t="s">
        <v>68</v>
      </c>
      <c r="AB561" s="186"/>
      <c r="AC561" s="186"/>
      <c r="AD561" s="186"/>
      <c r="AE561" s="1497">
        <f>OBRA!X559</f>
        <v>0</v>
      </c>
      <c r="AF561" s="829"/>
      <c r="AG561" s="186"/>
      <c r="AH561" s="551" t="e">
        <f t="shared" si="38"/>
        <v>#DIV/0!</v>
      </c>
      <c r="AI561" s="186"/>
      <c r="AJ561" s="516"/>
      <c r="AK561" s="516"/>
      <c r="AL561" s="1520"/>
      <c r="AM561" s="1521"/>
      <c r="AN561" s="1498"/>
      <c r="AO561" s="1498"/>
      <c r="AP561" s="1498"/>
      <c r="AQ561" s="516" t="s">
        <v>68</v>
      </c>
      <c r="AR561" s="516"/>
      <c r="AS561" s="1499" t="s">
        <v>68</v>
      </c>
    </row>
    <row r="562" spans="1:45" ht="171.75" customHeight="1">
      <c r="A562" s="16">
        <f>OBRA!J560</f>
        <v>2021</v>
      </c>
      <c r="B562" s="1415" t="s">
        <v>2094</v>
      </c>
      <c r="C562" s="783">
        <f>OBRA!K560</f>
        <v>214005</v>
      </c>
      <c r="D562" s="1562" t="s">
        <v>551</v>
      </c>
      <c r="E562" s="412" t="str">
        <f>OBRA!M560</f>
        <v>CUENTA CORRIENTE</v>
      </c>
      <c r="F562" s="18" t="s">
        <v>1428</v>
      </c>
      <c r="G562" s="156" t="s">
        <v>2861</v>
      </c>
      <c r="H562" s="412" t="str">
        <f>OBRA!N560</f>
        <v>C.P.S.P. D.O.P. 005/2021</v>
      </c>
      <c r="I562" s="2" t="str">
        <f>OBRA!O560</f>
        <v>SERVICIOS</v>
      </c>
      <c r="J562"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5626</v>
      </c>
      <c r="L562" s="3"/>
      <c r="M562" s="3" t="s">
        <v>4096</v>
      </c>
      <c r="N562" s="3" t="s">
        <v>2512</v>
      </c>
      <c r="O562" s="504" t="s">
        <v>3818</v>
      </c>
      <c r="P562" s="79">
        <f>OBRA!R560</f>
        <v>16239.999999999998</v>
      </c>
      <c r="Q562" s="1023">
        <f t="shared" si="32"/>
        <v>14000</v>
      </c>
      <c r="R562" s="79" t="s">
        <v>68</v>
      </c>
      <c r="S562" s="67">
        <f>OBRA!S560</f>
        <v>44400</v>
      </c>
      <c r="T562" s="1134" t="str">
        <f>OBRA!V560</f>
        <v>-</v>
      </c>
      <c r="U562" s="5">
        <f>OBRA!T560</f>
        <v>0</v>
      </c>
      <c r="V562" s="11">
        <f>OBRA!U560</f>
        <v>0</v>
      </c>
      <c r="W562" s="1901">
        <v>0</v>
      </c>
      <c r="X562" s="1019">
        <f>OBRA!AS560+OBRA!AT560</f>
        <v>0</v>
      </c>
      <c r="Y562" s="1018" t="s">
        <v>1428</v>
      </c>
      <c r="Z562" s="146" t="str">
        <f>OBRA!W560</f>
        <v>ING. JUAN IGNACIO NAVARRO BALTAZAR</v>
      </c>
      <c r="AA562" s="146" t="s">
        <v>5665</v>
      </c>
      <c r="AB562" s="2" t="s">
        <v>6761</v>
      </c>
      <c r="AC562" s="2" t="s">
        <v>6760</v>
      </c>
      <c r="AD562" s="2" t="s">
        <v>6762</v>
      </c>
      <c r="AE562" s="183">
        <f>OBRA!X560</f>
        <v>0</v>
      </c>
      <c r="AF562" s="19">
        <v>1</v>
      </c>
      <c r="AG562" s="2" t="s">
        <v>1573</v>
      </c>
      <c r="AH562" s="183">
        <f t="shared" si="38"/>
        <v>16239.999999999998</v>
      </c>
      <c r="AI562" s="2"/>
      <c r="AJ562" s="513"/>
      <c r="AK562" s="1888">
        <v>1</v>
      </c>
      <c r="AL562" s="1513"/>
      <c r="AM562" s="1514"/>
      <c r="AN562" s="504" t="s">
        <v>3818</v>
      </c>
      <c r="AO562" s="1900"/>
      <c r="AP562" s="1900"/>
      <c r="AQ562" s="513" t="s">
        <v>68</v>
      </c>
      <c r="AR562" s="513"/>
      <c r="AS562" s="124" t="s">
        <v>68</v>
      </c>
    </row>
    <row r="563" spans="1:45" s="1050" customFormat="1" ht="51" hidden="1" customHeight="1">
      <c r="A563" s="532">
        <f>OBRA!J561</f>
        <v>2021</v>
      </c>
      <c r="B563" s="1490" t="s">
        <v>2094</v>
      </c>
      <c r="C563" s="783">
        <f>OBRA!K561</f>
        <v>214006</v>
      </c>
      <c r="D563" s="1558" t="s">
        <v>551</v>
      </c>
      <c r="E563" s="186" t="str">
        <f>OBRA!M561</f>
        <v>CUENTA CORRIENTE</v>
      </c>
      <c r="F563" s="1464" t="s">
        <v>1428</v>
      </c>
      <c r="G563" s="577" t="s">
        <v>2861</v>
      </c>
      <c r="H563" s="1491" t="str">
        <f>OBRA!N561</f>
        <v>C.P.S.P. D.O.P. 006/2021</v>
      </c>
      <c r="I563" s="186" t="str">
        <f>OBRA!O561</f>
        <v>SERVICIOS (CANCELADO)</v>
      </c>
      <c r="J563" s="106">
        <f>OBRA!P561</f>
        <v>0</v>
      </c>
      <c r="K563" s="106"/>
      <c r="L563" s="106"/>
      <c r="M563" s="106" t="s">
        <v>68</v>
      </c>
      <c r="N563" s="106" t="s">
        <v>68</v>
      </c>
      <c r="O563" s="106"/>
      <c r="P563" s="1064">
        <f>OBRA!R561</f>
        <v>0</v>
      </c>
      <c r="Q563" s="1064">
        <f t="shared" si="32"/>
        <v>0</v>
      </c>
      <c r="R563" s="1064"/>
      <c r="S563" s="1463">
        <f>OBRA!S561</f>
        <v>0</v>
      </c>
      <c r="T563" s="1492" t="str">
        <f>OBRA!V561</f>
        <v>-</v>
      </c>
      <c r="U563" s="1071">
        <f>OBRA!T561</f>
        <v>0</v>
      </c>
      <c r="V563" s="1077">
        <f>OBRA!U561</f>
        <v>0</v>
      </c>
      <c r="W563" s="1493">
        <v>0</v>
      </c>
      <c r="X563" s="1494">
        <f>OBRA!AS561+OBRA!AT561</f>
        <v>0</v>
      </c>
      <c r="Y563" s="1495"/>
      <c r="Z563" s="1496">
        <f>OBRA!W561</f>
        <v>0</v>
      </c>
      <c r="AA563" s="1496" t="s">
        <v>68</v>
      </c>
      <c r="AB563" s="186"/>
      <c r="AC563" s="186"/>
      <c r="AD563" s="186"/>
      <c r="AE563" s="1497">
        <f>OBRA!X561</f>
        <v>0</v>
      </c>
      <c r="AF563" s="829"/>
      <c r="AG563" s="186"/>
      <c r="AH563" s="551" t="e">
        <f t="shared" si="38"/>
        <v>#DIV/0!</v>
      </c>
      <c r="AI563" s="186"/>
      <c r="AJ563" s="516"/>
      <c r="AK563" s="516"/>
      <c r="AL563" s="1520"/>
      <c r="AM563" s="1521"/>
      <c r="AN563" s="1498"/>
      <c r="AO563" s="1498"/>
      <c r="AP563" s="1498"/>
      <c r="AQ563" s="516" t="s">
        <v>68</v>
      </c>
      <c r="AR563" s="516"/>
      <c r="AS563" s="1499" t="s">
        <v>68</v>
      </c>
    </row>
    <row r="564" spans="1:45" ht="141" customHeight="1">
      <c r="A564" s="16">
        <f>OBRA!J562</f>
        <v>2021</v>
      </c>
      <c r="B564" s="1415" t="s">
        <v>2094</v>
      </c>
      <c r="C564" s="783">
        <f>OBRA!K562</f>
        <v>214007</v>
      </c>
      <c r="D564" s="1562" t="s">
        <v>551</v>
      </c>
      <c r="E564" s="412" t="str">
        <f>OBRA!M562</f>
        <v>CUENTA CORRIENTE</v>
      </c>
      <c r="F564" s="18" t="s">
        <v>1428</v>
      </c>
      <c r="G564" s="156" t="s">
        <v>2861</v>
      </c>
      <c r="H564" s="412" t="str">
        <f>OBRA!N562</f>
        <v>C.P.S.P. D.O.P. 007/2021</v>
      </c>
      <c r="I564" s="2" t="str">
        <f>OBRA!O562</f>
        <v>SERVICIOS</v>
      </c>
      <c r="J564"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5627</v>
      </c>
      <c r="L564" s="3"/>
      <c r="M564" s="3" t="s">
        <v>4097</v>
      </c>
      <c r="N564" s="3" t="s">
        <v>1975</v>
      </c>
      <c r="O564" s="504" t="s">
        <v>3818</v>
      </c>
      <c r="P564" s="79">
        <f>OBRA!R562</f>
        <v>16240</v>
      </c>
      <c r="Q564" s="1023">
        <f t="shared" si="32"/>
        <v>14000.000000000002</v>
      </c>
      <c r="R564" s="79" t="s">
        <v>68</v>
      </c>
      <c r="S564" s="67">
        <f>OBRA!S562</f>
        <v>44441</v>
      </c>
      <c r="T564" s="1134" t="str">
        <f>OBRA!V562</f>
        <v>-</v>
      </c>
      <c r="U564" s="5" t="str">
        <f>OBRA!T562</f>
        <v>-</v>
      </c>
      <c r="V564" s="11" t="str">
        <f>OBRA!U562</f>
        <v>-</v>
      </c>
      <c r="W564" s="1901">
        <v>0</v>
      </c>
      <c r="X564" s="1019">
        <f>OBRA!AS562+OBRA!AT562</f>
        <v>0</v>
      </c>
      <c r="Y564" s="1018" t="s">
        <v>1428</v>
      </c>
      <c r="Z564" s="146" t="str">
        <f>OBRA!W562</f>
        <v>ECCOC DE GUADALAJARA, S.A. DE C.V.</v>
      </c>
      <c r="AA564" s="146" t="s">
        <v>5666</v>
      </c>
      <c r="AB564" s="2" t="s">
        <v>4500</v>
      </c>
      <c r="AC564" s="1770" t="s">
        <v>4430</v>
      </c>
      <c r="AD564" s="1769" t="s">
        <v>6763</v>
      </c>
      <c r="AE564" s="183">
        <f>OBRA!X562</f>
        <v>0</v>
      </c>
      <c r="AF564" s="19">
        <v>1</v>
      </c>
      <c r="AG564" s="2" t="s">
        <v>6758</v>
      </c>
      <c r="AH564" s="183">
        <f t="shared" si="38"/>
        <v>16240</v>
      </c>
      <c r="AI564" s="2"/>
      <c r="AJ564" s="513"/>
      <c r="AK564" s="1888">
        <v>1</v>
      </c>
      <c r="AL564" s="1513"/>
      <c r="AM564" s="1514"/>
      <c r="AN564" s="504" t="s">
        <v>3818</v>
      </c>
      <c r="AO564" s="1900"/>
      <c r="AP564" s="1900"/>
      <c r="AQ564" s="513" t="s">
        <v>68</v>
      </c>
      <c r="AR564" s="513"/>
      <c r="AS564" s="124" t="s">
        <v>68</v>
      </c>
    </row>
    <row r="565" spans="1:45" ht="254.25" customHeight="1">
      <c r="A565" s="16">
        <f>OBRA!J563</f>
        <v>2021</v>
      </c>
      <c r="B565" s="1415" t="s">
        <v>2094</v>
      </c>
      <c r="C565" s="783">
        <f>OBRA!K563</f>
        <v>214008</v>
      </c>
      <c r="D565" s="1562" t="s">
        <v>551</v>
      </c>
      <c r="E565" s="412" t="str">
        <f>OBRA!M563</f>
        <v>CUENTA CORRIENTE</v>
      </c>
      <c r="F565" s="18" t="s">
        <v>1428</v>
      </c>
      <c r="G565" s="156" t="s">
        <v>2861</v>
      </c>
      <c r="H565" s="412" t="str">
        <f>OBRA!N563</f>
        <v>C.P.S.P. D.O.P. 008/2021</v>
      </c>
      <c r="I565" s="2" t="str">
        <f>OBRA!O563</f>
        <v>SERVICIOS</v>
      </c>
      <c r="J565"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5628</v>
      </c>
      <c r="L565" s="3"/>
      <c r="M565" s="3" t="s">
        <v>3976</v>
      </c>
      <c r="N565" s="3" t="s">
        <v>1975</v>
      </c>
      <c r="O565" s="504" t="s">
        <v>3818</v>
      </c>
      <c r="P565" s="79">
        <f>OBRA!R563</f>
        <v>226407.64</v>
      </c>
      <c r="Q565" s="1023">
        <f t="shared" si="32"/>
        <v>195179.00000000003</v>
      </c>
      <c r="R565" s="79" t="s">
        <v>68</v>
      </c>
      <c r="S565" s="67">
        <f>OBRA!S563</f>
        <v>44435</v>
      </c>
      <c r="T565" s="1134" t="str">
        <f>OBRA!V563</f>
        <v>-</v>
      </c>
      <c r="U565" s="5" t="str">
        <f>OBRA!T563</f>
        <v>-</v>
      </c>
      <c r="V565" s="11" t="str">
        <f>OBRA!U563</f>
        <v>-</v>
      </c>
      <c r="W565" s="1901">
        <v>0</v>
      </c>
      <c r="X565" s="1019">
        <f>OBRA!AS563+OBRA!AT563</f>
        <v>0</v>
      </c>
      <c r="Y565" s="1018" t="s">
        <v>1428</v>
      </c>
      <c r="Z565" s="146" t="str">
        <f>OBRA!W563</f>
        <v>ING. MARCO ANTONIO PAREDES RODRÍGUEZ</v>
      </c>
      <c r="AA565" s="146" t="s">
        <v>5665</v>
      </c>
      <c r="AB565" s="1769" t="s">
        <v>3742</v>
      </c>
      <c r="AC565" s="146" t="s">
        <v>4292</v>
      </c>
      <c r="AD565" s="148" t="s">
        <v>6549</v>
      </c>
      <c r="AE565" s="183">
        <f>OBRA!X563</f>
        <v>0</v>
      </c>
      <c r="AF565" s="19">
        <v>1</v>
      </c>
      <c r="AG565" s="2" t="s">
        <v>1573</v>
      </c>
      <c r="AH565" s="183">
        <f t="shared" si="38"/>
        <v>226407.64</v>
      </c>
      <c r="AI565" s="2"/>
      <c r="AJ565" s="513"/>
      <c r="AK565" s="1888">
        <v>1</v>
      </c>
      <c r="AL565" s="1513"/>
      <c r="AM565" s="1514"/>
      <c r="AN565" s="504" t="s">
        <v>3818</v>
      </c>
      <c r="AO565" s="1900"/>
      <c r="AP565" s="1900"/>
      <c r="AQ565" s="513" t="s">
        <v>68</v>
      </c>
      <c r="AR565" s="513"/>
      <c r="AS565" s="124" t="s">
        <v>68</v>
      </c>
    </row>
    <row r="566" spans="1:45" ht="134.25" customHeight="1">
      <c r="A566" s="16">
        <f>OBRA!J564</f>
        <v>2021</v>
      </c>
      <c r="B566" s="1415" t="s">
        <v>2094</v>
      </c>
      <c r="C566" s="783">
        <f>OBRA!K564</f>
        <v>214009</v>
      </c>
      <c r="D566" s="1562" t="s">
        <v>551</v>
      </c>
      <c r="E566" s="412" t="str">
        <f>OBRA!M564</f>
        <v>CUENTA CORRIENTE</v>
      </c>
      <c r="F566" s="18" t="s">
        <v>1428</v>
      </c>
      <c r="G566" s="156" t="s">
        <v>2861</v>
      </c>
      <c r="H566" s="412" t="str">
        <f>OBRA!N564</f>
        <v>C.P.S.P. D.O.P. 009/2021</v>
      </c>
      <c r="I566" s="2" t="str">
        <f>OBRA!O564</f>
        <v>SERVICIOS</v>
      </c>
      <c r="J566"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5629</v>
      </c>
      <c r="L566" s="3"/>
      <c r="M566" s="3" t="s">
        <v>4098</v>
      </c>
      <c r="N566" s="3" t="s">
        <v>2575</v>
      </c>
      <c r="O566" s="504" t="s">
        <v>3818</v>
      </c>
      <c r="P566" s="79">
        <f>OBRA!R564</f>
        <v>91300</v>
      </c>
      <c r="Q566" s="1023">
        <f t="shared" si="32"/>
        <v>78706.896551724145</v>
      </c>
      <c r="R566" s="79" t="s">
        <v>68</v>
      </c>
      <c r="S566" s="67">
        <f>OBRA!S564</f>
        <v>44432</v>
      </c>
      <c r="T566" s="1134" t="str">
        <f>OBRA!V564</f>
        <v>-</v>
      </c>
      <c r="U566" s="5" t="str">
        <f>OBRA!T564</f>
        <v>-</v>
      </c>
      <c r="V566" s="11" t="str">
        <f>OBRA!U564</f>
        <v>-</v>
      </c>
      <c r="W566" s="1901">
        <v>0</v>
      </c>
      <c r="X566" s="1019">
        <f>OBRA!AS564+OBRA!AT564</f>
        <v>0</v>
      </c>
      <c r="Y566" s="1018" t="s">
        <v>1428</v>
      </c>
      <c r="Z566" s="146" t="str">
        <f>OBRA!W564</f>
        <v>KRISPOD CONSTRUCTORA, DISEÑO Y CONSTRUCCIÓN S.A. DE C.V.</v>
      </c>
      <c r="AA566" s="146" t="s">
        <v>5666</v>
      </c>
      <c r="AB566" s="2" t="s">
        <v>4501</v>
      </c>
      <c r="AC566" s="2" t="s">
        <v>4502</v>
      </c>
      <c r="AD566" s="2" t="s">
        <v>4503</v>
      </c>
      <c r="AE566" s="183">
        <f>OBRA!X564</f>
        <v>0</v>
      </c>
      <c r="AF566" s="19">
        <v>15</v>
      </c>
      <c r="AG566" s="2" t="s">
        <v>6411</v>
      </c>
      <c r="AH566" s="183">
        <f t="shared" si="38"/>
        <v>6086.666666666667</v>
      </c>
      <c r="AI566" s="2"/>
      <c r="AJ566" s="2"/>
      <c r="AK566" s="2"/>
      <c r="AL566" s="1513"/>
      <c r="AM566" s="1514"/>
      <c r="AN566" s="504" t="s">
        <v>3818</v>
      </c>
      <c r="AO566" s="1900"/>
      <c r="AP566" s="1900"/>
      <c r="AQ566" s="513" t="s">
        <v>68</v>
      </c>
      <c r="AR566" s="513"/>
      <c r="AS566" s="124" t="s">
        <v>68</v>
      </c>
    </row>
    <row r="567" spans="1:45" ht="111" customHeight="1">
      <c r="A567" s="16">
        <f>OBRA!J565</f>
        <v>2021</v>
      </c>
      <c r="B567" s="783" t="s">
        <v>2094</v>
      </c>
      <c r="C567" s="783">
        <f>OBRA!K565</f>
        <v>215001</v>
      </c>
      <c r="D567" s="1559" t="s">
        <v>551</v>
      </c>
      <c r="E567" s="2" t="str">
        <f>OBRA!M565</f>
        <v>CUENTA CORRIENTE</v>
      </c>
      <c r="F567" s="18" t="s">
        <v>1428</v>
      </c>
      <c r="G567" s="156" t="s">
        <v>2206</v>
      </c>
      <c r="H567" s="412" t="str">
        <f>OBRA!N565</f>
        <v>GMJ 001C- OP/2021</v>
      </c>
      <c r="I567" s="2" t="str">
        <f>OBRA!O565</f>
        <v>ADJUDICACIÓN DIRECTA</v>
      </c>
      <c r="J567" s="3" t="str">
        <f>OBRA!P565</f>
        <v>"PERFORACIÓN DE POZO PROFUNDO "MORELOS" A 250 ML", EN LA AGENCIA MUNICIPAL DE NEXTIPAC, DEL MUNICIPIO DE JOCOTEPEC, JALISCO.</v>
      </c>
      <c r="K567" s="3" t="s">
        <v>3769</v>
      </c>
      <c r="L567" s="3" t="s">
        <v>4751</v>
      </c>
      <c r="M567" s="3" t="s">
        <v>3630</v>
      </c>
      <c r="N567" s="3" t="s">
        <v>2577</v>
      </c>
      <c r="O567" s="504" t="s">
        <v>3506</v>
      </c>
      <c r="P567" s="79">
        <f>OBRA!R565</f>
        <v>1300000</v>
      </c>
      <c r="Q567" s="1023">
        <f t="shared" si="32"/>
        <v>1120689.6551724139</v>
      </c>
      <c r="R567" s="1023"/>
      <c r="S567" s="67">
        <f>OBRA!S565</f>
        <v>44208</v>
      </c>
      <c r="T567" s="1134">
        <f>OBRA!V565</f>
        <v>44207</v>
      </c>
      <c r="U567" s="5">
        <f>OBRA!T565</f>
        <v>44231</v>
      </c>
      <c r="V567" s="11">
        <f>OBRA!U565</f>
        <v>44377</v>
      </c>
      <c r="W567" s="278">
        <v>325000.68</v>
      </c>
      <c r="X567" s="1019">
        <f>OBRA!AS565+OBRA!AT565</f>
        <v>1293027.17</v>
      </c>
      <c r="Y567" s="1018" t="s">
        <v>3461</v>
      </c>
      <c r="Z567" s="146" t="s">
        <v>2932</v>
      </c>
      <c r="AA567" s="146" t="s">
        <v>5665</v>
      </c>
      <c r="AB567" s="2" t="str">
        <f>Z567</f>
        <v>JESSICA MONSERRAT RIVERA TORRES</v>
      </c>
      <c r="AC567" s="2" t="s">
        <v>2959</v>
      </c>
      <c r="AD567" s="2" t="s">
        <v>2959</v>
      </c>
      <c r="AE567" s="183" t="str">
        <f>OBRA!X565</f>
        <v>ING. MIGUEL MACHUCA HERNÁNDEZ / ING. LUIS RIGOBERTO OLMEDO NAVARRO</v>
      </c>
      <c r="AF567" s="19">
        <v>250</v>
      </c>
      <c r="AG567" s="2" t="s">
        <v>1451</v>
      </c>
      <c r="AH567" s="615">
        <f t="shared" ref="AH567:AH592" si="39">X567/AF567</f>
        <v>5172.1086799999994</v>
      </c>
      <c r="AI567" s="2">
        <v>10000</v>
      </c>
      <c r="AJ567" s="513">
        <v>22000</v>
      </c>
      <c r="AK567" s="513"/>
      <c r="AL567" s="1522">
        <v>20.28668</v>
      </c>
      <c r="AM567" s="1523">
        <v>103.42398300000001</v>
      </c>
      <c r="AN567" s="571" t="s">
        <v>3791</v>
      </c>
      <c r="AO567" s="571" t="s">
        <v>3791</v>
      </c>
      <c r="AP567" s="571" t="s">
        <v>3791</v>
      </c>
      <c r="AQ567" s="501" t="s">
        <v>3791</v>
      </c>
      <c r="AR567" s="501"/>
      <c r="AS567" s="1505" t="s">
        <v>3791</v>
      </c>
    </row>
    <row r="568" spans="1:45" ht="216" customHeight="1">
      <c r="A568" s="16">
        <f>OBRA!J566</f>
        <v>2021</v>
      </c>
      <c r="B568" s="1415" t="s">
        <v>2094</v>
      </c>
      <c r="C568" s="783">
        <f>OBRA!K566</f>
        <v>215002</v>
      </c>
      <c r="D568" s="1562" t="s">
        <v>551</v>
      </c>
      <c r="E568" s="412" t="str">
        <f>OBRA!M566</f>
        <v>RAMO 33</v>
      </c>
      <c r="F568" s="18" t="s">
        <v>1428</v>
      </c>
      <c r="G568" s="156" t="s">
        <v>2206</v>
      </c>
      <c r="H568" s="412" t="str">
        <f>OBRA!N566</f>
        <v>GMJ 002C- OP/2021</v>
      </c>
      <c r="I568" s="2" t="str">
        <f>OBRA!O566</f>
        <v>CONCURSO SIMPLIFICADO SUMARIO</v>
      </c>
      <c r="J568" s="3" t="str">
        <f>OBRA!P566</f>
        <v>"REHABILITACIÓN DE LÍNEAS HIDROSANITARÍAS CON REPOSICIÓN DE SUPERFICIE DE RODAMIENTO EN CALLE MORELOS DE CALLE NICOLÁS BRAVO A CALLE GONZÁLEZ ORTEGA" EN LA CABECERA MUNICIPAL DE JOCOTEPEC, JALISCO, (NEXTIPAC).</v>
      </c>
      <c r="K568" s="1323" t="s">
        <v>3795</v>
      </c>
      <c r="L568" s="1323" t="s">
        <v>6248</v>
      </c>
      <c r="M568" s="3" t="s">
        <v>6279</v>
      </c>
      <c r="N568" s="3" t="s">
        <v>2577</v>
      </c>
      <c r="O568" s="504" t="s">
        <v>3798</v>
      </c>
      <c r="P568" s="79">
        <f>OBRA!R566</f>
        <v>2242164.25</v>
      </c>
      <c r="Q568" s="1023">
        <f t="shared" si="32"/>
        <v>1932900.2155172415</v>
      </c>
      <c r="R568" s="1023"/>
      <c r="S568" s="67">
        <f>OBRA!S566</f>
        <v>44210</v>
      </c>
      <c r="T568" s="1134" t="str">
        <f>OBRA!V566</f>
        <v>NO APLICA</v>
      </c>
      <c r="U568" s="5">
        <f>OBRA!T566</f>
        <v>44211</v>
      </c>
      <c r="V568" s="11">
        <f>OBRA!U566</f>
        <v>44270</v>
      </c>
      <c r="W568" s="220">
        <v>0</v>
      </c>
      <c r="X568" s="1019">
        <f>OBRA!AS566+OBRA!AT566</f>
        <v>2507056.77</v>
      </c>
      <c r="Y568" s="1089" t="s">
        <v>3462</v>
      </c>
      <c r="Z568" s="146" t="str">
        <f>OBRA!W566</f>
        <v>CONCRETOS, ASFALTOS Y CIMENTACIONES EDIR, S.A. DE C.V.</v>
      </c>
      <c r="AA568" s="146" t="s">
        <v>5666</v>
      </c>
      <c r="AB568" s="148" t="s">
        <v>3463</v>
      </c>
      <c r="AC568" s="2" t="s">
        <v>3464</v>
      </c>
      <c r="AD568" s="146" t="s">
        <v>3465</v>
      </c>
      <c r="AE568" s="183" t="str">
        <f>OBRA!X566</f>
        <v xml:space="preserve">ING. ENRIQUE ENRÍQUEZ VÁZQUEZ </v>
      </c>
      <c r="AF568" s="19">
        <v>788.8</v>
      </c>
      <c r="AG568" s="2" t="s">
        <v>1548</v>
      </c>
      <c r="AH568" s="615">
        <f t="shared" si="39"/>
        <v>3178.317406186613</v>
      </c>
      <c r="AI568" s="2">
        <v>1000</v>
      </c>
      <c r="AJ568" s="513">
        <v>5000</v>
      </c>
      <c r="AK568" s="513"/>
      <c r="AL568" s="1522">
        <v>20.286808000000001</v>
      </c>
      <c r="AM568" s="1523">
        <v>103.42434799999999</v>
      </c>
      <c r="AN568" s="571" t="s">
        <v>3801</v>
      </c>
      <c r="AO568" s="571" t="s">
        <v>3801</v>
      </c>
      <c r="AP568" s="571" t="s">
        <v>3801</v>
      </c>
      <c r="AQ568" s="501" t="s">
        <v>3801</v>
      </c>
      <c r="AR568" s="501"/>
      <c r="AS568" s="1505" t="s">
        <v>3801</v>
      </c>
    </row>
    <row r="569" spans="1:45" s="1050" customFormat="1" ht="86.25" hidden="1" customHeight="1">
      <c r="A569" s="532">
        <f>OBRA!J567</f>
        <v>2021</v>
      </c>
      <c r="B569" s="1490" t="s">
        <v>2094</v>
      </c>
      <c r="C569" s="783">
        <f>OBRA!K567</f>
        <v>215003</v>
      </c>
      <c r="D569" s="1558" t="s">
        <v>551</v>
      </c>
      <c r="E569" s="186" t="str">
        <f>OBRA!M567</f>
        <v>CUENTA CORRIENTE</v>
      </c>
      <c r="F569" s="1464" t="s">
        <v>1428</v>
      </c>
      <c r="G569" s="577" t="s">
        <v>2206</v>
      </c>
      <c r="H569" s="1491" t="str">
        <f>OBRA!N567</f>
        <v>GMJ 003C- OP/2021</v>
      </c>
      <c r="I569" s="186" t="str">
        <f>OBRA!O567</f>
        <v>CANCELADA</v>
      </c>
      <c r="J569" s="106" t="str">
        <f>OBRA!P567</f>
        <v>"IMAGEN URBANA EN CALLE MORELOS DE CALLE NICOLÁS BRAVO A PRIVADA GONZÁLEZ ORTEGA", EN LA CABECERA MUNICIPAL DE JOCOTEPEC, JALISCO, (NEXTIPAC).</v>
      </c>
      <c r="K569" s="106"/>
      <c r="L569" s="106"/>
      <c r="M569" s="106" t="s">
        <v>4099</v>
      </c>
      <c r="N569" s="106" t="s">
        <v>2577</v>
      </c>
      <c r="O569" s="1500"/>
      <c r="P569" s="1064">
        <f>OBRA!R567</f>
        <v>195609.22</v>
      </c>
      <c r="Q569" s="1064">
        <f t="shared" si="32"/>
        <v>168628.63793103449</v>
      </c>
      <c r="R569" s="1064"/>
      <c r="S569" s="1463">
        <f>OBRA!S567</f>
        <v>44208</v>
      </c>
      <c r="T569" s="1492">
        <f>OBRA!V567</f>
        <v>44207</v>
      </c>
      <c r="U569" s="1071">
        <f>OBRA!T567</f>
        <v>44242</v>
      </c>
      <c r="V569" s="1077">
        <f>OBRA!U567</f>
        <v>44270</v>
      </c>
      <c r="W569" s="1467">
        <v>0</v>
      </c>
      <c r="X569" s="1494">
        <f>OBRA!AS567+OBRA!AT567</f>
        <v>0</v>
      </c>
      <c r="Y569" s="1495" t="s">
        <v>3467</v>
      </c>
      <c r="Z569" s="1496" t="str">
        <f>OBRA!W567</f>
        <v>C. SERGIO CABRERA</v>
      </c>
      <c r="AA569" s="1496" t="s">
        <v>5665</v>
      </c>
      <c r="AB569" s="1502" t="s">
        <v>3466</v>
      </c>
      <c r="AC569" s="1502" t="s">
        <v>3349</v>
      </c>
      <c r="AD569" s="1496" t="s">
        <v>3350</v>
      </c>
      <c r="AE569" s="1497" t="str">
        <f>OBRA!X567</f>
        <v xml:space="preserve">ING. ENRIQUE ENRÍQUEZ VÁZQUEZ </v>
      </c>
      <c r="AF569" s="829"/>
      <c r="AG569" s="186" t="s">
        <v>1548</v>
      </c>
      <c r="AH569" s="1497" t="e">
        <f t="shared" si="39"/>
        <v>#DIV/0!</v>
      </c>
      <c r="AI569" s="186"/>
      <c r="AJ569" s="516"/>
      <c r="AK569" s="516"/>
      <c r="AL569" s="1554">
        <v>20.286808000000001</v>
      </c>
      <c r="AM569" s="1555">
        <v>103.42434799999999</v>
      </c>
      <c r="AN569" s="1503"/>
      <c r="AO569" s="1503"/>
      <c r="AP569" s="1503"/>
      <c r="AQ569" s="516"/>
      <c r="AR569" s="516"/>
      <c r="AS569" s="1499"/>
    </row>
    <row r="570" spans="1:45" ht="227.25" customHeight="1">
      <c r="A570" s="16">
        <f>OBRA!J568</f>
        <v>2021</v>
      </c>
      <c r="B570" s="1415" t="s">
        <v>2094</v>
      </c>
      <c r="C570" s="783">
        <f>OBRA!K568</f>
        <v>215004</v>
      </c>
      <c r="D570" s="1562" t="s">
        <v>551</v>
      </c>
      <c r="E570" s="412" t="str">
        <f>OBRA!M568</f>
        <v>RAMO 33</v>
      </c>
      <c r="F570" s="18" t="s">
        <v>1428</v>
      </c>
      <c r="G570" s="156" t="s">
        <v>2206</v>
      </c>
      <c r="H570" s="412" t="str">
        <f>OBRA!N568</f>
        <v>GMJ 004C- OP/2021</v>
      </c>
      <c r="I570" s="2" t="str">
        <f>OBRA!O568</f>
        <v>CONCURSO SIMPLIFICADO SUMARIO</v>
      </c>
      <c r="J570" s="3" t="str">
        <f>OBRA!P568</f>
        <v>"REHABILITACIÓN DE LÍNEAS HDROSANITARIAS CON REPOSICIÓN DE SUPERFICIE DE RODAMIENTO EN CALLE MORELOS DE CALLE GONZÁLEZ ORTEGA A CALLE CRISTOBAL COLÓN, EN LA CABECERA MUNICIPAL DE JOCOTEPEC, JALISCO (NEXTIPAC).</v>
      </c>
      <c r="K570" s="1323" t="s">
        <v>3795</v>
      </c>
      <c r="L570" s="1323" t="s">
        <v>6248</v>
      </c>
      <c r="M570" s="3" t="s">
        <v>6280</v>
      </c>
      <c r="N570" s="3" t="s">
        <v>2577</v>
      </c>
      <c r="O570" s="504" t="s">
        <v>3506</v>
      </c>
      <c r="P570" s="79">
        <f>OBRA!R568</f>
        <v>8221905.6500000004</v>
      </c>
      <c r="Q570" s="1023">
        <f t="shared" si="32"/>
        <v>7087849.6982758632</v>
      </c>
      <c r="R570" s="1023"/>
      <c r="S570" s="67">
        <f>OBRA!S568</f>
        <v>44210</v>
      </c>
      <c r="T570" s="1134" t="str">
        <f>OBRA!V568</f>
        <v>NO APLICA</v>
      </c>
      <c r="U570" s="5">
        <f>OBRA!T568</f>
        <v>44211</v>
      </c>
      <c r="V570" s="11">
        <f>OBRA!U568</f>
        <v>44266</v>
      </c>
      <c r="W570" s="220">
        <v>0</v>
      </c>
      <c r="X570" s="1019">
        <f>OBRA!AS568+OBRA!AT568</f>
        <v>8221897.79</v>
      </c>
      <c r="Y570" s="1089" t="s">
        <v>3796</v>
      </c>
      <c r="Z570" s="146" t="str">
        <f>OBRA!W568</f>
        <v>TERRACERÍAS Y PAVIMENTOS DE LA RIBERA, S.A. DE C.V.</v>
      </c>
      <c r="AA570" s="146" t="s">
        <v>5666</v>
      </c>
      <c r="AB570" s="148" t="s">
        <v>739</v>
      </c>
      <c r="AC570" s="148" t="s">
        <v>3470</v>
      </c>
      <c r="AD570" s="146" t="s">
        <v>3633</v>
      </c>
      <c r="AE570" s="183" t="str">
        <f>OBRA!X568</f>
        <v xml:space="preserve">ING. ENRIQUE ENRÍQUEZ VÁZQUEZ </v>
      </c>
      <c r="AF570" s="19">
        <v>2431.5300000000002</v>
      </c>
      <c r="AG570" s="2" t="s">
        <v>1548</v>
      </c>
      <c r="AH570" s="615">
        <f t="shared" si="39"/>
        <v>3381.3680234255794</v>
      </c>
      <c r="AI570" s="2">
        <v>1000</v>
      </c>
      <c r="AJ570" s="513">
        <v>5000</v>
      </c>
      <c r="AK570" s="513"/>
      <c r="AL570" s="1522">
        <v>20.287118</v>
      </c>
      <c r="AM570" s="1523">
        <v>103.42209699999999</v>
      </c>
      <c r="AN570" s="571" t="s">
        <v>3797</v>
      </c>
      <c r="AO570" s="571" t="s">
        <v>3797</v>
      </c>
      <c r="AP570" s="571" t="s">
        <v>3797</v>
      </c>
      <c r="AQ570" s="501" t="s">
        <v>3797</v>
      </c>
      <c r="AR570" s="501"/>
      <c r="AS570" s="1505" t="s">
        <v>3801</v>
      </c>
    </row>
    <row r="571" spans="1:45" ht="170.25" customHeight="1">
      <c r="A571" s="16">
        <f>OBRA!J569</f>
        <v>2021</v>
      </c>
      <c r="B571" s="1415" t="s">
        <v>2094</v>
      </c>
      <c r="C571" s="783">
        <f>OBRA!K569</f>
        <v>215005</v>
      </c>
      <c r="D571" s="1562" t="s">
        <v>551</v>
      </c>
      <c r="E571" s="412" t="str">
        <f>OBRA!M569</f>
        <v>CUENTA CORRIENTE</v>
      </c>
      <c r="F571" s="18" t="s">
        <v>1428</v>
      </c>
      <c r="G571" s="156" t="s">
        <v>2206</v>
      </c>
      <c r="H571" s="412" t="str">
        <f>OBRA!N569</f>
        <v>GMJ 005C- OP/2021</v>
      </c>
      <c r="I571" s="2" t="str">
        <f>OBRA!O569</f>
        <v>ADJUDICACIÓN DIRECTA</v>
      </c>
      <c r="J571" s="3" t="str">
        <f>OBRA!P569</f>
        <v>"IMAGEN URBANA EN CALLE MORELOS ENTRE CALLE GONZÁLEZ ORTEGA A CRISTOBAL COLÓN" EN LA CABECERA MUNICIPAL DE JOCOTEPEC, JALISCO, (NEXTIPAC).</v>
      </c>
      <c r="K571" s="3" t="s">
        <v>4436</v>
      </c>
      <c r="L571" s="3" t="s">
        <v>6252</v>
      </c>
      <c r="M571" s="3" t="s">
        <v>4100</v>
      </c>
      <c r="N571" s="3" t="s">
        <v>2577</v>
      </c>
      <c r="O571" s="504"/>
      <c r="P571" s="79">
        <f>OBRA!R569</f>
        <v>758856.32</v>
      </c>
      <c r="Q571" s="1023">
        <f t="shared" si="32"/>
        <v>654186.48275862064</v>
      </c>
      <c r="R571" s="1023"/>
      <c r="S571" s="67">
        <f>OBRA!S569</f>
        <v>44208</v>
      </c>
      <c r="T571" s="1134">
        <f>OBRA!V569</f>
        <v>44207</v>
      </c>
      <c r="U571" s="5">
        <f>OBRA!T569</f>
        <v>44271</v>
      </c>
      <c r="V571" s="11">
        <f>OBRA!U569</f>
        <v>44275</v>
      </c>
      <c r="W571" s="220">
        <v>0</v>
      </c>
      <c r="X571" s="1019">
        <f>OBRA!AS569+OBRA!AT569</f>
        <v>434553.82</v>
      </c>
      <c r="Y571" s="1018" t="s">
        <v>3467</v>
      </c>
      <c r="Z571" s="146" t="str">
        <f>OBRA!W569</f>
        <v>TERRACERÍAS Y PAVIMENTOS DE LA RIBERA, S.A. DE C.V.</v>
      </c>
      <c r="AA571" s="146" t="s">
        <v>5666</v>
      </c>
      <c r="AB571" s="148" t="s">
        <v>739</v>
      </c>
      <c r="AC571" s="148" t="s">
        <v>3470</v>
      </c>
      <c r="AD571" s="146" t="s">
        <v>3471</v>
      </c>
      <c r="AE571" s="183" t="str">
        <f>OBRA!X569</f>
        <v xml:space="preserve">ING. ENRIQUE ENRÍQUEZ VÁZQUEZ </v>
      </c>
      <c r="AF571" s="19">
        <v>12445.58</v>
      </c>
      <c r="AG571" s="2" t="s">
        <v>1548</v>
      </c>
      <c r="AH571" s="615">
        <f t="shared" si="39"/>
        <v>34.916317278905446</v>
      </c>
      <c r="AI571" s="2">
        <v>200</v>
      </c>
      <c r="AJ571" s="513">
        <v>11000</v>
      </c>
      <c r="AK571" s="513"/>
      <c r="AL571" s="1522">
        <v>20.287118</v>
      </c>
      <c r="AM571" s="1523">
        <v>103.42209699999999</v>
      </c>
      <c r="AN571" s="571"/>
      <c r="AO571" s="571"/>
      <c r="AP571" s="571"/>
      <c r="AQ571" s="513"/>
      <c r="AR571" s="513"/>
      <c r="AS571" s="124"/>
    </row>
    <row r="572" spans="1:45" ht="210.75" customHeight="1">
      <c r="A572" s="16">
        <f>OBRA!J570</f>
        <v>2021</v>
      </c>
      <c r="B572" s="1415" t="s">
        <v>2094</v>
      </c>
      <c r="C572" s="783">
        <f>OBRA!K570</f>
        <v>215006</v>
      </c>
      <c r="D572" s="1562" t="s">
        <v>551</v>
      </c>
      <c r="E572" s="412" t="str">
        <f>OBRA!M570</f>
        <v>RAMO 33</v>
      </c>
      <c r="F572" s="18" t="s">
        <v>1428</v>
      </c>
      <c r="G572" s="156" t="s">
        <v>2206</v>
      </c>
      <c r="H572" s="412" t="str">
        <f>OBRA!N570</f>
        <v>GMJ 006C- OP/2021</v>
      </c>
      <c r="I572" s="2" t="str">
        <f>OBRA!O570</f>
        <v>ADJUDICACIÓN DIRECTA</v>
      </c>
      <c r="J572" s="3" t="str">
        <f>OBRA!P570</f>
        <v>"REHABILITACIÓN DE LÍNEAS HIDROSANITARIAS CON REPOSICIÓN DE SUPERFICIE DE RODAMIENTO EN CALLE MORELOS ENTRE CALLE CRISTOBAL COLÓN A CALLE RICO" EN LA CABECERA MUNICIPAL DE JOCOTEPEC, JALISCO, (NEXTIPAC).</v>
      </c>
      <c r="K572" s="1323" t="s">
        <v>3795</v>
      </c>
      <c r="L572" s="1323" t="s">
        <v>6248</v>
      </c>
      <c r="M572" s="3" t="s">
        <v>4101</v>
      </c>
      <c r="N572" s="3" t="s">
        <v>2577</v>
      </c>
      <c r="O572" s="504" t="s">
        <v>3506</v>
      </c>
      <c r="P572" s="79">
        <f>OBRA!R570</f>
        <v>1379641.73</v>
      </c>
      <c r="Q572" s="1023">
        <f t="shared" si="32"/>
        <v>1189346.3189655172</v>
      </c>
      <c r="R572" s="1023"/>
      <c r="S572" s="67">
        <f>OBRA!S570</f>
        <v>44208</v>
      </c>
      <c r="T572" s="1134">
        <f>OBRA!V570</f>
        <v>44207</v>
      </c>
      <c r="U572" s="5">
        <f>OBRA!T570</f>
        <v>44211</v>
      </c>
      <c r="V572" s="11">
        <f>OBRA!U570</f>
        <v>44256</v>
      </c>
      <c r="W572" s="220">
        <v>0</v>
      </c>
      <c r="X572" s="1019">
        <f>OBRA!AS570+OBRA!AT570</f>
        <v>1239899.07</v>
      </c>
      <c r="Y572" s="1089" t="s">
        <v>3473</v>
      </c>
      <c r="Z572" s="146" t="str">
        <f>OBRA!W570</f>
        <v xml:space="preserve">SERVICIOS Y CONSTRUCCIONES NATENIO, S.A. DE C.V. </v>
      </c>
      <c r="AA572" s="146" t="s">
        <v>5666</v>
      </c>
      <c r="AB572" s="148" t="s">
        <v>2805</v>
      </c>
      <c r="AC572" s="148" t="s">
        <v>2806</v>
      </c>
      <c r="AD572" s="146" t="s">
        <v>2969</v>
      </c>
      <c r="AE572" s="183" t="str">
        <f>OBRA!X570</f>
        <v>ING. VICTOR MANUEL PACHECO AZCONA</v>
      </c>
      <c r="AF572" s="19">
        <f>370*2</f>
        <v>740</v>
      </c>
      <c r="AG572" s="2" t="s">
        <v>1548</v>
      </c>
      <c r="AH572" s="615">
        <f t="shared" si="39"/>
        <v>1675.539283783784</v>
      </c>
      <c r="AI572" s="2">
        <v>200</v>
      </c>
      <c r="AJ572" s="513">
        <v>11000</v>
      </c>
      <c r="AK572" s="513"/>
      <c r="AL572" s="1522">
        <v>20.287731000000001</v>
      </c>
      <c r="AM572" s="1523">
        <v>103.418091</v>
      </c>
      <c r="AN572" s="571" t="s">
        <v>4205</v>
      </c>
      <c r="AO572" s="571"/>
      <c r="AP572" s="571" t="s">
        <v>4205</v>
      </c>
      <c r="AQ572" s="513"/>
      <c r="AR572" s="513"/>
      <c r="AS572" s="1505" t="s">
        <v>4205</v>
      </c>
    </row>
    <row r="573" spans="1:45" s="1050" customFormat="1" ht="61.5" hidden="1" customHeight="1">
      <c r="A573" s="532">
        <f>OBRA!J571</f>
        <v>2021</v>
      </c>
      <c r="B573" s="1490" t="s">
        <v>2094</v>
      </c>
      <c r="C573" s="783">
        <f>OBRA!K571</f>
        <v>215007</v>
      </c>
      <c r="D573" s="1560" t="s">
        <v>551</v>
      </c>
      <c r="E573" s="186" t="str">
        <f>OBRA!M571</f>
        <v>CUENTA CORRIENTE</v>
      </c>
      <c r="F573" s="1464" t="s">
        <v>1428</v>
      </c>
      <c r="G573" s="577" t="s">
        <v>2206</v>
      </c>
      <c r="H573" s="1491" t="str">
        <f>OBRA!N571</f>
        <v>GMJ 007C- OP/2021</v>
      </c>
      <c r="I573" s="186" t="str">
        <f>OBRA!O571</f>
        <v>CANCELADA</v>
      </c>
      <c r="J573" s="106" t="str">
        <f>OBRA!P571</f>
        <v>"IMAGEN URBANA EN CALLE MORELOS DE CALLE CRISTOBAL COLÓN A CALLE RICO" EN LA CABECERA MUNICIPAL DE JOCOTEPEC, JALISCO, (NEXTIPAC).</v>
      </c>
      <c r="K573" s="106"/>
      <c r="L573" s="106"/>
      <c r="M573" s="106" t="s">
        <v>4101</v>
      </c>
      <c r="N573" s="106" t="s">
        <v>2577</v>
      </c>
      <c r="O573" s="1500" t="s">
        <v>3506</v>
      </c>
      <c r="P573" s="1064">
        <f>OBRA!R571</f>
        <v>101577.38</v>
      </c>
      <c r="Q573" s="1064">
        <f t="shared" si="32"/>
        <v>87566.706896551739</v>
      </c>
      <c r="R573" s="1064"/>
      <c r="S573" s="1463">
        <f>OBRA!S571</f>
        <v>44208</v>
      </c>
      <c r="T573" s="1492">
        <f>OBRA!V571</f>
        <v>44207</v>
      </c>
      <c r="U573" s="1071">
        <f>OBRA!T571</f>
        <v>44270</v>
      </c>
      <c r="V573" s="1077">
        <f>OBRA!U571</f>
        <v>44275</v>
      </c>
      <c r="W573" s="1467">
        <v>0</v>
      </c>
      <c r="X573" s="1494">
        <f>OBRA!AS571+OBRA!AT571</f>
        <v>0</v>
      </c>
      <c r="Y573" s="1495" t="s">
        <v>3467</v>
      </c>
      <c r="Z573" s="1496" t="str">
        <f>OBRA!W571</f>
        <v xml:space="preserve">SERVICIOS Y CONSTRUCCIONES NATENIO, S.A. DE C.V. </v>
      </c>
      <c r="AA573" s="1496" t="s">
        <v>5666</v>
      </c>
      <c r="AB573" s="1502" t="s">
        <v>2805</v>
      </c>
      <c r="AC573" s="1502" t="s">
        <v>2806</v>
      </c>
      <c r="AD573" s="1496" t="s">
        <v>2969</v>
      </c>
      <c r="AE573" s="1497" t="str">
        <f>OBRA!X571</f>
        <v>ING. VICTOR MANUEL PACHECO AZCONA</v>
      </c>
      <c r="AF573" s="829"/>
      <c r="AG573" s="186" t="s">
        <v>1548</v>
      </c>
      <c r="AH573" s="1497" t="e">
        <f t="shared" si="39"/>
        <v>#DIV/0!</v>
      </c>
      <c r="AI573" s="186"/>
      <c r="AJ573" s="516"/>
      <c r="AK573" s="516"/>
      <c r="AL573" s="1554">
        <v>20.287731000000001</v>
      </c>
      <c r="AM573" s="1555">
        <v>103.418091</v>
      </c>
      <c r="AN573" s="1503"/>
      <c r="AO573" s="1503"/>
      <c r="AP573" s="1503"/>
      <c r="AQ573" s="516"/>
      <c r="AR573" s="516"/>
      <c r="AS573" s="1499"/>
    </row>
    <row r="574" spans="1:45" ht="224.25" customHeight="1">
      <c r="A574" s="16">
        <f>OBRA!J572</f>
        <v>2021</v>
      </c>
      <c r="B574" s="783" t="s">
        <v>2094</v>
      </c>
      <c r="C574" s="783">
        <f>OBRA!K572</f>
        <v>215008</v>
      </c>
      <c r="D574" s="1557" t="s">
        <v>551</v>
      </c>
      <c r="E574" s="2" t="str">
        <f>OBRA!M572</f>
        <v>RAMO 33</v>
      </c>
      <c r="F574" s="18" t="s">
        <v>1428</v>
      </c>
      <c r="G574" s="156" t="s">
        <v>2206</v>
      </c>
      <c r="H574" s="412" t="str">
        <f>OBRA!N572</f>
        <v>GMJ 008C- OP/2021</v>
      </c>
      <c r="I574" s="2" t="str">
        <f>OBRA!O572</f>
        <v>ADJUDICACIÓN DIRECTA</v>
      </c>
      <c r="J574" s="3" t="str">
        <f>OBRA!P572</f>
        <v>"REHABILITACIÓN DE LÍNEA DE AGUA POTABLE EN CALLE MORELOS DE CALLE RICO A CALLE RIVERA DEL LAGO Y REHABILITACIÓN DE LÍNEA DE DRENAJE SANITARIO EN CALLE MORELOS DE CALLE RICO HASTA MALECÓN", EN LA CABECERA MUNICIPAL DE JOCOTEPEC, JALISCO, (NEXTIPAC).</v>
      </c>
      <c r="K574" s="1323" t="s">
        <v>3795</v>
      </c>
      <c r="L574" s="1323" t="s">
        <v>6248</v>
      </c>
      <c r="M574" s="3" t="s">
        <v>4102</v>
      </c>
      <c r="N574" s="3" t="s">
        <v>2577</v>
      </c>
      <c r="O574" s="504" t="s">
        <v>3506</v>
      </c>
      <c r="P574" s="79">
        <f>OBRA!R572</f>
        <v>1301387.07</v>
      </c>
      <c r="Q574" s="1023">
        <f t="shared" si="32"/>
        <v>1121885.4051724139</v>
      </c>
      <c r="R574" s="1023"/>
      <c r="S574" s="67">
        <f>OBRA!S572</f>
        <v>44200</v>
      </c>
      <c r="T574" s="1134">
        <f>OBRA!V572</f>
        <v>44197</v>
      </c>
      <c r="U574" s="5">
        <f>OBRA!T572</f>
        <v>44201</v>
      </c>
      <c r="V574" s="11">
        <f>OBRA!U572</f>
        <v>44270</v>
      </c>
      <c r="W574" s="220">
        <v>0</v>
      </c>
      <c r="X574" s="1019">
        <f>OBRA!AS572+OBRA!AT572</f>
        <v>1116853.6100000001</v>
      </c>
      <c r="Y574" s="1089" t="s">
        <v>3474</v>
      </c>
      <c r="Z574" s="146" t="str">
        <f>OBRA!W572</f>
        <v xml:space="preserve">DESARROLLO DAP S.A. DE C.V. </v>
      </c>
      <c r="AA574" s="146" t="s">
        <v>5666</v>
      </c>
      <c r="AB574" s="148" t="s">
        <v>3475</v>
      </c>
      <c r="AC574" s="2" t="s">
        <v>2940</v>
      </c>
      <c r="AD574" s="146" t="s">
        <v>3361</v>
      </c>
      <c r="AE574" s="183" t="str">
        <f>OBRA!X572</f>
        <v>ING. VICTOR MANUEL PACHECO AZCONA</v>
      </c>
      <c r="AF574" s="19">
        <v>2593.23</v>
      </c>
      <c r="AG574" s="2" t="s">
        <v>1548</v>
      </c>
      <c r="AH574" s="615">
        <f t="shared" si="39"/>
        <v>430.68050654974689</v>
      </c>
      <c r="AI574" s="2">
        <v>500</v>
      </c>
      <c r="AJ574" s="513">
        <v>11000</v>
      </c>
      <c r="AK574" s="513"/>
      <c r="AL574" s="1522">
        <v>20.287754</v>
      </c>
      <c r="AM574" s="1523">
        <v>103.416543</v>
      </c>
      <c r="AN574" s="571" t="s">
        <v>4206</v>
      </c>
      <c r="AO574" s="571" t="s">
        <v>4206</v>
      </c>
      <c r="AP574" s="571" t="s">
        <v>4206</v>
      </c>
      <c r="AQ574" s="501" t="s">
        <v>4206</v>
      </c>
      <c r="AR574" s="501"/>
      <c r="AS574" s="1505" t="s">
        <v>4206</v>
      </c>
    </row>
    <row r="575" spans="1:45" ht="90" customHeight="1">
      <c r="A575" s="16">
        <f>OBRA!J573</f>
        <v>2021</v>
      </c>
      <c r="B575" s="1415" t="s">
        <v>2094</v>
      </c>
      <c r="C575" s="783">
        <f>OBRA!K573</f>
        <v>215009</v>
      </c>
      <c r="D575" s="1562" t="s">
        <v>551</v>
      </c>
      <c r="E575" s="412" t="str">
        <f>OBRA!M573</f>
        <v>CUENTA CORRIENTE</v>
      </c>
      <c r="F575" s="18" t="s">
        <v>1428</v>
      </c>
      <c r="G575" s="156" t="s">
        <v>2206</v>
      </c>
      <c r="H575" s="412" t="str">
        <f>OBRA!N573</f>
        <v>GMJ 009C- OP/2021</v>
      </c>
      <c r="I575" s="2" t="str">
        <f>OBRA!O573</f>
        <v>CONCURSO SIMPLIFICADO SUMARIO</v>
      </c>
      <c r="J575" s="3" t="str">
        <f>OBRA!P573</f>
        <v>"INTERVENCIÓN Y ACONDICIONAMIENTO DE TERRACERIAS, REHABILITACIÓN DE BANQUETAS E IMAGEN URBANA EN CALLE MORELOS DE CALLE RICO A MALECÓN DE KM 0+000 AL KM 0+379.50", EN LA CABECERA MUNICIPAL DE JOCOTEPEC, JALISCO (NEXTIPAC)</v>
      </c>
      <c r="K575" s="3" t="s">
        <v>4455</v>
      </c>
      <c r="L575" s="3" t="s">
        <v>6253</v>
      </c>
      <c r="M575" s="3" t="s">
        <v>4102</v>
      </c>
      <c r="N575" s="3" t="s">
        <v>2577</v>
      </c>
      <c r="O575" s="504" t="s">
        <v>3798</v>
      </c>
      <c r="P575" s="79">
        <f>OBRA!R573</f>
        <v>2617705.66</v>
      </c>
      <c r="Q575" s="1023">
        <f t="shared" si="32"/>
        <v>2256642.8103448278</v>
      </c>
      <c r="R575" s="1023"/>
      <c r="S575" s="67">
        <f>OBRA!S573</f>
        <v>44208</v>
      </c>
      <c r="T575" s="1134" t="str">
        <f>OBRA!V573</f>
        <v>NO APLICA</v>
      </c>
      <c r="U575" s="5">
        <f>OBRA!T573</f>
        <v>44227</v>
      </c>
      <c r="V575" s="11">
        <f>OBRA!U573</f>
        <v>44270</v>
      </c>
      <c r="W575" s="220">
        <v>0</v>
      </c>
      <c r="X575" s="1019">
        <f>OBRA!AS573+OBRA!AT573</f>
        <v>1480943.65</v>
      </c>
      <c r="Y575" s="1089" t="s">
        <v>3477</v>
      </c>
      <c r="Z575" s="146" t="str">
        <f>OBRA!W573</f>
        <v xml:space="preserve">DESARROLLO DAP S.A. DE C.V. </v>
      </c>
      <c r="AA575" s="146" t="s">
        <v>5666</v>
      </c>
      <c r="AB575" s="148" t="s">
        <v>3475</v>
      </c>
      <c r="AC575" s="148" t="s">
        <v>2940</v>
      </c>
      <c r="AD575" s="146" t="s">
        <v>3361</v>
      </c>
      <c r="AE575" s="183" t="str">
        <f>OBRA!X573</f>
        <v>ING. VICTOR MANUEL PACHECO AZCONA</v>
      </c>
      <c r="AF575" s="19">
        <v>2523.9299999999998</v>
      </c>
      <c r="AG575" s="2" t="s">
        <v>1548</v>
      </c>
      <c r="AH575" s="183">
        <f t="shared" si="39"/>
        <v>586.76098386246849</v>
      </c>
      <c r="AI575" s="2">
        <v>1000</v>
      </c>
      <c r="AJ575" s="513">
        <v>5000</v>
      </c>
      <c r="AK575" s="513"/>
      <c r="AL575" s="1522">
        <v>20.287754</v>
      </c>
      <c r="AM575" s="1523">
        <v>103.416543</v>
      </c>
      <c r="AN575" s="571" t="s">
        <v>4456</v>
      </c>
      <c r="AO575" s="571" t="s">
        <v>4456</v>
      </c>
      <c r="AP575" s="571" t="s">
        <v>4456</v>
      </c>
      <c r="AQ575" s="501" t="s">
        <v>4456</v>
      </c>
      <c r="AR575" s="501"/>
      <c r="AS575" s="1505" t="s">
        <v>4456</v>
      </c>
    </row>
    <row r="576" spans="1:45" ht="91.5" customHeight="1">
      <c r="A576" s="16">
        <f>OBRA!J574</f>
        <v>2021</v>
      </c>
      <c r="B576" s="1415" t="s">
        <v>2094</v>
      </c>
      <c r="C576" s="783">
        <f>OBRA!K574</f>
        <v>215010</v>
      </c>
      <c r="D576" s="1563" t="s">
        <v>551</v>
      </c>
      <c r="E576" s="412" t="str">
        <f>OBRA!M574</f>
        <v>FOCOCI</v>
      </c>
      <c r="F576" s="704" t="s">
        <v>3805</v>
      </c>
      <c r="G576" s="156" t="s">
        <v>2206</v>
      </c>
      <c r="H576" s="412" t="str">
        <f>OBRA!N574</f>
        <v>FOCOCI-OP-CSS-010/2021</v>
      </c>
      <c r="I576" s="2" t="str">
        <f>OBRA!O574</f>
        <v>CONCURSO SIMPLIFICADO SUMARIO</v>
      </c>
      <c r="J576" s="3" t="str">
        <f>OBRA!P574</f>
        <v>"PAVIMENTACIÓN CON EMPEDRADO AHOGADO EN CONCRETO HIDRÁULICO Y SUSTITUCIÓN DE REDES HIDROSANITARIAS EN CALLE LÁZARO CÁRDENAS", EN LA CABECERA MUNICIPAL DE JOCOTEPEC, JALISCO</v>
      </c>
      <c r="K576" s="3"/>
      <c r="L576" s="3" t="s">
        <v>6248</v>
      </c>
      <c r="M576" s="3" t="s">
        <v>4103</v>
      </c>
      <c r="N576" s="3" t="s">
        <v>1975</v>
      </c>
      <c r="O576" s="504" t="s">
        <v>3798</v>
      </c>
      <c r="P576" s="79">
        <f>OBRA!R574</f>
        <v>4895145.74</v>
      </c>
      <c r="Q576" s="1023">
        <f t="shared" si="32"/>
        <v>4219953.2241379311</v>
      </c>
      <c r="R576" s="1023"/>
      <c r="S576" s="67">
        <f>OBRA!S574</f>
        <v>44239</v>
      </c>
      <c r="T576" s="1134" t="str">
        <f>OBRA!V574</f>
        <v>NO APLICA</v>
      </c>
      <c r="U576" s="5">
        <f>OBRA!T574</f>
        <v>44242</v>
      </c>
      <c r="V576" s="11">
        <f>OBRA!U574</f>
        <v>44331</v>
      </c>
      <c r="W576" s="278">
        <v>1223786.43</v>
      </c>
      <c r="X576" s="1019">
        <f>OBRA!AS574+OBRA!AT574</f>
        <v>5000000</v>
      </c>
      <c r="Y576" s="1018" t="s">
        <v>3923</v>
      </c>
      <c r="Z576" s="146" t="str">
        <f>OBRA!W574</f>
        <v>ALSERCON SA DE CV</v>
      </c>
      <c r="AA576" s="146" t="s">
        <v>5666</v>
      </c>
      <c r="AB576" s="148" t="s">
        <v>2164</v>
      </c>
      <c r="AC576" s="148" t="s">
        <v>2165</v>
      </c>
      <c r="AD576" s="146" t="s">
        <v>3364</v>
      </c>
      <c r="AE576" s="183" t="str">
        <f>OBRA!X574</f>
        <v>ARQ. JAIME CONDE GOMEZ</v>
      </c>
      <c r="AF576" s="19">
        <v>3357.6</v>
      </c>
      <c r="AG576" s="2" t="s">
        <v>1548</v>
      </c>
      <c r="AH576" s="183">
        <f t="shared" si="39"/>
        <v>1489.1589230402669</v>
      </c>
      <c r="AI576" s="2">
        <v>500</v>
      </c>
      <c r="AJ576" s="513">
        <v>6000</v>
      </c>
      <c r="AK576" s="513"/>
      <c r="AL576" s="1522">
        <v>20.288573</v>
      </c>
      <c r="AM576" s="1523">
        <v>103.436711</v>
      </c>
      <c r="AN576" s="571" t="s">
        <v>3842</v>
      </c>
      <c r="AO576" s="571" t="s">
        <v>3842</v>
      </c>
      <c r="AP576" s="571" t="s">
        <v>3842</v>
      </c>
      <c r="AQ576" s="501" t="s">
        <v>3842</v>
      </c>
      <c r="AR576" s="501"/>
      <c r="AS576" s="501" t="s">
        <v>3842</v>
      </c>
    </row>
    <row r="577" spans="1:45" ht="67.5" customHeight="1">
      <c r="A577" s="16">
        <f>OBRA!J575</f>
        <v>2021</v>
      </c>
      <c r="B577" s="1415" t="s">
        <v>2094</v>
      </c>
      <c r="C577" s="783">
        <f>OBRA!K575</f>
        <v>215011</v>
      </c>
      <c r="D577" s="1563" t="s">
        <v>551</v>
      </c>
      <c r="E577" s="412" t="str">
        <f>OBRA!M575</f>
        <v>FOCOCI</v>
      </c>
      <c r="F577" s="704" t="s">
        <v>3805</v>
      </c>
      <c r="G577" s="156" t="s">
        <v>2206</v>
      </c>
      <c r="H577" s="412" t="str">
        <f>OBRA!N575</f>
        <v>FOCOCI-OP-CSS-011/2021</v>
      </c>
      <c r="I577" s="2" t="str">
        <f>OBRA!O575</f>
        <v>CONCURSO SIMPLIFICADO SUMARIO</v>
      </c>
      <c r="J577" s="3" t="str">
        <f>OBRA!P575</f>
        <v>"REHABILITACIÓN DE INGRESO A ZAPOTITÁN DE HIDALGO DE LA CARRETERA FEDERAL AL PUENTE EN EL MUNICIPIO DE JOCOTEPEC, JALISCO".</v>
      </c>
      <c r="K577" s="3"/>
      <c r="L577" s="3" t="s">
        <v>6254</v>
      </c>
      <c r="M577" s="3" t="s">
        <v>3734</v>
      </c>
      <c r="N577" s="3" t="s">
        <v>3623</v>
      </c>
      <c r="O577" s="504" t="s">
        <v>3629</v>
      </c>
      <c r="P577" s="79">
        <f>OBRA!R575</f>
        <v>3973863.2</v>
      </c>
      <c r="Q577" s="1023">
        <f t="shared" si="32"/>
        <v>3425744.1379310349</v>
      </c>
      <c r="R577" s="1023"/>
      <c r="S577" s="67">
        <f>OBRA!S575</f>
        <v>44278</v>
      </c>
      <c r="T577" s="1134" t="str">
        <f>OBRA!V575</f>
        <v>NO APLICA</v>
      </c>
      <c r="U577" s="5">
        <f>OBRA!T575</f>
        <v>44280</v>
      </c>
      <c r="V577" s="11">
        <f>OBRA!U575</f>
        <v>44347</v>
      </c>
      <c r="W577" s="278">
        <v>993465.8</v>
      </c>
      <c r="X577" s="1019">
        <f>OBRA!AS575+OBRA!AT575</f>
        <v>4000000</v>
      </c>
      <c r="Y577" s="1018" t="s">
        <v>3738</v>
      </c>
      <c r="Z577" s="146" t="str">
        <f>OBRA!W575</f>
        <v>COREGO CONSTRUCCIONES, S.A. DE C.V.</v>
      </c>
      <c r="AA577" s="146" t="s">
        <v>5666</v>
      </c>
      <c r="AB577" s="148" t="s">
        <v>3735</v>
      </c>
      <c r="AC577" s="148" t="s">
        <v>3736</v>
      </c>
      <c r="AD577" s="146" t="s">
        <v>3737</v>
      </c>
      <c r="AE577" s="183" t="str">
        <f>OBRA!X575</f>
        <v xml:space="preserve">ING. ENRIQUE ENRÍQUEZ VÁZQUEZ </v>
      </c>
      <c r="AF577" s="19">
        <v>17929</v>
      </c>
      <c r="AG577" s="2" t="s">
        <v>1548</v>
      </c>
      <c r="AH577" s="183">
        <f t="shared" si="39"/>
        <v>223.10223659992192</v>
      </c>
      <c r="AI577" s="2">
        <v>2000</v>
      </c>
      <c r="AJ577" s="513">
        <v>4000</v>
      </c>
      <c r="AK577" s="513"/>
      <c r="AL577" s="1522">
        <v>20.323613000000002</v>
      </c>
      <c r="AM577" s="1523">
        <v>103.487735</v>
      </c>
      <c r="AN577" s="571" t="s">
        <v>4457</v>
      </c>
      <c r="AO577" s="571"/>
      <c r="AP577" s="571"/>
      <c r="AQ577" s="513"/>
      <c r="AR577" s="513"/>
      <c r="AS577" s="124"/>
    </row>
    <row r="578" spans="1:45" s="1050" customFormat="1" ht="133.5" hidden="1" customHeight="1">
      <c r="A578" s="532">
        <f>OBRA!J576</f>
        <v>2021</v>
      </c>
      <c r="B578" s="1490" t="s">
        <v>2094</v>
      </c>
      <c r="C578" s="783">
        <f>OBRA!K576</f>
        <v>215012</v>
      </c>
      <c r="D578" s="1558" t="s">
        <v>551</v>
      </c>
      <c r="E578" s="186" t="str">
        <f>OBRA!M576</f>
        <v>CUENTA CORRIENTE</v>
      </c>
      <c r="F578" s="1464" t="s">
        <v>1428</v>
      </c>
      <c r="G578" s="577" t="s">
        <v>2206</v>
      </c>
      <c r="H578" s="1491" t="str">
        <f>OBRA!N576</f>
        <v>GMJ 012C- OP/2021</v>
      </c>
      <c r="I578" s="186" t="str">
        <f>OBRA!O576</f>
        <v>CANCELADA</v>
      </c>
      <c r="J578" s="106" t="str">
        <f>OBRA!P576</f>
        <v>"REHABILITACIÓN DE POZO PROFUNDO UBICADO EN EL ATRIO DEL TEMPLO DEL SEÑOR DEL MONTE, EN LA CABECERA MUNICIPAL DE JOCOTEPEC, JALISCO.</v>
      </c>
      <c r="K578" s="106"/>
      <c r="L578" s="106"/>
      <c r="M578" s="106" t="s">
        <v>3631</v>
      </c>
      <c r="N578" s="106" t="s">
        <v>1975</v>
      </c>
      <c r="O578" s="1500"/>
      <c r="P578" s="1064">
        <f>OBRA!R576</f>
        <v>144561.23000000001</v>
      </c>
      <c r="Q578" s="1064">
        <f t="shared" si="32"/>
        <v>124621.75000000001</v>
      </c>
      <c r="R578" s="1064"/>
      <c r="S578" s="1463">
        <f>OBRA!S576</f>
        <v>0</v>
      </c>
      <c r="T578" s="1492">
        <f>OBRA!V576</f>
        <v>44228</v>
      </c>
      <c r="U578" s="1071">
        <f>OBRA!T576</f>
        <v>44228</v>
      </c>
      <c r="V578" s="1077">
        <f>OBRA!U576</f>
        <v>44255</v>
      </c>
      <c r="W578" s="1493">
        <v>0</v>
      </c>
      <c r="X578" s="1494">
        <f>OBRA!AS576+OBRA!AT576</f>
        <v>0</v>
      </c>
      <c r="Y578" s="1495"/>
      <c r="Z578" s="1496" t="str">
        <f>OBRA!W576</f>
        <v>JESSICA MONSERRAT RIVERA TORRES</v>
      </c>
      <c r="AA578" s="1496" t="s">
        <v>5665</v>
      </c>
      <c r="AB578" s="1502" t="str">
        <f>Z578</f>
        <v>JESSICA MONSERRAT RIVERA TORRES</v>
      </c>
      <c r="AC578" s="186" t="s">
        <v>4442</v>
      </c>
      <c r="AD578" s="186" t="s">
        <v>4442</v>
      </c>
      <c r="AE578" s="1497">
        <f>OBRA!X576</f>
        <v>0</v>
      </c>
      <c r="AF578" s="829"/>
      <c r="AG578" s="186"/>
      <c r="AH578" s="1497" t="e">
        <f t="shared" si="39"/>
        <v>#DIV/0!</v>
      </c>
      <c r="AI578" s="186"/>
      <c r="AJ578" s="516"/>
      <c r="AK578" s="516"/>
      <c r="AL578" s="1520"/>
      <c r="AM578" s="1521"/>
      <c r="AN578" s="1503"/>
      <c r="AO578" s="1503"/>
      <c r="AP578" s="1503"/>
      <c r="AQ578" s="516"/>
      <c r="AR578" s="516"/>
      <c r="AS578" s="1499"/>
    </row>
    <row r="579" spans="1:45" ht="129.75" customHeight="1">
      <c r="A579" s="16">
        <f>OBRA!J577</f>
        <v>2021</v>
      </c>
      <c r="B579" s="1415" t="s">
        <v>2094</v>
      </c>
      <c r="C579" s="783">
        <f>OBRA!K577</f>
        <v>215013</v>
      </c>
      <c r="D579" s="1562" t="s">
        <v>551</v>
      </c>
      <c r="E579" s="412" t="str">
        <f>OBRA!M577</f>
        <v>CUENTA CORRIENTE</v>
      </c>
      <c r="F579" s="18" t="s">
        <v>1428</v>
      </c>
      <c r="G579" s="156" t="s">
        <v>2206</v>
      </c>
      <c r="H579" s="412" t="str">
        <f>OBRA!N577</f>
        <v>GMJ 013C- OP/2021</v>
      </c>
      <c r="I579" s="2" t="str">
        <f>OBRA!O577</f>
        <v>ADJUDICACIÓN DIRECTA</v>
      </c>
      <c r="J579"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3877</v>
      </c>
      <c r="L579" s="173" t="s">
        <v>6254</v>
      </c>
      <c r="M579" s="3" t="s">
        <v>3632</v>
      </c>
      <c r="N579" s="3" t="s">
        <v>3623</v>
      </c>
      <c r="O579" s="504" t="s">
        <v>3629</v>
      </c>
      <c r="P579" s="79">
        <f>OBRA!R577</f>
        <v>1127177.8999999999</v>
      </c>
      <c r="Q579" s="1023">
        <f t="shared" si="32"/>
        <v>971705.08620689658</v>
      </c>
      <c r="R579" s="1023"/>
      <c r="S579" s="67">
        <f>OBRA!S577</f>
        <v>44242</v>
      </c>
      <c r="T579" s="1134">
        <f>OBRA!V577</f>
        <v>44242</v>
      </c>
      <c r="U579" s="5">
        <f>OBRA!T577</f>
        <v>44242</v>
      </c>
      <c r="V579" s="11">
        <f>OBRA!U577</f>
        <v>44332</v>
      </c>
      <c r="W579" s="278">
        <v>281794.48</v>
      </c>
      <c r="X579" s="1019">
        <f>OBRA!AS577+OBRA!AT577</f>
        <v>725739.42</v>
      </c>
      <c r="Y579" s="1018" t="s">
        <v>3922</v>
      </c>
      <c r="Z579" s="146" t="str">
        <f>OBRA!W577</f>
        <v xml:space="preserve">INFRAESTRUCTURA Y EDIFICACIONES OROZCO S.A. DE C.V. </v>
      </c>
      <c r="AA579" s="146" t="s">
        <v>5666</v>
      </c>
      <c r="AB579" s="148" t="s">
        <v>3879</v>
      </c>
      <c r="AC579" s="2" t="s">
        <v>2887</v>
      </c>
      <c r="AD579" s="146" t="s">
        <v>3880</v>
      </c>
      <c r="AE579" s="183" t="str">
        <f>OBRA!X577</f>
        <v xml:space="preserve">ING. ENRIQUE ENRÍQUEZ VÁZQUEZ </v>
      </c>
      <c r="AF579" s="19">
        <v>1768</v>
      </c>
      <c r="AG579" s="2" t="s">
        <v>1548</v>
      </c>
      <c r="AH579" s="615">
        <f t="shared" si="39"/>
        <v>410.4860972850679</v>
      </c>
      <c r="AI579" s="2">
        <v>2000</v>
      </c>
      <c r="AJ579" s="513">
        <v>4000</v>
      </c>
      <c r="AK579" s="513"/>
      <c r="AL579" s="1522">
        <v>20.327687999999998</v>
      </c>
      <c r="AM579" s="1523">
        <v>103.47994300000001</v>
      </c>
      <c r="AN579" s="571" t="s">
        <v>4144</v>
      </c>
      <c r="AO579" s="571" t="s">
        <v>4144</v>
      </c>
      <c r="AP579" s="571" t="s">
        <v>4144</v>
      </c>
      <c r="AQ579" s="513"/>
      <c r="AR579" s="513"/>
      <c r="AS579" s="124"/>
    </row>
    <row r="580" spans="1:45" ht="131.25" customHeight="1">
      <c r="A580" s="16">
        <f>OBRA!J578</f>
        <v>2021</v>
      </c>
      <c r="B580" s="1415" t="s">
        <v>2094</v>
      </c>
      <c r="C580" s="783">
        <f>OBRA!K578</f>
        <v>215014</v>
      </c>
      <c r="D580" s="1562" t="s">
        <v>551</v>
      </c>
      <c r="E580" s="412" t="str">
        <f>OBRA!M578</f>
        <v>CUENTA CORRIENTE</v>
      </c>
      <c r="F580" s="18" t="s">
        <v>1428</v>
      </c>
      <c r="G580" s="156" t="s">
        <v>2206</v>
      </c>
      <c r="H580" s="412" t="str">
        <f>OBRA!N578</f>
        <v>GMJ 014C- OP/2021</v>
      </c>
      <c r="I580" s="2" t="str">
        <f>OBRA!O578</f>
        <v>ADJUDICACIÓN DIRECTA</v>
      </c>
      <c r="J580"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3878</v>
      </c>
      <c r="L580" s="173" t="s">
        <v>6254</v>
      </c>
      <c r="M580" s="3" t="s">
        <v>3632</v>
      </c>
      <c r="N580" s="3" t="s">
        <v>3623</v>
      </c>
      <c r="O580" s="504" t="s">
        <v>3629</v>
      </c>
      <c r="P580" s="79">
        <f>OBRA!R578</f>
        <v>1311375.01</v>
      </c>
      <c r="Q580" s="1023">
        <f t="shared" si="32"/>
        <v>1130495.6982758623</v>
      </c>
      <c r="R580" s="1023"/>
      <c r="S580" s="67">
        <f>OBRA!S578</f>
        <v>44242</v>
      </c>
      <c r="T580" s="1134">
        <f>OBRA!V578</f>
        <v>44242</v>
      </c>
      <c r="U580" s="5">
        <f>OBRA!T578</f>
        <v>44242</v>
      </c>
      <c r="V580" s="11">
        <f>OBRA!U578</f>
        <v>44332</v>
      </c>
      <c r="W580" s="278">
        <v>327843.75</v>
      </c>
      <c r="X580" s="1019">
        <f>OBRA!AS578+OBRA!AT578</f>
        <v>940185.83</v>
      </c>
      <c r="Y580" s="1018" t="s">
        <v>3922</v>
      </c>
      <c r="Z580" s="146" t="str">
        <f>OBRA!W578</f>
        <v>SUPERVISIÓN PROYECTOS Y LABORATORIO PARA LA CONSTRUCCIÓN, S.A. DE C.V.</v>
      </c>
      <c r="AA580" s="146" t="s">
        <v>5666</v>
      </c>
      <c r="AB580" s="148" t="s">
        <v>3883</v>
      </c>
      <c r="AC580" s="148" t="s">
        <v>3786</v>
      </c>
      <c r="AD580" s="146" t="s">
        <v>3884</v>
      </c>
      <c r="AE580" s="183" t="str">
        <f>OBRA!X578</f>
        <v xml:space="preserve">ING. ENRIQUE ENRÍQUEZ VÁZQUEZ </v>
      </c>
      <c r="AF580" s="19">
        <v>18185.669999999998</v>
      </c>
      <c r="AG580" s="2" t="s">
        <v>1548</v>
      </c>
      <c r="AH580" s="183">
        <f t="shared" si="39"/>
        <v>51.699268160040297</v>
      </c>
      <c r="AI580" s="2">
        <v>2000</v>
      </c>
      <c r="AJ580" s="513">
        <v>4000</v>
      </c>
      <c r="AK580" s="513"/>
      <c r="AL580" s="1522">
        <v>20.327687999999998</v>
      </c>
      <c r="AM580" s="1523">
        <v>103.47994300000001</v>
      </c>
      <c r="AN580" s="571"/>
      <c r="AO580" s="571"/>
      <c r="AP580" s="571"/>
      <c r="AQ580" s="513"/>
      <c r="AR580" s="513"/>
      <c r="AS580" s="124"/>
    </row>
    <row r="581" spans="1:45" ht="129" customHeight="1">
      <c r="A581" s="16">
        <f>OBRA!J579</f>
        <v>2021</v>
      </c>
      <c r="B581" s="783" t="s">
        <v>2094</v>
      </c>
      <c r="C581" s="783">
        <f>OBRA!K579</f>
        <v>215015</v>
      </c>
      <c r="D581" s="1561" t="s">
        <v>551</v>
      </c>
      <c r="E581" s="2" t="str">
        <f>OBRA!M579</f>
        <v>CUENTA CORRIENTE</v>
      </c>
      <c r="F581" s="18" t="s">
        <v>1428</v>
      </c>
      <c r="G581" s="156" t="s">
        <v>2206</v>
      </c>
      <c r="H581" s="412" t="str">
        <f>OBRA!N579</f>
        <v>GMJ 015C- OP/2021</v>
      </c>
      <c r="I581" s="2" t="str">
        <f>OBRA!O579</f>
        <v>ADJUDICACIÓN DIRECTA</v>
      </c>
      <c r="J581" s="3" t="str">
        <f>OBRA!P579</f>
        <v>"EQUIPAMIENTO DE POZO MORELOS" EN LA AGENCIA MINICIPAL DE NEXTIPAC, DEL MUNICIPIO DE JOCOTEPEC, JALISCO.</v>
      </c>
      <c r="K581" s="3" t="s">
        <v>4291</v>
      </c>
      <c r="L581" s="3" t="s">
        <v>4751</v>
      </c>
      <c r="M581" s="3" t="s">
        <v>4095</v>
      </c>
      <c r="N581" s="3" t="s">
        <v>2577</v>
      </c>
      <c r="O581" s="504" t="s">
        <v>3629</v>
      </c>
      <c r="P581" s="79">
        <f>OBRA!R579</f>
        <v>347784.24</v>
      </c>
      <c r="Q581" s="1023">
        <f t="shared" si="32"/>
        <v>299814</v>
      </c>
      <c r="R581" s="1023"/>
      <c r="S581" s="67">
        <f>OBRA!S579</f>
        <v>44305</v>
      </c>
      <c r="T581" s="1134">
        <f>OBRA!V579</f>
        <v>44302</v>
      </c>
      <c r="U581" s="5">
        <f>OBRA!T579</f>
        <v>44378</v>
      </c>
      <c r="V581" s="11">
        <f>OBRA!U579</f>
        <v>44424</v>
      </c>
      <c r="W581" s="278">
        <v>86946.23</v>
      </c>
      <c r="X581" s="1019">
        <f>OBRA!AS579+OBRA!AT579</f>
        <v>347784.24</v>
      </c>
      <c r="Y581" s="1018" t="s">
        <v>3740</v>
      </c>
      <c r="Z581" s="146" t="str">
        <f>OBRA!W579</f>
        <v>MARCO ANTONIO PAREDES RODRÍGUEZ</v>
      </c>
      <c r="AA581" s="146" t="s">
        <v>5665</v>
      </c>
      <c r="AB581" s="148" t="str">
        <f>Z581</f>
        <v>MARCO ANTONIO PAREDES RODRÍGUEZ</v>
      </c>
      <c r="AC581" s="2" t="s">
        <v>4292</v>
      </c>
      <c r="AD581" s="2" t="s">
        <v>4293</v>
      </c>
      <c r="AE581" s="183" t="str">
        <f>OBRA!X579</f>
        <v>ING. LUIS RIGOBERTO OLMEDO NAVARRO</v>
      </c>
      <c r="AF581" s="19">
        <v>1</v>
      </c>
      <c r="AG581" s="2" t="s">
        <v>1463</v>
      </c>
      <c r="AH581" s="615">
        <f t="shared" si="39"/>
        <v>347784.24</v>
      </c>
      <c r="AI581" s="2">
        <v>22000</v>
      </c>
      <c r="AJ581" s="513">
        <v>22000</v>
      </c>
      <c r="AK581" s="513"/>
      <c r="AL581" s="1522">
        <v>20.28668</v>
      </c>
      <c r="AM581" s="1523">
        <v>103.42398300000001</v>
      </c>
      <c r="AN581" s="571" t="s">
        <v>4290</v>
      </c>
      <c r="AO581" s="571" t="s">
        <v>4290</v>
      </c>
      <c r="AP581" s="571" t="s">
        <v>4290</v>
      </c>
      <c r="AQ581" s="501" t="s">
        <v>4290</v>
      </c>
      <c r="AR581" s="501"/>
      <c r="AS581" s="1505" t="s">
        <v>4290</v>
      </c>
    </row>
    <row r="582" spans="1:45" ht="123" customHeight="1">
      <c r="A582" s="16">
        <f>OBRA!J580</f>
        <v>2021</v>
      </c>
      <c r="B582" s="783" t="s">
        <v>2094</v>
      </c>
      <c r="C582" s="783">
        <f>OBRA!K580</f>
        <v>215016</v>
      </c>
      <c r="D582" s="1557" t="s">
        <v>551</v>
      </c>
      <c r="E582" s="2" t="str">
        <f>OBRA!M580</f>
        <v>CUENTA CORRIENTE</v>
      </c>
      <c r="F582" s="18" t="s">
        <v>1428</v>
      </c>
      <c r="G582" s="156" t="s">
        <v>2206</v>
      </c>
      <c r="H582" s="412" t="str">
        <f>OBRA!N580</f>
        <v>GMJ 016C- OP/2021</v>
      </c>
      <c r="I582" s="2" t="str">
        <f>OBRA!O580</f>
        <v>ADJUDICACIÓN DIRECTA</v>
      </c>
      <c r="J582" s="3" t="str">
        <f>OBRA!P580</f>
        <v>"PROYECTO DE ELECTRIFICACIÓN Y EQUIPAMIENTO 1ERA ETAPA DE POZO PROFUNDO ALLENDE", UBICADO EN LA CABECERA MUNICIPAL DE JOCOTEPEC, JALISCO</v>
      </c>
      <c r="K582" s="3" t="s">
        <v>4284</v>
      </c>
      <c r="L582" s="3" t="s">
        <v>4751</v>
      </c>
      <c r="M582" s="3" t="s">
        <v>3743</v>
      </c>
      <c r="N582" s="3" t="s">
        <v>1975</v>
      </c>
      <c r="O582" s="504" t="s">
        <v>3629</v>
      </c>
      <c r="P582" s="79">
        <f>OBRA!R580</f>
        <v>1083547.78</v>
      </c>
      <c r="Q582" s="1023">
        <f t="shared" si="32"/>
        <v>934092.91379310354</v>
      </c>
      <c r="R582" s="1023"/>
      <c r="S582" s="67">
        <f>OBRA!S580</f>
        <v>44308</v>
      </c>
      <c r="T582" s="1134">
        <f>OBRA!V580</f>
        <v>44302</v>
      </c>
      <c r="U582" s="5">
        <f>OBRA!T580</f>
        <v>44322</v>
      </c>
      <c r="V582" s="11">
        <f>OBRA!U580</f>
        <v>44347</v>
      </c>
      <c r="W582" s="278">
        <v>270886.94</v>
      </c>
      <c r="X582" s="1019">
        <f>OBRA!AS580+OBRA!AT580</f>
        <v>1083547.77</v>
      </c>
      <c r="Y582" s="1018" t="s">
        <v>3744</v>
      </c>
      <c r="Z582" s="146" t="str">
        <f>OBRA!W580</f>
        <v>CONVADI, S.A. DE C.V.</v>
      </c>
      <c r="AA582" s="146" t="s">
        <v>5666</v>
      </c>
      <c r="AB582" s="148" t="s">
        <v>3745</v>
      </c>
      <c r="AC582" s="2" t="s">
        <v>3337</v>
      </c>
      <c r="AD582" s="2" t="s">
        <v>3338</v>
      </c>
      <c r="AE582" s="183" t="str">
        <f>OBRA!X580</f>
        <v>ING. ALEJANDRO SIGALA MOLINA</v>
      </c>
      <c r="AF582" s="19">
        <v>1</v>
      </c>
      <c r="AG582" s="2" t="s">
        <v>1463</v>
      </c>
      <c r="AH582" s="183">
        <f t="shared" si="39"/>
        <v>1083547.77</v>
      </c>
      <c r="AI582" s="2">
        <v>22000</v>
      </c>
      <c r="AJ582" s="513">
        <v>22000</v>
      </c>
      <c r="AK582" s="513"/>
      <c r="AL582" s="1522">
        <v>20.291990999999999</v>
      </c>
      <c r="AM582" s="1523">
        <v>103.42882400000001</v>
      </c>
      <c r="AN582" s="571" t="s">
        <v>4283</v>
      </c>
      <c r="AO582" s="571" t="s">
        <v>4283</v>
      </c>
      <c r="AP582" s="571" t="s">
        <v>4283</v>
      </c>
      <c r="AQ582" s="501" t="s">
        <v>4283</v>
      </c>
      <c r="AR582" s="501"/>
      <c r="AS582" s="1505" t="s">
        <v>4283</v>
      </c>
    </row>
    <row r="583" spans="1:45" ht="90" customHeight="1">
      <c r="A583" s="16">
        <f>OBRA!J581</f>
        <v>2021</v>
      </c>
      <c r="B583" s="1415" t="s">
        <v>2094</v>
      </c>
      <c r="C583" s="783">
        <f>OBRA!K581</f>
        <v>215017</v>
      </c>
      <c r="D583" s="1562" t="s">
        <v>551</v>
      </c>
      <c r="E583" s="412" t="str">
        <f>OBRA!M581</f>
        <v>CUENTA CORRIENTE</v>
      </c>
      <c r="F583" s="18" t="s">
        <v>1428</v>
      </c>
      <c r="G583" s="156" t="s">
        <v>2206</v>
      </c>
      <c r="H583" s="412" t="str">
        <f>OBRA!N581</f>
        <v>GMJ 017C- OP/2021</v>
      </c>
      <c r="I583" s="2" t="str">
        <f>OBRA!O581</f>
        <v>ADJUDICACIÓN DIRECTA</v>
      </c>
      <c r="J583" s="3" t="str">
        <f>OBRA!P581</f>
        <v>"PROYECTO DE ELÉCTRICO DEL RASTRO MUNICIPAL, ETAPA 1,  EN LA CABECERA MUNICIPAL DE JOCOTEPEC, JALISCO</v>
      </c>
      <c r="K583" s="3" t="s">
        <v>4295</v>
      </c>
      <c r="L583" s="3" t="s">
        <v>6241</v>
      </c>
      <c r="M583" s="3" t="s">
        <v>2002</v>
      </c>
      <c r="N583" s="3" t="s">
        <v>1975</v>
      </c>
      <c r="O583" s="504" t="s">
        <v>3629</v>
      </c>
      <c r="P583" s="79">
        <f>OBRA!R581</f>
        <v>652301.56999999995</v>
      </c>
      <c r="Q583" s="1023">
        <f t="shared" si="32"/>
        <v>562328.93965517241</v>
      </c>
      <c r="R583" s="1023"/>
      <c r="S583" s="67">
        <f>OBRA!S581</f>
        <v>44440</v>
      </c>
      <c r="T583" s="1134">
        <f>OBRA!V581</f>
        <v>44438</v>
      </c>
      <c r="U583" s="5">
        <f>OBRA!T581</f>
        <v>44445</v>
      </c>
      <c r="V583" s="11">
        <f>OBRA!U581</f>
        <v>44463</v>
      </c>
      <c r="W583" s="278">
        <v>163075.39000000001</v>
      </c>
      <c r="X583" s="1019">
        <f>OBRA!AS581+OBRA!AT581</f>
        <v>793793.33</v>
      </c>
      <c r="Y583" s="1018" t="s">
        <v>4296</v>
      </c>
      <c r="Z583" s="146" t="str">
        <f>OBRA!W581</f>
        <v>GRUPO ARANGE, S.A. DE C.V.</v>
      </c>
      <c r="AA583" s="146" t="s">
        <v>5666</v>
      </c>
      <c r="AB583" s="148" t="s">
        <v>4297</v>
      </c>
      <c r="AC583" s="146" t="s">
        <v>2883</v>
      </c>
      <c r="AD583" s="146" t="s">
        <v>4298</v>
      </c>
      <c r="AE583" s="183" t="str">
        <f>OBRA!X581</f>
        <v>LIC. SALVADOR CONTRERAS OLGUÍN</v>
      </c>
      <c r="AF583" s="19">
        <v>1</v>
      </c>
      <c r="AG583" s="2" t="s">
        <v>1573</v>
      </c>
      <c r="AH583" s="615">
        <f t="shared" si="39"/>
        <v>793793.33</v>
      </c>
      <c r="AI583" s="2">
        <v>2000</v>
      </c>
      <c r="AJ583" s="513">
        <v>47000</v>
      </c>
      <c r="AK583" s="513"/>
      <c r="AL583" s="1522">
        <v>20.279305999999998</v>
      </c>
      <c r="AM583" s="1523">
        <v>103.44510099999999</v>
      </c>
      <c r="AN583" s="571" t="s">
        <v>4294</v>
      </c>
      <c r="AO583" s="571" t="s">
        <v>4294</v>
      </c>
      <c r="AP583" s="571" t="s">
        <v>4294</v>
      </c>
      <c r="AQ583" s="501"/>
      <c r="AR583" s="501"/>
      <c r="AS583" s="1505" t="s">
        <v>4294</v>
      </c>
    </row>
    <row r="584" spans="1:45" ht="99.75" customHeight="1">
      <c r="A584" s="16">
        <f>OBRA!J582</f>
        <v>2021</v>
      </c>
      <c r="B584" s="1415" t="s">
        <v>2094</v>
      </c>
      <c r="C584" s="783">
        <f>OBRA!K582</f>
        <v>215018</v>
      </c>
      <c r="D584" s="1562" t="s">
        <v>551</v>
      </c>
      <c r="E584" s="412" t="str">
        <f>OBRA!M582</f>
        <v>CUENTA CORRIENTE</v>
      </c>
      <c r="F584" s="18" t="s">
        <v>1428</v>
      </c>
      <c r="G584" s="156" t="s">
        <v>2206</v>
      </c>
      <c r="H584" s="412" t="str">
        <f>OBRA!N582</f>
        <v>GMJ 018C- OP/2021</v>
      </c>
      <c r="I584" s="2" t="str">
        <f>OBRA!O582</f>
        <v>ADJUDICACIÓN DIRECTA</v>
      </c>
      <c r="J584" s="3" t="str">
        <f>OBRA!P582</f>
        <v>“ACONDICIONAMIENTO DE TERRACERIAS, REHABILITACIÓN DE BANQUETAS E IMAGEN URBANA EN CALLE MORELOS DE CALLE RICO A MALECÓN DE KM 0+143.00 AL KM 0+379.50”, EN LA CABECERA MUNICIPAL DE JOCOTEPEC, JALISCO (NEXTIPAC)</v>
      </c>
      <c r="K584" s="3"/>
      <c r="L584" s="3" t="s">
        <v>6253</v>
      </c>
      <c r="M584" s="3" t="s">
        <v>4102</v>
      </c>
      <c r="N584" s="3" t="s">
        <v>2577</v>
      </c>
      <c r="O584" s="504" t="s">
        <v>3629</v>
      </c>
      <c r="P584" s="79">
        <f>OBRA!R582</f>
        <v>1137012.22</v>
      </c>
      <c r="Q584" s="1023">
        <f t="shared" si="32"/>
        <v>980182.94827586215</v>
      </c>
      <c r="R584" s="1023"/>
      <c r="S584" s="67">
        <f>OBRA!S582</f>
        <v>44454</v>
      </c>
      <c r="T584" s="1134">
        <f>OBRA!V582</f>
        <v>44452</v>
      </c>
      <c r="U584" s="5">
        <f>OBRA!T582</f>
        <v>44456</v>
      </c>
      <c r="V584" s="11">
        <f>OBRA!U582</f>
        <v>44499</v>
      </c>
      <c r="W584" s="1901">
        <v>0</v>
      </c>
      <c r="X584" s="1019">
        <f>OBRA!AS582+OBRA!AT582</f>
        <v>0</v>
      </c>
      <c r="Y584" s="1018"/>
      <c r="Z584" s="146" t="str">
        <f>OBRA!W582</f>
        <v xml:space="preserve">ING. SERGIO CABRERA </v>
      </c>
      <c r="AA584" s="146" t="s">
        <v>5665</v>
      </c>
      <c r="AB584" s="148" t="str">
        <f>Z584</f>
        <v xml:space="preserve">ING. SERGIO CABRERA </v>
      </c>
      <c r="AC584" s="146"/>
      <c r="AD584" s="146"/>
      <c r="AE584" s="183" t="str">
        <f>OBRA!X582</f>
        <v>ING. J. GUADALUPE IBARRA RAMIREZ</v>
      </c>
      <c r="AF584" s="19">
        <v>1661</v>
      </c>
      <c r="AG584" s="2" t="s">
        <v>1548</v>
      </c>
      <c r="AH584" s="615">
        <f t="shared" si="39"/>
        <v>0</v>
      </c>
      <c r="AI584" s="2"/>
      <c r="AJ584" s="513"/>
      <c r="AK584" s="513"/>
      <c r="AL584" s="1522">
        <v>20.287754</v>
      </c>
      <c r="AM584" s="1523">
        <v>103.416543</v>
      </c>
      <c r="AN584" s="571"/>
      <c r="AO584" s="571"/>
      <c r="AP584" s="571"/>
      <c r="AQ584" s="513"/>
      <c r="AR584" s="513"/>
      <c r="AS584" s="124"/>
    </row>
    <row r="585" spans="1:45" ht="60" customHeight="1">
      <c r="A585" s="16">
        <f>OBRA!J583</f>
        <v>2021</v>
      </c>
      <c r="B585" s="1415" t="s">
        <v>3944</v>
      </c>
      <c r="C585" s="783">
        <f>OBRA!K583</f>
        <v>216001</v>
      </c>
      <c r="D585" s="1562" t="s">
        <v>551</v>
      </c>
      <c r="E585" s="412" t="str">
        <f>OBRA!M583</f>
        <v xml:space="preserve">CULTURA CARDINAL </v>
      </c>
      <c r="F585" s="511"/>
      <c r="G585" s="156" t="s">
        <v>2206</v>
      </c>
      <c r="H585" s="12" t="str">
        <f>OBRA!N583</f>
        <v>DOP/AD/001/2021</v>
      </c>
      <c r="I585" s="2" t="str">
        <f>OBRA!O583</f>
        <v>ADMINISTRACIÓN DIRECTA</v>
      </c>
      <c r="J585" s="3" t="str">
        <f>OBRA!P583</f>
        <v>CONSTRUCCIÓN DE AULA EN CASA DE LA CULTURA (PARA USO DE ARCHIVO MUERTO)" EN LA CABECERA MUNICIPAL DE JOCOTEPEC, JALISCO.</v>
      </c>
      <c r="K585" s="3"/>
      <c r="L585" s="3" t="s">
        <v>6241</v>
      </c>
      <c r="M585" s="3" t="s">
        <v>4114</v>
      </c>
      <c r="N585" s="3" t="s">
        <v>1975</v>
      </c>
      <c r="O585" s="3"/>
      <c r="P585" s="79">
        <f>OBRA!R583</f>
        <v>100000</v>
      </c>
      <c r="Q585" s="1023">
        <f t="shared" si="32"/>
        <v>86206.896551724145</v>
      </c>
      <c r="R585" s="1023"/>
      <c r="S585" s="67">
        <f>OBRA!S583</f>
        <v>44504</v>
      </c>
      <c r="T585" s="1134" t="str">
        <f>OBRA!V583</f>
        <v>NO APLICA</v>
      </c>
      <c r="U585" s="5">
        <f>OBRA!T583</f>
        <v>44508</v>
      </c>
      <c r="V585" s="11">
        <f>OBRA!U583</f>
        <v>44561</v>
      </c>
      <c r="W585" s="1901">
        <v>0</v>
      </c>
      <c r="X585" s="1019">
        <f>OBRA!AS583+OBRA!AT583</f>
        <v>0</v>
      </c>
      <c r="Y585" s="1018" t="s">
        <v>4163</v>
      </c>
      <c r="Z585" s="146" t="str">
        <f>OBRA!W583</f>
        <v>N/A</v>
      </c>
      <c r="AA585" s="146" t="s">
        <v>68</v>
      </c>
      <c r="AB585" s="148" t="str">
        <f>Z585</f>
        <v>N/A</v>
      </c>
      <c r="AC585" s="146" t="s">
        <v>1177</v>
      </c>
      <c r="AD585" s="2" t="s">
        <v>1177</v>
      </c>
      <c r="AE585" s="183" t="str">
        <f>OBRA!X583</f>
        <v>ARQ. JAIME CONDE GOMEZ</v>
      </c>
      <c r="AF585" s="19">
        <v>84</v>
      </c>
      <c r="AG585" s="2" t="s">
        <v>1548</v>
      </c>
      <c r="AH585" s="615">
        <f t="shared" si="39"/>
        <v>0</v>
      </c>
      <c r="AI585" s="2"/>
      <c r="AJ585" s="513"/>
      <c r="AK585" s="513"/>
      <c r="AL585" s="1522"/>
      <c r="AM585" s="1523"/>
      <c r="AN585" s="571"/>
      <c r="AO585" s="571"/>
      <c r="AP585" s="571"/>
      <c r="AQ585" s="513"/>
      <c r="AR585" s="513"/>
      <c r="AS585" s="124"/>
    </row>
    <row r="586" spans="1:45" ht="60" customHeight="1">
      <c r="A586" s="16">
        <f>OBRA!J584</f>
        <v>2021</v>
      </c>
      <c r="B586" s="1415" t="s">
        <v>3944</v>
      </c>
      <c r="C586" s="783">
        <f>OBRA!K584</f>
        <v>216002</v>
      </c>
      <c r="D586" s="1562" t="s">
        <v>551</v>
      </c>
      <c r="E586" s="412" t="str">
        <f>OBRA!M584</f>
        <v>CUENTA CORRIENTE</v>
      </c>
      <c r="F586" s="18" t="s">
        <v>1428</v>
      </c>
      <c r="G586" s="156" t="s">
        <v>2206</v>
      </c>
      <c r="H586" s="12" t="str">
        <f>OBRA!N584</f>
        <v>DOP/AD/002/2021</v>
      </c>
      <c r="I586" s="2" t="str">
        <f>OBRA!O584</f>
        <v>ADMINISTRACIÓN DIRECTA</v>
      </c>
      <c r="J586" s="3" t="str">
        <f>OBRA!P584</f>
        <v>"REHABILITACIÓN DE INMUEBLE PARA OFICINAS ADMINISTRATIVAS, ANTES ESCUELA PAULINO NAVARRO", EN LA CABECERA MUNICIPAL DE JOCOTEPEC, JALISCO.</v>
      </c>
      <c r="K586" s="3"/>
      <c r="L586" s="3" t="s">
        <v>6241</v>
      </c>
      <c r="M586" s="3" t="s">
        <v>6306</v>
      </c>
      <c r="N586" s="3" t="s">
        <v>1975</v>
      </c>
      <c r="O586" s="3"/>
      <c r="P586" s="79">
        <f>OBRA!R584</f>
        <v>400000</v>
      </c>
      <c r="Q586" s="1023">
        <f>P586/1.16</f>
        <v>344827.58620689658</v>
      </c>
      <c r="R586" s="1023"/>
      <c r="S586" s="67">
        <f>OBRA!S584</f>
        <v>44560</v>
      </c>
      <c r="T586" s="1134" t="str">
        <f>OBRA!V584</f>
        <v>NO APLICA</v>
      </c>
      <c r="U586" s="5">
        <f>OBRA!T584</f>
        <v>44561</v>
      </c>
      <c r="V586" s="11">
        <f>OBRA!U584</f>
        <v>44651</v>
      </c>
      <c r="W586" s="1901">
        <v>0</v>
      </c>
      <c r="X586" s="1019">
        <f>OBRA!AS584+OBRA!AT584</f>
        <v>0</v>
      </c>
      <c r="Y586" s="1018" t="s">
        <v>4162</v>
      </c>
      <c r="Z586" s="146" t="str">
        <f>OBRA!W584</f>
        <v>N/A</v>
      </c>
      <c r="AA586" s="146" t="s">
        <v>68</v>
      </c>
      <c r="AB586" s="148" t="str">
        <f>Z586</f>
        <v>N/A</v>
      </c>
      <c r="AC586" s="146" t="s">
        <v>1177</v>
      </c>
      <c r="AD586" s="148" t="s">
        <v>1177</v>
      </c>
      <c r="AE586" s="183" t="str">
        <f>OBRA!X584</f>
        <v>ING. J. GUADALUPE IBARRA RAMIREZ</v>
      </c>
      <c r="AF586" s="19"/>
      <c r="AG586" s="2" t="s">
        <v>1548</v>
      </c>
      <c r="AH586" s="615" t="e">
        <f t="shared" si="39"/>
        <v>#DIV/0!</v>
      </c>
      <c r="AI586" s="2"/>
      <c r="AJ586" s="513"/>
      <c r="AK586" s="513"/>
      <c r="AL586" s="1522"/>
      <c r="AM586" s="1523"/>
      <c r="AN586" s="571"/>
      <c r="AO586" s="571"/>
      <c r="AP586" s="571"/>
      <c r="AQ586" s="513"/>
      <c r="AR586" s="513"/>
      <c r="AS586" s="124"/>
    </row>
    <row r="587" spans="1:45" ht="74.25" customHeight="1">
      <c r="A587" s="16">
        <f>OBRA!J585</f>
        <v>2021</v>
      </c>
      <c r="B587" s="1415" t="s">
        <v>3944</v>
      </c>
      <c r="C587" s="783">
        <f>OBRA!K585</f>
        <v>217001</v>
      </c>
      <c r="D587" s="1562" t="s">
        <v>551</v>
      </c>
      <c r="E587" s="412" t="str">
        <f>OBRA!M585</f>
        <v>CUENTA CORRIENTE</v>
      </c>
      <c r="F587" s="18" t="s">
        <v>1428</v>
      </c>
      <c r="G587" s="38" t="s">
        <v>2861</v>
      </c>
      <c r="H587" s="33" t="str">
        <f>OBRA!N585</f>
        <v>C.P.S.P. D.O.P. 001/2021</v>
      </c>
      <c r="I587" s="2" t="str">
        <f>OBRA!O585</f>
        <v>SERVICIOS</v>
      </c>
      <c r="J587" s="3" t="str">
        <f>OBRA!P585</f>
        <v>ESTUDIO DE MECÁNICA DE SUELOS Y EL ESTUDIO DE CÁLCULO ESTRUCTURAL EN LA ESCUELA JOSÉ SANTANA, EN LA CABECERA MUNICIPAL DE JOCOTEPEC, JALISCO.</v>
      </c>
      <c r="K587" s="3" t="s">
        <v>5630</v>
      </c>
      <c r="L587" s="3"/>
      <c r="M587" s="3" t="s">
        <v>4115</v>
      </c>
      <c r="N587" s="3" t="s">
        <v>1975</v>
      </c>
      <c r="O587" s="504" t="s">
        <v>3818</v>
      </c>
      <c r="P587" s="79">
        <f>OBRA!R585</f>
        <v>42920</v>
      </c>
      <c r="Q587" s="1023">
        <f t="shared" ref="Q587:Q601" si="40">P587/1.16</f>
        <v>37000</v>
      </c>
      <c r="R587" s="79" t="s">
        <v>68</v>
      </c>
      <c r="S587" s="67">
        <f>OBRA!S585</f>
        <v>44512</v>
      </c>
      <c r="T587" s="1134" t="str">
        <f>OBRA!V585</f>
        <v>NO APLICA</v>
      </c>
      <c r="U587" s="5" t="str">
        <f>OBRA!T585</f>
        <v>-</v>
      </c>
      <c r="V587" s="11" t="str">
        <f>OBRA!U585</f>
        <v>-</v>
      </c>
      <c r="W587" s="1901">
        <v>0</v>
      </c>
      <c r="X587" s="1019">
        <f>OBRA!AS585+OBRA!AT585</f>
        <v>0</v>
      </c>
      <c r="Y587" s="1018" t="s">
        <v>1428</v>
      </c>
      <c r="Z587" s="146" t="str">
        <f>OBRA!W585</f>
        <v>ECCOC DE GUADALAJARA, S.A. DE C.V.</v>
      </c>
      <c r="AA587" s="146" t="s">
        <v>5666</v>
      </c>
      <c r="AB587" s="148" t="str">
        <f t="shared" ref="AB587:AB601" si="41">Z587</f>
        <v>ECCOC DE GUADALAJARA, S.A. DE C.V.</v>
      </c>
      <c r="AC587" s="1770" t="s">
        <v>4430</v>
      </c>
      <c r="AD587" s="1769" t="s">
        <v>6763</v>
      </c>
      <c r="AE587" s="183">
        <f>OBRA!X585</f>
        <v>0</v>
      </c>
      <c r="AF587" s="19">
        <v>1</v>
      </c>
      <c r="AG587" s="2" t="s">
        <v>6758</v>
      </c>
      <c r="AH587" s="183">
        <f t="shared" ref="AH587:AH590" si="42">P587/AF587</f>
        <v>42920</v>
      </c>
      <c r="AI587" s="2"/>
      <c r="AJ587" s="513"/>
      <c r="AK587" s="1888">
        <v>1</v>
      </c>
      <c r="AL587" s="1513"/>
      <c r="AM587" s="1514"/>
      <c r="AN587" s="504" t="s">
        <v>3818</v>
      </c>
      <c r="AO587" s="571"/>
      <c r="AP587" s="571"/>
      <c r="AQ587" s="513"/>
      <c r="AR587" s="513"/>
      <c r="AS587" s="124"/>
    </row>
    <row r="588" spans="1:45" ht="75" customHeight="1">
      <c r="A588" s="16">
        <f>OBRA!J586</f>
        <v>2021</v>
      </c>
      <c r="B588" s="783" t="s">
        <v>3944</v>
      </c>
      <c r="C588" s="783">
        <f>OBRA!K586</f>
        <v>217002</v>
      </c>
      <c r="D588" s="1561" t="s">
        <v>551</v>
      </c>
      <c r="E588" s="2" t="str">
        <f>OBRA!M586</f>
        <v>CUENTA CORRIENTE</v>
      </c>
      <c r="F588" s="18" t="s">
        <v>1428</v>
      </c>
      <c r="G588" s="38" t="s">
        <v>2861</v>
      </c>
      <c r="H588" s="412" t="str">
        <f>OBRA!N586</f>
        <v>C.P.S.P. D.O.P. 002/2021</v>
      </c>
      <c r="I588" s="2" t="str">
        <f>OBRA!O586</f>
        <v>SERVICIOS</v>
      </c>
      <c r="J588" s="3" t="str">
        <f>OBRA!P586</f>
        <v>DESLINDE DE PREDIO UBICADO EN CARRETERA JOCOTEPEC-CHAPALA, ESQUINA CALLE CRISTOBAL COLÓN, EN LA LOCALIDAD DE NEXTIPAC, DEL MUNICIPIO DE JOCOTEPEC. JALISCO.</v>
      </c>
      <c r="K588" s="3" t="s">
        <v>5631</v>
      </c>
      <c r="L588" s="3"/>
      <c r="M588" s="3" t="s">
        <v>4116</v>
      </c>
      <c r="N588" s="3" t="s">
        <v>2577</v>
      </c>
      <c r="O588" s="504" t="s">
        <v>3818</v>
      </c>
      <c r="P588" s="79">
        <f>OBRA!R586</f>
        <v>5800</v>
      </c>
      <c r="Q588" s="1023">
        <f t="shared" si="40"/>
        <v>5000</v>
      </c>
      <c r="R588" s="79" t="s">
        <v>68</v>
      </c>
      <c r="S588" s="67">
        <f>OBRA!S586</f>
        <v>44512</v>
      </c>
      <c r="T588" s="1134" t="str">
        <f>OBRA!V586</f>
        <v>NO APLICA</v>
      </c>
      <c r="U588" s="5" t="str">
        <f>OBRA!T586</f>
        <v>-</v>
      </c>
      <c r="V588" s="11" t="str">
        <f>OBRA!U586</f>
        <v>-</v>
      </c>
      <c r="W588" s="1901">
        <v>0</v>
      </c>
      <c r="X588" s="1019">
        <f>OBRA!AS586+OBRA!AT586</f>
        <v>0</v>
      </c>
      <c r="Y588" s="1018" t="s">
        <v>1428</v>
      </c>
      <c r="Z588" s="146" t="str">
        <f>OBRA!W586</f>
        <v>CARLOS MANUEL PELAYO CERVERA</v>
      </c>
      <c r="AA588" s="146" t="s">
        <v>5665</v>
      </c>
      <c r="AB588" s="148" t="s">
        <v>4218</v>
      </c>
      <c r="AC588" s="146" t="s">
        <v>6764</v>
      </c>
      <c r="AD588" s="148" t="s">
        <v>6765</v>
      </c>
      <c r="AE588" s="183">
        <f>OBRA!X586</f>
        <v>0</v>
      </c>
      <c r="AF588" s="19">
        <v>1</v>
      </c>
      <c r="AG588" s="2" t="s">
        <v>1573</v>
      </c>
      <c r="AH588" s="183">
        <f t="shared" si="42"/>
        <v>5800</v>
      </c>
      <c r="AI588" s="2"/>
      <c r="AJ588" s="513"/>
      <c r="AK588" s="1888">
        <v>1</v>
      </c>
      <c r="AL588" s="1513"/>
      <c r="AM588" s="1514"/>
      <c r="AN588" s="504" t="s">
        <v>3818</v>
      </c>
      <c r="AO588" s="571"/>
      <c r="AP588" s="571"/>
      <c r="AQ588" s="513"/>
      <c r="AR588" s="513"/>
      <c r="AS588" s="18"/>
    </row>
    <row r="589" spans="1:45" ht="193.5" customHeight="1">
      <c r="A589" s="16">
        <f>OBRA!J587</f>
        <v>2021</v>
      </c>
      <c r="B589" s="783" t="s">
        <v>3944</v>
      </c>
      <c r="C589" s="783">
        <f>OBRA!K587</f>
        <v>217003</v>
      </c>
      <c r="D589" s="783" t="s">
        <v>551</v>
      </c>
      <c r="E589" s="2" t="str">
        <f>OBRA!M587</f>
        <v>CUENTA CORRIENTE</v>
      </c>
      <c r="F589" s="18" t="s">
        <v>1428</v>
      </c>
      <c r="G589" s="38" t="s">
        <v>2861</v>
      </c>
      <c r="H589" s="412" t="str">
        <f>OBRA!N587</f>
        <v>C.P.S.P. D.O.P. 003/2021</v>
      </c>
      <c r="I589" s="2" t="str">
        <f>OBRA!O587</f>
        <v>SERVICIOS</v>
      </c>
      <c r="J589"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5629</v>
      </c>
      <c r="L589" s="3"/>
      <c r="M589" s="3" t="s">
        <v>4117</v>
      </c>
      <c r="N589" s="3" t="s">
        <v>2512</v>
      </c>
      <c r="O589" s="504" t="s">
        <v>3818</v>
      </c>
      <c r="P589" s="79">
        <f>OBRA!R587</f>
        <v>34800</v>
      </c>
      <c r="Q589" s="1023">
        <f t="shared" si="40"/>
        <v>30000.000000000004</v>
      </c>
      <c r="R589" s="79" t="s">
        <v>68</v>
      </c>
      <c r="S589" s="67">
        <f>OBRA!S587</f>
        <v>44515</v>
      </c>
      <c r="T589" s="1134" t="str">
        <f>OBRA!V587</f>
        <v>NO APLICA</v>
      </c>
      <c r="U589" s="5" t="str">
        <f>OBRA!T587</f>
        <v>-</v>
      </c>
      <c r="V589" s="11" t="str">
        <f>OBRA!U587</f>
        <v>-</v>
      </c>
      <c r="W589" s="1901">
        <v>0</v>
      </c>
      <c r="X589" s="1019">
        <f>OBRA!AS587+OBRA!AT587</f>
        <v>0</v>
      </c>
      <c r="Y589" s="1018" t="s">
        <v>1428</v>
      </c>
      <c r="Z589" s="146" t="str">
        <f>OBRA!W587</f>
        <v>ING. SERGIO CABRERA</v>
      </c>
      <c r="AA589" s="146" t="s">
        <v>5665</v>
      </c>
      <c r="AB589" s="148" t="str">
        <f t="shared" si="41"/>
        <v>ING. SERGIO CABRERA</v>
      </c>
      <c r="AC589" s="146" t="s">
        <v>1922</v>
      </c>
      <c r="AD589" s="148" t="s">
        <v>4429</v>
      </c>
      <c r="AE589" s="183">
        <f>OBRA!X587</f>
        <v>0</v>
      </c>
      <c r="AF589" s="19">
        <v>1</v>
      </c>
      <c r="AG589" s="2" t="s">
        <v>6411</v>
      </c>
      <c r="AH589" s="183">
        <f t="shared" si="42"/>
        <v>34800</v>
      </c>
      <c r="AI589" s="2"/>
      <c r="AJ589" s="513"/>
      <c r="AK589" s="1888">
        <v>1</v>
      </c>
      <c r="AL589" s="1513"/>
      <c r="AM589" s="1514"/>
      <c r="AN589" s="504" t="s">
        <v>3818</v>
      </c>
      <c r="AO589" s="571"/>
      <c r="AP589" s="571" t="s">
        <v>4481</v>
      </c>
      <c r="AQ589" s="513"/>
      <c r="AR589" s="513"/>
      <c r="AS589" s="18"/>
    </row>
    <row r="590" spans="1:45" ht="96.75" customHeight="1">
      <c r="A590" s="16">
        <f>OBRA!J588</f>
        <v>2021</v>
      </c>
      <c r="B590" s="783" t="s">
        <v>3944</v>
      </c>
      <c r="C590" s="783">
        <f>OBRA!K588</f>
        <v>217004</v>
      </c>
      <c r="D590" s="783" t="s">
        <v>551</v>
      </c>
      <c r="E590" s="2" t="str">
        <f>OBRA!M588</f>
        <v>CUENTA CORRIENTE</v>
      </c>
      <c r="F590" s="18" t="s">
        <v>1428</v>
      </c>
      <c r="G590" s="38" t="s">
        <v>2861</v>
      </c>
      <c r="H590" s="412" t="str">
        <f>OBRA!N588</f>
        <v>C.P.S.P. D.O.P. 004/2021</v>
      </c>
      <c r="I590" s="2" t="str">
        <f>OBRA!O588</f>
        <v>SERVICIOS</v>
      </c>
      <c r="J590" s="3" t="str">
        <f>OBRA!P588</f>
        <v>"LOS ANTEPROYECTOS Y PROYECTOS EJECUTIVOS DE LAS LÍNEAS POR BOPMBEO Y POR GRAVEDAD DEL POZO ALLENDE AL TANQUE DE ALMACENAMIENTO, EN LA CABECERA MUNICIPAL DE JOCOTEPEC, JALISCO.</v>
      </c>
      <c r="K590" s="3" t="s">
        <v>5632</v>
      </c>
      <c r="L590" s="3"/>
      <c r="M590" s="3" t="s">
        <v>4118</v>
      </c>
      <c r="N590" s="3" t="s">
        <v>1975</v>
      </c>
      <c r="O590" s="504" t="s">
        <v>3818</v>
      </c>
      <c r="P590" s="79">
        <f>OBRA!R588</f>
        <v>28999.999999999996</v>
      </c>
      <c r="Q590" s="1023">
        <f t="shared" si="40"/>
        <v>25000</v>
      </c>
      <c r="R590" s="79" t="s">
        <v>68</v>
      </c>
      <c r="S590" s="67">
        <f>OBRA!S588</f>
        <v>44533</v>
      </c>
      <c r="T590" s="1134" t="str">
        <f>OBRA!V588</f>
        <v>NO APLICA</v>
      </c>
      <c r="U590" s="5">
        <f>OBRA!T588</f>
        <v>44543</v>
      </c>
      <c r="V590" s="11">
        <f>OBRA!U588</f>
        <v>44546</v>
      </c>
      <c r="W590" s="1901">
        <v>0</v>
      </c>
      <c r="X590" s="1019">
        <f>OBRA!AS588+OBRA!AT588</f>
        <v>0</v>
      </c>
      <c r="Y590" s="1018" t="s">
        <v>1428</v>
      </c>
      <c r="Z590" s="146" t="str">
        <f>OBRA!W588</f>
        <v xml:space="preserve">SERVICIOS Y CONSTRUCCIONES NATENIO, S.A. DE C.V. </v>
      </c>
      <c r="AA590" s="146" t="s">
        <v>5666</v>
      </c>
      <c r="AB590" s="148" t="s">
        <v>2805</v>
      </c>
      <c r="AC590" s="146" t="s">
        <v>2806</v>
      </c>
      <c r="AD590" s="148" t="s">
        <v>6766</v>
      </c>
      <c r="AE590" s="183">
        <f>OBRA!X588</f>
        <v>0</v>
      </c>
      <c r="AF590" s="19">
        <v>1</v>
      </c>
      <c r="AG590" s="2" t="s">
        <v>1573</v>
      </c>
      <c r="AH590" s="183">
        <f t="shared" si="42"/>
        <v>28999.999999999996</v>
      </c>
      <c r="AI590" s="2"/>
      <c r="AJ590" s="513"/>
      <c r="AK590" s="1888">
        <v>1</v>
      </c>
      <c r="AL590" s="1513"/>
      <c r="AM590" s="1514"/>
      <c r="AN590" s="504" t="s">
        <v>3818</v>
      </c>
      <c r="AO590" s="571"/>
      <c r="AP590" s="571"/>
      <c r="AQ590" s="513"/>
      <c r="AR590" s="513"/>
      <c r="AS590" s="18"/>
    </row>
    <row r="591" spans="1:45" s="1050" customFormat="1" ht="15" hidden="1" customHeight="1">
      <c r="A591" s="532">
        <f>OBRA!J589</f>
        <v>2021</v>
      </c>
      <c r="B591" s="1490" t="s">
        <v>3944</v>
      </c>
      <c r="C591" s="783">
        <f>OBRA!K589</f>
        <v>218001</v>
      </c>
      <c r="D591" s="1490" t="s">
        <v>551</v>
      </c>
      <c r="E591" s="186">
        <f>OBRA!M589</f>
        <v>0</v>
      </c>
      <c r="F591" s="1464"/>
      <c r="G591" s="577"/>
      <c r="H591" s="1473" t="str">
        <f>OBRA!N589</f>
        <v>GMJ 001C- OP/2021</v>
      </c>
      <c r="I591" s="186" t="str">
        <f>OBRA!O589</f>
        <v>CANCELADA</v>
      </c>
      <c r="J591" s="106">
        <f>OBRA!P589</f>
        <v>0</v>
      </c>
      <c r="K591" s="106"/>
      <c r="L591" s="106"/>
      <c r="M591" s="106" t="s">
        <v>68</v>
      </c>
      <c r="N591" s="106" t="s">
        <v>68</v>
      </c>
      <c r="O591" s="106"/>
      <c r="P591" s="1064">
        <f>OBRA!R589</f>
        <v>0</v>
      </c>
      <c r="Q591" s="1064">
        <f t="shared" si="40"/>
        <v>0</v>
      </c>
      <c r="R591" s="1064"/>
      <c r="S591" s="1463">
        <f>OBRA!S589</f>
        <v>0</v>
      </c>
      <c r="T591" s="1492">
        <f>OBRA!V589</f>
        <v>0</v>
      </c>
      <c r="U591" s="1071">
        <f>OBRA!T589</f>
        <v>0</v>
      </c>
      <c r="V591" s="1077">
        <f>OBRA!U589</f>
        <v>0</v>
      </c>
      <c r="W591" s="1528"/>
      <c r="X591" s="1494">
        <f>OBRA!AS589+OBRA!AT589</f>
        <v>0</v>
      </c>
      <c r="Y591" s="1495"/>
      <c r="Z591" s="1496" t="str">
        <f>OBRA!W589</f>
        <v xml:space="preserve">ING. SERGIO CABRERA </v>
      </c>
      <c r="AA591" s="1496" t="s">
        <v>5665</v>
      </c>
      <c r="AB591" s="1502" t="str">
        <f t="shared" si="41"/>
        <v xml:space="preserve">ING. SERGIO CABRERA </v>
      </c>
      <c r="AC591" s="1496"/>
      <c r="AD591" s="1502"/>
      <c r="AE591" s="1497" t="str">
        <f>OBRA!X589</f>
        <v>ING. J. GUADALUPE IBARRA RAMIREZ</v>
      </c>
      <c r="AF591" s="829"/>
      <c r="AG591" s="186"/>
      <c r="AH591" s="1497" t="e">
        <f t="shared" si="39"/>
        <v>#DIV/0!</v>
      </c>
      <c r="AI591" s="186"/>
      <c r="AJ591" s="516"/>
      <c r="AK591" s="516"/>
      <c r="AL591" s="1520"/>
      <c r="AM591" s="1521"/>
      <c r="AN591" s="1503"/>
      <c r="AO591" s="1503"/>
      <c r="AP591" s="1503"/>
      <c r="AQ591" s="516"/>
      <c r="AR591" s="516"/>
      <c r="AS591" s="1464"/>
    </row>
    <row r="592" spans="1:45" ht="69.75" customHeight="1">
      <c r="A592" s="16">
        <f>OBRA!J590</f>
        <v>2021</v>
      </c>
      <c r="B592" s="783" t="s">
        <v>3944</v>
      </c>
      <c r="C592" s="783">
        <f>OBRA!K590</f>
        <v>218002</v>
      </c>
      <c r="D592" s="783" t="s">
        <v>551</v>
      </c>
      <c r="E592" s="2" t="str">
        <f>OBRA!M590</f>
        <v>CUENTA CORRIENTE</v>
      </c>
      <c r="F592" s="18" t="s">
        <v>1428</v>
      </c>
      <c r="G592" s="38" t="s">
        <v>2206</v>
      </c>
      <c r="H592" s="12" t="str">
        <f>OBRA!N590</f>
        <v>GMJ 002C- OP/2021</v>
      </c>
      <c r="I592" s="2" t="str">
        <f>OBRA!O590</f>
        <v>ADJUDICACIÓN DIRECTA</v>
      </c>
      <c r="J592" s="3" t="str">
        <f>OBRA!P590</f>
        <v>"REHABILITACIÓN DE LÍNEA DE AGUA POTABLE Y LÍNEA DRENAJE EN CALLE LIBERTAD" EN LA DELEGACIÓN DE POTRERILLOS, DEL MUNICIPIO DE JOCOTEPEC, JALISCO.</v>
      </c>
      <c r="K592" s="3"/>
      <c r="L592" s="3" t="s">
        <v>6249</v>
      </c>
      <c r="M592" s="3" t="s">
        <v>4088</v>
      </c>
      <c r="N592" s="3" t="s">
        <v>2515</v>
      </c>
      <c r="O592" s="504" t="s">
        <v>3798</v>
      </c>
      <c r="P592" s="79">
        <f>OBRA!R590</f>
        <v>715198.43</v>
      </c>
      <c r="Q592" s="1023">
        <f t="shared" si="40"/>
        <v>616550.3706896553</v>
      </c>
      <c r="R592" s="1023"/>
      <c r="S592" s="67">
        <f>OBRA!S590</f>
        <v>44504</v>
      </c>
      <c r="T592" s="1134">
        <f>OBRA!V590</f>
        <v>44504</v>
      </c>
      <c r="U592" s="5">
        <f>OBRA!T590</f>
        <v>44508</v>
      </c>
      <c r="V592" s="11">
        <f>OBRA!U590</f>
        <v>44548</v>
      </c>
      <c r="W592" s="1901">
        <v>0</v>
      </c>
      <c r="X592" s="1019">
        <f>OBRA!AS590+OBRA!AT590</f>
        <v>0</v>
      </c>
      <c r="Y592" s="1089" t="s">
        <v>4164</v>
      </c>
      <c r="Z592" s="146" t="str">
        <f>OBRA!W590</f>
        <v>ING. SERGIO CABRERA</v>
      </c>
      <c r="AA592" s="146" t="s">
        <v>5665</v>
      </c>
      <c r="AB592" s="148" t="str">
        <f t="shared" si="41"/>
        <v>ING. SERGIO CABRERA</v>
      </c>
      <c r="AC592" s="146" t="s">
        <v>1922</v>
      </c>
      <c r="AD592" s="148" t="s">
        <v>4203</v>
      </c>
      <c r="AE592" s="183" t="str">
        <f>OBRA!X590</f>
        <v>ING. J. GUADALUPE IBARRA RAMIREZ</v>
      </c>
      <c r="AF592" s="19">
        <v>216</v>
      </c>
      <c r="AG592" s="2" t="s">
        <v>1451</v>
      </c>
      <c r="AH592" s="615">
        <f t="shared" si="39"/>
        <v>0</v>
      </c>
      <c r="AI592" s="2"/>
      <c r="AJ592" s="513"/>
      <c r="AK592" s="513"/>
      <c r="AL592" s="1522">
        <v>20.339117999999999</v>
      </c>
      <c r="AM592" s="1523">
        <v>103.37781699999999</v>
      </c>
      <c r="AN592" s="504" t="s">
        <v>3798</v>
      </c>
      <c r="AO592" s="571"/>
      <c r="AP592" s="571"/>
      <c r="AQ592" s="513"/>
      <c r="AR592" s="513"/>
      <c r="AS592" s="18"/>
    </row>
    <row r="593" spans="1:45" ht="110.25" customHeight="1">
      <c r="A593" s="16">
        <f>OBRA!J591</f>
        <v>2021</v>
      </c>
      <c r="B593" s="783" t="s">
        <v>3944</v>
      </c>
      <c r="C593" s="783">
        <f>OBRA!K591</f>
        <v>218003</v>
      </c>
      <c r="D593" s="783" t="s">
        <v>551</v>
      </c>
      <c r="E593" s="2" t="str">
        <f>OBRA!M591</f>
        <v>RAMO 33</v>
      </c>
      <c r="F593" s="18" t="s">
        <v>1428</v>
      </c>
      <c r="G593" s="156" t="s">
        <v>2206</v>
      </c>
      <c r="H593" s="12" t="str">
        <f>OBRA!N591</f>
        <v>GMJ 003C- OP/2021</v>
      </c>
      <c r="I593" s="2" t="str">
        <f>OBRA!O591</f>
        <v>ADJUDICACIÓN DIRECTA</v>
      </c>
      <c r="J593" s="3" t="str">
        <f>OBRA!P591</f>
        <v>"REHABILITACIÓN DE LÍNEA DE AGUA POTABLE EN CALLE GUADALUPE VICTORIA ENTRE CARRETERA Y C. LA PAZ, Y EN C. LA PAZ DE CALLE GUADALUPE VICTORIA AL CADENAMIENTO 0+516.00"EN LA DELEGACIÓN DE SAN JUAN COSALÁ, DEL MUNICIPIO DE JOCOTEPEC, JALISCO.</v>
      </c>
      <c r="K593" s="1175" t="s">
        <v>4202</v>
      </c>
      <c r="L593" s="1175" t="s">
        <v>4745</v>
      </c>
      <c r="M593" s="3" t="s">
        <v>4119</v>
      </c>
      <c r="N593" s="3" t="s">
        <v>2524</v>
      </c>
      <c r="O593" s="504" t="s">
        <v>3798</v>
      </c>
      <c r="P593" s="79">
        <f>OBRA!R591</f>
        <v>347130.34</v>
      </c>
      <c r="Q593" s="1023">
        <f t="shared" si="40"/>
        <v>299250.29310344829</v>
      </c>
      <c r="R593" s="1023"/>
      <c r="S593" s="67">
        <f>OBRA!S591</f>
        <v>44522</v>
      </c>
      <c r="T593" s="1134">
        <f>OBRA!V591</f>
        <v>44518</v>
      </c>
      <c r="U593" s="5">
        <f>OBRA!T591</f>
        <v>44523</v>
      </c>
      <c r="V593" s="11">
        <f>OBRA!U591</f>
        <v>44560</v>
      </c>
      <c r="W593" s="1901">
        <v>0</v>
      </c>
      <c r="X593" s="1019">
        <f>OBRA!AS591+OBRA!AT591</f>
        <v>347130.34</v>
      </c>
      <c r="Y593" s="1089" t="s">
        <v>4165</v>
      </c>
      <c r="Z593" s="146" t="str">
        <f>OBRA!W591</f>
        <v>ING. SERGIO CABRERA</v>
      </c>
      <c r="AA593" s="146" t="s">
        <v>5665</v>
      </c>
      <c r="AB593" s="148" t="s">
        <v>739</v>
      </c>
      <c r="AC593" s="146" t="s">
        <v>1922</v>
      </c>
      <c r="AD593" s="148" t="s">
        <v>4203</v>
      </c>
      <c r="AE593" s="183" t="str">
        <f>OBRA!X591</f>
        <v>ING. J. GUADALUPE IBARRA RAMIREZ</v>
      </c>
      <c r="AF593" s="19">
        <v>436</v>
      </c>
      <c r="AG593" s="2" t="s">
        <v>1451</v>
      </c>
      <c r="AH593" s="615">
        <f t="shared" ref="AH593:AH624" si="43">X593/AF593</f>
        <v>796.17050458715607</v>
      </c>
      <c r="AI593" s="2">
        <v>550</v>
      </c>
      <c r="AJ593" s="513">
        <v>4000</v>
      </c>
      <c r="AK593" s="513"/>
      <c r="AL593" s="1522">
        <v>20.289048000000001</v>
      </c>
      <c r="AM593" s="1523">
        <v>103.34877899999999</v>
      </c>
      <c r="AN593" s="571" t="s">
        <v>4204</v>
      </c>
      <c r="AO593" s="571"/>
      <c r="AP593" s="571" t="s">
        <v>4204</v>
      </c>
      <c r="AQ593" s="501" t="s">
        <v>4204</v>
      </c>
      <c r="AR593" s="501"/>
      <c r="AS593" s="704" t="s">
        <v>4204</v>
      </c>
    </row>
    <row r="594" spans="1:45" ht="117" customHeight="1">
      <c r="A594" s="16">
        <f>OBRA!J592</f>
        <v>2021</v>
      </c>
      <c r="B594" s="783" t="s">
        <v>3944</v>
      </c>
      <c r="C594" s="783">
        <f>OBRA!K592</f>
        <v>218004</v>
      </c>
      <c r="D594" s="783" t="s">
        <v>551</v>
      </c>
      <c r="E594" s="2" t="str">
        <f>OBRA!M592</f>
        <v>RAMO 33</v>
      </c>
      <c r="F594" s="18" t="s">
        <v>1428</v>
      </c>
      <c r="G594" s="156" t="s">
        <v>2206</v>
      </c>
      <c r="H594" s="12" t="str">
        <f>OBRA!N592</f>
        <v>GMJ 004C- OP/2021</v>
      </c>
      <c r="I594" s="2" t="str">
        <f>OBRA!O592</f>
        <v>ADJUDICACIÓN DIRECTA</v>
      </c>
      <c r="J594"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75" t="s">
        <v>4201</v>
      </c>
      <c r="L594" s="1175" t="s">
        <v>4747</v>
      </c>
      <c r="M594" s="3" t="s">
        <v>4119</v>
      </c>
      <c r="N594" s="3" t="s">
        <v>2524</v>
      </c>
      <c r="O594" s="504" t="s">
        <v>3798</v>
      </c>
      <c r="P594" s="79">
        <f>OBRA!R592</f>
        <v>791064.19</v>
      </c>
      <c r="Q594" s="1023">
        <f t="shared" si="40"/>
        <v>681951.88793103443</v>
      </c>
      <c r="R594" s="1023"/>
      <c r="S594" s="67">
        <f>OBRA!S592</f>
        <v>44522</v>
      </c>
      <c r="T594" s="1134">
        <f>OBRA!V592</f>
        <v>44518</v>
      </c>
      <c r="U594" s="5">
        <f>OBRA!T592</f>
        <v>44523</v>
      </c>
      <c r="V594" s="11">
        <f>OBRA!U592</f>
        <v>44530</v>
      </c>
      <c r="W594" s="1901">
        <v>0</v>
      </c>
      <c r="X594" s="1019">
        <f>OBRA!AS592+OBRA!AT592</f>
        <v>791064.19</v>
      </c>
      <c r="Y594" s="1089" t="s">
        <v>4166</v>
      </c>
      <c r="Z594" s="146" t="str">
        <f>OBRA!W592</f>
        <v>ING. SERGIO CABRERA</v>
      </c>
      <c r="AA594" s="146" t="s">
        <v>5665</v>
      </c>
      <c r="AB594" s="148" t="s">
        <v>739</v>
      </c>
      <c r="AC594" s="146" t="s">
        <v>1922</v>
      </c>
      <c r="AD594" s="148" t="s">
        <v>4203</v>
      </c>
      <c r="AE594" s="183" t="str">
        <f>OBRA!X592</f>
        <v>ING. J. GUADALUPE IBARRA RAMIREZ</v>
      </c>
      <c r="AF594" s="19">
        <v>510.53</v>
      </c>
      <c r="AG594" s="2" t="s">
        <v>1451</v>
      </c>
      <c r="AH594" s="615">
        <f t="shared" si="43"/>
        <v>1549.4959943588035</v>
      </c>
      <c r="AI594" s="2">
        <v>550</v>
      </c>
      <c r="AJ594" s="513">
        <v>4000</v>
      </c>
      <c r="AK594" s="513"/>
      <c r="AL594" s="1522">
        <v>20.289048000000001</v>
      </c>
      <c r="AM594" s="1523">
        <v>103.34877899999999</v>
      </c>
      <c r="AN594" s="571" t="s">
        <v>4207</v>
      </c>
      <c r="AO594" s="571" t="s">
        <v>4207</v>
      </c>
      <c r="AP594" s="571" t="s">
        <v>4207</v>
      </c>
      <c r="AQ594" s="501" t="s">
        <v>4207</v>
      </c>
      <c r="AR594" s="501"/>
      <c r="AS594" s="704" t="s">
        <v>4208</v>
      </c>
    </row>
    <row r="595" spans="1:45" ht="64.5" customHeight="1">
      <c r="A595" s="16">
        <f>OBRA!J593</f>
        <v>2021</v>
      </c>
      <c r="B595" s="783" t="s">
        <v>3944</v>
      </c>
      <c r="C595" s="783">
        <f>OBRA!K593</f>
        <v>218005</v>
      </c>
      <c r="D595" s="783" t="s">
        <v>551</v>
      </c>
      <c r="E595" s="2" t="str">
        <f>OBRA!M593</f>
        <v>RAMO 33</v>
      </c>
      <c r="F595" s="18" t="s">
        <v>1428</v>
      </c>
      <c r="G595" s="156" t="s">
        <v>2206</v>
      </c>
      <c r="H595" s="12" t="str">
        <f>OBRA!N593</f>
        <v>GMJ 005C- OP/2021</v>
      </c>
      <c r="I595" s="2" t="str">
        <f>OBRA!O593</f>
        <v>ADJUDICACIÓN DIRECTA</v>
      </c>
      <c r="J595" s="3" t="str">
        <f>OBRA!P593</f>
        <v>"CONSTRUCCIÓN DE BANQUETAS EN CALLE LAZARO CÁRDENAS ENTRE C. VERANO Y C. INVIERNO" EN LA CABECERA MUNICIPAL DE JOCOTEPEC, JALISCO.</v>
      </c>
      <c r="K595" s="1175" t="s">
        <v>4209</v>
      </c>
      <c r="L595" s="1175" t="s">
        <v>4748</v>
      </c>
      <c r="M595" s="3" t="s">
        <v>4120</v>
      </c>
      <c r="N595" s="3" t="s">
        <v>1975</v>
      </c>
      <c r="O595" s="504" t="s">
        <v>3798</v>
      </c>
      <c r="P595" s="79">
        <f>OBRA!R593</f>
        <v>100144.26</v>
      </c>
      <c r="Q595" s="1023">
        <f t="shared" si="40"/>
        <v>86331.258620689652</v>
      </c>
      <c r="R595" s="1023"/>
      <c r="S595" s="67">
        <f>OBRA!S593</f>
        <v>44522</v>
      </c>
      <c r="T595" s="1134">
        <f>OBRA!V593</f>
        <v>44522</v>
      </c>
      <c r="U595" s="5">
        <f>OBRA!T593</f>
        <v>44524</v>
      </c>
      <c r="V595" s="11">
        <f>OBRA!U593</f>
        <v>44558</v>
      </c>
      <c r="W595" s="1901">
        <v>0</v>
      </c>
      <c r="X595" s="1019">
        <f>OBRA!AS593+OBRA!AT593</f>
        <v>100144.26</v>
      </c>
      <c r="Y595" s="1089" t="s">
        <v>4167</v>
      </c>
      <c r="Z595" s="146" t="str">
        <f>OBRA!W593</f>
        <v>PLANOS Y OBRAS LODEIRO S.A. DE C.V.</v>
      </c>
      <c r="AA595" s="146" t="s">
        <v>5666</v>
      </c>
      <c r="AB595" s="148" t="s">
        <v>3466</v>
      </c>
      <c r="AC595" s="146" t="s">
        <v>3349</v>
      </c>
      <c r="AD595" s="148" t="s">
        <v>3350</v>
      </c>
      <c r="AE595" s="183" t="str">
        <f>OBRA!X593</f>
        <v>ING. J. GUADALUPE IBARRA RAMIREZ</v>
      </c>
      <c r="AF595" s="19">
        <v>155.30000000000001</v>
      </c>
      <c r="AG595" s="2" t="s">
        <v>1548</v>
      </c>
      <c r="AH595" s="615">
        <f t="shared" si="43"/>
        <v>644.84391500321954</v>
      </c>
      <c r="AI595" s="2">
        <v>100</v>
      </c>
      <c r="AJ595" s="513">
        <v>5000</v>
      </c>
      <c r="AK595" s="513"/>
      <c r="AL595" s="1522">
        <v>20.292034999999998</v>
      </c>
      <c r="AM595" s="1523">
        <v>103.43631999999999</v>
      </c>
      <c r="AN595" s="571" t="s">
        <v>4210</v>
      </c>
      <c r="AO595" s="571" t="s">
        <v>4280</v>
      </c>
      <c r="AP595" s="571" t="s">
        <v>4210</v>
      </c>
      <c r="AQ595" s="501" t="s">
        <v>4210</v>
      </c>
      <c r="AR595" s="501"/>
      <c r="AS595" s="704" t="s">
        <v>4210</v>
      </c>
    </row>
    <row r="596" spans="1:45" ht="84" customHeight="1">
      <c r="A596" s="16">
        <f>OBRA!J594</f>
        <v>2021</v>
      </c>
      <c r="B596" s="783" t="s">
        <v>3944</v>
      </c>
      <c r="C596" s="783">
        <f>OBRA!K594</f>
        <v>218006</v>
      </c>
      <c r="D596" s="783" t="s">
        <v>551</v>
      </c>
      <c r="E596" s="2" t="str">
        <f>OBRA!M594</f>
        <v>RAMO 33</v>
      </c>
      <c r="F596" s="18" t="s">
        <v>1428</v>
      </c>
      <c r="G596" s="156" t="s">
        <v>2206</v>
      </c>
      <c r="H596" s="12" t="str">
        <f>OBRA!N594</f>
        <v>GMJ 006C- OP/2021</v>
      </c>
      <c r="I596" s="2" t="str">
        <f>OBRA!O594</f>
        <v>ADJUDICACIÓN DIRECTA</v>
      </c>
      <c r="J596" s="3" t="str">
        <f>OBRA!P594</f>
        <v>"REHABILITACIÓN DE LÍNEA ALIMENTADORA DE AGUA POTABLE DE 6" EN C. LA PAZ ENTRE C. HIDALGO Y C. TACUBA" EN LA DELEGACIÓN DE SAN JUAN COSALÁ, DEL MUNICIPIO DE JOCOTEPEC, JALISCO.</v>
      </c>
      <c r="K596" s="1175" t="s">
        <v>4211</v>
      </c>
      <c r="L596" s="1175" t="s">
        <v>4745</v>
      </c>
      <c r="M596" s="3" t="s">
        <v>4121</v>
      </c>
      <c r="N596" s="3" t="s">
        <v>2524</v>
      </c>
      <c r="O596" s="504" t="s">
        <v>3798</v>
      </c>
      <c r="P596" s="79">
        <f>OBRA!R594</f>
        <v>252763.45</v>
      </c>
      <c r="Q596" s="1023">
        <f t="shared" si="40"/>
        <v>217899.52586206899</v>
      </c>
      <c r="R596" s="1023"/>
      <c r="S596" s="67">
        <f>OBRA!S594</f>
        <v>44522</v>
      </c>
      <c r="T596" s="1134">
        <f>OBRA!V594</f>
        <v>44522</v>
      </c>
      <c r="U596" s="5">
        <f>OBRA!T594</f>
        <v>44523</v>
      </c>
      <c r="V596" s="11">
        <f>OBRA!U594</f>
        <v>44559</v>
      </c>
      <c r="W596" s="1901">
        <v>0</v>
      </c>
      <c r="X596" s="1019">
        <f>OBRA!AS594+OBRA!AT594</f>
        <v>252763.45</v>
      </c>
      <c r="Y596" s="1089" t="s">
        <v>4168</v>
      </c>
      <c r="Z596" s="146" t="str">
        <f>OBRA!W594</f>
        <v>ING. SERGIO CABRERA</v>
      </c>
      <c r="AA596" s="146" t="s">
        <v>5665</v>
      </c>
      <c r="AB596" s="148" t="s">
        <v>739</v>
      </c>
      <c r="AC596" s="146" t="s">
        <v>1922</v>
      </c>
      <c r="AD596" s="148" t="s">
        <v>4203</v>
      </c>
      <c r="AE596" s="183" t="str">
        <f>OBRA!X594</f>
        <v>ING. J. GUADALUPE IBARRA RAMIREZ</v>
      </c>
      <c r="AF596" s="19">
        <v>160</v>
      </c>
      <c r="AG596" s="2" t="s">
        <v>1451</v>
      </c>
      <c r="AH596" s="615">
        <f t="shared" si="43"/>
        <v>1579.7715625000001</v>
      </c>
      <c r="AI596" s="2">
        <v>8000</v>
      </c>
      <c r="AJ596" s="513">
        <v>8000</v>
      </c>
      <c r="AK596" s="513"/>
      <c r="AL596" s="1522">
        <v>20.287679000000001</v>
      </c>
      <c r="AM596" s="1523">
        <v>103.344832</v>
      </c>
      <c r="AN596" s="571" t="s">
        <v>4212</v>
      </c>
      <c r="AO596" s="571" t="s">
        <v>4212</v>
      </c>
      <c r="AP596" s="571" t="s">
        <v>4212</v>
      </c>
      <c r="AQ596" s="501" t="s">
        <v>4213</v>
      </c>
      <c r="AR596" s="501"/>
      <c r="AS596" s="704" t="s">
        <v>4213</v>
      </c>
    </row>
    <row r="597" spans="1:45" ht="109.5" customHeight="1">
      <c r="A597" s="16">
        <f>OBRA!J595</f>
        <v>2021</v>
      </c>
      <c r="B597" s="783" t="s">
        <v>3944</v>
      </c>
      <c r="C597" s="783">
        <f>OBRA!K595</f>
        <v>218007</v>
      </c>
      <c r="D597" s="783" t="s">
        <v>551</v>
      </c>
      <c r="E597" s="2" t="str">
        <f>OBRA!M595</f>
        <v>CUENTA CORRIENTE</v>
      </c>
      <c r="F597" s="18" t="s">
        <v>1428</v>
      </c>
      <c r="G597" s="156" t="s">
        <v>2206</v>
      </c>
      <c r="H597" s="12" t="str">
        <f>OBRA!N595</f>
        <v>GMJ 007C- OP/2021</v>
      </c>
      <c r="I597" s="2" t="str">
        <f>OBRA!O595</f>
        <v>ADJUDICACIÓN DIRECTA</v>
      </c>
      <c r="J597" s="3" t="str">
        <f>OBRA!P595</f>
        <v>"REHABILITACIÓN DE LÍNEA DE AGUA POTABLE EN LA CALLE RIVERA DEL LAGO ENTRE CALLE MORELOS Y LA CALLE GUAYABITOS" EN LA DELEGACIÓN DE CHANTEPEC, DEL MUNICIPIO DE JOCOTEPEC, JALISCO</v>
      </c>
      <c r="K597" s="1175" t="s">
        <v>4279</v>
      </c>
      <c r="L597" s="1175" t="s">
        <v>4745</v>
      </c>
      <c r="M597" s="3" t="s">
        <v>6270</v>
      </c>
      <c r="N597" s="3" t="s">
        <v>2538</v>
      </c>
      <c r="O597" s="504" t="s">
        <v>3798</v>
      </c>
      <c r="P597" s="79">
        <f>OBRA!R595</f>
        <v>360015.52</v>
      </c>
      <c r="Q597" s="1023">
        <f t="shared" si="40"/>
        <v>310358.20689655177</v>
      </c>
      <c r="R597" s="1023"/>
      <c r="S597" s="67">
        <f>OBRA!S595</f>
        <v>44560</v>
      </c>
      <c r="T597" s="1134">
        <f>OBRA!V595</f>
        <v>44560</v>
      </c>
      <c r="U597" s="5">
        <f>OBRA!T595</f>
        <v>44560</v>
      </c>
      <c r="V597" s="11">
        <f>OBRA!U595</f>
        <v>44569</v>
      </c>
      <c r="W597" s="1901">
        <v>0</v>
      </c>
      <c r="X597" s="1019">
        <f>OBRA!AS595+OBRA!AT595</f>
        <v>347130.35</v>
      </c>
      <c r="Y597" s="1089" t="s">
        <v>4169</v>
      </c>
      <c r="Z597" s="146" t="str">
        <f>OBRA!W595</f>
        <v>ING. SERGIO CABRERA</v>
      </c>
      <c r="AA597" s="146" t="s">
        <v>5665</v>
      </c>
      <c r="AB597" s="148" t="str">
        <f t="shared" si="41"/>
        <v>ING. SERGIO CABRERA</v>
      </c>
      <c r="AC597" s="146" t="s">
        <v>1922</v>
      </c>
      <c r="AD597" s="148" t="s">
        <v>4282</v>
      </c>
      <c r="AE597" s="183" t="str">
        <f>OBRA!X595</f>
        <v>C. DANIEL RODRIGUEZ VALENZUELA</v>
      </c>
      <c r="AF597" s="19">
        <v>324.42</v>
      </c>
      <c r="AG597" s="2" t="s">
        <v>1451</v>
      </c>
      <c r="AH597" s="615">
        <f t="shared" si="43"/>
        <v>1070.0029283028173</v>
      </c>
      <c r="AI597" s="2">
        <v>200</v>
      </c>
      <c r="AJ597" s="513">
        <v>1000</v>
      </c>
      <c r="AK597" s="513"/>
      <c r="AL597" s="1522">
        <v>20.288636</v>
      </c>
      <c r="AM597" s="1523">
        <v>103.413993</v>
      </c>
      <c r="AN597" s="571" t="s">
        <v>4280</v>
      </c>
      <c r="AO597" s="571" t="s">
        <v>4280</v>
      </c>
      <c r="AP597" s="571" t="s">
        <v>4280</v>
      </c>
      <c r="AQ597" s="501" t="s">
        <v>4280</v>
      </c>
      <c r="AR597" s="501"/>
      <c r="AS597" s="704" t="s">
        <v>4280</v>
      </c>
    </row>
    <row r="598" spans="1:45" ht="78" customHeight="1">
      <c r="A598" s="16">
        <f>OBRA!J596</f>
        <v>2022</v>
      </c>
      <c r="B598" s="783" t="s">
        <v>3944</v>
      </c>
      <c r="C598" s="783">
        <f>OBRA!K596</f>
        <v>221001</v>
      </c>
      <c r="D598" s="783" t="s">
        <v>551</v>
      </c>
      <c r="E598" s="2" t="str">
        <f>OBRA!M596</f>
        <v>CUENTA CORRIENTE</v>
      </c>
      <c r="F598" s="671" t="s">
        <v>1428</v>
      </c>
      <c r="G598" s="872" t="s">
        <v>2206</v>
      </c>
      <c r="H598" s="12" t="str">
        <f>OBRA!N596</f>
        <v>DOP/AD/001/2022</v>
      </c>
      <c r="I598" s="2" t="str">
        <f>OBRA!O596</f>
        <v>ADMINISTRACIÓN DIRECTA</v>
      </c>
      <c r="J598" s="683" t="str">
        <f>OBRA!P596</f>
        <v>CUARTO DE EMERGENCIA PARA MUJERES EN SITUACIÓN DE VIOLENCIA EXTREMA…</v>
      </c>
      <c r="K598" s="1577" t="s">
        <v>68</v>
      </c>
      <c r="L598" s="1175" t="s">
        <v>6241</v>
      </c>
      <c r="M598" s="1577" t="s">
        <v>68</v>
      </c>
      <c r="N598" s="1577" t="s">
        <v>68</v>
      </c>
      <c r="O598" s="1586" t="s">
        <v>5006</v>
      </c>
      <c r="P598" s="4">
        <f>OBRA!R596</f>
        <v>70000</v>
      </c>
      <c r="Q598" s="1023">
        <f t="shared" si="40"/>
        <v>60344.827586206899</v>
      </c>
      <c r="R598" s="1714"/>
      <c r="S598" s="67">
        <f>OBRA!S596</f>
        <v>44693</v>
      </c>
      <c r="T598" s="1134" t="str">
        <f>OBRA!V596</f>
        <v>NO APLICA</v>
      </c>
      <c r="U598" s="5">
        <f>OBRA!T596</f>
        <v>44697</v>
      </c>
      <c r="V598" s="11">
        <f>OBRA!U596</f>
        <v>44728</v>
      </c>
      <c r="W598" s="1901">
        <v>0</v>
      </c>
      <c r="X598" s="1019">
        <f>OBRA!AS596+OBRA!AT596</f>
        <v>15106.08</v>
      </c>
      <c r="Y598" s="1089" t="s">
        <v>4162</v>
      </c>
      <c r="Z598" s="146" t="str">
        <f>OBRA!W596</f>
        <v>N/A</v>
      </c>
      <c r="AA598" s="146" t="s">
        <v>68</v>
      </c>
      <c r="AB598" s="148" t="str">
        <f t="shared" si="41"/>
        <v>N/A</v>
      </c>
      <c r="AC598" s="146" t="s">
        <v>1177</v>
      </c>
      <c r="AD598" s="148" t="s">
        <v>1177</v>
      </c>
      <c r="AE598" s="183" t="str">
        <f>OBRA!X596</f>
        <v>ARQ. JAIME CONDE GOMEZ</v>
      </c>
      <c r="AF598" s="19"/>
      <c r="AG598" s="2" t="s">
        <v>1548</v>
      </c>
      <c r="AH598" s="615" t="e">
        <f t="shared" si="43"/>
        <v>#DIV/0!</v>
      </c>
      <c r="AI598" s="2"/>
      <c r="AJ598" s="513"/>
      <c r="AK598" s="513"/>
      <c r="AL598" s="1513"/>
      <c r="AM598" s="1514"/>
      <c r="AN598" s="571" t="s">
        <v>5006</v>
      </c>
      <c r="AO598" s="571"/>
      <c r="AP598" s="571"/>
      <c r="AQ598" s="501" t="s">
        <v>5006</v>
      </c>
      <c r="AR598" s="501"/>
      <c r="AS598" s="18"/>
    </row>
    <row r="599" spans="1:45" ht="66" customHeight="1">
      <c r="A599" s="16">
        <f>OBRA!J597</f>
        <v>2022</v>
      </c>
      <c r="B599" s="783" t="s">
        <v>3944</v>
      </c>
      <c r="C599" s="783">
        <f>OBRA!K597</f>
        <v>221001</v>
      </c>
      <c r="D599" s="783" t="s">
        <v>551</v>
      </c>
      <c r="E599" s="2" t="str">
        <f>OBRA!M597</f>
        <v>RAMO 33</v>
      </c>
      <c r="F599" s="671" t="s">
        <v>1428</v>
      </c>
      <c r="G599" s="156" t="s">
        <v>2206</v>
      </c>
      <c r="H599" s="12" t="str">
        <f>OBRA!N597</f>
        <v>DOP/AD/002/2022</v>
      </c>
      <c r="I599" s="2" t="str">
        <f>OBRA!O597</f>
        <v>ADMINISTRACIÓN DIRECTA</v>
      </c>
      <c r="J599" s="3" t="str">
        <f>OBRA!P597</f>
        <v>"CONSTRUCCIÓN DE BANQUETAS EN EL PUENTE 20 DE NOVIEMBRE", EN LA LOCALIDAD DE ZAPOTITÁN DE HIDALGO, DEL MUNICIPIO DE JOCOTEPEC, JALISCO.</v>
      </c>
      <c r="K599" s="1323" t="s">
        <v>4601</v>
      </c>
      <c r="L599" s="1323" t="s">
        <v>4748</v>
      </c>
      <c r="M599" s="3" t="s">
        <v>6303</v>
      </c>
      <c r="N599" s="3" t="str">
        <f>OBRA!Q597</f>
        <v>ZAPOTITÁN DE HIDALGO</v>
      </c>
      <c r="O599" s="504" t="s">
        <v>4600</v>
      </c>
      <c r="P599" s="79">
        <f>OBRA!R597</f>
        <v>60152.28</v>
      </c>
      <c r="Q599" s="1023">
        <f t="shared" si="40"/>
        <v>51855.413793103449</v>
      </c>
      <c r="R599" s="1714"/>
      <c r="S599" s="67">
        <f>OBRA!S597</f>
        <v>44707</v>
      </c>
      <c r="T599" s="1134" t="str">
        <f>OBRA!V597</f>
        <v>NO APLICA</v>
      </c>
      <c r="U599" s="5">
        <f>OBRA!T597</f>
        <v>44718</v>
      </c>
      <c r="V599" s="11">
        <f>OBRA!U597</f>
        <v>44726</v>
      </c>
      <c r="W599" s="1901">
        <v>0</v>
      </c>
      <c r="X599" s="1019">
        <f>OBRA!AS597+OBRA!AT597</f>
        <v>62956.53</v>
      </c>
      <c r="Y599" s="1018" t="s">
        <v>4398</v>
      </c>
      <c r="Z599" s="146" t="str">
        <f>OBRA!W597</f>
        <v>N/A</v>
      </c>
      <c r="AA599" s="146" t="s">
        <v>68</v>
      </c>
      <c r="AB599" s="148" t="str">
        <f t="shared" si="41"/>
        <v>N/A</v>
      </c>
      <c r="AC599" s="146" t="s">
        <v>1177</v>
      </c>
      <c r="AD599" s="148" t="s">
        <v>1177</v>
      </c>
      <c r="AE599" s="183" t="str">
        <f>OBRA!X597</f>
        <v>ING. LUIS RIGOBERTO OLMEDO NAVARRO</v>
      </c>
      <c r="AF599" s="19">
        <v>70.05</v>
      </c>
      <c r="AG599" s="2" t="s">
        <v>1548</v>
      </c>
      <c r="AH599" s="615">
        <f t="shared" si="43"/>
        <v>898.73704496788014</v>
      </c>
      <c r="AI599" s="2">
        <v>1000</v>
      </c>
      <c r="AJ599" s="513">
        <v>2000</v>
      </c>
      <c r="AK599" s="1707">
        <v>1</v>
      </c>
      <c r="AL599" s="1522">
        <v>20.326066000000001</v>
      </c>
      <c r="AM599" s="1523">
        <v>103.475779</v>
      </c>
      <c r="AN599" s="571" t="s">
        <v>4600</v>
      </c>
      <c r="AO599" s="571" t="s">
        <v>4600</v>
      </c>
      <c r="AP599" s="571" t="s">
        <v>4600</v>
      </c>
      <c r="AQ599" s="501" t="s">
        <v>4600</v>
      </c>
      <c r="AR599" s="501"/>
      <c r="AS599" s="704" t="s">
        <v>4600</v>
      </c>
    </row>
    <row r="600" spans="1:45" ht="100.5" customHeight="1">
      <c r="A600" s="16">
        <f>OBRA!J598</f>
        <v>2022</v>
      </c>
      <c r="B600" s="783" t="s">
        <v>3944</v>
      </c>
      <c r="C600" s="783">
        <f>OBRA!K598</f>
        <v>221003</v>
      </c>
      <c r="D600" s="783" t="s">
        <v>551</v>
      </c>
      <c r="E600" s="2" t="str">
        <f>OBRA!M598</f>
        <v>CUENTA CORRIENTE</v>
      </c>
      <c r="F600" s="671" t="s">
        <v>1428</v>
      </c>
      <c r="G600" s="156" t="s">
        <v>2206</v>
      </c>
      <c r="H600" s="12" t="str">
        <f>OBRA!N598</f>
        <v>DOP/AD/003/2022</v>
      </c>
      <c r="I600" s="2" t="str">
        <f>OBRA!O598</f>
        <v>ADMINISTRACIÓN DIRECTA</v>
      </c>
      <c r="J600" s="3" t="str">
        <f>OBRA!P598</f>
        <v>“CONSTRUCCIÓN DEL TECHO DE LA SALA DE JUNTAS DEL PUNTO INOCUO DE DESEMBARQUE UBICADO DENTRO DE LAS INSTALACIONES DE LA COOPERATIVA”, EN LA LOCALIDAD DE SAN JUAN COSALÁ, DEL MUNICIPIO DE JOCOTEPEC, JALISCO</v>
      </c>
      <c r="K600" s="1323" t="s">
        <v>5887</v>
      </c>
      <c r="L600" s="1323" t="s">
        <v>6246</v>
      </c>
      <c r="M600" s="3" t="s">
        <v>4489</v>
      </c>
      <c r="N600" s="3" t="str">
        <f>OBRA!Q598</f>
        <v>SAN JUAN COSALÁ</v>
      </c>
      <c r="O600" s="504" t="s">
        <v>5007</v>
      </c>
      <c r="P600" s="79">
        <f>OBRA!R598</f>
        <v>81200</v>
      </c>
      <c r="Q600" s="1023">
        <f t="shared" si="40"/>
        <v>70000</v>
      </c>
      <c r="R600" s="1714"/>
      <c r="S600" s="67">
        <f>OBRA!S598</f>
        <v>44777</v>
      </c>
      <c r="T600" s="1134" t="str">
        <f>OBRA!V598</f>
        <v>NO APLICA</v>
      </c>
      <c r="U600" s="5">
        <f>OBRA!T598</f>
        <v>44781</v>
      </c>
      <c r="V600" s="11">
        <f>OBRA!U598</f>
        <v>44799</v>
      </c>
      <c r="W600" s="1901">
        <v>0</v>
      </c>
      <c r="X600" s="1019">
        <f>OBRA!AS598+OBRA!AT598</f>
        <v>85112.38</v>
      </c>
      <c r="Y600" s="1018" t="s">
        <v>5008</v>
      </c>
      <c r="Z600" s="146" t="str">
        <f>OBRA!W598</f>
        <v>N/A</v>
      </c>
      <c r="AA600" s="146" t="s">
        <v>68</v>
      </c>
      <c r="AB600" s="148" t="str">
        <f t="shared" si="41"/>
        <v>N/A</v>
      </c>
      <c r="AC600" s="146" t="s">
        <v>1177</v>
      </c>
      <c r="AD600" s="148" t="s">
        <v>1177</v>
      </c>
      <c r="AE600" s="183" t="str">
        <f>OBRA!X598</f>
        <v>ING. LUIS RIGOBERTO OLMEDO NAVARRO</v>
      </c>
      <c r="AF600" s="19">
        <v>67</v>
      </c>
      <c r="AG600" s="2" t="s">
        <v>1548</v>
      </c>
      <c r="AH600" s="615">
        <f t="shared" si="43"/>
        <v>1270.3340298507464</v>
      </c>
      <c r="AI600" s="2">
        <v>100</v>
      </c>
      <c r="AJ600" s="513">
        <v>600</v>
      </c>
      <c r="AK600" s="1707">
        <v>1</v>
      </c>
      <c r="AL600" s="1522">
        <v>20.291401</v>
      </c>
      <c r="AM600" s="1523">
        <v>103.34714700000001</v>
      </c>
      <c r="AN600" s="571" t="s">
        <v>5007</v>
      </c>
      <c r="AO600" s="571" t="s">
        <v>5007</v>
      </c>
      <c r="AP600" s="571" t="s">
        <v>5007</v>
      </c>
      <c r="AQ600" s="501" t="s">
        <v>5007</v>
      </c>
      <c r="AR600" s="501"/>
      <c r="AS600" s="704" t="s">
        <v>5007</v>
      </c>
    </row>
    <row r="601" spans="1:45" ht="84.75" customHeight="1">
      <c r="A601" s="16">
        <f>OBRA!J599</f>
        <v>2022</v>
      </c>
      <c r="B601" s="783" t="s">
        <v>3944</v>
      </c>
      <c r="C601" s="783">
        <f>OBRA!K599</f>
        <v>221004</v>
      </c>
      <c r="D601" s="783" t="s">
        <v>551</v>
      </c>
      <c r="E601" s="2" t="str">
        <f>OBRA!M599</f>
        <v>CUENTA CORRIENTE</v>
      </c>
      <c r="F601" s="671" t="s">
        <v>1428</v>
      </c>
      <c r="G601" s="156"/>
      <c r="H601" s="12" t="str">
        <f>OBRA!N599</f>
        <v>DOP/AD/001-A/2022</v>
      </c>
      <c r="I601" s="2" t="str">
        <f>OBRA!O599</f>
        <v>ADMINISTRACIÓN DIRECTA</v>
      </c>
      <c r="J601" s="3" t="str">
        <f>OBRA!P599</f>
        <v>"REHABILITACIÓN DE EXTENSIÓN DE RED DE AGUA POTABLE DE 4" EN CALLE PROL. MORELOS ENTRE CALLE RIBERA DEL LAGO Y CALLE CHUECA" EN LA LOCALIDAD DE NEXTIPAC, DEL MUNICIPIO DE JOCOTEPEC, JALISCO.</v>
      </c>
      <c r="K601" s="1323" t="s">
        <v>5888</v>
      </c>
      <c r="L601" s="1323" t="s">
        <v>4745</v>
      </c>
      <c r="M601" s="3" t="s">
        <v>6271</v>
      </c>
      <c r="N601" s="3" t="str">
        <f>OBRA!Q599</f>
        <v>NEXTIPAC</v>
      </c>
      <c r="O601" s="504" t="s">
        <v>5009</v>
      </c>
      <c r="P601" s="79">
        <f>OBRA!R599</f>
        <v>330190.86</v>
      </c>
      <c r="Q601" s="1023">
        <f t="shared" si="40"/>
        <v>284647.29310344829</v>
      </c>
      <c r="R601" s="1714"/>
      <c r="S601" s="67">
        <f>OBRA!S599</f>
        <v>44595</v>
      </c>
      <c r="T601" s="1134" t="str">
        <f>OBRA!V599</f>
        <v>NO APLICA</v>
      </c>
      <c r="U601" s="5">
        <f>OBRA!T599</f>
        <v>44599</v>
      </c>
      <c r="V601" s="11">
        <f>OBRA!U599</f>
        <v>44617</v>
      </c>
      <c r="W601" s="1901">
        <v>0</v>
      </c>
      <c r="X601" s="1019">
        <f>OBRA!AS599+OBRA!AT599</f>
        <v>330191.75</v>
      </c>
      <c r="Y601" s="1018" t="s">
        <v>5010</v>
      </c>
      <c r="Z601" s="146" t="str">
        <f>OBRA!W599</f>
        <v>N/A</v>
      </c>
      <c r="AA601" s="146" t="s">
        <v>68</v>
      </c>
      <c r="AB601" s="148" t="str">
        <f t="shared" si="41"/>
        <v>N/A</v>
      </c>
      <c r="AC601" s="146" t="s">
        <v>1177</v>
      </c>
      <c r="AD601" s="148" t="s">
        <v>1177</v>
      </c>
      <c r="AE601" s="183" t="str">
        <f>OBRA!X599</f>
        <v>C. DANIEL RODRIGUEZ VALENZUELA</v>
      </c>
      <c r="AF601" s="19">
        <v>666</v>
      </c>
      <c r="AG601" s="2" t="s">
        <v>1451</v>
      </c>
      <c r="AH601" s="615">
        <f t="shared" si="43"/>
        <v>495.78340840840843</v>
      </c>
      <c r="AI601" s="2">
        <v>150</v>
      </c>
      <c r="AJ601" s="513">
        <v>150</v>
      </c>
      <c r="AK601" s="1707">
        <v>1</v>
      </c>
      <c r="AL601" s="1522">
        <v>20.289477999999999</v>
      </c>
      <c r="AM601" s="1523">
        <v>103.41207900000001</v>
      </c>
      <c r="AN601" s="571" t="s">
        <v>5009</v>
      </c>
      <c r="AO601" s="571" t="s">
        <v>5009</v>
      </c>
      <c r="AP601" s="571" t="s">
        <v>5009</v>
      </c>
      <c r="AQ601" s="513"/>
      <c r="AR601" s="513"/>
      <c r="AS601" s="704" t="s">
        <v>5009</v>
      </c>
    </row>
    <row r="602" spans="1:45" ht="68.25" customHeight="1">
      <c r="A602" s="16">
        <f>OBRA!J600</f>
        <v>2022</v>
      </c>
      <c r="B602" s="783" t="s">
        <v>3944</v>
      </c>
      <c r="C602" s="783">
        <f>OBRA!K600</f>
        <v>221005</v>
      </c>
      <c r="D602" s="783" t="s">
        <v>551</v>
      </c>
      <c r="E602" s="2" t="str">
        <f>OBRA!M600</f>
        <v>CUENTA CORRIENTE</v>
      </c>
      <c r="F602" s="671" t="s">
        <v>1428</v>
      </c>
      <c r="G602" s="156"/>
      <c r="H602" s="12" t="str">
        <f>OBRA!N600</f>
        <v>DOP/AD/005/2022</v>
      </c>
      <c r="I602" s="2" t="str">
        <f>OBRA!O600</f>
        <v>ADMINISTRACIÓN DIRECTA</v>
      </c>
      <c r="J602" s="3" t="str">
        <f>OBRA!P600</f>
        <v>"CONSTRUCCIÓN DE SUPERFICIE DE RODAMIENTO EN CALLE 12 DE OCTUBRE", EN LA LOCALIDAD DE SAN PEDRO TESISTÁN, DEL MUNICIPIO DE JOCOTEPEC, JALISCO</v>
      </c>
      <c r="K602" s="1323" t="s">
        <v>5889</v>
      </c>
      <c r="L602" s="1323" t="s">
        <v>4752</v>
      </c>
      <c r="M602" s="3" t="s">
        <v>4598</v>
      </c>
      <c r="N602" s="3" t="str">
        <f>OBRA!Q600</f>
        <v>SAN PEDRO TESISTÁN</v>
      </c>
      <c r="O602" s="504" t="s">
        <v>5011</v>
      </c>
      <c r="P602" s="79">
        <f>OBRA!R600</f>
        <v>86073.66</v>
      </c>
      <c r="Q602" s="1023">
        <f t="shared" ref="Q602:Q659" si="44">P602/1.16</f>
        <v>74201.431034482768</v>
      </c>
      <c r="R602" s="1714"/>
      <c r="S602" s="67">
        <f>OBRA!S600</f>
        <v>44875</v>
      </c>
      <c r="T602" s="1134" t="str">
        <f>OBRA!V600</f>
        <v>NO APLICA</v>
      </c>
      <c r="U602" s="5">
        <f>OBRA!T600</f>
        <v>44886</v>
      </c>
      <c r="V602" s="11">
        <f>OBRA!U600</f>
        <v>44893</v>
      </c>
      <c r="W602" s="1901">
        <v>0</v>
      </c>
      <c r="X602" s="1019">
        <f>OBRA!AS600+OBRA!AT600</f>
        <v>35139.68</v>
      </c>
      <c r="Y602" s="1018" t="s">
        <v>4162</v>
      </c>
      <c r="Z602" s="146" t="str">
        <f>OBRA!W600</f>
        <v>N/A</v>
      </c>
      <c r="AA602" s="146" t="s">
        <v>68</v>
      </c>
      <c r="AB602" s="148" t="str">
        <f t="shared" ref="AB602:AB658" si="45">Z602</f>
        <v>N/A</v>
      </c>
      <c r="AC602" s="146" t="s">
        <v>1177</v>
      </c>
      <c r="AD602" s="148" t="s">
        <v>1177</v>
      </c>
      <c r="AE602" s="183" t="str">
        <f>OBRA!X600</f>
        <v>C. DANIEL RODRIGUEZ VALENZUELA</v>
      </c>
      <c r="AF602" s="19">
        <v>134</v>
      </c>
      <c r="AG602" s="2" t="s">
        <v>1548</v>
      </c>
      <c r="AH602" s="615">
        <f t="shared" si="43"/>
        <v>262.23641791044776</v>
      </c>
      <c r="AI602" s="2">
        <v>100</v>
      </c>
      <c r="AJ602" s="513">
        <v>300</v>
      </c>
      <c r="AK602" s="1707">
        <v>1</v>
      </c>
      <c r="AL602" s="1522">
        <v>20.228021999999999</v>
      </c>
      <c r="AM602" s="1523">
        <v>103.416735</v>
      </c>
      <c r="AN602" s="571" t="s">
        <v>5011</v>
      </c>
      <c r="AO602" s="571" t="s">
        <v>5011</v>
      </c>
      <c r="AP602" s="571" t="s">
        <v>5011</v>
      </c>
      <c r="AQ602" s="501" t="s">
        <v>5011</v>
      </c>
      <c r="AR602" s="501"/>
      <c r="AS602" s="704" t="s">
        <v>5011</v>
      </c>
    </row>
    <row r="603" spans="1:45" ht="68.25" customHeight="1">
      <c r="A603" s="16">
        <f>OBRA!J601</f>
        <v>2022</v>
      </c>
      <c r="B603" s="783" t="s">
        <v>3944</v>
      </c>
      <c r="C603" s="783">
        <f>OBRA!K601</f>
        <v>221006</v>
      </c>
      <c r="D603" s="783" t="s">
        <v>551</v>
      </c>
      <c r="E603" s="2" t="str">
        <f>OBRA!M601</f>
        <v>CUENTA CORRIENTE</v>
      </c>
      <c r="F603" s="671" t="s">
        <v>1428</v>
      </c>
      <c r="G603" s="156"/>
      <c r="H603" s="12" t="str">
        <f>OBRA!N601</f>
        <v>DOP/AD/006/2022</v>
      </c>
      <c r="I603" s="2" t="str">
        <f>OBRA!O601</f>
        <v>ADMINISTRACIÓN DIRECTA</v>
      </c>
      <c r="J603" s="3" t="str">
        <f>OBRA!P601</f>
        <v>"CONSTRUCCIÓN DE SUPERFICIE DE RODAMIENTO EN CALLE LIBERTAD", EN LA LOCALIDAD DE SAN PEDRO TESISTÁN, DEL MUNICIPIO DE JOCOTEPEC, JALISCO</v>
      </c>
      <c r="K603" s="1323" t="s">
        <v>5889</v>
      </c>
      <c r="L603" s="1323" t="s">
        <v>4752</v>
      </c>
      <c r="M603" s="3" t="s">
        <v>4599</v>
      </c>
      <c r="N603" s="3" t="str">
        <f>OBRA!Q601</f>
        <v>SAN PEDRO TESISTÁN</v>
      </c>
      <c r="O603" s="504" t="s">
        <v>5012</v>
      </c>
      <c r="P603" s="79">
        <f>OBRA!R601</f>
        <v>109829.72</v>
      </c>
      <c r="Q603" s="1023">
        <f t="shared" si="44"/>
        <v>94680.79310344829</v>
      </c>
      <c r="R603" s="1714"/>
      <c r="S603" s="67">
        <f>OBRA!S601</f>
        <v>44875</v>
      </c>
      <c r="T603" s="1134" t="str">
        <f>OBRA!V601</f>
        <v>NO APLICA</v>
      </c>
      <c r="U603" s="5">
        <f>OBRA!T601</f>
        <v>44879</v>
      </c>
      <c r="V603" s="11">
        <f>OBRA!U601</f>
        <v>44886</v>
      </c>
      <c r="W603" s="1901">
        <v>0</v>
      </c>
      <c r="X603" s="1019">
        <f>OBRA!AS601+OBRA!AT601</f>
        <v>71209.119999999995</v>
      </c>
      <c r="Y603" s="1018" t="s">
        <v>4162</v>
      </c>
      <c r="Z603" s="146" t="str">
        <f>OBRA!W601</f>
        <v>N/A</v>
      </c>
      <c r="AA603" s="146" t="s">
        <v>68</v>
      </c>
      <c r="AB603" s="148" t="str">
        <f t="shared" si="45"/>
        <v>N/A</v>
      </c>
      <c r="AC603" s="146" t="s">
        <v>1177</v>
      </c>
      <c r="AD603" s="148" t="s">
        <v>1177</v>
      </c>
      <c r="AE603" s="183" t="str">
        <f>OBRA!X601</f>
        <v>C. DANIEL RODRIGUEZ VALENZUELA</v>
      </c>
      <c r="AF603" s="19">
        <v>210.5</v>
      </c>
      <c r="AG603" s="2" t="s">
        <v>1548</v>
      </c>
      <c r="AH603" s="615">
        <f t="shared" si="43"/>
        <v>338.28560570071255</v>
      </c>
      <c r="AI603" s="2">
        <v>100</v>
      </c>
      <c r="AJ603" s="513">
        <v>350</v>
      </c>
      <c r="AK603" s="1707">
        <v>1</v>
      </c>
      <c r="AL603" s="1522">
        <v>20.224917999999999</v>
      </c>
      <c r="AM603" s="1523">
        <v>103.41208399999999</v>
      </c>
      <c r="AN603" s="571" t="s">
        <v>5012</v>
      </c>
      <c r="AO603" s="571" t="s">
        <v>5012</v>
      </c>
      <c r="AP603" s="571" t="s">
        <v>5012</v>
      </c>
      <c r="AQ603" s="501" t="s">
        <v>5012</v>
      </c>
      <c r="AR603" s="501"/>
      <c r="AS603" s="704" t="s">
        <v>5012</v>
      </c>
    </row>
    <row r="604" spans="1:45" ht="15" customHeight="1">
      <c r="A604" s="16">
        <f>OBRA!J602</f>
        <v>2022</v>
      </c>
      <c r="B604" s="783" t="s">
        <v>3944</v>
      </c>
      <c r="C604" s="783">
        <f>OBRA!K602</f>
        <v>221006.1</v>
      </c>
      <c r="D604" s="783" t="s">
        <v>551</v>
      </c>
      <c r="E604" s="2" t="str">
        <f>OBRA!M602</f>
        <v>CUENTA CORRIENTE</v>
      </c>
      <c r="F604" s="511"/>
      <c r="G604" s="156"/>
      <c r="H604" s="12" t="str">
        <f>OBRA!N602</f>
        <v>MANTENIMIENTOS</v>
      </c>
      <c r="I604" s="2" t="str">
        <f>OBRA!O602</f>
        <v>MANTENIMIENTOS</v>
      </c>
      <c r="J604" s="3" t="str">
        <f>OBRA!P602</f>
        <v>REMODELACIÓN DE PRESIDENCIA</v>
      </c>
      <c r="K604" s="1323"/>
      <c r="L604" s="1323" t="s">
        <v>6241</v>
      </c>
      <c r="M604" s="3" t="s">
        <v>5892</v>
      </c>
      <c r="N604" s="3" t="str">
        <f>OBRA!Q602</f>
        <v>CABECERA MUNICIPAL</v>
      </c>
      <c r="O604" s="3"/>
      <c r="P604" s="79">
        <f>OBRA!R602</f>
        <v>0</v>
      </c>
      <c r="Q604" s="1023">
        <f t="shared" si="44"/>
        <v>0</v>
      </c>
      <c r="R604" s="1023"/>
      <c r="S604" s="67" t="str">
        <f>OBRA!S602</f>
        <v>N/A</v>
      </c>
      <c r="T604" s="1134" t="str">
        <f>OBRA!V602</f>
        <v>NO APLICA</v>
      </c>
      <c r="U604" s="5">
        <f>OBRA!T602</f>
        <v>44562</v>
      </c>
      <c r="V604" s="11">
        <f>OBRA!U602</f>
        <v>44926</v>
      </c>
      <c r="W604" s="1901">
        <v>0</v>
      </c>
      <c r="X604" s="1019">
        <f>OBRA!AS602+OBRA!AT602</f>
        <v>0</v>
      </c>
      <c r="Y604" s="1018"/>
      <c r="Z604" s="146" t="str">
        <f>OBRA!W602</f>
        <v>N/A</v>
      </c>
      <c r="AA604" s="146" t="s">
        <v>68</v>
      </c>
      <c r="AB604" s="148" t="str">
        <f t="shared" si="45"/>
        <v>N/A</v>
      </c>
      <c r="AC604" s="146" t="s">
        <v>1177</v>
      </c>
      <c r="AD604" s="148" t="s">
        <v>1177</v>
      </c>
      <c r="AE604" s="183" t="str">
        <f>OBRA!X602</f>
        <v>ING. J. GUADALUPE IBARRA RAMIREZ</v>
      </c>
      <c r="AF604" s="19"/>
      <c r="AG604" s="2"/>
      <c r="AH604" s="615" t="e">
        <f t="shared" si="43"/>
        <v>#DIV/0!</v>
      </c>
      <c r="AI604" s="2"/>
      <c r="AJ604" s="513"/>
      <c r="AK604" s="513"/>
      <c r="AL604" s="1522"/>
      <c r="AM604" s="1523"/>
      <c r="AN604" s="571"/>
      <c r="AO604" s="571"/>
      <c r="AP604" s="571"/>
      <c r="AQ604" s="513"/>
      <c r="AR604" s="513"/>
      <c r="AS604" s="18"/>
    </row>
    <row r="605" spans="1:45" ht="51" customHeight="1">
      <c r="A605" s="16">
        <f>OBRA!J603</f>
        <v>2022</v>
      </c>
      <c r="B605" s="783" t="s">
        <v>3944</v>
      </c>
      <c r="C605" s="783">
        <f>OBRA!K603</f>
        <v>221007</v>
      </c>
      <c r="D605" s="783" t="s">
        <v>551</v>
      </c>
      <c r="E605" s="2" t="str">
        <f>OBRA!M603</f>
        <v>CUENTA CORRIENTE</v>
      </c>
      <c r="F605" s="671" t="s">
        <v>1428</v>
      </c>
      <c r="G605" s="156"/>
      <c r="H605" s="12" t="str">
        <f>OBRA!N603</f>
        <v>DOP/AD/007/2022</v>
      </c>
      <c r="I605" s="2" t="str">
        <f>OBRA!O603</f>
        <v>ADMINISTRACIÓN DIRECTA</v>
      </c>
      <c r="J605" s="3" t="str">
        <f>OBRA!P603</f>
        <v>“CONSTRUCCIÓN DE BAÑOS PÚBLICOS”, EN LA LOCALIDAD DE EL MOLINO, DEL MUNICIPIO DE JOCOTEPEC, JALISCO</v>
      </c>
      <c r="K605" s="1323" t="s">
        <v>5890</v>
      </c>
      <c r="L605" s="1323" t="s">
        <v>6241</v>
      </c>
      <c r="M605" s="3" t="s">
        <v>5013</v>
      </c>
      <c r="N605" s="3" t="str">
        <f>OBRA!Q603</f>
        <v>EL MOLINO</v>
      </c>
      <c r="O605" s="504" t="s">
        <v>5015</v>
      </c>
      <c r="P605" s="79">
        <f>OBRA!R603</f>
        <v>297707.86</v>
      </c>
      <c r="Q605" s="1023">
        <f t="shared" si="44"/>
        <v>256644.70689655174</v>
      </c>
      <c r="R605" s="1714"/>
      <c r="S605" s="67">
        <f>OBRA!S603</f>
        <v>44875</v>
      </c>
      <c r="T605" s="1134" t="str">
        <f>OBRA!V603</f>
        <v>NO APLICA</v>
      </c>
      <c r="U605" s="5">
        <f>OBRA!T603</f>
        <v>44880</v>
      </c>
      <c r="V605" s="11">
        <f>OBRA!U603</f>
        <v>44926</v>
      </c>
      <c r="W605" s="1901">
        <v>0</v>
      </c>
      <c r="X605" s="1019">
        <f>OBRA!AS603+OBRA!AT603</f>
        <v>55290.869999999995</v>
      </c>
      <c r="Y605" s="1018" t="s">
        <v>5014</v>
      </c>
      <c r="Z605" s="146" t="str">
        <f>OBRA!W603</f>
        <v>N/A</v>
      </c>
      <c r="AA605" s="146" t="s">
        <v>68</v>
      </c>
      <c r="AB605" s="148" t="str">
        <f t="shared" si="45"/>
        <v>N/A</v>
      </c>
      <c r="AC605" s="146" t="s">
        <v>1177</v>
      </c>
      <c r="AD605" s="148" t="s">
        <v>1177</v>
      </c>
      <c r="AE605" s="183" t="str">
        <f>OBRA!X603</f>
        <v>ARQ. JAIME CONDE GOMEZ</v>
      </c>
      <c r="AF605" s="19">
        <v>20.82</v>
      </c>
      <c r="AG605" s="2" t="s">
        <v>1548</v>
      </c>
      <c r="AH605" s="615">
        <f t="shared" si="43"/>
        <v>2655.6613832853022</v>
      </c>
      <c r="AI605" s="2">
        <v>300</v>
      </c>
      <c r="AJ605" s="513">
        <v>2000</v>
      </c>
      <c r="AK605" s="1707">
        <v>1</v>
      </c>
      <c r="AL605" s="1522">
        <v>20.388190000000002</v>
      </c>
      <c r="AM605" s="1523">
        <v>103.53391999999999</v>
      </c>
      <c r="AN605" s="571" t="s">
        <v>5015</v>
      </c>
      <c r="AO605" s="571" t="s">
        <v>5015</v>
      </c>
      <c r="AP605" s="571" t="s">
        <v>5015</v>
      </c>
      <c r="AQ605" s="501" t="s">
        <v>5015</v>
      </c>
      <c r="AR605" s="501"/>
      <c r="AS605" s="704" t="s">
        <v>5015</v>
      </c>
    </row>
    <row r="606" spans="1:45" ht="58.5" customHeight="1">
      <c r="A606" s="16">
        <f>OBRA!J604</f>
        <v>2022</v>
      </c>
      <c r="B606" s="783" t="s">
        <v>3944</v>
      </c>
      <c r="C606" s="783">
        <f>OBRA!K604</f>
        <v>221008</v>
      </c>
      <c r="D606" s="783" t="s">
        <v>551</v>
      </c>
      <c r="E606" s="2" t="str">
        <f>OBRA!M604</f>
        <v>CUENTA CORRIENTE</v>
      </c>
      <c r="F606" s="671" t="s">
        <v>1428</v>
      </c>
      <c r="G606" s="156"/>
      <c r="H606" s="12" t="str">
        <f>OBRA!N604</f>
        <v>DOP/AD/001-B/2022</v>
      </c>
      <c r="I606" s="2" t="str">
        <f>OBRA!O604</f>
        <v>ADMINISTRACIÓN DIRECTA</v>
      </c>
      <c r="J606" s="3" t="str">
        <f>OBRA!P604</f>
        <v>"REMODELACIÓN DE PRESIDENCIA (2DA ETAPA)", EN LA CABECERA MUNICIPAL DE JOCOTEPEC.</v>
      </c>
      <c r="K606" s="1323"/>
      <c r="L606" s="1323" t="s">
        <v>6241</v>
      </c>
      <c r="M606" s="3" t="s">
        <v>5892</v>
      </c>
      <c r="N606" s="3" t="str">
        <f>OBRA!Q604</f>
        <v>CABECERA MUNICIPAL</v>
      </c>
      <c r="O606" s="3"/>
      <c r="P606" s="79">
        <f>OBRA!R604</f>
        <v>800000</v>
      </c>
      <c r="Q606" s="1023">
        <f t="shared" si="44"/>
        <v>689655.17241379316</v>
      </c>
      <c r="R606" s="1714"/>
      <c r="S606" s="67">
        <f>OBRA!S604</f>
        <v>44620</v>
      </c>
      <c r="T606" s="1134" t="str">
        <f>OBRA!V604</f>
        <v>NO APLICA</v>
      </c>
      <c r="U606" s="5">
        <f>OBRA!T604</f>
        <v>44624</v>
      </c>
      <c r="V606" s="11">
        <f>OBRA!U604</f>
        <v>44773</v>
      </c>
      <c r="W606" s="1901">
        <v>0</v>
      </c>
      <c r="X606" s="1019">
        <f>OBRA!AS604+OBRA!AT604</f>
        <v>619734.58000000007</v>
      </c>
      <c r="Y606" s="1018"/>
      <c r="Z606" s="146" t="str">
        <f>OBRA!W604</f>
        <v>N/A</v>
      </c>
      <c r="AA606" s="146" t="s">
        <v>68</v>
      </c>
      <c r="AB606" s="148" t="str">
        <f t="shared" si="45"/>
        <v>N/A</v>
      </c>
      <c r="AC606" s="146" t="s">
        <v>1177</v>
      </c>
      <c r="AD606" s="148" t="s">
        <v>1177</v>
      </c>
      <c r="AE606" s="183" t="str">
        <f>OBRA!X604</f>
        <v>ING. J. GUADALUPE IBARRA RAMIREZ</v>
      </c>
      <c r="AF606" s="19"/>
      <c r="AG606" s="2"/>
      <c r="AH606" s="615" t="e">
        <f t="shared" si="43"/>
        <v>#DIV/0!</v>
      </c>
      <c r="AI606" s="2"/>
      <c r="AJ606" s="513"/>
      <c r="AK606" s="1707">
        <v>1</v>
      </c>
      <c r="AL606" s="1522"/>
      <c r="AM606" s="1523"/>
      <c r="AN606" s="571"/>
      <c r="AO606" s="571"/>
      <c r="AP606" s="571"/>
      <c r="AQ606" s="513"/>
      <c r="AR606" s="513"/>
      <c r="AS606" s="18"/>
    </row>
    <row r="607" spans="1:45" ht="15" hidden="1" customHeight="1">
      <c r="A607" s="16">
        <f>OBRA!J605</f>
        <v>2022</v>
      </c>
      <c r="B607" s="783" t="s">
        <v>3944</v>
      </c>
      <c r="C607" s="783">
        <f>OBRA!K605</f>
        <v>221010</v>
      </c>
      <c r="D607" s="783" t="s">
        <v>551</v>
      </c>
      <c r="E607" s="2">
        <f>OBRA!M605</f>
        <v>0</v>
      </c>
      <c r="F607" s="511"/>
      <c r="G607" s="574"/>
      <c r="H607" s="12" t="str">
        <f>OBRA!N605</f>
        <v>DOP/AD/010/2022</v>
      </c>
      <c r="I607" s="2" t="str">
        <f>OBRA!O605</f>
        <v>CANCELADA</v>
      </c>
      <c r="J607" s="3" t="str">
        <f>OBRA!P605</f>
        <v>-</v>
      </c>
      <c r="K607" s="1585"/>
      <c r="L607" s="1585"/>
      <c r="M607" s="541"/>
      <c r="N607" s="541">
        <f>OBRA!Q605</f>
        <v>0</v>
      </c>
      <c r="O607" s="541"/>
      <c r="P607" s="4" t="str">
        <f>OBRA!R605</f>
        <v>|</v>
      </c>
      <c r="Q607" s="1023" t="e">
        <f t="shared" si="44"/>
        <v>#VALUE!</v>
      </c>
      <c r="R607" s="1023"/>
      <c r="S607" s="6">
        <f>OBRA!S605</f>
        <v>0</v>
      </c>
      <c r="T607" s="1134" t="str">
        <f>OBRA!V605</f>
        <v>NO APLICA</v>
      </c>
      <c r="U607" s="5">
        <f>OBRA!T605</f>
        <v>0</v>
      </c>
      <c r="V607" s="11">
        <f>OBRA!U605</f>
        <v>0</v>
      </c>
      <c r="W607" s="1551">
        <v>0</v>
      </c>
      <c r="X607" s="1098">
        <f>OBRA!AS605+OBRA!AT605</f>
        <v>0</v>
      </c>
      <c r="Y607" s="1017"/>
      <c r="Z607" s="146" t="str">
        <f>OBRA!W605</f>
        <v>N/A</v>
      </c>
      <c r="AA607" s="146" t="s">
        <v>68</v>
      </c>
      <c r="AB607" s="148" t="str">
        <f t="shared" si="45"/>
        <v>N/A</v>
      </c>
      <c r="AC607" s="1090" t="s">
        <v>1177</v>
      </c>
      <c r="AD607" s="399" t="s">
        <v>1177</v>
      </c>
      <c r="AE607" s="551">
        <f>OBRA!X605</f>
        <v>0</v>
      </c>
      <c r="AF607" s="161"/>
      <c r="AG607" s="510"/>
      <c r="AH607" s="634" t="e">
        <f t="shared" si="43"/>
        <v>#DIV/0!</v>
      </c>
      <c r="AI607" s="510"/>
      <c r="AJ607" s="506"/>
      <c r="AK607" s="506"/>
      <c r="AL607" s="1524"/>
      <c r="AM607" s="1525"/>
      <c r="AN607" s="573"/>
      <c r="AO607" s="573"/>
      <c r="AP607" s="573"/>
      <c r="AQ607" s="506"/>
      <c r="AR607" s="506"/>
      <c r="AS607" s="511"/>
    </row>
    <row r="608" spans="1:45" ht="100.5" customHeight="1">
      <c r="A608" s="16">
        <f>OBRA!J606</f>
        <v>2022</v>
      </c>
      <c r="B608" s="783" t="s">
        <v>3944</v>
      </c>
      <c r="C608" s="783">
        <f>OBRA!K606</f>
        <v>222001</v>
      </c>
      <c r="D608" s="783" t="s">
        <v>551</v>
      </c>
      <c r="E608" s="2" t="str">
        <f>OBRA!M606</f>
        <v>CUENTA CORRIENTE</v>
      </c>
      <c r="F608" s="671" t="s">
        <v>1428</v>
      </c>
      <c r="G608" s="156" t="s">
        <v>2861</v>
      </c>
      <c r="H608" s="12" t="str">
        <f>OBRA!N606</f>
        <v>CPSP DOP 001/2022</v>
      </c>
      <c r="I608" s="2" t="str">
        <f>OBRA!O606</f>
        <v xml:space="preserve">SERVICIOS </v>
      </c>
      <c r="J608" s="3" t="str">
        <f>OBRA!P606</f>
        <v>ESTUDIO GEOHIDROLÓGICO-GEOFÍSICOS PARA LOCALIZACIÓN Y/O PERFORACIÓN DE POZO PARA AGUA POTABLE (SAN JUAN COSALA, SAN PEDRO TESISTÁN, POTRERILLOS Y SAN LUCIANO), DEL MUNICIPIO DE JOCOTEPEC, JALISCO.</v>
      </c>
      <c r="K608" s="3" t="s">
        <v>4412</v>
      </c>
      <c r="L608" s="3"/>
      <c r="M608" s="3" t="s">
        <v>4413</v>
      </c>
      <c r="N608" s="3" t="str">
        <f>OBRA!Q606</f>
        <v>MPIO: SAN JUAN COSALA, SAN PEDRO TESISTÁN, POTRERILLOS Y SAN LUCIANO</v>
      </c>
      <c r="O608" s="1909" t="s">
        <v>4507</v>
      </c>
      <c r="P608" s="79">
        <f>OBRA!R606</f>
        <v>69600</v>
      </c>
      <c r="Q608" s="1023">
        <f t="shared" si="44"/>
        <v>60000.000000000007</v>
      </c>
      <c r="R608" s="79" t="s">
        <v>68</v>
      </c>
      <c r="S608" s="67">
        <f>OBRA!S606</f>
        <v>44572</v>
      </c>
      <c r="T608" s="1134" t="str">
        <f>OBRA!V606</f>
        <v>-</v>
      </c>
      <c r="U608" s="5">
        <f>OBRA!T606</f>
        <v>44578</v>
      </c>
      <c r="V608" s="11">
        <f>OBRA!U606</f>
        <v>44581</v>
      </c>
      <c r="W608" s="1901">
        <v>0</v>
      </c>
      <c r="X608" s="1019">
        <f>OBRA!AS606+OBRA!AT606</f>
        <v>0</v>
      </c>
      <c r="Y608" s="1018" t="s">
        <v>1428</v>
      </c>
      <c r="Z608" s="146" t="str">
        <f>OBRA!W606</f>
        <v>ING. J. TRINIDAD NUÑEZ BRITO</v>
      </c>
      <c r="AA608" s="146" t="s">
        <v>5665</v>
      </c>
      <c r="AB608" s="2" t="s">
        <v>3756</v>
      </c>
      <c r="AC608" s="1770" t="s">
        <v>4426</v>
      </c>
      <c r="AD608" s="1769" t="s">
        <v>5633</v>
      </c>
      <c r="AE608" s="183" t="str">
        <f>OBRA!X606</f>
        <v>LIC. SALVADOR CONTRERAS OLGUÍN</v>
      </c>
      <c r="AF608" s="19">
        <v>4</v>
      </c>
      <c r="AG608" s="2" t="s">
        <v>6758</v>
      </c>
      <c r="AH608" s="183">
        <f t="shared" ref="AH608:AH611" si="46">P608/AF608</f>
        <v>17400</v>
      </c>
      <c r="AI608" s="2"/>
      <c r="AJ608" s="513"/>
      <c r="AK608" s="1888">
        <v>1</v>
      </c>
      <c r="AL608" s="1513"/>
      <c r="AM608" s="1514"/>
      <c r="AN608" s="571"/>
      <c r="AO608" s="571"/>
      <c r="AP608" s="571"/>
      <c r="AQ608" s="513"/>
      <c r="AR608" s="513"/>
      <c r="AS608" s="18"/>
    </row>
    <row r="609" spans="1:45" s="1050" customFormat="1" ht="105" hidden="1" customHeight="1">
      <c r="A609" s="532">
        <f>OBRA!J607</f>
        <v>2022</v>
      </c>
      <c r="B609" s="783" t="s">
        <v>3944</v>
      </c>
      <c r="C609" s="783">
        <f>OBRA!K607</f>
        <v>222002</v>
      </c>
      <c r="D609" s="1490" t="s">
        <v>551</v>
      </c>
      <c r="E609" s="186" t="str">
        <f>OBRA!M607</f>
        <v>CUENTA CORRIENTE</v>
      </c>
      <c r="F609" s="1464" t="s">
        <v>1428</v>
      </c>
      <c r="G609" s="577" t="s">
        <v>2861</v>
      </c>
      <c r="H609" s="1473" t="str">
        <f>OBRA!N607</f>
        <v>CPSP DOP 002/2022</v>
      </c>
      <c r="I609" s="186" t="str">
        <f>OBRA!O607</f>
        <v>SERVICIOS (CANCELADO)</v>
      </c>
      <c r="J609" s="106" t="str">
        <f>OBRA!P607</f>
        <v>LOCALIZACIÓN DE AGUA EN PREDIOS PARA POSIBLE PERFORACIÓN DE POZO PROFUNDO POR MEDIO DE LA TÉCNICA DE RADIESTESIA EN LAS LOCALIDADES DE SAN JUAN COSALA, SAN PEDRO TESISTÁN. POTRERILLOS Y SAN LUCIANO EN EL MUNICIPIO DE JOCOTEPEC, JALISCO.</v>
      </c>
      <c r="K609" s="106" t="s">
        <v>4414</v>
      </c>
      <c r="L609" s="106"/>
      <c r="M609" s="106" t="s">
        <v>4413</v>
      </c>
      <c r="N609" s="106" t="str">
        <f>OBRA!Q607</f>
        <v>MPIO: SAN JUAN COSALA, SAN PEDRO TESISTÁN, POTRERILLOS Y SAN LUCIANO</v>
      </c>
      <c r="O609" s="106"/>
      <c r="P609" s="1064">
        <f>OBRA!R607</f>
        <v>12000</v>
      </c>
      <c r="Q609" s="1064">
        <f t="shared" si="44"/>
        <v>10344.827586206897</v>
      </c>
      <c r="R609" s="1064"/>
      <c r="S609" s="1463">
        <f>OBRA!S607</f>
        <v>44575</v>
      </c>
      <c r="T609" s="1492" t="str">
        <f>OBRA!V607</f>
        <v>-</v>
      </c>
      <c r="U609" s="1071">
        <f>OBRA!T607</f>
        <v>44578</v>
      </c>
      <c r="V609" s="1077">
        <f>OBRA!U607</f>
        <v>44582</v>
      </c>
      <c r="W609" s="1528">
        <v>0</v>
      </c>
      <c r="X609" s="1494">
        <f>OBRA!AS607+OBRA!AT607</f>
        <v>0</v>
      </c>
      <c r="Y609" s="1495" t="s">
        <v>75</v>
      </c>
      <c r="Z609" s="1496" t="str">
        <f>OBRA!W607</f>
        <v>PEDRO MACHUCA SAAVEDRA</v>
      </c>
      <c r="AA609" s="1496" t="s">
        <v>5665</v>
      </c>
      <c r="AB609" s="1502" t="str">
        <f t="shared" si="45"/>
        <v>PEDRO MACHUCA SAAVEDRA</v>
      </c>
      <c r="AC609" s="1496" t="s">
        <v>627</v>
      </c>
      <c r="AD609" s="1502" t="s">
        <v>627</v>
      </c>
      <c r="AE609" s="1497" t="str">
        <f>OBRA!X607</f>
        <v>LIC. SALVADOR CONTRERAS OLGUÍN</v>
      </c>
      <c r="AF609" s="829"/>
      <c r="AG609" s="186"/>
      <c r="AH609" s="551" t="e">
        <f t="shared" si="46"/>
        <v>#DIV/0!</v>
      </c>
      <c r="AI609" s="186"/>
      <c r="AJ609" s="516"/>
      <c r="AK609" s="516"/>
      <c r="AL609" s="1520"/>
      <c r="AM609" s="1521"/>
      <c r="AN609" s="1503"/>
      <c r="AO609" s="1503"/>
      <c r="AP609" s="1503"/>
      <c r="AQ609" s="516"/>
      <c r="AR609" s="516"/>
      <c r="AS609" s="1464"/>
    </row>
    <row r="610" spans="1:45" ht="182.25" customHeight="1">
      <c r="A610" s="16">
        <f>OBRA!J608</f>
        <v>2022</v>
      </c>
      <c r="B610" s="783" t="s">
        <v>3944</v>
      </c>
      <c r="C610" s="783">
        <f>OBRA!K608</f>
        <v>222003</v>
      </c>
      <c r="D610" s="783" t="s">
        <v>551</v>
      </c>
      <c r="E610" s="2" t="str">
        <f>OBRA!M608</f>
        <v>CUENTA CORRIENTE</v>
      </c>
      <c r="F610" s="671" t="s">
        <v>1428</v>
      </c>
      <c r="G610" s="156" t="s">
        <v>2861</v>
      </c>
      <c r="H610" s="12" t="str">
        <f>OBRA!N608</f>
        <v>CPSP DOP 003/2022</v>
      </c>
      <c r="I610" s="2" t="str">
        <f>OBRA!O608</f>
        <v xml:space="preserve">SERVICIOS </v>
      </c>
      <c r="J610"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4415</v>
      </c>
      <c r="L610" s="3"/>
      <c r="M610" s="3" t="s">
        <v>5922</v>
      </c>
      <c r="N610" s="3" t="str">
        <f>OBRA!Q608</f>
        <v>CABECERA MUNICIPAL</v>
      </c>
      <c r="O610" s="1909" t="s">
        <v>4507</v>
      </c>
      <c r="P610" s="79">
        <v>12000</v>
      </c>
      <c r="Q610" s="1023">
        <f t="shared" si="44"/>
        <v>10344.827586206897</v>
      </c>
      <c r="R610" s="79" t="s">
        <v>68</v>
      </c>
      <c r="S610" s="67">
        <f>OBRA!S608</f>
        <v>44592</v>
      </c>
      <c r="T610" s="1134" t="str">
        <f>OBRA!V608</f>
        <v>-</v>
      </c>
      <c r="U610" s="5">
        <f>OBRA!T608</f>
        <v>44593</v>
      </c>
      <c r="V610" s="11">
        <f>OBRA!U608</f>
        <v>44607</v>
      </c>
      <c r="W610" s="1901">
        <v>57000</v>
      </c>
      <c r="X610" s="1019">
        <f>OBRA!AS608+OBRA!AT608</f>
        <v>0</v>
      </c>
      <c r="Y610" s="1018" t="s">
        <v>1428</v>
      </c>
      <c r="Z610" s="146" t="str">
        <f>OBRA!W608</f>
        <v>OSCAR CASTILLO LEDEZMA</v>
      </c>
      <c r="AA610" s="146" t="s">
        <v>5665</v>
      </c>
      <c r="AB610" s="148" t="str">
        <f t="shared" si="45"/>
        <v>OSCAR CASTILLO LEDEZMA</v>
      </c>
      <c r="AC610" s="146" t="s">
        <v>4427</v>
      </c>
      <c r="AD610" s="148" t="s">
        <v>4428</v>
      </c>
      <c r="AE610" s="183">
        <f>OBRA!X608</f>
        <v>0</v>
      </c>
      <c r="AF610" s="19">
        <v>9</v>
      </c>
      <c r="AG610" s="2" t="s">
        <v>1841</v>
      </c>
      <c r="AH610" s="183">
        <f t="shared" si="46"/>
        <v>1333.3333333333333</v>
      </c>
      <c r="AI610" s="2"/>
      <c r="AJ610" s="513"/>
      <c r="AK610" s="1888">
        <v>1</v>
      </c>
      <c r="AL610" s="1513"/>
      <c r="AM610" s="1514"/>
      <c r="AN610" s="571"/>
      <c r="AO610" s="571"/>
      <c r="AP610" s="571"/>
      <c r="AQ610" s="513"/>
      <c r="AR610" s="513"/>
      <c r="AS610" s="18"/>
    </row>
    <row r="611" spans="1:45" ht="96.75" customHeight="1">
      <c r="A611" s="16">
        <f>OBRA!J609</f>
        <v>2022</v>
      </c>
      <c r="B611" s="783" t="s">
        <v>3944</v>
      </c>
      <c r="C611" s="783">
        <f>OBRA!K609</f>
        <v>222004</v>
      </c>
      <c r="D611" s="783" t="s">
        <v>551</v>
      </c>
      <c r="E611" s="2" t="str">
        <f>OBRA!M609</f>
        <v>CUENTA CORRIENTE</v>
      </c>
      <c r="F611" s="671" t="s">
        <v>1428</v>
      </c>
      <c r="G611" s="156" t="s">
        <v>2861</v>
      </c>
      <c r="H611" s="12" t="str">
        <f>OBRA!N609</f>
        <v>CPSP DOP 004/2022</v>
      </c>
      <c r="I611" s="2" t="str">
        <f>OBRA!O609</f>
        <v xml:space="preserve">SERVICIOS </v>
      </c>
      <c r="J611" s="3" t="str">
        <f>OBRA!P609</f>
        <v>LEVANTAMIENTO TOPOGRÁFICO: EN FRACCIONAMIENTO MAGISTERIAL EN ÁREA DE ARROYO Y CALLE MAGISTERIAL PARA PROYECTO DEL COLECTOR DE AGUA PLUVIAL, EN LA CABECERA MUNICIPAL DE JOCOTEPEC, JALISCO.</v>
      </c>
      <c r="K611" s="3" t="s">
        <v>4418</v>
      </c>
      <c r="L611" s="3"/>
      <c r="M611" s="3" t="s">
        <v>5923</v>
      </c>
      <c r="N611" s="3" t="str">
        <f>OBRA!Q609</f>
        <v>CABECERA MUNICIPAL</v>
      </c>
      <c r="O611" s="1909" t="s">
        <v>4507</v>
      </c>
      <c r="P611" s="79">
        <f>OBRA!R609</f>
        <v>10000.000400000001</v>
      </c>
      <c r="Q611" s="1023">
        <f t="shared" si="44"/>
        <v>8620.69</v>
      </c>
      <c r="R611" s="79" t="s">
        <v>68</v>
      </c>
      <c r="S611" s="67">
        <f>OBRA!S609</f>
        <v>44634</v>
      </c>
      <c r="T611" s="1134" t="str">
        <f>OBRA!V609</f>
        <v>-</v>
      </c>
      <c r="U611" s="5" t="str">
        <f>OBRA!T609</f>
        <v>-</v>
      </c>
      <c r="V611" s="11" t="str">
        <f>OBRA!U609</f>
        <v>-</v>
      </c>
      <c r="W611" s="1901">
        <v>0</v>
      </c>
      <c r="X611" s="1019">
        <f>OBRA!AS609+OBRA!AT609</f>
        <v>0</v>
      </c>
      <c r="Y611" s="1018" t="s">
        <v>1428</v>
      </c>
      <c r="Z611" s="146" t="str">
        <f>OBRA!W609</f>
        <v>ING. SERGIO CABRERA</v>
      </c>
      <c r="AA611" s="146" t="s">
        <v>5665</v>
      </c>
      <c r="AB611" s="148" t="str">
        <f t="shared" si="45"/>
        <v>ING. SERGIO CABRERA</v>
      </c>
      <c r="AC611" s="146" t="s">
        <v>1922</v>
      </c>
      <c r="AD611" s="148" t="s">
        <v>4429</v>
      </c>
      <c r="AE611" s="183" t="str">
        <f>OBRA!X609</f>
        <v>ARQ. FRANCISCO SALAZAR</v>
      </c>
      <c r="AF611" s="19">
        <v>1</v>
      </c>
      <c r="AG611" s="2" t="s">
        <v>6411</v>
      </c>
      <c r="AH611" s="183">
        <f t="shared" si="46"/>
        <v>10000.000400000001</v>
      </c>
      <c r="AI611" s="2"/>
      <c r="AJ611" s="513"/>
      <c r="AK611" s="1888">
        <v>1</v>
      </c>
      <c r="AL611" s="1513"/>
      <c r="AM611" s="1514"/>
      <c r="AN611" s="571"/>
      <c r="AO611" s="571"/>
      <c r="AP611" s="571"/>
      <c r="AQ611" s="513"/>
      <c r="AR611" s="513"/>
      <c r="AS611" s="18"/>
    </row>
    <row r="612" spans="1:45" ht="15" hidden="1" customHeight="1">
      <c r="A612" s="16">
        <f>OBRA!J610</f>
        <v>2022</v>
      </c>
      <c r="B612" s="783" t="s">
        <v>3944</v>
      </c>
      <c r="C612" s="783">
        <f>OBRA!K610</f>
        <v>222005</v>
      </c>
      <c r="D612" s="783" t="s">
        <v>551</v>
      </c>
      <c r="E612" s="2" t="str">
        <f>OBRA!M610</f>
        <v>CUENTA CORRIENTE</v>
      </c>
      <c r="F612" s="671" t="s">
        <v>1428</v>
      </c>
      <c r="G612" s="872" t="s">
        <v>2861</v>
      </c>
      <c r="H612" s="12" t="str">
        <f>OBRA!N610</f>
        <v>CPSP DOP 005/2022</v>
      </c>
      <c r="I612" s="2" t="str">
        <f>OBRA!O610</f>
        <v>CANCELADA</v>
      </c>
      <c r="J612" s="3" t="str">
        <f>OBRA!P610</f>
        <v>-</v>
      </c>
      <c r="K612" s="541"/>
      <c r="L612" s="541"/>
      <c r="M612" s="541"/>
      <c r="N612" s="541">
        <f>OBRA!Q610</f>
        <v>0</v>
      </c>
      <c r="O612" s="541"/>
      <c r="P612" s="4">
        <f>OBRA!R610</f>
        <v>0</v>
      </c>
      <c r="Q612" s="1023">
        <f t="shared" si="44"/>
        <v>0</v>
      </c>
      <c r="R612" s="1023"/>
      <c r="S612" s="6">
        <f>OBRA!S610</f>
        <v>0</v>
      </c>
      <c r="T612" s="1134" t="str">
        <f>OBRA!V610</f>
        <v>-</v>
      </c>
      <c r="U612" s="5">
        <f>OBRA!T610</f>
        <v>0</v>
      </c>
      <c r="V612" s="11">
        <f>OBRA!U610</f>
        <v>0</v>
      </c>
      <c r="W612" s="1527"/>
      <c r="X612" s="1098">
        <f>OBRA!AS610+OBRA!AT610</f>
        <v>0</v>
      </c>
      <c r="Y612" s="1017"/>
      <c r="Z612" s="146" t="str">
        <f>OBRA!W610</f>
        <v>-</v>
      </c>
      <c r="AA612" s="146" t="s">
        <v>68</v>
      </c>
      <c r="AB612" s="148" t="str">
        <f t="shared" si="45"/>
        <v>-</v>
      </c>
      <c r="AC612" s="163"/>
      <c r="AD612" s="1169"/>
      <c r="AE612" s="551">
        <f>OBRA!X610</f>
        <v>0</v>
      </c>
      <c r="AF612" s="161"/>
      <c r="AG612" s="510"/>
      <c r="AH612" s="634" t="e">
        <f t="shared" si="43"/>
        <v>#DIV/0!</v>
      </c>
      <c r="AI612" s="510"/>
      <c r="AJ612" s="506"/>
      <c r="AK612" s="506"/>
      <c r="AL612" s="635"/>
      <c r="AM612" s="1517"/>
      <c r="AN612" s="573"/>
      <c r="AO612" s="573"/>
      <c r="AP612" s="573"/>
      <c r="AQ612" s="506"/>
      <c r="AR612" s="506"/>
      <c r="AS612" s="511"/>
    </row>
    <row r="613" spans="1:45" ht="84.75" customHeight="1">
      <c r="A613" s="16">
        <f>OBRA!J611</f>
        <v>2022</v>
      </c>
      <c r="B613" s="783" t="s">
        <v>3944</v>
      </c>
      <c r="C613" s="783">
        <f>OBRA!K611</f>
        <v>222006</v>
      </c>
      <c r="D613" s="783" t="s">
        <v>551</v>
      </c>
      <c r="E613" s="2" t="str">
        <f>OBRA!M611</f>
        <v>CUENTA CORRIENTE</v>
      </c>
      <c r="F613" s="671" t="s">
        <v>1428</v>
      </c>
      <c r="G613" s="156" t="s">
        <v>2861</v>
      </c>
      <c r="H613" s="12" t="str">
        <f>OBRA!N611</f>
        <v>CPSP DOP 006/2022</v>
      </c>
      <c r="I613" s="2" t="str">
        <f>OBRA!O611</f>
        <v xml:space="preserve">SERVICIOS </v>
      </c>
      <c r="J613" s="3" t="str">
        <f>OBRA!P611</f>
        <v>LEVANTAMIENTO TOPOGRAFICO: PARA EL PROYECTO DE LÍNEAS DE LLENADO Y ABASTECIMIENTO DEL POZO ALLENDE AL TANQUE ELEVADO, ZONA NORTE DE LA CABECERA DE JOCOTEPEC, JALISCO.</v>
      </c>
      <c r="K613" s="3" t="s">
        <v>4417</v>
      </c>
      <c r="L613" s="3"/>
      <c r="M613" s="3" t="s">
        <v>2654</v>
      </c>
      <c r="N613" s="3" t="str">
        <f>OBRA!Q611</f>
        <v>CABECERA MUNICIPAL</v>
      </c>
      <c r="O613" s="1909" t="s">
        <v>4507</v>
      </c>
      <c r="P613" s="79">
        <f>OBRA!R611</f>
        <v>10000.000400000001</v>
      </c>
      <c r="Q613" s="1023">
        <f t="shared" si="44"/>
        <v>8620.69</v>
      </c>
      <c r="R613" s="79" t="s">
        <v>68</v>
      </c>
      <c r="S613" s="67">
        <f>OBRA!S611</f>
        <v>44634</v>
      </c>
      <c r="T613" s="1134" t="str">
        <f>OBRA!V611</f>
        <v>-</v>
      </c>
      <c r="U613" s="5" t="str">
        <f>OBRA!T611</f>
        <v>-</v>
      </c>
      <c r="V613" s="11" t="str">
        <f>OBRA!U611</f>
        <v>-</v>
      </c>
      <c r="W613" s="1901">
        <v>0</v>
      </c>
      <c r="X613" s="1019">
        <f>OBRA!AS611+OBRA!AT611</f>
        <v>0</v>
      </c>
      <c r="Y613" s="1018" t="s">
        <v>1428</v>
      </c>
      <c r="Z613" s="146" t="str">
        <f>OBRA!W611</f>
        <v>ING. SERGIO CABRERA</v>
      </c>
      <c r="AA613" s="146" t="s">
        <v>5665</v>
      </c>
      <c r="AB613" s="148" t="str">
        <f t="shared" si="45"/>
        <v>ING. SERGIO CABRERA</v>
      </c>
      <c r="AC613" s="146" t="s">
        <v>1922</v>
      </c>
      <c r="AD613" s="148" t="s">
        <v>4429</v>
      </c>
      <c r="AE613" s="183" t="str">
        <f>OBRA!X611</f>
        <v>ARQ. FRANCISCO SALAZAR</v>
      </c>
      <c r="AF613" s="19">
        <v>1</v>
      </c>
      <c r="AG613" s="2" t="s">
        <v>6411</v>
      </c>
      <c r="AH613" s="183">
        <f>P613/AF613</f>
        <v>10000.000400000001</v>
      </c>
      <c r="AI613" s="2"/>
      <c r="AJ613" s="513"/>
      <c r="AK613" s="1888">
        <v>1</v>
      </c>
      <c r="AL613" s="1513"/>
      <c r="AM613" s="1514"/>
      <c r="AN613" s="571"/>
      <c r="AO613" s="571"/>
      <c r="AP613" s="571"/>
      <c r="AQ613" s="513"/>
      <c r="AR613" s="513"/>
      <c r="AS613" s="18"/>
    </row>
    <row r="614" spans="1:45" ht="15" hidden="1" customHeight="1">
      <c r="A614" s="16">
        <f>OBRA!J612</f>
        <v>2022</v>
      </c>
      <c r="B614" s="783" t="s">
        <v>3944</v>
      </c>
      <c r="C614" s="783">
        <f>OBRA!K612</f>
        <v>222007</v>
      </c>
      <c r="D614" s="783"/>
      <c r="E614" s="2" t="str">
        <f>OBRA!M612</f>
        <v>CUENTA CORRIENTE</v>
      </c>
      <c r="F614" s="671" t="s">
        <v>1428</v>
      </c>
      <c r="G614" s="872" t="s">
        <v>2861</v>
      </c>
      <c r="H614" s="12" t="str">
        <f>OBRA!N612</f>
        <v>CPSP DOP 007/2022</v>
      </c>
      <c r="I614" s="2" t="str">
        <f>OBRA!O612</f>
        <v>CANCELADA</v>
      </c>
      <c r="J614" s="3" t="str">
        <f>OBRA!P612</f>
        <v>-</v>
      </c>
      <c r="K614" s="541"/>
      <c r="L614" s="541"/>
      <c r="M614" s="541"/>
      <c r="N614" s="541">
        <f>OBRA!Q612</f>
        <v>0</v>
      </c>
      <c r="O614" s="541"/>
      <c r="P614" s="4">
        <f>OBRA!R612</f>
        <v>0</v>
      </c>
      <c r="Q614" s="1023">
        <f t="shared" si="44"/>
        <v>0</v>
      </c>
      <c r="R614" s="1023"/>
      <c r="S614" s="6">
        <f>OBRA!S612</f>
        <v>0</v>
      </c>
      <c r="T614" s="1134" t="str">
        <f>OBRA!V612</f>
        <v>-</v>
      </c>
      <c r="U614" s="5">
        <f>OBRA!T612</f>
        <v>0</v>
      </c>
      <c r="V614" s="11">
        <f>OBRA!U612</f>
        <v>0</v>
      </c>
      <c r="W614" s="1527"/>
      <c r="X614" s="1098">
        <f>OBRA!AS612+OBRA!AT612</f>
        <v>0</v>
      </c>
      <c r="Y614" s="1017"/>
      <c r="Z614" s="163" t="str">
        <f>OBRA!W612</f>
        <v>-</v>
      </c>
      <c r="AA614" s="163" t="s">
        <v>68</v>
      </c>
      <c r="AB614" s="1169" t="str">
        <f t="shared" si="45"/>
        <v>-</v>
      </c>
      <c r="AC614" s="163"/>
      <c r="AD614" s="1169"/>
      <c r="AE614" s="551">
        <f>OBRA!X612</f>
        <v>0</v>
      </c>
      <c r="AF614" s="161"/>
      <c r="AG614" s="510"/>
      <c r="AH614" s="634" t="e">
        <f t="shared" si="43"/>
        <v>#DIV/0!</v>
      </c>
      <c r="AI614" s="510"/>
      <c r="AJ614" s="506"/>
      <c r="AK614" s="506"/>
      <c r="AL614" s="635"/>
      <c r="AM614" s="1517"/>
      <c r="AN614" s="573"/>
      <c r="AO614" s="573"/>
      <c r="AP614" s="573"/>
      <c r="AQ614" s="506"/>
      <c r="AR614" s="506"/>
      <c r="AS614" s="511"/>
    </row>
    <row r="615" spans="1:45" ht="83.25" customHeight="1">
      <c r="A615" s="16">
        <f>OBRA!J613</f>
        <v>2022</v>
      </c>
      <c r="B615" s="783" t="s">
        <v>3944</v>
      </c>
      <c r="C615" s="783">
        <f>OBRA!K613</f>
        <v>222008</v>
      </c>
      <c r="D615" s="783" t="s">
        <v>551</v>
      </c>
      <c r="E615" s="2" t="str">
        <f>OBRA!M613</f>
        <v>CUENTA CORRIENTE</v>
      </c>
      <c r="F615" s="671" t="s">
        <v>1428</v>
      </c>
      <c r="G615" s="156" t="s">
        <v>2861</v>
      </c>
      <c r="H615" s="12" t="str">
        <f>OBRA!N613</f>
        <v>CPSP DOP 008/2022</v>
      </c>
      <c r="I615" s="2" t="str">
        <f>OBRA!O613</f>
        <v xml:space="preserve">SERVICIOS </v>
      </c>
      <c r="J615" s="3" t="str">
        <f>OBRA!P613</f>
        <v>LEVANTAMIENTO TOPOGRAFICO: PARA EL PROYECTO DE LA REMODELACIÓN DE LA PLAZA PRINCIPAL DE LA LOCALIDAD DE SAN JUAN COSALA, DEL MUNICIPIO DE JOCOTEPEC, JALISCO.</v>
      </c>
      <c r="K615" s="3" t="s">
        <v>4416</v>
      </c>
      <c r="L615" s="3"/>
      <c r="M615" s="3" t="s">
        <v>5924</v>
      </c>
      <c r="N615" s="3" t="str">
        <f>OBRA!Q613</f>
        <v>SAN JUAN COSALÁ</v>
      </c>
      <c r="O615" s="1909" t="s">
        <v>4507</v>
      </c>
      <c r="P615" s="79">
        <f>OBRA!R613</f>
        <v>7000.0199999999995</v>
      </c>
      <c r="Q615" s="1023">
        <f t="shared" si="44"/>
        <v>6034.5</v>
      </c>
      <c r="R615" s="79" t="s">
        <v>68</v>
      </c>
      <c r="S615" s="67">
        <f>OBRA!S613</f>
        <v>44634</v>
      </c>
      <c r="T615" s="1134" t="str">
        <f>OBRA!V613</f>
        <v>-</v>
      </c>
      <c r="U615" s="5" t="str">
        <f>OBRA!T613</f>
        <v>-</v>
      </c>
      <c r="V615" s="11" t="str">
        <f>OBRA!U613</f>
        <v>-</v>
      </c>
      <c r="W615" s="1901">
        <v>0</v>
      </c>
      <c r="X615" s="1019">
        <v>0</v>
      </c>
      <c r="Y615" s="1018" t="s">
        <v>1428</v>
      </c>
      <c r="Z615" s="146" t="str">
        <f>OBRA!W613</f>
        <v>ING. SERGIO CABRERA</v>
      </c>
      <c r="AA615" s="146" t="s">
        <v>5665</v>
      </c>
      <c r="AB615" s="148" t="str">
        <f t="shared" si="45"/>
        <v>ING. SERGIO CABRERA</v>
      </c>
      <c r="AC615" s="146" t="s">
        <v>1922</v>
      </c>
      <c r="AD615" s="148" t="s">
        <v>4429</v>
      </c>
      <c r="AE615" s="183" t="str">
        <f>OBRA!X613</f>
        <v>ARQ. FRANCISCO SALAZAR</v>
      </c>
      <c r="AF615" s="19">
        <v>1</v>
      </c>
      <c r="AG615" s="2" t="s">
        <v>6411</v>
      </c>
      <c r="AH615" s="183">
        <f t="shared" ref="AH615:AH621" si="47">P615/AF615</f>
        <v>7000.0199999999995</v>
      </c>
      <c r="AI615" s="2"/>
      <c r="AJ615" s="2"/>
      <c r="AK615" s="2"/>
      <c r="AL615" s="1513"/>
      <c r="AM615" s="1514"/>
      <c r="AN615" s="571"/>
      <c r="AO615" s="571"/>
      <c r="AP615" s="571"/>
      <c r="AQ615" s="513"/>
      <c r="AR615" s="513"/>
      <c r="AS615" s="18"/>
    </row>
    <row r="616" spans="1:45" ht="100.5" customHeight="1">
      <c r="A616" s="16">
        <f>OBRA!J614</f>
        <v>2022</v>
      </c>
      <c r="B616" s="783" t="s">
        <v>3944</v>
      </c>
      <c r="C616" s="783">
        <f>OBRA!K614</f>
        <v>222009</v>
      </c>
      <c r="D616" s="783" t="s">
        <v>551</v>
      </c>
      <c r="E616" s="2" t="str">
        <f>OBRA!M614</f>
        <v>CUENTA CORRIENTE</v>
      </c>
      <c r="F616" s="671" t="s">
        <v>1428</v>
      </c>
      <c r="G616" s="156" t="s">
        <v>2861</v>
      </c>
      <c r="H616" s="12" t="str">
        <f>OBRA!N614</f>
        <v>CPSP DOP 009/2022</v>
      </c>
      <c r="I616" s="2" t="str">
        <f>OBRA!O614</f>
        <v xml:space="preserve">SERVICIOS </v>
      </c>
      <c r="J616" s="3" t="str">
        <f>OBRA!P614</f>
        <v>SERVICIO DE LABORATORIO, SONDEOS CON EQUIPOS DE PENETRACIÓN ESTÁNDAR PARA LA CONSTRUCCIÓN DE PUENTE PEATONAL EN LA CALLE ALLENDE, DE LA LOCALIDAD DE ZAPOTITÁN DE HIDALGO, DEL MUNICIPIO DE JOCOTEPEC, JALISCO.</v>
      </c>
      <c r="K616" s="3" t="s">
        <v>4419</v>
      </c>
      <c r="L616" s="3"/>
      <c r="M616" s="3" t="s">
        <v>5925</v>
      </c>
      <c r="N616" s="3" t="str">
        <f>OBRA!Q614</f>
        <v>ZAPOTITÁN DE HIDALGO</v>
      </c>
      <c r="O616" s="1909" t="s">
        <v>4507</v>
      </c>
      <c r="P616" s="79">
        <f>OBRA!R614</f>
        <v>15659.999999999998</v>
      </c>
      <c r="Q616" s="1023">
        <f t="shared" si="44"/>
        <v>13500</v>
      </c>
      <c r="R616" s="79" t="s">
        <v>68</v>
      </c>
      <c r="S616" s="67">
        <f>OBRA!S614</f>
        <v>44635</v>
      </c>
      <c r="T616" s="1134" t="str">
        <f>OBRA!V614</f>
        <v>-</v>
      </c>
      <c r="U616" s="5" t="str">
        <f>OBRA!T614</f>
        <v>-</v>
      </c>
      <c r="V616" s="11" t="str">
        <f>OBRA!U614</f>
        <v>-</v>
      </c>
      <c r="W616" s="1901">
        <v>0</v>
      </c>
      <c r="X616" s="1019">
        <f>OBRA!AS614+OBRA!AT614</f>
        <v>0</v>
      </c>
      <c r="Y616" s="1018" t="s">
        <v>1428</v>
      </c>
      <c r="Z616" s="146" t="str">
        <f>OBRA!W614</f>
        <v>ECCOC DE GUADALAJARA, S.A. DE C.V.</v>
      </c>
      <c r="AA616" s="146" t="s">
        <v>5666</v>
      </c>
      <c r="AB616" s="148" t="s">
        <v>4831</v>
      </c>
      <c r="AC616" s="1770" t="s">
        <v>4430</v>
      </c>
      <c r="AD616" s="1769" t="s">
        <v>6763</v>
      </c>
      <c r="AE616" s="183" t="str">
        <f>OBRA!X614</f>
        <v>ARQ. FRANCISCO SALAZAR</v>
      </c>
      <c r="AF616" s="19">
        <v>1</v>
      </c>
      <c r="AG616" s="2" t="s">
        <v>1573</v>
      </c>
      <c r="AH616" s="183">
        <f t="shared" si="47"/>
        <v>15659.999999999998</v>
      </c>
      <c r="AI616" s="2"/>
      <c r="AJ616" s="513"/>
      <c r="AK616" s="1888">
        <v>1</v>
      </c>
      <c r="AL616" s="1513"/>
      <c r="AM616" s="1514"/>
      <c r="AN616" s="571"/>
      <c r="AO616" s="571"/>
      <c r="AP616" s="571"/>
      <c r="AQ616" s="513"/>
      <c r="AR616" s="513"/>
      <c r="AS616" s="18"/>
    </row>
    <row r="617" spans="1:45" ht="79.5" customHeight="1">
      <c r="A617" s="16">
        <f>OBRA!J615</f>
        <v>2022</v>
      </c>
      <c r="B617" s="783" t="s">
        <v>3944</v>
      </c>
      <c r="C617" s="783">
        <f>OBRA!K615</f>
        <v>222010</v>
      </c>
      <c r="D617" s="783" t="s">
        <v>551</v>
      </c>
      <c r="E617" s="2" t="str">
        <f>OBRA!M615</f>
        <v>CUENTA CORRIENTE</v>
      </c>
      <c r="F617" s="671" t="s">
        <v>1428</v>
      </c>
      <c r="G617" s="156" t="s">
        <v>2861</v>
      </c>
      <c r="H617" s="12" t="str">
        <f>OBRA!N615</f>
        <v>CPSP DOP 010/2022</v>
      </c>
      <c r="I617" s="2" t="str">
        <f>OBRA!O615</f>
        <v xml:space="preserve">SERVICIOS </v>
      </c>
      <c r="J617" s="3" t="str">
        <f>OBRA!P615</f>
        <v>LOCALIZACIÓN DE AGUA EN PREDIOS PARA POSIBLE PERFORACIÓN DE POZO PROFUNDO POR MEDIO DE LA TÉCNICA DE RADIESTESIA EN LA LOCALIDAD DE CHANTEPEC, EN EL MUNICIPIO DE JOCOTEPEC, JALISCO.</v>
      </c>
      <c r="K617" s="3" t="s">
        <v>4414</v>
      </c>
      <c r="L617" s="3"/>
      <c r="M617" s="3" t="s">
        <v>5926</v>
      </c>
      <c r="N617" s="3" t="str">
        <f>OBRA!Q615</f>
        <v>CHANTEPEC</v>
      </c>
      <c r="O617" s="3"/>
      <c r="P617" s="79">
        <f>OBRA!R615</f>
        <v>4000</v>
      </c>
      <c r="Q617" s="1023">
        <f t="shared" si="44"/>
        <v>3448.2758620689656</v>
      </c>
      <c r="R617" s="79" t="s">
        <v>68</v>
      </c>
      <c r="S617" s="67">
        <f>OBRA!S615</f>
        <v>44658</v>
      </c>
      <c r="T617" s="1134" t="str">
        <f>OBRA!V615</f>
        <v>-</v>
      </c>
      <c r="U617" s="5">
        <f>OBRA!T615</f>
        <v>44660</v>
      </c>
      <c r="V617" s="11">
        <f>OBRA!U615</f>
        <v>44660</v>
      </c>
      <c r="W617" s="1901">
        <v>0</v>
      </c>
      <c r="X617" s="1019">
        <f>OBRA!AS615+OBRA!AT615</f>
        <v>0</v>
      </c>
      <c r="Y617" s="1018" t="s">
        <v>1428</v>
      </c>
      <c r="Z617" s="146" t="str">
        <f>OBRA!W615</f>
        <v>PEDRO MACHUCA SAAVEDRA</v>
      </c>
      <c r="AA617" s="146" t="s">
        <v>5665</v>
      </c>
      <c r="AB617" s="148" t="str">
        <f t="shared" si="45"/>
        <v>PEDRO MACHUCA SAAVEDRA</v>
      </c>
      <c r="AC617" s="146" t="s">
        <v>68</v>
      </c>
      <c r="AD617" s="1769" t="s">
        <v>4432</v>
      </c>
      <c r="AE617" s="183" t="str">
        <f>OBRA!X615</f>
        <v>ARQ. FRANCISCO SALAZAR</v>
      </c>
      <c r="AF617" s="19">
        <v>1</v>
      </c>
      <c r="AG617" s="2" t="s">
        <v>1573</v>
      </c>
      <c r="AH617" s="183">
        <f t="shared" si="47"/>
        <v>4000</v>
      </c>
      <c r="AI617" s="2"/>
      <c r="AJ617" s="513"/>
      <c r="AK617" s="1888">
        <v>1</v>
      </c>
      <c r="AL617" s="1513"/>
      <c r="AM617" s="1514"/>
      <c r="AN617" s="571"/>
      <c r="AO617" s="571"/>
      <c r="AP617" s="571"/>
      <c r="AQ617" s="513"/>
      <c r="AR617" s="513"/>
      <c r="AS617" s="18"/>
    </row>
    <row r="618" spans="1:45" ht="80.25" customHeight="1">
      <c r="A618" s="16">
        <f>OBRA!J616</f>
        <v>2022</v>
      </c>
      <c r="B618" s="783" t="s">
        <v>3944</v>
      </c>
      <c r="C618" s="783">
        <f>OBRA!K616</f>
        <v>222011</v>
      </c>
      <c r="D618" s="783" t="s">
        <v>551</v>
      </c>
      <c r="E618" s="2" t="str">
        <f>OBRA!M616</f>
        <v>CUENTA CORRIENTE</v>
      </c>
      <c r="F618" s="671" t="s">
        <v>1428</v>
      </c>
      <c r="G618" s="156" t="s">
        <v>2861</v>
      </c>
      <c r="H618" s="12" t="str">
        <f>OBRA!N616</f>
        <v>CPSP DOP 011/2022</v>
      </c>
      <c r="I618" s="2" t="str">
        <f>OBRA!O616</f>
        <v xml:space="preserve">SERVICIOS </v>
      </c>
      <c r="J618" s="3" t="str">
        <f>OBRA!P616</f>
        <v>ESTUDIO GEOHIDROLÓGICO-GEOFÍSICO Y PROSPECCIÓN GEOFÍSICA CON FINES DE LOCALIZAR AGUA SUBTERRANEA EN LA LOCALIDAD DE CHANTEPEC, DEL MUNICIPIO DE JOCOTEPEC, JALISCO.</v>
      </c>
      <c r="K618" s="3" t="s">
        <v>4420</v>
      </c>
      <c r="L618" s="3"/>
      <c r="M618" s="3" t="s">
        <v>5926</v>
      </c>
      <c r="N618" s="3" t="str">
        <f>OBRA!Q616</f>
        <v>CHANTEPEC</v>
      </c>
      <c r="O618" s="504" t="s">
        <v>4508</v>
      </c>
      <c r="P618" s="79">
        <f>OBRA!R616</f>
        <v>17400</v>
      </c>
      <c r="Q618" s="1023">
        <f t="shared" si="44"/>
        <v>15000.000000000002</v>
      </c>
      <c r="R618" s="79" t="s">
        <v>68</v>
      </c>
      <c r="S618" s="67">
        <f>OBRA!S616</f>
        <v>44690</v>
      </c>
      <c r="T618" s="1134" t="str">
        <f>OBRA!V616</f>
        <v>-</v>
      </c>
      <c r="U618" s="5">
        <f>OBRA!T616</f>
        <v>44693</v>
      </c>
      <c r="V618" s="11">
        <f>OBRA!U616</f>
        <v>44695</v>
      </c>
      <c r="W618" s="1901">
        <v>0</v>
      </c>
      <c r="X618" s="1019">
        <f>OBRA!AS616+OBRA!AT616</f>
        <v>0</v>
      </c>
      <c r="Y618" s="1018" t="s">
        <v>1428</v>
      </c>
      <c r="Z618" s="146" t="str">
        <f>OBRA!W616</f>
        <v>J. TRINIDAD NÚÑEZ BRITO</v>
      </c>
      <c r="AA618" s="146" t="s">
        <v>5665</v>
      </c>
      <c r="AB618" s="2" t="s">
        <v>3756</v>
      </c>
      <c r="AC618" s="1770" t="s">
        <v>4426</v>
      </c>
      <c r="AD618" s="1769" t="s">
        <v>5633</v>
      </c>
      <c r="AE618" s="183" t="str">
        <f>OBRA!X616</f>
        <v>ARQ. FRANCISCO SALAZAR</v>
      </c>
      <c r="AF618" s="19">
        <v>1</v>
      </c>
      <c r="AG618" s="2" t="s">
        <v>6758</v>
      </c>
      <c r="AH618" s="183">
        <f t="shared" si="47"/>
        <v>17400</v>
      </c>
      <c r="AI618" s="2"/>
      <c r="AJ618" s="513"/>
      <c r="AK618" s="1888">
        <v>1</v>
      </c>
      <c r="AL618" s="1513"/>
      <c r="AM618" s="1514"/>
      <c r="AN618" s="571"/>
      <c r="AO618" s="571"/>
      <c r="AP618" s="571"/>
      <c r="AQ618" s="513"/>
      <c r="AR618" s="513"/>
      <c r="AS618" s="18"/>
    </row>
    <row r="619" spans="1:45" ht="107.25" customHeight="1">
      <c r="A619" s="16">
        <f>OBRA!J617</f>
        <v>2022</v>
      </c>
      <c r="B619" s="783" t="s">
        <v>3944</v>
      </c>
      <c r="C619" s="783">
        <f>OBRA!K617</f>
        <v>222012</v>
      </c>
      <c r="D619" s="783" t="s">
        <v>551</v>
      </c>
      <c r="E619" s="2" t="str">
        <f>OBRA!M617</f>
        <v>CUENTA CORRIENTE</v>
      </c>
      <c r="F619" s="671" t="s">
        <v>1428</v>
      </c>
      <c r="G619" s="156" t="s">
        <v>2861</v>
      </c>
      <c r="H619" s="12" t="str">
        <f>OBRA!N617</f>
        <v>CPSP DOP 012/2022</v>
      </c>
      <c r="I619" s="2" t="str">
        <f>OBRA!O617</f>
        <v xml:space="preserve">SERVICIOS </v>
      </c>
      <c r="J619" s="3" t="str">
        <f>OBRA!P617</f>
        <v>ESTUDIO DE MECANICA DE SUELOS PARA LA CONSTRUCCIÓN DE LA CALLE GUADALUPE VICTORIA Y 3 POZOS A CIELO ABIERTO; CALLE JOSÉ SANTANA PONIENTE Y 3 POZOS A CIELO ABIERTO; CALLE MORELOS Y 3 POZOS A CIELO ABIERTO, EN EL MUNICIPIO DE JOCOTEPEC, JALISCO.</v>
      </c>
      <c r="K619" s="3" t="s">
        <v>4421</v>
      </c>
      <c r="L619" s="3"/>
      <c r="M619" s="3" t="s">
        <v>4010</v>
      </c>
      <c r="N619" s="3" t="str">
        <f>OBRA!Q617</f>
        <v>CABECERA MUNICIPAL</v>
      </c>
      <c r="O619" s="504" t="s">
        <v>4508</v>
      </c>
      <c r="P619" s="79">
        <f>OBRA!R617</f>
        <v>32886</v>
      </c>
      <c r="Q619" s="1023">
        <f t="shared" si="44"/>
        <v>28350.000000000004</v>
      </c>
      <c r="R619" s="79" t="s">
        <v>68</v>
      </c>
      <c r="S619" s="67">
        <f>OBRA!S617</f>
        <v>44662</v>
      </c>
      <c r="T619" s="1134" t="str">
        <f>OBRA!V617</f>
        <v>-</v>
      </c>
      <c r="U619" s="5" t="str">
        <f>OBRA!T617</f>
        <v>-</v>
      </c>
      <c r="V619" s="11" t="str">
        <f>OBRA!U617</f>
        <v>-</v>
      </c>
      <c r="W619" s="1901">
        <v>0</v>
      </c>
      <c r="X619" s="1019">
        <f>OBRA!AS617+OBRA!AT617</f>
        <v>0</v>
      </c>
      <c r="Y619" s="1018" t="s">
        <v>1428</v>
      </c>
      <c r="Z619" s="146" t="str">
        <f>OBRA!W617</f>
        <v>ECCOC DE GUADALAJARA, S.A. DE C.V.</v>
      </c>
      <c r="AA619" s="146" t="s">
        <v>5665</v>
      </c>
      <c r="AB619" s="148" t="s">
        <v>4831</v>
      </c>
      <c r="AC619" s="1770" t="s">
        <v>4430</v>
      </c>
      <c r="AD619" s="1769" t="s">
        <v>6763</v>
      </c>
      <c r="AE619" s="183" t="str">
        <f>OBRA!X617</f>
        <v>ARQ. FRANCISCO SALAZAR</v>
      </c>
      <c r="AF619" s="19">
        <v>9</v>
      </c>
      <c r="AG619" s="2" t="s">
        <v>6758</v>
      </c>
      <c r="AH619" s="183">
        <f t="shared" si="47"/>
        <v>3654</v>
      </c>
      <c r="AI619" s="2"/>
      <c r="AJ619" s="513"/>
      <c r="AK619" s="1888">
        <v>1</v>
      </c>
      <c r="AL619" s="1513"/>
      <c r="AM619" s="1514"/>
      <c r="AN619" s="571"/>
      <c r="AO619" s="571"/>
      <c r="AP619" s="571"/>
      <c r="AQ619" s="513"/>
      <c r="AR619" s="513"/>
      <c r="AS619" s="18"/>
    </row>
    <row r="620" spans="1:45" ht="154.5" customHeight="1">
      <c r="A620" s="16">
        <f>OBRA!J618</f>
        <v>2022</v>
      </c>
      <c r="B620" s="783" t="s">
        <v>3944</v>
      </c>
      <c r="C620" s="783">
        <f>OBRA!K618</f>
        <v>222013</v>
      </c>
      <c r="D620" s="783" t="s">
        <v>551</v>
      </c>
      <c r="E620" s="2" t="str">
        <f>OBRA!M618</f>
        <v>CUENTA CORRIENTE</v>
      </c>
      <c r="F620" s="671" t="s">
        <v>1428</v>
      </c>
      <c r="G620" s="156" t="s">
        <v>2861</v>
      </c>
      <c r="H620" s="12" t="str">
        <f>OBRA!N618</f>
        <v>CPSP DOP 013/2022</v>
      </c>
      <c r="I620" s="2" t="str">
        <f>OBRA!O618</f>
        <v xml:space="preserve">SERVICIOS </v>
      </c>
      <c r="J620"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4437</v>
      </c>
      <c r="L620" s="3"/>
      <c r="M620" s="3" t="s">
        <v>5927</v>
      </c>
      <c r="N620" s="3" t="str">
        <f>OBRA!Q618</f>
        <v>HUEJOTITÁN</v>
      </c>
      <c r="O620" s="504" t="s">
        <v>4508</v>
      </c>
      <c r="P620" s="79">
        <f>OBRA!R618</f>
        <v>18270</v>
      </c>
      <c r="Q620" s="1023">
        <f t="shared" si="44"/>
        <v>15750.000000000002</v>
      </c>
      <c r="R620" s="79" t="s">
        <v>68</v>
      </c>
      <c r="S620" s="67">
        <f>OBRA!S618</f>
        <v>44690</v>
      </c>
      <c r="T620" s="1134" t="str">
        <f>OBRA!V618</f>
        <v>-</v>
      </c>
      <c r="U620" s="5" t="str">
        <f>OBRA!T618</f>
        <v>-</v>
      </c>
      <c r="V620" s="11" t="str">
        <f>OBRA!U618</f>
        <v>-</v>
      </c>
      <c r="W620" s="1901">
        <v>0</v>
      </c>
      <c r="X620" s="1019">
        <f>OBRA!AS618+OBRA!AT618</f>
        <v>0</v>
      </c>
      <c r="Y620" s="1018" t="s">
        <v>1428</v>
      </c>
      <c r="Z620" s="146" t="str">
        <f>OBRA!W618</f>
        <v>ECCOC DE GUADALAJARA, S.A. DE C.V.</v>
      </c>
      <c r="AA620" s="146" t="s">
        <v>5665</v>
      </c>
      <c r="AB620" s="148" t="s">
        <v>4831</v>
      </c>
      <c r="AC620" s="1770" t="s">
        <v>4430</v>
      </c>
      <c r="AD620" s="1769" t="s">
        <v>6763</v>
      </c>
      <c r="AE620" s="183" t="str">
        <f>OBRA!X618</f>
        <v>ARQ. FRANCISCO SALAZAR</v>
      </c>
      <c r="AF620" s="19">
        <v>1</v>
      </c>
      <c r="AG620" s="2" t="s">
        <v>6758</v>
      </c>
      <c r="AH620" s="183">
        <f t="shared" si="47"/>
        <v>18270</v>
      </c>
      <c r="AI620" s="2"/>
      <c r="AJ620" s="2"/>
      <c r="AK620" s="2"/>
      <c r="AL620" s="1513"/>
      <c r="AM620" s="1514"/>
      <c r="AN620" s="571"/>
      <c r="AO620" s="571"/>
      <c r="AP620" s="571"/>
      <c r="AQ620" s="513"/>
      <c r="AR620" s="513"/>
      <c r="AS620" s="18"/>
    </row>
    <row r="621" spans="1:45" ht="120" customHeight="1">
      <c r="A621" s="16">
        <f>OBRA!J619</f>
        <v>2022</v>
      </c>
      <c r="B621" s="783" t="s">
        <v>3944</v>
      </c>
      <c r="C621" s="783">
        <f>OBRA!K619</f>
        <v>222014</v>
      </c>
      <c r="D621" s="783" t="s">
        <v>551</v>
      </c>
      <c r="E621" s="2" t="str">
        <f>OBRA!M619</f>
        <v>CUENTA CORRIENTE</v>
      </c>
      <c r="F621" s="671" t="s">
        <v>1428</v>
      </c>
      <c r="G621" s="156" t="s">
        <v>2861</v>
      </c>
      <c r="H621" s="12" t="str">
        <f>OBRA!N619</f>
        <v>CPSP DOP 014/2022</v>
      </c>
      <c r="I621" s="2" t="str">
        <f>OBRA!O619</f>
        <v xml:space="preserve">SERVICIOS </v>
      </c>
      <c r="J621" s="3" t="str">
        <f>OBRA!P619</f>
        <v>LOCALIZACIÓN DE  AGUA EN PREDIO PARA SU POSIBLE PERFORACIÓN DE POZO PROFUNDOPOR MEDIO DE LA TÉCNICA DE RADIESTESIA UBICADO EN CALLE LAS PLAYAS DE LAL LAGUNA ESQUINA CON CALLE MORELOS, EN LA LOCALIDAD DE CHANTEPEC, EN EL MUNICIPIO DE JOCOTEPEC, JALISCO.</v>
      </c>
      <c r="K621" s="3" t="s">
        <v>4422</v>
      </c>
      <c r="L621" s="3"/>
      <c r="M621" s="3" t="s">
        <v>5928</v>
      </c>
      <c r="N621" s="3" t="str">
        <f>OBRA!Q619</f>
        <v>CHANTEPEC</v>
      </c>
      <c r="O621" s="3"/>
      <c r="P621" s="79">
        <f>OBRA!R619</f>
        <v>3500</v>
      </c>
      <c r="Q621" s="1023">
        <f t="shared" si="44"/>
        <v>3017.2413793103451</v>
      </c>
      <c r="R621" s="79" t="s">
        <v>68</v>
      </c>
      <c r="S621" s="67">
        <f>OBRA!S619</f>
        <v>44714</v>
      </c>
      <c r="T621" s="1134" t="str">
        <f>OBRA!V619</f>
        <v>-</v>
      </c>
      <c r="U621" s="5">
        <f>OBRA!T619</f>
        <v>44716</v>
      </c>
      <c r="V621" s="11">
        <f>OBRA!U619</f>
        <v>44716</v>
      </c>
      <c r="W621" s="1901">
        <v>0</v>
      </c>
      <c r="X621" s="1019">
        <f>OBRA!AS619+OBRA!AT619</f>
        <v>0</v>
      </c>
      <c r="Y621" s="1018" t="s">
        <v>1428</v>
      </c>
      <c r="Z621" s="146" t="str">
        <f>OBRA!W619</f>
        <v>PEDRO MACHUCA SAAVEDRA</v>
      </c>
      <c r="AA621" s="146" t="s">
        <v>5665</v>
      </c>
      <c r="AB621" s="148" t="str">
        <f t="shared" si="45"/>
        <v>PEDRO MACHUCA SAAVEDRA</v>
      </c>
      <c r="AC621" s="146" t="s">
        <v>68</v>
      </c>
      <c r="AD621" s="148" t="s">
        <v>4432</v>
      </c>
      <c r="AE621" s="183" t="str">
        <f>OBRA!X619</f>
        <v>ARQ. FRANCISCO SALAZAR</v>
      </c>
      <c r="AF621" s="19">
        <v>1</v>
      </c>
      <c r="AG621" s="2" t="s">
        <v>1573</v>
      </c>
      <c r="AH621" s="183">
        <f t="shared" si="47"/>
        <v>3500</v>
      </c>
      <c r="AI621" s="2"/>
      <c r="AJ621" s="513"/>
      <c r="AK621" s="1888">
        <v>1</v>
      </c>
      <c r="AL621" s="1513"/>
      <c r="AM621" s="1514"/>
      <c r="AN621" s="571"/>
      <c r="AO621" s="571"/>
      <c r="AP621" s="571"/>
      <c r="AQ621" s="513"/>
      <c r="AR621" s="513"/>
      <c r="AS621" s="18"/>
    </row>
    <row r="622" spans="1:45" ht="15" hidden="1" customHeight="1">
      <c r="A622" s="16">
        <f>OBRA!J620</f>
        <v>2022</v>
      </c>
      <c r="B622" s="783" t="s">
        <v>3944</v>
      </c>
      <c r="C622" s="783">
        <f>OBRA!K620</f>
        <v>222015</v>
      </c>
      <c r="D622" s="783"/>
      <c r="E622" s="2" t="str">
        <f>OBRA!M620</f>
        <v>CUENTA CORRIENTE</v>
      </c>
      <c r="F622" s="671" t="s">
        <v>1428</v>
      </c>
      <c r="G622" s="872" t="s">
        <v>2861</v>
      </c>
      <c r="H622" s="12" t="str">
        <f>OBRA!N620</f>
        <v>CPSP DOP 015/2022</v>
      </c>
      <c r="I622" s="2" t="str">
        <f>OBRA!O620</f>
        <v>CANCELADA</v>
      </c>
      <c r="J622" s="3" t="str">
        <f>OBRA!P620</f>
        <v>-</v>
      </c>
      <c r="K622" s="541"/>
      <c r="L622" s="541"/>
      <c r="M622" s="541"/>
      <c r="N622" s="541">
        <f>OBRA!Q620</f>
        <v>0</v>
      </c>
      <c r="O622" s="541"/>
      <c r="P622" s="4">
        <f>OBRA!R620</f>
        <v>0</v>
      </c>
      <c r="Q622" s="1023">
        <f t="shared" si="44"/>
        <v>0</v>
      </c>
      <c r="R622" s="1023"/>
      <c r="S622" s="6">
        <f>OBRA!S620</f>
        <v>0</v>
      </c>
      <c r="T622" s="1134" t="str">
        <f>OBRA!V620</f>
        <v>-</v>
      </c>
      <c r="U622" s="5">
        <f>OBRA!T620</f>
        <v>0</v>
      </c>
      <c r="V622" s="11">
        <f>OBRA!U620</f>
        <v>0</v>
      </c>
      <c r="W622" s="1527"/>
      <c r="X622" s="1098">
        <f>OBRA!AS620+OBRA!AT620</f>
        <v>0</v>
      </c>
      <c r="Y622" s="1017"/>
      <c r="Z622" s="163" t="str">
        <f>OBRA!W620</f>
        <v>-</v>
      </c>
      <c r="AA622" s="163"/>
      <c r="AB622" s="1169" t="str">
        <f t="shared" si="45"/>
        <v>-</v>
      </c>
      <c r="AC622" s="163"/>
      <c r="AD622" s="1169"/>
      <c r="AE622" s="551">
        <f>OBRA!X620</f>
        <v>0</v>
      </c>
      <c r="AF622" s="161"/>
      <c r="AG622" s="510"/>
      <c r="AH622" s="634" t="e">
        <f t="shared" si="43"/>
        <v>#DIV/0!</v>
      </c>
      <c r="AI622" s="510"/>
      <c r="AJ622" s="506"/>
      <c r="AK622" s="506"/>
      <c r="AL622" s="635"/>
      <c r="AM622" s="1517"/>
      <c r="AN622" s="573"/>
      <c r="AO622" s="573"/>
      <c r="AP622" s="573"/>
      <c r="AQ622" s="506"/>
      <c r="AR622" s="506"/>
      <c r="AS622" s="511"/>
    </row>
    <row r="623" spans="1:45" ht="15" hidden="1" customHeight="1">
      <c r="A623" s="16">
        <f>OBRA!J621</f>
        <v>2022</v>
      </c>
      <c r="B623" s="783" t="s">
        <v>3944</v>
      </c>
      <c r="C623" s="783">
        <f>OBRA!K621</f>
        <v>222016</v>
      </c>
      <c r="D623" s="783"/>
      <c r="E623" s="2" t="str">
        <f>OBRA!M621</f>
        <v>CUENTA CORRIENTE</v>
      </c>
      <c r="F623" s="671" t="s">
        <v>1428</v>
      </c>
      <c r="G623" s="872" t="s">
        <v>2861</v>
      </c>
      <c r="H623" s="12" t="str">
        <f>OBRA!N621</f>
        <v>CPSP DOP 016/2022</v>
      </c>
      <c r="I623" s="2" t="str">
        <f>OBRA!O621</f>
        <v>CANCELADA</v>
      </c>
      <c r="J623" s="3" t="str">
        <f>OBRA!P621</f>
        <v>-</v>
      </c>
      <c r="K623" s="541"/>
      <c r="L623" s="541"/>
      <c r="M623" s="541"/>
      <c r="N623" s="541">
        <f>OBRA!Q621</f>
        <v>0</v>
      </c>
      <c r="O623" s="541"/>
      <c r="P623" s="4">
        <f>OBRA!R621</f>
        <v>0</v>
      </c>
      <c r="Q623" s="1023">
        <f t="shared" si="44"/>
        <v>0</v>
      </c>
      <c r="R623" s="1023"/>
      <c r="S623" s="6">
        <f>OBRA!S621</f>
        <v>0</v>
      </c>
      <c r="T623" s="1134" t="str">
        <f>OBRA!V621</f>
        <v>-</v>
      </c>
      <c r="U623" s="5">
        <f>OBRA!T621</f>
        <v>0</v>
      </c>
      <c r="V623" s="11">
        <f>OBRA!U621</f>
        <v>0</v>
      </c>
      <c r="W623" s="1527"/>
      <c r="X623" s="1098">
        <f>OBRA!AS621+OBRA!AT621</f>
        <v>0</v>
      </c>
      <c r="Y623" s="1017"/>
      <c r="Z623" s="163" t="str">
        <f>OBRA!W621</f>
        <v>-</v>
      </c>
      <c r="AA623" s="163"/>
      <c r="AB623" s="1169" t="str">
        <f t="shared" si="45"/>
        <v>-</v>
      </c>
      <c r="AC623" s="163"/>
      <c r="AD623" s="1169"/>
      <c r="AE623" s="551">
        <f>OBRA!X621</f>
        <v>0</v>
      </c>
      <c r="AF623" s="161"/>
      <c r="AG623" s="510"/>
      <c r="AH623" s="634" t="e">
        <f t="shared" si="43"/>
        <v>#DIV/0!</v>
      </c>
      <c r="AI623" s="510"/>
      <c r="AJ623" s="506"/>
      <c r="AK623" s="506"/>
      <c r="AL623" s="635"/>
      <c r="AM623" s="1517"/>
      <c r="AN623" s="573"/>
      <c r="AO623" s="573"/>
      <c r="AP623" s="573"/>
      <c r="AQ623" s="506"/>
      <c r="AR623" s="506"/>
      <c r="AS623" s="511"/>
    </row>
    <row r="624" spans="1:45" ht="15" hidden="1" customHeight="1">
      <c r="A624" s="16">
        <f>OBRA!J622</f>
        <v>2022</v>
      </c>
      <c r="B624" s="783" t="s">
        <v>3944</v>
      </c>
      <c r="C624" s="783">
        <f>OBRA!K622</f>
        <v>222017</v>
      </c>
      <c r="D624" s="783"/>
      <c r="E624" s="2" t="str">
        <f>OBRA!M622</f>
        <v>CUENTA CORRIENTE</v>
      </c>
      <c r="F624" s="671" t="s">
        <v>1428</v>
      </c>
      <c r="G624" s="872" t="s">
        <v>2861</v>
      </c>
      <c r="H624" s="12" t="str">
        <f>OBRA!N622</f>
        <v>CPSP DOP 017/2022</v>
      </c>
      <c r="I624" s="2" t="str">
        <f>OBRA!O622</f>
        <v>CANCELADA</v>
      </c>
      <c r="J624" s="3" t="str">
        <f>OBRA!P622</f>
        <v>-</v>
      </c>
      <c r="K624" s="541"/>
      <c r="L624" s="541"/>
      <c r="M624" s="541"/>
      <c r="N624" s="541">
        <f>OBRA!Q622</f>
        <v>0</v>
      </c>
      <c r="O624" s="541"/>
      <c r="P624" s="4">
        <f>OBRA!R622</f>
        <v>0</v>
      </c>
      <c r="Q624" s="1023">
        <f t="shared" si="44"/>
        <v>0</v>
      </c>
      <c r="R624" s="1023"/>
      <c r="S624" s="6">
        <f>OBRA!S622</f>
        <v>0</v>
      </c>
      <c r="T624" s="1134" t="str">
        <f>OBRA!V622</f>
        <v>-</v>
      </c>
      <c r="U624" s="5">
        <f>OBRA!T622</f>
        <v>0</v>
      </c>
      <c r="V624" s="11">
        <f>OBRA!U622</f>
        <v>0</v>
      </c>
      <c r="W624" s="1527"/>
      <c r="X624" s="1098">
        <f>OBRA!AS622+OBRA!AT622</f>
        <v>0</v>
      </c>
      <c r="Y624" s="1017"/>
      <c r="Z624" s="163" t="str">
        <f>OBRA!W622</f>
        <v>-</v>
      </c>
      <c r="AA624" s="163"/>
      <c r="AB624" s="1169" t="str">
        <f t="shared" si="45"/>
        <v>-</v>
      </c>
      <c r="AC624" s="163"/>
      <c r="AD624" s="1169"/>
      <c r="AE624" s="551">
        <f>OBRA!X622</f>
        <v>0</v>
      </c>
      <c r="AF624" s="161"/>
      <c r="AG624" s="510"/>
      <c r="AH624" s="634" t="e">
        <f t="shared" si="43"/>
        <v>#DIV/0!</v>
      </c>
      <c r="AI624" s="510"/>
      <c r="AJ624" s="506"/>
      <c r="AK624" s="506"/>
      <c r="AL624" s="635"/>
      <c r="AM624" s="1517"/>
      <c r="AN624" s="573"/>
      <c r="AO624" s="573"/>
      <c r="AP624" s="573"/>
      <c r="AQ624" s="506"/>
      <c r="AR624" s="506"/>
      <c r="AS624" s="511"/>
    </row>
    <row r="625" spans="1:45" ht="15" hidden="1" customHeight="1">
      <c r="A625" s="16">
        <f>OBRA!J623</f>
        <v>2022</v>
      </c>
      <c r="B625" s="783" t="s">
        <v>3944</v>
      </c>
      <c r="C625" s="783">
        <f>OBRA!K623</f>
        <v>222018</v>
      </c>
      <c r="D625" s="783"/>
      <c r="E625" s="2" t="str">
        <f>OBRA!M623</f>
        <v>CUENTA CORRIENTE</v>
      </c>
      <c r="F625" s="671" t="s">
        <v>1428</v>
      </c>
      <c r="G625" s="872" t="s">
        <v>2861</v>
      </c>
      <c r="H625" s="12" t="str">
        <f>OBRA!N623</f>
        <v>CPSP DOP 018/2022</v>
      </c>
      <c r="I625" s="2" t="str">
        <f>OBRA!O623</f>
        <v>CANCELADA</v>
      </c>
      <c r="J625" s="3" t="str">
        <f>OBRA!P623</f>
        <v>-</v>
      </c>
      <c r="K625" s="541"/>
      <c r="L625" s="541"/>
      <c r="M625" s="541"/>
      <c r="N625" s="541">
        <f>OBRA!Q623</f>
        <v>0</v>
      </c>
      <c r="O625" s="541"/>
      <c r="P625" s="4">
        <f>OBRA!R623</f>
        <v>0</v>
      </c>
      <c r="Q625" s="1023">
        <f t="shared" si="44"/>
        <v>0</v>
      </c>
      <c r="R625" s="1023"/>
      <c r="S625" s="6">
        <f>OBRA!S623</f>
        <v>0</v>
      </c>
      <c r="T625" s="1134" t="str">
        <f>OBRA!V623</f>
        <v>-</v>
      </c>
      <c r="U625" s="5">
        <f>OBRA!T623</f>
        <v>0</v>
      </c>
      <c r="V625" s="11">
        <f>OBRA!U623</f>
        <v>0</v>
      </c>
      <c r="W625" s="1527"/>
      <c r="X625" s="1098">
        <f>OBRA!AS623+OBRA!AT623</f>
        <v>0</v>
      </c>
      <c r="Y625" s="1017"/>
      <c r="Z625" s="163" t="str">
        <f>OBRA!W623</f>
        <v>-</v>
      </c>
      <c r="AA625" s="163"/>
      <c r="AB625" s="1169" t="str">
        <f t="shared" si="45"/>
        <v>-</v>
      </c>
      <c r="AC625" s="163"/>
      <c r="AD625" s="1169"/>
      <c r="AE625" s="551">
        <f>OBRA!X623</f>
        <v>0</v>
      </c>
      <c r="AF625" s="161"/>
      <c r="AG625" s="510"/>
      <c r="AH625" s="634" t="e">
        <f t="shared" ref="AH625:AH660" si="48">X625/AF625</f>
        <v>#DIV/0!</v>
      </c>
      <c r="AI625" s="510"/>
      <c r="AJ625" s="506"/>
      <c r="AK625" s="506"/>
      <c r="AL625" s="635"/>
      <c r="AM625" s="1517"/>
      <c r="AN625" s="573"/>
      <c r="AO625" s="573"/>
      <c r="AP625" s="573"/>
      <c r="AQ625" s="506"/>
      <c r="AR625" s="506"/>
      <c r="AS625" s="511"/>
    </row>
    <row r="626" spans="1:45" ht="15" hidden="1" customHeight="1">
      <c r="A626" s="16">
        <f>OBRA!J624</f>
        <v>2022</v>
      </c>
      <c r="B626" s="783" t="s">
        <v>3944</v>
      </c>
      <c r="C626" s="783">
        <f>OBRA!K624</f>
        <v>222019</v>
      </c>
      <c r="D626" s="783"/>
      <c r="E626" s="2" t="str">
        <f>OBRA!M624</f>
        <v>CUENTA CORRIENTE</v>
      </c>
      <c r="F626" s="671" t="s">
        <v>1428</v>
      </c>
      <c r="G626" s="872" t="s">
        <v>2861</v>
      </c>
      <c r="H626" s="12" t="str">
        <f>OBRA!N624</f>
        <v>CPSP DOP 019/2022</v>
      </c>
      <c r="I626" s="2" t="str">
        <f>OBRA!O624</f>
        <v>CANCELADA</v>
      </c>
      <c r="J626" s="3" t="str">
        <f>OBRA!P624</f>
        <v>-</v>
      </c>
      <c r="K626" s="541"/>
      <c r="L626" s="541"/>
      <c r="M626" s="541"/>
      <c r="N626" s="541">
        <f>OBRA!Q624</f>
        <v>0</v>
      </c>
      <c r="O626" s="541"/>
      <c r="P626" s="4">
        <f>OBRA!R624</f>
        <v>0</v>
      </c>
      <c r="Q626" s="1023">
        <f t="shared" si="44"/>
        <v>0</v>
      </c>
      <c r="R626" s="1023"/>
      <c r="S626" s="6">
        <f>OBRA!S624</f>
        <v>0</v>
      </c>
      <c r="T626" s="1134" t="str">
        <f>OBRA!V624</f>
        <v>-</v>
      </c>
      <c r="U626" s="5">
        <f>OBRA!T624</f>
        <v>0</v>
      </c>
      <c r="V626" s="11">
        <f>OBRA!U624</f>
        <v>0</v>
      </c>
      <c r="W626" s="1527"/>
      <c r="X626" s="1098">
        <f>OBRA!AS624+OBRA!AT624</f>
        <v>0</v>
      </c>
      <c r="Y626" s="1017"/>
      <c r="Z626" s="163" t="str">
        <f>OBRA!W624</f>
        <v>-</v>
      </c>
      <c r="AA626" s="163"/>
      <c r="AB626" s="1169" t="str">
        <f t="shared" si="45"/>
        <v>-</v>
      </c>
      <c r="AC626" s="163"/>
      <c r="AD626" s="1169"/>
      <c r="AE626" s="551">
        <f>OBRA!X624</f>
        <v>0</v>
      </c>
      <c r="AF626" s="161"/>
      <c r="AG626" s="510"/>
      <c r="AH626" s="634" t="e">
        <f t="shared" si="48"/>
        <v>#DIV/0!</v>
      </c>
      <c r="AI626" s="510"/>
      <c r="AJ626" s="506"/>
      <c r="AK626" s="506"/>
      <c r="AL626" s="635"/>
      <c r="AM626" s="1517"/>
      <c r="AN626" s="573"/>
      <c r="AO626" s="573"/>
      <c r="AP626" s="573"/>
      <c r="AQ626" s="506"/>
      <c r="AR626" s="506"/>
      <c r="AS626" s="511"/>
    </row>
    <row r="627" spans="1:45" ht="15" hidden="1" customHeight="1">
      <c r="A627" s="16">
        <f>OBRA!J625</f>
        <v>2022</v>
      </c>
      <c r="B627" s="783" t="s">
        <v>3944</v>
      </c>
      <c r="C627" s="783">
        <f>OBRA!K625</f>
        <v>222020</v>
      </c>
      <c r="D627" s="783"/>
      <c r="E627" s="2" t="str">
        <f>OBRA!M625</f>
        <v>CUENTA CORRIENTE</v>
      </c>
      <c r="F627" s="671" t="s">
        <v>1428</v>
      </c>
      <c r="G627" s="872" t="s">
        <v>2861</v>
      </c>
      <c r="H627" s="12" t="str">
        <f>OBRA!N625</f>
        <v>CPSP DOP 020/2022</v>
      </c>
      <c r="I627" s="2" t="str">
        <f>OBRA!O625</f>
        <v>CANCELADA</v>
      </c>
      <c r="J627" s="3" t="str">
        <f>OBRA!P625</f>
        <v>-</v>
      </c>
      <c r="K627" s="541"/>
      <c r="L627" s="541"/>
      <c r="M627" s="541"/>
      <c r="N627" s="541">
        <f>OBRA!Q625</f>
        <v>0</v>
      </c>
      <c r="O627" s="541"/>
      <c r="P627" s="4">
        <f>OBRA!R625</f>
        <v>0</v>
      </c>
      <c r="Q627" s="1023">
        <f t="shared" si="44"/>
        <v>0</v>
      </c>
      <c r="R627" s="1023"/>
      <c r="S627" s="6">
        <f>OBRA!S625</f>
        <v>0</v>
      </c>
      <c r="T627" s="1134" t="str">
        <f>OBRA!V625</f>
        <v>-</v>
      </c>
      <c r="U627" s="5">
        <f>OBRA!T625</f>
        <v>0</v>
      </c>
      <c r="V627" s="11">
        <f>OBRA!U625</f>
        <v>0</v>
      </c>
      <c r="W627" s="1527"/>
      <c r="X627" s="1098">
        <f>OBRA!AS625+OBRA!AT625</f>
        <v>0</v>
      </c>
      <c r="Y627" s="1017"/>
      <c r="Z627" s="163" t="str">
        <f>OBRA!W625</f>
        <v>-</v>
      </c>
      <c r="AA627" s="163"/>
      <c r="AB627" s="1169" t="str">
        <f t="shared" si="45"/>
        <v>-</v>
      </c>
      <c r="AC627" s="163"/>
      <c r="AD627" s="1169"/>
      <c r="AE627" s="551">
        <f>OBRA!X625</f>
        <v>0</v>
      </c>
      <c r="AF627" s="161"/>
      <c r="AG627" s="510"/>
      <c r="AH627" s="634" t="e">
        <f t="shared" si="48"/>
        <v>#DIV/0!</v>
      </c>
      <c r="AI627" s="510"/>
      <c r="AJ627" s="506"/>
      <c r="AK627" s="506"/>
      <c r="AL627" s="635"/>
      <c r="AM627" s="1517"/>
      <c r="AN627" s="573"/>
      <c r="AO627" s="573"/>
      <c r="AP627" s="573"/>
      <c r="AQ627" s="506"/>
      <c r="AR627" s="506"/>
      <c r="AS627" s="511"/>
    </row>
    <row r="628" spans="1:45" ht="108" customHeight="1">
      <c r="A628" s="16">
        <f>OBRA!J626</f>
        <v>2022</v>
      </c>
      <c r="B628" s="783" t="s">
        <v>3944</v>
      </c>
      <c r="C628" s="783">
        <f>OBRA!K626</f>
        <v>223001</v>
      </c>
      <c r="D628" s="783" t="s">
        <v>551</v>
      </c>
      <c r="E628" s="2" t="str">
        <f>OBRA!M626</f>
        <v>CUENTA CORRIENTE</v>
      </c>
      <c r="F628" s="671" t="s">
        <v>1428</v>
      </c>
      <c r="G628" s="156" t="s">
        <v>2861</v>
      </c>
      <c r="H628" s="12" t="str">
        <f>OBRA!N626</f>
        <v>C- OP 001/2022</v>
      </c>
      <c r="I628" s="2" t="str">
        <f>OBRA!O626</f>
        <v>ARRENDAMIENTO</v>
      </c>
      <c r="J628" s="3" t="str">
        <f>OBRA!P626</f>
        <v>RENTA DE CAMIÓN TIPO PIPA MARCA DODGE RAM 6500 MOD. 1996 PLACAS JM57075, CON CAPACIDAD DE 10,000 LITROS PARA ACARREOS DE AGUA, PARA SER UTILIZADA EN LAS OBRAS DEL PROGRAMA SADER 2021 EN LA LOCALIDAD DE LA LOMA, MUNICIPIO DE JOCOTEPEC, JALISCO.</v>
      </c>
      <c r="K628" s="3" t="s">
        <v>4423</v>
      </c>
      <c r="L628" s="3"/>
      <c r="M628" s="3" t="s">
        <v>5929</v>
      </c>
      <c r="N628" s="3" t="str">
        <f>OBRA!Q626</f>
        <v>LA LOMA</v>
      </c>
      <c r="O628" s="3"/>
      <c r="P628" s="79">
        <f>OBRA!R626</f>
        <v>1739.9999999999998</v>
      </c>
      <c r="Q628" s="1023">
        <f t="shared" si="44"/>
        <v>1500</v>
      </c>
      <c r="R628" s="4" t="s">
        <v>5591</v>
      </c>
      <c r="S628" s="67">
        <f>OBRA!S626</f>
        <v>44655</v>
      </c>
      <c r="T628" s="1134" t="str">
        <f>OBRA!V626</f>
        <v>-</v>
      </c>
      <c r="U628" s="5">
        <f>OBRA!T626</f>
        <v>44658</v>
      </c>
      <c r="V628" s="11">
        <f>OBRA!U626</f>
        <v>44662</v>
      </c>
      <c r="W628" s="1901">
        <v>0</v>
      </c>
      <c r="X628" s="1019">
        <f>OBRA!AS626+OBRA!AT626</f>
        <v>0</v>
      </c>
      <c r="Y628" s="1018" t="s">
        <v>1428</v>
      </c>
      <c r="Z628" s="146" t="str">
        <f>OBRA!W626</f>
        <v>ALSERCON SA DE CV</v>
      </c>
      <c r="AA628" s="146" t="s">
        <v>5666</v>
      </c>
      <c r="AB628" s="148" t="str">
        <f t="shared" si="45"/>
        <v>ALSERCON SA DE CV</v>
      </c>
      <c r="AC628" s="146" t="s">
        <v>2165</v>
      </c>
      <c r="AD628" s="148" t="s">
        <v>4433</v>
      </c>
      <c r="AE628" s="183" t="str">
        <f>OBRA!X626</f>
        <v>C. DANIEL RODRIGUEZ VALENZUELA</v>
      </c>
      <c r="AF628" s="19">
        <v>1</v>
      </c>
      <c r="AG628" s="2" t="s">
        <v>6756</v>
      </c>
      <c r="AH628" s="183">
        <f t="shared" ref="AH628:AH635" si="49">P628/AF628</f>
        <v>1739.9999999999998</v>
      </c>
      <c r="AI628" s="2"/>
      <c r="AJ628" s="513"/>
      <c r="AK628" s="1888">
        <v>1</v>
      </c>
      <c r="AL628" s="1513"/>
      <c r="AM628" s="1514"/>
      <c r="AN628" s="571"/>
      <c r="AO628" s="571"/>
      <c r="AP628" s="571"/>
      <c r="AQ628" s="513"/>
      <c r="AR628" s="513"/>
      <c r="AS628" s="18"/>
    </row>
    <row r="629" spans="1:45" ht="99.75" customHeight="1">
      <c r="A629" s="16">
        <f>OBRA!J627</f>
        <v>2022</v>
      </c>
      <c r="B629" s="783" t="s">
        <v>3944</v>
      </c>
      <c r="C629" s="783">
        <f>OBRA!K627</f>
        <v>223002</v>
      </c>
      <c r="D629" s="783" t="s">
        <v>551</v>
      </c>
      <c r="E629" s="2" t="str">
        <f>OBRA!M627</f>
        <v>CUENTA CORRIENTE</v>
      </c>
      <c r="F629" s="671" t="s">
        <v>1428</v>
      </c>
      <c r="G629" s="156" t="s">
        <v>2861</v>
      </c>
      <c r="H629" s="12" t="str">
        <f>OBRA!N627</f>
        <v>C- OP 002/2022</v>
      </c>
      <c r="I629" s="2" t="str">
        <f>OBRA!O627</f>
        <v>ARRENDAMIENTO</v>
      </c>
      <c r="J629" s="3" t="str">
        <f>OBRA!P627</f>
        <v>RENTA DE RETROEXCAVADORA MARCA JCB MOD. 2000 SERIE 4214E PARA SER UTILIZADA EN LAS OBRAS DEL PROGRAMA: EMPEDRADOS PARA LA REACTIVACIÓN ECONÓMICA EN MUNICIPIOS SADER 2021 EN EL MUNICIPIO DE JOCOTEPEC, JALISCO.</v>
      </c>
      <c r="K629" s="3" t="s">
        <v>4424</v>
      </c>
      <c r="L629" s="3"/>
      <c r="M629" s="3" t="s">
        <v>5930</v>
      </c>
      <c r="N629" s="3" t="str">
        <f>OBRA!Q627</f>
        <v>JOCOTEPEC</v>
      </c>
      <c r="O629" s="3"/>
      <c r="P629" s="79">
        <f>OBRA!R627</f>
        <v>638</v>
      </c>
      <c r="Q629" s="1023">
        <f t="shared" si="44"/>
        <v>550</v>
      </c>
      <c r="R629" s="4" t="s">
        <v>2294</v>
      </c>
      <c r="S629" s="67">
        <f>OBRA!S627</f>
        <v>44594</v>
      </c>
      <c r="T629" s="1134" t="str">
        <f>OBRA!V627</f>
        <v>-</v>
      </c>
      <c r="U629" s="5" t="str">
        <f>OBRA!T627</f>
        <v>-</v>
      </c>
      <c r="V629" s="11" t="str">
        <f>OBRA!U627</f>
        <v>-</v>
      </c>
      <c r="W629" s="1901">
        <v>0</v>
      </c>
      <c r="X629" s="1019">
        <f>OBRA!AS627+OBRA!AT627</f>
        <v>0</v>
      </c>
      <c r="Y629" s="1018" t="s">
        <v>1428</v>
      </c>
      <c r="Z629" s="146" t="str">
        <f>OBRA!W627</f>
        <v xml:space="preserve">DORIA &amp; SAMPIER CONSTRUCTORA, S.A. DE C.V. </v>
      </c>
      <c r="AA629" s="146" t="s">
        <v>5666</v>
      </c>
      <c r="AB629" s="148" t="str">
        <f t="shared" si="45"/>
        <v xml:space="preserve">DORIA &amp; SAMPIER CONSTRUCTORA, S.A. DE C.V. </v>
      </c>
      <c r="AC629" s="146" t="s">
        <v>4401</v>
      </c>
      <c r="AD629" s="148" t="s">
        <v>4434</v>
      </c>
      <c r="AE629" s="183" t="str">
        <f>OBRA!X627</f>
        <v>C. DANIEL RODRIGUEZ VALENZUELA</v>
      </c>
      <c r="AF629" s="19">
        <v>1</v>
      </c>
      <c r="AG629" s="2" t="s">
        <v>6756</v>
      </c>
      <c r="AH629" s="183">
        <f t="shared" si="49"/>
        <v>638</v>
      </c>
      <c r="AI629" s="2"/>
      <c r="AJ629" s="513"/>
      <c r="AK629" s="1888">
        <v>1</v>
      </c>
      <c r="AL629" s="1513"/>
      <c r="AM629" s="1514"/>
      <c r="AN629" s="571"/>
      <c r="AO629" s="571"/>
      <c r="AP629" s="571"/>
      <c r="AQ629" s="513"/>
      <c r="AR629" s="513"/>
      <c r="AS629" s="18"/>
    </row>
    <row r="630" spans="1:45" ht="114" customHeight="1">
      <c r="A630" s="16">
        <f>OBRA!J628</f>
        <v>2022</v>
      </c>
      <c r="B630" s="783" t="s">
        <v>3944</v>
      </c>
      <c r="C630" s="783">
        <f>OBRA!K628</f>
        <v>223003</v>
      </c>
      <c r="D630" s="783" t="s">
        <v>551</v>
      </c>
      <c r="E630" s="2" t="str">
        <f>OBRA!M628</f>
        <v>CUENTA CORRIENTE</v>
      </c>
      <c r="F630" s="671" t="s">
        <v>1428</v>
      </c>
      <c r="G630" s="156" t="s">
        <v>2861</v>
      </c>
      <c r="H630" s="12" t="str">
        <f>OBRA!N628</f>
        <v>C- OP 003/2022</v>
      </c>
      <c r="I630" s="2" t="str">
        <f>OBRA!O628</f>
        <v>ARRENDAMIENTO</v>
      </c>
      <c r="J630" s="3" t="str">
        <f>OBRA!P628</f>
        <v>RENTA DE CAMIÓN TIPO PIPA MARCA DODGE RAM 6500 MOD. 1996 PLACAS JM57075, CON CAPACIDAD DE 10,000 LITROS PARA ACARREOS DE AGUA, PARA SER UTILIZADA EN LAS OBRAS DEL PROGRAMA SADER 2021 EN LA LOCALIDAD DE LA LOMA, MUNICIPIO DE JOCOTEPEC, JALISCO.</v>
      </c>
      <c r="K630" s="3" t="s">
        <v>4425</v>
      </c>
      <c r="L630" s="3"/>
      <c r="M630" s="3" t="s">
        <v>5929</v>
      </c>
      <c r="N630" s="3" t="str">
        <f>OBRA!Q628</f>
        <v>LA LOMA</v>
      </c>
      <c r="O630" s="3"/>
      <c r="P630" s="79">
        <f>OBRA!R628</f>
        <v>1739.9999999999998</v>
      </c>
      <c r="Q630" s="1023">
        <f t="shared" si="44"/>
        <v>1500</v>
      </c>
      <c r="R630" s="4" t="s">
        <v>5591</v>
      </c>
      <c r="S630" s="67">
        <f>OBRA!S628</f>
        <v>44673</v>
      </c>
      <c r="T630" s="1134" t="str">
        <f>OBRA!V628</f>
        <v>-</v>
      </c>
      <c r="U630" s="5">
        <f>OBRA!T628</f>
        <v>44677</v>
      </c>
      <c r="V630" s="11">
        <f>OBRA!U628</f>
        <v>44707</v>
      </c>
      <c r="W630" s="1901">
        <v>0</v>
      </c>
      <c r="X630" s="1019">
        <f>OBRA!AS628+OBRA!AT628</f>
        <v>0</v>
      </c>
      <c r="Y630" s="1018" t="s">
        <v>1428</v>
      </c>
      <c r="Z630" s="146" t="str">
        <f>OBRA!W628</f>
        <v>ALSERCON SA DE CV</v>
      </c>
      <c r="AA630" s="146" t="s">
        <v>5666</v>
      </c>
      <c r="AB630" s="148" t="str">
        <f t="shared" si="45"/>
        <v>ALSERCON SA DE CV</v>
      </c>
      <c r="AC630" s="146" t="s">
        <v>4401</v>
      </c>
      <c r="AD630" s="148" t="s">
        <v>4434</v>
      </c>
      <c r="AE630" s="183" t="str">
        <f>OBRA!X628</f>
        <v>C. DANIEL RODRIGUEZ VALENZUELA</v>
      </c>
      <c r="AF630" s="19">
        <v>1</v>
      </c>
      <c r="AG630" s="2" t="s">
        <v>6756</v>
      </c>
      <c r="AH630" s="183">
        <f t="shared" si="49"/>
        <v>1739.9999999999998</v>
      </c>
      <c r="AI630" s="2"/>
      <c r="AJ630" s="513"/>
      <c r="AK630" s="1888">
        <v>1</v>
      </c>
      <c r="AL630" s="1513"/>
      <c r="AM630" s="1514"/>
      <c r="AN630" s="571"/>
      <c r="AO630" s="571"/>
      <c r="AP630" s="571"/>
      <c r="AQ630" s="513"/>
      <c r="AR630" s="513"/>
      <c r="AS630" s="18"/>
    </row>
    <row r="631" spans="1:45" ht="94.5" customHeight="1">
      <c r="A631" s="16">
        <f>OBRA!J629</f>
        <v>2022</v>
      </c>
      <c r="B631" s="783" t="s">
        <v>3944</v>
      </c>
      <c r="C631" s="783">
        <f>OBRA!K629</f>
        <v>223004</v>
      </c>
      <c r="D631" s="783" t="s">
        <v>551</v>
      </c>
      <c r="E631" s="2" t="str">
        <f>OBRA!M629</f>
        <v>CUENTA CORRIENTE</v>
      </c>
      <c r="F631" s="671" t="s">
        <v>1428</v>
      </c>
      <c r="G631" s="156" t="s">
        <v>2861</v>
      </c>
      <c r="H631" s="12" t="str">
        <f>OBRA!N629</f>
        <v>C- OP 004/2022</v>
      </c>
      <c r="I631" s="2" t="str">
        <f>OBRA!O629</f>
        <v>ARRENDAMIENTO</v>
      </c>
      <c r="J631" s="3" t="str">
        <f>OBRA!P629</f>
        <v>RENTA DE COMPACTADOR MCA CARTEPILLAR MOD CS-563 E, PARA SER UTILIZADA EN LAS OBRAS: REHABILITACIÓN DE LÍNEAS HIDROSANITARIAS EN CALLE 5 DE FEBRERO Y CALLE 1RO DE MAYO EN LA AGENCIA DE LA LOMA, DEL MUNICIPIO DE JOCOTEPEC, JALISCO.</v>
      </c>
      <c r="K631" s="3" t="s">
        <v>5921</v>
      </c>
      <c r="L631" s="3"/>
      <c r="M631" s="3" t="s">
        <v>5929</v>
      </c>
      <c r="N631" s="3" t="str">
        <f>OBRA!Q629</f>
        <v>LA LOMA</v>
      </c>
      <c r="O631" s="3"/>
      <c r="P631" s="79">
        <f>OBRA!R629</f>
        <v>1144.8851999999999</v>
      </c>
      <c r="Q631" s="1023">
        <f t="shared" si="44"/>
        <v>986.97</v>
      </c>
      <c r="R631" s="4" t="s">
        <v>2294</v>
      </c>
      <c r="S631" s="67">
        <f>OBRA!S629</f>
        <v>44594</v>
      </c>
      <c r="T631" s="1134" t="str">
        <f>OBRA!V629</f>
        <v>-</v>
      </c>
      <c r="U631" s="5" t="str">
        <f>OBRA!T629</f>
        <v>-</v>
      </c>
      <c r="V631" s="11" t="str">
        <f>OBRA!U629</f>
        <v>-</v>
      </c>
      <c r="W631" s="1901">
        <v>0</v>
      </c>
      <c r="X631" s="1019">
        <f>OBRA!AS629+OBRA!AT629</f>
        <v>0</v>
      </c>
      <c r="Y631" s="1018"/>
      <c r="Z631" s="146" t="str">
        <f>OBRA!W629</f>
        <v>ING. SERGIO CABRERA</v>
      </c>
      <c r="AA631" s="146" t="s">
        <v>5665</v>
      </c>
      <c r="AB631" s="148" t="str">
        <f t="shared" si="45"/>
        <v>ING. SERGIO CABRERA</v>
      </c>
      <c r="AC631" s="146" t="s">
        <v>1922</v>
      </c>
      <c r="AD631" s="148" t="s">
        <v>4429</v>
      </c>
      <c r="AE631" s="183" t="str">
        <f>OBRA!X629</f>
        <v>C. DANIEL RODRIGUEZ VALENZUELA</v>
      </c>
      <c r="AF631" s="19">
        <v>1</v>
      </c>
      <c r="AG631" s="2" t="s">
        <v>6756</v>
      </c>
      <c r="AH631" s="183">
        <f t="shared" si="49"/>
        <v>1144.8851999999999</v>
      </c>
      <c r="AI631" s="2"/>
      <c r="AJ631" s="513"/>
      <c r="AK631" s="1888">
        <v>1</v>
      </c>
      <c r="AL631" s="1513"/>
      <c r="AM631" s="1514"/>
      <c r="AN631" s="571"/>
      <c r="AO631" s="571"/>
      <c r="AP631" s="571"/>
      <c r="AQ631" s="513"/>
      <c r="AR631" s="513"/>
      <c r="AS631" s="18"/>
    </row>
    <row r="632" spans="1:45" ht="88.5" customHeight="1">
      <c r="A632" s="16">
        <f>OBRA!J630</f>
        <v>2022</v>
      </c>
      <c r="B632" s="783" t="s">
        <v>3944</v>
      </c>
      <c r="C632" s="783">
        <f>OBRA!K630</f>
        <v>223005</v>
      </c>
      <c r="D632" s="783" t="s">
        <v>551</v>
      </c>
      <c r="E632" s="2" t="str">
        <f>OBRA!M630</f>
        <v>CUENTA CORRIENTE</v>
      </c>
      <c r="F632" s="671" t="s">
        <v>1428</v>
      </c>
      <c r="G632" s="156" t="s">
        <v>2861</v>
      </c>
      <c r="H632" s="12" t="str">
        <f>OBRA!N630</f>
        <v>C- OP 005/2022</v>
      </c>
      <c r="I632" s="2" t="str">
        <f>OBRA!O630</f>
        <v>ARRENDAMIENTO</v>
      </c>
      <c r="J632" s="3" t="str">
        <f>OBRA!P630</f>
        <v>RENTA DE MOTONIVELADORA CARTEPILLAR 160 H, PARA SER UTILIZADA EN LAS OBRAS; REHABILITACIÓN DE LÍNEAS HIDROSANITARIAS EN CALLE 5 DE FEBRERO, CALLE 1RO DE MAYO Y CALLE CHAPULTEPEC, EN LA AGENCIA DE LA LOMA, DEL MUNICIPIO DE JOCOTEPEC, JALISCO.</v>
      </c>
      <c r="K632" s="3" t="s">
        <v>5932</v>
      </c>
      <c r="L632" s="3"/>
      <c r="M632" s="3" t="s">
        <v>5929</v>
      </c>
      <c r="N632" s="3" t="str">
        <f>OBRA!Q630</f>
        <v>LA LOMA</v>
      </c>
      <c r="O632" s="3"/>
      <c r="P632" s="79">
        <f>OBRA!R630</f>
        <v>1850.8843999999997</v>
      </c>
      <c r="Q632" s="1023">
        <f t="shared" si="44"/>
        <v>1595.59</v>
      </c>
      <c r="R632" s="4" t="s">
        <v>2294</v>
      </c>
      <c r="S632" s="67">
        <f>OBRA!S630</f>
        <v>44641</v>
      </c>
      <c r="T632" s="1134" t="str">
        <f>OBRA!V630</f>
        <v>-</v>
      </c>
      <c r="U632" s="5" t="str">
        <f>OBRA!T630</f>
        <v>-</v>
      </c>
      <c r="V632" s="11" t="str">
        <f>OBRA!U630</f>
        <v>-</v>
      </c>
      <c r="W632" s="1901">
        <v>0</v>
      </c>
      <c r="X632" s="1019">
        <f>OBRA!AS630+OBRA!AT630</f>
        <v>0</v>
      </c>
      <c r="Y632" s="1018"/>
      <c r="Z632" s="146" t="str">
        <f>OBRA!W630</f>
        <v>ING. SERGIO CABRERA</v>
      </c>
      <c r="AA632" s="146" t="s">
        <v>5665</v>
      </c>
      <c r="AB632" s="148" t="str">
        <f t="shared" si="45"/>
        <v>ING. SERGIO CABRERA</v>
      </c>
      <c r="AC632" s="146" t="s">
        <v>1922</v>
      </c>
      <c r="AD632" s="148" t="s">
        <v>4429</v>
      </c>
      <c r="AE632" s="183" t="str">
        <f>OBRA!X630</f>
        <v>C. DANIEL RODRIGUEZ VALENZUELA</v>
      </c>
      <c r="AF632" s="19">
        <v>1</v>
      </c>
      <c r="AG632" s="2" t="s">
        <v>6756</v>
      </c>
      <c r="AH632" s="183">
        <f t="shared" si="49"/>
        <v>1850.8843999999997</v>
      </c>
      <c r="AI632" s="2"/>
      <c r="AJ632" s="513"/>
      <c r="AK632" s="1888">
        <v>1</v>
      </c>
      <c r="AL632" s="1513"/>
      <c r="AM632" s="1514"/>
      <c r="AN632" s="571"/>
      <c r="AO632" s="571"/>
      <c r="AP632" s="571"/>
      <c r="AQ632" s="513"/>
      <c r="AR632" s="513"/>
      <c r="AS632" s="18"/>
    </row>
    <row r="633" spans="1:45" ht="107.25" customHeight="1">
      <c r="A633" s="16">
        <f>OBRA!J631</f>
        <v>2022</v>
      </c>
      <c r="B633" s="783" t="s">
        <v>3944</v>
      </c>
      <c r="C633" s="783">
        <f>OBRA!K631</f>
        <v>223006</v>
      </c>
      <c r="D633" s="783" t="s">
        <v>551</v>
      </c>
      <c r="E633" s="2" t="str">
        <f>OBRA!M631</f>
        <v>CUENTA CORRIENTE</v>
      </c>
      <c r="F633" s="671" t="s">
        <v>1428</v>
      </c>
      <c r="G633" s="156" t="s">
        <v>2861</v>
      </c>
      <c r="H633" s="12" t="str">
        <f>OBRA!N631</f>
        <v>C- OP 006/2022</v>
      </c>
      <c r="I633" s="2" t="str">
        <f>OBRA!O631</f>
        <v>ARRENDAMIENTO</v>
      </c>
      <c r="J633"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5933</v>
      </c>
      <c r="L633" s="3"/>
      <c r="M633" s="3" t="s">
        <v>5931</v>
      </c>
      <c r="N633" s="3" t="str">
        <f>OBRA!Q631</f>
        <v>NEXTIPAC</v>
      </c>
      <c r="O633" s="3"/>
      <c r="P633" s="79">
        <f>OBRA!R631</f>
        <v>854.74599999999998</v>
      </c>
      <c r="Q633" s="1023">
        <f t="shared" si="44"/>
        <v>736.85</v>
      </c>
      <c r="R633" s="4" t="s">
        <v>2294</v>
      </c>
      <c r="S633" s="67">
        <f>OBRA!S631</f>
        <v>44642</v>
      </c>
      <c r="T633" s="1134" t="str">
        <f>OBRA!V631</f>
        <v>-</v>
      </c>
      <c r="U633" s="5">
        <f>OBRA!T631</f>
        <v>44642</v>
      </c>
      <c r="V633" s="11">
        <f>OBRA!U631</f>
        <v>44926</v>
      </c>
      <c r="W633" s="1901">
        <v>0</v>
      </c>
      <c r="X633" s="1019">
        <f>OBRA!AS631+OBRA!AT631</f>
        <v>0</v>
      </c>
      <c r="Y633" s="1018"/>
      <c r="Z633" s="146" t="str">
        <f>OBRA!W631</f>
        <v>ING. SERGIO CABRERA</v>
      </c>
      <c r="AA633" s="146" t="s">
        <v>5665</v>
      </c>
      <c r="AB633" s="148" t="str">
        <f t="shared" si="45"/>
        <v>ING. SERGIO CABRERA</v>
      </c>
      <c r="AC633" s="146" t="s">
        <v>1922</v>
      </c>
      <c r="AD633" s="148" t="s">
        <v>4429</v>
      </c>
      <c r="AE633" s="183" t="str">
        <f>OBRA!X631</f>
        <v>C. DANIEL RODRIGUEZ VALENZUELA</v>
      </c>
      <c r="AF633" s="19">
        <v>1</v>
      </c>
      <c r="AG633" s="2" t="s">
        <v>6756</v>
      </c>
      <c r="AH633" s="183">
        <f t="shared" si="49"/>
        <v>854.74599999999998</v>
      </c>
      <c r="AI633" s="2"/>
      <c r="AJ633" s="513"/>
      <c r="AK633" s="1888">
        <v>1</v>
      </c>
      <c r="AL633" s="1513"/>
      <c r="AM633" s="1514"/>
      <c r="AN633" s="571"/>
      <c r="AO633" s="571"/>
      <c r="AP633" s="571"/>
      <c r="AQ633" s="513"/>
      <c r="AR633" s="513"/>
      <c r="AS633" s="18"/>
    </row>
    <row r="634" spans="1:45" ht="105" customHeight="1">
      <c r="A634" s="16">
        <f>OBRA!J632</f>
        <v>2022</v>
      </c>
      <c r="B634" s="783" t="s">
        <v>3944</v>
      </c>
      <c r="C634" s="783">
        <f>OBRA!K632</f>
        <v>223007</v>
      </c>
      <c r="D634" s="783" t="s">
        <v>551</v>
      </c>
      <c r="E634" s="2" t="str">
        <f>OBRA!M632</f>
        <v>CUENTA CORRIENTE</v>
      </c>
      <c r="F634" s="671" t="s">
        <v>1428</v>
      </c>
      <c r="G634" s="156" t="s">
        <v>2861</v>
      </c>
      <c r="H634" s="12" t="str">
        <f>OBRA!N632</f>
        <v>C- OP 007/2022</v>
      </c>
      <c r="I634" s="2" t="str">
        <f>OBRA!O632</f>
        <v>ARRENDAMIENTO</v>
      </c>
      <c r="J634"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5934</v>
      </c>
      <c r="L634" s="3"/>
      <c r="M634" s="3" t="s">
        <v>5931</v>
      </c>
      <c r="N634" s="3" t="str">
        <f>OBRA!Q632</f>
        <v>NEXTIPAC</v>
      </c>
      <c r="O634" s="3"/>
      <c r="P634" s="79">
        <f>OBRA!R632</f>
        <v>818.2639999999999</v>
      </c>
      <c r="Q634" s="1023">
        <f t="shared" si="44"/>
        <v>705.4</v>
      </c>
      <c r="R634" s="4" t="s">
        <v>2294</v>
      </c>
      <c r="S634" s="67">
        <f>OBRA!S632</f>
        <v>44648</v>
      </c>
      <c r="T634" s="1134" t="str">
        <f>OBRA!V632</f>
        <v>-</v>
      </c>
      <c r="U634" s="5">
        <f>OBRA!T632</f>
        <v>44648</v>
      </c>
      <c r="V634" s="11">
        <f>OBRA!U632</f>
        <v>44926</v>
      </c>
      <c r="W634" s="1901">
        <v>0</v>
      </c>
      <c r="X634" s="1019">
        <f>OBRA!AS632+OBRA!AT632</f>
        <v>0</v>
      </c>
      <c r="Y634" s="1018"/>
      <c r="Z634" s="146" t="str">
        <f>OBRA!W632</f>
        <v>ING. SERGIO CABRERA</v>
      </c>
      <c r="AA634" s="146" t="s">
        <v>5665</v>
      </c>
      <c r="AB634" s="148" t="str">
        <f t="shared" si="45"/>
        <v>ING. SERGIO CABRERA</v>
      </c>
      <c r="AC634" s="146" t="s">
        <v>1922</v>
      </c>
      <c r="AD634" s="148" t="s">
        <v>4429</v>
      </c>
      <c r="AE634" s="183" t="str">
        <f>OBRA!X632</f>
        <v>C. DANIEL RODRIGUEZ VALENZUELA</v>
      </c>
      <c r="AF634" s="19">
        <v>1</v>
      </c>
      <c r="AG634" s="2" t="s">
        <v>6756</v>
      </c>
      <c r="AH634" s="183">
        <f t="shared" si="49"/>
        <v>818.2639999999999</v>
      </c>
      <c r="AI634" s="2"/>
      <c r="AJ634" s="513"/>
      <c r="AK634" s="1888">
        <v>1</v>
      </c>
      <c r="AL634" s="1513"/>
      <c r="AM634" s="1514"/>
      <c r="AN634" s="571"/>
      <c r="AO634" s="571"/>
      <c r="AP634" s="571"/>
      <c r="AQ634" s="513"/>
      <c r="AR634" s="513"/>
      <c r="AS634" s="18"/>
    </row>
    <row r="635" spans="1:45" ht="87" customHeight="1">
      <c r="A635" s="16">
        <f>OBRA!J633</f>
        <v>2022</v>
      </c>
      <c r="B635" s="783" t="s">
        <v>3944</v>
      </c>
      <c r="C635" s="783">
        <f>OBRA!K633</f>
        <v>223008</v>
      </c>
      <c r="D635" s="783" t="s">
        <v>551</v>
      </c>
      <c r="E635" s="2" t="str">
        <f>OBRA!M633</f>
        <v>CUENTA CORRIENTE</v>
      </c>
      <c r="F635" s="671" t="s">
        <v>1428</v>
      </c>
      <c r="G635" s="156" t="s">
        <v>2861</v>
      </c>
      <c r="H635" s="12" t="str">
        <f>OBRA!N633</f>
        <v>C- OP 008/2022</v>
      </c>
      <c r="I635" s="2" t="str">
        <f>OBRA!O633</f>
        <v>ARRENDAMIENTO</v>
      </c>
      <c r="J635" s="3" t="str">
        <f>OBRA!P633</f>
        <v>RENTA DE UN CAMIÓN PIPA DE 9 M3, PARA SER UTILIZADA EN LAS OBRAS; REHABILITACIÓN DE LÍNEAS HIDROSANITARIAS EN CALLE 5 DE FEBRERO Y CALLE 1RO DE MAYO EN LA AGENCIA DE LA LOMA, Y CALLE RIBERA DEL LAGO EN NEXTIPAC, DEL MUNICIPIO DE JOCOTEPEC, JALISCO</v>
      </c>
      <c r="K635" s="3" t="s">
        <v>5935</v>
      </c>
      <c r="L635" s="3"/>
      <c r="M635" s="3" t="s">
        <v>5931</v>
      </c>
      <c r="N635" s="3" t="str">
        <f>OBRA!Q633</f>
        <v>NEXTIPAC</v>
      </c>
      <c r="O635" s="3"/>
      <c r="P635" s="79">
        <f>OBRA!R633</f>
        <v>376.51279999999997</v>
      </c>
      <c r="Q635" s="1023">
        <f t="shared" si="44"/>
        <v>324.58</v>
      </c>
      <c r="R635" s="4" t="s">
        <v>2294</v>
      </c>
      <c r="S635" s="67">
        <f>OBRA!S633</f>
        <v>44642</v>
      </c>
      <c r="T635" s="1134" t="str">
        <f>OBRA!V633</f>
        <v>-</v>
      </c>
      <c r="U635" s="5">
        <f>OBRA!T633</f>
        <v>44642</v>
      </c>
      <c r="V635" s="11">
        <f>OBRA!U633</f>
        <v>44926</v>
      </c>
      <c r="W635" s="1901">
        <v>0</v>
      </c>
      <c r="X635" s="1019">
        <f>OBRA!AS633+OBRA!AT633</f>
        <v>0</v>
      </c>
      <c r="Y635" s="1018"/>
      <c r="Z635" s="146" t="str">
        <f>OBRA!W633</f>
        <v>ING. SERGIO CABRERA</v>
      </c>
      <c r="AA635" s="146" t="s">
        <v>5665</v>
      </c>
      <c r="AB635" s="148" t="str">
        <f t="shared" si="45"/>
        <v>ING. SERGIO CABRERA</v>
      </c>
      <c r="AC635" s="146" t="s">
        <v>1922</v>
      </c>
      <c r="AD635" s="148" t="s">
        <v>4429</v>
      </c>
      <c r="AE635" s="183" t="str">
        <f>OBRA!X633</f>
        <v>C. DANIEL RODRIGUEZ VALENZUELA</v>
      </c>
      <c r="AF635" s="19">
        <v>1</v>
      </c>
      <c r="AG635" s="2" t="s">
        <v>6756</v>
      </c>
      <c r="AH635" s="183">
        <f t="shared" si="49"/>
        <v>376.51279999999997</v>
      </c>
      <c r="AI635" s="2"/>
      <c r="AJ635" s="513"/>
      <c r="AK635" s="1888">
        <v>1</v>
      </c>
      <c r="AL635" s="1513"/>
      <c r="AM635" s="1514"/>
      <c r="AN635" s="571"/>
      <c r="AO635" s="571"/>
      <c r="AP635" s="571"/>
      <c r="AQ635" s="513"/>
      <c r="AR635" s="513"/>
      <c r="AS635" s="18"/>
    </row>
    <row r="636" spans="1:45" ht="15" hidden="1" customHeight="1">
      <c r="A636" s="16">
        <f>OBRA!J634</f>
        <v>2022</v>
      </c>
      <c r="B636" s="783" t="s">
        <v>3944</v>
      </c>
      <c r="C636" s="783">
        <f>OBRA!K634</f>
        <v>223009</v>
      </c>
      <c r="D636" s="783"/>
      <c r="E636" s="2">
        <f>OBRA!M634</f>
        <v>0</v>
      </c>
      <c r="F636" s="671" t="s">
        <v>1428</v>
      </c>
      <c r="G636" s="872" t="s">
        <v>2861</v>
      </c>
      <c r="H636" s="12" t="str">
        <f>OBRA!N634</f>
        <v>C- OP 009/2022</v>
      </c>
      <c r="I636" s="2" t="str">
        <f>OBRA!O634</f>
        <v>CANCELADA</v>
      </c>
      <c r="J636" s="3" t="str">
        <f>OBRA!P634</f>
        <v>-</v>
      </c>
      <c r="K636" s="541"/>
      <c r="L636" s="541"/>
      <c r="M636" s="541"/>
      <c r="N636" s="541">
        <f>OBRA!Q634</f>
        <v>0</v>
      </c>
      <c r="O636" s="541"/>
      <c r="P636" s="4">
        <f>OBRA!R634</f>
        <v>0</v>
      </c>
      <c r="Q636" s="1023">
        <f t="shared" si="44"/>
        <v>0</v>
      </c>
      <c r="R636" s="1023"/>
      <c r="S636" s="6">
        <f>OBRA!S634</f>
        <v>0</v>
      </c>
      <c r="T636" s="1134" t="str">
        <f>OBRA!V634</f>
        <v>-</v>
      </c>
      <c r="U636" s="5">
        <f>OBRA!T634</f>
        <v>0</v>
      </c>
      <c r="V636" s="11">
        <f>OBRA!U634</f>
        <v>0</v>
      </c>
      <c r="W636" s="1527"/>
      <c r="X636" s="1098">
        <f>OBRA!AS634+OBRA!AT634</f>
        <v>0</v>
      </c>
      <c r="Y636" s="1017"/>
      <c r="Z636" s="163" t="str">
        <f>OBRA!W634</f>
        <v>-</v>
      </c>
      <c r="AA636" s="163"/>
      <c r="AB636" s="1169" t="str">
        <f t="shared" si="45"/>
        <v>-</v>
      </c>
      <c r="AC636" s="163"/>
      <c r="AD636" s="1169"/>
      <c r="AE636" s="551">
        <f>OBRA!X634</f>
        <v>0</v>
      </c>
      <c r="AF636" s="161"/>
      <c r="AG636" s="510"/>
      <c r="AH636" s="634" t="e">
        <f t="shared" si="48"/>
        <v>#DIV/0!</v>
      </c>
      <c r="AI636" s="510"/>
      <c r="AJ636" s="506"/>
      <c r="AK636" s="506"/>
      <c r="AL636" s="635"/>
      <c r="AM636" s="1517"/>
      <c r="AN636" s="573"/>
      <c r="AO636" s="573"/>
      <c r="AP636" s="573"/>
      <c r="AQ636" s="506"/>
      <c r="AR636" s="506"/>
      <c r="AS636" s="511"/>
    </row>
    <row r="637" spans="1:45" ht="15" hidden="1" customHeight="1">
      <c r="A637" s="16">
        <f>OBRA!J635</f>
        <v>2022</v>
      </c>
      <c r="B637" s="783" t="s">
        <v>3944</v>
      </c>
      <c r="C637" s="783">
        <f>OBRA!K635</f>
        <v>223010</v>
      </c>
      <c r="D637" s="783"/>
      <c r="E637" s="2">
        <f>OBRA!M635</f>
        <v>0</v>
      </c>
      <c r="F637" s="671" t="s">
        <v>1428</v>
      </c>
      <c r="G637" s="872" t="s">
        <v>2861</v>
      </c>
      <c r="H637" s="12" t="str">
        <f>OBRA!N635</f>
        <v>C- OP 010/2022</v>
      </c>
      <c r="I637" s="2" t="str">
        <f>OBRA!O635</f>
        <v>CANCELADA</v>
      </c>
      <c r="J637" s="3" t="str">
        <f>OBRA!P635</f>
        <v>-</v>
      </c>
      <c r="K637" s="541"/>
      <c r="L637" s="541"/>
      <c r="M637" s="541"/>
      <c r="N637" s="541">
        <f>OBRA!Q635</f>
        <v>0</v>
      </c>
      <c r="O637" s="541"/>
      <c r="P637" s="4">
        <f>OBRA!R635</f>
        <v>0</v>
      </c>
      <c r="Q637" s="1023">
        <f t="shared" si="44"/>
        <v>0</v>
      </c>
      <c r="R637" s="1023"/>
      <c r="S637" s="6">
        <f>OBRA!S635</f>
        <v>0</v>
      </c>
      <c r="T637" s="1134" t="str">
        <f>OBRA!V635</f>
        <v>-</v>
      </c>
      <c r="U637" s="5">
        <f>OBRA!T635</f>
        <v>0</v>
      </c>
      <c r="V637" s="11">
        <f>OBRA!U635</f>
        <v>0</v>
      </c>
      <c r="W637" s="1527"/>
      <c r="X637" s="1098">
        <f>OBRA!AS635+OBRA!AT635</f>
        <v>0</v>
      </c>
      <c r="Y637" s="1017"/>
      <c r="Z637" s="163" t="str">
        <f>OBRA!W635</f>
        <v>-</v>
      </c>
      <c r="AA637" s="163"/>
      <c r="AB637" s="1169" t="str">
        <f t="shared" si="45"/>
        <v>-</v>
      </c>
      <c r="AC637" s="163"/>
      <c r="AD637" s="1169"/>
      <c r="AE637" s="551">
        <f>OBRA!X635</f>
        <v>0</v>
      </c>
      <c r="AF637" s="161"/>
      <c r="AG637" s="510"/>
      <c r="AH637" s="634" t="e">
        <f t="shared" si="48"/>
        <v>#DIV/0!</v>
      </c>
      <c r="AI637" s="510"/>
      <c r="AJ637" s="506"/>
      <c r="AK637" s="506"/>
      <c r="AL637" s="635"/>
      <c r="AM637" s="1517"/>
      <c r="AN637" s="573"/>
      <c r="AO637" s="573"/>
      <c r="AP637" s="573"/>
      <c r="AQ637" s="506"/>
      <c r="AR637" s="506"/>
      <c r="AS637" s="511"/>
    </row>
    <row r="638" spans="1:45" ht="110.25" customHeight="1">
      <c r="A638" s="16">
        <f>OBRA!J636</f>
        <v>2022</v>
      </c>
      <c r="B638" s="783" t="s">
        <v>3944</v>
      </c>
      <c r="C638" s="783">
        <f>OBRA!K636</f>
        <v>224001</v>
      </c>
      <c r="D638" s="783" t="s">
        <v>551</v>
      </c>
      <c r="E638" s="2" t="str">
        <f>OBRA!M636</f>
        <v>RAMO 33</v>
      </c>
      <c r="F638" s="671" t="s">
        <v>1428</v>
      </c>
      <c r="G638" s="156" t="s">
        <v>2206</v>
      </c>
      <c r="H638" s="12" t="str">
        <f>OBRA!N636</f>
        <v>GMJ 001 C-OP/2022</v>
      </c>
      <c r="I638" s="2" t="str">
        <f>OBRA!O636</f>
        <v>ADJUDICACIÓN DIRECTA</v>
      </c>
      <c r="J638" s="3" t="str">
        <f>OBRA!P636</f>
        <v>"REHABILITACIÓN DE RED DE AGUA POTABLE EN CALLE PRIVADA FRANCISCO VILLA ENTRE CALLE PRIMERO DE MAYO A CERRADA", EN LA LOCALIDAD DE LA LOMA, DEL MUNICIPIO DE JOCOTEPEC, JALISCO.</v>
      </c>
      <c r="K638" s="1545" t="s">
        <v>5895</v>
      </c>
      <c r="L638" s="1545" t="s">
        <v>4745</v>
      </c>
      <c r="M638" s="3" t="s">
        <v>4394</v>
      </c>
      <c r="N638" s="3" t="str">
        <f>OBRA!Q636</f>
        <v>LA LOMA</v>
      </c>
      <c r="O638" s="504" t="s">
        <v>4473</v>
      </c>
      <c r="P638" s="79">
        <f>OBRA!R636</f>
        <v>98067.87</v>
      </c>
      <c r="Q638" s="1023">
        <f t="shared" si="44"/>
        <v>84541.267241379319</v>
      </c>
      <c r="R638" s="1714"/>
      <c r="S638" s="67">
        <f>OBRA!S636</f>
        <v>44628</v>
      </c>
      <c r="T638" s="1134">
        <f>OBRA!V636</f>
        <v>44627</v>
      </c>
      <c r="U638" s="5">
        <f>OBRA!T636</f>
        <v>44634</v>
      </c>
      <c r="V638" s="11">
        <f>OBRA!U636</f>
        <v>44639</v>
      </c>
      <c r="W638" s="1901">
        <v>0</v>
      </c>
      <c r="X638" s="1019">
        <f>OBRA!AS636+OBRA!AT636</f>
        <v>97999</v>
      </c>
      <c r="Y638" s="1018" t="s">
        <v>4399</v>
      </c>
      <c r="Z638" s="146" t="str">
        <f>OBRA!W636</f>
        <v xml:space="preserve">SERVICIOS Y CONSTRUCCIONES NATENIO, S.A. DE C.V. </v>
      </c>
      <c r="AA638" s="146" t="s">
        <v>5666</v>
      </c>
      <c r="AB638" s="148" t="s">
        <v>2805</v>
      </c>
      <c r="AC638" s="146" t="s">
        <v>2806</v>
      </c>
      <c r="AD638" s="148" t="s">
        <v>2969</v>
      </c>
      <c r="AE638" s="183" t="str">
        <f>OBRA!X636</f>
        <v>C. DANIEL RODRIGUEZ VALENZUELA</v>
      </c>
      <c r="AF638" s="19">
        <v>92</v>
      </c>
      <c r="AG638" s="2" t="s">
        <v>1451</v>
      </c>
      <c r="AH638" s="615">
        <f t="shared" si="48"/>
        <v>1065.2065217391305</v>
      </c>
      <c r="AI638" s="2">
        <v>110</v>
      </c>
      <c r="AJ638" s="513">
        <v>110</v>
      </c>
      <c r="AK638" s="1715">
        <v>1</v>
      </c>
      <c r="AL638" s="1522">
        <v>20.278487999999999</v>
      </c>
      <c r="AM638" s="1523">
        <v>103.435028</v>
      </c>
      <c r="AN638" s="571" t="s">
        <v>4560</v>
      </c>
      <c r="AO638" s="571" t="s">
        <v>4560</v>
      </c>
      <c r="AP638" s="571" t="s">
        <v>4560</v>
      </c>
      <c r="AQ638" s="501" t="s">
        <v>4560</v>
      </c>
      <c r="AR638" s="501"/>
      <c r="AS638" s="704" t="s">
        <v>4560</v>
      </c>
    </row>
    <row r="639" spans="1:45" ht="73.5" customHeight="1">
      <c r="A639" s="16">
        <f>OBRA!J637</f>
        <v>2022</v>
      </c>
      <c r="B639" s="783" t="s">
        <v>3944</v>
      </c>
      <c r="C639" s="783">
        <f>OBRA!K637</f>
        <v>224002</v>
      </c>
      <c r="D639" s="783" t="s">
        <v>551</v>
      </c>
      <c r="E639" s="2" t="str">
        <f>OBRA!M637</f>
        <v>RAMO 33</v>
      </c>
      <c r="F639" s="671" t="s">
        <v>1428</v>
      </c>
      <c r="G639" s="156" t="s">
        <v>2206</v>
      </c>
      <c r="H639" s="12" t="str">
        <f>OBRA!N637</f>
        <v>GMJ 002 C-OP/2022</v>
      </c>
      <c r="I639" s="2" t="str">
        <f>OBRA!O637</f>
        <v>ADJUDICACIÓN DIRECTA</v>
      </c>
      <c r="J639" s="3" t="str">
        <f>OBRA!P637</f>
        <v>"REHABILITACIÓN DE LÍNEA DE DRENAJE, EN CALLE 1RO DE MAYO ENTRE CALLE CHAPULTEPEC Y CALLE 05 DE FEBRERO", EN LA AGENCIA DE LA LOMA, MUNICIPIO DE JOCOTEPEC, JALISCO.</v>
      </c>
      <c r="K639" s="1545" t="s">
        <v>5896</v>
      </c>
      <c r="L639" s="1545" t="s">
        <v>4747</v>
      </c>
      <c r="M639" s="3" t="s">
        <v>6292</v>
      </c>
      <c r="N639" s="3" t="str">
        <f>OBRA!Q637</f>
        <v>LA LOMA</v>
      </c>
      <c r="O639" s="504" t="s">
        <v>4473</v>
      </c>
      <c r="P639" s="79">
        <f>OBRA!R637</f>
        <v>160513.82999999999</v>
      </c>
      <c r="Q639" s="1023">
        <f t="shared" si="44"/>
        <v>138373.99137931035</v>
      </c>
      <c r="R639" s="1714"/>
      <c r="S639" s="67">
        <f>OBRA!S637</f>
        <v>44628</v>
      </c>
      <c r="T639" s="1134">
        <f>OBRA!V637</f>
        <v>44627</v>
      </c>
      <c r="U639" s="5">
        <f>OBRA!T637</f>
        <v>44634</v>
      </c>
      <c r="V639" s="11">
        <f>OBRA!U637</f>
        <v>44653</v>
      </c>
      <c r="W639" s="1901">
        <v>0</v>
      </c>
      <c r="X639" s="1019">
        <f>OBRA!AS637+OBRA!AT637</f>
        <v>160825.43</v>
      </c>
      <c r="Y639" s="1018" t="s">
        <v>4400</v>
      </c>
      <c r="Z639" s="146" t="str">
        <f>OBRA!W637</f>
        <v xml:space="preserve">DORIA &amp; SAMPIER CONSTRUCTORA, S.A. DE C.V. </v>
      </c>
      <c r="AA639" s="146" t="s">
        <v>5666</v>
      </c>
      <c r="AB639" s="148" t="s">
        <v>4443</v>
      </c>
      <c r="AC639" s="146" t="s">
        <v>4401</v>
      </c>
      <c r="AD639" s="148" t="s">
        <v>4402</v>
      </c>
      <c r="AE639" s="183" t="str">
        <f>OBRA!X637</f>
        <v>C. DANIEL RODRIGUEZ VALENZUELA</v>
      </c>
      <c r="AF639" s="19">
        <v>97</v>
      </c>
      <c r="AG639" s="2" t="s">
        <v>1451</v>
      </c>
      <c r="AH639" s="615">
        <f t="shared" si="48"/>
        <v>1657.9941237113401</v>
      </c>
      <c r="AI639" s="2">
        <v>130</v>
      </c>
      <c r="AJ639" s="513">
        <v>130</v>
      </c>
      <c r="AK639" s="1715">
        <v>1</v>
      </c>
      <c r="AL639" s="1522">
        <v>20.278373999999999</v>
      </c>
      <c r="AM639" s="1523">
        <v>103.43481300000001</v>
      </c>
      <c r="AN639" s="571" t="s">
        <v>4561</v>
      </c>
      <c r="AO639" s="571" t="s">
        <v>4561</v>
      </c>
      <c r="AP639" s="571" t="s">
        <v>4561</v>
      </c>
      <c r="AQ639" s="501" t="s">
        <v>4561</v>
      </c>
      <c r="AR639" s="501"/>
      <c r="AS639" s="704" t="s">
        <v>4561</v>
      </c>
    </row>
    <row r="640" spans="1:45" ht="84.75" customHeight="1">
      <c r="A640" s="16">
        <f>OBRA!J638</f>
        <v>2022</v>
      </c>
      <c r="B640" s="783" t="s">
        <v>3944</v>
      </c>
      <c r="C640" s="783">
        <f>OBRA!K638</f>
        <v>224003</v>
      </c>
      <c r="D640" s="783" t="s">
        <v>551</v>
      </c>
      <c r="E640" s="2" t="str">
        <f>OBRA!M638</f>
        <v>RAMO 33</v>
      </c>
      <c r="F640" s="671" t="s">
        <v>1428</v>
      </c>
      <c r="G640" s="156" t="s">
        <v>2206</v>
      </c>
      <c r="H640" s="12" t="str">
        <f>OBRA!N638</f>
        <v>GMJ 003 C-OP/2022</v>
      </c>
      <c r="I640" s="2" t="str">
        <f>OBRA!O638</f>
        <v>ADJUDICACIÓN DIRECTA</v>
      </c>
      <c r="J640" s="3" t="str">
        <f>OBRA!P638</f>
        <v>"REHABILITACIÓN DE DRENAJE SANITARIO DE 10" EN CALLE 14 DE FEBRERO Y/O CALLE 5 DE FEBRERO ENTRE CALLE 1RO DE MAYO Y CALLE 5 DE MAYO", EN LA AGENCIA DE LA LOMA, MUNICIPIO DE JOCOTEPEC, JALISCO.</v>
      </c>
      <c r="K640" s="1545" t="s">
        <v>5896</v>
      </c>
      <c r="L640" s="1545" t="s">
        <v>4747</v>
      </c>
      <c r="M640" s="3" t="s">
        <v>6293</v>
      </c>
      <c r="N640" s="3" t="str">
        <f>OBRA!Q638</f>
        <v>LA LOMA</v>
      </c>
      <c r="O640" s="504" t="s">
        <v>4473</v>
      </c>
      <c r="P640" s="79">
        <f>OBRA!R638</f>
        <v>236056.39</v>
      </c>
      <c r="Q640" s="1023">
        <f t="shared" si="44"/>
        <v>203496.88793103452</v>
      </c>
      <c r="R640" s="1714"/>
      <c r="S640" s="67">
        <f>OBRA!S638</f>
        <v>44628</v>
      </c>
      <c r="T640" s="1134">
        <f>OBRA!V638</f>
        <v>44627</v>
      </c>
      <c r="U640" s="5">
        <f>OBRA!T638</f>
        <v>44634</v>
      </c>
      <c r="V640" s="11">
        <f>OBRA!U638</f>
        <v>44653</v>
      </c>
      <c r="W640" s="1901">
        <v>0</v>
      </c>
      <c r="X640" s="1019">
        <f>OBRA!AS638+OBRA!AT638</f>
        <v>295070.46000000002</v>
      </c>
      <c r="Y640" s="1018" t="s">
        <v>4403</v>
      </c>
      <c r="Z640" s="146" t="str">
        <f>OBRA!W638</f>
        <v xml:space="preserve">DORIA &amp; SAMPIER CONSTRUCTORA, S.A. DE C.V. </v>
      </c>
      <c r="AA640" s="146" t="s">
        <v>5666</v>
      </c>
      <c r="AB640" s="148" t="s">
        <v>4443</v>
      </c>
      <c r="AC640" s="146" t="s">
        <v>4401</v>
      </c>
      <c r="AD640" s="148" t="s">
        <v>4402</v>
      </c>
      <c r="AE640" s="183" t="str">
        <f>OBRA!X638</f>
        <v>C. DANIEL RODRIGUEZ VALENZUELA</v>
      </c>
      <c r="AF640" s="19">
        <v>151.55000000000001</v>
      </c>
      <c r="AG640" s="2" t="s">
        <v>1451</v>
      </c>
      <c r="AH640" s="615">
        <f t="shared" si="48"/>
        <v>1947.0172220389311</v>
      </c>
      <c r="AI640" s="2">
        <v>120</v>
      </c>
      <c r="AJ640" s="513">
        <v>120</v>
      </c>
      <c r="AK640" s="1715">
        <v>1</v>
      </c>
      <c r="AL640" s="1522">
        <v>20.278569000000001</v>
      </c>
      <c r="AM640" s="1523">
        <v>103.43415400000001</v>
      </c>
      <c r="AN640" s="571" t="s">
        <v>4562</v>
      </c>
      <c r="AO640" s="571" t="s">
        <v>4562</v>
      </c>
      <c r="AP640" s="571" t="s">
        <v>4562</v>
      </c>
      <c r="AQ640" s="501" t="s">
        <v>4562</v>
      </c>
      <c r="AR640" s="501"/>
      <c r="AS640" s="704" t="s">
        <v>4562</v>
      </c>
    </row>
    <row r="641" spans="1:45" ht="209.25" customHeight="1">
      <c r="A641" s="16">
        <f>OBRA!J639</f>
        <v>2022</v>
      </c>
      <c r="B641" s="783" t="s">
        <v>3944</v>
      </c>
      <c r="C641" s="783">
        <f>OBRA!K639</f>
        <v>224004</v>
      </c>
      <c r="D641" s="783" t="s">
        <v>551</v>
      </c>
      <c r="E641" s="2" t="str">
        <f>OBRA!M639</f>
        <v>RAMO 33</v>
      </c>
      <c r="F641" s="671" t="s">
        <v>1428</v>
      </c>
      <c r="G641" s="156" t="s">
        <v>2206</v>
      </c>
      <c r="H641" s="12" t="str">
        <f>OBRA!N639</f>
        <v>GMJ 004 C-OP/2022</v>
      </c>
      <c r="I641" s="2" t="str">
        <f>OBRA!O639</f>
        <v>ADJUDICACIÓN DIRECTA</v>
      </c>
      <c r="J641"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23" t="s">
        <v>4603</v>
      </c>
      <c r="L641" s="1323" t="s">
        <v>4751</v>
      </c>
      <c r="M641" s="3" t="s">
        <v>4395</v>
      </c>
      <c r="N641" s="3" t="str">
        <f>OBRA!Q639</f>
        <v>SAN CRISTÓBAL ZAPOTITLÁN</v>
      </c>
      <c r="O641" s="504" t="s">
        <v>4473</v>
      </c>
      <c r="P641" s="79">
        <f>OBRA!R639</f>
        <v>2031883.8</v>
      </c>
      <c r="Q641" s="1023">
        <f t="shared" si="44"/>
        <v>1751623.9655172415</v>
      </c>
      <c r="R641" s="1714"/>
      <c r="S641" s="67">
        <f>OBRA!S639</f>
        <v>44690</v>
      </c>
      <c r="T641" s="1134">
        <f>OBRA!V639</f>
        <v>44687</v>
      </c>
      <c r="U641" s="5">
        <f>OBRA!T639</f>
        <v>44692</v>
      </c>
      <c r="V641" s="11">
        <f>OBRA!U639</f>
        <v>44765</v>
      </c>
      <c r="W641" s="1901">
        <v>507970.95</v>
      </c>
      <c r="X641" s="1019">
        <f>OBRA!AS639+OBRA!AT639</f>
        <v>2069216.72</v>
      </c>
      <c r="Y641" s="1018" t="s">
        <v>4404</v>
      </c>
      <c r="Z641" s="146" t="str">
        <f>OBRA!W639</f>
        <v>EDUARDO VENTURA PADILLA</v>
      </c>
      <c r="AA641" s="146" t="s">
        <v>5665</v>
      </c>
      <c r="AB641" s="148" t="str">
        <f t="shared" si="45"/>
        <v>EDUARDO VENTURA PADILLA</v>
      </c>
      <c r="AC641" s="146" t="s">
        <v>4405</v>
      </c>
      <c r="AD641" s="148" t="s">
        <v>4406</v>
      </c>
      <c r="AE641" s="183" t="str">
        <f>OBRA!X639</f>
        <v>ING. J. GUADALUPE IBARRA RAMIREZ</v>
      </c>
      <c r="AF641" s="19">
        <v>1</v>
      </c>
      <c r="AG641" s="2" t="s">
        <v>1463</v>
      </c>
      <c r="AH641" s="615">
        <f t="shared" si="48"/>
        <v>2069216.72</v>
      </c>
      <c r="AI641" s="2">
        <v>2500</v>
      </c>
      <c r="AJ641" s="513">
        <v>2500</v>
      </c>
      <c r="AK641" s="1715">
        <v>1</v>
      </c>
      <c r="AL641" s="1522">
        <v>20.223519</v>
      </c>
      <c r="AM641" s="1523">
        <v>103.371988</v>
      </c>
      <c r="AN641" s="571" t="s">
        <v>4602</v>
      </c>
      <c r="AO641" s="571" t="s">
        <v>4602</v>
      </c>
      <c r="AP641" s="495" t="s">
        <v>4602</v>
      </c>
      <c r="AQ641" s="495" t="s">
        <v>4602</v>
      </c>
      <c r="AR641" s="1505"/>
      <c r="AS641" s="704" t="s">
        <v>4602</v>
      </c>
    </row>
    <row r="642" spans="1:45" ht="94.5" customHeight="1">
      <c r="A642" s="16">
        <f>OBRA!J640</f>
        <v>2022</v>
      </c>
      <c r="B642" s="783" t="s">
        <v>3944</v>
      </c>
      <c r="C642" s="783">
        <f>OBRA!K640</f>
        <v>224005</v>
      </c>
      <c r="D642" s="783" t="s">
        <v>551</v>
      </c>
      <c r="E642" s="2" t="str">
        <f>OBRA!M640</f>
        <v>CUENTA CORRIENTE</v>
      </c>
      <c r="F642" s="671" t="s">
        <v>1428</v>
      </c>
      <c r="G642" s="156" t="s">
        <v>2206</v>
      </c>
      <c r="H642" s="12" t="str">
        <f>OBRA!N640</f>
        <v>GMJ 005 C-OP/2022</v>
      </c>
      <c r="I642" s="2" t="str">
        <f>OBRA!O640</f>
        <v>ADJUDICACIÓN DIRECTA</v>
      </c>
      <c r="J642" s="3" t="str">
        <f>OBRA!P640</f>
        <v>"REHABILITACIÓN DE RED DE DRENAJE EN LA CALLE MORELOS ENTRE RIVERA DEL LAGO Y MALECÓN", EN LA LOCALIDAD DE NEXTIPAC, DEL MUNICIPIO DE JOCOTEPEC, JALISCO.</v>
      </c>
      <c r="K642" s="1323" t="s">
        <v>4604</v>
      </c>
      <c r="L642" s="1323" t="s">
        <v>4747</v>
      </c>
      <c r="M642" s="3" t="s">
        <v>6294</v>
      </c>
      <c r="N642" s="3" t="str">
        <f>OBRA!Q640</f>
        <v>NEXTIPAC</v>
      </c>
      <c r="O642" s="504" t="s">
        <v>4473</v>
      </c>
      <c r="P642" s="79">
        <f>OBRA!R640</f>
        <v>793754.52</v>
      </c>
      <c r="Q642" s="1023">
        <f t="shared" si="44"/>
        <v>684271.13793103455</v>
      </c>
      <c r="R642" s="1714"/>
      <c r="S642" s="67">
        <f>OBRA!S640</f>
        <v>44704</v>
      </c>
      <c r="T642" s="1134">
        <f>OBRA!V640</f>
        <v>44704</v>
      </c>
      <c r="U642" s="5">
        <f>OBRA!T640</f>
        <v>44705</v>
      </c>
      <c r="V642" s="11">
        <f>OBRA!U640</f>
        <v>44712</v>
      </c>
      <c r="W642" s="1901">
        <v>0</v>
      </c>
      <c r="X642" s="1019">
        <f>OBRA!AS640+OBRA!AT640</f>
        <v>793754.52</v>
      </c>
      <c r="Y642" s="1018" t="s">
        <v>4407</v>
      </c>
      <c r="Z642" s="146" t="str">
        <f>OBRA!W640</f>
        <v>TERRACERÍAS Y PAVIMENTOS DE LA RIBERA, S.A. DE C.V.</v>
      </c>
      <c r="AA642" s="146" t="s">
        <v>5666</v>
      </c>
      <c r="AB642" s="148" t="s">
        <v>4444</v>
      </c>
      <c r="AC642" s="146" t="s">
        <v>3470</v>
      </c>
      <c r="AD642" s="148" t="s">
        <v>4203</v>
      </c>
      <c r="AE642" s="183" t="str">
        <f>OBRA!X640</f>
        <v>C. DANIEL RODRIGUEZ VALENZUELA</v>
      </c>
      <c r="AF642" s="19">
        <v>129</v>
      </c>
      <c r="AG642" s="2" t="s">
        <v>1451</v>
      </c>
      <c r="AH642" s="615">
        <f t="shared" si="48"/>
        <v>6153.1358139534887</v>
      </c>
      <c r="AI642" s="2">
        <v>500</v>
      </c>
      <c r="AJ642" s="513">
        <v>2000</v>
      </c>
      <c r="AK642" s="1715">
        <v>1</v>
      </c>
      <c r="AL642" s="1522">
        <v>20.287559999999999</v>
      </c>
      <c r="AM642" s="1523">
        <v>103.414806</v>
      </c>
      <c r="AN642" s="571" t="s">
        <v>4605</v>
      </c>
      <c r="AO642" s="571" t="s">
        <v>4605</v>
      </c>
      <c r="AP642" s="571" t="s">
        <v>4605</v>
      </c>
      <c r="AQ642" s="501" t="s">
        <v>4605</v>
      </c>
      <c r="AR642" s="501"/>
      <c r="AS642" s="704" t="s">
        <v>4605</v>
      </c>
    </row>
    <row r="643" spans="1:45" ht="87.75" customHeight="1">
      <c r="A643" s="16">
        <f>OBRA!J641</f>
        <v>2022</v>
      </c>
      <c r="B643" s="783" t="s">
        <v>3944</v>
      </c>
      <c r="C643" s="783">
        <f>OBRA!K641</f>
        <v>224006</v>
      </c>
      <c r="D643" s="783" t="s">
        <v>551</v>
      </c>
      <c r="E643" s="2" t="str">
        <f>OBRA!M641</f>
        <v>RAMO 33</v>
      </c>
      <c r="F643" s="671" t="s">
        <v>1428</v>
      </c>
      <c r="G643" s="156" t="s">
        <v>2206</v>
      </c>
      <c r="H643" s="12" t="str">
        <f>OBRA!N641</f>
        <v>GMJ 006 C-OP/2022</v>
      </c>
      <c r="I643" s="2" t="str">
        <f>OBRA!O641</f>
        <v>ADJUDICACIÓN DIRECTA</v>
      </c>
      <c r="J643" s="3" t="str">
        <f>OBRA!P641</f>
        <v>"REHABILITACIÓN DE ANDADOR, MURO DE CONTECIÓN Y ALUMBRADO PÚBLICO EN ANDADOR MORELOS ENTRE C. RIVERA DEL LAGO Y MALECÓN", EN LA LOCALIDAD DE NEXTIPAC, DEL MUNICIPIO DE JOCTEPEC, JALISCO.</v>
      </c>
      <c r="K643" s="1323" t="s">
        <v>4606</v>
      </c>
      <c r="L643" s="1323" t="s">
        <v>6255</v>
      </c>
      <c r="M643" s="3" t="s">
        <v>4396</v>
      </c>
      <c r="N643" s="3" t="str">
        <f>OBRA!Q641</f>
        <v>NEXTIPAC</v>
      </c>
      <c r="O643" s="504" t="s">
        <v>4473</v>
      </c>
      <c r="P643" s="79">
        <f>OBRA!R641</f>
        <v>579637.71</v>
      </c>
      <c r="Q643" s="1023">
        <f t="shared" si="44"/>
        <v>499687.68103448278</v>
      </c>
      <c r="R643" s="1714"/>
      <c r="S643" s="67">
        <f>OBRA!S641</f>
        <v>44704</v>
      </c>
      <c r="T643" s="1134">
        <f>OBRA!V641</f>
        <v>44704</v>
      </c>
      <c r="U643" s="5">
        <f>OBRA!T641</f>
        <v>44712</v>
      </c>
      <c r="V643" s="11">
        <f>OBRA!U641</f>
        <v>44722</v>
      </c>
      <c r="W643" s="1901">
        <v>0</v>
      </c>
      <c r="X643" s="1019">
        <f>OBRA!AS641+OBRA!AT641</f>
        <v>579645.42000000004</v>
      </c>
      <c r="Y643" s="1018" t="s">
        <v>4408</v>
      </c>
      <c r="Z643" s="146" t="str">
        <f>OBRA!W641</f>
        <v>TERRACERÍAS Y PAVIMENTOS DE LA RIBERA, S.A. DE C.V.</v>
      </c>
      <c r="AA643" s="146" t="s">
        <v>5666</v>
      </c>
      <c r="AB643" s="148" t="s">
        <v>4444</v>
      </c>
      <c r="AC643" s="146" t="s">
        <v>3470</v>
      </c>
      <c r="AD643" s="148" t="s">
        <v>4203</v>
      </c>
      <c r="AE643" s="183" t="str">
        <f>OBRA!X641</f>
        <v>C. DANIEL RODRIGUEZ VALENZUELA</v>
      </c>
      <c r="AF643" s="19">
        <v>301.5</v>
      </c>
      <c r="AG643" s="2" t="s">
        <v>1548</v>
      </c>
      <c r="AH643" s="615">
        <f t="shared" si="48"/>
        <v>1922.5387064676618</v>
      </c>
      <c r="AI643" s="2">
        <v>21500</v>
      </c>
      <c r="AJ643" s="513">
        <v>21500</v>
      </c>
      <c r="AK643" s="1715">
        <v>1</v>
      </c>
      <c r="AL643" s="1522">
        <v>20.287559999999999</v>
      </c>
      <c r="AM643" s="1523">
        <v>103.414806</v>
      </c>
      <c r="AN643" s="571" t="s">
        <v>4607</v>
      </c>
      <c r="AO643" s="571" t="s">
        <v>4607</v>
      </c>
      <c r="AP643" s="571" t="s">
        <v>4607</v>
      </c>
      <c r="AQ643" s="501" t="s">
        <v>4607</v>
      </c>
      <c r="AR643" s="501"/>
      <c r="AS643" s="704" t="s">
        <v>4607</v>
      </c>
    </row>
    <row r="644" spans="1:45" ht="189.75" customHeight="1">
      <c r="A644" s="16">
        <f>OBRA!J642</f>
        <v>2022</v>
      </c>
      <c r="B644" s="783" t="s">
        <v>3944</v>
      </c>
      <c r="C644" s="783">
        <f>OBRA!K642</f>
        <v>224007</v>
      </c>
      <c r="D644" s="783" t="s">
        <v>551</v>
      </c>
      <c r="E644" s="2" t="str">
        <f>OBRA!M642</f>
        <v>RAMO 33</v>
      </c>
      <c r="F644" s="671" t="s">
        <v>1428</v>
      </c>
      <c r="G644" s="156" t="s">
        <v>2206</v>
      </c>
      <c r="H644" s="12" t="str">
        <f>OBRA!N642</f>
        <v>GMJ 007 C-OP/2022</v>
      </c>
      <c r="I644" s="2" t="str">
        <f>OBRA!O642</f>
        <v>ADJUDICACIÓN DIRECTA</v>
      </c>
      <c r="J644" s="3" t="str">
        <f>OBRA!P642</f>
        <v>“CONSTRUCCIÓN DE DRENAJE SANITARIO, AGUA POTABLE Y SUPERFICIE DE RODAMIENTO EN PRIVADA GALEANA”, EN LA LOCALIDAD DE SAN JUAN COSALÁ, DEL MUNICIPIO DE JOCOTEPEC,JALISCO.</v>
      </c>
      <c r="K644" s="1323" t="s">
        <v>4608</v>
      </c>
      <c r="L644" s="1323" t="s">
        <v>6248</v>
      </c>
      <c r="M644" s="3" t="s">
        <v>4474</v>
      </c>
      <c r="N644" s="3" t="str">
        <f>OBRA!Q642</f>
        <v>SAN JUAN COSALÁ</v>
      </c>
      <c r="O644" s="504" t="s">
        <v>4473</v>
      </c>
      <c r="P644" s="79">
        <f>OBRA!R642</f>
        <v>627108.43000000005</v>
      </c>
      <c r="Q644" s="1023">
        <f t="shared" si="44"/>
        <v>540610.71551724151</v>
      </c>
      <c r="R644" s="1714"/>
      <c r="S644" s="67">
        <f>OBRA!S642</f>
        <v>44704</v>
      </c>
      <c r="T644" s="1134">
        <f>OBRA!V642</f>
        <v>44704</v>
      </c>
      <c r="U644" s="5">
        <f>OBRA!T642</f>
        <v>44705</v>
      </c>
      <c r="V644" s="11">
        <f>OBRA!U642</f>
        <v>44742</v>
      </c>
      <c r="W644" s="1901">
        <v>0</v>
      </c>
      <c r="X644" s="1019">
        <f>OBRA!AS642+OBRA!AT642</f>
        <v>694906.61</v>
      </c>
      <c r="Y644" s="1089" t="s">
        <v>4475</v>
      </c>
      <c r="Z644" s="146" t="str">
        <f>OBRA!W642</f>
        <v>ESTRUCTURAS PLANEADAS DE OCCIDENTE, S.A. DE C.V.</v>
      </c>
      <c r="AA644" s="146" t="s">
        <v>5666</v>
      </c>
      <c r="AB644" s="148" t="s">
        <v>4477</v>
      </c>
      <c r="AC644" s="146" t="s">
        <v>4478</v>
      </c>
      <c r="AD644" s="148" t="s">
        <v>4434</v>
      </c>
      <c r="AE644" s="183" t="str">
        <f>OBRA!X642</f>
        <v>C. DANIEL RODRIGUEZ VALENZUELA</v>
      </c>
      <c r="AF644" s="19">
        <v>300.95</v>
      </c>
      <c r="AG644" s="2" t="s">
        <v>1548</v>
      </c>
      <c r="AH644" s="615">
        <f t="shared" si="48"/>
        <v>2309.0433959129423</v>
      </c>
      <c r="AI644" s="2">
        <v>80</v>
      </c>
      <c r="AJ644" s="513">
        <v>80</v>
      </c>
      <c r="AK644" s="1715">
        <v>1</v>
      </c>
      <c r="AL644" s="1522">
        <v>20.289904</v>
      </c>
      <c r="AM644" s="1523">
        <v>103.346773</v>
      </c>
      <c r="AN644" s="571" t="s">
        <v>4564</v>
      </c>
      <c r="AO644" s="571" t="s">
        <v>4564</v>
      </c>
      <c r="AP644" s="571" t="s">
        <v>4564</v>
      </c>
      <c r="AQ644" s="501" t="s">
        <v>4564</v>
      </c>
      <c r="AR644" s="501"/>
      <c r="AS644" s="704" t="s">
        <v>4564</v>
      </c>
    </row>
    <row r="645" spans="1:45" ht="125.25" customHeight="1">
      <c r="A645" s="16">
        <f>OBRA!J643</f>
        <v>2022</v>
      </c>
      <c r="B645" s="783" t="s">
        <v>3944</v>
      </c>
      <c r="C645" s="783">
        <f>OBRA!K643</f>
        <v>224008</v>
      </c>
      <c r="D645" s="783" t="s">
        <v>551</v>
      </c>
      <c r="E645" s="2" t="str">
        <f>OBRA!M643</f>
        <v>RAMO 33</v>
      </c>
      <c r="F645" s="671" t="s">
        <v>1428</v>
      </c>
      <c r="G645" s="156" t="s">
        <v>2206</v>
      </c>
      <c r="H645" s="12" t="str">
        <f>OBRA!N643</f>
        <v>GMJ 008 C-OP/2022</v>
      </c>
      <c r="I645" s="2" t="str">
        <f>OBRA!O643</f>
        <v>ADJUDICACIÓN DIRECTA</v>
      </c>
      <c r="J645" s="3" t="str">
        <f>OBRA!P643</f>
        <v>“REHABILITACIÓN DE LÍNEA DE DRENAJE SANITARIO  CON TUBERÍA DE 8” Y CONSTRUCCIÓN DE ANDADOR PEATONAL EN ARROYO CAMICHINES”, EN LA LOCALIDAD DE SAN JUAN COSALÁ, DEL MUNICIPIO DE JOCOTEPEC,JALISCO.</v>
      </c>
      <c r="K645" s="1323" t="s">
        <v>4609</v>
      </c>
      <c r="L645" s="1323" t="s">
        <v>6305</v>
      </c>
      <c r="M645" s="3" t="s">
        <v>6295</v>
      </c>
      <c r="N645" s="3" t="str">
        <f>OBRA!Q643</f>
        <v>SAN JUAN COSALÁ</v>
      </c>
      <c r="O645" s="504" t="s">
        <v>4473</v>
      </c>
      <c r="P645" s="79">
        <f>OBRA!R643</f>
        <v>168470.35</v>
      </c>
      <c r="Q645" s="1023">
        <f t="shared" si="44"/>
        <v>145233.06034482759</v>
      </c>
      <c r="R645" s="1714"/>
      <c r="S645" s="67">
        <f>OBRA!S643</f>
        <v>44707</v>
      </c>
      <c r="T645" s="1134">
        <f>OBRA!V643</f>
        <v>44706</v>
      </c>
      <c r="U645" s="5">
        <f>OBRA!T643</f>
        <v>44711</v>
      </c>
      <c r="V645" s="11">
        <f>OBRA!U643</f>
        <v>44722</v>
      </c>
      <c r="W645" s="1901">
        <v>0</v>
      </c>
      <c r="X645" s="1019">
        <f>OBRA!AS643+OBRA!AT643</f>
        <v>183498.77</v>
      </c>
      <c r="Y645" s="1089" t="s">
        <v>4476</v>
      </c>
      <c r="Z645" s="146" t="str">
        <f>OBRA!W643</f>
        <v xml:space="preserve">SERVICIOS Y CONSTRUCCIONES NATENIO, S.A. DE C.V. </v>
      </c>
      <c r="AA645" s="146" t="s">
        <v>5666</v>
      </c>
      <c r="AB645" s="148" t="s">
        <v>2805</v>
      </c>
      <c r="AC645" s="146" t="s">
        <v>2806</v>
      </c>
      <c r="AD645" s="148" t="s">
        <v>2969</v>
      </c>
      <c r="AE645" s="183" t="str">
        <f>OBRA!X643</f>
        <v>C. DANIEL RODRIGUEZ VALENZUELA</v>
      </c>
      <c r="AF645" s="19">
        <v>120</v>
      </c>
      <c r="AG645" s="2" t="s">
        <v>1451</v>
      </c>
      <c r="AH645" s="615">
        <f t="shared" si="48"/>
        <v>1529.1564166666665</v>
      </c>
      <c r="AI645" s="2">
        <v>20</v>
      </c>
      <c r="AJ645" s="513">
        <v>100</v>
      </c>
      <c r="AK645" s="1715">
        <v>1</v>
      </c>
      <c r="AL645" s="1522">
        <v>20.286469</v>
      </c>
      <c r="AM645" s="1523">
        <v>103.33503899999999</v>
      </c>
      <c r="AN645" s="571" t="s">
        <v>4565</v>
      </c>
      <c r="AO645" s="571" t="s">
        <v>4565</v>
      </c>
      <c r="AP645" s="571" t="s">
        <v>4565</v>
      </c>
      <c r="AQ645" s="501" t="s">
        <v>4565</v>
      </c>
      <c r="AR645" s="501"/>
      <c r="AS645" s="704" t="s">
        <v>4565</v>
      </c>
    </row>
    <row r="646" spans="1:45" ht="102" customHeight="1">
      <c r="A646" s="16">
        <f>OBRA!J644</f>
        <v>2022</v>
      </c>
      <c r="B646" s="783" t="s">
        <v>3944</v>
      </c>
      <c r="C646" s="783">
        <f>OBRA!K644</f>
        <v>224009</v>
      </c>
      <c r="D646" s="783" t="s">
        <v>551</v>
      </c>
      <c r="E646" s="2" t="str">
        <f>OBRA!M644</f>
        <v>RAMO 33</v>
      </c>
      <c r="F646" s="671" t="s">
        <v>1428</v>
      </c>
      <c r="G646" s="156" t="s">
        <v>2206</v>
      </c>
      <c r="H646" s="12" t="str">
        <f>OBRA!N644</f>
        <v>GMJ 009 C-OP/2022</v>
      </c>
      <c r="I646" s="2" t="str">
        <f>OBRA!O644</f>
        <v>ADJUDICACIÓN DIRECTA</v>
      </c>
      <c r="J646" s="3" t="str">
        <f>OBRA!P644</f>
        <v>“PROYECTO, SUMINISTRO E INSTALACIÓN DE ALUMBRADO PÚBLICO EN CALLE PROLONGACIÓN MORELOS”, EN LA LOCALIDAD DE CHANTEPEC, DEL MUNICIPIO DE JOCOTEPEC, JALISCO</v>
      </c>
      <c r="K646" s="1323" t="s">
        <v>4610</v>
      </c>
      <c r="L646" s="1323" t="s">
        <v>6255</v>
      </c>
      <c r="M646" s="3" t="s">
        <v>4490</v>
      </c>
      <c r="N646" s="3" t="str">
        <f>OBRA!Q644</f>
        <v>CHANTEPEC</v>
      </c>
      <c r="O646" s="504" t="s">
        <v>4473</v>
      </c>
      <c r="P646" s="79">
        <f>OBRA!R644</f>
        <v>809084.8</v>
      </c>
      <c r="Q646" s="1023">
        <f t="shared" si="44"/>
        <v>697486.89655172417</v>
      </c>
      <c r="R646" s="1714"/>
      <c r="S646" s="67">
        <f>OBRA!S644</f>
        <v>44736</v>
      </c>
      <c r="T646" s="1134">
        <f>OBRA!V644</f>
        <v>44789</v>
      </c>
      <c r="U646" s="5">
        <f>OBRA!T644</f>
        <v>44760</v>
      </c>
      <c r="V646" s="11">
        <f>OBRA!U644</f>
        <v>44804</v>
      </c>
      <c r="W646" s="1901">
        <v>0</v>
      </c>
      <c r="X646" s="1019">
        <f>OBRA!AS644+OBRA!AT644</f>
        <v>817756.14</v>
      </c>
      <c r="Y646" s="1018" t="s">
        <v>4543</v>
      </c>
      <c r="Z646" s="146" t="str">
        <f>OBRA!W644</f>
        <v>SOLEC ENERGY, S.A. DE C.V.</v>
      </c>
      <c r="AA646" s="146" t="s">
        <v>5666</v>
      </c>
      <c r="AB646" s="148" t="s">
        <v>4548</v>
      </c>
      <c r="AC646" s="146" t="s">
        <v>4549</v>
      </c>
      <c r="AD646" s="148" t="s">
        <v>4550</v>
      </c>
      <c r="AE646" s="183" t="str">
        <f>OBRA!X644</f>
        <v>C. DANIEL RODRIGUEZ VALENZUELA</v>
      </c>
      <c r="AF646" s="19">
        <v>28</v>
      </c>
      <c r="AG646" s="2" t="s">
        <v>1757</v>
      </c>
      <c r="AH646" s="615">
        <f t="shared" si="48"/>
        <v>29205.576428571429</v>
      </c>
      <c r="AI646" s="2">
        <v>300</v>
      </c>
      <c r="AJ646" s="513">
        <v>3600</v>
      </c>
      <c r="AK646" s="1715">
        <v>1</v>
      </c>
      <c r="AL646" s="1522">
        <v>20.288601</v>
      </c>
      <c r="AM646" s="1523">
        <v>103.396854</v>
      </c>
      <c r="AN646" s="571" t="s">
        <v>4566</v>
      </c>
      <c r="AO646" s="571" t="s">
        <v>4566</v>
      </c>
      <c r="AP646" s="571" t="s">
        <v>4566</v>
      </c>
      <c r="AQ646" s="501" t="s">
        <v>4566</v>
      </c>
      <c r="AR646" s="501"/>
      <c r="AS646" s="704"/>
    </row>
    <row r="647" spans="1:45" ht="186.75" customHeight="1">
      <c r="A647" s="16">
        <f>OBRA!J645</f>
        <v>2022</v>
      </c>
      <c r="B647" s="783" t="s">
        <v>3944</v>
      </c>
      <c r="C647" s="783">
        <f>OBRA!K645</f>
        <v>224010</v>
      </c>
      <c r="D647" s="783" t="s">
        <v>551</v>
      </c>
      <c r="E647" s="2" t="str">
        <f>OBRA!M645</f>
        <v>RAMO 33</v>
      </c>
      <c r="F647" s="671" t="s">
        <v>1428</v>
      </c>
      <c r="G647" s="156" t="s">
        <v>2206</v>
      </c>
      <c r="H647" s="12" t="str">
        <f>OBRA!N645</f>
        <v>GMJ 010 C-OP/2022</v>
      </c>
      <c r="I647" s="2" t="str">
        <f>OBRA!O645</f>
        <v>ADJUDICACIÓN DIRECTA</v>
      </c>
      <c r="J647" s="3" t="str">
        <f>OBRA!P645</f>
        <v>"PROYECTO DE CONSTRUCCIÓN DE TECHADO TIPO LONARIA EN AREA DE IMPARTICIÓN DE EDUCACIÓN FÍSICA EN LA ESCUELA CAM (CENTRO DE ATENCIÓN MULTIPLE GALLAUDET)" EN LA CABECERA MUNICIPAL DE JOCOTEPEC, JALISCO</v>
      </c>
      <c r="K647" s="1323" t="s">
        <v>4611</v>
      </c>
      <c r="L647" s="1323" t="s">
        <v>4759</v>
      </c>
      <c r="M647" s="3" t="s">
        <v>4491</v>
      </c>
      <c r="N647" s="3" t="str">
        <f>OBRA!Q645</f>
        <v>CABECERA MUNICIPAL</v>
      </c>
      <c r="O647" s="504" t="s">
        <v>4473</v>
      </c>
      <c r="P647" s="79">
        <f>OBRA!R645</f>
        <v>1697255.04</v>
      </c>
      <c r="Q647" s="1023">
        <f t="shared" si="44"/>
        <v>1463150.8965517243</v>
      </c>
      <c r="R647" s="1714"/>
      <c r="S647" s="67">
        <f>OBRA!S645</f>
        <v>44763</v>
      </c>
      <c r="T647" s="1134">
        <f>OBRA!V645</f>
        <v>44762</v>
      </c>
      <c r="U647" s="5">
        <f>OBRA!T645</f>
        <v>44767</v>
      </c>
      <c r="V647" s="11">
        <f>OBRA!U645</f>
        <v>44814</v>
      </c>
      <c r="W647" s="1901">
        <v>509176.51</v>
      </c>
      <c r="X647" s="1019">
        <f>OBRA!AS645+OBRA!AT645</f>
        <v>1697255.04</v>
      </c>
      <c r="Y647" s="1018" t="s">
        <v>4544</v>
      </c>
      <c r="Z647" s="146" t="str">
        <f>OBRA!W645</f>
        <v>ING. SERGIO CABRERA</v>
      </c>
      <c r="AA647" s="146" t="s">
        <v>5665</v>
      </c>
      <c r="AB647" s="148" t="str">
        <f t="shared" si="45"/>
        <v>ING. SERGIO CABRERA</v>
      </c>
      <c r="AC647" s="146" t="s">
        <v>1922</v>
      </c>
      <c r="AD647" s="148" t="s">
        <v>4551</v>
      </c>
      <c r="AE647" s="183" t="str">
        <f>OBRA!X645</f>
        <v>C. DANIEL RODRIGUEZ VALENZUELA</v>
      </c>
      <c r="AF647" s="19">
        <v>286.43</v>
      </c>
      <c r="AG647" s="2" t="s">
        <v>1548</v>
      </c>
      <c r="AH647" s="615">
        <f t="shared" si="48"/>
        <v>5925.5491394057881</v>
      </c>
      <c r="AI647" s="2">
        <v>80</v>
      </c>
      <c r="AJ647" s="513">
        <v>400</v>
      </c>
      <c r="AK647" s="1715">
        <v>1</v>
      </c>
      <c r="AL647" s="1522">
        <v>20.285530999999999</v>
      </c>
      <c r="AM647" s="1523">
        <v>103.42238</v>
      </c>
      <c r="AN647" s="571" t="s">
        <v>4612</v>
      </c>
      <c r="AO647" s="571" t="s">
        <v>4612</v>
      </c>
      <c r="AP647" s="571" t="s">
        <v>4612</v>
      </c>
      <c r="AQ647" s="501" t="s">
        <v>4612</v>
      </c>
      <c r="AR647" s="501"/>
      <c r="AS647" s="704" t="s">
        <v>4612</v>
      </c>
    </row>
    <row r="648" spans="1:45" ht="98.25" customHeight="1">
      <c r="A648" s="16">
        <f>OBRA!J646</f>
        <v>2022</v>
      </c>
      <c r="B648" s="783" t="s">
        <v>3944</v>
      </c>
      <c r="C648" s="783">
        <f>OBRA!K646</f>
        <v>224011</v>
      </c>
      <c r="D648" s="783" t="s">
        <v>551</v>
      </c>
      <c r="E648" s="2" t="str">
        <f>OBRA!M646</f>
        <v>CUENTA CORRIENTE</v>
      </c>
      <c r="F648" s="671" t="s">
        <v>1428</v>
      </c>
      <c r="G648" s="156" t="s">
        <v>2206</v>
      </c>
      <c r="H648" s="12" t="str">
        <f>OBRA!N646</f>
        <v>GMJ 011 C-OP/2022</v>
      </c>
      <c r="I648" s="2" t="str">
        <f>OBRA!O646</f>
        <v>ADJUDICACIÓN DIRECTA</v>
      </c>
      <c r="J648" s="3" t="str">
        <f>OBRA!P646</f>
        <v>"ELEVACIÓN DE NAVE EN RASTRO MUNICIPAL COMO COMPLEMENTO DE LA OBRA; SUMINISTRO E INSTALACIÓN DE EQUIPAMIENTO PARA RASTRO MUNICIPAL", EN LA CABECERA MUNICIPAL DE JOCOTEPEC, JALISCO</v>
      </c>
      <c r="K648" s="1323"/>
      <c r="L648" s="1323" t="s">
        <v>6241</v>
      </c>
      <c r="M648" s="3" t="s">
        <v>2002</v>
      </c>
      <c r="N648" s="3" t="str">
        <f>OBRA!Q646</f>
        <v>CABECERA MUNICIPAL</v>
      </c>
      <c r="O648" s="504" t="s">
        <v>4563</v>
      </c>
      <c r="P648" s="79">
        <f>OBRA!R646</f>
        <v>1343062.53</v>
      </c>
      <c r="Q648" s="1023">
        <f t="shared" si="44"/>
        <v>1157812.5258620691</v>
      </c>
      <c r="R648" s="1714"/>
      <c r="S648" s="67">
        <f>OBRA!S646</f>
        <v>44767</v>
      </c>
      <c r="T648" s="1134">
        <f>OBRA!V646</f>
        <v>44764</v>
      </c>
      <c r="U648" s="5">
        <f>OBRA!T646</f>
        <v>44770</v>
      </c>
      <c r="V648" s="11">
        <f>OBRA!U646</f>
        <v>44814</v>
      </c>
      <c r="W648" s="1901">
        <f>P648*0.3-0.01</f>
        <v>402918.74900000001</v>
      </c>
      <c r="X648" s="1019">
        <f>OBRA!AS646+OBRA!AT646</f>
        <v>1343062.54</v>
      </c>
      <c r="Y648" s="1018" t="s">
        <v>4545</v>
      </c>
      <c r="Z648" s="146" t="str">
        <f>OBRA!W646</f>
        <v>ING. SERGIO CABRERA</v>
      </c>
      <c r="AA648" s="146" t="s">
        <v>5665</v>
      </c>
      <c r="AB648" s="148" t="str">
        <f t="shared" si="45"/>
        <v>ING. SERGIO CABRERA</v>
      </c>
      <c r="AC648" s="146" t="s">
        <v>1922</v>
      </c>
      <c r="AD648" s="148" t="s">
        <v>4551</v>
      </c>
      <c r="AE648" s="183" t="str">
        <f>OBRA!X646</f>
        <v>ING. J. GUADALUPE IBARRA RAMIREZ</v>
      </c>
      <c r="AF648" s="19"/>
      <c r="AG648" s="2" t="s">
        <v>1548</v>
      </c>
      <c r="AH648" s="615" t="e">
        <f t="shared" si="48"/>
        <v>#DIV/0!</v>
      </c>
      <c r="AI648" s="2">
        <v>1000</v>
      </c>
      <c r="AJ648" s="513">
        <v>49000</v>
      </c>
      <c r="AK648" s="1715">
        <v>1</v>
      </c>
      <c r="AL648" s="1522">
        <v>20.279315</v>
      </c>
      <c r="AM648" s="1523">
        <v>103.44525299999999</v>
      </c>
      <c r="AN648" s="571" t="s">
        <v>4613</v>
      </c>
      <c r="AO648" s="571" t="s">
        <v>4613</v>
      </c>
      <c r="AP648" s="571" t="s">
        <v>4613</v>
      </c>
      <c r="AQ648" s="501" t="s">
        <v>4613</v>
      </c>
      <c r="AR648" s="501"/>
      <c r="AS648" s="704"/>
    </row>
    <row r="649" spans="1:45" ht="75" customHeight="1">
      <c r="A649" s="16">
        <f>OBRA!J647</f>
        <v>2022</v>
      </c>
      <c r="B649" s="783" t="s">
        <v>3944</v>
      </c>
      <c r="C649" s="783">
        <f>OBRA!K647</f>
        <v>224012</v>
      </c>
      <c r="D649" s="783" t="s">
        <v>551</v>
      </c>
      <c r="E649" s="2" t="str">
        <f>OBRA!M647</f>
        <v>CUENTA CORRIENTE</v>
      </c>
      <c r="F649" s="671" t="s">
        <v>1428</v>
      </c>
      <c r="G649" s="156" t="s">
        <v>2206</v>
      </c>
      <c r="H649" s="12" t="str">
        <f>OBRA!N647</f>
        <v>GMJ 012 C-OP/2022</v>
      </c>
      <c r="I649" s="2" t="str">
        <f>OBRA!O647</f>
        <v>ADJUDICACIÓN DIRECTA</v>
      </c>
      <c r="J649" s="3" t="str">
        <f>OBRA!P647</f>
        <v>"REPARACIÓN DE BANQUETA PERIMETRAL EN LA PLAZA PRINCIPAL" DE LA CABECERA MUNICPAL DE JOCOTEPEC, JALISCO.</v>
      </c>
      <c r="K649" s="1323" t="s">
        <v>5897</v>
      </c>
      <c r="L649" s="1323" t="s">
        <v>4748</v>
      </c>
      <c r="M649" s="3" t="s">
        <v>4492</v>
      </c>
      <c r="N649" s="3" t="str">
        <f>OBRA!Q647</f>
        <v>CABECERA MUNICIPAL</v>
      </c>
      <c r="O649" s="504" t="s">
        <v>4563</v>
      </c>
      <c r="P649" s="79">
        <f>OBRA!R647</f>
        <v>85733.34</v>
      </c>
      <c r="Q649" s="1023">
        <f t="shared" si="44"/>
        <v>73908.051724137928</v>
      </c>
      <c r="R649" s="1714"/>
      <c r="S649" s="67">
        <f>OBRA!S647</f>
        <v>44816</v>
      </c>
      <c r="T649" s="1134">
        <f>OBRA!V647</f>
        <v>44813</v>
      </c>
      <c r="U649" s="5">
        <f>OBRA!T647</f>
        <v>44817</v>
      </c>
      <c r="V649" s="11">
        <f>OBRA!U647</f>
        <v>44834</v>
      </c>
      <c r="W649" s="1901">
        <v>0</v>
      </c>
      <c r="X649" s="1019">
        <f>OBRA!AS647+OBRA!AT647</f>
        <v>0</v>
      </c>
      <c r="Y649" s="1018" t="s">
        <v>4546</v>
      </c>
      <c r="Z649" s="146" t="str">
        <f>OBRA!W647</f>
        <v>ESTRUCTURAS PLANEADAS DE OCCIDENTE, S.A. DE C.V.</v>
      </c>
      <c r="AA649" s="146" t="s">
        <v>5666</v>
      </c>
      <c r="AB649" s="148" t="s">
        <v>4477</v>
      </c>
      <c r="AC649" s="146" t="s">
        <v>4478</v>
      </c>
      <c r="AD649" s="148" t="s">
        <v>4497</v>
      </c>
      <c r="AE649" s="183" t="str">
        <f>OBRA!X647</f>
        <v>ING. J. GUADALUPE IBARRA RAMIREZ</v>
      </c>
      <c r="AF649" s="19">
        <v>100.4</v>
      </c>
      <c r="AG649" s="2" t="s">
        <v>1548</v>
      </c>
      <c r="AH649" s="615">
        <f t="shared" si="48"/>
        <v>0</v>
      </c>
      <c r="AI649" s="2">
        <v>22000</v>
      </c>
      <c r="AJ649" s="513">
        <v>22000</v>
      </c>
      <c r="AK649" s="1715">
        <v>1</v>
      </c>
      <c r="AL649" s="1522">
        <v>20.286082</v>
      </c>
      <c r="AM649" s="1523">
        <v>103.429998</v>
      </c>
      <c r="AN649" s="571" t="s">
        <v>4614</v>
      </c>
      <c r="AO649" s="571" t="s">
        <v>4614</v>
      </c>
      <c r="AP649" s="571" t="s">
        <v>4614</v>
      </c>
      <c r="AQ649" s="501" t="s">
        <v>4614</v>
      </c>
      <c r="AR649" s="501"/>
      <c r="AS649" s="704"/>
    </row>
    <row r="650" spans="1:45" ht="160.5" customHeight="1">
      <c r="A650" s="16">
        <f>OBRA!J648</f>
        <v>2022</v>
      </c>
      <c r="B650" s="783" t="s">
        <v>3944</v>
      </c>
      <c r="C650" s="783">
        <f>OBRA!K648</f>
        <v>224013</v>
      </c>
      <c r="D650" s="783" t="s">
        <v>551</v>
      </c>
      <c r="E650" s="2" t="str">
        <f>OBRA!M648</f>
        <v>RAMO 33</v>
      </c>
      <c r="F650" s="18" t="s">
        <v>1428</v>
      </c>
      <c r="G650" s="156" t="s">
        <v>2206</v>
      </c>
      <c r="H650" s="412" t="str">
        <f>OBRA!N648</f>
        <v>FAIS-RAMO/33-OP-CSS-013/2022</v>
      </c>
      <c r="I650" s="2" t="str">
        <f>OBRA!O648</f>
        <v>CONCURSO SIMPLIFICADO SUMARIO</v>
      </c>
      <c r="J650"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23"/>
      <c r="L650" s="1323" t="s">
        <v>6248</v>
      </c>
      <c r="M650" s="3" t="s">
        <v>4493</v>
      </c>
      <c r="N650" s="3" t="str">
        <f>OBRA!Q648</f>
        <v>CABECERA MUNICIPAL</v>
      </c>
      <c r="O650" s="504" t="s">
        <v>4563</v>
      </c>
      <c r="P650" s="79">
        <f>OBRA!R648</f>
        <v>4165845.27</v>
      </c>
      <c r="Q650" s="1023">
        <f t="shared" si="44"/>
        <v>3591245.9224137934</v>
      </c>
      <c r="R650" s="1023"/>
      <c r="S650" s="67">
        <f>OBRA!S648</f>
        <v>44810</v>
      </c>
      <c r="T650" s="1134" t="str">
        <f>OBRA!V648</f>
        <v>NO APLICA</v>
      </c>
      <c r="U650" s="5">
        <f>OBRA!T648</f>
        <v>44812</v>
      </c>
      <c r="V650" s="11">
        <f>OBRA!U648</f>
        <v>44834</v>
      </c>
      <c r="W650" s="1901">
        <f t="shared" ref="W650:W655" si="50">P650*0.3</f>
        <v>1249753.581</v>
      </c>
      <c r="X650" s="1019">
        <f>OBRA!AS648+OBRA!AT648</f>
        <v>4491510.7300000004</v>
      </c>
      <c r="Y650" s="1018" t="s">
        <v>4570</v>
      </c>
      <c r="Z650" s="146" t="str">
        <f>OBRA!W648</f>
        <v>PIERO MASCORRO OLMOS</v>
      </c>
      <c r="AA650" s="146" t="s">
        <v>5665</v>
      </c>
      <c r="AB650" s="148" t="str">
        <f t="shared" si="45"/>
        <v>PIERO MASCORRO OLMOS</v>
      </c>
      <c r="AC650" s="146" t="s">
        <v>4575</v>
      </c>
      <c r="AD650" s="148" t="s">
        <v>4576</v>
      </c>
      <c r="AE650" s="183" t="str">
        <f>OBRA!X648</f>
        <v>C. DANIEL RODRIGUEZ VALENZUELA</v>
      </c>
      <c r="AF650" s="19">
        <v>2211.6</v>
      </c>
      <c r="AG650" s="2" t="s">
        <v>1548</v>
      </c>
      <c r="AH650" s="615">
        <f t="shared" si="48"/>
        <v>2030.8874706095137</v>
      </c>
      <c r="AI650" s="2">
        <v>350</v>
      </c>
      <c r="AJ650" s="513">
        <v>5000</v>
      </c>
      <c r="AK650" s="513"/>
      <c r="AL650" s="1522">
        <v>20.281386999999999</v>
      </c>
      <c r="AM650" s="1523">
        <v>103.42977</v>
      </c>
      <c r="AN650" s="1324" t="s">
        <v>4584</v>
      </c>
      <c r="AO650" s="1324" t="s">
        <v>4584</v>
      </c>
      <c r="AP650" s="1324" t="s">
        <v>4584</v>
      </c>
      <c r="AQ650" s="501" t="s">
        <v>4584</v>
      </c>
      <c r="AR650" s="501"/>
      <c r="AS650" s="704" t="s">
        <v>4584</v>
      </c>
    </row>
    <row r="651" spans="1:45" ht="118.5" customHeight="1">
      <c r="A651" s="16">
        <f>OBRA!J649</f>
        <v>2022</v>
      </c>
      <c r="B651" s="783" t="s">
        <v>3944</v>
      </c>
      <c r="C651" s="783">
        <f>OBRA!K649</f>
        <v>224014</v>
      </c>
      <c r="D651" s="783" t="s">
        <v>551</v>
      </c>
      <c r="E651" s="2" t="str">
        <f>OBRA!M649</f>
        <v>RAMO 33</v>
      </c>
      <c r="F651" s="18" t="s">
        <v>1428</v>
      </c>
      <c r="G651" s="156" t="s">
        <v>2206</v>
      </c>
      <c r="H651" s="412" t="str">
        <f>OBRA!N649</f>
        <v>FAIS-RAMO/33-OP-CSS-014/2022</v>
      </c>
      <c r="I651" s="2" t="str">
        <f>OBRA!O649</f>
        <v>CONCURSO SIMPLIFICADO SUMARIO</v>
      </c>
      <c r="J651" s="3" t="str">
        <f>OBRA!P649</f>
        <v>"PERFORACIÓN, EQUIPAMIENTO, ELECTRIFICACIÓN, TREN DE DESCARGA, CASETA DE CLORACIÓN, CERCADO PERIMETRAL Y PUESTA EN MARCHA DEL POZO DE AGUA EN CALLE JUAN PABLO II, EN LA LOCALIDAD DE SAN JUAN COSALÁ, MUNICIPIO DE JOCOTEPEC,  JALISCO.</v>
      </c>
      <c r="K651" s="1323" t="s">
        <v>4595</v>
      </c>
      <c r="L651" s="1323" t="s">
        <v>4751</v>
      </c>
      <c r="M651" s="3" t="s">
        <v>4567</v>
      </c>
      <c r="N651" s="3" t="str">
        <f>OBRA!Q649</f>
        <v>SAN JUAN COSALÁ</v>
      </c>
      <c r="O651" s="504" t="s">
        <v>4563</v>
      </c>
      <c r="P651" s="79">
        <f>OBRA!R649</f>
        <v>4216204.78</v>
      </c>
      <c r="Q651" s="1023">
        <f t="shared" si="44"/>
        <v>3634659.2931034486</v>
      </c>
      <c r="R651" s="1023"/>
      <c r="S651" s="67">
        <f>OBRA!S649</f>
        <v>44839</v>
      </c>
      <c r="T651" s="1134" t="str">
        <f>OBRA!V649</f>
        <v>NO APLICA</v>
      </c>
      <c r="U651" s="5">
        <f>OBRA!T649</f>
        <v>44847</v>
      </c>
      <c r="V651" s="11">
        <f>OBRA!U649</f>
        <v>44895</v>
      </c>
      <c r="W651" s="1901">
        <f t="shared" si="50"/>
        <v>1264861.4340000001</v>
      </c>
      <c r="X651" s="1019">
        <f>OBRA!AS649+OBRA!AT649</f>
        <v>5426864.9299999997</v>
      </c>
      <c r="Y651" s="1018" t="s">
        <v>4571</v>
      </c>
      <c r="Z651" s="146" t="str">
        <f>OBRA!W649</f>
        <v>RAMPER DRILLINGS S.A. DE C.V.</v>
      </c>
      <c r="AA651" s="146" t="s">
        <v>5666</v>
      </c>
      <c r="AB651" s="148" t="s">
        <v>4577</v>
      </c>
      <c r="AC651" s="146" t="s">
        <v>1749</v>
      </c>
      <c r="AD651" s="148" t="s">
        <v>4578</v>
      </c>
      <c r="AE651" s="183" t="str">
        <f>OBRA!X649</f>
        <v>ING. J. GUADALUPE IBARRA RAMIREZ</v>
      </c>
      <c r="AF651" s="19">
        <v>250</v>
      </c>
      <c r="AG651" s="2" t="s">
        <v>1451</v>
      </c>
      <c r="AH651" s="615">
        <f t="shared" si="48"/>
        <v>21707.459719999999</v>
      </c>
      <c r="AI651" s="2">
        <v>8000</v>
      </c>
      <c r="AJ651" s="513">
        <v>8000</v>
      </c>
      <c r="AK651" s="513"/>
      <c r="AL651" s="1522">
        <v>20.289847999999999</v>
      </c>
      <c r="AM651" s="1523">
        <v>103.340535</v>
      </c>
      <c r="AN651" s="1324" t="s">
        <v>4587</v>
      </c>
      <c r="AO651" s="1324" t="s">
        <v>4587</v>
      </c>
      <c r="AP651" s="1324" t="s">
        <v>4587</v>
      </c>
      <c r="AQ651" s="501" t="s">
        <v>4587</v>
      </c>
      <c r="AR651" s="501"/>
      <c r="AS651" s="704" t="s">
        <v>4587</v>
      </c>
    </row>
    <row r="652" spans="1:45" ht="105" customHeight="1">
      <c r="A652" s="16">
        <f>OBRA!J650</f>
        <v>2022</v>
      </c>
      <c r="B652" s="783" t="s">
        <v>3944</v>
      </c>
      <c r="C652" s="783">
        <f>OBRA!K650</f>
        <v>224015</v>
      </c>
      <c r="D652" s="783" t="s">
        <v>551</v>
      </c>
      <c r="E652" s="2" t="str">
        <f>OBRA!M650</f>
        <v>CUENTA CORRIENTE</v>
      </c>
      <c r="F652" s="18" t="s">
        <v>1428</v>
      </c>
      <c r="G652" s="156" t="s">
        <v>2206</v>
      </c>
      <c r="H652" s="412" t="str">
        <f>OBRA!N650</f>
        <v>PROGRAMA CUENTA CORRIENTE-OP-CSS-015/2022</v>
      </c>
      <c r="I652" s="2" t="str">
        <f>OBRA!O650</f>
        <v>CONCURSO SIMPLIFICADO SUMARIO</v>
      </c>
      <c r="J652" s="3" t="str">
        <f>OBRA!P650</f>
        <v>"PERFORACIÓN, EQUIPAMIENTO, ELECTRIFICACIÓN, TREN DE DESCARGA, CASETA DE CLORACIÓN, CERCADO PERIMETRAL Y PUESTA EN MARCHA DEL POZO DE AGUA EN LA LOCALIDAD DE CHANTEPEC, MUNICIPIO DE JOCOTEPEC, JALISCO.</v>
      </c>
      <c r="K652" s="1323" t="s">
        <v>4595</v>
      </c>
      <c r="L652" s="1323" t="s">
        <v>4751</v>
      </c>
      <c r="M652" s="3" t="s">
        <v>4568</v>
      </c>
      <c r="N652" s="3" t="str">
        <f>OBRA!Q650</f>
        <v>CHANTEPEC</v>
      </c>
      <c r="O652" s="504" t="s">
        <v>4563</v>
      </c>
      <c r="P652" s="79">
        <f>OBRA!R650</f>
        <v>3845696.93</v>
      </c>
      <c r="Q652" s="1023">
        <f t="shared" si="44"/>
        <v>3315255.9741379316</v>
      </c>
      <c r="R652" s="1023"/>
      <c r="S652" s="67">
        <f>OBRA!S650</f>
        <v>44839</v>
      </c>
      <c r="T652" s="1134" t="str">
        <f>OBRA!V650</f>
        <v>NO APLICA</v>
      </c>
      <c r="U652" s="5">
        <f>OBRA!T650</f>
        <v>44847</v>
      </c>
      <c r="V652" s="11">
        <f>OBRA!U650</f>
        <v>44895</v>
      </c>
      <c r="W652" s="1901">
        <f t="shared" si="50"/>
        <v>1153709.0789999999</v>
      </c>
      <c r="X652" s="1019">
        <f>OBRA!AS650+OBRA!AT650</f>
        <v>0</v>
      </c>
      <c r="Y652" s="1018" t="s">
        <v>4572</v>
      </c>
      <c r="Z652" s="146" t="str">
        <f>OBRA!W650</f>
        <v>GRUPO ARANGE, S.A. DE C.V.</v>
      </c>
      <c r="AA652" s="146" t="s">
        <v>5666</v>
      </c>
      <c r="AB652" s="148" t="s">
        <v>4579</v>
      </c>
      <c r="AC652" s="146" t="s">
        <v>2883</v>
      </c>
      <c r="AD652" s="148" t="s">
        <v>2885</v>
      </c>
      <c r="AE652" s="183" t="str">
        <f>OBRA!X650</f>
        <v>ING. J. GUADALUPE IBARRA RAMIREZ</v>
      </c>
      <c r="AF652" s="19">
        <v>350</v>
      </c>
      <c r="AG652" s="2" t="s">
        <v>1451</v>
      </c>
      <c r="AH652" s="615">
        <f t="shared" si="48"/>
        <v>0</v>
      </c>
      <c r="AI652" s="2">
        <v>3600</v>
      </c>
      <c r="AJ652" s="513">
        <v>3600</v>
      </c>
      <c r="AK652" s="513"/>
      <c r="AL652" s="1522">
        <v>20.290989</v>
      </c>
      <c r="AM652" s="1523">
        <v>103.39118499999999</v>
      </c>
      <c r="AN652" s="1324" t="s">
        <v>4588</v>
      </c>
      <c r="AO652" s="1324" t="s">
        <v>4588</v>
      </c>
      <c r="AP652" s="1324" t="s">
        <v>4588</v>
      </c>
      <c r="AQ652" s="501" t="s">
        <v>4588</v>
      </c>
      <c r="AR652" s="501"/>
      <c r="AS652" s="704" t="s">
        <v>4588</v>
      </c>
    </row>
    <row r="653" spans="1:45" ht="97.5" customHeight="1">
      <c r="A653" s="16">
        <f>OBRA!J651</f>
        <v>2022</v>
      </c>
      <c r="B653" s="783" t="s">
        <v>3944</v>
      </c>
      <c r="C653" s="783">
        <f>OBRA!K651</f>
        <v>224016</v>
      </c>
      <c r="D653" s="783"/>
      <c r="E653" s="2" t="str">
        <f>OBRA!M651</f>
        <v>RAMO 33</v>
      </c>
      <c r="F653" s="671" t="s">
        <v>1428</v>
      </c>
      <c r="G653" s="156" t="s">
        <v>2206</v>
      </c>
      <c r="H653" s="12" t="str">
        <f>OBRA!N651</f>
        <v>GMJ 016 C-OP/2022</v>
      </c>
      <c r="I653" s="2" t="str">
        <f>OBRA!O651</f>
        <v>ADJUDICACIÓN DIRECTA</v>
      </c>
      <c r="J653" s="3" t="str">
        <f>OBRA!P651</f>
        <v>"REHABILITACIÓN DE REDES HIDROSANITARIAS DE CALLE RIVERA DEL LAGO DE CALLE GUAYABITOS A 130 ML A LA CALLE CHUECA", EN LA LOCALIDAD DE NEXTIPAC, DEL MUNICIPIO DE JOCOTEPEC, JALISCO.</v>
      </c>
      <c r="K653" s="1545" t="s">
        <v>5898</v>
      </c>
      <c r="L653" s="1545" t="s">
        <v>6249</v>
      </c>
      <c r="M653" s="3" t="s">
        <v>4559</v>
      </c>
      <c r="N653" s="3" t="str">
        <f>OBRA!Q651</f>
        <v>NEXTIPAC</v>
      </c>
      <c r="O653" s="504" t="s">
        <v>4563</v>
      </c>
      <c r="P653" s="79">
        <f>OBRA!R651</f>
        <v>645484.5</v>
      </c>
      <c r="Q653" s="1023">
        <f t="shared" si="44"/>
        <v>556452.1551724138</v>
      </c>
      <c r="R653" s="1714"/>
      <c r="S653" s="67">
        <f>OBRA!S651</f>
        <v>44851</v>
      </c>
      <c r="T653" s="1134">
        <f>OBRA!V651</f>
        <v>44848</v>
      </c>
      <c r="U653" s="5">
        <f>OBRA!T651</f>
        <v>44865</v>
      </c>
      <c r="V653" s="11">
        <f>OBRA!U651</f>
        <v>44883</v>
      </c>
      <c r="W653" s="1901">
        <f t="shared" si="50"/>
        <v>193645.35</v>
      </c>
      <c r="X653" s="1019">
        <f>OBRA!AS651+OBRA!AT651</f>
        <v>721865.14</v>
      </c>
      <c r="Y653" s="1018" t="s">
        <v>4547</v>
      </c>
      <c r="Z653" s="146" t="str">
        <f>OBRA!W651</f>
        <v xml:space="preserve">INFRAESTRUCTURA Y EDIFICACIONES OROZCO S.A. DE C.V. </v>
      </c>
      <c r="AA653" s="146" t="s">
        <v>5666</v>
      </c>
      <c r="AB653" s="148" t="s">
        <v>3879</v>
      </c>
      <c r="AC653" s="146" t="s">
        <v>2887</v>
      </c>
      <c r="AD653" s="148" t="s">
        <v>4552</v>
      </c>
      <c r="AE653" s="183" t="str">
        <f>OBRA!X651</f>
        <v>C. DANIEL RODRIGUEZ VALENZUELA</v>
      </c>
      <c r="AF653" s="19">
        <v>135.13</v>
      </c>
      <c r="AG653" s="2" t="s">
        <v>1451</v>
      </c>
      <c r="AH653" s="615">
        <f t="shared" si="48"/>
        <v>5342.0050321912231</v>
      </c>
      <c r="AI653" s="2">
        <v>90</v>
      </c>
      <c r="AJ653" s="513">
        <v>150</v>
      </c>
      <c r="AK653" s="1715">
        <v>1</v>
      </c>
      <c r="AL653" s="1522">
        <v>20.289486</v>
      </c>
      <c r="AM653" s="1523">
        <v>103.412021</v>
      </c>
      <c r="AN653" s="571" t="s">
        <v>4615</v>
      </c>
      <c r="AO653" s="571"/>
      <c r="AP653" s="571" t="s">
        <v>4615</v>
      </c>
      <c r="AQ653" s="501" t="s">
        <v>4615</v>
      </c>
      <c r="AR653" s="501"/>
      <c r="AS653" s="704" t="s">
        <v>4615</v>
      </c>
    </row>
    <row r="654" spans="1:45" ht="177.75" customHeight="1">
      <c r="A654" s="16">
        <f>OBRA!J652</f>
        <v>2022</v>
      </c>
      <c r="B654" s="783" t="s">
        <v>3944</v>
      </c>
      <c r="C654" s="783">
        <f>OBRA!K652</f>
        <v>224017</v>
      </c>
      <c r="D654" s="783" t="s">
        <v>551</v>
      </c>
      <c r="E654" s="2" t="str">
        <f>OBRA!M652</f>
        <v>RAMO 33</v>
      </c>
      <c r="F654" s="18" t="s">
        <v>1428</v>
      </c>
      <c r="G654" s="156" t="s">
        <v>2206</v>
      </c>
      <c r="H654" s="412" t="str">
        <f>OBRA!N652</f>
        <v>FAIS-RAMO/33-OP-CSS-017/2022</v>
      </c>
      <c r="I654" s="2" t="str">
        <f>OBRA!O652</f>
        <v>CONCURSO SIMPLIFICADO SUMARIO</v>
      </c>
      <c r="J654" s="3" t="str">
        <f>OBRA!P652</f>
        <v>REHABILITACIÓN DE REDES HIDROSANITARIAS Y SUPERFICIE DE RODAMIENTO DE LA CALLE INDEPENDENCIA NORTE ENTRE CALLE ITURBIDE Y CALLE ALDAMA", EN LA CABECERA MUNICIPAL DE JOCOTEPEC, JALISCO.</v>
      </c>
      <c r="K654" s="1323" t="s">
        <v>4596</v>
      </c>
      <c r="L654" s="1323" t="s">
        <v>6248</v>
      </c>
      <c r="M654" s="3" t="s">
        <v>5513</v>
      </c>
      <c r="N654" s="3" t="str">
        <f>OBRA!Q652</f>
        <v>CABECERA MUNICIPAL</v>
      </c>
      <c r="O654" s="504" t="s">
        <v>4563</v>
      </c>
      <c r="P654" s="79">
        <f>OBRA!R652</f>
        <v>2479806.63</v>
      </c>
      <c r="Q654" s="1023">
        <f t="shared" si="44"/>
        <v>2137764.3362068967</v>
      </c>
      <c r="R654" s="1023"/>
      <c r="S654" s="67">
        <f>OBRA!S652</f>
        <v>44859</v>
      </c>
      <c r="T654" s="1134" t="str">
        <f>OBRA!V652</f>
        <v>NO APLICA</v>
      </c>
      <c r="U654" s="5">
        <f>OBRA!T652</f>
        <v>44862</v>
      </c>
      <c r="V654" s="11">
        <f>OBRA!U652</f>
        <v>44898</v>
      </c>
      <c r="W654" s="1901">
        <f t="shared" si="50"/>
        <v>743941.98899999994</v>
      </c>
      <c r="X654" s="1019">
        <f>OBRA!AS652+OBRA!AT652</f>
        <v>2386238.9700000002</v>
      </c>
      <c r="Y654" s="1089" t="s">
        <v>4573</v>
      </c>
      <c r="Z654" s="146" t="str">
        <f>OBRA!W652</f>
        <v>C. JOSÉ LUIS RANGEL GÁLVEZ</v>
      </c>
      <c r="AA654" s="146" t="s">
        <v>5665</v>
      </c>
      <c r="AB654" s="148" t="str">
        <f t="shared" si="45"/>
        <v>C. JOSÉ LUIS RANGEL GÁLVEZ</v>
      </c>
      <c r="AC654" s="146" t="s">
        <v>2035</v>
      </c>
      <c r="AD654" s="148" t="s">
        <v>3040</v>
      </c>
      <c r="AE654" s="183" t="str">
        <f>OBRA!X652</f>
        <v>C. DANIEL RODRIGUEZ VALENZUELA</v>
      </c>
      <c r="AF654" s="19">
        <v>1770.97</v>
      </c>
      <c r="AG654" s="2" t="s">
        <v>1548</v>
      </c>
      <c r="AH654" s="615">
        <f t="shared" si="48"/>
        <v>1347.4191940010278</v>
      </c>
      <c r="AI654" s="2">
        <v>200</v>
      </c>
      <c r="AJ654" s="513">
        <v>1000</v>
      </c>
      <c r="AK654" s="513"/>
      <c r="AL654" s="1522">
        <v>20.290248999999999</v>
      </c>
      <c r="AM654" s="1523">
        <v>103.431879</v>
      </c>
      <c r="AN654" s="1324" t="s">
        <v>4589</v>
      </c>
      <c r="AO654" s="1324" t="s">
        <v>4589</v>
      </c>
      <c r="AP654" s="1324" t="s">
        <v>4589</v>
      </c>
      <c r="AQ654" s="501" t="s">
        <v>4589</v>
      </c>
      <c r="AR654" s="501"/>
      <c r="AS654" s="704" t="s">
        <v>4589</v>
      </c>
    </row>
    <row r="655" spans="1:45" ht="211.5" customHeight="1">
      <c r="A655" s="16">
        <f>OBRA!J653</f>
        <v>2022</v>
      </c>
      <c r="B655" s="783" t="s">
        <v>3944</v>
      </c>
      <c r="C655" s="783">
        <f>OBRA!K653</f>
        <v>224018</v>
      </c>
      <c r="D655" s="783" t="s">
        <v>551</v>
      </c>
      <c r="E655" s="2" t="str">
        <f>OBRA!M653</f>
        <v>RAMO 33</v>
      </c>
      <c r="F655" s="18" t="s">
        <v>1428</v>
      </c>
      <c r="G655" s="156" t="s">
        <v>2206</v>
      </c>
      <c r="H655" s="412" t="str">
        <f>OBRA!N653</f>
        <v>FAIS-RAMO/33-OP-CSS-018/2022</v>
      </c>
      <c r="I655" s="2" t="str">
        <f>OBRA!O653</f>
        <v>CONCURSO SIMPLIFICADO SUMARIO</v>
      </c>
      <c r="J655"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23" t="s">
        <v>4597</v>
      </c>
      <c r="L655" s="1323" t="s">
        <v>6256</v>
      </c>
      <c r="M655" s="3" t="s">
        <v>4569</v>
      </c>
      <c r="N655" s="3" t="str">
        <f>OBRA!Q653</f>
        <v>CABECERA MUNICIPAL</v>
      </c>
      <c r="O655" s="504" t="s">
        <v>4563</v>
      </c>
      <c r="P655" s="79">
        <f>OBRA!R653</f>
        <v>2218847.77</v>
      </c>
      <c r="Q655" s="1023">
        <f t="shared" si="44"/>
        <v>1912799.801724138</v>
      </c>
      <c r="R655" s="1023"/>
      <c r="S655" s="67">
        <f>OBRA!S653</f>
        <v>44859</v>
      </c>
      <c r="T655" s="1134" t="str">
        <f>OBRA!V653</f>
        <v>NO APLICA</v>
      </c>
      <c r="U655" s="5">
        <f>OBRA!T653</f>
        <v>44862</v>
      </c>
      <c r="V655" s="11">
        <f>OBRA!U653</f>
        <v>44898</v>
      </c>
      <c r="W655" s="1901">
        <f t="shared" si="50"/>
        <v>665654.33100000001</v>
      </c>
      <c r="X655" s="1019">
        <f>OBRA!AS653+OBRA!AT653</f>
        <v>2402556.7200000002</v>
      </c>
      <c r="Y655" s="1089" t="s">
        <v>4574</v>
      </c>
      <c r="Z655" s="146" t="str">
        <f>OBRA!W653</f>
        <v>C. REFUGIO GUTIÉRREZ NIEVES</v>
      </c>
      <c r="AA655" s="146" t="s">
        <v>5665</v>
      </c>
      <c r="AB655" s="148" t="str">
        <f t="shared" si="45"/>
        <v>C. REFUGIO GUTIÉRREZ NIEVES</v>
      </c>
      <c r="AC655" s="146" t="s">
        <v>4580</v>
      </c>
      <c r="AD655" s="148" t="s">
        <v>4581</v>
      </c>
      <c r="AE655" s="183" t="str">
        <f>OBRA!X653</f>
        <v>C. DANIEL RODRIGUEZ VALENZUELA</v>
      </c>
      <c r="AF655" s="19">
        <v>1566.71</v>
      </c>
      <c r="AG655" s="2" t="s">
        <v>1548</v>
      </c>
      <c r="AH655" s="615">
        <f t="shared" si="48"/>
        <v>1533.5044264733103</v>
      </c>
      <c r="AI655" s="2">
        <v>1000</v>
      </c>
      <c r="AJ655" s="513">
        <v>1000</v>
      </c>
      <c r="AK655" s="513"/>
      <c r="AL655" s="1522">
        <v>20.286294999999999</v>
      </c>
      <c r="AM655" s="1523">
        <v>103.438901</v>
      </c>
      <c r="AN655" s="1324" t="s">
        <v>4586</v>
      </c>
      <c r="AO655" s="1324" t="s">
        <v>4586</v>
      </c>
      <c r="AP655" s="1324" t="s">
        <v>4586</v>
      </c>
      <c r="AQ655" s="501" t="s">
        <v>4586</v>
      </c>
      <c r="AR655" s="501"/>
      <c r="AS655" s="704" t="s">
        <v>4586</v>
      </c>
    </row>
    <row r="656" spans="1:45" ht="170.25" customHeight="1">
      <c r="A656" s="16">
        <f>OBRA!J654</f>
        <v>2022</v>
      </c>
      <c r="B656" s="783" t="s">
        <v>3944</v>
      </c>
      <c r="C656" s="783">
        <f>OBRA!K654</f>
        <v>224019</v>
      </c>
      <c r="D656" s="783" t="s">
        <v>551</v>
      </c>
      <c r="E656" s="2" t="str">
        <f>OBRA!M654</f>
        <v>RAMO 33</v>
      </c>
      <c r="F656" s="671" t="s">
        <v>1428</v>
      </c>
      <c r="G656" s="156" t="s">
        <v>2206</v>
      </c>
      <c r="H656" s="12" t="str">
        <f>OBRA!N654</f>
        <v>GMJ 019 C-OP/2022</v>
      </c>
      <c r="I656" s="2" t="str">
        <f>OBRA!O654</f>
        <v>ADJUDICACIÓN DIRECTA</v>
      </c>
      <c r="J656" s="3" t="str">
        <f>OBRA!P654</f>
        <v>“CONSTRUCCIÓN DE REDES HIDROSANITARÍAS EN CALLE PRIV. JUAN PABLO II”, EN LA LOCALIDAD DE SAN JUAN COSALÁ, DEL MUNICIPIO DE JOCOTEPEC, JALISCO</v>
      </c>
      <c r="K656" s="1545" t="s">
        <v>5899</v>
      </c>
      <c r="L656" s="1545" t="s">
        <v>6249</v>
      </c>
      <c r="M656" s="3" t="s">
        <v>4558</v>
      </c>
      <c r="N656" s="3" t="str">
        <f>OBRA!Q654</f>
        <v>SAN JUAN COSALÁ</v>
      </c>
      <c r="O656" s="504" t="s">
        <v>4563</v>
      </c>
      <c r="P656" s="79">
        <f>OBRA!R654</f>
        <v>762057.5</v>
      </c>
      <c r="Q656" s="1023">
        <f t="shared" si="44"/>
        <v>656946.12068965519</v>
      </c>
      <c r="R656" s="1714"/>
      <c r="S656" s="67">
        <f>OBRA!S654</f>
        <v>44872</v>
      </c>
      <c r="T656" s="1134">
        <f>OBRA!V654</f>
        <v>44869</v>
      </c>
      <c r="U656" s="5">
        <f>OBRA!T654</f>
        <v>44889</v>
      </c>
      <c r="V656" s="11">
        <f>OBRA!U654</f>
        <v>44900</v>
      </c>
      <c r="W656" s="1901">
        <v>228617.25</v>
      </c>
      <c r="X656" s="1019">
        <f>OBRA!AS654+OBRA!AT654</f>
        <v>745412.8</v>
      </c>
      <c r="Y656" s="1018" t="s">
        <v>5037</v>
      </c>
      <c r="Z656" s="146" t="str">
        <f>OBRA!W654</f>
        <v>ESTRUCTURAS PLANEADAS DE OCCIDENTE, S.A. DE C.V.</v>
      </c>
      <c r="AA656" s="146" t="s">
        <v>5666</v>
      </c>
      <c r="AB656" s="148" t="s">
        <v>4477</v>
      </c>
      <c r="AC656" s="146" t="s">
        <v>4478</v>
      </c>
      <c r="AD656" s="148" t="s">
        <v>4497</v>
      </c>
      <c r="AE656" s="183" t="str">
        <f>OBRA!X654</f>
        <v>C. DANIEL RODRIGUEZ VALENZUELA</v>
      </c>
      <c r="AF656" s="19">
        <v>290.17</v>
      </c>
      <c r="AG656" s="2" t="s">
        <v>1451</v>
      </c>
      <c r="AH656" s="615">
        <f t="shared" si="48"/>
        <v>2568.8830685460248</v>
      </c>
      <c r="AI656" s="2">
        <v>100</v>
      </c>
      <c r="AJ656" s="513">
        <v>100</v>
      </c>
      <c r="AK656" s="1715">
        <v>1</v>
      </c>
      <c r="AL656" s="1522">
        <v>20.289956</v>
      </c>
      <c r="AM656" s="1523">
        <v>103.340638</v>
      </c>
      <c r="AN656" s="571" t="s">
        <v>5038</v>
      </c>
      <c r="AO656" s="571" t="s">
        <v>5038</v>
      </c>
      <c r="AP656" s="571" t="s">
        <v>5038</v>
      </c>
      <c r="AQ656" s="501" t="s">
        <v>5038</v>
      </c>
      <c r="AR656" s="501"/>
      <c r="AS656" s="704" t="s">
        <v>5038</v>
      </c>
    </row>
    <row r="657" spans="1:45" s="104" customFormat="1" ht="15" hidden="1" customHeight="1">
      <c r="A657" s="82">
        <f>OBRA!J655</f>
        <v>2022</v>
      </c>
      <c r="B657" s="784" t="s">
        <v>3944</v>
      </c>
      <c r="C657" s="783">
        <f>OBRA!K655</f>
        <v>224020</v>
      </c>
      <c r="D657" s="783"/>
      <c r="E657" s="85">
        <f>OBRA!M655</f>
        <v>0</v>
      </c>
      <c r="F657" s="83"/>
      <c r="G657" s="872" t="s">
        <v>2206</v>
      </c>
      <c r="H657" s="103" t="str">
        <f>OBRA!N655</f>
        <v>GMJ 020 C-OP/2022</v>
      </c>
      <c r="I657" s="85" t="str">
        <f>OBRA!O655</f>
        <v>CANCELADA</v>
      </c>
      <c r="J657" s="125">
        <f>OBRA!P655</f>
        <v>0</v>
      </c>
      <c r="K657" s="125"/>
      <c r="L657" s="125"/>
      <c r="M657" s="125"/>
      <c r="N657" s="125">
        <f>OBRA!Q655</f>
        <v>0</v>
      </c>
      <c r="O657" s="125"/>
      <c r="P657" s="86">
        <f>OBRA!R655</f>
        <v>0</v>
      </c>
      <c r="Q657" s="86">
        <f t="shared" si="44"/>
        <v>0</v>
      </c>
      <c r="R657" s="86"/>
      <c r="S657" s="87">
        <f>OBRA!S655</f>
        <v>0</v>
      </c>
      <c r="T657" s="1409">
        <f>OBRA!V655</f>
        <v>0</v>
      </c>
      <c r="U657" s="88">
        <f>OBRA!T655</f>
        <v>0</v>
      </c>
      <c r="V657" s="89">
        <f>OBRA!U655</f>
        <v>0</v>
      </c>
      <c r="W657" s="1691"/>
      <c r="X657" s="1430">
        <f>OBRA!AS655+OBRA!AT655</f>
        <v>0</v>
      </c>
      <c r="Y657" s="1016"/>
      <c r="Z657" s="147">
        <f>OBRA!W655</f>
        <v>0</v>
      </c>
      <c r="AA657" s="147"/>
      <c r="AB657" s="149">
        <f t="shared" si="45"/>
        <v>0</v>
      </c>
      <c r="AC657" s="147"/>
      <c r="AD657" s="149"/>
      <c r="AE657" s="184">
        <f>OBRA!X655</f>
        <v>0</v>
      </c>
      <c r="AF657" s="84"/>
      <c r="AG657" s="85"/>
      <c r="AH657" s="1692" t="e">
        <f t="shared" si="48"/>
        <v>#DIV/0!</v>
      </c>
      <c r="AI657" s="85"/>
      <c r="AJ657" s="514"/>
      <c r="AK657" s="514"/>
      <c r="AL657" s="1515"/>
      <c r="AM657" s="1516"/>
      <c r="AN657" s="816"/>
      <c r="AO657" s="816"/>
      <c r="AP657" s="816"/>
      <c r="AQ657" s="514"/>
      <c r="AR657" s="514"/>
      <c r="AS657" s="83"/>
    </row>
    <row r="658" spans="1:45" ht="96.75" customHeight="1">
      <c r="A658" s="16">
        <f>OBRA!J656</f>
        <v>2022</v>
      </c>
      <c r="B658" s="783" t="s">
        <v>3944</v>
      </c>
      <c r="C658" s="783">
        <f>OBRA!K656</f>
        <v>225003</v>
      </c>
      <c r="D658" s="783" t="s">
        <v>2310</v>
      </c>
      <c r="E658" s="2" t="str">
        <f>OBRA!M656</f>
        <v>CEA-FISE</v>
      </c>
      <c r="F658" s="704" t="s">
        <v>5650</v>
      </c>
      <c r="G658" s="156"/>
      <c r="H658" s="12" t="str">
        <f>OBRA!N656</f>
        <v>CEA-FISE-003/2022</v>
      </c>
      <c r="I658" s="2" t="str">
        <f>OBRA!O656</f>
        <v>CONVENIO</v>
      </c>
      <c r="J658" s="3" t="str">
        <f>OBRA!P656</f>
        <v xml:space="preserve">CONSTRUCCIÓN DE LÍNEA DE CONDUCCIÓN DE AGUA POTABLE DEL POZO ALLENDE AL TANQUE EXISTENTE Y LÍNEA DE DE CONEXIÓN A RED DE DISTRIBUCCIÓN DE AGUA POTABLE, EN LA CABECERA MUNICIPAL DE JOCOTEPEC, JALISCO". </v>
      </c>
      <c r="K658" s="3"/>
      <c r="L658" s="3"/>
      <c r="M658" s="3"/>
      <c r="N658" s="3" t="str">
        <f>OBRA!Q656</f>
        <v>CABECERA MUNICIPAL</v>
      </c>
      <c r="O658" s="504"/>
      <c r="P658" s="79">
        <f>OBRA!R656</f>
        <v>4000000</v>
      </c>
      <c r="Q658" s="1023">
        <f t="shared" si="44"/>
        <v>3448275.8620689656</v>
      </c>
      <c r="R658" s="1714" t="s">
        <v>68</v>
      </c>
      <c r="S658" s="67">
        <f>OBRA!S656</f>
        <v>44848</v>
      </c>
      <c r="T658" s="1134" t="str">
        <f>OBRA!V656</f>
        <v>NO APLICA</v>
      </c>
      <c r="U658" s="5">
        <f>OBRA!T656</f>
        <v>45213</v>
      </c>
      <c r="V658" s="11">
        <f>OBRA!U656</f>
        <v>45565</v>
      </c>
      <c r="W658" s="278"/>
      <c r="X658" s="1019">
        <f>OBRA!AS656+OBRA!AT656</f>
        <v>0</v>
      </c>
      <c r="Y658" s="1018"/>
      <c r="Z658" s="146" t="str">
        <f>OBRA!W656</f>
        <v>-</v>
      </c>
      <c r="AA658" s="146" t="s">
        <v>68</v>
      </c>
      <c r="AB658" s="148" t="str">
        <f t="shared" si="45"/>
        <v>-</v>
      </c>
      <c r="AC658" s="146" t="s">
        <v>68</v>
      </c>
      <c r="AD658" s="148" t="s">
        <v>68</v>
      </c>
      <c r="AE658" s="183" t="str">
        <f>OBRA!X656</f>
        <v>-</v>
      </c>
      <c r="AF658" s="19"/>
      <c r="AG658" s="2"/>
      <c r="AH658" s="615" t="e">
        <f t="shared" si="48"/>
        <v>#DIV/0!</v>
      </c>
      <c r="AI658" s="2"/>
      <c r="AJ658" s="513"/>
      <c r="AK658" s="513"/>
      <c r="AL658" s="1513"/>
      <c r="AM658" s="1514"/>
      <c r="AN658" s="571"/>
      <c r="AO658" s="571"/>
      <c r="AP658" s="571"/>
      <c r="AQ658" s="513"/>
      <c r="AR658" s="513"/>
      <c r="AS658" s="18"/>
    </row>
    <row r="659" spans="1:45" ht="80.25" customHeight="1">
      <c r="A659" s="16">
        <f>OBRA!J657</f>
        <v>2022</v>
      </c>
      <c r="B659" s="783" t="s">
        <v>3944</v>
      </c>
      <c r="C659" s="783">
        <f>OBRA!K657</f>
        <v>225004</v>
      </c>
      <c r="D659" s="783" t="s">
        <v>2310</v>
      </c>
      <c r="E659" s="2" t="str">
        <f>OBRA!M657</f>
        <v>CEA-FISE</v>
      </c>
      <c r="F659" s="704" t="s">
        <v>5650</v>
      </c>
      <c r="G659" s="156"/>
      <c r="H659" s="12" t="str">
        <f>OBRA!N657</f>
        <v>CEA-FISE-004/2022</v>
      </c>
      <c r="I659" s="2" t="str">
        <f>OBRA!O657</f>
        <v>CONVENIO</v>
      </c>
      <c r="J659" s="3" t="str">
        <f>OBRA!P657</f>
        <v>CONSTRUCCIÓN DE COLECTOR PRINCIPAL Y CARCAMO DE BOMBEO, ENTRE CALLE VICENTE GUERRERO Y PLANTA DE TRATAMIENTO DE LA LOCALIDAD DE SAN CRISTÓBAL ZAPOTITLÁN, MUNICIPIO DE JOCOTEPEC, JALISCO.</v>
      </c>
      <c r="K659" s="3"/>
      <c r="L659" s="3"/>
      <c r="M659" s="3"/>
      <c r="N659" s="3" t="str">
        <f>OBRA!Q657</f>
        <v>SAN CRISTÓBAL ZAPOTITLÁN</v>
      </c>
      <c r="O659" s="504"/>
      <c r="P659" s="79">
        <f>OBRA!R657</f>
        <v>4000000</v>
      </c>
      <c r="Q659" s="1023">
        <f t="shared" si="44"/>
        <v>3448275.8620689656</v>
      </c>
      <c r="R659" s="1714" t="s">
        <v>68</v>
      </c>
      <c r="S659" s="67">
        <f>OBRA!S657</f>
        <v>44848</v>
      </c>
      <c r="T659" s="1134" t="str">
        <f>OBRA!V657</f>
        <v>NO APLICA</v>
      </c>
      <c r="U659" s="5">
        <f>OBRA!T657</f>
        <v>44848</v>
      </c>
      <c r="V659" s="11">
        <f>OBRA!U657</f>
        <v>45565</v>
      </c>
      <c r="W659" s="278"/>
      <c r="X659" s="1019">
        <f>OBRA!AS657+OBRA!AT657</f>
        <v>0</v>
      </c>
      <c r="Y659" s="1018"/>
      <c r="Z659" s="146" t="str">
        <f>OBRA!W657</f>
        <v>-</v>
      </c>
      <c r="AA659" s="146" t="s">
        <v>68</v>
      </c>
      <c r="AB659" s="148" t="str">
        <f t="shared" ref="AB659" si="51">Z659</f>
        <v>-</v>
      </c>
      <c r="AC659" s="146" t="s">
        <v>68</v>
      </c>
      <c r="AD659" s="148" t="s">
        <v>68</v>
      </c>
      <c r="AE659" s="183" t="str">
        <f>OBRA!X657</f>
        <v>-</v>
      </c>
      <c r="AF659" s="19"/>
      <c r="AG659" s="2"/>
      <c r="AH659" s="615" t="e">
        <f t="shared" si="48"/>
        <v>#DIV/0!</v>
      </c>
      <c r="AI659" s="2"/>
      <c r="AJ659" s="513"/>
      <c r="AK659" s="513"/>
      <c r="AL659" s="1513"/>
      <c r="AM659" s="1514"/>
      <c r="AN659" s="571"/>
      <c r="AO659" s="571"/>
      <c r="AP659" s="571"/>
      <c r="AQ659" s="513"/>
      <c r="AR659" s="513"/>
      <c r="AS659" s="18"/>
    </row>
    <row r="660" spans="1:45" ht="62.25" customHeight="1">
      <c r="A660" s="16">
        <f>OBRA!J658</f>
        <v>2023</v>
      </c>
      <c r="B660" s="783" t="s">
        <v>3944</v>
      </c>
      <c r="C660" s="783">
        <f>OBRA!K658</f>
        <v>231014</v>
      </c>
      <c r="D660" s="783" t="s">
        <v>2310</v>
      </c>
      <c r="E660" s="2" t="str">
        <f>OBRA!M658</f>
        <v>FOCOCI</v>
      </c>
      <c r="F660" s="704" t="s">
        <v>5651</v>
      </c>
      <c r="G660" s="156" t="s">
        <v>2206</v>
      </c>
      <c r="H660" s="412" t="str">
        <f>OBRA!N658</f>
        <v>CONV/FOCOCI/014/2023</v>
      </c>
      <c r="I660" s="2" t="str">
        <f>OBRA!O658</f>
        <v>CONVENIO</v>
      </c>
      <c r="J660" s="3" t="str">
        <f>OBRA!P658</f>
        <v>PAVIMENTACIÓN CON EMPEDRADO ZAMPEADO, EN CALLE LA PAZ EN LA DELEGACIÓN DE SAN JUAN COSALÁ, MUNICIPIO DE JOCOTPEC, JALISCO</v>
      </c>
      <c r="K660" s="3"/>
      <c r="L660" s="3" t="s">
        <v>4752</v>
      </c>
      <c r="M660" s="3" t="s">
        <v>2636</v>
      </c>
      <c r="N660" s="3" t="str">
        <f>OBRA!Q658</f>
        <v>SAN JUAN COSALÁ</v>
      </c>
      <c r="O660" s="504" t="s">
        <v>5651</v>
      </c>
      <c r="P660" s="79">
        <f>OBRA!R658</f>
        <v>5000000</v>
      </c>
      <c r="Q660" s="1023">
        <f t="shared" ref="Q660:Q691" si="52">P660/1.16</f>
        <v>4310344.8275862075</v>
      </c>
      <c r="R660" s="1714" t="s">
        <v>68</v>
      </c>
      <c r="S660" s="67">
        <f>OBRA!S658</f>
        <v>45086</v>
      </c>
      <c r="T660" s="1134" t="str">
        <f>OBRA!V658</f>
        <v>NO APLICA</v>
      </c>
      <c r="U660" s="5">
        <f>OBRA!T658</f>
        <v>45086</v>
      </c>
      <c r="V660" s="11">
        <f>OBRA!U658</f>
        <v>45291</v>
      </c>
      <c r="W660" s="1901">
        <v>0</v>
      </c>
      <c r="X660" s="1019">
        <f>OBRA!AS658+OBRA!AT658</f>
        <v>0</v>
      </c>
      <c r="Y660" s="1018"/>
      <c r="Z660" s="146">
        <f>OBRA!W658</f>
        <v>0</v>
      </c>
      <c r="AA660" s="146" t="s">
        <v>68</v>
      </c>
      <c r="AB660" s="148">
        <f>Z660</f>
        <v>0</v>
      </c>
      <c r="AC660" s="146" t="s">
        <v>68</v>
      </c>
      <c r="AD660" s="148" t="s">
        <v>68</v>
      </c>
      <c r="AE660" s="1771">
        <f>OBRA!X658</f>
        <v>0</v>
      </c>
      <c r="AF660" s="19"/>
      <c r="AG660" s="2"/>
      <c r="AH660" s="615" t="e">
        <f t="shared" si="48"/>
        <v>#DIV/0!</v>
      </c>
      <c r="AI660" s="2"/>
      <c r="AJ660" s="513"/>
      <c r="AK660" s="513"/>
      <c r="AL660" s="1513"/>
      <c r="AM660" s="1514"/>
      <c r="AN660" s="571" t="s">
        <v>5651</v>
      </c>
      <c r="AO660" s="571"/>
      <c r="AP660" s="571"/>
      <c r="AQ660" s="513"/>
      <c r="AR660" s="513"/>
      <c r="AS660" s="18"/>
    </row>
    <row r="661" spans="1:45" ht="60" customHeight="1">
      <c r="A661" s="16">
        <f>OBRA!J659</f>
        <v>2023</v>
      </c>
      <c r="B661" s="783" t="s">
        <v>3944</v>
      </c>
      <c r="C661" s="783">
        <f>OBRA!K659</f>
        <v>231021</v>
      </c>
      <c r="D661" s="783" t="s">
        <v>2310</v>
      </c>
      <c r="E661" s="2" t="str">
        <f>OBRA!M659</f>
        <v>CEA-FISE</v>
      </c>
      <c r="F661" s="704" t="s">
        <v>5651</v>
      </c>
      <c r="G661" s="156" t="s">
        <v>2206</v>
      </c>
      <c r="H661" s="412" t="str">
        <f>OBRA!N659</f>
        <v>CEA-IHAP-FISE-021/2023</v>
      </c>
      <c r="I661" s="2" t="str">
        <f>OBRA!O659</f>
        <v>CONVENIO</v>
      </c>
      <c r="J661" s="3" t="str">
        <f>OBRA!P659</f>
        <v>PERFORACIÓN DE POZO PROFUNDO PARA LA EXTRACCIÓN DE AGUA POTABLE, UBICADO EN LA LOCALIDAD DE SAN JUAN COSALÁ MUNICIPIO DE JOCOTEPEC, JALISCO.</v>
      </c>
      <c r="K661" s="3"/>
      <c r="L661" s="3" t="s">
        <v>4751</v>
      </c>
      <c r="M661" s="3" t="s">
        <v>2717</v>
      </c>
      <c r="N661" s="3" t="str">
        <f>OBRA!Q659</f>
        <v>SAN JUAN COSALÁ</v>
      </c>
      <c r="O661" s="504" t="s">
        <v>5651</v>
      </c>
      <c r="P661" s="79">
        <f>OBRA!R659</f>
        <v>4000000</v>
      </c>
      <c r="Q661" s="1023">
        <f t="shared" si="52"/>
        <v>3448275.8620689656</v>
      </c>
      <c r="R661" s="1714" t="s">
        <v>68</v>
      </c>
      <c r="S661" s="67">
        <f>OBRA!S659</f>
        <v>45153</v>
      </c>
      <c r="T661" s="1134" t="str">
        <f>OBRA!V659</f>
        <v>NO APLICA</v>
      </c>
      <c r="U661" s="5">
        <f>OBRA!T659</f>
        <v>45153</v>
      </c>
      <c r="V661" s="11">
        <f>OBRA!U659</f>
        <v>45565</v>
      </c>
      <c r="W661" s="1901">
        <v>0</v>
      </c>
      <c r="X661" s="1019">
        <f>OBRA!AS659+OBRA!AT659</f>
        <v>0</v>
      </c>
      <c r="Y661" s="1018"/>
      <c r="Z661" s="146">
        <f>OBRA!W659</f>
        <v>0</v>
      </c>
      <c r="AA661" s="146" t="s">
        <v>68</v>
      </c>
      <c r="AB661" s="148">
        <f>Z661</f>
        <v>0</v>
      </c>
      <c r="AC661" s="146" t="s">
        <v>68</v>
      </c>
      <c r="AD661" s="148" t="s">
        <v>68</v>
      </c>
      <c r="AE661" s="183">
        <f>OBRA!X659</f>
        <v>0</v>
      </c>
      <c r="AF661" s="19"/>
      <c r="AG661" s="2"/>
      <c r="AH661" s="615" t="e">
        <f t="shared" ref="AH661:AH662" si="53">X661/AF661</f>
        <v>#DIV/0!</v>
      </c>
      <c r="AI661" s="2"/>
      <c r="AJ661" s="513"/>
      <c r="AK661" s="513"/>
      <c r="AL661" s="1513"/>
      <c r="AM661" s="1514"/>
      <c r="AN661" s="571" t="s">
        <v>5651</v>
      </c>
      <c r="AO661" s="571"/>
      <c r="AP661" s="571"/>
      <c r="AQ661" s="513"/>
      <c r="AR661" s="513"/>
      <c r="AS661" s="18"/>
    </row>
    <row r="662" spans="1:45" ht="63" customHeight="1">
      <c r="A662" s="16">
        <f>OBRA!J660</f>
        <v>2023</v>
      </c>
      <c r="B662" s="783" t="s">
        <v>3944</v>
      </c>
      <c r="C662" s="783">
        <f>OBRA!K660</f>
        <v>231022</v>
      </c>
      <c r="D662" s="783" t="s">
        <v>2310</v>
      </c>
      <c r="E662" s="2" t="str">
        <f>OBRA!M660</f>
        <v>CEA-FISE</v>
      </c>
      <c r="F662" s="704" t="s">
        <v>5651</v>
      </c>
      <c r="G662" s="156" t="s">
        <v>2206</v>
      </c>
      <c r="H662" s="412" t="str">
        <f>OBRA!N660</f>
        <v>CEA-IHAP-FISE-022/2023</v>
      </c>
      <c r="I662" s="2" t="str">
        <f>OBRA!O660</f>
        <v>CONVENIO</v>
      </c>
      <c r="J662" s="3" t="str">
        <f>OBRA!P660</f>
        <v>PERFORACIÓN DE POZO PROFUNDO PARA LA EXTRACCIÓN DE AGUA POTABLE, UBICADO EN LA CABECERA MUNICIPAL DE JOCOTEPEC, JALISCO.</v>
      </c>
      <c r="K662" s="3"/>
      <c r="L662" s="3" t="s">
        <v>4751</v>
      </c>
      <c r="M662" s="3" t="s">
        <v>6067</v>
      </c>
      <c r="N662" s="3" t="str">
        <f>OBRA!Q660</f>
        <v>CABECERA MUNICIPAL</v>
      </c>
      <c r="O662" s="504" t="s">
        <v>5651</v>
      </c>
      <c r="P662" s="79">
        <f>OBRA!R660</f>
        <v>4000000</v>
      </c>
      <c r="Q662" s="1023">
        <f t="shared" si="52"/>
        <v>3448275.8620689656</v>
      </c>
      <c r="R662" s="1714" t="s">
        <v>68</v>
      </c>
      <c r="S662" s="67">
        <f>OBRA!S660</f>
        <v>45153</v>
      </c>
      <c r="T662" s="1134" t="str">
        <f>OBRA!V660</f>
        <v>NO APLICA</v>
      </c>
      <c r="U662" s="5">
        <f>OBRA!T660</f>
        <v>45153</v>
      </c>
      <c r="V662" s="11">
        <f>OBRA!U660</f>
        <v>45565</v>
      </c>
      <c r="W662" s="1901">
        <v>0</v>
      </c>
      <c r="X662" s="1019">
        <f>OBRA!AS660+OBRA!AT660</f>
        <v>0</v>
      </c>
      <c r="Y662" s="1018"/>
      <c r="Z662" s="146">
        <f>OBRA!W660</f>
        <v>0</v>
      </c>
      <c r="AA662" s="146" t="s">
        <v>68</v>
      </c>
      <c r="AB662" s="148">
        <f>Z662</f>
        <v>0</v>
      </c>
      <c r="AC662" s="146" t="s">
        <v>68</v>
      </c>
      <c r="AD662" s="148" t="s">
        <v>68</v>
      </c>
      <c r="AE662" s="183">
        <f>OBRA!X660</f>
        <v>0</v>
      </c>
      <c r="AF662" s="19"/>
      <c r="AG662" s="2"/>
      <c r="AH662" s="615" t="e">
        <f t="shared" si="53"/>
        <v>#DIV/0!</v>
      </c>
      <c r="AI662" s="2"/>
      <c r="AJ662" s="513"/>
      <c r="AK662" s="513"/>
      <c r="AL662" s="1513"/>
      <c r="AM662" s="1514"/>
      <c r="AN662" s="571" t="s">
        <v>5651</v>
      </c>
      <c r="AO662" s="571"/>
      <c r="AP662" s="571"/>
      <c r="AQ662" s="513"/>
      <c r="AR662" s="513"/>
      <c r="AS662" s="18"/>
    </row>
    <row r="663" spans="1:45" ht="120" customHeight="1">
      <c r="A663" s="16">
        <f>OBRA!J661</f>
        <v>2023</v>
      </c>
      <c r="B663" s="783" t="s">
        <v>3944</v>
      </c>
      <c r="C663" s="783">
        <f>OBRA!K661</f>
        <v>232001</v>
      </c>
      <c r="D663" s="783" t="s">
        <v>2310</v>
      </c>
      <c r="E663" s="2" t="str">
        <f>OBRA!M661</f>
        <v>CUENTA CORRIENTE</v>
      </c>
      <c r="F663" s="18" t="s">
        <v>1428</v>
      </c>
      <c r="G663" s="156" t="s">
        <v>2861</v>
      </c>
      <c r="H663" s="412" t="str">
        <f>OBRA!N661</f>
        <v>C.P.S.P. DOP 001/2023</v>
      </c>
      <c r="I663" s="2" t="str">
        <f>OBRA!O661</f>
        <v>SERVICIOS</v>
      </c>
      <c r="J663"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t="s">
        <v>6410</v>
      </c>
      <c r="M663" s="3" t="s">
        <v>6423</v>
      </c>
      <c r="N663" s="3" t="str">
        <f>OBRA!Q661</f>
        <v>SAN JUAN COSALÁ</v>
      </c>
      <c r="O663" s="504" t="s">
        <v>4882</v>
      </c>
      <c r="P663" s="79">
        <f>OBRA!R661</f>
        <v>17400</v>
      </c>
      <c r="Q663" s="1023">
        <f t="shared" si="52"/>
        <v>15000.000000000002</v>
      </c>
      <c r="R663" s="1714" t="s">
        <v>68</v>
      </c>
      <c r="S663" s="67">
        <f>OBRA!S661</f>
        <v>44928</v>
      </c>
      <c r="T663" s="1134" t="str">
        <f>OBRA!V661</f>
        <v>-</v>
      </c>
      <c r="U663" s="5">
        <f>OBRA!T661</f>
        <v>44929</v>
      </c>
      <c r="V663" s="11">
        <f>OBRA!U661</f>
        <v>44931</v>
      </c>
      <c r="W663" s="1901">
        <v>0</v>
      </c>
      <c r="X663" s="1019">
        <f>OBRA!AS661+OBRA!AT661</f>
        <v>0</v>
      </c>
      <c r="Y663" s="1018" t="s">
        <v>6769</v>
      </c>
      <c r="Z663" s="146" t="str">
        <f>OBRA!W661</f>
        <v>ING. J. TRINIDAD NUÑEZ BRITO</v>
      </c>
      <c r="AA663" s="146" t="s">
        <v>5665</v>
      </c>
      <c r="AB663" s="2" t="s">
        <v>3756</v>
      </c>
      <c r="AC663" s="1770" t="s">
        <v>4426</v>
      </c>
      <c r="AD663" s="1769" t="s">
        <v>5633</v>
      </c>
      <c r="AE663" s="183" t="str">
        <f>OBRA!X661</f>
        <v>ARQ. FRANCISCO SALAZAR</v>
      </c>
      <c r="AF663" s="19">
        <v>1</v>
      </c>
      <c r="AG663" s="2" t="s">
        <v>6758</v>
      </c>
      <c r="AH663" s="183">
        <f t="shared" ref="AH663:AH726" si="54">P663/AF663</f>
        <v>17400</v>
      </c>
      <c r="AI663" s="2"/>
      <c r="AJ663" s="513"/>
      <c r="AK663" s="1888">
        <v>1</v>
      </c>
      <c r="AL663" s="1513"/>
      <c r="AM663" s="1514"/>
      <c r="AN663" s="571"/>
      <c r="AO663" s="571"/>
      <c r="AP663" s="571"/>
      <c r="AQ663" s="513"/>
      <c r="AR663" s="513"/>
      <c r="AS663" s="18"/>
    </row>
    <row r="664" spans="1:45" ht="108.75" customHeight="1">
      <c r="A664" s="16">
        <f>OBRA!J662</f>
        <v>2023</v>
      </c>
      <c r="B664" s="783" t="s">
        <v>3944</v>
      </c>
      <c r="C664" s="783">
        <f>OBRA!K662</f>
        <v>232002</v>
      </c>
      <c r="D664" s="783" t="s">
        <v>2310</v>
      </c>
      <c r="E664" s="2" t="str">
        <f>OBRA!M662</f>
        <v>CUENTA CORRIENTE</v>
      </c>
      <c r="F664" s="18" t="s">
        <v>1428</v>
      </c>
      <c r="G664" s="156" t="s">
        <v>2861</v>
      </c>
      <c r="H664" s="412" t="str">
        <f>OBRA!N662</f>
        <v>C.P.S.P. DOP 002/2023</v>
      </c>
      <c r="I664" s="2" t="str">
        <f>OBRA!O662</f>
        <v>SERVICIOS</v>
      </c>
      <c r="J664" s="3" t="str">
        <f>OBRA!P662</f>
        <v>CONTRATACIÓN DEL SERVICIO PARA LA REALIZACIÓN DE: ESTUDIO GEOHIDROLÓGICO-GEOFÍSICO Y PROSPECCIÓN GEOFÍSICA CON FINES DE LOCALIZAR AGUA SUBTERRÁNEA EN POZO LA ERMITA EN LA LOCALIDAD DE SAN PEDRO TESISTÁN, DEL MUNICIPIO DE JOCOTEPEC, JALISCO.</v>
      </c>
      <c r="K664" s="3"/>
      <c r="L664" s="3" t="s">
        <v>6410</v>
      </c>
      <c r="M664" s="3" t="s">
        <v>6424</v>
      </c>
      <c r="N664" s="3" t="str">
        <f>OBRA!Q662</f>
        <v>SAN PEDRO TESISTÁN</v>
      </c>
      <c r="O664" s="504" t="s">
        <v>4882</v>
      </c>
      <c r="P664" s="79">
        <f>OBRA!R662</f>
        <v>17400</v>
      </c>
      <c r="Q664" s="1023">
        <f t="shared" si="52"/>
        <v>15000.000000000002</v>
      </c>
      <c r="R664" s="79" t="s">
        <v>68</v>
      </c>
      <c r="S664" s="67">
        <f>OBRA!S662</f>
        <v>44928</v>
      </c>
      <c r="T664" s="1134" t="str">
        <f>OBRA!V662</f>
        <v>-</v>
      </c>
      <c r="U664" s="5">
        <f>OBRA!T662</f>
        <v>44931</v>
      </c>
      <c r="V664" s="11">
        <f>OBRA!U662</f>
        <v>44932</v>
      </c>
      <c r="W664" s="1901">
        <v>0</v>
      </c>
      <c r="X664" s="1019">
        <f>OBRA!AS662+OBRA!AT662</f>
        <v>0</v>
      </c>
      <c r="Y664" s="1018" t="s">
        <v>6769</v>
      </c>
      <c r="Z664" s="146" t="str">
        <f>OBRA!W662</f>
        <v>ING. J. TRINIDAD NUÑEZ BRITO</v>
      </c>
      <c r="AA664" s="146" t="s">
        <v>5665</v>
      </c>
      <c r="AB664" s="2" t="s">
        <v>3756</v>
      </c>
      <c r="AC664" s="1770" t="s">
        <v>4426</v>
      </c>
      <c r="AD664" s="1769" t="s">
        <v>5633</v>
      </c>
      <c r="AE664" s="1771" t="str">
        <f>OBRA!X662</f>
        <v>ARQ. FRANCISCO SALAZAR</v>
      </c>
      <c r="AF664" s="19">
        <v>1</v>
      </c>
      <c r="AG664" s="2" t="s">
        <v>6758</v>
      </c>
      <c r="AH664" s="183">
        <f t="shared" si="54"/>
        <v>17400</v>
      </c>
      <c r="AI664" s="2"/>
      <c r="AJ664" s="513"/>
      <c r="AK664" s="1888">
        <v>1</v>
      </c>
      <c r="AL664" s="1513"/>
      <c r="AM664" s="1514"/>
      <c r="AN664" s="571"/>
      <c r="AO664" s="571"/>
      <c r="AP664" s="571"/>
      <c r="AQ664" s="513"/>
      <c r="AR664" s="513"/>
      <c r="AS664" s="18"/>
    </row>
    <row r="665" spans="1:45" ht="114.75" customHeight="1">
      <c r="A665" s="16">
        <f>OBRA!J663</f>
        <v>2023</v>
      </c>
      <c r="B665" s="783" t="s">
        <v>3944</v>
      </c>
      <c r="C665" s="783">
        <f>OBRA!K663</f>
        <v>232003</v>
      </c>
      <c r="D665" s="783" t="s">
        <v>2310</v>
      </c>
      <c r="E665" s="2" t="str">
        <f>OBRA!M663</f>
        <v>CUENTA CORRIENTE</v>
      </c>
      <c r="F665" s="18" t="s">
        <v>1428</v>
      </c>
      <c r="G665" s="156" t="s">
        <v>2861</v>
      </c>
      <c r="H665" s="412" t="str">
        <f>OBRA!N663</f>
        <v>C.P.S.P. DOP 003/2023</v>
      </c>
      <c r="I665" s="2" t="str">
        <f>OBRA!O663</f>
        <v>SERVICIOS</v>
      </c>
      <c r="J665" s="3" t="str">
        <f>OBRA!P663</f>
        <v>CONTRATACIÓN DEL SERVICIO PARA LA REALIZACIÓN DE: ESTUDIO GEOHIDROLÓGICO-GEOFÍSICO Y PROSPECCIÓN GEOFÍSICA CON FINES DE LOCALIZAR AGUA SUBTERRÁNEA EN POZO LA AZOTERA EN LA LOCALIDAD DE SAN PEDRO TESISTÁN, DEL MUNICIPIO DE JOCOTEPEC, JALISCO.</v>
      </c>
      <c r="K665" s="3"/>
      <c r="L665" s="3" t="s">
        <v>6410</v>
      </c>
      <c r="M665" s="3" t="s">
        <v>6425</v>
      </c>
      <c r="N665" s="3" t="str">
        <f>OBRA!Q663</f>
        <v>SAN PEDRO TESISTÁN</v>
      </c>
      <c r="O665" s="504" t="s">
        <v>4882</v>
      </c>
      <c r="P665" s="79">
        <f>OBRA!R663</f>
        <v>17400</v>
      </c>
      <c r="Q665" s="1023">
        <f t="shared" si="52"/>
        <v>15000.000000000002</v>
      </c>
      <c r="R665" s="79" t="s">
        <v>68</v>
      </c>
      <c r="S665" s="67">
        <f>OBRA!S663</f>
        <v>44928</v>
      </c>
      <c r="T665" s="1134" t="str">
        <f>OBRA!V663</f>
        <v>-</v>
      </c>
      <c r="U665" s="5">
        <f>OBRA!T663</f>
        <v>44928</v>
      </c>
      <c r="V665" s="11">
        <f>OBRA!U663</f>
        <v>44957</v>
      </c>
      <c r="W665" s="1901">
        <v>0</v>
      </c>
      <c r="X665" s="1019">
        <f>OBRA!AS663+OBRA!AT663</f>
        <v>0</v>
      </c>
      <c r="Y665" s="1018" t="s">
        <v>6769</v>
      </c>
      <c r="Z665" s="146" t="str">
        <f>OBRA!W663</f>
        <v>ING. J. TRINIDAD NUÑEZ BRITO</v>
      </c>
      <c r="AA665" s="146" t="s">
        <v>5665</v>
      </c>
      <c r="AB665" s="2" t="s">
        <v>3756</v>
      </c>
      <c r="AC665" s="1770" t="s">
        <v>4426</v>
      </c>
      <c r="AD665" s="1769" t="s">
        <v>5633</v>
      </c>
      <c r="AE665" s="1771" t="str">
        <f>OBRA!X663</f>
        <v>ARQ. FRANCISCO SALAZAR</v>
      </c>
      <c r="AF665" s="19">
        <v>1</v>
      </c>
      <c r="AG665" s="2" t="s">
        <v>6758</v>
      </c>
      <c r="AH665" s="183">
        <f t="shared" si="54"/>
        <v>17400</v>
      </c>
      <c r="AI665" s="2"/>
      <c r="AJ665" s="513"/>
      <c r="AK665" s="1888">
        <v>1</v>
      </c>
      <c r="AL665" s="1513"/>
      <c r="AM665" s="1514"/>
      <c r="AN665" s="571"/>
      <c r="AO665" s="571"/>
      <c r="AP665" s="571"/>
      <c r="AQ665" s="513"/>
      <c r="AR665" s="513"/>
      <c r="AS665" s="18"/>
    </row>
    <row r="666" spans="1:45" ht="93.75" customHeight="1">
      <c r="A666" s="16">
        <f>OBRA!J664</f>
        <v>2023</v>
      </c>
      <c r="B666" s="783" t="s">
        <v>3944</v>
      </c>
      <c r="C666" s="783">
        <f>OBRA!K664</f>
        <v>232004</v>
      </c>
      <c r="D666" s="783" t="s">
        <v>2310</v>
      </c>
      <c r="E666" s="2" t="str">
        <f>OBRA!M664</f>
        <v>CUENTA CORRIENTE</v>
      </c>
      <c r="F666" s="18" t="s">
        <v>1428</v>
      </c>
      <c r="G666" s="156" t="s">
        <v>2861</v>
      </c>
      <c r="H666" s="412" t="str">
        <f>OBRA!N664</f>
        <v>C.P.S.P. DOP 004/2023</v>
      </c>
      <c r="I666" s="2" t="str">
        <f>OBRA!O664</f>
        <v>SERVICIOS</v>
      </c>
      <c r="J666" s="3" t="str">
        <f>OBRA!P664</f>
        <v>CONTRATACIÓN PARA LA REALIZACIÓN DEL SIGUIENTE LEVANTAMIENTO TOPOGRÁFICO: PARA EL PROYECTO; REHABILITACIÓN DE UNIDAD DEPORTIVA DONATO GUERRA SUR, EN LA CABECERA MUNICIPAL DE JOCOTEPEC, JALISCO.</v>
      </c>
      <c r="K666" s="3"/>
      <c r="L666" s="3" t="s">
        <v>6411</v>
      </c>
      <c r="M666" s="3" t="s">
        <v>3999</v>
      </c>
      <c r="N666" s="3" t="str">
        <f>OBRA!Q664</f>
        <v>CABECERA MUNICIPAL</v>
      </c>
      <c r="O666" s="504" t="s">
        <v>4882</v>
      </c>
      <c r="P666" s="79">
        <f>OBRA!R664</f>
        <v>25520</v>
      </c>
      <c r="Q666" s="1023">
        <f t="shared" si="52"/>
        <v>22000</v>
      </c>
      <c r="R666" s="79" t="s">
        <v>68</v>
      </c>
      <c r="S666" s="67">
        <f>OBRA!S664</f>
        <v>44953</v>
      </c>
      <c r="T666" s="1134" t="str">
        <f>OBRA!V664</f>
        <v>-</v>
      </c>
      <c r="U666" s="5">
        <f>OBRA!T664</f>
        <v>44958</v>
      </c>
      <c r="V666" s="11">
        <f>OBRA!U664</f>
        <v>44960</v>
      </c>
      <c r="W666" s="1901">
        <v>0</v>
      </c>
      <c r="X666" s="1019">
        <f>OBRA!AS664+OBRA!AT664</f>
        <v>0</v>
      </c>
      <c r="Y666" s="1018" t="s">
        <v>6769</v>
      </c>
      <c r="Z666" s="146" t="str">
        <f>OBRA!W664</f>
        <v>ING. SERGIO CABRERA</v>
      </c>
      <c r="AA666" s="146" t="s">
        <v>5665</v>
      </c>
      <c r="AB666" s="1769" t="s">
        <v>4444</v>
      </c>
      <c r="AC666" s="1770" t="s">
        <v>5614</v>
      </c>
      <c r="AD666" s="1769" t="s">
        <v>4877</v>
      </c>
      <c r="AE666" s="1771" t="str">
        <f>OBRA!X664</f>
        <v>ARQ. FRANCISCO SALAZAR</v>
      </c>
      <c r="AF666" s="19">
        <v>1</v>
      </c>
      <c r="AG666" s="2" t="s">
        <v>6411</v>
      </c>
      <c r="AH666" s="183">
        <f t="shared" si="54"/>
        <v>25520</v>
      </c>
      <c r="AI666" s="2"/>
      <c r="AJ666" s="513"/>
      <c r="AK666" s="1888">
        <v>1</v>
      </c>
      <c r="AL666" s="1513"/>
      <c r="AM666" s="1514"/>
      <c r="AN666" s="571"/>
      <c r="AO666" s="571"/>
      <c r="AP666" s="571"/>
      <c r="AQ666" s="513"/>
      <c r="AR666" s="513"/>
      <c r="AS666" s="18"/>
    </row>
    <row r="667" spans="1:45" ht="82.5" customHeight="1">
      <c r="A667" s="16">
        <f>OBRA!J665</f>
        <v>2023</v>
      </c>
      <c r="B667" s="783" t="s">
        <v>3944</v>
      </c>
      <c r="C667" s="783">
        <f>OBRA!K665</f>
        <v>232005</v>
      </c>
      <c r="D667" s="783" t="s">
        <v>2310</v>
      </c>
      <c r="E667" s="2" t="str">
        <f>OBRA!M665</f>
        <v>CUENTA CORRIENTE</v>
      </c>
      <c r="F667" s="18" t="s">
        <v>1428</v>
      </c>
      <c r="G667" s="156" t="s">
        <v>2861</v>
      </c>
      <c r="H667" s="412" t="str">
        <f>OBRA!N665</f>
        <v>C.P.S.P. DOP 005/2023</v>
      </c>
      <c r="I667" s="2" t="str">
        <f>OBRA!O665</f>
        <v>SERVICIOS</v>
      </c>
      <c r="J667" s="3" t="str">
        <f>OBRA!P665</f>
        <v>CONTRATACIÓN PARA LA REALIZACIÓN DEL SIGUIENTE LEVANTAMIENTO TOPOGRÁFICO: PARA EL PROYECTO; REHABILITACIÓN DE UNIDAD DEPORTIVA ZARAGOZA NORTE, EN LA CABECERA MUNICIPAL DE JOCOTEPEC, JALISCO.</v>
      </c>
      <c r="K667" s="3"/>
      <c r="L667" s="3" t="s">
        <v>6411</v>
      </c>
      <c r="M667" s="3" t="s">
        <v>3995</v>
      </c>
      <c r="N667" s="3" t="str">
        <f>OBRA!Q665</f>
        <v>CABECERA MUNICIPAL</v>
      </c>
      <c r="O667" s="504" t="s">
        <v>4882</v>
      </c>
      <c r="P667" s="79">
        <f>OBRA!R665</f>
        <v>17400</v>
      </c>
      <c r="Q667" s="1023">
        <f t="shared" si="52"/>
        <v>15000.000000000002</v>
      </c>
      <c r="R667" s="79" t="s">
        <v>68</v>
      </c>
      <c r="S667" s="67">
        <f>OBRA!S665</f>
        <v>44953</v>
      </c>
      <c r="T667" s="1134" t="str">
        <f>OBRA!V665</f>
        <v>-</v>
      </c>
      <c r="U667" s="5">
        <f>OBRA!T665</f>
        <v>44960</v>
      </c>
      <c r="V667" s="11">
        <f>OBRA!U665</f>
        <v>44962</v>
      </c>
      <c r="W667" s="1901">
        <v>0</v>
      </c>
      <c r="X667" s="1019">
        <f>OBRA!AS665+OBRA!AT665</f>
        <v>0</v>
      </c>
      <c r="Y667" s="1018" t="s">
        <v>6769</v>
      </c>
      <c r="Z667" s="146" t="str">
        <f>OBRA!W665</f>
        <v>ING. SERGIO CABRERA</v>
      </c>
      <c r="AA667" s="146" t="s">
        <v>5665</v>
      </c>
      <c r="AB667" s="1769" t="s">
        <v>4444</v>
      </c>
      <c r="AC667" s="1770" t="s">
        <v>5614</v>
      </c>
      <c r="AD667" s="1769" t="s">
        <v>4877</v>
      </c>
      <c r="AE667" s="1771" t="str">
        <f>OBRA!X665</f>
        <v>ARQ. FRANCISCO SALAZAR</v>
      </c>
      <c r="AF667" s="19">
        <v>1</v>
      </c>
      <c r="AG667" s="2" t="s">
        <v>6411</v>
      </c>
      <c r="AH667" s="183">
        <f t="shared" si="54"/>
        <v>17400</v>
      </c>
      <c r="AI667" s="2"/>
      <c r="AJ667" s="513"/>
      <c r="AK667" s="1888">
        <v>1</v>
      </c>
      <c r="AL667" s="1513"/>
      <c r="AM667" s="1514"/>
      <c r="AN667" s="571"/>
      <c r="AO667" s="571"/>
      <c r="AP667" s="571"/>
      <c r="AQ667" s="513"/>
      <c r="AR667" s="513"/>
      <c r="AS667" s="18"/>
    </row>
    <row r="668" spans="1:45" ht="101.25" customHeight="1">
      <c r="A668" s="16">
        <f>OBRA!J666</f>
        <v>2023</v>
      </c>
      <c r="B668" s="783" t="s">
        <v>3944</v>
      </c>
      <c r="C668" s="783">
        <f>OBRA!K666</f>
        <v>232006</v>
      </c>
      <c r="D668" s="783" t="s">
        <v>2310</v>
      </c>
      <c r="E668" s="2" t="str">
        <f>OBRA!M666</f>
        <v>CUENTA CORRIENTE</v>
      </c>
      <c r="F668" s="18" t="s">
        <v>1428</v>
      </c>
      <c r="G668" s="156" t="s">
        <v>2861</v>
      </c>
      <c r="H668" s="412" t="str">
        <f>OBRA!N666</f>
        <v>C.P.S.P. DOP 006/2023</v>
      </c>
      <c r="I668" s="2" t="str">
        <f>OBRA!O666</f>
        <v>SERVICIOS</v>
      </c>
      <c r="J668" s="3" t="str">
        <f>OBRA!P666</f>
        <v>CONTRACIÓN DEL SERVICIO PARA: LOCALIZACIÓN DE AGUA EN PREDIO PARA SU POSIBLE PERFORACIÓN DE POZO PROFUNDO POR MEDIO DE LA TÉCNICA DE RADIESTESIA UBICADO EN CALLE FLAMINGOS, EN LA LOCALIDAD DE NEXTIPAC, DEL MUNICIPIO DE JOCOTEPEC, JALISCO.</v>
      </c>
      <c r="K668" s="3"/>
      <c r="L668" s="3" t="s">
        <v>6412</v>
      </c>
      <c r="M668" s="3" t="s">
        <v>6426</v>
      </c>
      <c r="N668" s="3" t="str">
        <f>OBRA!Q666</f>
        <v>NEXTIPAC</v>
      </c>
      <c r="O668" s="504" t="s">
        <v>4882</v>
      </c>
      <c r="P668" s="79">
        <f>OBRA!R666</f>
        <v>3500</v>
      </c>
      <c r="Q668" s="1023">
        <f t="shared" si="52"/>
        <v>3017.2413793103451</v>
      </c>
      <c r="R668" s="79" t="s">
        <v>68</v>
      </c>
      <c r="S668" s="67">
        <f>OBRA!S666</f>
        <v>44929</v>
      </c>
      <c r="T668" s="1134" t="str">
        <f>OBRA!V666</f>
        <v>-</v>
      </c>
      <c r="U668" s="5">
        <f>OBRA!T666</f>
        <v>44931</v>
      </c>
      <c r="V668" s="11">
        <f>OBRA!U666</f>
        <v>44931</v>
      </c>
      <c r="W668" s="1901">
        <v>0</v>
      </c>
      <c r="X668" s="1019">
        <f>OBRA!AS666+OBRA!AT666</f>
        <v>0</v>
      </c>
      <c r="Y668" s="1018" t="s">
        <v>6769</v>
      </c>
      <c r="Z668" s="146" t="str">
        <f>OBRA!W666</f>
        <v>PEDRO MACHUCA SAAVEDRA</v>
      </c>
      <c r="AA668" s="146" t="s">
        <v>5665</v>
      </c>
      <c r="AB668" s="1769" t="str">
        <f>Z668</f>
        <v>PEDRO MACHUCA SAAVEDRA</v>
      </c>
      <c r="AC668" s="1770" t="s">
        <v>1177</v>
      </c>
      <c r="AD668" s="1769" t="s">
        <v>1177</v>
      </c>
      <c r="AE668" s="1771" t="str">
        <f>OBRA!X666</f>
        <v>ARQ. FRANCISCO SALAZAR</v>
      </c>
      <c r="AF668" s="19">
        <v>1</v>
      </c>
      <c r="AG668" s="2" t="s">
        <v>1573</v>
      </c>
      <c r="AH668" s="183">
        <f t="shared" si="54"/>
        <v>3500</v>
      </c>
      <c r="AI668" s="2"/>
      <c r="AJ668" s="513"/>
      <c r="AK668" s="1888">
        <v>1</v>
      </c>
      <c r="AL668" s="1513"/>
      <c r="AM668" s="1514"/>
      <c r="AN668" s="571"/>
      <c r="AO668" s="571"/>
      <c r="AP668" s="571"/>
      <c r="AQ668" s="513"/>
      <c r="AR668" s="513"/>
      <c r="AS668" s="18"/>
    </row>
    <row r="669" spans="1:45" ht="90" customHeight="1">
      <c r="A669" s="16">
        <f>OBRA!J667</f>
        <v>2023</v>
      </c>
      <c r="B669" s="783" t="s">
        <v>3944</v>
      </c>
      <c r="C669" s="783">
        <f>OBRA!K667</f>
        <v>232007</v>
      </c>
      <c r="D669" s="783" t="s">
        <v>2310</v>
      </c>
      <c r="E669" s="2" t="str">
        <f>OBRA!M667</f>
        <v>CUENTA CORRIENTE</v>
      </c>
      <c r="F669" s="18" t="s">
        <v>1428</v>
      </c>
      <c r="G669" s="156" t="s">
        <v>2861</v>
      </c>
      <c r="H669" s="412" t="str">
        <f>OBRA!N667</f>
        <v>C.P.S.P. DOP 007/2023</v>
      </c>
      <c r="I669" s="2" t="str">
        <f>OBRA!O667</f>
        <v>SERVICIOS</v>
      </c>
      <c r="J669" s="3" t="str">
        <f>OBRA!P667</f>
        <v>CONTRACIÓN DEL SERVICIO PARA: LOCALIZACIÓN DE AGUA EN PREDIO PARA SU POSIBLE PERFORACIÓN DE POZO PROFUNDO POR MEDIO DE LA TÉCNICA DE RADIESTESIA UBICADO EN CALLE LA PUERTA, EN LA LOCALIDAD DE SAN JUAN COSALÁ, DEL MUNICIPIO DE JOCOTEPEC, JALISCO.</v>
      </c>
      <c r="K669" s="3"/>
      <c r="L669" s="3" t="s">
        <v>6412</v>
      </c>
      <c r="M669" s="3" t="s">
        <v>6427</v>
      </c>
      <c r="N669" s="3" t="str">
        <f>OBRA!Q667</f>
        <v>SAN JUAN COSALÁ</v>
      </c>
      <c r="O669" s="504" t="s">
        <v>4882</v>
      </c>
      <c r="P669" s="79">
        <f>OBRA!R667</f>
        <v>3500</v>
      </c>
      <c r="Q669" s="1023">
        <f t="shared" si="52"/>
        <v>3017.2413793103451</v>
      </c>
      <c r="R669" s="79" t="s">
        <v>68</v>
      </c>
      <c r="S669" s="67">
        <f>OBRA!S667</f>
        <v>44970</v>
      </c>
      <c r="T669" s="1134" t="str">
        <f>OBRA!V667</f>
        <v>-</v>
      </c>
      <c r="U669" s="5">
        <f>OBRA!T667</f>
        <v>44972</v>
      </c>
      <c r="V669" s="11">
        <f>OBRA!U667</f>
        <v>44972</v>
      </c>
      <c r="W669" s="1901">
        <v>0</v>
      </c>
      <c r="X669" s="1019">
        <f>OBRA!AS667+OBRA!AT667</f>
        <v>0</v>
      </c>
      <c r="Y669" s="1018" t="s">
        <v>6769</v>
      </c>
      <c r="Z669" s="146" t="str">
        <f>OBRA!W667</f>
        <v>PEDRO MACHUCA SAAVEDRA</v>
      </c>
      <c r="AA669" s="146" t="s">
        <v>5665</v>
      </c>
      <c r="AB669" s="1769" t="str">
        <f>Z669</f>
        <v>PEDRO MACHUCA SAAVEDRA</v>
      </c>
      <c r="AC669" s="1770" t="s">
        <v>1177</v>
      </c>
      <c r="AD669" s="1769" t="s">
        <v>1177</v>
      </c>
      <c r="AE669" s="1771" t="str">
        <f>OBRA!X667</f>
        <v>ARQ. FRANCISCO SALAZAR</v>
      </c>
      <c r="AF669" s="19">
        <v>1</v>
      </c>
      <c r="AG669" s="2" t="s">
        <v>1573</v>
      </c>
      <c r="AH669" s="183">
        <f t="shared" si="54"/>
        <v>3500</v>
      </c>
      <c r="AI669" s="2"/>
      <c r="AJ669" s="513"/>
      <c r="AK669" s="1888">
        <v>1</v>
      </c>
      <c r="AL669" s="1513"/>
      <c r="AM669" s="1514"/>
      <c r="AN669" s="571"/>
      <c r="AO669" s="571"/>
      <c r="AP669" s="571"/>
      <c r="AQ669" s="513"/>
      <c r="AR669" s="513"/>
      <c r="AS669" s="18"/>
    </row>
    <row r="670" spans="1:45" ht="152.25" customHeight="1">
      <c r="A670" s="16">
        <f>OBRA!J668</f>
        <v>2023</v>
      </c>
      <c r="B670" s="783" t="s">
        <v>3944</v>
      </c>
      <c r="C670" s="783">
        <f>OBRA!K668</f>
        <v>232008</v>
      </c>
      <c r="D670" s="783" t="s">
        <v>2310</v>
      </c>
      <c r="E670" s="2" t="str">
        <f>OBRA!M668</f>
        <v>CUENTA CORRIENTE</v>
      </c>
      <c r="F670" s="18" t="s">
        <v>1428</v>
      </c>
      <c r="G670" s="156" t="s">
        <v>2861</v>
      </c>
      <c r="H670" s="412" t="str">
        <f>OBRA!N668</f>
        <v>C.P.S.P. DOP 008/2023</v>
      </c>
      <c r="I670" s="2" t="str">
        <f>OBRA!O668</f>
        <v>SERVICIOS</v>
      </c>
      <c r="J670"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t="s">
        <v>6413</v>
      </c>
      <c r="M670" s="3" t="s">
        <v>6428</v>
      </c>
      <c r="N670" s="3" t="str">
        <f>OBRA!Q668</f>
        <v>CABECERA MUNICIPAL</v>
      </c>
      <c r="O670" s="504" t="s">
        <v>4882</v>
      </c>
      <c r="P670" s="79">
        <f>OBRA!R668</f>
        <v>22272</v>
      </c>
      <c r="Q670" s="1023">
        <f t="shared" si="52"/>
        <v>19200</v>
      </c>
      <c r="R670" s="79" t="s">
        <v>68</v>
      </c>
      <c r="S670" s="67">
        <f>OBRA!S668</f>
        <v>44978</v>
      </c>
      <c r="T670" s="1134" t="str">
        <f>OBRA!V668</f>
        <v>-</v>
      </c>
      <c r="U670" s="5">
        <f>OBRA!T668</f>
        <v>44979</v>
      </c>
      <c r="V670" s="11">
        <f>OBRA!U668</f>
        <v>44979</v>
      </c>
      <c r="W670" s="1901">
        <v>0</v>
      </c>
      <c r="X670" s="1019">
        <f>OBRA!AS668+OBRA!AT668</f>
        <v>0</v>
      </c>
      <c r="Y670" s="1018" t="s">
        <v>6769</v>
      </c>
      <c r="Z670" s="146" t="str">
        <f>OBRA!W668</f>
        <v>ECCOC DE GUADALAJARA, S.A. DE C.V.</v>
      </c>
      <c r="AA670" s="146" t="s">
        <v>5666</v>
      </c>
      <c r="AB670" s="1769" t="s">
        <v>4500</v>
      </c>
      <c r="AC670" s="1770" t="s">
        <v>4430</v>
      </c>
      <c r="AD670" s="1769" t="s">
        <v>6763</v>
      </c>
      <c r="AE670" s="1771" t="str">
        <f>OBRA!X668</f>
        <v>ARQ. FRANCISCO SALAZAR</v>
      </c>
      <c r="AF670" s="19">
        <v>1</v>
      </c>
      <c r="AG670" s="2" t="s">
        <v>6758</v>
      </c>
      <c r="AH670" s="183">
        <f t="shared" si="54"/>
        <v>22272</v>
      </c>
      <c r="AI670" s="2"/>
      <c r="AJ670" s="2"/>
      <c r="AK670" s="2"/>
      <c r="AL670" s="1513"/>
      <c r="AM670" s="1514"/>
      <c r="AN670" s="571"/>
      <c r="AO670" s="571"/>
      <c r="AP670" s="571"/>
      <c r="AQ670" s="513"/>
      <c r="AR670" s="513"/>
      <c r="AS670" s="18"/>
    </row>
    <row r="671" spans="1:45" ht="165" customHeight="1">
      <c r="A671" s="16">
        <f>OBRA!J669</f>
        <v>2023</v>
      </c>
      <c r="B671" s="783" t="s">
        <v>3944</v>
      </c>
      <c r="C671" s="783">
        <f>OBRA!K669</f>
        <v>232009</v>
      </c>
      <c r="D671" s="783" t="s">
        <v>2310</v>
      </c>
      <c r="E671" s="2" t="str">
        <f>OBRA!M669</f>
        <v>CUENTA CORRIENTE</v>
      </c>
      <c r="F671" s="18" t="s">
        <v>1428</v>
      </c>
      <c r="G671" s="156" t="s">
        <v>2861</v>
      </c>
      <c r="H671" s="412" t="str">
        <f>OBRA!N669</f>
        <v>C.P.S.P. DOP 009/2023</v>
      </c>
      <c r="I671" s="2" t="str">
        <f>OBRA!O669</f>
        <v>SERVICIOS</v>
      </c>
      <c r="J671"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t="s">
        <v>6413</v>
      </c>
      <c r="M671" s="3" t="s">
        <v>4770</v>
      </c>
      <c r="N671" s="3" t="str">
        <f>OBRA!Q669</f>
        <v>SAN JUAN COSALÁ</v>
      </c>
      <c r="O671" s="504" t="s">
        <v>4882</v>
      </c>
      <c r="P671" s="79">
        <f>OBRA!R669</f>
        <v>20880</v>
      </c>
      <c r="Q671" s="1023">
        <f t="shared" si="52"/>
        <v>18000</v>
      </c>
      <c r="R671" s="79" t="s">
        <v>68</v>
      </c>
      <c r="S671" s="67">
        <f>OBRA!S669</f>
        <v>45007</v>
      </c>
      <c r="T671" s="1134" t="str">
        <f>OBRA!V669</f>
        <v>-</v>
      </c>
      <c r="U671" s="5">
        <f>OBRA!T669</f>
        <v>45009</v>
      </c>
      <c r="V671" s="11">
        <f>OBRA!U669</f>
        <v>45016</v>
      </c>
      <c r="W671" s="1901">
        <v>0</v>
      </c>
      <c r="X671" s="1019">
        <f>OBRA!AS669+OBRA!AT669</f>
        <v>0</v>
      </c>
      <c r="Y671" s="1018" t="s">
        <v>6769</v>
      </c>
      <c r="Z671" s="146" t="str">
        <f>OBRA!W669</f>
        <v>ECCOC DE GUADALAJARA, S.A. DE C.V.</v>
      </c>
      <c r="AA671" s="146" t="s">
        <v>5666</v>
      </c>
      <c r="AB671" s="1769" t="s">
        <v>4500</v>
      </c>
      <c r="AC671" s="1770" t="s">
        <v>4430</v>
      </c>
      <c r="AD671" s="1769" t="s">
        <v>6763</v>
      </c>
      <c r="AE671" s="1771" t="str">
        <f>OBRA!X669</f>
        <v>ARQ. FRANCISCO SALAZAR</v>
      </c>
      <c r="AF671" s="19">
        <v>1</v>
      </c>
      <c r="AG671" s="2" t="s">
        <v>6758</v>
      </c>
      <c r="AH671" s="183">
        <f t="shared" si="54"/>
        <v>20880</v>
      </c>
      <c r="AI671" s="2"/>
      <c r="AJ671" s="513"/>
      <c r="AK671" s="1888">
        <v>1</v>
      </c>
      <c r="AL671" s="1513"/>
      <c r="AM671" s="1514"/>
      <c r="AN671" s="571"/>
      <c r="AO671" s="571"/>
      <c r="AP671" s="571"/>
      <c r="AQ671" s="513"/>
      <c r="AR671" s="513"/>
      <c r="AS671" s="18"/>
    </row>
    <row r="672" spans="1:45" ht="147" customHeight="1">
      <c r="A672" s="16">
        <f>OBRA!J670</f>
        <v>2023</v>
      </c>
      <c r="B672" s="783" t="s">
        <v>3944</v>
      </c>
      <c r="C672" s="783">
        <f>OBRA!K670</f>
        <v>232010</v>
      </c>
      <c r="D672" s="783" t="s">
        <v>2310</v>
      </c>
      <c r="E672" s="2" t="str">
        <f>OBRA!M670</f>
        <v>CUENTA CORRIENTE</v>
      </c>
      <c r="F672" s="18" t="s">
        <v>1428</v>
      </c>
      <c r="G672" s="156" t="s">
        <v>2861</v>
      </c>
      <c r="H672" s="412" t="str">
        <f>OBRA!N670</f>
        <v>C.P.S.P. DOP 010/2023</v>
      </c>
      <c r="I672" s="2" t="str">
        <f>OBRA!O670</f>
        <v>SERVICIOS</v>
      </c>
      <c r="J672"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t="s">
        <v>6413</v>
      </c>
      <c r="M672" s="3" t="s">
        <v>2636</v>
      </c>
      <c r="N672" s="3" t="str">
        <f>OBRA!Q670</f>
        <v>SAN JUAN COSALÁ</v>
      </c>
      <c r="O672" s="504" t="s">
        <v>4882</v>
      </c>
      <c r="P672" s="79">
        <f>OBRA!R670</f>
        <v>27839.999999999996</v>
      </c>
      <c r="Q672" s="1023">
        <f t="shared" si="52"/>
        <v>24000</v>
      </c>
      <c r="R672" s="79" t="s">
        <v>68</v>
      </c>
      <c r="S672" s="67">
        <f>OBRA!S670</f>
        <v>45009</v>
      </c>
      <c r="T672" s="1134" t="str">
        <f>OBRA!V670</f>
        <v>-</v>
      </c>
      <c r="U672" s="5">
        <f>OBRA!T670</f>
        <v>45013</v>
      </c>
      <c r="V672" s="11">
        <f>OBRA!U670</f>
        <v>45016</v>
      </c>
      <c r="W672" s="1901">
        <v>0</v>
      </c>
      <c r="X672" s="1019">
        <f>OBRA!AS670+OBRA!AT670</f>
        <v>0</v>
      </c>
      <c r="Y672" s="1018" t="s">
        <v>6769</v>
      </c>
      <c r="Z672" s="146" t="str">
        <f>OBRA!W670</f>
        <v>ECCOC DE GUADALAJARA, S.A. DE C.V.</v>
      </c>
      <c r="AA672" s="146" t="s">
        <v>5666</v>
      </c>
      <c r="AB672" s="1769" t="s">
        <v>4500</v>
      </c>
      <c r="AC672" s="1770" t="s">
        <v>4430</v>
      </c>
      <c r="AD672" s="1769" t="s">
        <v>6763</v>
      </c>
      <c r="AE672" s="1771" t="str">
        <f>OBRA!X670</f>
        <v>ARQ. FRANCISCO SALAZAR</v>
      </c>
      <c r="AF672" s="19">
        <v>1</v>
      </c>
      <c r="AG672" s="2" t="s">
        <v>6758</v>
      </c>
      <c r="AH672" s="183">
        <f t="shared" si="54"/>
        <v>27839.999999999996</v>
      </c>
      <c r="AI672" s="2"/>
      <c r="AJ672" s="513"/>
      <c r="AK672" s="1888">
        <v>1</v>
      </c>
      <c r="AL672" s="1513"/>
      <c r="AM672" s="1514"/>
      <c r="AN672" s="571"/>
      <c r="AO672" s="571"/>
      <c r="AP672" s="571"/>
      <c r="AQ672" s="513"/>
      <c r="AR672" s="513"/>
      <c r="AS672" s="18"/>
    </row>
    <row r="673" spans="1:45" ht="104.25" customHeight="1">
      <c r="A673" s="16">
        <f>OBRA!J671</f>
        <v>2023</v>
      </c>
      <c r="B673" s="783" t="s">
        <v>3944</v>
      </c>
      <c r="C673" s="783">
        <f>OBRA!K671</f>
        <v>232011</v>
      </c>
      <c r="D673" s="783" t="s">
        <v>2310</v>
      </c>
      <c r="E673" s="2" t="str">
        <f>OBRA!M671</f>
        <v>CUENTA CORRIENTE</v>
      </c>
      <c r="F673" s="18" t="s">
        <v>1428</v>
      </c>
      <c r="G673" s="156" t="s">
        <v>2861</v>
      </c>
      <c r="H673" s="412" t="str">
        <f>OBRA!N671</f>
        <v>C.P.S.P. DOP 011/2023</v>
      </c>
      <c r="I673" s="2" t="str">
        <f>OBRA!O671</f>
        <v>SERVICIOS</v>
      </c>
      <c r="J673" s="3" t="str">
        <f>OBRA!P671</f>
        <v>CONTRATACIÓN PARA LA REALIZACIÓN DE: ESTUDIO GEOHIDROLÓGICO-GEOFÍSICO CON FINES DE LOCALIZAR AGUA SUBTERRÁNEA EN PREDIO DENOMINADO "LA AZOTERA" UBICADO EN LA LOCALIDAD DE SAN PEDRO TESISTÁN, DEL MUNICIPIO DE JOCOTEPEC, JALISCO.</v>
      </c>
      <c r="K673" s="3"/>
      <c r="L673" s="3" t="s">
        <v>6410</v>
      </c>
      <c r="M673" s="3" t="s">
        <v>6425</v>
      </c>
      <c r="N673" s="3" t="str">
        <f>OBRA!Q671</f>
        <v>SAN PEDRO TESISTÁN</v>
      </c>
      <c r="O673" s="504" t="s">
        <v>6532</v>
      </c>
      <c r="P673" s="79">
        <f>OBRA!R671</f>
        <v>18560</v>
      </c>
      <c r="Q673" s="1023">
        <f t="shared" si="52"/>
        <v>16000.000000000002</v>
      </c>
      <c r="R673" s="79" t="s">
        <v>68</v>
      </c>
      <c r="S673" s="67">
        <f>OBRA!S671</f>
        <v>44988</v>
      </c>
      <c r="T673" s="1134" t="str">
        <f>OBRA!V671</f>
        <v>-</v>
      </c>
      <c r="U673" s="5">
        <f>OBRA!T671</f>
        <v>44991</v>
      </c>
      <c r="V673" s="11">
        <f>OBRA!U671</f>
        <v>44995</v>
      </c>
      <c r="W673" s="1901">
        <v>0</v>
      </c>
      <c r="X673" s="1019">
        <f>OBRA!AS671+OBRA!AT671</f>
        <v>0</v>
      </c>
      <c r="Y673" s="1018" t="s">
        <v>6769</v>
      </c>
      <c r="Z673" s="146" t="str">
        <f>OBRA!W671</f>
        <v>LEXCLI, S. DE R.L. DE C.V.</v>
      </c>
      <c r="AA673" s="146" t="s">
        <v>5666</v>
      </c>
      <c r="AB673" s="1769" t="s">
        <v>5615</v>
      </c>
      <c r="AC673" s="1770" t="s">
        <v>5616</v>
      </c>
      <c r="AD673" s="1769" t="s">
        <v>5617</v>
      </c>
      <c r="AE673" s="1771" t="str">
        <f>OBRA!X671</f>
        <v>ARQ. FRANCISCO SALAZAR</v>
      </c>
      <c r="AF673" s="19">
        <v>1</v>
      </c>
      <c r="AG673" s="2" t="s">
        <v>6758</v>
      </c>
      <c r="AH673" s="183">
        <f t="shared" si="54"/>
        <v>18560</v>
      </c>
      <c r="AI673" s="2"/>
      <c r="AJ673" s="513"/>
      <c r="AK673" s="1888">
        <v>1</v>
      </c>
      <c r="AL673" s="1513"/>
      <c r="AM673" s="1514"/>
      <c r="AN673" s="571"/>
      <c r="AO673" s="571"/>
      <c r="AP673" s="571"/>
      <c r="AQ673" s="513"/>
      <c r="AR673" s="513"/>
      <c r="AS673" s="18"/>
    </row>
    <row r="674" spans="1:45" ht="101.25" customHeight="1">
      <c r="A674" s="16">
        <f>OBRA!J672</f>
        <v>2023</v>
      </c>
      <c r="B674" s="783" t="s">
        <v>3944</v>
      </c>
      <c r="C674" s="783">
        <f>OBRA!K672</f>
        <v>232012</v>
      </c>
      <c r="D674" s="783" t="s">
        <v>2310</v>
      </c>
      <c r="E674" s="2" t="str">
        <f>OBRA!M672</f>
        <v>CUENTA CORRIENTE</v>
      </c>
      <c r="F674" s="18" t="s">
        <v>1428</v>
      </c>
      <c r="G674" s="156" t="s">
        <v>2861</v>
      </c>
      <c r="H674" s="412" t="str">
        <f>OBRA!N672</f>
        <v>C.P.S.P. DOP 012/2023</v>
      </c>
      <c r="I674" s="2" t="str">
        <f>OBRA!O672</f>
        <v>SERVICIOS</v>
      </c>
      <c r="J674" s="3" t="str">
        <f>OBRA!P672</f>
        <v>CONTRATACIÓN PARA LA REALIZACIÓN DE: ESTUDIO GEOHIDROLÓGICO-GEOFÍSICO CON FINES DE LOCALIZAR AGUA SUBTERRÁNEA EN PREDIO DENOMINADO "LA PUERTA" UBICADO EN LA LOCALIDAD DE SAN JUAN COSALÁ, DEL MUNICIPIO DE JOCOTEPEC, JALISCO.</v>
      </c>
      <c r="K674" s="3"/>
      <c r="L674" s="3" t="s">
        <v>6410</v>
      </c>
      <c r="M674" s="3" t="s">
        <v>6429</v>
      </c>
      <c r="N674" s="3" t="str">
        <f>OBRA!Q672</f>
        <v>SAN JUAN COSALÁ</v>
      </c>
      <c r="O674" s="504" t="s">
        <v>6532</v>
      </c>
      <c r="P674" s="79">
        <f>OBRA!R672</f>
        <v>18560</v>
      </c>
      <c r="Q674" s="1023">
        <f t="shared" si="52"/>
        <v>16000.000000000002</v>
      </c>
      <c r="R674" s="79" t="s">
        <v>68</v>
      </c>
      <c r="S674" s="67">
        <f>OBRA!S672</f>
        <v>44995</v>
      </c>
      <c r="T674" s="1134" t="str">
        <f>OBRA!V672</f>
        <v>-</v>
      </c>
      <c r="U674" s="5">
        <f>OBRA!T672</f>
        <v>44998</v>
      </c>
      <c r="V674" s="11">
        <f>OBRA!U672</f>
        <v>45002</v>
      </c>
      <c r="W674" s="1901">
        <v>0</v>
      </c>
      <c r="X674" s="1019">
        <f>OBRA!AS672+OBRA!AT672</f>
        <v>0</v>
      </c>
      <c r="Y674" s="1018" t="s">
        <v>6769</v>
      </c>
      <c r="Z674" s="146" t="str">
        <f>OBRA!W672</f>
        <v>LEXCLI, S. DE R.L. DE C.V.</v>
      </c>
      <c r="AA674" s="146" t="s">
        <v>5666</v>
      </c>
      <c r="AB674" s="1769" t="s">
        <v>5615</v>
      </c>
      <c r="AC674" s="1770" t="s">
        <v>5616</v>
      </c>
      <c r="AD674" s="1769" t="s">
        <v>5617</v>
      </c>
      <c r="AE674" s="1771" t="str">
        <f>OBRA!X672</f>
        <v>ARQ. FRANCISCO SALAZAR</v>
      </c>
      <c r="AF674" s="19">
        <v>1</v>
      </c>
      <c r="AG674" s="2" t="s">
        <v>6758</v>
      </c>
      <c r="AH674" s="183">
        <f t="shared" si="54"/>
        <v>18560</v>
      </c>
      <c r="AI674" s="2"/>
      <c r="AJ674" s="513"/>
      <c r="AK674" s="1888">
        <v>1</v>
      </c>
      <c r="AL674" s="1513"/>
      <c r="AM674" s="1514"/>
      <c r="AN674" s="571"/>
      <c r="AO674" s="571"/>
      <c r="AP674" s="571"/>
      <c r="AQ674" s="513"/>
      <c r="AR674" s="513"/>
      <c r="AS674" s="18"/>
    </row>
    <row r="675" spans="1:45" ht="99.75" customHeight="1">
      <c r="A675" s="16">
        <f>OBRA!J673</f>
        <v>2023</v>
      </c>
      <c r="B675" s="783" t="s">
        <v>3944</v>
      </c>
      <c r="C675" s="783">
        <f>OBRA!K673</f>
        <v>232013</v>
      </c>
      <c r="D675" s="783" t="s">
        <v>2310</v>
      </c>
      <c r="E675" s="2" t="str">
        <f>OBRA!M673</f>
        <v>CUENTA CORRIENTE</v>
      </c>
      <c r="F675" s="18" t="s">
        <v>1428</v>
      </c>
      <c r="G675" s="156" t="s">
        <v>2861</v>
      </c>
      <c r="H675" s="412" t="str">
        <f>OBRA!N673</f>
        <v>C.P.S.P. DOP 013/2023</v>
      </c>
      <c r="I675" s="2" t="str">
        <f>OBRA!O673</f>
        <v>SERVICIOS</v>
      </c>
      <c r="J675" s="3" t="str">
        <f>OBRA!P673</f>
        <v>CONTRATACIÓN PARA LA REALIZACIÓN DE: ESTUDIO GEOHIDROLÓGICO-GEOFÍSICO CON FINES DE LOCALIZAR AGUA SUBTERRÁNEA EN ATRIO DEL TEMPLO DEL SR. DEL MONTE UBICADO EN LA CABECERA MUNICIPAL DE JOCOTEPEC, JALISCO.</v>
      </c>
      <c r="K675" s="3"/>
      <c r="L675" s="3" t="s">
        <v>6410</v>
      </c>
      <c r="M675" s="3" t="s">
        <v>6181</v>
      </c>
      <c r="N675" s="3" t="str">
        <f>OBRA!Q673</f>
        <v>CABECERA MUNICIPAL</v>
      </c>
      <c r="O675" s="504" t="s">
        <v>6532</v>
      </c>
      <c r="P675" s="79">
        <f>OBRA!R673</f>
        <v>18560</v>
      </c>
      <c r="Q675" s="1023">
        <f t="shared" si="52"/>
        <v>16000.000000000002</v>
      </c>
      <c r="R675" s="79" t="s">
        <v>68</v>
      </c>
      <c r="S675" s="67">
        <f>OBRA!S673</f>
        <v>45002</v>
      </c>
      <c r="T675" s="1134" t="str">
        <f>OBRA!V673</f>
        <v>-</v>
      </c>
      <c r="U675" s="5">
        <f>OBRA!T673</f>
        <v>45005</v>
      </c>
      <c r="V675" s="11">
        <f>OBRA!U673</f>
        <v>45009</v>
      </c>
      <c r="W675" s="1901">
        <v>0</v>
      </c>
      <c r="X675" s="1019">
        <f>OBRA!AS673+OBRA!AT673</f>
        <v>0</v>
      </c>
      <c r="Y675" s="1018" t="s">
        <v>6769</v>
      </c>
      <c r="Z675" s="146" t="str">
        <f>OBRA!W673</f>
        <v>LEXCLI, S. DE R.L. DE C.V.</v>
      </c>
      <c r="AA675" s="146" t="s">
        <v>5666</v>
      </c>
      <c r="AB675" s="1769" t="s">
        <v>5615</v>
      </c>
      <c r="AC675" s="1770" t="s">
        <v>5616</v>
      </c>
      <c r="AD675" s="1769" t="s">
        <v>5617</v>
      </c>
      <c r="AE675" s="1771" t="str">
        <f>OBRA!X673</f>
        <v>ARQ. FRANCISCO SALAZAR</v>
      </c>
      <c r="AF675" s="19">
        <v>1</v>
      </c>
      <c r="AG675" s="2" t="s">
        <v>6758</v>
      </c>
      <c r="AH675" s="183">
        <f t="shared" si="54"/>
        <v>18560</v>
      </c>
      <c r="AI675" s="2"/>
      <c r="AJ675" s="513"/>
      <c r="AK675" s="1888">
        <v>1</v>
      </c>
      <c r="AL675" s="1513"/>
      <c r="AM675" s="1514"/>
      <c r="AN675" s="571"/>
      <c r="AO675" s="571"/>
      <c r="AP675" s="571"/>
      <c r="AQ675" s="513"/>
      <c r="AR675" s="513"/>
      <c r="AS675" s="18"/>
    </row>
    <row r="676" spans="1:45" ht="95.25" customHeight="1">
      <c r="A676" s="16">
        <f>OBRA!J674</f>
        <v>2023</v>
      </c>
      <c r="B676" s="783" t="s">
        <v>3944</v>
      </c>
      <c r="C676" s="783">
        <f>OBRA!K674</f>
        <v>232014</v>
      </c>
      <c r="D676" s="783" t="s">
        <v>2310</v>
      </c>
      <c r="E676" s="2" t="str">
        <f>OBRA!M674</f>
        <v>CUENTA CORRIENTE</v>
      </c>
      <c r="F676" s="18" t="s">
        <v>1428</v>
      </c>
      <c r="G676" s="156" t="s">
        <v>2861</v>
      </c>
      <c r="H676" s="412" t="str">
        <f>OBRA!N674</f>
        <v>C.P.S.P. DOP 014/2023</v>
      </c>
      <c r="I676" s="2" t="str">
        <f>OBRA!O674</f>
        <v>SERVICIOS</v>
      </c>
      <c r="J676" s="3" t="str">
        <f>OBRA!P674</f>
        <v>CONTRATACIÓN PARA LA REALIZACIÓN DE: ESTUDIO GEOHIDROLÓGICO-GEOFÍSICO CON FINES DE LOCALIZAR AGUA SUBTERRÁNEA EN CALLE VICENTE GUERRERO NORTE UBICADO EN LA LOCALICAS DE SAN JUAN COSALÁ, DEL MUNICIPIO DE JOCOTEPEC, JALISCO.</v>
      </c>
      <c r="K676" s="3"/>
      <c r="L676" s="3" t="s">
        <v>6410</v>
      </c>
      <c r="M676" s="3" t="s">
        <v>2528</v>
      </c>
      <c r="N676" s="3" t="str">
        <f>OBRA!Q674</f>
        <v>SAN JUAN COSALÁ</v>
      </c>
      <c r="O676" s="504" t="s">
        <v>6532</v>
      </c>
      <c r="P676" s="79">
        <f>OBRA!R674</f>
        <v>18560</v>
      </c>
      <c r="Q676" s="1023">
        <f t="shared" si="52"/>
        <v>16000.000000000002</v>
      </c>
      <c r="R676" s="79" t="s">
        <v>68</v>
      </c>
      <c r="S676" s="67">
        <f>OBRA!S674</f>
        <v>45001</v>
      </c>
      <c r="T676" s="1134" t="str">
        <f>OBRA!V674</f>
        <v>-</v>
      </c>
      <c r="U676" s="5">
        <f>OBRA!T674</f>
        <v>45005</v>
      </c>
      <c r="V676" s="11">
        <f>OBRA!U674</f>
        <v>45009</v>
      </c>
      <c r="W676" s="1901">
        <v>0</v>
      </c>
      <c r="X676" s="1019">
        <f>OBRA!AS674+OBRA!AT674</f>
        <v>0</v>
      </c>
      <c r="Y676" s="1018" t="s">
        <v>6769</v>
      </c>
      <c r="Z676" s="146" t="str">
        <f>OBRA!W674</f>
        <v>LEXCLI, S. DE R.L. DE C.V.</v>
      </c>
      <c r="AA676" s="146" t="s">
        <v>5666</v>
      </c>
      <c r="AB676" s="1769" t="s">
        <v>5615</v>
      </c>
      <c r="AC676" s="1770" t="s">
        <v>5616</v>
      </c>
      <c r="AD676" s="1769" t="s">
        <v>5617</v>
      </c>
      <c r="AE676" s="1771" t="str">
        <f>OBRA!X674</f>
        <v>ARQ. FRANCISCO SALAZAR</v>
      </c>
      <c r="AF676" s="19">
        <v>1</v>
      </c>
      <c r="AG676" s="2" t="s">
        <v>6758</v>
      </c>
      <c r="AH676" s="183">
        <f t="shared" si="54"/>
        <v>18560</v>
      </c>
      <c r="AI676" s="2"/>
      <c r="AJ676" s="513"/>
      <c r="AK676" s="1888">
        <v>1</v>
      </c>
      <c r="AL676" s="1513"/>
      <c r="AM676" s="1514"/>
      <c r="AN676" s="571"/>
      <c r="AO676" s="571"/>
      <c r="AP676" s="571"/>
      <c r="AQ676" s="513"/>
      <c r="AR676" s="513"/>
      <c r="AS676" s="18"/>
    </row>
    <row r="677" spans="1:45" ht="75" customHeight="1">
      <c r="A677" s="16">
        <f>OBRA!J675</f>
        <v>2023</v>
      </c>
      <c r="B677" s="783" t="s">
        <v>3944</v>
      </c>
      <c r="C677" s="783">
        <f>OBRA!K675</f>
        <v>232015</v>
      </c>
      <c r="D677" s="783" t="s">
        <v>2310</v>
      </c>
      <c r="E677" s="2" t="str">
        <f>OBRA!M675</f>
        <v>CUENTA CORRIENTE</v>
      </c>
      <c r="F677" s="18" t="s">
        <v>1428</v>
      </c>
      <c r="G677" s="156" t="s">
        <v>2861</v>
      </c>
      <c r="H677" s="12" t="str">
        <f>OBRA!N675</f>
        <v>C.P.S.P. DOP 015/2023</v>
      </c>
      <c r="I677" s="2" t="str">
        <f>OBRA!O675</f>
        <v>SERVICIOS</v>
      </c>
      <c r="J677" s="3" t="str">
        <f>OBRA!P675</f>
        <v>CONTRATACIÓN PARA LA REALIZACIÓN DEL SIGUIENTE LEVANTAMIENTO TOPOGRAFICO: PARA EL PROYECTO DE; REMODELACIÓN DE LA PLAZA PRINCIPAL DE HUEJOTITÁN, DEL MUNICIPIO DE JOCOTEPEC, JALISCO.</v>
      </c>
      <c r="K677" s="3"/>
      <c r="L677" s="3" t="s">
        <v>6411</v>
      </c>
      <c r="M677" s="3" t="s">
        <v>4746</v>
      </c>
      <c r="N677" s="3" t="str">
        <f>OBRA!Q675</f>
        <v>HUEJOTITÁN</v>
      </c>
      <c r="O677" s="504" t="s">
        <v>6532</v>
      </c>
      <c r="P677" s="79">
        <f>OBRA!R675</f>
        <v>11600</v>
      </c>
      <c r="Q677" s="1023">
        <f t="shared" si="52"/>
        <v>10000</v>
      </c>
      <c r="R677" s="79" t="s">
        <v>68</v>
      </c>
      <c r="S677" s="67">
        <f>OBRA!S675</f>
        <v>45005</v>
      </c>
      <c r="T677" s="1134" t="str">
        <f>OBRA!V675</f>
        <v>-</v>
      </c>
      <c r="U677" s="5">
        <f>OBRA!T675</f>
        <v>45012</v>
      </c>
      <c r="V677" s="11">
        <f>OBRA!U675</f>
        <v>45016</v>
      </c>
      <c r="W677" s="1901">
        <v>0</v>
      </c>
      <c r="X677" s="1019">
        <f>OBRA!AS675+OBRA!AT675</f>
        <v>0</v>
      </c>
      <c r="Y677" s="1018" t="s">
        <v>6769</v>
      </c>
      <c r="Z677" s="146" t="str">
        <f>OBRA!W675</f>
        <v>ING. SERGIO CABRERA</v>
      </c>
      <c r="AA677" s="146" t="s">
        <v>5665</v>
      </c>
      <c r="AB677" s="1769" t="s">
        <v>4444</v>
      </c>
      <c r="AC677" s="1770" t="s">
        <v>5614</v>
      </c>
      <c r="AD677" s="1769" t="s">
        <v>4877</v>
      </c>
      <c r="AE677" s="1771" t="str">
        <f>OBRA!X675</f>
        <v>ARQ. FRANCISCO SALAZAR</v>
      </c>
      <c r="AF677" s="19">
        <v>1</v>
      </c>
      <c r="AG677" s="2" t="s">
        <v>6411</v>
      </c>
      <c r="AH677" s="183">
        <f t="shared" si="54"/>
        <v>11600</v>
      </c>
      <c r="AI677" s="2"/>
      <c r="AJ677" s="2"/>
      <c r="AK677" s="2"/>
      <c r="AL677" s="1513"/>
      <c r="AM677" s="1514"/>
      <c r="AN677" s="571"/>
      <c r="AO677" s="571"/>
      <c r="AP677" s="571"/>
      <c r="AQ677" s="513"/>
      <c r="AR677" s="513"/>
      <c r="AS677" s="18"/>
    </row>
    <row r="678" spans="1:45" ht="126.75" customHeight="1">
      <c r="A678" s="16">
        <f>OBRA!J676</f>
        <v>2023</v>
      </c>
      <c r="B678" s="783" t="s">
        <v>3944</v>
      </c>
      <c r="C678" s="783">
        <f>OBRA!K676</f>
        <v>232016</v>
      </c>
      <c r="D678" s="783" t="s">
        <v>2310</v>
      </c>
      <c r="E678" s="2" t="str">
        <f>OBRA!M676</f>
        <v>CUENTA CORRIENTE</v>
      </c>
      <c r="F678" s="18" t="s">
        <v>1428</v>
      </c>
      <c r="G678" s="156" t="s">
        <v>2861</v>
      </c>
      <c r="H678" s="12" t="str">
        <f>OBRA!N676</f>
        <v>C.P.S.P. DOP 016/2023</v>
      </c>
      <c r="I678" s="2" t="str">
        <f>OBRA!O676</f>
        <v>SERVICIOS</v>
      </c>
      <c r="J678" s="3" t="str">
        <f>OBRA!P676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t="s">
        <v>6411</v>
      </c>
      <c r="M678" s="3" t="s">
        <v>4704</v>
      </c>
      <c r="N678" s="3" t="str">
        <f>OBRA!Q676</f>
        <v>LAS TROJES</v>
      </c>
      <c r="O678" s="504" t="s">
        <v>6532</v>
      </c>
      <c r="P678" s="79">
        <f>OBRA!R676</f>
        <v>31319.999999999996</v>
      </c>
      <c r="Q678" s="1023">
        <f t="shared" si="52"/>
        <v>27000</v>
      </c>
      <c r="R678" s="79" t="s">
        <v>68</v>
      </c>
      <c r="S678" s="67">
        <f>OBRA!S676</f>
        <v>45029</v>
      </c>
      <c r="T678" s="1134" t="str">
        <f>OBRA!V676</f>
        <v>-</v>
      </c>
      <c r="U678" s="5">
        <f>OBRA!T676</f>
        <v>45033</v>
      </c>
      <c r="V678" s="11">
        <f>OBRA!U676</f>
        <v>45037</v>
      </c>
      <c r="W678" s="1901">
        <v>0</v>
      </c>
      <c r="X678" s="1019">
        <f>OBRA!AS676+OBRA!AT676</f>
        <v>0</v>
      </c>
      <c r="Y678" s="1018" t="s">
        <v>6769</v>
      </c>
      <c r="Z678" s="146" t="str">
        <f>OBRA!W676</f>
        <v>ING. SERGIO CABRERA</v>
      </c>
      <c r="AA678" s="146" t="s">
        <v>5665</v>
      </c>
      <c r="AB678" s="1769" t="s">
        <v>4444</v>
      </c>
      <c r="AC678" s="1770" t="s">
        <v>5614</v>
      </c>
      <c r="AD678" s="1769" t="s">
        <v>4877</v>
      </c>
      <c r="AE678" s="1771" t="str">
        <f>OBRA!X676</f>
        <v>ARQ. FRANCISCO SALAZAR</v>
      </c>
      <c r="AF678" s="19">
        <v>1</v>
      </c>
      <c r="AG678" s="2" t="s">
        <v>6411</v>
      </c>
      <c r="AH678" s="183">
        <f t="shared" si="54"/>
        <v>31319.999999999996</v>
      </c>
      <c r="AI678" s="2"/>
      <c r="AJ678" s="2"/>
      <c r="AK678" s="2"/>
      <c r="AL678" s="1513"/>
      <c r="AM678" s="1514"/>
      <c r="AN678" s="571"/>
      <c r="AO678" s="571"/>
      <c r="AP678" s="571"/>
      <c r="AQ678" s="513"/>
      <c r="AR678" s="513"/>
      <c r="AS678" s="18"/>
    </row>
    <row r="679" spans="1:45" ht="110.25" customHeight="1">
      <c r="A679" s="16">
        <f>OBRA!J677</f>
        <v>2023</v>
      </c>
      <c r="B679" s="783" t="s">
        <v>3944</v>
      </c>
      <c r="C679" s="783">
        <f>OBRA!K677</f>
        <v>232017</v>
      </c>
      <c r="D679" s="783" t="s">
        <v>2310</v>
      </c>
      <c r="E679" s="2" t="str">
        <f>OBRA!M677</f>
        <v>CUENTA CORRIENTE</v>
      </c>
      <c r="F679" s="18" t="s">
        <v>1428</v>
      </c>
      <c r="G679" s="156" t="s">
        <v>2861</v>
      </c>
      <c r="H679" s="12" t="str">
        <f>OBRA!N677</f>
        <v>C.P.S.P. DOP 017/2023</v>
      </c>
      <c r="I679" s="2" t="str">
        <f>OBRA!O677</f>
        <v>SERVICIOS</v>
      </c>
      <c r="J679" s="3" t="str">
        <f>OBRA!P677</f>
        <v>CONTRATACIÓN PARA LA REALIZACIÓN DE: ESTUDIOS DE EVALUACIÓN GEOLÓGICA-GEOHIDROLÓGICA REFORZADA CON INVESTIGACIÓNES GEOFÍSICAS-ELECTROMAGNÉTICAS REALIZADAS EN EL PROYECTO PARA EL POZO LOS ARCOS, EN LA CABECERA MUNICIPAL DE JOCOTEPEC, JALISCO.</v>
      </c>
      <c r="K679" s="3"/>
      <c r="L679" s="3" t="s">
        <v>6414</v>
      </c>
      <c r="M679" s="3" t="s">
        <v>2554</v>
      </c>
      <c r="N679" s="3" t="str">
        <f>OBRA!Q677</f>
        <v>CABECERA MUNICIPAL</v>
      </c>
      <c r="O679" s="504" t="s">
        <v>6532</v>
      </c>
      <c r="P679" s="79">
        <f>OBRA!R677</f>
        <v>23200</v>
      </c>
      <c r="Q679" s="1023">
        <f t="shared" si="52"/>
        <v>20000</v>
      </c>
      <c r="R679" s="79" t="s">
        <v>68</v>
      </c>
      <c r="S679" s="67">
        <f>OBRA!S677</f>
        <v>45065</v>
      </c>
      <c r="T679" s="1134" t="str">
        <f>OBRA!V677</f>
        <v>-</v>
      </c>
      <c r="U679" s="5">
        <f>OBRA!T677</f>
        <v>45068</v>
      </c>
      <c r="V679" s="11">
        <f>OBRA!U677</f>
        <v>45070</v>
      </c>
      <c r="W679" s="1901">
        <v>0</v>
      </c>
      <c r="X679" s="1019">
        <f>OBRA!AS677+OBRA!AT677</f>
        <v>0</v>
      </c>
      <c r="Y679" s="1018" t="s">
        <v>6769</v>
      </c>
      <c r="Z679" s="146" t="str">
        <f>OBRA!W677</f>
        <v xml:space="preserve">CICLOS GIP SC </v>
      </c>
      <c r="AA679" s="146" t="s">
        <v>5666</v>
      </c>
      <c r="AB679" s="1769" t="s">
        <v>2999</v>
      </c>
      <c r="AC679" s="1770" t="s">
        <v>2987</v>
      </c>
      <c r="AD679" s="1769" t="s">
        <v>5606</v>
      </c>
      <c r="AE679" s="1771" t="str">
        <f>OBRA!X677</f>
        <v>ARQ. FRANCISCO SALAZAR</v>
      </c>
      <c r="AF679" s="19">
        <v>1</v>
      </c>
      <c r="AG679" s="2" t="s">
        <v>6758</v>
      </c>
      <c r="AH679" s="183">
        <f t="shared" si="54"/>
        <v>23200</v>
      </c>
      <c r="AI679" s="2"/>
      <c r="AJ679" s="513"/>
      <c r="AK679" s="1888">
        <v>1</v>
      </c>
      <c r="AL679" s="1513"/>
      <c r="AM679" s="1514"/>
      <c r="AN679" s="571"/>
      <c r="AO679" s="571"/>
      <c r="AP679" s="571"/>
      <c r="AQ679" s="513"/>
      <c r="AR679" s="513"/>
      <c r="AS679" s="18"/>
    </row>
    <row r="680" spans="1:45" ht="117" customHeight="1">
      <c r="A680" s="16">
        <f>OBRA!J678</f>
        <v>2023</v>
      </c>
      <c r="B680" s="783" t="s">
        <v>3944</v>
      </c>
      <c r="C680" s="783">
        <f>OBRA!K678</f>
        <v>232018</v>
      </c>
      <c r="D680" s="783" t="s">
        <v>2310</v>
      </c>
      <c r="E680" s="2" t="str">
        <f>OBRA!M678</f>
        <v>CUENTA CORRIENTE</v>
      </c>
      <c r="F680" s="18" t="s">
        <v>1428</v>
      </c>
      <c r="G680" s="156" t="s">
        <v>2861</v>
      </c>
      <c r="H680" s="12" t="str">
        <f>OBRA!N678</f>
        <v>C.P.S.P. DOP 018/2023</v>
      </c>
      <c r="I680" s="2" t="str">
        <f>OBRA!O678</f>
        <v>SERVICIOS</v>
      </c>
      <c r="J680" s="3" t="str">
        <f>OBRA!P678</f>
        <v>CONTRATACIÓN PARA LA REALIZACIÓN DE: ESTUDIOS DE EVALUACIÓN GEOLÓGICA-GEOHIDROLÓGICA REFORZADA CON INVESTIGACIÓNES GEOFÍSICAS-ELECTROMAGNÉTICAS REALIZADAS EN EL PROYECTO PARA EL POZO CAMICHINES, EN LA CABECERA MUNICIPAL DE JOCOTEPEC, JALISCO.</v>
      </c>
      <c r="K680" s="3"/>
      <c r="L680" s="3" t="s">
        <v>6414</v>
      </c>
      <c r="M680" s="3" t="s">
        <v>6739</v>
      </c>
      <c r="N680" s="3" t="str">
        <f>OBRA!Q678</f>
        <v>CABECERA MUNICIPAL</v>
      </c>
      <c r="O680" s="504" t="s">
        <v>6532</v>
      </c>
      <c r="P680" s="79">
        <f>OBRA!R678</f>
        <v>23200</v>
      </c>
      <c r="Q680" s="1023">
        <f t="shared" si="52"/>
        <v>20000</v>
      </c>
      <c r="R680" s="79" t="s">
        <v>68</v>
      </c>
      <c r="S680" s="67">
        <f>OBRA!S678</f>
        <v>45069</v>
      </c>
      <c r="T680" s="1134" t="str">
        <f>OBRA!V678</f>
        <v>-</v>
      </c>
      <c r="U680" s="5">
        <f>OBRA!T678</f>
        <v>45071</v>
      </c>
      <c r="V680" s="11">
        <f>OBRA!U678</f>
        <v>45072</v>
      </c>
      <c r="W680" s="1901">
        <v>0</v>
      </c>
      <c r="X680" s="1019">
        <f>OBRA!AS678+OBRA!AT678</f>
        <v>0</v>
      </c>
      <c r="Y680" s="1018" t="s">
        <v>6769</v>
      </c>
      <c r="Z680" s="146" t="str">
        <f>OBRA!W678</f>
        <v xml:space="preserve">CICLOS GIP SC </v>
      </c>
      <c r="AA680" s="146" t="s">
        <v>5666</v>
      </c>
      <c r="AB680" s="1769" t="s">
        <v>2999</v>
      </c>
      <c r="AC680" s="1770" t="s">
        <v>2987</v>
      </c>
      <c r="AD680" s="1769" t="s">
        <v>5606</v>
      </c>
      <c r="AE680" s="1771" t="str">
        <f>OBRA!X678</f>
        <v>ARQ. FRANCISCO SALAZAR</v>
      </c>
      <c r="AF680" s="19">
        <v>1</v>
      </c>
      <c r="AG680" s="2" t="s">
        <v>6758</v>
      </c>
      <c r="AH680" s="183">
        <f t="shared" si="54"/>
        <v>23200</v>
      </c>
      <c r="AI680" s="2"/>
      <c r="AJ680" s="513"/>
      <c r="AK680" s="1888">
        <v>1</v>
      </c>
      <c r="AL680" s="1513"/>
      <c r="AM680" s="1514"/>
      <c r="AN680" s="571"/>
      <c r="AO680" s="571"/>
      <c r="AP680" s="571"/>
      <c r="AQ680" s="513"/>
      <c r="AR680" s="513"/>
      <c r="AS680" s="18"/>
    </row>
    <row r="681" spans="1:45" ht="78" customHeight="1">
      <c r="A681" s="16">
        <f>OBRA!J679</f>
        <v>2023</v>
      </c>
      <c r="B681" s="783" t="s">
        <v>3944</v>
      </c>
      <c r="C681" s="783">
        <f>OBRA!K679</f>
        <v>232019</v>
      </c>
      <c r="D681" s="783" t="s">
        <v>2310</v>
      </c>
      <c r="E681" s="2" t="str">
        <f>OBRA!M679</f>
        <v>CUENTA CORRIENTE</v>
      </c>
      <c r="F681" s="18" t="s">
        <v>1428</v>
      </c>
      <c r="G681" s="156" t="s">
        <v>2861</v>
      </c>
      <c r="H681" s="12" t="str">
        <f>OBRA!N679</f>
        <v>C.P.S.P. DOP 019/2023</v>
      </c>
      <c r="I681" s="2" t="str">
        <f>OBRA!O679</f>
        <v>SERVICIOS</v>
      </c>
      <c r="J681" s="3" t="str">
        <f>OBRA!P679</f>
        <v>CONTRATACIÓN PARA LA REALIZACIÓN DEL SIGUIENTE LEVANTAMIENTO TOPOGRAFICO: PARA EL PROYECTO EJECUTIVO DEL COLECTOR DE LA CABECERA MUNICIPAL DE JOCOTEPEC, JALISCO.</v>
      </c>
      <c r="K681" s="3"/>
      <c r="L681" s="3" t="s">
        <v>6411</v>
      </c>
      <c r="M681" s="3" t="s">
        <v>4806</v>
      </c>
      <c r="N681" s="3" t="str">
        <f>OBRA!Q679</f>
        <v>CABECERA MUNICIPAL</v>
      </c>
      <c r="O681" s="504" t="s">
        <v>6532</v>
      </c>
      <c r="P681" s="79">
        <f>OBRA!R679</f>
        <v>5999.9955999999993</v>
      </c>
      <c r="Q681" s="1023">
        <f t="shared" si="52"/>
        <v>5172.41</v>
      </c>
      <c r="R681" s="79" t="s">
        <v>68</v>
      </c>
      <c r="S681" s="67">
        <f>OBRA!S679</f>
        <v>45099</v>
      </c>
      <c r="T681" s="1134" t="str">
        <f>OBRA!V679</f>
        <v>-</v>
      </c>
      <c r="U681" s="5">
        <f>OBRA!T679</f>
        <v>45099</v>
      </c>
      <c r="V681" s="11">
        <f>OBRA!U679</f>
        <v>45103</v>
      </c>
      <c r="W681" s="1901">
        <v>0</v>
      </c>
      <c r="X681" s="1019">
        <f>OBRA!AS679+OBRA!AT679</f>
        <v>0</v>
      </c>
      <c r="Y681" s="1018" t="s">
        <v>6769</v>
      </c>
      <c r="Z681" s="146" t="str">
        <f>OBRA!W679</f>
        <v>ING. LUIS JOEL HUERTA LOMA</v>
      </c>
      <c r="AA681" s="146" t="s">
        <v>5665</v>
      </c>
      <c r="AB681" s="1769" t="str">
        <f>Z681</f>
        <v>ING. LUIS JOEL HUERTA LOMA</v>
      </c>
      <c r="AC681" s="1770" t="s">
        <v>5612</v>
      </c>
      <c r="AD681" s="1769" t="s">
        <v>5613</v>
      </c>
      <c r="AE681" s="1771" t="str">
        <f>OBRA!X679</f>
        <v>ARQ. FRANCISCO SALAZAR</v>
      </c>
      <c r="AF681" s="19">
        <v>1</v>
      </c>
      <c r="AG681" s="2" t="s">
        <v>6411</v>
      </c>
      <c r="AH681" s="183">
        <f t="shared" si="54"/>
        <v>5999.9955999999993</v>
      </c>
      <c r="AI681" s="2"/>
      <c r="AJ681" s="513"/>
      <c r="AK681" s="1888">
        <v>1</v>
      </c>
      <c r="AL681" s="1513"/>
      <c r="AM681" s="1514"/>
      <c r="AN681" s="571"/>
      <c r="AO681" s="571"/>
      <c r="AP681" s="571"/>
      <c r="AQ681" s="513"/>
      <c r="AR681" s="513"/>
      <c r="AS681" s="18"/>
    </row>
    <row r="682" spans="1:45" ht="78.75" customHeight="1">
      <c r="A682" s="16">
        <f>OBRA!J680</f>
        <v>2023</v>
      </c>
      <c r="B682" s="783" t="s">
        <v>3944</v>
      </c>
      <c r="C682" s="783">
        <f>OBRA!K680</f>
        <v>232020</v>
      </c>
      <c r="D682" s="783" t="s">
        <v>2310</v>
      </c>
      <c r="E682" s="2" t="str">
        <f>OBRA!M680</f>
        <v>CUENTA CORRIENTE</v>
      </c>
      <c r="F682" s="18" t="s">
        <v>1428</v>
      </c>
      <c r="G682" s="156" t="s">
        <v>2861</v>
      </c>
      <c r="H682" s="12" t="str">
        <f>OBRA!N680</f>
        <v>C.P.S.P. DOP 020/2023</v>
      </c>
      <c r="I682" s="2" t="str">
        <f>OBRA!O680</f>
        <v>SERVICIOS</v>
      </c>
      <c r="J682" s="3" t="str">
        <f>OBRA!P680</f>
        <v>CONTRATACIÓN PARA LA REALIZACIÓN DE LOS SIGUIENTES LEVANTAMIENTOS TOPOGRAFICOS: DE LAS OBRAS DEL PROGRAMA "EMPEDRADOS PARA LA REACTIVACIÓN ECONÓMICA EN MUNICIPIOS" EJERCICIO FISCAL 2022.</v>
      </c>
      <c r="K682" s="3"/>
      <c r="L682" s="3" t="s">
        <v>6411</v>
      </c>
      <c r="M682" s="3" t="s">
        <v>68</v>
      </c>
      <c r="N682" s="3" t="str">
        <f>OBRA!Q680</f>
        <v>MUNICIPIO</v>
      </c>
      <c r="O682" s="504" t="s">
        <v>6532</v>
      </c>
      <c r="P682" s="79">
        <f>OBRA!R680</f>
        <v>96447.573600000003</v>
      </c>
      <c r="Q682" s="1023">
        <f t="shared" si="52"/>
        <v>83144.460000000006</v>
      </c>
      <c r="R682" s="79" t="s">
        <v>68</v>
      </c>
      <c r="S682" s="67">
        <f>OBRA!S680</f>
        <v>45118</v>
      </c>
      <c r="T682" s="1134" t="str">
        <f>OBRA!V680</f>
        <v>-</v>
      </c>
      <c r="U682" s="5">
        <f>OBRA!T680</f>
        <v>45120</v>
      </c>
      <c r="V682" s="11">
        <f>OBRA!U680</f>
        <v>45129</v>
      </c>
      <c r="W682" s="1901">
        <v>0</v>
      </c>
      <c r="X682" s="1019">
        <f>OBRA!AS680+OBRA!AT680</f>
        <v>0</v>
      </c>
      <c r="Y682" s="1018" t="s">
        <v>6769</v>
      </c>
      <c r="Z682" s="146" t="str">
        <f>OBRA!W680</f>
        <v>ING. LUIS JOEL HUERTA LOMA</v>
      </c>
      <c r="AA682" s="146" t="s">
        <v>5665</v>
      </c>
      <c r="AB682" s="1769" t="str">
        <f>Z682</f>
        <v>ING. LUIS JOEL HUERTA LOMA</v>
      </c>
      <c r="AC682" s="1770" t="s">
        <v>5612</v>
      </c>
      <c r="AD682" s="1769" t="s">
        <v>5613</v>
      </c>
      <c r="AE682" s="1771" t="str">
        <f>OBRA!X680</f>
        <v>ARQ. FRANCISCO SALAZAR</v>
      </c>
      <c r="AF682" s="19">
        <v>1</v>
      </c>
      <c r="AG682" s="2" t="s">
        <v>6411</v>
      </c>
      <c r="AH682" s="183">
        <f t="shared" si="54"/>
        <v>96447.573600000003</v>
      </c>
      <c r="AI682" s="2"/>
      <c r="AJ682" s="513"/>
      <c r="AK682" s="1888">
        <v>1</v>
      </c>
      <c r="AL682" s="1513"/>
      <c r="AM682" s="1514"/>
      <c r="AN682" s="571"/>
      <c r="AO682" s="571"/>
      <c r="AP682" s="571"/>
      <c r="AQ682" s="513"/>
      <c r="AR682" s="513"/>
      <c r="AS682" s="18"/>
    </row>
    <row r="683" spans="1:45" ht="194.25" customHeight="1">
      <c r="A683" s="16">
        <f>OBRA!J681</f>
        <v>2023</v>
      </c>
      <c r="B683" s="783" t="s">
        <v>3944</v>
      </c>
      <c r="C683" s="783">
        <f>OBRA!K681</f>
        <v>232021</v>
      </c>
      <c r="D683" s="783" t="s">
        <v>2310</v>
      </c>
      <c r="E683" s="2" t="str">
        <f>OBRA!M681</f>
        <v>CUENTA CORRIENTE</v>
      </c>
      <c r="F683" s="18" t="s">
        <v>1428</v>
      </c>
      <c r="G683" s="156" t="s">
        <v>2861</v>
      </c>
      <c r="H683" s="12" t="str">
        <f>OBRA!N681</f>
        <v>C.P.S.P. DOP 021/2023</v>
      </c>
      <c r="I683" s="2" t="str">
        <f>OBRA!O681</f>
        <v>SERVICIOS</v>
      </c>
      <c r="J683"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t="s">
        <v>6415</v>
      </c>
      <c r="M683" s="3"/>
      <c r="N683" s="3" t="str">
        <f>OBRA!Q681</f>
        <v>MUNICIPIO</v>
      </c>
      <c r="O683" s="504" t="s">
        <v>6748</v>
      </c>
      <c r="P683" s="79">
        <f>OBRA!R681</f>
        <v>17400</v>
      </c>
      <c r="Q683" s="1023">
        <f t="shared" si="52"/>
        <v>15000.000000000002</v>
      </c>
      <c r="R683" s="79" t="s">
        <v>68</v>
      </c>
      <c r="S683" s="67">
        <f>OBRA!S681</f>
        <v>45131</v>
      </c>
      <c r="T683" s="1134" t="str">
        <f>OBRA!V681</f>
        <v>-</v>
      </c>
      <c r="U683" s="5">
        <f>OBRA!T681</f>
        <v>45138</v>
      </c>
      <c r="V683" s="11">
        <f>OBRA!U681</f>
        <v>45187</v>
      </c>
      <c r="W683" s="1901">
        <v>0</v>
      </c>
      <c r="X683" s="1019">
        <f>OBRA!AS681+OBRA!AT681</f>
        <v>0</v>
      </c>
      <c r="Y683" s="1018" t="s">
        <v>6769</v>
      </c>
      <c r="Z683" s="146" t="str">
        <f>OBRA!W681</f>
        <v>SOLEC ENERGY, S.A. DE C.V.</v>
      </c>
      <c r="AA683" s="146" t="s">
        <v>5666</v>
      </c>
      <c r="AB683" s="1769" t="s">
        <v>4548</v>
      </c>
      <c r="AC683" s="1770" t="s">
        <v>4549</v>
      </c>
      <c r="AD683" s="1769" t="s">
        <v>4550</v>
      </c>
      <c r="AE683" s="1771" t="str">
        <f>OBRA!X681</f>
        <v>ARQ. FRANCISCO SALAZAR</v>
      </c>
      <c r="AF683" s="19">
        <v>4</v>
      </c>
      <c r="AG683" s="2" t="s">
        <v>1573</v>
      </c>
      <c r="AH683" s="183">
        <f t="shared" si="54"/>
        <v>4350</v>
      </c>
      <c r="AI683" s="2"/>
      <c r="AJ683" s="513"/>
      <c r="AK683" s="1888">
        <v>1</v>
      </c>
      <c r="AL683" s="1513"/>
      <c r="AM683" s="1514"/>
      <c r="AN683" s="571"/>
      <c r="AO683" s="571"/>
      <c r="AP683" s="571"/>
      <c r="AQ683" s="513"/>
      <c r="AR683" s="513"/>
      <c r="AS683" s="18"/>
    </row>
    <row r="684" spans="1:45" ht="93" customHeight="1">
      <c r="A684" s="16">
        <f>OBRA!J682</f>
        <v>2023</v>
      </c>
      <c r="B684" s="783" t="s">
        <v>3944</v>
      </c>
      <c r="C684" s="783">
        <f>OBRA!K682</f>
        <v>232022</v>
      </c>
      <c r="D684" s="783" t="s">
        <v>2310</v>
      </c>
      <c r="E684" s="2" t="str">
        <f>OBRA!M682</f>
        <v>CUENTA CORRIENTE</v>
      </c>
      <c r="F684" s="18" t="s">
        <v>1428</v>
      </c>
      <c r="G684" s="156" t="s">
        <v>2861</v>
      </c>
      <c r="H684" s="12" t="str">
        <f>OBRA!N682</f>
        <v>C.P.S.P. DOP 022/2023</v>
      </c>
      <c r="I684" s="2" t="str">
        <f>OBRA!O682</f>
        <v>SERVICIOS</v>
      </c>
      <c r="J684" s="3" t="str">
        <f>OBRA!P682</f>
        <v>CONTRATACIÓN DE SERVICIOS PROFESIONALES PARA: REHABILITACIÓN DE ACOMETIDAS Y REACOMODO DE LA BAJA TENSIÓN EN CALLE PLAYAS DEL SOL EN LA LOCALIDAD DE CHANTEPEC, DEL MUNICIPIO DE JOCOTEPEC, JALISCO.</v>
      </c>
      <c r="K684" s="3"/>
      <c r="L684" s="3" t="s">
        <v>6415</v>
      </c>
      <c r="M684" s="3" t="s">
        <v>5418</v>
      </c>
      <c r="N684" s="3" t="str">
        <f>OBRA!Q682</f>
        <v>CHANTEPEC</v>
      </c>
      <c r="O684" s="504" t="s">
        <v>6748</v>
      </c>
      <c r="P684" s="79">
        <f>OBRA!R682</f>
        <v>73689.208799999993</v>
      </c>
      <c r="Q684" s="1023">
        <f t="shared" si="52"/>
        <v>63525.18</v>
      </c>
      <c r="R684" s="79" t="s">
        <v>68</v>
      </c>
      <c r="S684" s="67">
        <f>OBRA!S682</f>
        <v>45133</v>
      </c>
      <c r="T684" s="1134" t="str">
        <f>OBRA!V682</f>
        <v>-</v>
      </c>
      <c r="U684" s="5">
        <f>OBRA!T682</f>
        <v>45141</v>
      </c>
      <c r="V684" s="11">
        <f>OBRA!U682</f>
        <v>45155</v>
      </c>
      <c r="W684" s="1901">
        <v>0</v>
      </c>
      <c r="X684" s="1019">
        <f>OBRA!AS682+OBRA!AT682</f>
        <v>0</v>
      </c>
      <c r="Y684" s="1018" t="s">
        <v>6769</v>
      </c>
      <c r="Z684" s="146" t="str">
        <f>OBRA!W682</f>
        <v>SOLEC ENERGY, S.A. DE C.V.</v>
      </c>
      <c r="AA684" s="146" t="s">
        <v>5666</v>
      </c>
      <c r="AB684" s="1769" t="s">
        <v>4548</v>
      </c>
      <c r="AC684" s="1770" t="s">
        <v>4549</v>
      </c>
      <c r="AD684" s="1769" t="s">
        <v>4550</v>
      </c>
      <c r="AE684" s="1771" t="str">
        <f>OBRA!X682</f>
        <v>ARQ. FRANCISCO SALAZAR</v>
      </c>
      <c r="AF684" s="19">
        <v>1</v>
      </c>
      <c r="AG684" s="2" t="s">
        <v>1573</v>
      </c>
      <c r="AH684" s="183">
        <f t="shared" si="54"/>
        <v>73689.208799999993</v>
      </c>
      <c r="AI684" s="2"/>
      <c r="AJ684" s="513"/>
      <c r="AK684" s="1888">
        <v>1</v>
      </c>
      <c r="AL684" s="1513"/>
      <c r="AM684" s="1514"/>
      <c r="AN684" s="571"/>
      <c r="AO684" s="571"/>
      <c r="AP684" s="571"/>
      <c r="AQ684" s="513"/>
      <c r="AR684" s="513"/>
      <c r="AS684" s="18"/>
    </row>
    <row r="685" spans="1:45" ht="95.25" customHeight="1">
      <c r="A685" s="16">
        <f>OBRA!J683</f>
        <v>2023</v>
      </c>
      <c r="B685" s="783" t="s">
        <v>3944</v>
      </c>
      <c r="C685" s="783">
        <f>OBRA!K683</f>
        <v>232023</v>
      </c>
      <c r="D685" s="783" t="s">
        <v>2310</v>
      </c>
      <c r="E685" s="2" t="str">
        <f>OBRA!M683</f>
        <v>CUENTA CORRIENTE</v>
      </c>
      <c r="F685" s="18" t="s">
        <v>1428</v>
      </c>
      <c r="G685" s="156" t="s">
        <v>2861</v>
      </c>
      <c r="H685" s="12" t="str">
        <f>OBRA!N683</f>
        <v>C.P.S.P. DOP 023/2023</v>
      </c>
      <c r="I685" s="2" t="str">
        <f>OBRA!O683</f>
        <v>SERVICIOS</v>
      </c>
      <c r="J685" s="3" t="str">
        <f>OBRA!P683</f>
        <v>CONTRATACIÓN DE SERVICIOS PROFESIONALES PARA LA: ADECUACIONES COMPLEMENTARIAS PARA EL BUEN FUNCIONAMIENTO EN EL SERVICIO DE ENERGÍA ELÉCTRICA EN LA CICLOVÍA EN EL TRAMO DE SAN JUAN COSALÁ A NEXTIPAC, DEL MUNICIPIO DE JOCOTEPEC, JALISCO.</v>
      </c>
      <c r="K685" s="3"/>
      <c r="L685" s="3" t="s">
        <v>6415</v>
      </c>
      <c r="M685" s="3" t="s">
        <v>5330</v>
      </c>
      <c r="N685" s="3" t="str">
        <f>OBRA!Q683</f>
        <v>MUNICIPIO</v>
      </c>
      <c r="O685" s="504" t="s">
        <v>6748</v>
      </c>
      <c r="P685" s="79">
        <f>OBRA!R683</f>
        <v>161863.23319999999</v>
      </c>
      <c r="Q685" s="1023">
        <f t="shared" si="52"/>
        <v>139537.26999999999</v>
      </c>
      <c r="R685" s="79" t="s">
        <v>68</v>
      </c>
      <c r="S685" s="67">
        <f>OBRA!S683</f>
        <v>45148</v>
      </c>
      <c r="T685" s="1134" t="str">
        <f>OBRA!V683</f>
        <v>-</v>
      </c>
      <c r="U685" s="5">
        <f>OBRA!T683</f>
        <v>45152</v>
      </c>
      <c r="V685" s="11">
        <f>OBRA!U683</f>
        <v>45163</v>
      </c>
      <c r="W685" s="1901">
        <v>0</v>
      </c>
      <c r="X685" s="1019">
        <f>OBRA!AS683+OBRA!AT683</f>
        <v>0</v>
      </c>
      <c r="Y685" s="1018" t="s">
        <v>6769</v>
      </c>
      <c r="Z685" s="146" t="str">
        <f>OBRA!W683</f>
        <v>SOLEC ENERGY, S.A. DE C.V.</v>
      </c>
      <c r="AA685" s="146" t="s">
        <v>5666</v>
      </c>
      <c r="AB685" s="1769" t="s">
        <v>4548</v>
      </c>
      <c r="AC685" s="1770" t="s">
        <v>4549</v>
      </c>
      <c r="AD685" s="1769" t="s">
        <v>4550</v>
      </c>
      <c r="AE685" s="1771" t="str">
        <f>OBRA!X683</f>
        <v>ARQ. FRANCISCO SALAZAR</v>
      </c>
      <c r="AF685" s="19">
        <v>1</v>
      </c>
      <c r="AG685" s="2" t="s">
        <v>1573</v>
      </c>
      <c r="AH685" s="183">
        <f t="shared" si="54"/>
        <v>161863.23319999999</v>
      </c>
      <c r="AI685" s="2"/>
      <c r="AJ685" s="513"/>
      <c r="AK685" s="1888">
        <v>1</v>
      </c>
      <c r="AL685" s="1513"/>
      <c r="AM685" s="1514"/>
      <c r="AN685" s="571"/>
      <c r="AO685" s="571"/>
      <c r="AP685" s="571"/>
      <c r="AQ685" s="513"/>
      <c r="AR685" s="513"/>
      <c r="AS685" s="18"/>
    </row>
    <row r="686" spans="1:45" ht="125.25" customHeight="1">
      <c r="A686" s="16">
        <f>OBRA!J684</f>
        <v>2023</v>
      </c>
      <c r="B686" s="783" t="s">
        <v>3944</v>
      </c>
      <c r="C686" s="783">
        <f>OBRA!K684</f>
        <v>232024</v>
      </c>
      <c r="D686" s="783" t="s">
        <v>2310</v>
      </c>
      <c r="E686" s="2" t="str">
        <f>OBRA!M684</f>
        <v>CUENTA CORRIENTE</v>
      </c>
      <c r="F686" s="18" t="s">
        <v>1428</v>
      </c>
      <c r="G686" s="156" t="s">
        <v>2861</v>
      </c>
      <c r="H686" s="12" t="str">
        <f>OBRA!N684</f>
        <v>C.P.S.P. DOP 024/2023</v>
      </c>
      <c r="I686" s="2" t="str">
        <f>OBRA!O684</f>
        <v>SERVICIOS</v>
      </c>
      <c r="J686"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t="s">
        <v>6411</v>
      </c>
      <c r="M686" s="3" t="s">
        <v>6740</v>
      </c>
      <c r="N686" s="3" t="str">
        <f>OBRA!Q684</f>
        <v>CABECERA MUNICIPAL</v>
      </c>
      <c r="O686" s="504" t="s">
        <v>6748</v>
      </c>
      <c r="P686" s="79">
        <f>OBRA!R684</f>
        <v>34800</v>
      </c>
      <c r="Q686" s="1023">
        <f t="shared" si="52"/>
        <v>30000.000000000004</v>
      </c>
      <c r="R686" s="79" t="s">
        <v>68</v>
      </c>
      <c r="S686" s="67">
        <f>OBRA!S684</f>
        <v>45140</v>
      </c>
      <c r="T686" s="1134" t="str">
        <f>OBRA!V684</f>
        <v>-</v>
      </c>
      <c r="U686" s="5">
        <f>OBRA!T684</f>
        <v>45141</v>
      </c>
      <c r="V686" s="11">
        <f>OBRA!U684</f>
        <v>45143</v>
      </c>
      <c r="W686" s="1901">
        <v>0</v>
      </c>
      <c r="X686" s="1019">
        <f>OBRA!AS684+OBRA!AT684</f>
        <v>0</v>
      </c>
      <c r="Y686" s="1018" t="s">
        <v>6769</v>
      </c>
      <c r="Z686" s="146" t="str">
        <f>OBRA!W684</f>
        <v>ING. LUIS JOEL HUERTA LOMA</v>
      </c>
      <c r="AA686" s="146" t="s">
        <v>5665</v>
      </c>
      <c r="AB686" s="1769" t="str">
        <f t="shared" ref="AB686:AB691" si="55">Z686</f>
        <v>ING. LUIS JOEL HUERTA LOMA</v>
      </c>
      <c r="AC686" s="1770" t="s">
        <v>5612</v>
      </c>
      <c r="AD686" s="1769" t="s">
        <v>5613</v>
      </c>
      <c r="AE686" s="1771" t="str">
        <f>OBRA!X684</f>
        <v>ARQ. FRANCISCO SALAZAR</v>
      </c>
      <c r="AF686" s="19">
        <v>1</v>
      </c>
      <c r="AG686" s="2" t="s">
        <v>6411</v>
      </c>
      <c r="AH686" s="183">
        <f t="shared" si="54"/>
        <v>34800</v>
      </c>
      <c r="AI686" s="2"/>
      <c r="AJ686" s="2"/>
      <c r="AK686" s="2"/>
      <c r="AL686" s="1513"/>
      <c r="AM686" s="1514"/>
      <c r="AN686" s="571"/>
      <c r="AO686" s="571"/>
      <c r="AP686" s="571"/>
      <c r="AQ686" s="513"/>
      <c r="AR686" s="513"/>
      <c r="AS686" s="18"/>
    </row>
    <row r="687" spans="1:45" ht="136.5" customHeight="1">
      <c r="A687" s="16">
        <f>OBRA!J685</f>
        <v>2023</v>
      </c>
      <c r="B687" s="783" t="s">
        <v>3944</v>
      </c>
      <c r="C687" s="783">
        <f>OBRA!K685</f>
        <v>232025</v>
      </c>
      <c r="D687" s="783" t="s">
        <v>2310</v>
      </c>
      <c r="E687" s="2" t="str">
        <f>OBRA!M685</f>
        <v>CUENTA CORRIENTE</v>
      </c>
      <c r="F687" s="18" t="s">
        <v>1428</v>
      </c>
      <c r="G687" s="156" t="s">
        <v>2861</v>
      </c>
      <c r="H687" s="12" t="str">
        <f>OBRA!N685</f>
        <v>C.P.S.P. DOP 025/2023</v>
      </c>
      <c r="I687" s="2" t="str">
        <f>OBRA!O685</f>
        <v>SERVICIOS</v>
      </c>
      <c r="J687"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t="s">
        <v>6411</v>
      </c>
      <c r="M687" s="3" t="s">
        <v>4806</v>
      </c>
      <c r="N687" s="3" t="str">
        <f>OBRA!Q685</f>
        <v>CABECERA MUNICIPAL</v>
      </c>
      <c r="O687" s="504" t="s">
        <v>6748</v>
      </c>
      <c r="P687" s="79">
        <f>OBRA!R685</f>
        <v>54531.6</v>
      </c>
      <c r="Q687" s="1023">
        <f t="shared" si="52"/>
        <v>47010</v>
      </c>
      <c r="R687" s="79" t="s">
        <v>68</v>
      </c>
      <c r="S687" s="67">
        <f>OBRA!S685</f>
        <v>45140</v>
      </c>
      <c r="T687" s="1134" t="str">
        <f>OBRA!V685</f>
        <v>-</v>
      </c>
      <c r="U687" s="5">
        <f>OBRA!T685</f>
        <v>45152</v>
      </c>
      <c r="V687" s="11">
        <f>OBRA!U685</f>
        <v>45155</v>
      </c>
      <c r="W687" s="1901">
        <v>0</v>
      </c>
      <c r="X687" s="1019">
        <f>OBRA!AS685+OBRA!AT685</f>
        <v>0</v>
      </c>
      <c r="Y687" s="1018" t="s">
        <v>6769</v>
      </c>
      <c r="Z687" s="146" t="str">
        <f>OBRA!W685</f>
        <v>ING. LUIS JOEL HUERTA LOMA</v>
      </c>
      <c r="AA687" s="146" t="s">
        <v>5665</v>
      </c>
      <c r="AB687" s="1769" t="str">
        <f t="shared" si="55"/>
        <v>ING. LUIS JOEL HUERTA LOMA</v>
      </c>
      <c r="AC687" s="1770" t="s">
        <v>5612</v>
      </c>
      <c r="AD687" s="1769" t="s">
        <v>5613</v>
      </c>
      <c r="AE687" s="1771" t="str">
        <f>OBRA!X685</f>
        <v>ARQ. FRANCISCO SALAZAR</v>
      </c>
      <c r="AF687" s="19">
        <v>1</v>
      </c>
      <c r="AG687" s="2" t="s">
        <v>6411</v>
      </c>
      <c r="AH687" s="183">
        <f t="shared" si="54"/>
        <v>54531.6</v>
      </c>
      <c r="AI687" s="2"/>
      <c r="AJ687" s="513"/>
      <c r="AK687" s="1888">
        <v>1</v>
      </c>
      <c r="AL687" s="1513"/>
      <c r="AM687" s="1514"/>
      <c r="AN687" s="571"/>
      <c r="AO687" s="571"/>
      <c r="AP687" s="571"/>
      <c r="AQ687" s="513"/>
      <c r="AR687" s="513"/>
      <c r="AS687" s="18"/>
    </row>
    <row r="688" spans="1:45" ht="125.25" customHeight="1">
      <c r="A688" s="16">
        <f>OBRA!J686</f>
        <v>2023</v>
      </c>
      <c r="B688" s="783" t="s">
        <v>3944</v>
      </c>
      <c r="C688" s="783">
        <f>OBRA!K686</f>
        <v>232026</v>
      </c>
      <c r="D688" s="783" t="s">
        <v>2310</v>
      </c>
      <c r="E688" s="2" t="str">
        <f>OBRA!M686</f>
        <v>CUENTA CORRIENTE</v>
      </c>
      <c r="F688" s="18" t="s">
        <v>1428</v>
      </c>
      <c r="G688" s="156" t="s">
        <v>2861</v>
      </c>
      <c r="H688" s="12" t="str">
        <f>OBRA!N686</f>
        <v>C.P.S.P. DOP 026/2023</v>
      </c>
      <c r="I688" s="2" t="str">
        <f>OBRA!O686</f>
        <v>SERVICIOS</v>
      </c>
      <c r="J688"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t="s">
        <v>6411</v>
      </c>
      <c r="M688" s="3" t="s">
        <v>6740</v>
      </c>
      <c r="N688" s="3" t="str">
        <f>OBRA!Q686</f>
        <v>CABECERA MUNICIPAL</v>
      </c>
      <c r="O688" s="504" t="s">
        <v>6748</v>
      </c>
      <c r="P688" s="79">
        <f>OBRA!R686</f>
        <v>34800</v>
      </c>
      <c r="Q688" s="1023">
        <f t="shared" si="52"/>
        <v>30000.000000000004</v>
      </c>
      <c r="R688" s="79" t="s">
        <v>68</v>
      </c>
      <c r="S688" s="67">
        <f>OBRA!S686</f>
        <v>45140</v>
      </c>
      <c r="T688" s="1134" t="str">
        <f>OBRA!V686</f>
        <v>-</v>
      </c>
      <c r="U688" s="5">
        <f>OBRA!T686</f>
        <v>45144</v>
      </c>
      <c r="V688" s="11">
        <f>OBRA!U686</f>
        <v>45146</v>
      </c>
      <c r="W688" s="1901">
        <v>0</v>
      </c>
      <c r="X688" s="1019">
        <f>OBRA!AS686+OBRA!AT686</f>
        <v>0</v>
      </c>
      <c r="Y688" s="1018" t="s">
        <v>6769</v>
      </c>
      <c r="Z688" s="146" t="str">
        <f>OBRA!W686</f>
        <v>ING. LUIS JOEL HUERTA LOMA</v>
      </c>
      <c r="AA688" s="146" t="s">
        <v>5665</v>
      </c>
      <c r="AB688" s="1769" t="str">
        <f t="shared" si="55"/>
        <v>ING. LUIS JOEL HUERTA LOMA</v>
      </c>
      <c r="AC688" s="1770" t="s">
        <v>5612</v>
      </c>
      <c r="AD688" s="1769" t="s">
        <v>5613</v>
      </c>
      <c r="AE688" s="1771" t="str">
        <f>OBRA!X686</f>
        <v>ARQ. FRANCISCO SALAZAR</v>
      </c>
      <c r="AF688" s="19">
        <v>1</v>
      </c>
      <c r="AG688" s="2" t="s">
        <v>6411</v>
      </c>
      <c r="AH688" s="183">
        <f t="shared" si="54"/>
        <v>34800</v>
      </c>
      <c r="AI688" s="2"/>
      <c r="AJ688" s="2"/>
      <c r="AK688" s="2"/>
      <c r="AL688" s="1513"/>
      <c r="AM688" s="1514"/>
      <c r="AN688" s="571"/>
      <c r="AO688" s="571"/>
      <c r="AP688" s="571"/>
      <c r="AQ688" s="513"/>
      <c r="AR688" s="513"/>
      <c r="AS688" s="18"/>
    </row>
    <row r="689" spans="1:45" ht="106.5" customHeight="1">
      <c r="A689" s="16">
        <f>OBRA!J687</f>
        <v>2023</v>
      </c>
      <c r="B689" s="783" t="s">
        <v>3944</v>
      </c>
      <c r="C689" s="783">
        <f>OBRA!K687</f>
        <v>232027</v>
      </c>
      <c r="D689" s="783" t="s">
        <v>2310</v>
      </c>
      <c r="E689" s="2" t="str">
        <f>OBRA!M687</f>
        <v>CUENTA CORRIENTE</v>
      </c>
      <c r="F689" s="18" t="s">
        <v>1428</v>
      </c>
      <c r="G689" s="156" t="s">
        <v>2861</v>
      </c>
      <c r="H689" s="412" t="str">
        <f>OBRA!N687</f>
        <v>C.P.S.P. DOP 027/2023</v>
      </c>
      <c r="I689" s="2" t="str">
        <f>OBRA!O687</f>
        <v>SERVICIOS</v>
      </c>
      <c r="J689" s="3" t="str">
        <f>OBRA!P687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t="s">
        <v>6412</v>
      </c>
      <c r="M689" s="3" t="s">
        <v>2717</v>
      </c>
      <c r="N689" s="3" t="str">
        <f>OBRA!Q687</f>
        <v>SAN JUAN COSALÁ</v>
      </c>
      <c r="O689" s="504" t="s">
        <v>6748</v>
      </c>
      <c r="P689" s="79">
        <f>OBRA!R687</f>
        <v>3500</v>
      </c>
      <c r="Q689" s="1023">
        <f t="shared" si="52"/>
        <v>3017.2413793103451</v>
      </c>
      <c r="R689" s="79" t="s">
        <v>68</v>
      </c>
      <c r="S689" s="67">
        <f>OBRA!S687</f>
        <v>45140</v>
      </c>
      <c r="T689" s="1134" t="str">
        <f>OBRA!V687</f>
        <v>-</v>
      </c>
      <c r="U689" s="5">
        <f>OBRA!T687</f>
        <v>45142</v>
      </c>
      <c r="V689" s="11">
        <f>OBRA!U687</f>
        <v>45142</v>
      </c>
      <c r="W689" s="1901">
        <v>0</v>
      </c>
      <c r="X689" s="1019">
        <f>OBRA!AS687+OBRA!AT687</f>
        <v>0</v>
      </c>
      <c r="Y689" s="1018" t="s">
        <v>6769</v>
      </c>
      <c r="Z689" s="146" t="str">
        <f>OBRA!W687</f>
        <v>PEDRO MACHUCA SAAVEDRA</v>
      </c>
      <c r="AA689" s="146" t="s">
        <v>5665</v>
      </c>
      <c r="AB689" s="1769" t="str">
        <f t="shared" si="55"/>
        <v>PEDRO MACHUCA SAAVEDRA</v>
      </c>
      <c r="AC689" s="1770" t="s">
        <v>1177</v>
      </c>
      <c r="AD689" s="1769" t="s">
        <v>1177</v>
      </c>
      <c r="AE689" s="1771" t="str">
        <f>OBRA!X687</f>
        <v>ARQ. FRANCISCO SALAZAR</v>
      </c>
      <c r="AF689" s="19">
        <v>1</v>
      </c>
      <c r="AG689" s="2" t="s">
        <v>6758</v>
      </c>
      <c r="AH689" s="183">
        <f t="shared" si="54"/>
        <v>3500</v>
      </c>
      <c r="AI689" s="2"/>
      <c r="AJ689" s="513"/>
      <c r="AK689" s="1888">
        <v>1</v>
      </c>
      <c r="AL689" s="1513"/>
      <c r="AM689" s="1514"/>
      <c r="AN689" s="571"/>
      <c r="AO689" s="571"/>
      <c r="AP689" s="571"/>
      <c r="AQ689" s="513"/>
      <c r="AR689" s="513"/>
      <c r="AS689" s="18"/>
    </row>
    <row r="690" spans="1:45" ht="128.25" customHeight="1">
      <c r="A690" s="16">
        <f>OBRA!J688</f>
        <v>2023</v>
      </c>
      <c r="B690" s="783" t="s">
        <v>3944</v>
      </c>
      <c r="C690" s="783">
        <f>OBRA!K688</f>
        <v>232028</v>
      </c>
      <c r="D690" s="783" t="s">
        <v>2310</v>
      </c>
      <c r="E690" s="2" t="str">
        <f>OBRA!M688</f>
        <v>CUENTA CORRIENTE</v>
      </c>
      <c r="F690" s="18" t="s">
        <v>1428</v>
      </c>
      <c r="G690" s="156" t="s">
        <v>2861</v>
      </c>
      <c r="H690" s="412" t="str">
        <f>OBRA!N688</f>
        <v>C.P.S.P. DOP 028/2023</v>
      </c>
      <c r="I690" s="2" t="str">
        <f>OBRA!O688</f>
        <v>SERVICIOS</v>
      </c>
      <c r="J690"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t="s">
        <v>6412</v>
      </c>
      <c r="M690" s="3" t="s">
        <v>6741</v>
      </c>
      <c r="N690" s="3" t="str">
        <f>OBRA!Q688</f>
        <v>SAN JUAN COSALÁ</v>
      </c>
      <c r="O690" s="504" t="s">
        <v>6748</v>
      </c>
      <c r="P690" s="79">
        <f>OBRA!R688</f>
        <v>3500</v>
      </c>
      <c r="Q690" s="1023">
        <f t="shared" si="52"/>
        <v>3017.2413793103451</v>
      </c>
      <c r="R690" s="79" t="s">
        <v>68</v>
      </c>
      <c r="S690" s="67">
        <f>OBRA!S688</f>
        <v>45140</v>
      </c>
      <c r="T690" s="1134" t="str">
        <f>OBRA!V688</f>
        <v>-</v>
      </c>
      <c r="U690" s="5">
        <f>OBRA!T688</f>
        <v>45143</v>
      </c>
      <c r="V690" s="11">
        <f>OBRA!U688</f>
        <v>45143</v>
      </c>
      <c r="W690" s="1901">
        <v>0</v>
      </c>
      <c r="X690" s="1019">
        <f>OBRA!AS688+OBRA!AT688</f>
        <v>0</v>
      </c>
      <c r="Y690" s="1018" t="s">
        <v>6769</v>
      </c>
      <c r="Z690" s="146" t="str">
        <f>OBRA!W688</f>
        <v>PEDRO MACHUCA SAAVEDRA</v>
      </c>
      <c r="AA690" s="146" t="s">
        <v>5665</v>
      </c>
      <c r="AB690" s="1769" t="str">
        <f t="shared" si="55"/>
        <v>PEDRO MACHUCA SAAVEDRA</v>
      </c>
      <c r="AC690" s="1770" t="s">
        <v>1177</v>
      </c>
      <c r="AD690" s="1769" t="s">
        <v>1177</v>
      </c>
      <c r="AE690" s="1771" t="str">
        <f>OBRA!X688</f>
        <v>ARQ. FRANCISCO SALAZAR</v>
      </c>
      <c r="AF690" s="19">
        <v>1</v>
      </c>
      <c r="AG690" s="2" t="s">
        <v>1573</v>
      </c>
      <c r="AH690" s="183">
        <f t="shared" si="54"/>
        <v>3500</v>
      </c>
      <c r="AI690" s="2"/>
      <c r="AJ690" s="513"/>
      <c r="AK690" s="1888">
        <v>1</v>
      </c>
      <c r="AL690" s="1513"/>
      <c r="AM690" s="1514"/>
      <c r="AN690" s="571"/>
      <c r="AO690" s="571"/>
      <c r="AP690" s="571"/>
      <c r="AQ690" s="513"/>
      <c r="AR690" s="513"/>
      <c r="AS690" s="18"/>
    </row>
    <row r="691" spans="1:45" ht="103.5" customHeight="1">
      <c r="A691" s="16">
        <f>OBRA!J689</f>
        <v>2023</v>
      </c>
      <c r="B691" s="783" t="s">
        <v>3944</v>
      </c>
      <c r="C691" s="783">
        <f>OBRA!K689</f>
        <v>232029</v>
      </c>
      <c r="D691" s="783" t="s">
        <v>2310</v>
      </c>
      <c r="E691" s="2" t="str">
        <f>OBRA!M689</f>
        <v>CUENTA CORRIENTE</v>
      </c>
      <c r="F691" s="18" t="s">
        <v>1428</v>
      </c>
      <c r="G691" s="156" t="s">
        <v>2861</v>
      </c>
      <c r="H691" s="412" t="str">
        <f>OBRA!N689</f>
        <v>C.P.S.P. DOP 029/2023</v>
      </c>
      <c r="I691" s="2" t="str">
        <f>OBRA!O689</f>
        <v>SERVICIOS</v>
      </c>
      <c r="J691"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t="s">
        <v>6412</v>
      </c>
      <c r="M691" s="3" t="s">
        <v>2554</v>
      </c>
      <c r="N691" s="3" t="str">
        <f>OBRA!Q689</f>
        <v>CABECERA MUNICIPAL</v>
      </c>
      <c r="O691" s="504" t="s">
        <v>6748</v>
      </c>
      <c r="P691" s="79">
        <f>OBRA!R689</f>
        <v>3500</v>
      </c>
      <c r="Q691" s="1023">
        <f t="shared" si="52"/>
        <v>3017.2413793103451</v>
      </c>
      <c r="R691" s="79" t="s">
        <v>68</v>
      </c>
      <c r="S691" s="67">
        <f>OBRA!S689</f>
        <v>45140</v>
      </c>
      <c r="T691" s="1134" t="str">
        <f>OBRA!V689</f>
        <v>-</v>
      </c>
      <c r="U691" s="5">
        <f>OBRA!T689</f>
        <v>45145</v>
      </c>
      <c r="V691" s="11">
        <f>OBRA!U689</f>
        <v>45145</v>
      </c>
      <c r="W691" s="1901">
        <v>0</v>
      </c>
      <c r="X691" s="1019">
        <f>OBRA!AS689+OBRA!AT689</f>
        <v>0</v>
      </c>
      <c r="Y691" s="1018" t="s">
        <v>6769</v>
      </c>
      <c r="Z691" s="146" t="str">
        <f>OBRA!W689</f>
        <v>PEDRO MACHUCA SAAVEDRA</v>
      </c>
      <c r="AA691" s="146" t="s">
        <v>5665</v>
      </c>
      <c r="AB691" s="1769" t="str">
        <f t="shared" si="55"/>
        <v>PEDRO MACHUCA SAAVEDRA</v>
      </c>
      <c r="AC691" s="1770" t="s">
        <v>1177</v>
      </c>
      <c r="AD691" s="1769" t="s">
        <v>1177</v>
      </c>
      <c r="AE691" s="1771" t="str">
        <f>OBRA!X689</f>
        <v>ARQ. FRANCISCO SALAZAR</v>
      </c>
      <c r="AF691" s="19">
        <v>1</v>
      </c>
      <c r="AG691" s="2" t="s">
        <v>1573</v>
      </c>
      <c r="AH691" s="183">
        <f t="shared" si="54"/>
        <v>3500</v>
      </c>
      <c r="AI691" s="2"/>
      <c r="AJ691" s="513"/>
      <c r="AK691" s="1888">
        <v>1</v>
      </c>
      <c r="AL691" s="1513"/>
      <c r="AM691" s="1514"/>
      <c r="AN691" s="571"/>
      <c r="AO691" s="571"/>
      <c r="AP691" s="571"/>
      <c r="AQ691" s="513"/>
      <c r="AR691" s="513"/>
      <c r="AS691" s="18"/>
    </row>
    <row r="692" spans="1:45" ht="125.25" customHeight="1">
      <c r="A692" s="16">
        <f>OBRA!J690</f>
        <v>2023</v>
      </c>
      <c r="B692" s="783" t="s">
        <v>3944</v>
      </c>
      <c r="C692" s="783">
        <f>OBRA!K690</f>
        <v>232030</v>
      </c>
      <c r="D692" s="783" t="s">
        <v>2310</v>
      </c>
      <c r="E692" s="2" t="str">
        <f>OBRA!M690</f>
        <v>CUENTA CORRIENTE</v>
      </c>
      <c r="F692" s="18" t="s">
        <v>1428</v>
      </c>
      <c r="G692" s="156" t="s">
        <v>2861</v>
      </c>
      <c r="H692" s="12" t="str">
        <f>OBRA!N690</f>
        <v>C.P.S.P. DOP 030/2023</v>
      </c>
      <c r="I692" s="2" t="str">
        <f>OBRA!O690</f>
        <v>SERVICIOS</v>
      </c>
      <c r="J692" s="3" t="str">
        <f>OBRA!P690</f>
        <v>CONTRATACIÓN DE SERVICIOS PROFESIONALES PARA: TRABAJOS DIVERSOS EN CICLOVÍA DEL CADENAMIENTO 20.290976-103.410383 AL CADENAMIENTO 20.289391-103.349097 CON LA MANO DE OBRA CALIFICADA  EN EL TRAMO DE SAN JUAN COSALÁ, MUNICIPIO DE JOCOTEPEC, JALISCO.</v>
      </c>
      <c r="K692" s="3"/>
      <c r="L692" s="3" t="s">
        <v>6415</v>
      </c>
      <c r="M692" s="3" t="s">
        <v>6742</v>
      </c>
      <c r="N692" s="3" t="str">
        <f>OBRA!Q690</f>
        <v>SAN JUAN COSALÁ</v>
      </c>
      <c r="O692" s="504" t="s">
        <v>6748</v>
      </c>
      <c r="P692" s="79">
        <f>OBRA!R690</f>
        <v>50489.60319999999</v>
      </c>
      <c r="Q692" s="1023">
        <f t="shared" ref="Q692:Q723" si="56">P692/1.16</f>
        <v>43525.52</v>
      </c>
      <c r="R692" s="79" t="s">
        <v>68</v>
      </c>
      <c r="S692" s="67">
        <f>OBRA!S690</f>
        <v>45168</v>
      </c>
      <c r="T692" s="1134" t="str">
        <f>OBRA!V690</f>
        <v>-</v>
      </c>
      <c r="U692" s="5">
        <f>OBRA!T690</f>
        <v>45175</v>
      </c>
      <c r="V692" s="11">
        <f>OBRA!U690</f>
        <v>45184</v>
      </c>
      <c r="W692" s="1901">
        <v>0</v>
      </c>
      <c r="X692" s="1019">
        <f>OBRA!AS690+OBRA!AT690</f>
        <v>0</v>
      </c>
      <c r="Y692" s="1018" t="s">
        <v>6769</v>
      </c>
      <c r="Z692" s="146" t="str">
        <f>OBRA!W690</f>
        <v>SOLEC ENERGY, S.A. DE C.V.</v>
      </c>
      <c r="AA692" s="146" t="s">
        <v>5666</v>
      </c>
      <c r="AB692" s="1769" t="s">
        <v>4548</v>
      </c>
      <c r="AC692" s="1770" t="s">
        <v>4549</v>
      </c>
      <c r="AD692" s="1769" t="s">
        <v>4550</v>
      </c>
      <c r="AE692" s="1771" t="str">
        <f>OBRA!X690</f>
        <v>ARQ. FRANCISCO SALAZAR</v>
      </c>
      <c r="AF692" s="19">
        <v>1</v>
      </c>
      <c r="AG692" s="2" t="s">
        <v>1573</v>
      </c>
      <c r="AH692" s="183">
        <f t="shared" si="54"/>
        <v>50489.60319999999</v>
      </c>
      <c r="AI692" s="2"/>
      <c r="AJ692" s="513"/>
      <c r="AK692" s="1888">
        <v>1</v>
      </c>
      <c r="AL692" s="1513"/>
      <c r="AM692" s="1514"/>
      <c r="AN692" s="571"/>
      <c r="AO692" s="571"/>
      <c r="AP692" s="571"/>
      <c r="AQ692" s="513"/>
      <c r="AR692" s="513"/>
      <c r="AS692" s="18"/>
    </row>
    <row r="693" spans="1:45" ht="108" customHeight="1">
      <c r="A693" s="16">
        <f>OBRA!J691</f>
        <v>2023</v>
      </c>
      <c r="B693" s="783" t="s">
        <v>3944</v>
      </c>
      <c r="C693" s="783">
        <f>OBRA!K691</f>
        <v>232031</v>
      </c>
      <c r="D693" s="783" t="s">
        <v>2310</v>
      </c>
      <c r="E693" s="2" t="str">
        <f>OBRA!M691</f>
        <v>CUENTA CORRIENTE</v>
      </c>
      <c r="F693" s="18" t="s">
        <v>1428</v>
      </c>
      <c r="G693" s="156" t="s">
        <v>2861</v>
      </c>
      <c r="H693" s="12" t="str">
        <f>OBRA!N691</f>
        <v>C.P.S.P. DOP 031/2023</v>
      </c>
      <c r="I693" s="2" t="str">
        <f>OBRA!O691</f>
        <v>SERVICIOS</v>
      </c>
      <c r="J693" s="3" t="str">
        <f>OBRA!P691</f>
        <v>CONTRATACIÓN DE SERVICIOS PROFESIONALES PARA: TRABAJOS DIVERSOS EN CICLOVÍA DEL CADENAMIENTO 20.29097-103.41065 AL CADENAMIENTO 20.289768-103.313651 CON LA MANO DE OBRA CALIFICADA  EN EL TRAMO DE SAN JUAN COSALÁ-NEXTIPAC, MUNICIPIO DE JOCOTEPEC, JALISCO.</v>
      </c>
      <c r="K693" s="3"/>
      <c r="L693" s="3" t="s">
        <v>6415</v>
      </c>
      <c r="M693" s="3" t="s">
        <v>6742</v>
      </c>
      <c r="N693" s="3" t="str">
        <f>OBRA!Q691</f>
        <v>SAN JUAN COSALÁ</v>
      </c>
      <c r="O693" s="504" t="s">
        <v>6533</v>
      </c>
      <c r="P693" s="79">
        <f>OBRA!R691</f>
        <v>142089.26999999999</v>
      </c>
      <c r="Q693" s="1023">
        <f t="shared" si="56"/>
        <v>122490.75</v>
      </c>
      <c r="R693" s="79" t="s">
        <v>68</v>
      </c>
      <c r="S693" s="67">
        <f>OBRA!S691</f>
        <v>45168</v>
      </c>
      <c r="T693" s="1134" t="str">
        <f>OBRA!V691</f>
        <v>-</v>
      </c>
      <c r="U693" s="5">
        <f>OBRA!T691</f>
        <v>45180</v>
      </c>
      <c r="V693" s="11">
        <f>OBRA!U691</f>
        <v>45197</v>
      </c>
      <c r="W693" s="1901">
        <v>0</v>
      </c>
      <c r="X693" s="1019">
        <f>OBRA!AS691+OBRA!AT691</f>
        <v>0</v>
      </c>
      <c r="Y693" s="1018" t="s">
        <v>6769</v>
      </c>
      <c r="Z693" s="146" t="str">
        <f>OBRA!W691</f>
        <v>SOLEC ENERGY, S.A. DE C.V.</v>
      </c>
      <c r="AA693" s="146" t="s">
        <v>5666</v>
      </c>
      <c r="AB693" s="1769" t="s">
        <v>4548</v>
      </c>
      <c r="AC693" s="1770" t="s">
        <v>4549</v>
      </c>
      <c r="AD693" s="1769" t="s">
        <v>4550</v>
      </c>
      <c r="AE693" s="1771" t="str">
        <f>OBRA!X691</f>
        <v>ARQ. FRANCISCO SALAZAR</v>
      </c>
      <c r="AF693" s="19">
        <v>1</v>
      </c>
      <c r="AG693" s="2" t="s">
        <v>1573</v>
      </c>
      <c r="AH693" s="183">
        <f t="shared" si="54"/>
        <v>142089.26999999999</v>
      </c>
      <c r="AI693" s="2"/>
      <c r="AJ693" s="513"/>
      <c r="AK693" s="1888">
        <v>1</v>
      </c>
      <c r="AL693" s="1513"/>
      <c r="AM693" s="1514"/>
      <c r="AN693" s="571"/>
      <c r="AO693" s="571"/>
      <c r="AP693" s="571"/>
      <c r="AQ693" s="513"/>
      <c r="AR693" s="513"/>
      <c r="AS693" s="18"/>
    </row>
    <row r="694" spans="1:45" ht="109.5" customHeight="1">
      <c r="A694" s="16">
        <f>OBRA!J692</f>
        <v>2023</v>
      </c>
      <c r="B694" s="783" t="s">
        <v>3944</v>
      </c>
      <c r="C694" s="783">
        <f>OBRA!K692</f>
        <v>232032</v>
      </c>
      <c r="D694" s="783" t="s">
        <v>2310</v>
      </c>
      <c r="E694" s="2" t="str">
        <f>OBRA!M692</f>
        <v>CUENTA CORRIENTE</v>
      </c>
      <c r="F694" s="18" t="s">
        <v>1428</v>
      </c>
      <c r="G694" s="156" t="s">
        <v>2861</v>
      </c>
      <c r="H694" s="12" t="str">
        <f>OBRA!N692</f>
        <v>C.P.S.P. DOP 032/2023</v>
      </c>
      <c r="I694" s="2" t="str">
        <f>OBRA!O692</f>
        <v>SERVICIOS</v>
      </c>
      <c r="J694"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t="s">
        <v>6411</v>
      </c>
      <c r="M694" s="3" t="s">
        <v>6743</v>
      </c>
      <c r="N694" s="3" t="str">
        <f>OBRA!Q692</f>
        <v>NEXTIPAC</v>
      </c>
      <c r="O694" s="504" t="s">
        <v>6533</v>
      </c>
      <c r="P694" s="79">
        <f>OBRA!R692</f>
        <v>9860</v>
      </c>
      <c r="Q694" s="1023">
        <f t="shared" si="56"/>
        <v>8500</v>
      </c>
      <c r="R694" s="79" t="s">
        <v>68</v>
      </c>
      <c r="S694" s="67">
        <f>OBRA!S692</f>
        <v>45173</v>
      </c>
      <c r="T694" s="1134" t="str">
        <f>OBRA!V692</f>
        <v>-</v>
      </c>
      <c r="U694" s="5">
        <f>OBRA!T692</f>
        <v>45175</v>
      </c>
      <c r="V694" s="11">
        <f>OBRA!U692</f>
        <v>45177</v>
      </c>
      <c r="W694" s="1901">
        <v>0</v>
      </c>
      <c r="X694" s="1019">
        <f>OBRA!AS692+OBRA!AT692</f>
        <v>0</v>
      </c>
      <c r="Y694" s="1018" t="s">
        <v>6769</v>
      </c>
      <c r="Z694" s="146" t="str">
        <f>OBRA!W692</f>
        <v>LUIS JOEL HUERTA LOMA</v>
      </c>
      <c r="AA694" s="146" t="s">
        <v>5665</v>
      </c>
      <c r="AB694" s="1769" t="str">
        <f>Z694</f>
        <v>LUIS JOEL HUERTA LOMA</v>
      </c>
      <c r="AC694" s="1770" t="s">
        <v>5612</v>
      </c>
      <c r="AD694" s="1769" t="s">
        <v>5613</v>
      </c>
      <c r="AE694" s="1771" t="str">
        <f>OBRA!X692</f>
        <v>ARQ. FRANCISCO SALAZAR</v>
      </c>
      <c r="AF694" s="19">
        <v>1</v>
      </c>
      <c r="AG694" s="2" t="s">
        <v>1573</v>
      </c>
      <c r="AH694" s="183">
        <f t="shared" si="54"/>
        <v>9860</v>
      </c>
      <c r="AI694" s="2"/>
      <c r="AJ694" s="513"/>
      <c r="AK694" s="1888">
        <v>1</v>
      </c>
      <c r="AL694" s="1513"/>
      <c r="AM694" s="1514"/>
      <c r="AN694" s="571"/>
      <c r="AO694" s="571"/>
      <c r="AP694" s="571"/>
      <c r="AQ694" s="513"/>
      <c r="AR694" s="513"/>
      <c r="AS694" s="18"/>
    </row>
    <row r="695" spans="1:45" ht="204" customHeight="1">
      <c r="A695" s="16">
        <f>OBRA!J693</f>
        <v>2023</v>
      </c>
      <c r="B695" s="783" t="s">
        <v>3944</v>
      </c>
      <c r="C695" s="783">
        <f>OBRA!K693</f>
        <v>232033</v>
      </c>
      <c r="D695" s="783" t="s">
        <v>2310</v>
      </c>
      <c r="E695" s="2" t="str">
        <f>OBRA!M693</f>
        <v>CUENTA CORRIENTE</v>
      </c>
      <c r="F695" s="18" t="s">
        <v>1428</v>
      </c>
      <c r="G695" s="156" t="s">
        <v>2861</v>
      </c>
      <c r="H695" s="12" t="str">
        <f>OBRA!N693</f>
        <v>C.P.S.P. DOP 033/2023</v>
      </c>
      <c r="I695" s="2" t="str">
        <f>OBRA!O693</f>
        <v>SERVICIOS</v>
      </c>
      <c r="J695" s="132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t="s">
        <v>6415</v>
      </c>
      <c r="M695" s="3"/>
      <c r="N695" s="3" t="str">
        <f>OBRA!Q693</f>
        <v>EL MOLINO</v>
      </c>
      <c r="O695" s="504" t="s">
        <v>6533</v>
      </c>
      <c r="P695" s="79">
        <f>OBRA!R693</f>
        <v>34800</v>
      </c>
      <c r="Q695" s="1023">
        <f t="shared" si="56"/>
        <v>30000.000000000004</v>
      </c>
      <c r="R695" s="79" t="s">
        <v>68</v>
      </c>
      <c r="S695" s="67">
        <f>OBRA!S693</f>
        <v>45190</v>
      </c>
      <c r="T695" s="1134" t="str">
        <f>OBRA!V693</f>
        <v>-</v>
      </c>
      <c r="U695" s="5">
        <f>OBRA!T693</f>
        <v>45194</v>
      </c>
      <c r="V695" s="11">
        <f>OBRA!U693</f>
        <v>45195</v>
      </c>
      <c r="W695" s="1901">
        <v>0</v>
      </c>
      <c r="X695" s="1019">
        <f>OBRA!AS693+OBRA!AT693</f>
        <v>0</v>
      </c>
      <c r="Y695" s="1018" t="s">
        <v>6769</v>
      </c>
      <c r="Z695" s="146" t="str">
        <f>OBRA!W693</f>
        <v>ECCOC DE GUADALAJARA, S.A. DE C.V.</v>
      </c>
      <c r="AA695" s="146" t="s">
        <v>5666</v>
      </c>
      <c r="AB695" s="1769" t="s">
        <v>4500</v>
      </c>
      <c r="AC695" s="1770" t="s">
        <v>4430</v>
      </c>
      <c r="AD695" s="1769" t="s">
        <v>6763</v>
      </c>
      <c r="AE695" s="1771" t="str">
        <f>OBRA!X693</f>
        <v>ARQ. FRANCISCO SALAZAR</v>
      </c>
      <c r="AF695" s="19">
        <v>3</v>
      </c>
      <c r="AG695" s="2" t="s">
        <v>1573</v>
      </c>
      <c r="AH695" s="183">
        <f t="shared" si="54"/>
        <v>11600</v>
      </c>
      <c r="AI695" s="2"/>
      <c r="AJ695" s="2"/>
      <c r="AK695" s="2"/>
      <c r="AL695" s="1513"/>
      <c r="AM695" s="1514"/>
      <c r="AN695" s="571"/>
      <c r="AO695" s="571"/>
      <c r="AP695" s="571"/>
      <c r="AQ695" s="513"/>
      <c r="AR695" s="513"/>
      <c r="AS695" s="18"/>
    </row>
    <row r="696" spans="1:45" ht="136.5" customHeight="1">
      <c r="A696" s="16">
        <f>OBRA!J694</f>
        <v>2023</v>
      </c>
      <c r="B696" s="783" t="s">
        <v>3944</v>
      </c>
      <c r="C696" s="783">
        <f>OBRA!K694</f>
        <v>232034</v>
      </c>
      <c r="D696" s="783" t="s">
        <v>2310</v>
      </c>
      <c r="E696" s="2" t="str">
        <f>OBRA!M694</f>
        <v>CUENTA CORRIENTE</v>
      </c>
      <c r="F696" s="18" t="s">
        <v>1428</v>
      </c>
      <c r="G696" s="156" t="s">
        <v>2861</v>
      </c>
      <c r="H696" s="12" t="str">
        <f>OBRA!N694</f>
        <v>C.P.S.P. DOP 034/2023</v>
      </c>
      <c r="I696" s="2" t="str">
        <f>OBRA!O694</f>
        <v>SERVICIOS</v>
      </c>
      <c r="J696"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t="s">
        <v>6411</v>
      </c>
      <c r="M696" s="3" t="s">
        <v>6744</v>
      </c>
      <c r="N696" s="3" t="str">
        <f>OBRA!Q694</f>
        <v>CABECERA MUNICIPAL</v>
      </c>
      <c r="O696" s="504" t="s">
        <v>6533</v>
      </c>
      <c r="P696" s="79">
        <f>OBRA!R694</f>
        <v>54287.999999999993</v>
      </c>
      <c r="Q696" s="1023">
        <f t="shared" si="56"/>
        <v>46800</v>
      </c>
      <c r="R696" s="79" t="s">
        <v>68</v>
      </c>
      <c r="S696" s="67">
        <f>OBRA!S694</f>
        <v>45209</v>
      </c>
      <c r="T696" s="1134" t="str">
        <f>OBRA!V694</f>
        <v>-</v>
      </c>
      <c r="U696" s="5">
        <f>OBRA!T694</f>
        <v>45210</v>
      </c>
      <c r="V696" s="11">
        <f>OBRA!U694</f>
        <v>45243</v>
      </c>
      <c r="W696" s="1901">
        <v>0</v>
      </c>
      <c r="X696" s="1019">
        <f>OBRA!AS694+OBRA!AT694</f>
        <v>0</v>
      </c>
      <c r="Y696" s="1018" t="s">
        <v>6769</v>
      </c>
      <c r="Z696" s="146" t="str">
        <f>OBRA!W694</f>
        <v>LUIS JOEL HUERTA LOMA</v>
      </c>
      <c r="AA696" s="146" t="s">
        <v>5665</v>
      </c>
      <c r="AB696" s="1769" t="str">
        <f>Z696</f>
        <v>LUIS JOEL HUERTA LOMA</v>
      </c>
      <c r="AC696" s="1770" t="s">
        <v>5612</v>
      </c>
      <c r="AD696" s="1769" t="s">
        <v>5613</v>
      </c>
      <c r="AE696" s="1771" t="str">
        <f>OBRA!X694</f>
        <v>ARQ. FRANCISCO SALAZAR</v>
      </c>
      <c r="AF696" s="19">
        <v>1</v>
      </c>
      <c r="AG696" s="2" t="s">
        <v>6411</v>
      </c>
      <c r="AH696" s="183">
        <f t="shared" si="54"/>
        <v>54287.999999999993</v>
      </c>
      <c r="AI696" s="2"/>
      <c r="AJ696" s="2"/>
      <c r="AK696" s="2"/>
      <c r="AL696" s="1513"/>
      <c r="AM696" s="1514"/>
      <c r="AN696" s="571"/>
      <c r="AO696" s="571"/>
      <c r="AP696" s="571"/>
      <c r="AQ696" s="513"/>
      <c r="AR696" s="513"/>
      <c r="AS696" s="18"/>
    </row>
    <row r="697" spans="1:45" ht="118.5" customHeight="1">
      <c r="A697" s="16">
        <f>OBRA!J695</f>
        <v>2023</v>
      </c>
      <c r="B697" s="783" t="s">
        <v>3944</v>
      </c>
      <c r="C697" s="783">
        <f>OBRA!K695</f>
        <v>232035</v>
      </c>
      <c r="D697" s="783" t="s">
        <v>2310</v>
      </c>
      <c r="E697" s="2" t="str">
        <f>OBRA!M695</f>
        <v>CUENTA CORRIENTE</v>
      </c>
      <c r="F697" s="18" t="s">
        <v>1428</v>
      </c>
      <c r="G697" s="156" t="s">
        <v>2861</v>
      </c>
      <c r="H697" s="12" t="str">
        <f>OBRA!N695</f>
        <v>C.P.S.P. DOP 035/2023</v>
      </c>
      <c r="I697" s="2" t="str">
        <f>OBRA!O695</f>
        <v>SERVICIOS</v>
      </c>
      <c r="J697"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t="s">
        <v>6415</v>
      </c>
      <c r="M697" s="3"/>
      <c r="N697" s="3" t="str">
        <f>OBRA!Q695</f>
        <v>CHANTEPEC</v>
      </c>
      <c r="O697" s="504" t="s">
        <v>6533</v>
      </c>
      <c r="P697" s="79">
        <f>OBRA!R695</f>
        <v>30376.572</v>
      </c>
      <c r="Q697" s="1023">
        <f t="shared" si="56"/>
        <v>26186.7</v>
      </c>
      <c r="R697" s="79" t="s">
        <v>68</v>
      </c>
      <c r="S697" s="67">
        <f>OBRA!S695</f>
        <v>45233</v>
      </c>
      <c r="T697" s="1134" t="str">
        <f>OBRA!V695</f>
        <v>-</v>
      </c>
      <c r="U697" s="5">
        <f>OBRA!T695</f>
        <v>45237</v>
      </c>
      <c r="V697" s="11">
        <f>OBRA!U695</f>
        <v>45239</v>
      </c>
      <c r="W697" s="1901">
        <v>0</v>
      </c>
      <c r="X697" s="1019">
        <f>OBRA!AS695+OBRA!AT695</f>
        <v>0</v>
      </c>
      <c r="Y697" s="1018" t="s">
        <v>6769</v>
      </c>
      <c r="Z697" s="146" t="str">
        <f>OBRA!W695</f>
        <v>SOLEC ENERGY, S.A. DE C.V.</v>
      </c>
      <c r="AA697" s="146" t="s">
        <v>5666</v>
      </c>
      <c r="AB697" s="1769" t="s">
        <v>4548</v>
      </c>
      <c r="AC697" s="1770" t="s">
        <v>4549</v>
      </c>
      <c r="AD697" s="1769" t="s">
        <v>4550</v>
      </c>
      <c r="AE697" s="1771" t="str">
        <f>OBRA!X695</f>
        <v>ARQ. FRANCISCO SALAZAR</v>
      </c>
      <c r="AF697" s="19">
        <v>1</v>
      </c>
      <c r="AG697" s="2" t="s">
        <v>1573</v>
      </c>
      <c r="AH697" s="183">
        <f t="shared" si="54"/>
        <v>30376.572</v>
      </c>
      <c r="AI697" s="2"/>
      <c r="AJ697" s="2"/>
      <c r="AK697" s="1888">
        <v>1</v>
      </c>
      <c r="AL697" s="1513"/>
      <c r="AM697" s="1514"/>
      <c r="AN697" s="571"/>
      <c r="AO697" s="571"/>
      <c r="AP697" s="571"/>
      <c r="AQ697" s="513"/>
      <c r="AR697" s="513"/>
      <c r="AS697" s="18"/>
    </row>
    <row r="698" spans="1:45" ht="254.25" customHeight="1">
      <c r="A698" s="16">
        <f>OBRA!J696</f>
        <v>2023</v>
      </c>
      <c r="B698" s="783" t="s">
        <v>3944</v>
      </c>
      <c r="C698" s="783">
        <f>OBRA!K696</f>
        <v>232036</v>
      </c>
      <c r="D698" s="783" t="s">
        <v>2310</v>
      </c>
      <c r="E698" s="2" t="str">
        <f>OBRA!M696</f>
        <v>CUENTA CORRIENTE</v>
      </c>
      <c r="F698" s="18" t="s">
        <v>1428</v>
      </c>
      <c r="G698" s="156" t="s">
        <v>2861</v>
      </c>
      <c r="H698" s="12" t="str">
        <f>OBRA!N696</f>
        <v>C.P.S.P. DOP 036/2023</v>
      </c>
      <c r="I698" s="2" t="str">
        <f>OBRA!O696</f>
        <v>SERVICIOS</v>
      </c>
      <c r="J698"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t="s">
        <v>6411</v>
      </c>
      <c r="M698" s="3"/>
      <c r="N698" s="3" t="str">
        <f>OBRA!Q696</f>
        <v>CAB MPAL / CHANTE</v>
      </c>
      <c r="O698" s="504" t="s">
        <v>6533</v>
      </c>
      <c r="P698" s="79">
        <f>OBRA!R696</f>
        <v>56143.999999999993</v>
      </c>
      <c r="Q698" s="1023">
        <f t="shared" si="56"/>
        <v>48400</v>
      </c>
      <c r="R698" s="79" t="s">
        <v>68</v>
      </c>
      <c r="S698" s="67">
        <f>OBRA!S696</f>
        <v>45225</v>
      </c>
      <c r="T698" s="1134" t="str">
        <f>OBRA!V696</f>
        <v>-</v>
      </c>
      <c r="U698" s="5">
        <f>OBRA!T696</f>
        <v>45226</v>
      </c>
      <c r="V698" s="11">
        <f>OBRA!U696</f>
        <v>45229</v>
      </c>
      <c r="W698" s="1901">
        <v>0</v>
      </c>
      <c r="X698" s="1019">
        <f>OBRA!AS696+OBRA!AT696</f>
        <v>0</v>
      </c>
      <c r="Y698" s="1018" t="s">
        <v>6769</v>
      </c>
      <c r="Z698" s="146" t="str">
        <f>OBRA!W696</f>
        <v>LUIS JOEL HUERTA LOMA</v>
      </c>
      <c r="AA698" s="146" t="s">
        <v>5665</v>
      </c>
      <c r="AB698" s="1769" t="str">
        <f>Z698</f>
        <v>LUIS JOEL HUERTA LOMA</v>
      </c>
      <c r="AC698" s="1770" t="s">
        <v>5612</v>
      </c>
      <c r="AD698" s="1769" t="s">
        <v>5613</v>
      </c>
      <c r="AE698" s="1771" t="str">
        <f>OBRA!X696</f>
        <v>ARQ. FRANCISCO SALAZAR</v>
      </c>
      <c r="AF698" s="19">
        <v>3</v>
      </c>
      <c r="AG698" s="2" t="s">
        <v>6411</v>
      </c>
      <c r="AH698" s="183">
        <f t="shared" si="54"/>
        <v>18714.666666666664</v>
      </c>
      <c r="AI698" s="2"/>
      <c r="AJ698" s="2"/>
      <c r="AK698" s="1888">
        <v>1</v>
      </c>
      <c r="AL698" s="1513"/>
      <c r="AM698" s="1514"/>
      <c r="AN698" s="571"/>
      <c r="AO698" s="571"/>
      <c r="AP698" s="571"/>
      <c r="AQ698" s="513"/>
      <c r="AR698" s="513"/>
      <c r="AS698" s="18"/>
    </row>
    <row r="699" spans="1:45" ht="110.25" customHeight="1">
      <c r="A699" s="16">
        <f>OBRA!J697</f>
        <v>2023</v>
      </c>
      <c r="B699" s="783" t="s">
        <v>3944</v>
      </c>
      <c r="C699" s="783">
        <f>OBRA!K697</f>
        <v>232038</v>
      </c>
      <c r="D699" s="783" t="s">
        <v>2310</v>
      </c>
      <c r="E699" s="2" t="str">
        <f>OBRA!M697</f>
        <v>CUENTA CORRIENTE</v>
      </c>
      <c r="F699" s="18" t="s">
        <v>1428</v>
      </c>
      <c r="G699" s="156" t="s">
        <v>2861</v>
      </c>
      <c r="H699" s="12" t="str">
        <f>OBRA!N697</f>
        <v>C.P.S.P. DOP 038/2023</v>
      </c>
      <c r="I699" s="2" t="str">
        <f>OBRA!O697</f>
        <v>SERVICIOS</v>
      </c>
      <c r="J699" s="3" t="str">
        <f>OBRA!P697</f>
        <v>CONTRATACIÓN DE SERVICIO PROFESIONALES: PARA LA ELABORACIÓN DE UN DICTAMEN Y REVISIÓN ESTRUCTURAL, DEL TANQUE DE ALMACENAMIENTO DE AGUA POTABLE EN ZONA NORTE, EN LA CABECERA MUNICIPAL DE JOCOTEPEC, JALISCO.</v>
      </c>
      <c r="K699" s="3"/>
      <c r="L699" s="3" t="s">
        <v>6416</v>
      </c>
      <c r="M699" s="3" t="s">
        <v>2654</v>
      </c>
      <c r="N699" s="3" t="str">
        <f>OBRA!Q697</f>
        <v>CABECERA MUNICIPAL</v>
      </c>
      <c r="O699" s="504" t="s">
        <v>6533</v>
      </c>
      <c r="P699" s="79">
        <f>OBRA!R697</f>
        <v>102831.39</v>
      </c>
      <c r="Q699" s="1023">
        <f t="shared" si="56"/>
        <v>88647.75</v>
      </c>
      <c r="R699" s="79" t="s">
        <v>68</v>
      </c>
      <c r="S699" s="67">
        <f>OBRA!S697</f>
        <v>45264</v>
      </c>
      <c r="T699" s="1134" t="str">
        <f>OBRA!V697</f>
        <v>-</v>
      </c>
      <c r="U699" s="5">
        <f>OBRA!T697</f>
        <v>45266</v>
      </c>
      <c r="V699" s="11">
        <f>OBRA!U697</f>
        <v>45301</v>
      </c>
      <c r="W699" s="1901">
        <v>0</v>
      </c>
      <c r="X699" s="1019">
        <f>OBRA!AS697+OBRA!AT697</f>
        <v>0</v>
      </c>
      <c r="Y699" s="1018" t="s">
        <v>6769</v>
      </c>
      <c r="Z699" s="146" t="str">
        <f>OBRA!W697</f>
        <v>ALEJANDRO RAMÍREZ CORTES</v>
      </c>
      <c r="AA699" s="146" t="s">
        <v>5665</v>
      </c>
      <c r="AB699" s="1769" t="str">
        <f>Z699</f>
        <v>ALEJANDRO RAMÍREZ CORTES</v>
      </c>
      <c r="AC699" s="1770"/>
      <c r="AD699" s="1769"/>
      <c r="AE699" s="1771" t="str">
        <f>OBRA!X697</f>
        <v>ARQ. FRANCISCO SALAZAR</v>
      </c>
      <c r="AF699" s="19">
        <v>1</v>
      </c>
      <c r="AG699" s="2" t="s">
        <v>1573</v>
      </c>
      <c r="AH699" s="183">
        <f t="shared" si="54"/>
        <v>102831.39</v>
      </c>
      <c r="AI699" s="2"/>
      <c r="AJ699" s="2"/>
      <c r="AK699" s="1888">
        <v>1</v>
      </c>
      <c r="AL699" s="1513"/>
      <c r="AM699" s="1514"/>
      <c r="AN699" s="571"/>
      <c r="AO699" s="571"/>
      <c r="AP699" s="571"/>
      <c r="AQ699" s="513"/>
      <c r="AR699" s="513"/>
      <c r="AS699" s="18"/>
    </row>
    <row r="700" spans="1:45" ht="143.25" customHeight="1">
      <c r="A700" s="16">
        <f>OBRA!J698</f>
        <v>2023</v>
      </c>
      <c r="B700" s="783" t="s">
        <v>3944</v>
      </c>
      <c r="C700" s="783">
        <f>OBRA!K698</f>
        <v>232039</v>
      </c>
      <c r="D700" s="783" t="s">
        <v>2310</v>
      </c>
      <c r="E700" s="2" t="str">
        <f>OBRA!M698</f>
        <v>CUENTA CORRIENTE</v>
      </c>
      <c r="F700" s="18" t="s">
        <v>1428</v>
      </c>
      <c r="G700" s="156" t="s">
        <v>2861</v>
      </c>
      <c r="H700" s="412" t="str">
        <f>OBRA!N698</f>
        <v>C.P.S.P. DOP 039/2023</v>
      </c>
      <c r="I700" s="2" t="str">
        <f>OBRA!O698</f>
        <v>SERVICIOS</v>
      </c>
      <c r="J700"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t="s">
        <v>6414</v>
      </c>
      <c r="M700" s="3" t="s">
        <v>6181</v>
      </c>
      <c r="N700" s="3" t="str">
        <f>OBRA!Q698</f>
        <v>CABECERA MUNICIPAL</v>
      </c>
      <c r="O700" s="504" t="s">
        <v>6533</v>
      </c>
      <c r="P700" s="79">
        <f>OBRA!R698</f>
        <v>23200</v>
      </c>
      <c r="Q700" s="1023">
        <f t="shared" si="56"/>
        <v>20000</v>
      </c>
      <c r="R700" s="4" t="s">
        <v>3954</v>
      </c>
      <c r="S700" s="67">
        <f>OBRA!S698</f>
        <v>45265</v>
      </c>
      <c r="T700" s="1134" t="str">
        <f>OBRA!V698</f>
        <v>-</v>
      </c>
      <c r="U700" s="5">
        <f>OBRA!T698</f>
        <v>45266</v>
      </c>
      <c r="V700" s="11">
        <f>OBRA!U698</f>
        <v>45267</v>
      </c>
      <c r="W700" s="1901">
        <v>0</v>
      </c>
      <c r="X700" s="1019">
        <f>OBRA!AS698+OBRA!AT698</f>
        <v>0</v>
      </c>
      <c r="Y700" s="1018" t="s">
        <v>6769</v>
      </c>
      <c r="Z700" s="146" t="str">
        <f>OBRA!W698</f>
        <v xml:space="preserve">CICLOS GIP SC </v>
      </c>
      <c r="AA700" s="146" t="s">
        <v>5666</v>
      </c>
      <c r="AB700" s="1769" t="s">
        <v>4878</v>
      </c>
      <c r="AC700" s="1770" t="s">
        <v>4879</v>
      </c>
      <c r="AD700" s="1769" t="s">
        <v>4880</v>
      </c>
      <c r="AE700" s="1771" t="str">
        <f>OBRA!X698</f>
        <v>ARQ. FRANCISCO SALAZAR</v>
      </c>
      <c r="AF700" s="19">
        <v>1</v>
      </c>
      <c r="AG700" s="2" t="s">
        <v>6758</v>
      </c>
      <c r="AH700" s="183">
        <f t="shared" si="54"/>
        <v>23200</v>
      </c>
      <c r="AI700" s="2"/>
      <c r="AJ700" s="2"/>
      <c r="AK700" s="1888">
        <v>1</v>
      </c>
      <c r="AL700" s="1513"/>
      <c r="AM700" s="1514"/>
      <c r="AN700" s="571"/>
      <c r="AO700" s="571"/>
      <c r="AP700" s="571"/>
      <c r="AQ700" s="513"/>
      <c r="AR700" s="513"/>
      <c r="AS700" s="18"/>
    </row>
    <row r="701" spans="1:45" ht="137.25" customHeight="1">
      <c r="A701" s="16">
        <f>OBRA!J699</f>
        <v>2023</v>
      </c>
      <c r="B701" s="783" t="s">
        <v>3944</v>
      </c>
      <c r="C701" s="783">
        <f>OBRA!K699</f>
        <v>232040</v>
      </c>
      <c r="D701" s="783" t="s">
        <v>2310</v>
      </c>
      <c r="E701" s="2" t="str">
        <f>OBRA!M699</f>
        <v>CUENTA CORRIENTE</v>
      </c>
      <c r="F701" s="18" t="s">
        <v>1428</v>
      </c>
      <c r="G701" s="156" t="s">
        <v>2861</v>
      </c>
      <c r="H701" s="12" t="str">
        <f>OBRA!N699</f>
        <v>C.P.S.P. DOP 040/2023</v>
      </c>
      <c r="I701" s="2" t="str">
        <f>OBRA!O699</f>
        <v>SERVICIOS</v>
      </c>
      <c r="J701"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t="s">
        <v>6413</v>
      </c>
      <c r="M701" s="3" t="s">
        <v>2654</v>
      </c>
      <c r="N701" s="3" t="str">
        <f>OBRA!Q699</f>
        <v>CABECERA MUNICIPAL</v>
      </c>
      <c r="O701" s="504" t="s">
        <v>6533</v>
      </c>
      <c r="P701" s="79">
        <f>OBRA!R699</f>
        <v>45601.919999999998</v>
      </c>
      <c r="Q701" s="1023">
        <f t="shared" si="56"/>
        <v>39312</v>
      </c>
      <c r="R701" s="79" t="s">
        <v>5591</v>
      </c>
      <c r="S701" s="67">
        <f>OBRA!S699</f>
        <v>45267</v>
      </c>
      <c r="T701" s="1134" t="str">
        <f>OBRA!V699</f>
        <v>-</v>
      </c>
      <c r="U701" s="5">
        <f>OBRA!T699</f>
        <v>45271</v>
      </c>
      <c r="V701" s="11">
        <f>OBRA!U699</f>
        <v>45299</v>
      </c>
      <c r="W701" s="1901">
        <f>P701/2</f>
        <v>22800.959999999999</v>
      </c>
      <c r="X701" s="1019">
        <f>OBRA!AS699+OBRA!AT699</f>
        <v>0</v>
      </c>
      <c r="Y701" s="1018" t="s">
        <v>6769</v>
      </c>
      <c r="Z701" s="146" t="str">
        <f>OBRA!W699</f>
        <v>ALEJANDRO RAMÍREZ CORTES</v>
      </c>
      <c r="AA701" s="146" t="s">
        <v>5665</v>
      </c>
      <c r="AB701" s="1769" t="s">
        <v>4874</v>
      </c>
      <c r="AC701" s="1770" t="s">
        <v>4875</v>
      </c>
      <c r="AD701" s="1769" t="s">
        <v>4876</v>
      </c>
      <c r="AE701" s="1771" t="str">
        <f>OBRA!X699</f>
        <v>ARQ. FRANCISCO SALAZAR</v>
      </c>
      <c r="AF701" s="19">
        <v>1</v>
      </c>
      <c r="AG701" s="2" t="s">
        <v>6758</v>
      </c>
      <c r="AH701" s="183">
        <f t="shared" si="54"/>
        <v>45601.919999999998</v>
      </c>
      <c r="AI701" s="2"/>
      <c r="AJ701" s="2"/>
      <c r="AK701" s="1888">
        <v>1</v>
      </c>
      <c r="AL701" s="1513"/>
      <c r="AM701" s="1514"/>
      <c r="AN701" s="571"/>
      <c r="AO701" s="571"/>
      <c r="AP701" s="571"/>
      <c r="AQ701" s="513"/>
      <c r="AR701" s="513"/>
      <c r="AS701" s="18"/>
    </row>
    <row r="702" spans="1:45" ht="76.5" customHeight="1">
      <c r="A702" s="16">
        <f>OBRA!J700</f>
        <v>2023</v>
      </c>
      <c r="B702" s="783" t="s">
        <v>3944</v>
      </c>
      <c r="C702" s="783">
        <f>OBRA!K700</f>
        <v>232041</v>
      </c>
      <c r="D702" s="783" t="s">
        <v>2310</v>
      </c>
      <c r="E702" s="2" t="str">
        <f>OBRA!M700</f>
        <v>CUENTA CORRIENTE</v>
      </c>
      <c r="F702" s="18" t="s">
        <v>1428</v>
      </c>
      <c r="G702" s="156" t="s">
        <v>2861</v>
      </c>
      <c r="H702" s="12" t="str">
        <f>OBRA!N700</f>
        <v>C.P.S.P. DOP 041/2023</v>
      </c>
      <c r="I702" s="2" t="str">
        <f>OBRA!O700</f>
        <v>SERVICIOS</v>
      </c>
      <c r="J702" s="3" t="str">
        <f>OBRA!P700</f>
        <v>CONTRATACIÓN DEL SERVICIO PARA LA REALIZACIÓN DE LOS SIGUIENTES TRABAJOS, EN EL POZO DE CHANTEPEC, MUNICIPIO DE JOCOTEPEC, JALISCO.</v>
      </c>
      <c r="K702" s="3"/>
      <c r="L702" s="3" t="s">
        <v>6415</v>
      </c>
      <c r="M702" s="3"/>
      <c r="N702" s="3" t="str">
        <f>OBRA!Q700</f>
        <v>CABECERA MUNICIPAL</v>
      </c>
      <c r="O702" s="504" t="s">
        <v>6533</v>
      </c>
      <c r="P702" s="79">
        <f>OBRA!R700</f>
        <v>44196</v>
      </c>
      <c r="Q702" s="1023">
        <f t="shared" si="56"/>
        <v>38100</v>
      </c>
      <c r="R702" s="79" t="s">
        <v>5591</v>
      </c>
      <c r="S702" s="67">
        <f>OBRA!S700</f>
        <v>45275</v>
      </c>
      <c r="T702" s="1134" t="str">
        <f>OBRA!V700</f>
        <v>-</v>
      </c>
      <c r="U702" s="5">
        <f>OBRA!T700</f>
        <v>45280</v>
      </c>
      <c r="V702" s="11">
        <f>OBRA!U700</f>
        <v>45282</v>
      </c>
      <c r="W702" s="1901">
        <v>0</v>
      </c>
      <c r="X702" s="1019">
        <f>OBRA!AS700+OBRA!AT700</f>
        <v>0</v>
      </c>
      <c r="Y702" s="1018" t="s">
        <v>6769</v>
      </c>
      <c r="Z702" s="146" t="str">
        <f>OBRA!W700</f>
        <v>MARCO ANTONIO PAREDES RODRÍGUEZ</v>
      </c>
      <c r="AA702" s="146" t="s">
        <v>5665</v>
      </c>
      <c r="AB702" s="1769" t="s">
        <v>3742</v>
      </c>
      <c r="AC702" s="146" t="s">
        <v>4292</v>
      </c>
      <c r="AD702" s="148" t="s">
        <v>6549</v>
      </c>
      <c r="AE702" s="1771" t="str">
        <f>OBRA!X700</f>
        <v>ARQ. FRANCISCO SALAZAR</v>
      </c>
      <c r="AF702" s="19">
        <v>1</v>
      </c>
      <c r="AG702" s="2" t="s">
        <v>1573</v>
      </c>
      <c r="AH702" s="183">
        <f t="shared" si="54"/>
        <v>44196</v>
      </c>
      <c r="AI702" s="2"/>
      <c r="AJ702" s="2"/>
      <c r="AK702" s="1888">
        <v>1</v>
      </c>
      <c r="AL702" s="1513"/>
      <c r="AM702" s="1514"/>
      <c r="AN702" s="571"/>
      <c r="AO702" s="571"/>
      <c r="AP702" s="571"/>
      <c r="AQ702" s="513"/>
      <c r="AR702" s="513"/>
      <c r="AS702" s="18"/>
    </row>
    <row r="703" spans="1:45" ht="93.75" customHeight="1">
      <c r="A703" s="16">
        <f>OBRA!J701</f>
        <v>2023</v>
      </c>
      <c r="B703" s="783" t="s">
        <v>3944</v>
      </c>
      <c r="C703" s="783">
        <f>OBRA!K701</f>
        <v>233001</v>
      </c>
      <c r="D703" s="783" t="s">
        <v>2310</v>
      </c>
      <c r="E703" s="2" t="str">
        <f>OBRA!M701</f>
        <v>CUENTA CORRIENTE</v>
      </c>
      <c r="F703" s="18" t="s">
        <v>1428</v>
      </c>
      <c r="G703" s="156" t="s">
        <v>2861</v>
      </c>
      <c r="H703" s="12" t="str">
        <f>OBRA!N701</f>
        <v>C- OP 001/2023</v>
      </c>
      <c r="I703" s="2" t="str">
        <f>OBRA!O701</f>
        <v>ARRENDAMIENTO</v>
      </c>
      <c r="J703" s="3" t="str">
        <f>OBRA!P701</f>
        <v>RENTA DE UNA RETROEXCAVADORA JHON DEERE 310SJ 4X4, PARA SER UTILIZADAEN DIVERSOS MANTENIMIENTOS REQUERIDOS POR LA DIRECCIÓN DE OBRAS PÚBLICAS DEL GOBIERNO MUNICIPAL DE JOCOTEPEC, JALISCO.</v>
      </c>
      <c r="K703" s="3"/>
      <c r="L703" s="3" t="s">
        <v>6420</v>
      </c>
      <c r="M703" s="3" t="s">
        <v>68</v>
      </c>
      <c r="N703" s="3" t="str">
        <f>OBRA!Q701</f>
        <v>MUNICIPIO</v>
      </c>
      <c r="O703" s="504" t="s">
        <v>4884</v>
      </c>
      <c r="P703" s="79">
        <f>OBRA!R701</f>
        <v>56839.999999999993</v>
      </c>
      <c r="Q703" s="1023">
        <f t="shared" si="56"/>
        <v>49000</v>
      </c>
      <c r="R703" s="79" t="s">
        <v>5591</v>
      </c>
      <c r="S703" s="67">
        <f>OBRA!S701</f>
        <v>44928</v>
      </c>
      <c r="T703" s="1134" t="str">
        <f>OBRA!V701</f>
        <v>-</v>
      </c>
      <c r="U703" s="5">
        <f>OBRA!T701</f>
        <v>44928</v>
      </c>
      <c r="V703" s="11">
        <f>OBRA!U701</f>
        <v>44957</v>
      </c>
      <c r="W703" s="1901">
        <v>0</v>
      </c>
      <c r="X703" s="1019">
        <f>OBRA!AS701+OBRA!AT701</f>
        <v>0</v>
      </c>
      <c r="Y703" s="1018" t="s">
        <v>6770</v>
      </c>
      <c r="Z703" s="146" t="str">
        <f>OBRA!W701</f>
        <v>URBANIZADORA Y PAVIMENTADORA MONLE S.A. DE C.V.</v>
      </c>
      <c r="AA703" s="146" t="s">
        <v>5666</v>
      </c>
      <c r="AB703" s="1769" t="s">
        <v>5607</v>
      </c>
      <c r="AC703" s="1770" t="s">
        <v>4401</v>
      </c>
      <c r="AD703" s="1769" t="s">
        <v>5608</v>
      </c>
      <c r="AE703" s="1771" t="str">
        <f>OBRA!X701</f>
        <v>C. DANIEL RODRIGUEZ VALENZUELA</v>
      </c>
      <c r="AF703" s="19">
        <v>1</v>
      </c>
      <c r="AG703" s="1910" t="s">
        <v>6756</v>
      </c>
      <c r="AH703" s="183">
        <f t="shared" si="54"/>
        <v>56839.999999999993</v>
      </c>
      <c r="AI703" s="2"/>
      <c r="AJ703" s="513"/>
      <c r="AK703" s="1888">
        <v>1</v>
      </c>
      <c r="AL703" s="1513"/>
      <c r="AM703" s="1514"/>
      <c r="AN703" s="571"/>
      <c r="AO703" s="571"/>
      <c r="AP703" s="571"/>
      <c r="AQ703" s="513"/>
      <c r="AR703" s="513"/>
      <c r="AS703" s="18"/>
    </row>
    <row r="704" spans="1:45" ht="108" customHeight="1">
      <c r="A704" s="16">
        <f>OBRA!J702</f>
        <v>2023</v>
      </c>
      <c r="B704" s="783" t="s">
        <v>3944</v>
      </c>
      <c r="C704" s="783">
        <f>OBRA!K702</f>
        <v>233001.1</v>
      </c>
      <c r="D704" s="783" t="s">
        <v>2310</v>
      </c>
      <c r="E704" s="2" t="str">
        <f>OBRA!M702</f>
        <v>CUENTA CORRIENTE</v>
      </c>
      <c r="F704" s="18" t="s">
        <v>1428</v>
      </c>
      <c r="G704" s="156" t="s">
        <v>2861</v>
      </c>
      <c r="H704" s="12" t="str">
        <f>OBRA!N702</f>
        <v>C- OP 001A/2023</v>
      </c>
      <c r="I704" s="2" t="str">
        <f>OBRA!O702</f>
        <v>ARRENDAMIENTO</v>
      </c>
      <c r="J704" s="3" t="str">
        <f>OBRA!P702</f>
        <v>RENTA DE UN CAMIÓN (VOLTEO 7 M3) DODGE, MODELO 1989 CON PLACAS JL-0889, PARA SER UTILIZADO EN LAS OBRAS: MANTENIMIENTOS VARIOS EN LAS AGENCIAS, DELEGACIONES Y CABECERA MUNICIPAL DEL MUNICIPIO DE JOCOTEPEC, JALISCO.</v>
      </c>
      <c r="K704" s="3"/>
      <c r="L704" s="3" t="s">
        <v>6421</v>
      </c>
      <c r="M704" s="3" t="s">
        <v>68</v>
      </c>
      <c r="N704" s="3" t="str">
        <f>OBRA!Q702</f>
        <v>MUNICIPIO</v>
      </c>
      <c r="O704" s="504" t="s">
        <v>4884</v>
      </c>
      <c r="P704" s="79">
        <f>OBRA!R702</f>
        <v>3248</v>
      </c>
      <c r="Q704" s="1023">
        <f t="shared" si="56"/>
        <v>2800</v>
      </c>
      <c r="R704" s="79" t="s">
        <v>5591</v>
      </c>
      <c r="S704" s="67">
        <f>OBRA!S702</f>
        <v>44929</v>
      </c>
      <c r="T704" s="1134" t="str">
        <f>OBRA!V702</f>
        <v>-</v>
      </c>
      <c r="U704" s="5">
        <f>OBRA!T702</f>
        <v>44929</v>
      </c>
      <c r="V704" s="11">
        <f>OBRA!U702</f>
        <v>44985</v>
      </c>
      <c r="W704" s="1901">
        <v>0</v>
      </c>
      <c r="X704" s="1019">
        <f>OBRA!AS702+OBRA!AT702</f>
        <v>0</v>
      </c>
      <c r="Y704" s="1018" t="s">
        <v>6770</v>
      </c>
      <c r="Z704" s="146" t="str">
        <f>OBRA!W702</f>
        <v>BACHMEIER S.A. DE C.V.</v>
      </c>
      <c r="AA704" s="146" t="s">
        <v>5666</v>
      </c>
      <c r="AB704" s="1769" t="s">
        <v>5607</v>
      </c>
      <c r="AC704" s="1770" t="s">
        <v>4401</v>
      </c>
      <c r="AD704" s="1769" t="s">
        <v>5608</v>
      </c>
      <c r="AE704" s="1771" t="str">
        <f>OBRA!X702</f>
        <v>ING. LUIS RIGOBERTO OLMEDO NAVARRO</v>
      </c>
      <c r="AF704" s="19">
        <v>1</v>
      </c>
      <c r="AG704" s="1910" t="s">
        <v>6756</v>
      </c>
      <c r="AH704" s="183">
        <f t="shared" si="54"/>
        <v>3248</v>
      </c>
      <c r="AI704" s="2"/>
      <c r="AJ704" s="513"/>
      <c r="AK704" s="1888">
        <v>1</v>
      </c>
      <c r="AL704" s="1513"/>
      <c r="AM704" s="1514"/>
      <c r="AN704" s="571"/>
      <c r="AO704" s="571"/>
      <c r="AP704" s="571"/>
      <c r="AQ704" s="513"/>
      <c r="AR704" s="513"/>
      <c r="AS704" s="18"/>
    </row>
    <row r="705" spans="1:45" ht="106.5" customHeight="1">
      <c r="A705" s="16">
        <f>OBRA!J703</f>
        <v>2023</v>
      </c>
      <c r="B705" s="783" t="s">
        <v>3944</v>
      </c>
      <c r="C705" s="783">
        <f>OBRA!K703</f>
        <v>233002</v>
      </c>
      <c r="D705" s="783" t="s">
        <v>2310</v>
      </c>
      <c r="E705" s="2" t="str">
        <f>OBRA!M703</f>
        <v>CUENTA CORRIENTE</v>
      </c>
      <c r="F705" s="18" t="s">
        <v>1428</v>
      </c>
      <c r="G705" s="156" t="s">
        <v>2861</v>
      </c>
      <c r="H705" s="412" t="str">
        <f>OBRA!N703</f>
        <v>C- OP 002/2023</v>
      </c>
      <c r="I705" s="2" t="str">
        <f>OBRA!O703</f>
        <v>ARRENDAMIENTO</v>
      </c>
      <c r="J705" s="3" t="str">
        <f>OBRA!P703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t="s">
        <v>6421</v>
      </c>
      <c r="M705" s="3" t="s">
        <v>68</v>
      </c>
      <c r="N705" s="3" t="str">
        <f>OBRA!Q703</f>
        <v>MUNICIPIO</v>
      </c>
      <c r="O705" s="504" t="s">
        <v>4884</v>
      </c>
      <c r="P705" s="79">
        <f>OBRA!R703</f>
        <v>28999.999999999996</v>
      </c>
      <c r="Q705" s="1023">
        <f t="shared" si="56"/>
        <v>25000</v>
      </c>
      <c r="R705" s="79" t="s">
        <v>2294</v>
      </c>
      <c r="S705" s="67">
        <f>OBRA!S703</f>
        <v>45005</v>
      </c>
      <c r="T705" s="1134" t="str">
        <f>OBRA!V703</f>
        <v>-</v>
      </c>
      <c r="U705" s="5">
        <f>OBRA!T703</f>
        <v>45007</v>
      </c>
      <c r="V705" s="11">
        <f>OBRA!U703</f>
        <v>45038</v>
      </c>
      <c r="W705" s="1901">
        <v>0</v>
      </c>
      <c r="X705" s="1019">
        <f>OBRA!AS703+OBRA!AT703</f>
        <v>0</v>
      </c>
      <c r="Y705" s="1018" t="s">
        <v>6770</v>
      </c>
      <c r="Z705" s="146" t="str">
        <f>OBRA!W703</f>
        <v>ALSERCON SA DE CV</v>
      </c>
      <c r="AA705" s="146" t="s">
        <v>5666</v>
      </c>
      <c r="AB705" s="1769" t="s">
        <v>5607</v>
      </c>
      <c r="AC705" s="1770" t="s">
        <v>4401</v>
      </c>
      <c r="AD705" s="1769" t="s">
        <v>5608</v>
      </c>
      <c r="AE705" s="1771" t="str">
        <f>OBRA!X703</f>
        <v>C. DANIEL RODRIGUEZ VALENZUELA</v>
      </c>
      <c r="AF705" s="19">
        <v>1</v>
      </c>
      <c r="AG705" s="1910" t="s">
        <v>6756</v>
      </c>
      <c r="AH705" s="183">
        <f t="shared" si="54"/>
        <v>28999.999999999996</v>
      </c>
      <c r="AI705" s="2"/>
      <c r="AJ705" s="513"/>
      <c r="AK705" s="1888">
        <v>1</v>
      </c>
      <c r="AL705" s="1513"/>
      <c r="AM705" s="1514"/>
      <c r="AN705" s="571"/>
      <c r="AO705" s="571"/>
      <c r="AP705" s="571"/>
      <c r="AQ705" s="513"/>
      <c r="AR705" s="513"/>
      <c r="AS705" s="18"/>
    </row>
    <row r="706" spans="1:45" ht="92.25" customHeight="1">
      <c r="A706" s="16">
        <f>OBRA!J704</f>
        <v>2023</v>
      </c>
      <c r="B706" s="783" t="s">
        <v>3944</v>
      </c>
      <c r="C706" s="783">
        <f>OBRA!K704</f>
        <v>233003</v>
      </c>
      <c r="D706" s="783" t="s">
        <v>2310</v>
      </c>
      <c r="E706" s="2" t="str">
        <f>OBRA!M704</f>
        <v>CUENTA CORRIENTE</v>
      </c>
      <c r="F706" s="18" t="s">
        <v>1428</v>
      </c>
      <c r="G706" s="156" t="s">
        <v>2861</v>
      </c>
      <c r="H706" s="412" t="str">
        <f>OBRA!N704</f>
        <v>C- OP 003/2023</v>
      </c>
      <c r="I706" s="2" t="str">
        <f>OBRA!O704</f>
        <v>ARRENDAMIENTO</v>
      </c>
      <c r="J706" s="3" t="str">
        <f>OBRA!P704</f>
        <v>RENTA DE UNA RETROEXCAVADORA JHON DEERE 310SJ 4X4, PARA SER UTILIZADA EN DIVERSOS MANTENIMIENTOS REQUERIDOS POR LA DIRECCIÓN DE OBRAS PÚBLICAS DEL GOBIERNO MUNICIPAL DE JOCOTEPEC, JALISCO.</v>
      </c>
      <c r="K706" s="3"/>
      <c r="L706" s="3" t="s">
        <v>6420</v>
      </c>
      <c r="M706" s="3" t="s">
        <v>68</v>
      </c>
      <c r="N706" s="3" t="str">
        <f>OBRA!Q704</f>
        <v>MUNICIPIO</v>
      </c>
      <c r="O706" s="504" t="s">
        <v>4884</v>
      </c>
      <c r="P706" s="79">
        <f>OBRA!R704</f>
        <v>59681.999999999993</v>
      </c>
      <c r="Q706" s="1023">
        <f t="shared" si="56"/>
        <v>51450</v>
      </c>
      <c r="R706" s="79" t="s">
        <v>2294</v>
      </c>
      <c r="S706" s="67">
        <f>OBRA!S704</f>
        <v>44956</v>
      </c>
      <c r="T706" s="1134" t="str">
        <f>OBRA!V704</f>
        <v>-</v>
      </c>
      <c r="U706" s="5">
        <f>OBRA!T704</f>
        <v>44958</v>
      </c>
      <c r="V706" s="11">
        <f>OBRA!U704</f>
        <v>44985</v>
      </c>
      <c r="W706" s="1901">
        <v>0</v>
      </c>
      <c r="X706" s="1019">
        <f>OBRA!AS704+OBRA!AT704</f>
        <v>0</v>
      </c>
      <c r="Y706" s="1018" t="s">
        <v>6770</v>
      </c>
      <c r="Z706" s="146" t="str">
        <f>OBRA!W704</f>
        <v>URBANIZADORA Y PAVIMENTADORA MONLE S.A. DE C.V.</v>
      </c>
      <c r="AA706" s="146" t="s">
        <v>5666</v>
      </c>
      <c r="AB706" s="1769" t="s">
        <v>5607</v>
      </c>
      <c r="AC706" s="1770" t="s">
        <v>4401</v>
      </c>
      <c r="AD706" s="1769" t="s">
        <v>5608</v>
      </c>
      <c r="AE706" s="1771" t="str">
        <f>OBRA!X704</f>
        <v>C. DANIEL RODRIGUEZ VALENZUELA</v>
      </c>
      <c r="AF706" s="19">
        <v>1</v>
      </c>
      <c r="AG706" s="1910" t="s">
        <v>6756</v>
      </c>
      <c r="AH706" s="183">
        <f t="shared" si="54"/>
        <v>59681.999999999993</v>
      </c>
      <c r="AI706" s="2"/>
      <c r="AJ706" s="513"/>
      <c r="AK706" s="1888">
        <v>1</v>
      </c>
      <c r="AL706" s="1513"/>
      <c r="AM706" s="1514"/>
      <c r="AN706" s="571"/>
      <c r="AO706" s="571"/>
      <c r="AP706" s="571"/>
      <c r="AQ706" s="513"/>
      <c r="AR706" s="513"/>
      <c r="AS706" s="18"/>
    </row>
    <row r="707" spans="1:45" ht="96.75" customHeight="1">
      <c r="A707" s="16">
        <f>OBRA!J705</f>
        <v>2023</v>
      </c>
      <c r="B707" s="783" t="s">
        <v>3944</v>
      </c>
      <c r="C707" s="783">
        <f>OBRA!K705</f>
        <v>233004</v>
      </c>
      <c r="D707" s="783" t="s">
        <v>2310</v>
      </c>
      <c r="E707" s="2" t="str">
        <f>OBRA!M705</f>
        <v>CUENTA CORRIENTE</v>
      </c>
      <c r="F707" s="18" t="s">
        <v>1428</v>
      </c>
      <c r="G707" s="156" t="s">
        <v>2861</v>
      </c>
      <c r="H707" s="412" t="str">
        <f>OBRA!N705</f>
        <v>C- OP 004/2023</v>
      </c>
      <c r="I707" s="2" t="str">
        <f>OBRA!O705</f>
        <v>ARRENDAMIENTO</v>
      </c>
      <c r="J707" s="3" t="str">
        <f>OBRA!P705</f>
        <v>RENTA DE UNA RETROEXCAVADORA MARCA JCB MOD. 2000 SERIE 4214E, PARA SER UTILIZADA EN LA CONSTRUCCIÓN DE BASE PARA LA COLOCACIÓN DE LETRAS MONUMENTALES DE SAN JOSE POTRERILLOS, DEL MUNICIPIO DE JOCOTEPEC, JALISCO.</v>
      </c>
      <c r="K707" s="3"/>
      <c r="L707" s="3" t="s">
        <v>6420</v>
      </c>
      <c r="M707" s="3" t="s">
        <v>6745</v>
      </c>
      <c r="N707" s="3" t="str">
        <f>OBRA!Q705</f>
        <v>POTRERILLOS</v>
      </c>
      <c r="O707" s="504" t="s">
        <v>4884</v>
      </c>
      <c r="P707" s="79">
        <f>OBRA!R705</f>
        <v>638</v>
      </c>
      <c r="Q707" s="1023">
        <f t="shared" si="56"/>
        <v>550</v>
      </c>
      <c r="R707" s="79" t="s">
        <v>2294</v>
      </c>
      <c r="S707" s="67">
        <f>OBRA!S705</f>
        <v>44981</v>
      </c>
      <c r="T707" s="1134" t="str">
        <f>OBRA!V705</f>
        <v>-</v>
      </c>
      <c r="U707" s="5">
        <f>OBRA!T705</f>
        <v>44985</v>
      </c>
      <c r="V707" s="11">
        <f>OBRA!U705</f>
        <v>44989</v>
      </c>
      <c r="W707" s="1901">
        <v>0</v>
      </c>
      <c r="X707" s="1019">
        <f>OBRA!AS705+OBRA!AT705</f>
        <v>0</v>
      </c>
      <c r="Y707" s="1018" t="s">
        <v>6770</v>
      </c>
      <c r="Z707" s="146" t="str">
        <f>OBRA!W705</f>
        <v xml:space="preserve">DORIA &amp; SAMPIER CONSTRUCTORA, S.A. DE C.V. </v>
      </c>
      <c r="AA707" s="146" t="s">
        <v>5666</v>
      </c>
      <c r="AB707" s="1769" t="s">
        <v>5607</v>
      </c>
      <c r="AC707" s="1770" t="s">
        <v>4401</v>
      </c>
      <c r="AD707" s="1769" t="s">
        <v>5608</v>
      </c>
      <c r="AE707" s="1771" t="str">
        <f>OBRA!X705</f>
        <v>C. DANIEL RODRIGUEZ VALENZUELA</v>
      </c>
      <c r="AF707" s="19">
        <v>1</v>
      </c>
      <c r="AG707" s="1910" t="s">
        <v>6756</v>
      </c>
      <c r="AH707" s="183">
        <f t="shared" si="54"/>
        <v>638</v>
      </c>
      <c r="AI707" s="2"/>
      <c r="AJ707" s="513"/>
      <c r="AK707" s="1888">
        <v>1</v>
      </c>
      <c r="AL707" s="1513"/>
      <c r="AM707" s="1514"/>
      <c r="AN707" s="571"/>
      <c r="AO707" s="571"/>
      <c r="AP707" s="571"/>
      <c r="AQ707" s="513"/>
      <c r="AR707" s="513"/>
      <c r="AS707" s="18"/>
    </row>
    <row r="708" spans="1:45" ht="69.75" customHeight="1">
      <c r="A708" s="16">
        <f>OBRA!J706</f>
        <v>2023</v>
      </c>
      <c r="B708" s="783" t="s">
        <v>3944</v>
      </c>
      <c r="C708" s="783">
        <f>OBRA!K706</f>
        <v>233005</v>
      </c>
      <c r="D708" s="783" t="s">
        <v>2310</v>
      </c>
      <c r="E708" s="2" t="str">
        <f>OBRA!M706</f>
        <v>CUENTA CORRIENTE</v>
      </c>
      <c r="F708" s="18" t="s">
        <v>1428</v>
      </c>
      <c r="G708" s="156" t="s">
        <v>2861</v>
      </c>
      <c r="H708" s="412" t="str">
        <f>OBRA!N706</f>
        <v>C- OP 005/2023</v>
      </c>
      <c r="I708" s="2" t="str">
        <f>OBRA!O706</f>
        <v>ARRENDAMIENTO</v>
      </c>
      <c r="J708" s="3" t="str">
        <f>OBRA!P706</f>
        <v>RENTA DE CAMIÓN TIPO PIPA MARCA DODGE RAM 6500 MOD. 1996 PLACAS JM57075, CON CAPACIDAD DE 10,000 LITROS PARA EL SERVICIO DE ACARREO DE AGUA EN EL MUNICIPIO DE JOCOTEPEC, JALISCO.</v>
      </c>
      <c r="K708" s="3"/>
      <c r="L708" s="3" t="s">
        <v>6417</v>
      </c>
      <c r="M708" s="3" t="s">
        <v>68</v>
      </c>
      <c r="N708" s="3" t="str">
        <f>OBRA!Q706</f>
        <v>MUNICIPIO</v>
      </c>
      <c r="O708" s="504" t="s">
        <v>4884</v>
      </c>
      <c r="P708" s="79">
        <f>OBRA!R706</f>
        <v>28999.999999999996</v>
      </c>
      <c r="Q708" s="1023">
        <f t="shared" si="56"/>
        <v>25000</v>
      </c>
      <c r="R708" s="79" t="s">
        <v>2294</v>
      </c>
      <c r="S708" s="67">
        <f>OBRA!S706</f>
        <v>45037</v>
      </c>
      <c r="T708" s="1134" t="str">
        <f>OBRA!V706</f>
        <v>-</v>
      </c>
      <c r="U708" s="5">
        <f>OBRA!T706</f>
        <v>45039</v>
      </c>
      <c r="V708" s="11">
        <f>OBRA!U706</f>
        <v>45069</v>
      </c>
      <c r="W708" s="1901">
        <v>0</v>
      </c>
      <c r="X708" s="1019">
        <f>OBRA!AS706+OBRA!AT706</f>
        <v>0</v>
      </c>
      <c r="Y708" s="1018" t="s">
        <v>6770</v>
      </c>
      <c r="Z708" s="146" t="str">
        <f>OBRA!W706</f>
        <v>ALSERCON SA DE CV</v>
      </c>
      <c r="AA708" s="146"/>
      <c r="AB708" s="1769" t="s">
        <v>5607</v>
      </c>
      <c r="AC708" s="1770" t="s">
        <v>4401</v>
      </c>
      <c r="AD708" s="1769" t="s">
        <v>5608</v>
      </c>
      <c r="AE708" s="1771" t="str">
        <f>OBRA!X706</f>
        <v>C. DANIEL RODRIGUEZ VALENZUELA</v>
      </c>
      <c r="AF708" s="19">
        <v>1</v>
      </c>
      <c r="AG708" s="1910" t="s">
        <v>6756</v>
      </c>
      <c r="AH708" s="183">
        <f t="shared" si="54"/>
        <v>28999.999999999996</v>
      </c>
      <c r="AI708" s="2"/>
      <c r="AJ708" s="513"/>
      <c r="AK708" s="1888">
        <v>1</v>
      </c>
      <c r="AL708" s="1513"/>
      <c r="AM708" s="1514"/>
      <c r="AN708" s="571"/>
      <c r="AO708" s="571"/>
      <c r="AP708" s="571"/>
      <c r="AQ708" s="513"/>
      <c r="AR708" s="513"/>
      <c r="AS708" s="18"/>
    </row>
    <row r="709" spans="1:45" ht="86.25" customHeight="1">
      <c r="A709" s="16">
        <f>OBRA!J707</f>
        <v>2023</v>
      </c>
      <c r="B709" s="783" t="s">
        <v>3944</v>
      </c>
      <c r="C709" s="783">
        <f>OBRA!K707</f>
        <v>233006</v>
      </c>
      <c r="D709" s="783" t="s">
        <v>2310</v>
      </c>
      <c r="E709" s="2" t="str">
        <f>OBRA!M707</f>
        <v>CUENTA CORRIENTE</v>
      </c>
      <c r="F709" s="18" t="s">
        <v>1428</v>
      </c>
      <c r="G709" s="156" t="s">
        <v>2861</v>
      </c>
      <c r="H709" s="412" t="str">
        <f>OBRA!N707</f>
        <v>C- OP 006/2023</v>
      </c>
      <c r="I709" s="2" t="str">
        <f>OBRA!O707</f>
        <v>ARRENDAMIENTO</v>
      </c>
      <c r="J709" s="3" t="str">
        <f>OBRA!P707</f>
        <v>RENTA DE UNA RETROEXCAVADORA DEE 310SJ 4X4, PARA SER UTILIZADA EN DIVERSOS MANTENIMIENTOS REQUERIDOS POR LA DIRECCIÓN DE OBRAS PÚBLICAS DEL GOBIERNO MUNICIPAL DE JOCOTEPEC, JALISCO.</v>
      </c>
      <c r="K709" s="3"/>
      <c r="L709" s="3" t="s">
        <v>6420</v>
      </c>
      <c r="M709" s="3" t="s">
        <v>68</v>
      </c>
      <c r="N709" s="3" t="str">
        <f>OBRA!Q707</f>
        <v>MUNICIPIO</v>
      </c>
      <c r="O709" s="504" t="s">
        <v>4884</v>
      </c>
      <c r="P709" s="79">
        <f>OBRA!R707</f>
        <v>59681.999999999993</v>
      </c>
      <c r="Q709" s="1023">
        <f t="shared" si="56"/>
        <v>51450</v>
      </c>
      <c r="R709" s="79" t="s">
        <v>2294</v>
      </c>
      <c r="S709" s="67">
        <f>OBRA!S707</f>
        <v>45015</v>
      </c>
      <c r="T709" s="1134" t="str">
        <f>OBRA!V707</f>
        <v>-</v>
      </c>
      <c r="U709" s="5">
        <f>OBRA!T707</f>
        <v>45017</v>
      </c>
      <c r="V709" s="11">
        <f>OBRA!U707</f>
        <v>45046</v>
      </c>
      <c r="W709" s="1901">
        <v>0</v>
      </c>
      <c r="X709" s="1019">
        <f>OBRA!AS707+OBRA!AT707</f>
        <v>0</v>
      </c>
      <c r="Y709" s="1018" t="s">
        <v>6770</v>
      </c>
      <c r="Z709" s="146" t="str">
        <f>OBRA!W707</f>
        <v>URBANIZADORA Y PAVIMENTADORA MONLE S.A. DE C.V.</v>
      </c>
      <c r="AA709" s="146" t="s">
        <v>5666</v>
      </c>
      <c r="AB709" s="1769" t="s">
        <v>5607</v>
      </c>
      <c r="AC709" s="1770" t="s">
        <v>4401</v>
      </c>
      <c r="AD709" s="1769" t="s">
        <v>5608</v>
      </c>
      <c r="AE709" s="1771" t="str">
        <f>OBRA!X707</f>
        <v>C. DANIEL RODRIGUEZ VALENZUELA</v>
      </c>
      <c r="AF709" s="19">
        <v>1</v>
      </c>
      <c r="AG709" s="1910" t="s">
        <v>6756</v>
      </c>
      <c r="AH709" s="183">
        <f t="shared" si="54"/>
        <v>59681.999999999993</v>
      </c>
      <c r="AI709" s="2"/>
      <c r="AJ709" s="513"/>
      <c r="AK709" s="1888">
        <v>1</v>
      </c>
      <c r="AL709" s="1513"/>
      <c r="AM709" s="1514"/>
      <c r="AN709" s="571"/>
      <c r="AO709" s="571"/>
      <c r="AP709" s="571"/>
      <c r="AQ709" s="513"/>
      <c r="AR709" s="513"/>
      <c r="AS709" s="18"/>
    </row>
    <row r="710" spans="1:45" ht="81" customHeight="1">
      <c r="A710" s="16">
        <f>OBRA!J708</f>
        <v>2023</v>
      </c>
      <c r="B710" s="783" t="s">
        <v>3944</v>
      </c>
      <c r="C710" s="783">
        <f>OBRA!K708</f>
        <v>233006.1</v>
      </c>
      <c r="D710" s="783" t="s">
        <v>2310</v>
      </c>
      <c r="E710" s="2" t="str">
        <f>OBRA!M708</f>
        <v>CUENTA CORRIENTE</v>
      </c>
      <c r="F710" s="18" t="s">
        <v>1428</v>
      </c>
      <c r="G710" s="156" t="s">
        <v>2861</v>
      </c>
      <c r="H710" s="412" t="str">
        <f>OBRA!N708</f>
        <v>C- OP 006A/2023</v>
      </c>
      <c r="I710" s="2" t="str">
        <f>OBRA!O708</f>
        <v>ARRENDAMIENTO</v>
      </c>
      <c r="J710" s="3" t="str">
        <f>OBRA!P708</f>
        <v>RENTA DE EXCAVADORA CAT 320, PARA SER UTILIZADA EN LAS OBRAS: DESAZOLVES EN ARROYOS, DE LAS DELEGACIONES Y DE LA CABECERA DEL MUNICIPIO DE JOCOTEPEC, JALISCO.</v>
      </c>
      <c r="K710" s="3"/>
      <c r="L710" s="3" t="s">
        <v>6418</v>
      </c>
      <c r="M710" s="3" t="s">
        <v>68</v>
      </c>
      <c r="N710" s="3" t="str">
        <f>OBRA!Q708</f>
        <v>MUNICIPIO</v>
      </c>
      <c r="O710" s="504" t="s">
        <v>4884</v>
      </c>
      <c r="P710" s="79">
        <f>OBRA!R708</f>
        <v>4750.0027999999993</v>
      </c>
      <c r="Q710" s="1023">
        <f t="shared" si="56"/>
        <v>4094.8299999999995</v>
      </c>
      <c r="R710" s="79" t="s">
        <v>2294</v>
      </c>
      <c r="S710" s="67">
        <f>OBRA!S708</f>
        <v>45033</v>
      </c>
      <c r="T710" s="1134" t="str">
        <f>OBRA!V708</f>
        <v>-</v>
      </c>
      <c r="U710" s="5">
        <f>OBRA!T708</f>
        <v>45033</v>
      </c>
      <c r="V710" s="11">
        <f>OBRA!U708</f>
        <v>45094</v>
      </c>
      <c r="W710" s="1901">
        <v>0</v>
      </c>
      <c r="X710" s="1019">
        <f>OBRA!AS708+OBRA!AT708</f>
        <v>0</v>
      </c>
      <c r="Y710" s="1018" t="s">
        <v>6770</v>
      </c>
      <c r="Z710" s="146" t="str">
        <f>OBRA!W708</f>
        <v>CONSTRUCTORES BACHMEIER S.A. DE C.V.</v>
      </c>
      <c r="AA710" s="146" t="s">
        <v>5666</v>
      </c>
      <c r="AB710" s="1769" t="s">
        <v>5607</v>
      </c>
      <c r="AC710" s="1770" t="s">
        <v>4401</v>
      </c>
      <c r="AD710" s="1769" t="s">
        <v>5608</v>
      </c>
      <c r="AE710" s="1771" t="str">
        <f>OBRA!X708</f>
        <v>ING. LUIS RIGOBERTO OLMEDO NAVARRO</v>
      </c>
      <c r="AF710" s="19">
        <v>1</v>
      </c>
      <c r="AG710" s="1910" t="s">
        <v>6756</v>
      </c>
      <c r="AH710" s="183">
        <f t="shared" si="54"/>
        <v>4750.0027999999993</v>
      </c>
      <c r="AI710" s="2"/>
      <c r="AJ710" s="513"/>
      <c r="AK710" s="1888">
        <v>1</v>
      </c>
      <c r="AL710" s="1513"/>
      <c r="AM710" s="1514"/>
      <c r="AN710" s="571"/>
      <c r="AO710" s="571"/>
      <c r="AP710" s="571"/>
      <c r="AQ710" s="513"/>
      <c r="AR710" s="513"/>
      <c r="AS710" s="18"/>
    </row>
    <row r="711" spans="1:45" ht="82.5" customHeight="1">
      <c r="A711" s="16">
        <f>OBRA!J709</f>
        <v>2023</v>
      </c>
      <c r="B711" s="783" t="s">
        <v>3944</v>
      </c>
      <c r="C711" s="783">
        <f>OBRA!K709</f>
        <v>233006.2</v>
      </c>
      <c r="D711" s="783" t="s">
        <v>2310</v>
      </c>
      <c r="E711" s="2" t="str">
        <f>OBRA!M709</f>
        <v>CUENTA CORRIENTE</v>
      </c>
      <c r="F711" s="18" t="s">
        <v>1428</v>
      </c>
      <c r="G711" s="156" t="s">
        <v>2861</v>
      </c>
      <c r="H711" s="12" t="str">
        <f>OBRA!N709</f>
        <v>C- OP 006B/2023</v>
      </c>
      <c r="I711" s="2" t="str">
        <f>OBRA!O709</f>
        <v>ARRENDAMIENTO</v>
      </c>
      <c r="J711" s="3" t="str">
        <f>OBRA!P709</f>
        <v>RENTA DE UNA EXCAVADORA, PARA SER UTILIZADA EN LAS OBRAS: MANTENIMIENTOS VARIOS EN LAS AGENCIAS, DELEGACIONES Y CABECERA DEL MUNICIPIO DE JOCOTEPEC, JALISCO.</v>
      </c>
      <c r="K711" s="3"/>
      <c r="L711" s="3" t="s">
        <v>6418</v>
      </c>
      <c r="M711" s="3" t="s">
        <v>68</v>
      </c>
      <c r="N711" s="3" t="str">
        <f>OBRA!Q709</f>
        <v>MUNICIPIO</v>
      </c>
      <c r="O711" s="504" t="s">
        <v>4884</v>
      </c>
      <c r="P711" s="79">
        <f>OBRA!R709</f>
        <v>1899.9987999999998</v>
      </c>
      <c r="Q711" s="1023">
        <f t="shared" si="56"/>
        <v>1637.93</v>
      </c>
      <c r="R711" s="79" t="s">
        <v>3954</v>
      </c>
      <c r="S711" s="67">
        <f>OBRA!S709</f>
        <v>45033</v>
      </c>
      <c r="T711" s="1134" t="str">
        <f>OBRA!V709</f>
        <v>-</v>
      </c>
      <c r="U711" s="5">
        <f>OBRA!T709</f>
        <v>45033</v>
      </c>
      <c r="V711" s="11">
        <f>OBRA!U709</f>
        <v>45094</v>
      </c>
      <c r="W711" s="1901">
        <v>0</v>
      </c>
      <c r="X711" s="1019">
        <f>OBRA!AS709+OBRA!AT709</f>
        <v>0</v>
      </c>
      <c r="Y711" s="1018" t="s">
        <v>6770</v>
      </c>
      <c r="Z711" s="146" t="str">
        <f>OBRA!W709</f>
        <v>CONSTRUCTORES BACHMEIER S.A. DE C.V.</v>
      </c>
      <c r="AA711" s="146" t="s">
        <v>5666</v>
      </c>
      <c r="AB711" s="1769" t="s">
        <v>4878</v>
      </c>
      <c r="AC711" s="1770" t="s">
        <v>4879</v>
      </c>
      <c r="AD711" s="1769" t="s">
        <v>4880</v>
      </c>
      <c r="AE711" s="1771" t="str">
        <f>OBRA!X709</f>
        <v>ING. LUIS RIGOBERTO OLMEDO NAVARRO</v>
      </c>
      <c r="AF711" s="19">
        <v>1</v>
      </c>
      <c r="AG711" s="1910" t="s">
        <v>6756</v>
      </c>
      <c r="AH711" s="183">
        <f t="shared" si="54"/>
        <v>1899.9987999999998</v>
      </c>
      <c r="AI711" s="2"/>
      <c r="AJ711" s="513"/>
      <c r="AK711" s="1888">
        <v>1</v>
      </c>
      <c r="AL711" s="1513"/>
      <c r="AM711" s="1514"/>
      <c r="AN711" s="571"/>
      <c r="AO711" s="571"/>
      <c r="AP711" s="571"/>
      <c r="AQ711" s="513"/>
      <c r="AR711" s="513"/>
      <c r="AS711" s="18"/>
    </row>
    <row r="712" spans="1:45" ht="95.25" customHeight="1">
      <c r="A712" s="16">
        <f>OBRA!J710</f>
        <v>2023</v>
      </c>
      <c r="B712" s="783" t="s">
        <v>3944</v>
      </c>
      <c r="C712" s="783">
        <f>OBRA!K710</f>
        <v>233007</v>
      </c>
      <c r="D712" s="783" t="s">
        <v>2310</v>
      </c>
      <c r="E712" s="2" t="str">
        <f>OBRA!M710</f>
        <v>CUENTA CORRIENTE</v>
      </c>
      <c r="F712" s="18" t="s">
        <v>1428</v>
      </c>
      <c r="G712" s="156" t="s">
        <v>2861</v>
      </c>
      <c r="H712" s="12" t="str">
        <f>OBRA!N710</f>
        <v>C- OP 007/2023</v>
      </c>
      <c r="I712" s="2" t="str">
        <f>OBRA!O710</f>
        <v>ARRENDAMIENTO</v>
      </c>
      <c r="J712" s="3" t="str">
        <f>OBRA!P710</f>
        <v>RENTA DE UN CAMIÓN VOLTEO MARCA KENWORTH COLOR AZUL PLACA JU00932 Y UN CAMIÓN VOLTEO MARCA INTERNACIONAL COLOR AMARILLO PLACA 09AF9U, PARA SER UTILIZADO EN EL ACARREO DE MATERIAL POR DESAZOLVES DE ARROYOS EN EL MUNICIPIO DE JOCOTEPEC, JALISCO.</v>
      </c>
      <c r="K712" s="3"/>
      <c r="L712" s="3" t="s">
        <v>6421</v>
      </c>
      <c r="M712" s="3" t="s">
        <v>68</v>
      </c>
      <c r="N712" s="3" t="str">
        <f>OBRA!Q710</f>
        <v>MUNICIPIO</v>
      </c>
      <c r="O712" s="504" t="s">
        <v>4884</v>
      </c>
      <c r="P712" s="79">
        <f>OBRA!R710</f>
        <v>5220</v>
      </c>
      <c r="Q712" s="1023">
        <f t="shared" si="56"/>
        <v>4500</v>
      </c>
      <c r="R712" s="79" t="s">
        <v>5591</v>
      </c>
      <c r="S712" s="67">
        <f>OBRA!S710</f>
        <v>45034</v>
      </c>
      <c r="T712" s="1134" t="str">
        <f>OBRA!V710</f>
        <v>-</v>
      </c>
      <c r="U712" s="5">
        <f>OBRA!T710</f>
        <v>45036</v>
      </c>
      <c r="V712" s="11">
        <f>OBRA!U710</f>
        <v>45066</v>
      </c>
      <c r="W712" s="1901">
        <v>0</v>
      </c>
      <c r="X712" s="1019">
        <f>OBRA!AS710+OBRA!AT710</f>
        <v>0</v>
      </c>
      <c r="Y712" s="1018" t="s">
        <v>6770</v>
      </c>
      <c r="Z712" s="146" t="str">
        <f>OBRA!W710</f>
        <v xml:space="preserve">DORIA &amp; SAMPIER CONSTRUCTORA, S.A. DE C.V. </v>
      </c>
      <c r="AA712" s="146" t="s">
        <v>5666</v>
      </c>
      <c r="AB712" s="1769" t="s">
        <v>5609</v>
      </c>
      <c r="AC712" s="1770" t="s">
        <v>5610</v>
      </c>
      <c r="AD712" s="1769" t="s">
        <v>5611</v>
      </c>
      <c r="AE712" s="1771" t="str">
        <f>OBRA!X710</f>
        <v>C. DANIEL RODRIGUEZ VALENZUELA</v>
      </c>
      <c r="AF712" s="19">
        <v>1</v>
      </c>
      <c r="AG712" s="1910" t="s">
        <v>6756</v>
      </c>
      <c r="AH712" s="183">
        <f t="shared" si="54"/>
        <v>5220</v>
      </c>
      <c r="AI712" s="2"/>
      <c r="AJ712" s="513"/>
      <c r="AK712" s="1888">
        <v>1</v>
      </c>
      <c r="AL712" s="1513"/>
      <c r="AM712" s="1514"/>
      <c r="AN712" s="571"/>
      <c r="AO712" s="571"/>
      <c r="AP712" s="571"/>
      <c r="AQ712" s="513"/>
      <c r="AR712" s="513"/>
      <c r="AS712" s="18"/>
    </row>
    <row r="713" spans="1:45" ht="110.25" customHeight="1">
      <c r="A713" s="16">
        <f>OBRA!J711</f>
        <v>2023</v>
      </c>
      <c r="B713" s="783" t="s">
        <v>3944</v>
      </c>
      <c r="C713" s="783">
        <f>OBRA!K711</f>
        <v>233008</v>
      </c>
      <c r="D713" s="783" t="s">
        <v>2310</v>
      </c>
      <c r="E713" s="2" t="str">
        <f>OBRA!M711</f>
        <v>CUENTA CORRIENTE</v>
      </c>
      <c r="F713" s="18" t="s">
        <v>1428</v>
      </c>
      <c r="G713" s="156" t="s">
        <v>2861</v>
      </c>
      <c r="H713" s="12" t="str">
        <f>OBRA!N711</f>
        <v>C- OP 008/2023</v>
      </c>
      <c r="I713" s="2" t="str">
        <f>OBRA!O711</f>
        <v>ARRENDAMIENTO</v>
      </c>
      <c r="J713"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t="s">
        <v>6421</v>
      </c>
      <c r="M713" s="3" t="s">
        <v>2654</v>
      </c>
      <c r="N713" s="3" t="str">
        <f>OBRA!Q711</f>
        <v>CABECERA MUNICIPAL</v>
      </c>
      <c r="O713" s="504" t="s">
        <v>4884</v>
      </c>
      <c r="P713" s="79">
        <f>OBRA!R711</f>
        <v>5220</v>
      </c>
      <c r="Q713" s="1023">
        <f t="shared" si="56"/>
        <v>4500</v>
      </c>
      <c r="R713" s="79" t="s">
        <v>2294</v>
      </c>
      <c r="S713" s="67">
        <f>OBRA!S711</f>
        <v>45034</v>
      </c>
      <c r="T713" s="1134" t="str">
        <f>OBRA!V711</f>
        <v>-</v>
      </c>
      <c r="U713" s="5">
        <f>OBRA!T711</f>
        <v>45036</v>
      </c>
      <c r="V713" s="11">
        <f>OBRA!U711</f>
        <v>45066</v>
      </c>
      <c r="W713" s="1901">
        <v>0</v>
      </c>
      <c r="X713" s="1019">
        <f>OBRA!AS711+OBRA!AT711</f>
        <v>0</v>
      </c>
      <c r="Y713" s="1018" t="s">
        <v>6770</v>
      </c>
      <c r="Z713" s="146" t="str">
        <f>OBRA!W711</f>
        <v xml:space="preserve">DORIA &amp; SAMPIER CONSTRUCTORA, S.A. DE C.V. </v>
      </c>
      <c r="AA713" s="146" t="s">
        <v>5666</v>
      </c>
      <c r="AB713" s="1769" t="s">
        <v>5609</v>
      </c>
      <c r="AC713" s="1770" t="s">
        <v>5610</v>
      </c>
      <c r="AD713" s="1769" t="s">
        <v>5611</v>
      </c>
      <c r="AE713" s="1771" t="str">
        <f>OBRA!X711</f>
        <v>C. DANIEL RODRIGUEZ VALENZUELA</v>
      </c>
      <c r="AF713" s="19">
        <v>1</v>
      </c>
      <c r="AG713" s="1910" t="s">
        <v>6756</v>
      </c>
      <c r="AH713" s="183">
        <f t="shared" si="54"/>
        <v>5220</v>
      </c>
      <c r="AI713" s="2"/>
      <c r="AJ713" s="513"/>
      <c r="AK713" s="1888">
        <v>1</v>
      </c>
      <c r="AL713" s="1513"/>
      <c r="AM713" s="1514"/>
      <c r="AN713" s="571"/>
      <c r="AO713" s="571"/>
      <c r="AP713" s="571"/>
      <c r="AQ713" s="513"/>
      <c r="AR713" s="513"/>
      <c r="AS713" s="18"/>
    </row>
    <row r="714" spans="1:45" ht="116.25" customHeight="1">
      <c r="A714" s="16">
        <f>OBRA!J712</f>
        <v>2023</v>
      </c>
      <c r="B714" s="783" t="s">
        <v>3944</v>
      </c>
      <c r="C714" s="783">
        <f>OBRA!K712</f>
        <v>233009</v>
      </c>
      <c r="D714" s="783" t="s">
        <v>2310</v>
      </c>
      <c r="E714" s="2" t="str">
        <f>OBRA!M712</f>
        <v>CUENTA CORRIENTE</v>
      </c>
      <c r="F714" s="18" t="s">
        <v>1428</v>
      </c>
      <c r="G714" s="156" t="s">
        <v>2861</v>
      </c>
      <c r="H714" s="12" t="str">
        <f>OBRA!N712</f>
        <v>C- OP 009/2023</v>
      </c>
      <c r="I714" s="2" t="str">
        <f>OBRA!O712</f>
        <v>ARRENDAMIENTO</v>
      </c>
      <c r="J714"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t="s">
        <v>6421</v>
      </c>
      <c r="M714" s="3" t="s">
        <v>6746</v>
      </c>
      <c r="N714" s="3" t="str">
        <f>OBRA!Q712</f>
        <v>CABECERA MUNICIPAL</v>
      </c>
      <c r="O714" s="504" t="s">
        <v>4884</v>
      </c>
      <c r="P714" s="79">
        <f>OBRA!R712</f>
        <v>696</v>
      </c>
      <c r="Q714" s="1023">
        <f t="shared" si="56"/>
        <v>600</v>
      </c>
      <c r="R714" s="79" t="s">
        <v>3954</v>
      </c>
      <c r="S714" s="67">
        <f>OBRA!S712</f>
        <v>44972</v>
      </c>
      <c r="T714" s="1134" t="str">
        <f>OBRA!V712</f>
        <v>-</v>
      </c>
      <c r="U714" s="5">
        <f>OBRA!T712</f>
        <v>44974</v>
      </c>
      <c r="V714" s="11">
        <f>OBRA!U712</f>
        <v>44976</v>
      </c>
      <c r="W714" s="1901">
        <v>0</v>
      </c>
      <c r="X714" s="1019">
        <f>OBRA!AS712+OBRA!AT712</f>
        <v>0</v>
      </c>
      <c r="Y714" s="1018" t="s">
        <v>6770</v>
      </c>
      <c r="Z714" s="146" t="str">
        <f>OBRA!W712</f>
        <v xml:space="preserve">DORIA &amp; SAMPIER CONSTRUCTORA, S.A. DE C.V. </v>
      </c>
      <c r="AA714" s="146" t="s">
        <v>5666</v>
      </c>
      <c r="AB714" s="1769" t="s">
        <v>4878</v>
      </c>
      <c r="AC714" s="1770" t="s">
        <v>4879</v>
      </c>
      <c r="AD714" s="1769" t="s">
        <v>4880</v>
      </c>
      <c r="AE714" s="1771" t="str">
        <f>OBRA!X712</f>
        <v>C. DANIEL RODRIGUEZ VALENZUELA</v>
      </c>
      <c r="AF714" s="19">
        <v>1</v>
      </c>
      <c r="AG714" s="1910" t="s">
        <v>6756</v>
      </c>
      <c r="AH714" s="183">
        <f t="shared" si="54"/>
        <v>696</v>
      </c>
      <c r="AI714" s="2"/>
      <c r="AJ714" s="513"/>
      <c r="AK714" s="1888">
        <v>1</v>
      </c>
      <c r="AL714" s="1513"/>
      <c r="AM714" s="1514"/>
      <c r="AN714" s="571"/>
      <c r="AO714" s="571"/>
      <c r="AP714" s="571"/>
      <c r="AQ714" s="513"/>
      <c r="AR714" s="513"/>
      <c r="AS714" s="18"/>
    </row>
    <row r="715" spans="1:45" ht="124.5" customHeight="1">
      <c r="A715" s="16">
        <f>OBRA!J713</f>
        <v>2023</v>
      </c>
      <c r="B715" s="783" t="s">
        <v>3944</v>
      </c>
      <c r="C715" s="783">
        <f>OBRA!K713</f>
        <v>233010</v>
      </c>
      <c r="D715" s="783" t="s">
        <v>2310</v>
      </c>
      <c r="E715" s="2" t="str">
        <f>OBRA!M713</f>
        <v>CUENTA CORRIENTE</v>
      </c>
      <c r="F715" s="18" t="s">
        <v>1428</v>
      </c>
      <c r="G715" s="156" t="s">
        <v>2861</v>
      </c>
      <c r="H715" s="12" t="str">
        <f>OBRA!N713</f>
        <v>C- OP 010/2023</v>
      </c>
      <c r="I715" s="2" t="str">
        <f>OBRA!O713</f>
        <v>ARRENDAMIENTO</v>
      </c>
      <c r="J715" s="3" t="str">
        <f>OBRA!P713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t="s">
        <v>6420</v>
      </c>
      <c r="M715" s="3" t="s">
        <v>6746</v>
      </c>
      <c r="N715" s="3" t="str">
        <f>OBRA!Q713</f>
        <v>CABECERA MUNICIPAL</v>
      </c>
      <c r="O715" s="504" t="s">
        <v>4884</v>
      </c>
      <c r="P715" s="79">
        <f>OBRA!R713</f>
        <v>754</v>
      </c>
      <c r="Q715" s="1023">
        <f t="shared" si="56"/>
        <v>650</v>
      </c>
      <c r="R715" s="79" t="s">
        <v>2294</v>
      </c>
      <c r="S715" s="67">
        <f>OBRA!S713</f>
        <v>44966</v>
      </c>
      <c r="T715" s="1134" t="str">
        <f>OBRA!V713</f>
        <v>-</v>
      </c>
      <c r="U715" s="5">
        <f>OBRA!T713</f>
        <v>44970</v>
      </c>
      <c r="V715" s="11">
        <f>OBRA!U713</f>
        <v>44976</v>
      </c>
      <c r="W715" s="1901">
        <v>0</v>
      </c>
      <c r="X715" s="1019">
        <f>OBRA!AS713+OBRA!AT713</f>
        <v>0</v>
      </c>
      <c r="Y715" s="1018" t="s">
        <v>6770</v>
      </c>
      <c r="Z715" s="146" t="str">
        <f>OBRA!W713</f>
        <v xml:space="preserve">DORIA &amp; SAMPIER CONSTRUCTORA, S.A. DE C.V. </v>
      </c>
      <c r="AA715" s="146" t="s">
        <v>5666</v>
      </c>
      <c r="AB715" s="1769" t="s">
        <v>5607</v>
      </c>
      <c r="AC715" s="1770" t="s">
        <v>4401</v>
      </c>
      <c r="AD715" s="1769" t="s">
        <v>5608</v>
      </c>
      <c r="AE715" s="1771" t="str">
        <f>OBRA!X713</f>
        <v>C. DANIEL RODRIGUEZ VALENZUELA</v>
      </c>
      <c r="AF715" s="19">
        <v>1</v>
      </c>
      <c r="AG715" s="1910" t="s">
        <v>6756</v>
      </c>
      <c r="AH715" s="183">
        <f t="shared" si="54"/>
        <v>754</v>
      </c>
      <c r="AI715" s="2"/>
      <c r="AJ715" s="513"/>
      <c r="AK715" s="1888">
        <v>1</v>
      </c>
      <c r="AL715" s="1513"/>
      <c r="AM715" s="1514"/>
      <c r="AN715" s="571"/>
      <c r="AO715" s="571"/>
      <c r="AP715" s="571"/>
      <c r="AQ715" s="513"/>
      <c r="AR715" s="513"/>
      <c r="AS715" s="18"/>
    </row>
    <row r="716" spans="1:45" ht="113.25" customHeight="1">
      <c r="A716" s="16">
        <f>OBRA!J714</f>
        <v>2023</v>
      </c>
      <c r="B716" s="783" t="s">
        <v>3944</v>
      </c>
      <c r="C716" s="783">
        <f>OBRA!K714</f>
        <v>233011</v>
      </c>
      <c r="D716" s="783" t="s">
        <v>2310</v>
      </c>
      <c r="E716" s="2" t="str">
        <f>OBRA!M714</f>
        <v>CUENTA CORRIENTE</v>
      </c>
      <c r="F716" s="18" t="s">
        <v>1428</v>
      </c>
      <c r="G716" s="156" t="s">
        <v>2861</v>
      </c>
      <c r="H716" s="12" t="str">
        <f>OBRA!N714</f>
        <v>C- OP 011/2023</v>
      </c>
      <c r="I716" s="2" t="str">
        <f>OBRA!O714</f>
        <v>ARRENDAMIENTO</v>
      </c>
      <c r="J716"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t="s">
        <v>6419</v>
      </c>
      <c r="M716" s="3" t="s">
        <v>6746</v>
      </c>
      <c r="N716" s="3" t="str">
        <f>OBRA!Q714</f>
        <v>CABECERA MUNICIPAL</v>
      </c>
      <c r="O716" s="504" t="s">
        <v>6534</v>
      </c>
      <c r="P716" s="79">
        <f>OBRA!R714</f>
        <v>1020.8</v>
      </c>
      <c r="Q716" s="1023">
        <f t="shared" si="56"/>
        <v>880</v>
      </c>
      <c r="R716" s="79" t="s">
        <v>2294</v>
      </c>
      <c r="S716" s="67">
        <f>OBRA!S714</f>
        <v>44966</v>
      </c>
      <c r="T716" s="1134" t="str">
        <f>OBRA!V714</f>
        <v>-</v>
      </c>
      <c r="U716" s="5">
        <f>OBRA!T714</f>
        <v>44970</v>
      </c>
      <c r="V716" s="11">
        <f>OBRA!U714</f>
        <v>44977</v>
      </c>
      <c r="W716" s="1901">
        <v>0</v>
      </c>
      <c r="X716" s="1019">
        <f>OBRA!AS714+OBRA!AT714</f>
        <v>0</v>
      </c>
      <c r="Y716" s="1018" t="s">
        <v>6770</v>
      </c>
      <c r="Z716" s="146" t="str">
        <f>OBRA!W714</f>
        <v xml:space="preserve">DORIA &amp; SAMPIER CONSTRUCTORA, S.A. DE C.V. </v>
      </c>
      <c r="AA716" s="146" t="s">
        <v>5666</v>
      </c>
      <c r="AB716" s="1769" t="s">
        <v>5607</v>
      </c>
      <c r="AC716" s="1770" t="s">
        <v>4401</v>
      </c>
      <c r="AD716" s="1769" t="s">
        <v>5608</v>
      </c>
      <c r="AE716" s="1771" t="str">
        <f>OBRA!X714</f>
        <v>C. DANIEL RODRIGUEZ VALENZUELA</v>
      </c>
      <c r="AF716" s="19">
        <v>1</v>
      </c>
      <c r="AG716" s="1910" t="s">
        <v>6757</v>
      </c>
      <c r="AH716" s="183">
        <f t="shared" si="54"/>
        <v>1020.8</v>
      </c>
      <c r="AI716" s="2"/>
      <c r="AJ716" s="513"/>
      <c r="AK716" s="1888">
        <v>1</v>
      </c>
      <c r="AL716" s="1513"/>
      <c r="AM716" s="1514"/>
      <c r="AN716" s="571"/>
      <c r="AO716" s="571"/>
      <c r="AP716" s="571"/>
      <c r="AQ716" s="513"/>
      <c r="AR716" s="513"/>
      <c r="AS716" s="18"/>
    </row>
    <row r="717" spans="1:45" ht="121.5" customHeight="1">
      <c r="A717" s="16">
        <f>OBRA!J715</f>
        <v>2023</v>
      </c>
      <c r="B717" s="783" t="s">
        <v>3944</v>
      </c>
      <c r="C717" s="783">
        <f>OBRA!K715</f>
        <v>233012</v>
      </c>
      <c r="D717" s="783" t="s">
        <v>2310</v>
      </c>
      <c r="E717" s="2" t="str">
        <f>OBRA!M715</f>
        <v>CUENTA CORRIENTE</v>
      </c>
      <c r="F717" s="18" t="s">
        <v>1428</v>
      </c>
      <c r="G717" s="156" t="s">
        <v>2861</v>
      </c>
      <c r="H717" s="12" t="str">
        <f>OBRA!N715</f>
        <v>C- OP 012/2023</v>
      </c>
      <c r="I717" s="2" t="str">
        <f>OBRA!O715</f>
        <v>ARRENDAMIENTO</v>
      </c>
      <c r="J717"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t="s">
        <v>6420</v>
      </c>
      <c r="M717" s="3" t="s">
        <v>6746</v>
      </c>
      <c r="N717" s="3" t="str">
        <f>OBRA!Q715</f>
        <v>CABECERA MUNICIPAL</v>
      </c>
      <c r="O717" s="504" t="s">
        <v>6534</v>
      </c>
      <c r="P717" s="79">
        <f>OBRA!R715</f>
        <v>754</v>
      </c>
      <c r="Q717" s="1023">
        <f t="shared" si="56"/>
        <v>650</v>
      </c>
      <c r="R717" s="79" t="s">
        <v>2294</v>
      </c>
      <c r="S717" s="67">
        <f>OBRA!S715</f>
        <v>44974</v>
      </c>
      <c r="T717" s="1134" t="str">
        <f>OBRA!V715</f>
        <v>-</v>
      </c>
      <c r="U717" s="5">
        <f>OBRA!T715</f>
        <v>44977</v>
      </c>
      <c r="V717" s="11">
        <f>OBRA!U715</f>
        <v>44982</v>
      </c>
      <c r="W717" s="1901">
        <v>0</v>
      </c>
      <c r="X717" s="1019">
        <f>OBRA!AS715+OBRA!AT715</f>
        <v>0</v>
      </c>
      <c r="Y717" s="1018" t="s">
        <v>6770</v>
      </c>
      <c r="Z717" s="146" t="str">
        <f>OBRA!W715</f>
        <v xml:space="preserve">DORIA &amp; SAMPIER CONSTRUCTORA, S.A. DE C.V. </v>
      </c>
      <c r="AA717" s="146" t="s">
        <v>5666</v>
      </c>
      <c r="AB717" s="1769" t="s">
        <v>5607</v>
      </c>
      <c r="AC717" s="1770" t="s">
        <v>4401</v>
      </c>
      <c r="AD717" s="1769" t="s">
        <v>5608</v>
      </c>
      <c r="AE717" s="1771" t="str">
        <f>OBRA!X715</f>
        <v>C. DANIEL RODRIGUEZ VALENZUELA</v>
      </c>
      <c r="AF717" s="19">
        <v>1</v>
      </c>
      <c r="AG717" s="1910" t="s">
        <v>6756</v>
      </c>
      <c r="AH717" s="183">
        <f t="shared" si="54"/>
        <v>754</v>
      </c>
      <c r="AI717" s="2"/>
      <c r="AJ717" s="513"/>
      <c r="AK717" s="1888">
        <v>1</v>
      </c>
      <c r="AL717" s="1513"/>
      <c r="AM717" s="1514"/>
      <c r="AN717" s="571"/>
      <c r="AO717" s="571"/>
      <c r="AP717" s="571"/>
      <c r="AQ717" s="513"/>
      <c r="AR717" s="513"/>
      <c r="AS717" s="18"/>
    </row>
    <row r="718" spans="1:45" ht="132" customHeight="1">
      <c r="A718" s="16">
        <f>OBRA!J716</f>
        <v>2023</v>
      </c>
      <c r="B718" s="783" t="s">
        <v>3944</v>
      </c>
      <c r="C718" s="783">
        <f>OBRA!K716</f>
        <v>233014</v>
      </c>
      <c r="D718" s="783" t="s">
        <v>2310</v>
      </c>
      <c r="E718" s="2" t="str">
        <f>OBRA!M716</f>
        <v>CUENTA CORRIENTE</v>
      </c>
      <c r="F718" s="18" t="s">
        <v>1428</v>
      </c>
      <c r="G718" s="156" t="s">
        <v>2861</v>
      </c>
      <c r="H718" s="12" t="str">
        <f>OBRA!N716</f>
        <v>C- OP 013/2023</v>
      </c>
      <c r="I718" s="2" t="str">
        <f>OBRA!O716</f>
        <v>ARRENDAMIENTO</v>
      </c>
      <c r="J718"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t="s">
        <v>6419</v>
      </c>
      <c r="M718" s="3" t="s">
        <v>6746</v>
      </c>
      <c r="N718" s="3" t="str">
        <f>OBRA!Q716</f>
        <v>CABECERA MUNICIPAL</v>
      </c>
      <c r="O718" s="504" t="s">
        <v>6534</v>
      </c>
      <c r="P718" s="79">
        <f>OBRA!R716</f>
        <v>1020.8</v>
      </c>
      <c r="Q718" s="1023">
        <f t="shared" si="56"/>
        <v>880</v>
      </c>
      <c r="R718" s="79" t="s">
        <v>2294</v>
      </c>
      <c r="S718" s="67">
        <f>OBRA!S716</f>
        <v>44974</v>
      </c>
      <c r="T718" s="1134" t="str">
        <f>OBRA!V716</f>
        <v>-</v>
      </c>
      <c r="U718" s="5">
        <f>OBRA!T716</f>
        <v>44977</v>
      </c>
      <c r="V718" s="11">
        <f>OBRA!U716</f>
        <v>44982</v>
      </c>
      <c r="W718" s="1901">
        <v>0</v>
      </c>
      <c r="X718" s="1019">
        <f>OBRA!AS716+OBRA!AT716</f>
        <v>0</v>
      </c>
      <c r="Y718" s="1018" t="s">
        <v>6770</v>
      </c>
      <c r="Z718" s="146" t="str">
        <f>OBRA!W716</f>
        <v xml:space="preserve">DORIA &amp; SAMPIER CONSTRUCTORA, S.A. DE C.V. </v>
      </c>
      <c r="AA718" s="146" t="s">
        <v>5666</v>
      </c>
      <c r="AB718" s="1769" t="s">
        <v>5607</v>
      </c>
      <c r="AC718" s="1770" t="s">
        <v>4401</v>
      </c>
      <c r="AD718" s="1769" t="s">
        <v>5608</v>
      </c>
      <c r="AE718" s="1771" t="str">
        <f>OBRA!X716</f>
        <v>C. DANIEL RODRIGUEZ VALENZUELA</v>
      </c>
      <c r="AF718" s="19">
        <v>1</v>
      </c>
      <c r="AG718" s="1910" t="s">
        <v>6757</v>
      </c>
      <c r="AH718" s="183">
        <f t="shared" si="54"/>
        <v>1020.8</v>
      </c>
      <c r="AI718" s="2"/>
      <c r="AJ718" s="513"/>
      <c r="AK718" s="1888">
        <v>1</v>
      </c>
      <c r="AL718" s="1513"/>
      <c r="AM718" s="1514"/>
      <c r="AN718" s="571"/>
      <c r="AO718" s="571"/>
      <c r="AP718" s="571"/>
      <c r="AQ718" s="513"/>
      <c r="AR718" s="513"/>
      <c r="AS718" s="18"/>
    </row>
    <row r="719" spans="1:45" ht="129" customHeight="1">
      <c r="A719" s="16">
        <f>OBRA!J717</f>
        <v>2023</v>
      </c>
      <c r="B719" s="783" t="s">
        <v>3944</v>
      </c>
      <c r="C719" s="783">
        <f>OBRA!K717</f>
        <v>233014</v>
      </c>
      <c r="D719" s="783" t="s">
        <v>2310</v>
      </c>
      <c r="E719" s="2" t="str">
        <f>OBRA!M717</f>
        <v>CUENTA CORRIENTE</v>
      </c>
      <c r="F719" s="18" t="s">
        <v>1428</v>
      </c>
      <c r="G719" s="156" t="s">
        <v>2861</v>
      </c>
      <c r="H719" s="12" t="str">
        <f>OBRA!N717</f>
        <v>C- OP 014/2023</v>
      </c>
      <c r="I719" s="2" t="str">
        <f>OBRA!O717</f>
        <v>ARRENDAMIENTO</v>
      </c>
      <c r="J719"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t="s">
        <v>6421</v>
      </c>
      <c r="M719" s="3" t="s">
        <v>6746</v>
      </c>
      <c r="N719" s="3" t="str">
        <f>OBRA!Q717</f>
        <v>CABECERA MUNICIPAL</v>
      </c>
      <c r="O719" s="504" t="s">
        <v>6534</v>
      </c>
      <c r="P719" s="79">
        <f>OBRA!R717</f>
        <v>696</v>
      </c>
      <c r="Q719" s="1023">
        <f t="shared" si="56"/>
        <v>600</v>
      </c>
      <c r="R719" s="79" t="s">
        <v>2294</v>
      </c>
      <c r="S719" s="67">
        <f>OBRA!S717</f>
        <v>44977</v>
      </c>
      <c r="T719" s="1134" t="str">
        <f>OBRA!V717</f>
        <v>-</v>
      </c>
      <c r="U719" s="5">
        <f>OBRA!T717</f>
        <v>44978</v>
      </c>
      <c r="V719" s="11">
        <f>OBRA!U717</f>
        <v>44982</v>
      </c>
      <c r="W719" s="1901">
        <v>0</v>
      </c>
      <c r="X719" s="1019">
        <f>OBRA!AS717+OBRA!AT717</f>
        <v>0</v>
      </c>
      <c r="Y719" s="1018" t="s">
        <v>6770</v>
      </c>
      <c r="Z719" s="146" t="str">
        <f>OBRA!W717</f>
        <v xml:space="preserve">DORIA &amp; SAMPIER CONSTRUCTORA, S.A. DE C.V. </v>
      </c>
      <c r="AA719" s="146" t="s">
        <v>5666</v>
      </c>
      <c r="AB719" s="1769" t="s">
        <v>5607</v>
      </c>
      <c r="AC719" s="1770" t="s">
        <v>4401</v>
      </c>
      <c r="AD719" s="1769" t="s">
        <v>5608</v>
      </c>
      <c r="AE719" s="1771" t="str">
        <f>OBRA!X717</f>
        <v>C. DANIEL RODRIGUEZ VALENZUELA</v>
      </c>
      <c r="AF719" s="19">
        <v>1</v>
      </c>
      <c r="AG719" s="1910" t="s">
        <v>6756</v>
      </c>
      <c r="AH719" s="183">
        <f t="shared" si="54"/>
        <v>696</v>
      </c>
      <c r="AI719" s="2"/>
      <c r="AJ719" s="513"/>
      <c r="AK719" s="1888">
        <v>1</v>
      </c>
      <c r="AL719" s="1513"/>
      <c r="AM719" s="1514"/>
      <c r="AN719" s="571"/>
      <c r="AO719" s="571"/>
      <c r="AP719" s="571"/>
      <c r="AQ719" s="513"/>
      <c r="AR719" s="513"/>
      <c r="AS719" s="18"/>
    </row>
    <row r="720" spans="1:45" ht="93.75" customHeight="1">
      <c r="A720" s="16">
        <f>OBRA!J718</f>
        <v>2023</v>
      </c>
      <c r="B720" s="783" t="s">
        <v>3944</v>
      </c>
      <c r="C720" s="783">
        <f>OBRA!K718</f>
        <v>233015</v>
      </c>
      <c r="D720" s="783" t="s">
        <v>2310</v>
      </c>
      <c r="E720" s="2" t="str">
        <f>OBRA!M718</f>
        <v>CUENTA CORRIENTE</v>
      </c>
      <c r="F720" s="18" t="s">
        <v>1428</v>
      </c>
      <c r="G720" s="156" t="s">
        <v>2861</v>
      </c>
      <c r="H720" s="12" t="str">
        <f>OBRA!N718</f>
        <v>C- OP 015/2023</v>
      </c>
      <c r="I720" s="2" t="str">
        <f>OBRA!O718</f>
        <v>ARRENDAMIENTO</v>
      </c>
      <c r="J720" s="3" t="str">
        <f>OBRA!P718</f>
        <v>RENTA DE UNA RETROEXCAVADORA JHON DEERE 310SJ 4X4, PARA SER UTILIZADA EN DIVERSOS MANTENIMIENTOS REQUERIDOS POR LA DIRECCIÓN DE OBRAS PÚBLICAS DEL GOBIERNO MUNICIPAL DE JOCOTEPEC, JALISCO.</v>
      </c>
      <c r="K720" s="3"/>
      <c r="L720" s="3" t="s">
        <v>6420</v>
      </c>
      <c r="M720" s="3" t="s">
        <v>68</v>
      </c>
      <c r="N720" s="3" t="str">
        <f>OBRA!Q718</f>
        <v>MUNICIPIO</v>
      </c>
      <c r="O720" s="504" t="s">
        <v>6534</v>
      </c>
      <c r="P720" s="79">
        <f>OBRA!R718</f>
        <v>59681.999999999993</v>
      </c>
      <c r="Q720" s="1023">
        <f t="shared" si="56"/>
        <v>51450</v>
      </c>
      <c r="R720" s="1714" t="s">
        <v>68</v>
      </c>
      <c r="S720" s="67">
        <f>OBRA!S718</f>
        <v>45044</v>
      </c>
      <c r="T720" s="1134" t="str">
        <f>OBRA!V718</f>
        <v>-</v>
      </c>
      <c r="U720" s="5">
        <f>OBRA!T718</f>
        <v>45047</v>
      </c>
      <c r="V720" s="11">
        <f>OBRA!U718</f>
        <v>45077</v>
      </c>
      <c r="W720" s="1901">
        <v>0</v>
      </c>
      <c r="X720" s="1019">
        <f>OBRA!AS718+OBRA!AT718</f>
        <v>0</v>
      </c>
      <c r="Y720" s="1018" t="s">
        <v>6770</v>
      </c>
      <c r="Z720" s="146" t="str">
        <f>OBRA!W718</f>
        <v>URBANIZADORA Y PAVIMENTADORA MONLE S.A. DE C.V.</v>
      </c>
      <c r="AA720" s="146" t="s">
        <v>5666</v>
      </c>
      <c r="AB720" s="1769" t="s">
        <v>4878</v>
      </c>
      <c r="AC720" s="1770" t="s">
        <v>4879</v>
      </c>
      <c r="AD720" s="1769" t="s">
        <v>5903</v>
      </c>
      <c r="AE720" s="1771" t="str">
        <f>OBRA!X718</f>
        <v>C. DANIEL RODRIGUEZ VALENZUELA</v>
      </c>
      <c r="AF720" s="19">
        <v>1</v>
      </c>
      <c r="AG720" s="1910" t="s">
        <v>6756</v>
      </c>
      <c r="AH720" s="183">
        <f t="shared" si="54"/>
        <v>59681.999999999993</v>
      </c>
      <c r="AI720" s="2"/>
      <c r="AJ720" s="513"/>
      <c r="AK720" s="1888">
        <v>1</v>
      </c>
      <c r="AL720" s="1513"/>
      <c r="AM720" s="1514"/>
      <c r="AN720" s="571"/>
      <c r="AO720" s="571"/>
      <c r="AP720" s="571"/>
      <c r="AQ720" s="513"/>
      <c r="AR720" s="513"/>
      <c r="AS720" s="18"/>
    </row>
    <row r="721" spans="1:45" ht="138" customHeight="1">
      <c r="A721" s="16">
        <f>OBRA!J719</f>
        <v>2023</v>
      </c>
      <c r="B721" s="783" t="s">
        <v>3944</v>
      </c>
      <c r="C721" s="783">
        <f>OBRA!K719</f>
        <v>233016</v>
      </c>
      <c r="D721" s="783" t="s">
        <v>2310</v>
      </c>
      <c r="E721" s="2" t="str">
        <f>OBRA!M719</f>
        <v>CUENTA CORRIENTE</v>
      </c>
      <c r="F721" s="704" t="s">
        <v>5650</v>
      </c>
      <c r="G721" s="156" t="s">
        <v>2861</v>
      </c>
      <c r="H721" s="12" t="str">
        <f>OBRA!N719</f>
        <v>C- OP 016/2023</v>
      </c>
      <c r="I721" s="2" t="str">
        <f>OBRA!O719</f>
        <v>ARRENDAMIENTO</v>
      </c>
      <c r="J721"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t="s">
        <v>6421</v>
      </c>
      <c r="M721" s="3"/>
      <c r="N721" s="3" t="str">
        <f>OBRA!Q719</f>
        <v>EL MOLINO</v>
      </c>
      <c r="O721" s="504" t="s">
        <v>6534</v>
      </c>
      <c r="P721" s="79">
        <f>OBRA!R719</f>
        <v>2900</v>
      </c>
      <c r="Q721" s="1023">
        <f t="shared" si="56"/>
        <v>2500</v>
      </c>
      <c r="R721" s="1714" t="s">
        <v>68</v>
      </c>
      <c r="S721" s="67">
        <f>OBRA!S719</f>
        <v>45113</v>
      </c>
      <c r="T721" s="1134" t="str">
        <f>OBRA!V719</f>
        <v>-</v>
      </c>
      <c r="U721" s="5">
        <f>OBRA!T719</f>
        <v>45117</v>
      </c>
      <c r="V721" s="11">
        <f>OBRA!U719</f>
        <v>45127</v>
      </c>
      <c r="W721" s="1901">
        <v>0</v>
      </c>
      <c r="X721" s="1019">
        <f>OBRA!AS719+OBRA!AT719</f>
        <v>0</v>
      </c>
      <c r="Y721" s="1018" t="s">
        <v>6770</v>
      </c>
      <c r="Z721" s="146" t="str">
        <f>OBRA!W719</f>
        <v>GHR CONSTRUCTOR, S.A. DE C.V.</v>
      </c>
      <c r="AA721" s="146" t="s">
        <v>5666</v>
      </c>
      <c r="AB721" s="1769" t="s">
        <v>5609</v>
      </c>
      <c r="AC721" s="1770" t="s">
        <v>5610</v>
      </c>
      <c r="AD721" s="1769" t="s">
        <v>6727</v>
      </c>
      <c r="AE721" s="1771" t="str">
        <f>OBRA!X719</f>
        <v>C. DANIEL RODRIGUEZ VALENZUELA</v>
      </c>
      <c r="AF721" s="19">
        <v>2</v>
      </c>
      <c r="AG721" s="1910" t="s">
        <v>6756</v>
      </c>
      <c r="AH721" s="183">
        <f t="shared" si="54"/>
        <v>1450</v>
      </c>
      <c r="AI721" s="2"/>
      <c r="AJ721" s="513"/>
      <c r="AK721" s="1888">
        <v>1</v>
      </c>
      <c r="AL721" s="1513"/>
      <c r="AM721" s="1514"/>
      <c r="AN721" s="571"/>
      <c r="AO721" s="571"/>
      <c r="AP721" s="571"/>
      <c r="AQ721" s="513"/>
      <c r="AR721" s="513"/>
      <c r="AS721" s="18"/>
    </row>
    <row r="722" spans="1:45" ht="84" customHeight="1">
      <c r="A722" s="16">
        <f>OBRA!J720</f>
        <v>2023</v>
      </c>
      <c r="B722" s="783" t="s">
        <v>3944</v>
      </c>
      <c r="C722" s="783">
        <f>OBRA!K720</f>
        <v>233017</v>
      </c>
      <c r="D722" s="783" t="s">
        <v>2310</v>
      </c>
      <c r="E722" s="2" t="str">
        <f>OBRA!M720</f>
        <v>CUENTA CORRIENTE</v>
      </c>
      <c r="F722" s="18" t="s">
        <v>1428</v>
      </c>
      <c r="G722" s="156" t="s">
        <v>2861</v>
      </c>
      <c r="H722" s="12" t="str">
        <f>OBRA!N720</f>
        <v>C- OP 017/2023</v>
      </c>
      <c r="I722" s="2" t="str">
        <f>OBRA!O720</f>
        <v>ARRENDAMIENTO</v>
      </c>
      <c r="J722" s="3" t="str">
        <f>OBRA!P720</f>
        <v>RENTA DE UNA RETROEXCAVADORA CATERPILLAR 416E 4X4 DE 77HP, PARA SER UTITLIZADO PARA LA CONSTRUCCIÓN DE BASE PARA COLOCACIÓN DE LETRAS MONUMENTALES EN LAS TROJES, MUNICIPIO DE JOCOTEPEC, JALISCO</v>
      </c>
      <c r="K722" s="3"/>
      <c r="L722" s="3" t="s">
        <v>6420</v>
      </c>
      <c r="M722" s="3" t="s">
        <v>6745</v>
      </c>
      <c r="N722" s="3" t="str">
        <f>OBRA!Q720</f>
        <v>LAS TROJES</v>
      </c>
      <c r="O722" s="504" t="s">
        <v>6534</v>
      </c>
      <c r="P722" s="79">
        <f>OBRA!R720</f>
        <v>696</v>
      </c>
      <c r="Q722" s="1023">
        <f t="shared" si="56"/>
        <v>600</v>
      </c>
      <c r="R722" s="1714" t="s">
        <v>68</v>
      </c>
      <c r="S722" s="67">
        <f>OBRA!S720</f>
        <v>45133</v>
      </c>
      <c r="T722" s="1134" t="str">
        <f>OBRA!V720</f>
        <v>-</v>
      </c>
      <c r="U722" s="5">
        <f>OBRA!T720</f>
        <v>45139</v>
      </c>
      <c r="V722" s="11">
        <f>OBRA!U720</f>
        <v>45148</v>
      </c>
      <c r="W722" s="1901">
        <v>0</v>
      </c>
      <c r="X722" s="1019">
        <f>OBRA!AS720+OBRA!AT720</f>
        <v>0</v>
      </c>
      <c r="Y722" s="1018" t="s">
        <v>6770</v>
      </c>
      <c r="Z722" s="146" t="str">
        <f>OBRA!W720</f>
        <v>GHR CONSTRUCTOR, S.A. DE C.V.</v>
      </c>
      <c r="AA722" s="146" t="s">
        <v>5666</v>
      </c>
      <c r="AB722" s="1769" t="s">
        <v>5609</v>
      </c>
      <c r="AC722" s="1770" t="s">
        <v>5610</v>
      </c>
      <c r="AD722" s="1769" t="s">
        <v>6727</v>
      </c>
      <c r="AE722" s="1771" t="str">
        <f>OBRA!X720</f>
        <v>C. DANIEL RODRIGUEZ VALENZUELA</v>
      </c>
      <c r="AF722" s="19">
        <v>1</v>
      </c>
      <c r="AG722" s="1910" t="s">
        <v>6756</v>
      </c>
      <c r="AH722" s="183">
        <f t="shared" si="54"/>
        <v>696</v>
      </c>
      <c r="AI722" s="2"/>
      <c r="AJ722" s="513"/>
      <c r="AK722" s="1888">
        <v>1</v>
      </c>
      <c r="AL722" s="1513"/>
      <c r="AM722" s="1514"/>
      <c r="AN722" s="571"/>
      <c r="AO722" s="571"/>
      <c r="AP722" s="571"/>
      <c r="AQ722" s="513"/>
      <c r="AR722" s="513"/>
      <c r="AS722" s="18"/>
    </row>
    <row r="723" spans="1:45" ht="78.75" customHeight="1">
      <c r="A723" s="16">
        <f>OBRA!J721</f>
        <v>2023</v>
      </c>
      <c r="B723" s="783" t="s">
        <v>3944</v>
      </c>
      <c r="C723" s="783">
        <f>OBRA!K721</f>
        <v>233018</v>
      </c>
      <c r="D723" s="783" t="s">
        <v>2310</v>
      </c>
      <c r="E723" s="2" t="str">
        <f>OBRA!M721</f>
        <v>CUENTA CORRIENTE</v>
      </c>
      <c r="F723" s="18" t="s">
        <v>1428</v>
      </c>
      <c r="G723" s="156" t="s">
        <v>2861</v>
      </c>
      <c r="H723" s="12" t="str">
        <f>OBRA!N721</f>
        <v>C- OP 018/2023</v>
      </c>
      <c r="I723" s="2" t="str">
        <f>OBRA!O721</f>
        <v>ARRENDAMIENTO</v>
      </c>
      <c r="J723" s="3" t="str">
        <f>OBRA!P721</f>
        <v>RENTA DE UNA RETROEXCAVADORA JHON DEERE 310SJ 4X4, PARA SER UTILIZADA EN DIVERSOS MANTENIMIENTOS REQUERIDOS POR LA DIRECCIÓN DE OBRAS PÚBLICAS DEL GOBIERNO MUNICIPAL DE JOCOTEPEC, JALISCO.</v>
      </c>
      <c r="K723" s="3"/>
      <c r="L723" s="3" t="s">
        <v>6420</v>
      </c>
      <c r="M723" s="3" t="s">
        <v>68</v>
      </c>
      <c r="N723" s="3" t="str">
        <f>OBRA!Q721</f>
        <v>MUNICIPIO</v>
      </c>
      <c r="O723" s="504" t="s">
        <v>6534</v>
      </c>
      <c r="P723" s="79">
        <f>OBRA!R721</f>
        <v>56839.999999999993</v>
      </c>
      <c r="Q723" s="1023">
        <f t="shared" si="56"/>
        <v>49000</v>
      </c>
      <c r="R723" s="1714" t="s">
        <v>68</v>
      </c>
      <c r="S723" s="67">
        <f>OBRA!S721</f>
        <v>45077</v>
      </c>
      <c r="T723" s="1134" t="str">
        <f>OBRA!V721</f>
        <v>-</v>
      </c>
      <c r="U723" s="5">
        <f>OBRA!T721</f>
        <v>45078</v>
      </c>
      <c r="V723" s="11">
        <f>OBRA!U721</f>
        <v>45138</v>
      </c>
      <c r="W723" s="1901">
        <v>0</v>
      </c>
      <c r="X723" s="1019">
        <f>OBRA!AS721+OBRA!AT721</f>
        <v>0</v>
      </c>
      <c r="Y723" s="1018" t="s">
        <v>6770</v>
      </c>
      <c r="Z723" s="146" t="str">
        <f>OBRA!W721</f>
        <v>URBANIZADORA Y PAVIMENTADORA MONLE, S.A. DE C.V.</v>
      </c>
      <c r="AA723" s="146" t="s">
        <v>5666</v>
      </c>
      <c r="AB723" s="1769" t="s">
        <v>4878</v>
      </c>
      <c r="AC723" s="1770" t="s">
        <v>4879</v>
      </c>
      <c r="AD723" s="1769" t="s">
        <v>5903</v>
      </c>
      <c r="AE723" s="1771" t="str">
        <f>OBRA!X721</f>
        <v>C. DANIEL RODRIGUEZ VALENZUELA</v>
      </c>
      <c r="AF723" s="19">
        <v>1</v>
      </c>
      <c r="AG723" s="1910" t="s">
        <v>6756</v>
      </c>
      <c r="AH723" s="183">
        <f t="shared" si="54"/>
        <v>56839.999999999993</v>
      </c>
      <c r="AI723" s="2"/>
      <c r="AJ723" s="513"/>
      <c r="AK723" s="1888">
        <v>1</v>
      </c>
      <c r="AL723" s="1513"/>
      <c r="AM723" s="1514"/>
      <c r="AN723" s="571"/>
      <c r="AO723" s="571"/>
      <c r="AP723" s="571"/>
      <c r="AQ723" s="513"/>
      <c r="AR723" s="513"/>
      <c r="AS723" s="18"/>
    </row>
    <row r="724" spans="1:45" ht="83.25" customHeight="1">
      <c r="A724" s="16">
        <f>OBRA!J722</f>
        <v>2023</v>
      </c>
      <c r="B724" s="783" t="s">
        <v>3944</v>
      </c>
      <c r="C724" s="783">
        <f>OBRA!K722</f>
        <v>233019</v>
      </c>
      <c r="D724" s="783" t="s">
        <v>2310</v>
      </c>
      <c r="E724" s="2" t="str">
        <f>OBRA!M722</f>
        <v>CUENTA CORRIENTE</v>
      </c>
      <c r="F724" s="704" t="s">
        <v>5651</v>
      </c>
      <c r="G724" s="156" t="s">
        <v>2861</v>
      </c>
      <c r="H724" s="12" t="str">
        <f>OBRA!N722</f>
        <v>C- OP 019/2023</v>
      </c>
      <c r="I724" s="2" t="str">
        <f>OBRA!O722</f>
        <v>ARRENDAMIENTO</v>
      </c>
      <c r="J724" s="3" t="str">
        <f>OBRA!P722</f>
        <v>RENTA DE UNA RETROEXCAVADORA CATERPILLAR SERIE 416E, PARA LOS TRABAJOS DE NIVELACIÓN DE TERRENO EN POZO DE AGUA CAMICHINES EN CALLE FRANCISCO VILLA, CABECERA MUNICIPAL DE JOCOTEPEC, JALISCO.</v>
      </c>
      <c r="K724" s="3"/>
      <c r="L724" s="3" t="s">
        <v>6420</v>
      </c>
      <c r="M724" s="3" t="s">
        <v>6739</v>
      </c>
      <c r="N724" s="3" t="str">
        <f>OBRA!Q722</f>
        <v>CABECERA MUNICIPAL</v>
      </c>
      <c r="O724" s="504" t="s">
        <v>6534</v>
      </c>
      <c r="P724" s="79">
        <f>OBRA!R722</f>
        <v>779.52</v>
      </c>
      <c r="Q724" s="1023">
        <f t="shared" ref="Q724:Q755" si="57">P724/1.16</f>
        <v>672</v>
      </c>
      <c r="R724" s="1714" t="s">
        <v>68</v>
      </c>
      <c r="S724" s="67">
        <f>OBRA!S722</f>
        <v>45210</v>
      </c>
      <c r="T724" s="1134" t="str">
        <f>OBRA!V722</f>
        <v>-</v>
      </c>
      <c r="U724" s="5">
        <f>OBRA!T722</f>
        <v>45215</v>
      </c>
      <c r="V724" s="11">
        <f>OBRA!U722</f>
        <v>45217</v>
      </c>
      <c r="W724" s="1901">
        <v>0</v>
      </c>
      <c r="X724" s="1019">
        <f>OBRA!AS722+OBRA!AT722</f>
        <v>0</v>
      </c>
      <c r="Y724" s="1018" t="s">
        <v>6770</v>
      </c>
      <c r="Z724" s="146" t="str">
        <f>OBRA!W722</f>
        <v xml:space="preserve">DORIA &amp; SAMPIER CONSTRUCTORA, S.A. DE C.V. </v>
      </c>
      <c r="AA724" s="146" t="s">
        <v>5666</v>
      </c>
      <c r="AB724" s="1769" t="s">
        <v>5607</v>
      </c>
      <c r="AC724" s="1770" t="s">
        <v>4401</v>
      </c>
      <c r="AD724" s="1769" t="s">
        <v>5608</v>
      </c>
      <c r="AE724" s="1771" t="str">
        <f>OBRA!X722</f>
        <v>C. DANIEL RODRIGUEZ VALENZUELA</v>
      </c>
      <c r="AF724" s="19">
        <v>1</v>
      </c>
      <c r="AG724" s="1910" t="s">
        <v>6756</v>
      </c>
      <c r="AH724" s="183">
        <f t="shared" si="54"/>
        <v>779.52</v>
      </c>
      <c r="AI724" s="2"/>
      <c r="AJ724" s="513"/>
      <c r="AK724" s="1888">
        <v>1</v>
      </c>
      <c r="AL724" s="1513"/>
      <c r="AM724" s="1514"/>
      <c r="AN724" s="571"/>
      <c r="AO724" s="571"/>
      <c r="AP724" s="571"/>
      <c r="AQ724" s="513"/>
      <c r="AR724" s="513"/>
      <c r="AS724" s="18"/>
    </row>
    <row r="725" spans="1:45" ht="105" customHeight="1">
      <c r="A725" s="16">
        <f>OBRA!J723</f>
        <v>2023</v>
      </c>
      <c r="B725" s="783" t="s">
        <v>3944</v>
      </c>
      <c r="C725" s="783">
        <f>OBRA!K723</f>
        <v>233020</v>
      </c>
      <c r="D725" s="783" t="s">
        <v>2310</v>
      </c>
      <c r="E725" s="2" t="str">
        <f>OBRA!M723</f>
        <v>CUENTA CORRIENTE</v>
      </c>
      <c r="F725" s="18" t="s">
        <v>1428</v>
      </c>
      <c r="G725" s="156" t="s">
        <v>2861</v>
      </c>
      <c r="H725" s="12" t="str">
        <f>OBRA!N723</f>
        <v>C- OP 020/2023</v>
      </c>
      <c r="I725" s="2" t="str">
        <f>OBRA!O723</f>
        <v>ARRENDAMIENTO</v>
      </c>
      <c r="J725" s="3" t="str">
        <f>OBRA!P723</f>
        <v>RENTA DE UNA RETROEXCAVADORA CATERPILLAR SERIE 416E, PARA LA OBRA "REHABILITACIÓN DE REDES HIDROSANITARIAS Y COLECTOR DE CALLE RIVERA DEL LAGO ENTRE CALLE GUAYABITOS Y CALLE CHUECA", EN LA LOCALIDAD DE CHANTEPEC, MUNICIPIO DE JOCOTEPEC, JALISCO.</v>
      </c>
      <c r="K725" s="3"/>
      <c r="L725" s="3" t="s">
        <v>6420</v>
      </c>
      <c r="M725" s="3" t="s">
        <v>6747</v>
      </c>
      <c r="N725" s="3" t="str">
        <f>OBRA!Q723</f>
        <v>CHANTEPEC</v>
      </c>
      <c r="O725" s="504" t="s">
        <v>6534</v>
      </c>
      <c r="P725" s="79">
        <f>OBRA!R723</f>
        <v>730.8</v>
      </c>
      <c r="Q725" s="1023">
        <f t="shared" si="57"/>
        <v>630</v>
      </c>
      <c r="R725" s="1714" t="s">
        <v>68</v>
      </c>
      <c r="S725" s="67">
        <f>OBRA!S723</f>
        <v>45204</v>
      </c>
      <c r="T725" s="1134" t="str">
        <f>OBRA!V723</f>
        <v>-</v>
      </c>
      <c r="U725" s="5">
        <f>OBRA!T723</f>
        <v>45208</v>
      </c>
      <c r="V725" s="11">
        <f>OBRA!U723</f>
        <v>45240</v>
      </c>
      <c r="W725" s="1901">
        <v>0</v>
      </c>
      <c r="X725" s="1019">
        <f>OBRA!AS723+OBRA!AT723</f>
        <v>0</v>
      </c>
      <c r="Y725" s="1018" t="s">
        <v>6770</v>
      </c>
      <c r="Z725" s="146" t="str">
        <f>OBRA!W723</f>
        <v xml:space="preserve">DORIA &amp; SAMPIER CONSTRUCTORA, S.A. DE C.V. </v>
      </c>
      <c r="AA725" s="146" t="s">
        <v>5666</v>
      </c>
      <c r="AB725" s="1769" t="s">
        <v>5607</v>
      </c>
      <c r="AC725" s="1770" t="s">
        <v>4401</v>
      </c>
      <c r="AD725" s="1769" t="s">
        <v>5608</v>
      </c>
      <c r="AE725" s="1771" t="str">
        <f>OBRA!X723</f>
        <v>C. DANIEL RODRIGUEZ VALENZUELA</v>
      </c>
      <c r="AF725" s="19">
        <v>1</v>
      </c>
      <c r="AG725" s="1910" t="s">
        <v>6756</v>
      </c>
      <c r="AH725" s="183">
        <f t="shared" si="54"/>
        <v>730.8</v>
      </c>
      <c r="AI725" s="2"/>
      <c r="AJ725" s="513"/>
      <c r="AK725" s="1888">
        <v>1</v>
      </c>
      <c r="AL725" s="1513"/>
      <c r="AM725" s="1514"/>
      <c r="AN725" s="571"/>
      <c r="AO725" s="571"/>
      <c r="AP725" s="571"/>
      <c r="AQ725" s="513"/>
      <c r="AR725" s="513"/>
      <c r="AS725" s="18"/>
    </row>
    <row r="726" spans="1:45" ht="114" customHeight="1">
      <c r="A726" s="16">
        <f>OBRA!J724</f>
        <v>2023</v>
      </c>
      <c r="B726" s="783" t="s">
        <v>3944</v>
      </c>
      <c r="C726" s="783">
        <f>OBRA!K724</f>
        <v>233021</v>
      </c>
      <c r="D726" s="783" t="s">
        <v>2310</v>
      </c>
      <c r="E726" s="2" t="str">
        <f>OBRA!M724</f>
        <v>CUENTA CORRIENTE</v>
      </c>
      <c r="F726" s="511"/>
      <c r="G726" s="156" t="s">
        <v>2861</v>
      </c>
      <c r="H726" s="12" t="str">
        <f>OBRA!N724</f>
        <v>C- OP 021/2023</v>
      </c>
      <c r="I726" s="2" t="str">
        <f>OBRA!O724</f>
        <v>ARRENDAMIENTO</v>
      </c>
      <c r="J726"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t="s">
        <v>6421</v>
      </c>
      <c r="M726" s="3" t="s">
        <v>6747</v>
      </c>
      <c r="N726" s="3" t="str">
        <f>OBRA!Q724</f>
        <v>CHANTEPEC</v>
      </c>
      <c r="O726" s="504" t="s">
        <v>6535</v>
      </c>
      <c r="P726" s="79">
        <f>OBRA!R724</f>
        <v>754</v>
      </c>
      <c r="Q726" s="1023">
        <f t="shared" si="57"/>
        <v>650</v>
      </c>
      <c r="R726" s="79" t="s">
        <v>68</v>
      </c>
      <c r="S726" s="67">
        <f>OBRA!S724</f>
        <v>45204</v>
      </c>
      <c r="T726" s="1134" t="str">
        <f>OBRA!V724</f>
        <v>-</v>
      </c>
      <c r="U726" s="5">
        <f>OBRA!T724</f>
        <v>45208</v>
      </c>
      <c r="V726" s="11">
        <f>OBRA!U724</f>
        <v>45240</v>
      </c>
      <c r="W726" s="1901">
        <v>0</v>
      </c>
      <c r="X726" s="1019">
        <f>OBRA!AS724+OBRA!AT724</f>
        <v>0</v>
      </c>
      <c r="Y726" s="1018" t="s">
        <v>6770</v>
      </c>
      <c r="Z726" s="146" t="str">
        <f>OBRA!W724</f>
        <v xml:space="preserve">DORIA &amp; SAMPIER CONSTRUCTORA, S.A. DE C.V. </v>
      </c>
      <c r="AA726" s="146" t="s">
        <v>5666</v>
      </c>
      <c r="AB726" s="1769" t="s">
        <v>5607</v>
      </c>
      <c r="AC726" s="1770" t="s">
        <v>4401</v>
      </c>
      <c r="AD726" s="1769" t="s">
        <v>5608</v>
      </c>
      <c r="AE726" s="1771" t="str">
        <f>OBRA!X724</f>
        <v>C. DANIEL RODRIGUEZ VALENZUELA</v>
      </c>
      <c r="AF726" s="19">
        <v>1</v>
      </c>
      <c r="AG726" s="1910" t="s">
        <v>6756</v>
      </c>
      <c r="AH726" s="183">
        <f t="shared" si="54"/>
        <v>754</v>
      </c>
      <c r="AI726" s="2"/>
      <c r="AJ726" s="513"/>
      <c r="AK726" s="1888">
        <v>1</v>
      </c>
      <c r="AL726" s="1513"/>
      <c r="AM726" s="1514"/>
      <c r="AN726" s="571"/>
      <c r="AO726" s="571"/>
      <c r="AP726" s="571"/>
      <c r="AQ726" s="513"/>
      <c r="AR726" s="513"/>
      <c r="AS726" s="18"/>
    </row>
    <row r="727" spans="1:45" ht="97.5" customHeight="1">
      <c r="A727" s="16">
        <f>OBRA!J725</f>
        <v>2023</v>
      </c>
      <c r="B727" s="783" t="s">
        <v>3944</v>
      </c>
      <c r="C727" s="783">
        <f>OBRA!K725</f>
        <v>233022</v>
      </c>
      <c r="D727" s="783" t="s">
        <v>2310</v>
      </c>
      <c r="E727" s="2" t="str">
        <f>OBRA!M725</f>
        <v>CUENTA CORRIENTE</v>
      </c>
      <c r="F727" s="511"/>
      <c r="G727" s="156" t="s">
        <v>2861</v>
      </c>
      <c r="H727" s="12" t="str">
        <f>OBRA!N725</f>
        <v>C- OP 022/2023</v>
      </c>
      <c r="I727" s="2" t="str">
        <f>OBRA!O725</f>
        <v>ARRENDAMIENTO</v>
      </c>
      <c r="J727" s="3" t="str">
        <f>OBRA!P725</f>
        <v>RENTA DE UNA BAILARINA COMPACTADORA WACKER, PARA LA OBRA "REHABILITACIÓN DE REDES HIDROSANITARIAS Y COLECTOR DE CALLE RIVERA DEL LAGO ENTRE CALLE GUAYABITOS Y CALLE CHUECA", EN LA LOCALIDAD DE CHANTEPEC, MUNICIPIO DE JOCOTEPEC, JALISCO.</v>
      </c>
      <c r="K727" s="3"/>
      <c r="L727" s="3" t="s">
        <v>6419</v>
      </c>
      <c r="M727" s="3" t="s">
        <v>6747</v>
      </c>
      <c r="N727" s="3" t="str">
        <f>OBRA!Q725</f>
        <v>CHANTEPEC</v>
      </c>
      <c r="O727" s="504" t="s">
        <v>6535</v>
      </c>
      <c r="P727" s="79">
        <f>OBRA!R725</f>
        <v>580</v>
      </c>
      <c r="Q727" s="1023">
        <f t="shared" si="57"/>
        <v>500.00000000000006</v>
      </c>
      <c r="R727" s="79" t="s">
        <v>68</v>
      </c>
      <c r="S727" s="67">
        <f>OBRA!S725</f>
        <v>45204</v>
      </c>
      <c r="T727" s="1134" t="str">
        <f>OBRA!V725</f>
        <v>-</v>
      </c>
      <c r="U727" s="5">
        <f>OBRA!T725</f>
        <v>45208</v>
      </c>
      <c r="V727" s="11">
        <f>OBRA!U725</f>
        <v>45240</v>
      </c>
      <c r="W727" s="1901">
        <v>0</v>
      </c>
      <c r="X727" s="1019">
        <f>OBRA!AS725+OBRA!AT725</f>
        <v>0</v>
      </c>
      <c r="Y727" s="1018" t="s">
        <v>6770</v>
      </c>
      <c r="Z727" s="146" t="str">
        <f>OBRA!W725</f>
        <v xml:space="preserve">DORIA &amp; SAMPIER CONSTRUCTORA, S.A. DE C.V. </v>
      </c>
      <c r="AA727" s="146" t="s">
        <v>5666</v>
      </c>
      <c r="AB727" s="1769" t="s">
        <v>5607</v>
      </c>
      <c r="AC727" s="1770" t="s">
        <v>4401</v>
      </c>
      <c r="AD727" s="1769" t="s">
        <v>5608</v>
      </c>
      <c r="AE727" s="1771" t="str">
        <f>OBRA!X725</f>
        <v>C. DANIEL RODRIGUEZ VALENZUELA</v>
      </c>
      <c r="AF727" s="19">
        <v>1</v>
      </c>
      <c r="AG727" s="1910" t="s">
        <v>6757</v>
      </c>
      <c r="AH727" s="183">
        <f t="shared" ref="AH727:AH728" si="58">P727/AF727</f>
        <v>580</v>
      </c>
      <c r="AI727" s="2"/>
      <c r="AJ727" s="513"/>
      <c r="AK727" s="1888">
        <v>1</v>
      </c>
      <c r="AL727" s="1513"/>
      <c r="AM727" s="1514"/>
      <c r="AN727" s="571"/>
      <c r="AO727" s="571"/>
      <c r="AP727" s="571"/>
      <c r="AQ727" s="513"/>
      <c r="AR727" s="513"/>
      <c r="AS727" s="18"/>
    </row>
    <row r="728" spans="1:45" ht="99.75" customHeight="1">
      <c r="A728" s="16">
        <f>OBRA!J726</f>
        <v>2023</v>
      </c>
      <c r="B728" s="783" t="s">
        <v>3944</v>
      </c>
      <c r="C728" s="783">
        <f>OBRA!K726</f>
        <v>233023</v>
      </c>
      <c r="D728" s="783" t="s">
        <v>2310</v>
      </c>
      <c r="E728" s="2" t="str">
        <f>OBRA!M726</f>
        <v>CUENTA CORRIENTE</v>
      </c>
      <c r="F728" s="511"/>
      <c r="G728" s="156" t="s">
        <v>2861</v>
      </c>
      <c r="H728" s="12" t="str">
        <f>OBRA!N726</f>
        <v>C- OP 023/2023</v>
      </c>
      <c r="I728" s="2" t="str">
        <f>OBRA!O726</f>
        <v>ARRENDAMIENTO</v>
      </c>
      <c r="J728" s="3" t="str">
        <f>OBRA!P726</f>
        <v>RENTA DE MOTOBOMBA MARCA HONDA, PARA LA OBRA "REHABILITACIÓN DE REDES HIDROSANITARIAS Y COLECTOR DE CALLE RIVERA DEL LAGO ENTRE CALLE GUAYABITOS Y CALLE CHUECA", EN LA LOCALIDAD DE CHANTEPEC, MUNICIPIO DE JOCOTEPEC, JALISCO.</v>
      </c>
      <c r="K728" s="3"/>
      <c r="L728" s="3" t="s">
        <v>6422</v>
      </c>
      <c r="M728" s="3" t="s">
        <v>6747</v>
      </c>
      <c r="N728" s="3" t="str">
        <f>OBRA!Q726</f>
        <v>CHANTEPEC</v>
      </c>
      <c r="O728" s="504" t="s">
        <v>6535</v>
      </c>
      <c r="P728" s="79">
        <f>OBRA!R726</f>
        <v>580</v>
      </c>
      <c r="Q728" s="1023">
        <f t="shared" si="57"/>
        <v>500.00000000000006</v>
      </c>
      <c r="R728" s="79" t="s">
        <v>68</v>
      </c>
      <c r="S728" s="67">
        <f>OBRA!S726</f>
        <v>45204</v>
      </c>
      <c r="T728" s="1134" t="str">
        <f>OBRA!V726</f>
        <v>-</v>
      </c>
      <c r="U728" s="5">
        <f>OBRA!T726</f>
        <v>45208</v>
      </c>
      <c r="V728" s="11">
        <f>OBRA!U726</f>
        <v>45240</v>
      </c>
      <c r="W728" s="1901">
        <v>0</v>
      </c>
      <c r="X728" s="1019">
        <f>OBRA!AS726+OBRA!AT726</f>
        <v>0</v>
      </c>
      <c r="Y728" s="1018" t="s">
        <v>6770</v>
      </c>
      <c r="Z728" s="146" t="str">
        <f>OBRA!W726</f>
        <v xml:space="preserve">DORIA &amp; SAMPIER CONSTRUCTORA, S.A. DE C.V. </v>
      </c>
      <c r="AA728" s="146" t="s">
        <v>5666</v>
      </c>
      <c r="AB728" s="1769" t="s">
        <v>5607</v>
      </c>
      <c r="AC728" s="1770" t="s">
        <v>4401</v>
      </c>
      <c r="AD728" s="1769" t="s">
        <v>5608</v>
      </c>
      <c r="AE728" s="1771" t="str">
        <f>OBRA!X726</f>
        <v>C. DANIEL RODRIGUEZ VALENZUELA</v>
      </c>
      <c r="AF728" s="19">
        <v>1</v>
      </c>
      <c r="AG728" s="1910" t="s">
        <v>6757</v>
      </c>
      <c r="AH728" s="183">
        <f t="shared" si="58"/>
        <v>580</v>
      </c>
      <c r="AI728" s="2"/>
      <c r="AJ728" s="513"/>
      <c r="AK728" s="1888">
        <v>1</v>
      </c>
      <c r="AL728" s="1513"/>
      <c r="AM728" s="1514"/>
      <c r="AN728" s="571"/>
      <c r="AO728" s="571"/>
      <c r="AP728" s="571"/>
      <c r="AQ728" s="513"/>
      <c r="AR728" s="513"/>
      <c r="AS728" s="18"/>
    </row>
    <row r="729" spans="1:45" s="104" customFormat="1" ht="46.5" hidden="1" customHeight="1">
      <c r="A729" s="82">
        <f>OBRA!J727</f>
        <v>2023</v>
      </c>
      <c r="B729" s="784" t="s">
        <v>3944</v>
      </c>
      <c r="C729" s="784">
        <f>OBRA!K727</f>
        <v>233037</v>
      </c>
      <c r="D729" s="784" t="s">
        <v>2310</v>
      </c>
      <c r="E729" s="85" t="str">
        <f>OBRA!M727</f>
        <v>CUENTA CORRIENTE</v>
      </c>
      <c r="F729" s="83"/>
      <c r="G729" s="575"/>
      <c r="H729" s="103" t="str">
        <f>OBRA!N727</f>
        <v>C.P.S.P. DOP 037/2023</v>
      </c>
      <c r="I729" s="85" t="str">
        <f>OBRA!O727</f>
        <v>CANCELADA</v>
      </c>
      <c r="J729" s="125" t="str">
        <f>OBRA!P727</f>
        <v>-</v>
      </c>
      <c r="K729" s="125"/>
      <c r="L729" s="125"/>
      <c r="M729" s="125"/>
      <c r="N729" s="125" t="str">
        <f>OBRA!Q727</f>
        <v>-</v>
      </c>
      <c r="O729" s="812"/>
      <c r="P729" s="86">
        <f>OBRA!R727</f>
        <v>0</v>
      </c>
      <c r="Q729" s="86">
        <f t="shared" si="57"/>
        <v>0</v>
      </c>
      <c r="R729" s="86" t="s">
        <v>68</v>
      </c>
      <c r="S729" s="87">
        <f>OBRA!S727</f>
        <v>0</v>
      </c>
      <c r="T729" s="1409" t="str">
        <f>OBRA!V727</f>
        <v>-</v>
      </c>
      <c r="U729" s="88">
        <f>OBRA!T727</f>
        <v>0</v>
      </c>
      <c r="V729" s="89">
        <f>OBRA!U727</f>
        <v>0</v>
      </c>
      <c r="W729" s="821"/>
      <c r="X729" s="1430">
        <f>OBRA!AS727+OBRA!AT727</f>
        <v>0</v>
      </c>
      <c r="Y729" s="1016"/>
      <c r="Z729" s="147">
        <f>OBRA!W727</f>
        <v>0</v>
      </c>
      <c r="AA729" s="147"/>
      <c r="AB729" s="1773">
        <f t="shared" ref="AB729:AB736" si="59">Z729</f>
        <v>0</v>
      </c>
      <c r="AC729" s="1774"/>
      <c r="AD729" s="1773"/>
      <c r="AE729" s="1775" t="str">
        <f>OBRA!X727</f>
        <v>ARQ. FRANCISCO SALAZAR</v>
      </c>
      <c r="AF729" s="84"/>
      <c r="AG729" s="85"/>
      <c r="AH729" s="1692" t="e">
        <f t="shared" ref="AH729:AH735" si="60">X729/AF729</f>
        <v>#DIV/0!</v>
      </c>
      <c r="AI729" s="85"/>
      <c r="AJ729" s="514"/>
      <c r="AK729" s="514"/>
      <c r="AL729" s="1515"/>
      <c r="AM729" s="1516"/>
      <c r="AN729" s="816"/>
      <c r="AO729" s="816"/>
      <c r="AP729" s="816"/>
      <c r="AQ729" s="514"/>
      <c r="AR729" s="514"/>
      <c r="AS729" s="83"/>
    </row>
    <row r="730" spans="1:45" ht="73.5" customHeight="1">
      <c r="A730" s="16">
        <f>OBRA!J728</f>
        <v>2023</v>
      </c>
      <c r="B730" s="783" t="s">
        <v>3944</v>
      </c>
      <c r="C730" s="783">
        <f>OBRA!K728</f>
        <v>234001</v>
      </c>
      <c r="D730" s="783" t="s">
        <v>2310</v>
      </c>
      <c r="E730" s="2" t="str">
        <f>OBRA!M728</f>
        <v>CUENTA CORRIENTE</v>
      </c>
      <c r="F730" s="671" t="s">
        <v>1428</v>
      </c>
      <c r="G730" s="156" t="s">
        <v>2206</v>
      </c>
      <c r="H730" s="412" t="str">
        <f>OBRA!N728</f>
        <v>DOP/AD/001/2023</v>
      </c>
      <c r="I730" s="2" t="str">
        <f>OBRA!O728</f>
        <v>ADMINISTRACIÓN DIRECTA</v>
      </c>
      <c r="J730" s="3" t="str">
        <f>OBRA!P728</f>
        <v>"CONSTRUCCIÓN DE REDES HIDROSANITARIAS EN CALLE FILÓSOFOS ENTRE CALLE JOSEFA ORTÍZ DE DOMINGUEZ E HIDALGO", EN LA CABECERA MUNICIPAL DE JOCOTEPEC, JALISCO</v>
      </c>
      <c r="K730" s="3"/>
      <c r="L730" s="3" t="s">
        <v>6257</v>
      </c>
      <c r="M730" s="3" t="s">
        <v>6052</v>
      </c>
      <c r="N730" s="3" t="str">
        <f>OBRA!Q728</f>
        <v>CABECERA MUNICIPAL</v>
      </c>
      <c r="O730" s="504" t="s">
        <v>6053</v>
      </c>
      <c r="P730" s="79">
        <f>OBRA!R728</f>
        <v>307647.35999999999</v>
      </c>
      <c r="Q730" s="1023">
        <f t="shared" si="57"/>
        <v>265213.24137931038</v>
      </c>
      <c r="R730" s="1714" t="s">
        <v>68</v>
      </c>
      <c r="S730" s="67">
        <f>OBRA!S728</f>
        <v>44967</v>
      </c>
      <c r="T730" s="1134" t="str">
        <f>OBRA!V728</f>
        <v>-</v>
      </c>
      <c r="U730" s="5">
        <f>OBRA!T728</f>
        <v>44968</v>
      </c>
      <c r="V730" s="11">
        <f>OBRA!U728</f>
        <v>44985</v>
      </c>
      <c r="W730" s="1901">
        <v>0</v>
      </c>
      <c r="X730" s="1019">
        <f>OBRA!AS728+OBRA!AT728</f>
        <v>300805.58</v>
      </c>
      <c r="Y730" s="1089" t="s">
        <v>4162</v>
      </c>
      <c r="Z730" s="146" t="str">
        <f>OBRA!W728</f>
        <v>-</v>
      </c>
      <c r="AA730" s="146" t="s">
        <v>68</v>
      </c>
      <c r="AB730" s="148" t="str">
        <f t="shared" si="59"/>
        <v>-</v>
      </c>
      <c r="AC730" s="146" t="s">
        <v>68</v>
      </c>
      <c r="AD730" s="148" t="s">
        <v>68</v>
      </c>
      <c r="AE730" s="183" t="str">
        <f>OBRA!X728</f>
        <v>C. DANIEL RODRIGUEZ VALENZUELA</v>
      </c>
      <c r="AF730" s="19">
        <f>74.06+74.86</f>
        <v>148.92000000000002</v>
      </c>
      <c r="AG730" s="2" t="s">
        <v>1451</v>
      </c>
      <c r="AH730" s="615">
        <f t="shared" si="60"/>
        <v>2019.9139135106095</v>
      </c>
      <c r="AI730" s="2">
        <v>50</v>
      </c>
      <c r="AJ730" s="2">
        <v>150</v>
      </c>
      <c r="AK730" s="1888">
        <v>1</v>
      </c>
      <c r="AL730" s="1522">
        <v>20.291288000000002</v>
      </c>
      <c r="AM730" s="1523">
        <v>103.43022499999999</v>
      </c>
      <c r="AN730" s="571" t="s">
        <v>6053</v>
      </c>
      <c r="AO730" s="571" t="s">
        <v>6053</v>
      </c>
      <c r="AP730" s="571" t="s">
        <v>6053</v>
      </c>
      <c r="AQ730" s="501" t="s">
        <v>6053</v>
      </c>
      <c r="AR730" s="501"/>
      <c r="AS730" s="704" t="s">
        <v>6053</v>
      </c>
    </row>
    <row r="731" spans="1:45" ht="65.25" customHeight="1">
      <c r="A731" s="16">
        <f>OBRA!J729</f>
        <v>2023</v>
      </c>
      <c r="B731" s="783" t="s">
        <v>3944</v>
      </c>
      <c r="C731" s="783">
        <f>OBRA!K729</f>
        <v>234002</v>
      </c>
      <c r="D731" s="783" t="s">
        <v>2310</v>
      </c>
      <c r="E731" s="2" t="str">
        <f>OBRA!M729</f>
        <v>REGULARIZACIÓN DE VEHÍCULOS DE PROCEDENCIA EXTRANJERA - RAMO 23/2022</v>
      </c>
      <c r="F731" s="671" t="s">
        <v>1428</v>
      </c>
      <c r="G731" s="156" t="s">
        <v>2206</v>
      </c>
      <c r="H731" s="412" t="str">
        <f>OBRA!N729</f>
        <v>DOP/AD/002/2023</v>
      </c>
      <c r="I731" s="2" t="str">
        <f>OBRA!O729</f>
        <v>ADMINISTRACIÓN DIRECTA</v>
      </c>
      <c r="J731" s="3" t="str">
        <f>OBRA!P729</f>
        <v>"BACHEO SUPERFICIAL AISLADO EN CALLE INDEPENDENCIA NORTE ENTRE C. MORELOS Y C. DEGOLLADO", EN LA CABECERA MUNICIPAL DE JOCOTEPEC, JALISCO.</v>
      </c>
      <c r="K731" s="3"/>
      <c r="L731" s="3" t="s">
        <v>6258</v>
      </c>
      <c r="M731" s="3" t="s">
        <v>6054</v>
      </c>
      <c r="N731" s="3" t="str">
        <f>OBRA!Q729</f>
        <v>CABECERA MUNICIPAL</v>
      </c>
      <c r="O731" s="504" t="s">
        <v>6055</v>
      </c>
      <c r="P731" s="79">
        <f>OBRA!R729</f>
        <v>27472.5</v>
      </c>
      <c r="Q731" s="1023">
        <f t="shared" si="57"/>
        <v>23683.189655172417</v>
      </c>
      <c r="R731" s="1714" t="s">
        <v>68</v>
      </c>
      <c r="S731" s="67">
        <f>OBRA!S729</f>
        <v>45033</v>
      </c>
      <c r="T731" s="1134" t="str">
        <f>OBRA!V729</f>
        <v>-</v>
      </c>
      <c r="U731" s="5">
        <f>OBRA!T729</f>
        <v>45036</v>
      </c>
      <c r="V731" s="11">
        <f>OBRA!U729</f>
        <v>45038</v>
      </c>
      <c r="W731" s="1901">
        <v>0</v>
      </c>
      <c r="X731" s="1019">
        <f>OBRA!AS729+OBRA!AT729</f>
        <v>27472.5</v>
      </c>
      <c r="Y731" s="1089" t="s">
        <v>6056</v>
      </c>
      <c r="Z731" s="146" t="str">
        <f>OBRA!W729</f>
        <v>-</v>
      </c>
      <c r="AA731" s="146" t="s">
        <v>68</v>
      </c>
      <c r="AB731" s="148" t="str">
        <f t="shared" si="59"/>
        <v>-</v>
      </c>
      <c r="AC731" s="146" t="s">
        <v>68</v>
      </c>
      <c r="AD731" s="148" t="s">
        <v>68</v>
      </c>
      <c r="AE731" s="183" t="str">
        <f>OBRA!X729</f>
        <v>ARQ. JAIME CONDE GOMEZ</v>
      </c>
      <c r="AF731" s="19">
        <v>6.4</v>
      </c>
      <c r="AG731" s="2" t="s">
        <v>1548</v>
      </c>
      <c r="AH731" s="615">
        <f t="shared" si="60"/>
        <v>4292.578125</v>
      </c>
      <c r="AI731" s="2">
        <v>200</v>
      </c>
      <c r="AJ731" s="2">
        <v>1000</v>
      </c>
      <c r="AK731" s="1888">
        <v>1</v>
      </c>
      <c r="AL731" s="1522">
        <v>20.287303999999999</v>
      </c>
      <c r="AM731" s="1523">
        <v>103.432309</v>
      </c>
      <c r="AN731" s="571" t="s">
        <v>6055</v>
      </c>
      <c r="AO731" s="571" t="s">
        <v>6055</v>
      </c>
      <c r="AP731" s="571" t="s">
        <v>6055</v>
      </c>
      <c r="AQ731" s="513"/>
      <c r="AR731" s="513"/>
      <c r="AS731" s="704" t="s">
        <v>6055</v>
      </c>
    </row>
    <row r="732" spans="1:45" ht="90" customHeight="1">
      <c r="A732" s="16">
        <f>OBRA!J730</f>
        <v>2023</v>
      </c>
      <c r="B732" s="783" t="s">
        <v>3944</v>
      </c>
      <c r="C732" s="783">
        <f>OBRA!K730</f>
        <v>234003</v>
      </c>
      <c r="D732" s="783" t="s">
        <v>2310</v>
      </c>
      <c r="E732" s="2" t="str">
        <f>OBRA!M730</f>
        <v>CUENTA CORRIENTE</v>
      </c>
      <c r="F732" s="671" t="s">
        <v>1428</v>
      </c>
      <c r="G732" s="156" t="s">
        <v>2206</v>
      </c>
      <c r="H732" s="412" t="str">
        <f>OBRA!N730</f>
        <v>DOP/AD/003/2023</v>
      </c>
      <c r="I732" s="2" t="str">
        <f>OBRA!O730</f>
        <v>ADMINISTRACIÓN DIRECTA</v>
      </c>
      <c r="J732" s="3" t="str">
        <f>OBRA!P730</f>
        <v>REHABILITACIÓN DE REDES HIDROSANITARIAS Y COLECTOR DE CALLE RIVERA DEL LAGO ENTRE CALLE GUAYABITOS Y CALLE CHUECA", EN LA LOCALIDAD DE CHANTEPEC, MUNICIPIO DE JOCOTEPEC, JALISCO.</v>
      </c>
      <c r="K732" s="3"/>
      <c r="L732" s="3" t="s">
        <v>6257</v>
      </c>
      <c r="M732" s="3" t="s">
        <v>4559</v>
      </c>
      <c r="N732" s="3" t="str">
        <f>OBRA!Q730</f>
        <v>CHANTEPEC</v>
      </c>
      <c r="O732" s="504" t="s">
        <v>6057</v>
      </c>
      <c r="P732" s="79">
        <f>OBRA!R730</f>
        <v>495788.04</v>
      </c>
      <c r="Q732" s="1023">
        <f t="shared" si="57"/>
        <v>427403.4827586207</v>
      </c>
      <c r="R732" s="1714" t="s">
        <v>68</v>
      </c>
      <c r="S732" s="67">
        <f>OBRA!S730</f>
        <v>45557</v>
      </c>
      <c r="T732" s="1134" t="str">
        <f>OBRA!V730</f>
        <v>-</v>
      </c>
      <c r="U732" s="5">
        <f>OBRA!T730</f>
        <v>45208</v>
      </c>
      <c r="V732" s="11">
        <f>OBRA!U730</f>
        <v>45240</v>
      </c>
      <c r="W732" s="1901">
        <v>0</v>
      </c>
      <c r="X732" s="1019">
        <f>OBRA!AS730+OBRA!AT730</f>
        <v>336906.02</v>
      </c>
      <c r="Y732" s="1089" t="s">
        <v>6058</v>
      </c>
      <c r="Z732" s="146" t="str">
        <f>OBRA!W730</f>
        <v>-</v>
      </c>
      <c r="AA732" s="146" t="s">
        <v>68</v>
      </c>
      <c r="AB732" s="148" t="str">
        <f t="shared" si="59"/>
        <v>-</v>
      </c>
      <c r="AC732" s="146" t="s">
        <v>68</v>
      </c>
      <c r="AD732" s="148" t="s">
        <v>68</v>
      </c>
      <c r="AE732" s="183" t="str">
        <f>OBRA!X730</f>
        <v>C. DANIEL RODRIGUEZ VALENZUELA</v>
      </c>
      <c r="AF732" s="19">
        <f>85.85+68.37</f>
        <v>154.22</v>
      </c>
      <c r="AG732" s="2" t="s">
        <v>1451</v>
      </c>
      <c r="AH732" s="615">
        <f t="shared" si="60"/>
        <v>2184.5805991440802</v>
      </c>
      <c r="AI732" s="2">
        <v>50</v>
      </c>
      <c r="AJ732" s="2">
        <v>150</v>
      </c>
      <c r="AK732" s="1888">
        <v>1</v>
      </c>
      <c r="AL732" s="1522">
        <v>20.289489</v>
      </c>
      <c r="AM732" s="1523">
        <v>103.411506</v>
      </c>
      <c r="AN732" s="571" t="s">
        <v>6057</v>
      </c>
      <c r="AO732" s="571" t="s">
        <v>6057</v>
      </c>
      <c r="AP732" s="571" t="s">
        <v>6057</v>
      </c>
      <c r="AQ732" s="501" t="s">
        <v>6057</v>
      </c>
      <c r="AR732" s="501"/>
      <c r="AS732" s="704" t="s">
        <v>6057</v>
      </c>
    </row>
    <row r="733" spans="1:45" ht="72" customHeight="1">
      <c r="A733" s="16">
        <f>OBRA!J731</f>
        <v>2023</v>
      </c>
      <c r="B733" s="783" t="s">
        <v>3944</v>
      </c>
      <c r="C733" s="783">
        <f>OBRA!K731</f>
        <v>234004</v>
      </c>
      <c r="D733" s="783" t="s">
        <v>2310</v>
      </c>
      <c r="E733" s="2" t="str">
        <f>OBRA!M731</f>
        <v>CUENTA CORRIENTE</v>
      </c>
      <c r="F733" s="671" t="s">
        <v>1428</v>
      </c>
      <c r="G733" s="156" t="s">
        <v>2206</v>
      </c>
      <c r="H733" s="412" t="str">
        <f>OBRA!N731</f>
        <v>DOP/AD/004/2023</v>
      </c>
      <c r="I733" s="2" t="str">
        <f>OBRA!O731</f>
        <v>ADMINISTRACIÓN DIRECTA</v>
      </c>
      <c r="J733" s="3" t="str">
        <f>OBRA!P731</f>
        <v>"IMPERMEABILIZACIÓN DE CUPULAS EN EL TEMPLO DEL SR. DEL MONTE", EN LA CABECERA MUNICIPAL DE JOCOTEPEC, JALISCO.</v>
      </c>
      <c r="K733" s="3"/>
      <c r="L733" s="3" t="s">
        <v>6241</v>
      </c>
      <c r="M733" s="3" t="s">
        <v>3976</v>
      </c>
      <c r="N733" s="3" t="str">
        <f>OBRA!Q731</f>
        <v>CABECERA MUNICIPAL</v>
      </c>
      <c r="O733" s="504" t="s">
        <v>6059</v>
      </c>
      <c r="P733" s="79">
        <f>OBRA!R731</f>
        <v>80000</v>
      </c>
      <c r="Q733" s="1023">
        <f t="shared" si="57"/>
        <v>68965.517241379319</v>
      </c>
      <c r="R733" s="1714" t="s">
        <v>68</v>
      </c>
      <c r="S733" s="67">
        <f>OBRA!S731</f>
        <v>45191</v>
      </c>
      <c r="T733" s="1134" t="str">
        <f>OBRA!V731</f>
        <v>-</v>
      </c>
      <c r="U733" s="5">
        <f>OBRA!T731</f>
        <v>45201</v>
      </c>
      <c r="V733" s="11">
        <f>OBRA!U731</f>
        <v>45227</v>
      </c>
      <c r="W733" s="1901">
        <v>0</v>
      </c>
      <c r="X733" s="1019">
        <f>OBRA!AS731+OBRA!AT731</f>
        <v>68064.55</v>
      </c>
      <c r="Y733" s="1089" t="s">
        <v>4162</v>
      </c>
      <c r="Z733" s="146" t="str">
        <f>OBRA!W731</f>
        <v>-</v>
      </c>
      <c r="AA733" s="146" t="s">
        <v>68</v>
      </c>
      <c r="AB733" s="148" t="str">
        <f t="shared" si="59"/>
        <v>-</v>
      </c>
      <c r="AC733" s="146" t="s">
        <v>68</v>
      </c>
      <c r="AD733" s="148" t="s">
        <v>68</v>
      </c>
      <c r="AE733" s="183" t="str">
        <f>OBRA!X731</f>
        <v>C. DANIEL RODRIGUEZ VALENZUELA</v>
      </c>
      <c r="AF733" s="19">
        <v>126</v>
      </c>
      <c r="AG733" s="2" t="s">
        <v>1548</v>
      </c>
      <c r="AH733" s="615">
        <f t="shared" si="60"/>
        <v>540.19484126984128</v>
      </c>
      <c r="AI733" s="2">
        <v>10000</v>
      </c>
      <c r="AJ733" s="1902">
        <v>10000</v>
      </c>
      <c r="AK733" s="1888">
        <v>1</v>
      </c>
      <c r="AL733" s="1522">
        <v>20.285446</v>
      </c>
      <c r="AM733" s="1523">
        <v>103.429621</v>
      </c>
      <c r="AN733" s="571" t="s">
        <v>6059</v>
      </c>
      <c r="AO733" s="571" t="s">
        <v>6059</v>
      </c>
      <c r="AP733" s="571" t="s">
        <v>6059</v>
      </c>
      <c r="AQ733" s="501" t="s">
        <v>6059</v>
      </c>
      <c r="AR733" s="501"/>
      <c r="AS733" s="704" t="s">
        <v>6060</v>
      </c>
    </row>
    <row r="734" spans="1:45" ht="91.5" customHeight="1">
      <c r="A734" s="16">
        <f>OBRA!J732</f>
        <v>2023</v>
      </c>
      <c r="B734" s="783" t="s">
        <v>3944</v>
      </c>
      <c r="C734" s="783">
        <f>OBRA!K732</f>
        <v>234005</v>
      </c>
      <c r="D734" s="783" t="s">
        <v>2310</v>
      </c>
      <c r="E734" s="2" t="str">
        <f>OBRA!M732</f>
        <v>REGULARIZACIÓN DE VEHÍCULOS DE PROCEDENCIA EXTRANJERA - RAMO 23/2023</v>
      </c>
      <c r="F734" s="671" t="s">
        <v>1428</v>
      </c>
      <c r="G734" s="156" t="s">
        <v>2206</v>
      </c>
      <c r="H734" s="412" t="str">
        <f>OBRA!N732</f>
        <v>DOP/AD/005/2023</v>
      </c>
      <c r="I734" s="2" t="str">
        <f>OBRA!O732</f>
        <v>ADMINISTRACIÓN DIRECTA</v>
      </c>
      <c r="J734" s="3" t="str">
        <f>OBRA!P732</f>
        <v>"BACHEO SUPERFICIAL AISLADO DE MEZCLA ASFÁLTICA EN LA CALLE MORELOS ENTRE CALLE NIÑOS HÉROES YCALLE ZARAGOZA EN EL BARRIO LA CALABAZA" DE LA CABECERA MUNICIPAL DE JOCOTEPEC, MUNICIPIO DE JOCOTEPEC, JALISCO.</v>
      </c>
      <c r="K734" s="3"/>
      <c r="L734" s="3" t="s">
        <v>6258</v>
      </c>
      <c r="M734" s="3" t="s">
        <v>6061</v>
      </c>
      <c r="N734" s="3" t="str">
        <f>OBRA!Q732</f>
        <v>CABECERA MUNICIPAL</v>
      </c>
      <c r="O734" s="504" t="s">
        <v>6062</v>
      </c>
      <c r="P734" s="79">
        <f>OBRA!R732</f>
        <v>92407.5</v>
      </c>
      <c r="Q734" s="1023">
        <f t="shared" si="57"/>
        <v>79661.637931034493</v>
      </c>
      <c r="R734" s="1714" t="s">
        <v>68</v>
      </c>
      <c r="S734" s="67">
        <f>OBRA!S732</f>
        <v>45244</v>
      </c>
      <c r="T734" s="1134" t="str">
        <f>OBRA!V732</f>
        <v>-</v>
      </c>
      <c r="U734" s="5">
        <f>OBRA!T732</f>
        <v>45264</v>
      </c>
      <c r="V734" s="11">
        <f>OBRA!U732</f>
        <v>45268</v>
      </c>
      <c r="W734" s="1901">
        <v>0</v>
      </c>
      <c r="X734" s="1019">
        <f>OBRA!AS732+OBRA!AT732</f>
        <v>94407.21</v>
      </c>
      <c r="Y734" s="1089" t="s">
        <v>6056</v>
      </c>
      <c r="Z734" s="146" t="str">
        <f>OBRA!W732</f>
        <v>-</v>
      </c>
      <c r="AA734" s="146" t="s">
        <v>68</v>
      </c>
      <c r="AB734" s="148" t="str">
        <f t="shared" si="59"/>
        <v>-</v>
      </c>
      <c r="AC734" s="146" t="s">
        <v>68</v>
      </c>
      <c r="AD734" s="148" t="s">
        <v>68</v>
      </c>
      <c r="AE734" s="183" t="str">
        <f>OBRA!X732</f>
        <v>ING. LUIS RIGOBERTO OLMEDO NAVARRO</v>
      </c>
      <c r="AF734" s="19">
        <v>238.5</v>
      </c>
      <c r="AG734" s="2" t="s">
        <v>1548</v>
      </c>
      <c r="AH734" s="615">
        <f t="shared" si="60"/>
        <v>395.83735849056609</v>
      </c>
      <c r="AI734" s="2">
        <v>200</v>
      </c>
      <c r="AJ734" s="1902">
        <v>22000</v>
      </c>
      <c r="AK734" s="1888">
        <v>1</v>
      </c>
      <c r="AL734" s="1522">
        <v>20.286904</v>
      </c>
      <c r="AM734" s="1523">
        <v>103.43566800000001</v>
      </c>
      <c r="AN734" s="571" t="s">
        <v>6062</v>
      </c>
      <c r="AO734" s="571" t="s">
        <v>6062</v>
      </c>
      <c r="AP734" s="571" t="s">
        <v>6062</v>
      </c>
      <c r="AQ734" s="501" t="s">
        <v>6062</v>
      </c>
      <c r="AR734" s="501"/>
      <c r="AS734" s="704" t="s">
        <v>6062</v>
      </c>
    </row>
    <row r="735" spans="1:45" ht="75.75" customHeight="1">
      <c r="A735" s="16">
        <f>OBRA!J733</f>
        <v>2023</v>
      </c>
      <c r="B735" s="783" t="s">
        <v>3944</v>
      </c>
      <c r="C735" s="783">
        <f>OBRA!K733</f>
        <v>234006</v>
      </c>
      <c r="D735" s="783" t="s">
        <v>2310</v>
      </c>
      <c r="E735" s="2" t="str">
        <f>OBRA!M733</f>
        <v>CUENTA CORRIENTE</v>
      </c>
      <c r="F735" s="671" t="s">
        <v>1428</v>
      </c>
      <c r="G735" s="156" t="s">
        <v>2206</v>
      </c>
      <c r="H735" s="412" t="str">
        <f>OBRA!N733</f>
        <v>DOP/AD/006/2023</v>
      </c>
      <c r="I735" s="2" t="str">
        <f>OBRA!O733</f>
        <v>ADMINISTRACIÓN DIRECTA</v>
      </c>
      <c r="J735" s="3" t="str">
        <f>OBRA!P733</f>
        <v>"EXTENSIÓN DE RED DE AGUA POTABLE DE 4" DE DIAMETRO EN LA CALLE CHUECA" EN LA LOCALIDAD DE CHANTEPEC, MUNICIPIO DE JOCOTEPEC, JALISCO.</v>
      </c>
      <c r="K735" s="3"/>
      <c r="L735" s="3" t="s">
        <v>4745</v>
      </c>
      <c r="M735" s="3" t="s">
        <v>4020</v>
      </c>
      <c r="N735" s="3" t="str">
        <f>OBRA!Q733</f>
        <v>CHANTEPEC</v>
      </c>
      <c r="O735" s="504"/>
      <c r="P735" s="79">
        <f>OBRA!R733</f>
        <v>280000</v>
      </c>
      <c r="Q735" s="1023">
        <f t="shared" si="57"/>
        <v>241379.31034482759</v>
      </c>
      <c r="R735" s="1714" t="s">
        <v>68</v>
      </c>
      <c r="S735" s="67">
        <f>OBRA!S733</f>
        <v>45257</v>
      </c>
      <c r="T735" s="1134" t="str">
        <f>OBRA!V733</f>
        <v>-</v>
      </c>
      <c r="U735" s="5">
        <f>OBRA!T733</f>
        <v>45264</v>
      </c>
      <c r="V735" s="11">
        <f>OBRA!U733</f>
        <v>45288</v>
      </c>
      <c r="W735" s="1901">
        <v>0</v>
      </c>
      <c r="X735" s="1019">
        <f>OBRA!AS733+OBRA!AT733</f>
        <v>280385.88</v>
      </c>
      <c r="Y735" s="1089" t="s">
        <v>6056</v>
      </c>
      <c r="Z735" s="146" t="str">
        <f>OBRA!W733</f>
        <v>-</v>
      </c>
      <c r="AA735" s="146" t="s">
        <v>68</v>
      </c>
      <c r="AB735" s="148" t="str">
        <f t="shared" si="59"/>
        <v>-</v>
      </c>
      <c r="AC735" s="146" t="s">
        <v>68</v>
      </c>
      <c r="AD735" s="148" t="s">
        <v>68</v>
      </c>
      <c r="AE735" s="183" t="str">
        <f>OBRA!X733</f>
        <v>C. DANIEL RODRIGUEZ VALENZUELA</v>
      </c>
      <c r="AF735" s="19"/>
      <c r="AG735" s="2" t="s">
        <v>1451</v>
      </c>
      <c r="AH735" s="615" t="e">
        <f t="shared" si="60"/>
        <v>#DIV/0!</v>
      </c>
      <c r="AI735" s="2">
        <v>200</v>
      </c>
      <c r="AJ735" s="1902">
        <v>200</v>
      </c>
      <c r="AK735" s="1888">
        <v>1</v>
      </c>
      <c r="AL735" s="1522">
        <v>20.289840000000002</v>
      </c>
      <c r="AM735" s="1903">
        <v>103.410499</v>
      </c>
      <c r="AN735" s="1889"/>
      <c r="AO735" s="571"/>
      <c r="AP735" s="571"/>
      <c r="AQ735" s="513"/>
      <c r="AR735" s="513"/>
      <c r="AS735" s="18"/>
    </row>
    <row r="736" spans="1:45" s="104" customFormat="1" ht="24.95" hidden="1" customHeight="1">
      <c r="A736" s="82">
        <f>OBRA!J734</f>
        <v>2023</v>
      </c>
      <c r="B736" s="784" t="s">
        <v>3944</v>
      </c>
      <c r="C736" s="784">
        <f>OBRA!K734</f>
        <v>234007</v>
      </c>
      <c r="D736" s="784" t="s">
        <v>2310</v>
      </c>
      <c r="E736" s="85">
        <f>OBRA!M734</f>
        <v>0</v>
      </c>
      <c r="F736" s="83" t="s">
        <v>1428</v>
      </c>
      <c r="G736" s="575" t="s">
        <v>2206</v>
      </c>
      <c r="H736" s="103" t="str">
        <f>OBRA!N734</f>
        <v>DOP/AD/007/2023</v>
      </c>
      <c r="I736" s="85" t="str">
        <f>OBRA!O734</f>
        <v>CANCELADA</v>
      </c>
      <c r="J736" s="125" t="str">
        <f>OBRA!P734</f>
        <v>-</v>
      </c>
      <c r="K736" s="125"/>
      <c r="L736" s="125"/>
      <c r="M736" s="125" t="s">
        <v>4020</v>
      </c>
      <c r="N736" s="125" t="str">
        <f>OBRA!Q734</f>
        <v>-</v>
      </c>
      <c r="O736" s="812"/>
      <c r="P736" s="86">
        <f>OBRA!R734</f>
        <v>0</v>
      </c>
      <c r="Q736" s="86">
        <f t="shared" si="57"/>
        <v>0</v>
      </c>
      <c r="R736" s="86" t="s">
        <v>68</v>
      </c>
      <c r="S736" s="87">
        <f>OBRA!S734</f>
        <v>0</v>
      </c>
      <c r="T736" s="1409" t="str">
        <f>OBRA!V734</f>
        <v>-</v>
      </c>
      <c r="U736" s="88">
        <f>OBRA!T734</f>
        <v>0</v>
      </c>
      <c r="V736" s="89">
        <f>OBRA!U734</f>
        <v>0</v>
      </c>
      <c r="W736" s="1691">
        <v>0</v>
      </c>
      <c r="X736" s="1430">
        <f>OBRA!AS734+OBRA!AT734</f>
        <v>0</v>
      </c>
      <c r="Y736" s="1016" t="s">
        <v>6063</v>
      </c>
      <c r="Z736" s="147" t="str">
        <f>OBRA!W734</f>
        <v>-</v>
      </c>
      <c r="AA736" s="147" t="s">
        <v>68</v>
      </c>
      <c r="AB736" s="149" t="str">
        <f t="shared" si="59"/>
        <v>-</v>
      </c>
      <c r="AC736" s="147" t="s">
        <v>68</v>
      </c>
      <c r="AD736" s="149" t="s">
        <v>68</v>
      </c>
      <c r="AE736" s="184">
        <f>OBRA!X734</f>
        <v>0</v>
      </c>
      <c r="AF736" s="84"/>
      <c r="AG736" s="85"/>
      <c r="AH736" s="1692" t="e">
        <f t="shared" ref="AH736:AH767" si="61">X736/AF736</f>
        <v>#DIV/0!</v>
      </c>
      <c r="AI736" s="85"/>
      <c r="AJ736" s="514"/>
      <c r="AK736" s="1776"/>
      <c r="AL736" s="1777"/>
      <c r="AM736" s="1778"/>
      <c r="AN736" s="816"/>
      <c r="AO736" s="816"/>
      <c r="AP736" s="816"/>
      <c r="AQ736" s="514"/>
      <c r="AR736" s="514"/>
      <c r="AS736" s="83"/>
    </row>
    <row r="737" spans="1:45" s="104" customFormat="1" ht="24.95" hidden="1" customHeight="1">
      <c r="A737" s="82">
        <f>OBRA!J735</f>
        <v>2023</v>
      </c>
      <c r="B737" s="784" t="s">
        <v>3944</v>
      </c>
      <c r="C737" s="784">
        <f>OBRA!K735</f>
        <v>234008</v>
      </c>
      <c r="D737" s="784" t="s">
        <v>2310</v>
      </c>
      <c r="E737" s="85" t="s">
        <v>6015</v>
      </c>
      <c r="F737" s="83" t="s">
        <v>1428</v>
      </c>
      <c r="G737" s="575"/>
      <c r="H737" s="103" t="str">
        <f>OBRA!N735</f>
        <v>DOP/AD/008/2023</v>
      </c>
      <c r="I737" s="85" t="str">
        <f>OBRA!O735</f>
        <v>CANCELADA</v>
      </c>
      <c r="J737" s="125" t="str">
        <f>OBRA!P735</f>
        <v>-</v>
      </c>
      <c r="K737" s="125"/>
      <c r="L737" s="125"/>
      <c r="M737" s="125"/>
      <c r="N737" s="125" t="str">
        <f>OBRA!Q735</f>
        <v>-</v>
      </c>
      <c r="O737" s="812"/>
      <c r="P737" s="86">
        <f>OBRA!R735</f>
        <v>0</v>
      </c>
      <c r="Q737" s="86">
        <f t="shared" si="57"/>
        <v>0</v>
      </c>
      <c r="R737" s="86" t="s">
        <v>68</v>
      </c>
      <c r="S737" s="87">
        <f>OBRA!S735</f>
        <v>0</v>
      </c>
      <c r="T737" s="1409" t="str">
        <f>OBRA!V735</f>
        <v>-</v>
      </c>
      <c r="U737" s="88">
        <f>OBRA!T735</f>
        <v>0</v>
      </c>
      <c r="V737" s="89">
        <f>OBRA!U735</f>
        <v>0</v>
      </c>
      <c r="W737" s="821"/>
      <c r="X737" s="1430">
        <f>OBRA!AS735+OBRA!AT735</f>
        <v>0</v>
      </c>
      <c r="Y737" s="1016"/>
      <c r="Z737" s="147" t="str">
        <f>OBRA!W735</f>
        <v>-</v>
      </c>
      <c r="AA737" s="147" t="s">
        <v>5666</v>
      </c>
      <c r="AB737" s="149" t="s">
        <v>4477</v>
      </c>
      <c r="AC737" s="147" t="s">
        <v>4478</v>
      </c>
      <c r="AD737" s="149" t="s">
        <v>5634</v>
      </c>
      <c r="AE737" s="184">
        <f>OBRA!X735</f>
        <v>0</v>
      </c>
      <c r="AF737" s="84">
        <v>259</v>
      </c>
      <c r="AG737" s="85" t="s">
        <v>1548</v>
      </c>
      <c r="AH737" s="1692">
        <f t="shared" si="61"/>
        <v>0</v>
      </c>
      <c r="AI737" s="85"/>
      <c r="AJ737" s="514"/>
      <c r="AK737" s="514"/>
      <c r="AL737" s="1515"/>
      <c r="AM737" s="1516"/>
      <c r="AN737" s="816"/>
      <c r="AO737" s="816"/>
      <c r="AP737" s="816"/>
      <c r="AQ737" s="514"/>
      <c r="AR737" s="514"/>
      <c r="AS737" s="83"/>
    </row>
    <row r="738" spans="1:45" s="104" customFormat="1" ht="24.95" hidden="1" customHeight="1">
      <c r="A738" s="82">
        <f>OBRA!J736</f>
        <v>2023</v>
      </c>
      <c r="B738" s="784" t="s">
        <v>3944</v>
      </c>
      <c r="C738" s="784">
        <f>OBRA!K736</f>
        <v>234009</v>
      </c>
      <c r="D738" s="1779" t="s">
        <v>2310</v>
      </c>
      <c r="E738" s="85">
        <f>OBRA!M736</f>
        <v>0</v>
      </c>
      <c r="F738" s="83" t="s">
        <v>1428</v>
      </c>
      <c r="G738" s="1780"/>
      <c r="H738" s="103" t="str">
        <f>OBRA!N736</f>
        <v>DOP/AD/009/2023</v>
      </c>
      <c r="I738" s="85" t="str">
        <f>OBRA!O736</f>
        <v>CANCELADA</v>
      </c>
      <c r="J738" s="125" t="str">
        <f>OBRA!P736</f>
        <v>-</v>
      </c>
      <c r="K738" s="125"/>
      <c r="L738" s="125"/>
      <c r="M738" s="125"/>
      <c r="N738" s="125" t="str">
        <f>OBRA!Q736</f>
        <v>-</v>
      </c>
      <c r="O738" s="812"/>
      <c r="P738" s="86">
        <f>OBRA!R736</f>
        <v>0</v>
      </c>
      <c r="Q738" s="86">
        <f t="shared" si="57"/>
        <v>0</v>
      </c>
      <c r="R738" s="86" t="s">
        <v>68</v>
      </c>
      <c r="S738" s="87">
        <f>OBRA!S736</f>
        <v>0</v>
      </c>
      <c r="T738" s="1409" t="str">
        <f>OBRA!V736</f>
        <v>-</v>
      </c>
      <c r="U738" s="88">
        <f>OBRA!T736</f>
        <v>0</v>
      </c>
      <c r="V738" s="89">
        <f>OBRA!U736</f>
        <v>0</v>
      </c>
      <c r="W738" s="821"/>
      <c r="X738" s="1430">
        <f>OBRA!AS736+OBRA!AT736</f>
        <v>0</v>
      </c>
      <c r="Y738" s="1016"/>
      <c r="Z738" s="147" t="str">
        <f>OBRA!W736</f>
        <v>-</v>
      </c>
      <c r="AA738" s="147" t="s">
        <v>5666</v>
      </c>
      <c r="AB738" s="149" t="s">
        <v>5398</v>
      </c>
      <c r="AC738" s="147" t="s">
        <v>5399</v>
      </c>
      <c r="AD738" s="149" t="s">
        <v>3471</v>
      </c>
      <c r="AE738" s="184">
        <f>OBRA!X736</f>
        <v>0</v>
      </c>
      <c r="AF738" s="84"/>
      <c r="AG738" s="85" t="s">
        <v>1451</v>
      </c>
      <c r="AH738" s="1692" t="e">
        <f t="shared" si="61"/>
        <v>#DIV/0!</v>
      </c>
      <c r="AI738" s="85"/>
      <c r="AJ738" s="514"/>
      <c r="AK738" s="514"/>
      <c r="AL738" s="1515"/>
      <c r="AM738" s="1516"/>
      <c r="AN738" s="816"/>
      <c r="AO738" s="816"/>
      <c r="AP738" s="816"/>
      <c r="AQ738" s="514"/>
      <c r="AR738" s="514"/>
      <c r="AS738" s="83"/>
    </row>
    <row r="739" spans="1:45" s="104" customFormat="1" ht="24.95" hidden="1" customHeight="1">
      <c r="A739" s="82">
        <f>OBRA!J737</f>
        <v>2023</v>
      </c>
      <c r="B739" s="784" t="s">
        <v>3944</v>
      </c>
      <c r="C739" s="784">
        <f>OBRA!K737</f>
        <v>234010</v>
      </c>
      <c r="D739" s="1779" t="s">
        <v>2310</v>
      </c>
      <c r="E739" s="85">
        <f>OBRA!M737</f>
        <v>0</v>
      </c>
      <c r="F739" s="83" t="s">
        <v>1428</v>
      </c>
      <c r="G739" s="1780"/>
      <c r="H739" s="103" t="str">
        <f>OBRA!N737</f>
        <v>DOP/AD/010/2023</v>
      </c>
      <c r="I739" s="85" t="str">
        <f>OBRA!O737</f>
        <v>CANCELADA</v>
      </c>
      <c r="J739" s="125" t="str">
        <f>OBRA!P737</f>
        <v>-</v>
      </c>
      <c r="K739" s="125"/>
      <c r="L739" s="125"/>
      <c r="M739" s="125"/>
      <c r="N739" s="125" t="str">
        <f>OBRA!Q737</f>
        <v>-</v>
      </c>
      <c r="O739" s="812"/>
      <c r="P739" s="86">
        <f>OBRA!R737</f>
        <v>0</v>
      </c>
      <c r="Q739" s="86">
        <f t="shared" si="57"/>
        <v>0</v>
      </c>
      <c r="R739" s="86" t="s">
        <v>68</v>
      </c>
      <c r="S739" s="87">
        <f>OBRA!S737</f>
        <v>0</v>
      </c>
      <c r="T739" s="1409" t="str">
        <f>OBRA!V737</f>
        <v>-</v>
      </c>
      <c r="U739" s="88">
        <f>OBRA!T737</f>
        <v>0</v>
      </c>
      <c r="V739" s="89">
        <f>OBRA!U737</f>
        <v>0</v>
      </c>
      <c r="W739" s="821"/>
      <c r="X739" s="1430">
        <f>OBRA!AS737+OBRA!AT737</f>
        <v>0</v>
      </c>
      <c r="Y739" s="1016"/>
      <c r="Z739" s="147" t="str">
        <f>OBRA!W737</f>
        <v>-</v>
      </c>
      <c r="AA739" s="147" t="s">
        <v>5666</v>
      </c>
      <c r="AB739" s="149" t="s">
        <v>4477</v>
      </c>
      <c r="AC739" s="147" t="s">
        <v>4478</v>
      </c>
      <c r="AD739" s="149" t="s">
        <v>5634</v>
      </c>
      <c r="AE739" s="184">
        <f>OBRA!X737</f>
        <v>0</v>
      </c>
      <c r="AF739" s="84">
        <v>108</v>
      </c>
      <c r="AG739" s="85" t="s">
        <v>1548</v>
      </c>
      <c r="AH739" s="1692">
        <f t="shared" si="61"/>
        <v>0</v>
      </c>
      <c r="AI739" s="85"/>
      <c r="AJ739" s="514"/>
      <c r="AK739" s="514"/>
      <c r="AL739" s="1515"/>
      <c r="AM739" s="1516"/>
      <c r="AN739" s="816"/>
      <c r="AO739" s="816"/>
      <c r="AP739" s="816"/>
      <c r="AQ739" s="514"/>
      <c r="AR739" s="514"/>
      <c r="AS739" s="83"/>
    </row>
    <row r="740" spans="1:45" ht="147.75" customHeight="1">
      <c r="A740" s="16">
        <f>OBRA!J738</f>
        <v>2023</v>
      </c>
      <c r="B740" s="783" t="s">
        <v>3944</v>
      </c>
      <c r="C740" s="783">
        <f>OBRA!K738</f>
        <v>235001</v>
      </c>
      <c r="D740" s="24" t="s">
        <v>2310</v>
      </c>
      <c r="E740" s="2" t="str">
        <f>OBRA!M738</f>
        <v>RAMO 33</v>
      </c>
      <c r="F740" s="671" t="s">
        <v>1428</v>
      </c>
      <c r="G740" s="156" t="s">
        <v>2206</v>
      </c>
      <c r="H740" s="412" t="str">
        <f>OBRA!N738</f>
        <v>GMJ 001C OP/2023</v>
      </c>
      <c r="I740" s="2" t="str">
        <f>OBRA!O738</f>
        <v>ADJUDICACIÓN DIRECTA</v>
      </c>
      <c r="J740" s="3" t="str">
        <f>OBRA!P738</f>
        <v>"CONSTRUCCIÓN DE LÍNEA DE DRENAJE SANITARIO, LÍNEA DE AGUA POTABLE, HUELLA DE CONCRETO Y EMPEDRADO AHOGADO EN CONCRETO EN LA CALLE JOSEFA ORTIZ DE DOMINGUEZ DE CALLE ALDAMA PONIENTE A CALLE FILÓSOFOS", EN LA CABECERA MUNICIPAL DE JOCOTEPEC, JALISCO.</v>
      </c>
      <c r="K740" s="1175" t="s">
        <v>6466</v>
      </c>
      <c r="L740" s="3" t="s">
        <v>6248</v>
      </c>
      <c r="M740" s="3" t="s">
        <v>6064</v>
      </c>
      <c r="N740" s="3" t="str">
        <f>OBRA!Q738</f>
        <v>CABECERA MUNICIPAL</v>
      </c>
      <c r="O740" s="504" t="s">
        <v>5516</v>
      </c>
      <c r="P740" s="79">
        <f>OBRA!R738</f>
        <v>1211066.4099999999</v>
      </c>
      <c r="Q740" s="1023">
        <f t="shared" si="57"/>
        <v>1044022.7672413794</v>
      </c>
      <c r="R740" s="1714" t="s">
        <v>68</v>
      </c>
      <c r="S740" s="67">
        <f>OBRA!S738</f>
        <v>44974</v>
      </c>
      <c r="T740" s="1134">
        <f>OBRA!V738</f>
        <v>44971</v>
      </c>
      <c r="U740" s="5">
        <f>OBRA!T738</f>
        <v>44977</v>
      </c>
      <c r="V740" s="11">
        <f>OBRA!U738</f>
        <v>45021</v>
      </c>
      <c r="W740" s="1901">
        <v>0</v>
      </c>
      <c r="X740" s="1019">
        <f>OBRA!AS738+OBRA!AT738</f>
        <v>1211066.4099999999</v>
      </c>
      <c r="Y740" s="1089" t="s">
        <v>6065</v>
      </c>
      <c r="Z740" s="146" t="str">
        <f>OBRA!W738</f>
        <v>EDIFICACIONES Y TERRACERIAS CH, S.A. DE C.V.</v>
      </c>
      <c r="AA740" s="146" t="s">
        <v>5665</v>
      </c>
      <c r="AB740" s="1769" t="s">
        <v>5398</v>
      </c>
      <c r="AC740" s="1770" t="s">
        <v>5399</v>
      </c>
      <c r="AD740" s="1769" t="s">
        <v>6066</v>
      </c>
      <c r="AE740" s="183" t="str">
        <f>OBRA!X738</f>
        <v>C. DANIEL RODRIGUEZ VALENZUELA</v>
      </c>
      <c r="AF740" s="552">
        <f>161.65+167.67</f>
        <v>329.32</v>
      </c>
      <c r="AG740" s="2" t="s">
        <v>1451</v>
      </c>
      <c r="AH740" s="615">
        <f t="shared" si="61"/>
        <v>3677.4760415401433</v>
      </c>
      <c r="AI740" s="2">
        <v>120</v>
      </c>
      <c r="AJ740" s="2">
        <v>10000</v>
      </c>
      <c r="AK740" s="1888">
        <v>1</v>
      </c>
      <c r="AL740" s="1522">
        <v>20.290374</v>
      </c>
      <c r="AM740" s="1523">
        <v>103.43078</v>
      </c>
      <c r="AN740" s="571" t="s">
        <v>5522</v>
      </c>
      <c r="AO740" s="571" t="s">
        <v>5522</v>
      </c>
      <c r="AP740" s="571" t="s">
        <v>5522</v>
      </c>
      <c r="AQ740" s="501" t="s">
        <v>5522</v>
      </c>
      <c r="AR740" s="501"/>
      <c r="AS740" s="704" t="s">
        <v>5522</v>
      </c>
    </row>
    <row r="741" spans="1:45" ht="95.25" customHeight="1">
      <c r="A741" s="16">
        <f>OBRA!J739</f>
        <v>2023</v>
      </c>
      <c r="B741" s="783" t="s">
        <v>3944</v>
      </c>
      <c r="C741" s="783">
        <f>OBRA!K739</f>
        <v>235002</v>
      </c>
      <c r="D741" s="24" t="s">
        <v>2310</v>
      </c>
      <c r="E741" s="2" t="str">
        <f>OBRA!M739</f>
        <v>RAMO 33</v>
      </c>
      <c r="F741" s="671" t="s">
        <v>1428</v>
      </c>
      <c r="G741" s="156" t="s">
        <v>2206</v>
      </c>
      <c r="H741" s="412" t="str">
        <f>OBRA!N739</f>
        <v>GMJ 002C OP/2023</v>
      </c>
      <c r="I741" s="2" t="str">
        <f>OBRA!O739</f>
        <v>ADJUDICACIÓN DIRECTA</v>
      </c>
      <c r="J741" s="3" t="str">
        <f>OBRA!P739</f>
        <v>"CONSTRUCCIÓN DE HUELLAS DE CONCRETO Y EMPEDRADO AHOGADO EN CEMENTO EN LA CALLE JOSEFA ORTIZ DE DOMINGUEZ DE CALLE ALDAMA PONIENTE A CALLE FILÓSOFOS", EN LA CABECERA MUNICIPAL DE JOCOTEPEC, JALISCO.</v>
      </c>
      <c r="K741" s="1175" t="s">
        <v>6452</v>
      </c>
      <c r="L741" s="3" t="s">
        <v>4752</v>
      </c>
      <c r="M741" s="3" t="s">
        <v>6064</v>
      </c>
      <c r="N741" s="3" t="str">
        <f>OBRA!Q739</f>
        <v>CABECERA MUNICIPAL</v>
      </c>
      <c r="O741" s="504" t="s">
        <v>5516</v>
      </c>
      <c r="P741" s="79">
        <f>OBRA!R739</f>
        <v>1810170.95</v>
      </c>
      <c r="Q741" s="1023">
        <f t="shared" si="57"/>
        <v>1560492.198275862</v>
      </c>
      <c r="R741" s="1714" t="s">
        <v>68</v>
      </c>
      <c r="S741" s="67">
        <f>OBRA!S739</f>
        <v>45022</v>
      </c>
      <c r="T741" s="1134">
        <f>OBRA!V739</f>
        <v>45021</v>
      </c>
      <c r="U741" s="5">
        <f>OBRA!T739</f>
        <v>45024</v>
      </c>
      <c r="V741" s="11">
        <f>OBRA!U739</f>
        <v>45061</v>
      </c>
      <c r="W741" s="1901">
        <v>0</v>
      </c>
      <c r="X741" s="1019">
        <f>OBRA!AS739+OBRA!AT739</f>
        <v>1884522.92</v>
      </c>
      <c r="Y741" s="1089" t="s">
        <v>5400</v>
      </c>
      <c r="Z741" s="146" t="str">
        <f>OBRA!W739</f>
        <v>ING. SERGIO CABRERA</v>
      </c>
      <c r="AA741" s="146" t="s">
        <v>5665</v>
      </c>
      <c r="AB741" s="1769" t="s">
        <v>4444</v>
      </c>
      <c r="AC741" s="146" t="s">
        <v>1922</v>
      </c>
      <c r="AD741" s="148" t="s">
        <v>6046</v>
      </c>
      <c r="AE741" s="1771" t="str">
        <f>OBRA!X739</f>
        <v>C. DANIEL RODRIGUEZ VALENZUELA</v>
      </c>
      <c r="AF741" s="552">
        <v>1209.1400000000001</v>
      </c>
      <c r="AG741" s="2" t="s">
        <v>1548</v>
      </c>
      <c r="AH741" s="615">
        <f t="shared" si="61"/>
        <v>1558.5646988768874</v>
      </c>
      <c r="AI741" s="2">
        <v>120</v>
      </c>
      <c r="AJ741" s="2">
        <v>120</v>
      </c>
      <c r="AK741" s="1888">
        <v>1</v>
      </c>
      <c r="AL741" s="1522">
        <v>20.290374</v>
      </c>
      <c r="AM741" s="1523">
        <v>103.43078</v>
      </c>
      <c r="AN741" s="571" t="s">
        <v>5521</v>
      </c>
      <c r="AO741" s="571" t="s">
        <v>5521</v>
      </c>
      <c r="AP741" s="571" t="s">
        <v>5521</v>
      </c>
      <c r="AQ741" s="501" t="s">
        <v>5521</v>
      </c>
      <c r="AR741" s="501"/>
      <c r="AS741" s="704" t="s">
        <v>5521</v>
      </c>
    </row>
    <row r="742" spans="1:45" ht="226.5" customHeight="1">
      <c r="A742" s="16">
        <f>OBRA!J740</f>
        <v>2023</v>
      </c>
      <c r="B742" s="783" t="s">
        <v>3944</v>
      </c>
      <c r="C742" s="783">
        <f>OBRA!K740</f>
        <v>235003</v>
      </c>
      <c r="D742" s="24" t="s">
        <v>2310</v>
      </c>
      <c r="E742" s="2" t="str">
        <f>OBRA!M740</f>
        <v>CUENTA CORRIENTE</v>
      </c>
      <c r="F742" s="671" t="s">
        <v>1428</v>
      </c>
      <c r="G742" s="156" t="s">
        <v>2206</v>
      </c>
      <c r="H742" s="412" t="str">
        <f>OBRA!N740</f>
        <v>CSS-OP-CC-003/2023</v>
      </c>
      <c r="I742" s="2" t="str">
        <f>OBRA!O740</f>
        <v>CONCURSO SIMPLIFICADO SUMARIO</v>
      </c>
      <c r="J742" s="3" t="str">
        <f>OBRA!P740</f>
        <v>“CONSTRUCCIÓN DE LINEA DE DRENAJE, LINEA DE AGUA POTABLE, HUELLA DE CONCRETO Y EMPEDRADO AHOGADO EN CONCRETO EN LA CALLE JOSEFA ORTIZ DE DOMINGUEZ DE CALLE FILÓSOFOS HASTA EL LIBRAMIENTO”, EN LA CABECERA MUNICIPAL DE JOCOTEPEC, JALISCO.</v>
      </c>
      <c r="K742" s="1175" t="s">
        <v>6467</v>
      </c>
      <c r="L742" s="3" t="s">
        <v>6248</v>
      </c>
      <c r="M742" s="3" t="s">
        <v>6068</v>
      </c>
      <c r="N742" s="3" t="str">
        <f>OBRA!Q740</f>
        <v>CABECERA MUNICIPAL</v>
      </c>
      <c r="O742" s="504" t="s">
        <v>5516</v>
      </c>
      <c r="P742" s="79">
        <f>OBRA!R740</f>
        <v>4378573.75</v>
      </c>
      <c r="Q742" s="1023">
        <f t="shared" si="57"/>
        <v>3774632.5431034486</v>
      </c>
      <c r="R742" s="1714" t="s">
        <v>68</v>
      </c>
      <c r="S742" s="67">
        <f>OBRA!S740</f>
        <v>44981</v>
      </c>
      <c r="T742" s="1134" t="str">
        <f>OBRA!V740</f>
        <v>-</v>
      </c>
      <c r="U742" s="5">
        <f>OBRA!T740</f>
        <v>44987</v>
      </c>
      <c r="V742" s="11">
        <f>OBRA!U740</f>
        <v>45048</v>
      </c>
      <c r="W742" s="1901">
        <v>0</v>
      </c>
      <c r="X742" s="1019">
        <f>OBRA!AS740+OBRA!AT740</f>
        <v>4710868.9800000004</v>
      </c>
      <c r="Y742" s="1089" t="s">
        <v>6069</v>
      </c>
      <c r="Z742" s="146" t="str">
        <f>OBRA!W740</f>
        <v>TERRACERÍAS Y PAVIMENTOS DE LA RIBERA, S.A. DE C.V.</v>
      </c>
      <c r="AA742" s="146" t="s">
        <v>5666</v>
      </c>
      <c r="AB742" s="1769" t="s">
        <v>4444</v>
      </c>
      <c r="AC742" s="1770" t="s">
        <v>3470</v>
      </c>
      <c r="AD742" s="1769" t="s">
        <v>6070</v>
      </c>
      <c r="AE742" s="1771" t="str">
        <f>OBRA!X740</f>
        <v>C. DANIEL RODRIGUEZ VALENZUELA</v>
      </c>
      <c r="AF742" s="552">
        <v>2016</v>
      </c>
      <c r="AG742" s="2" t="s">
        <v>1548</v>
      </c>
      <c r="AH742" s="615">
        <f t="shared" si="61"/>
        <v>2336.7405654761906</v>
      </c>
      <c r="AI742" s="2">
        <v>120</v>
      </c>
      <c r="AJ742" s="2">
        <v>10000</v>
      </c>
      <c r="AK742" s="1888">
        <v>1</v>
      </c>
      <c r="AL742" s="1522">
        <v>20.291854000000001</v>
      </c>
      <c r="AM742" s="1523">
        <v>103.43062</v>
      </c>
      <c r="AN742" s="571" t="s">
        <v>5518</v>
      </c>
      <c r="AO742" s="571" t="s">
        <v>5518</v>
      </c>
      <c r="AP742" s="571" t="s">
        <v>5518</v>
      </c>
      <c r="AQ742" s="501" t="s">
        <v>5518</v>
      </c>
      <c r="AR742" s="501"/>
      <c r="AS742" s="704" t="s">
        <v>5518</v>
      </c>
    </row>
    <row r="743" spans="1:45" ht="110.25" customHeight="1">
      <c r="A743" s="16">
        <f>OBRA!J741</f>
        <v>2023</v>
      </c>
      <c r="B743" s="783" t="s">
        <v>3944</v>
      </c>
      <c r="C743" s="783">
        <f>OBRA!K741</f>
        <v>235004</v>
      </c>
      <c r="D743" s="24" t="s">
        <v>2310</v>
      </c>
      <c r="E743" s="2" t="str">
        <f>OBRA!M741</f>
        <v>RAMO 33</v>
      </c>
      <c r="F743" s="671" t="s">
        <v>1428</v>
      </c>
      <c r="G743" s="156" t="s">
        <v>2206</v>
      </c>
      <c r="H743" s="412" t="str">
        <f>OBRA!N741</f>
        <v>GMJ 004C OP/2023</v>
      </c>
      <c r="I743" s="2" t="str">
        <f>OBRA!O741</f>
        <v>ADJUDICACIÓN DIRECTA</v>
      </c>
      <c r="J743" s="3" t="str">
        <f>OBRA!P741</f>
        <v>"COMPLEMENTO DE OBRA: EQUIPAMIENTO, ELECTRIFICACIÓN, TREN DE DESCARGA, CASETA DE CLORACIÓN, CERCADO PERIMETRAL Y PUESTA EN MARCHA DEL POZO DE AGUA", EN LA LOCALIDAD DE CHANTEPEC DEL MUNICIPIO DE JOCOTEPEC, JALISCO.</v>
      </c>
      <c r="K743" s="1175" t="s">
        <v>6458</v>
      </c>
      <c r="L743" s="3" t="s">
        <v>4751</v>
      </c>
      <c r="M743" s="3" t="s">
        <v>4568</v>
      </c>
      <c r="N743" s="3" t="str">
        <f>OBRA!Q741</f>
        <v>CHANTEPEC</v>
      </c>
      <c r="O743" s="504" t="s">
        <v>5516</v>
      </c>
      <c r="P743" s="79">
        <f>OBRA!R741</f>
        <v>1196296.56</v>
      </c>
      <c r="Q743" s="1023">
        <f t="shared" si="57"/>
        <v>1031290.1379310346</v>
      </c>
      <c r="R743" s="1714" t="s">
        <v>68</v>
      </c>
      <c r="S743" s="67">
        <f>OBRA!S741</f>
        <v>45036</v>
      </c>
      <c r="T743" s="1134">
        <f>OBRA!V741</f>
        <v>45034</v>
      </c>
      <c r="U743" s="5">
        <f>OBRA!T741</f>
        <v>45048</v>
      </c>
      <c r="V743" s="11">
        <f>OBRA!U741</f>
        <v>45079</v>
      </c>
      <c r="W743" s="1901">
        <v>358888.97</v>
      </c>
      <c r="X743" s="1019">
        <f>OBRA!AS741+OBRA!AT741</f>
        <v>990596.22</v>
      </c>
      <c r="Y743" s="1089" t="s">
        <v>6071</v>
      </c>
      <c r="Z743" s="146" t="str">
        <f>OBRA!W741</f>
        <v>URBANIZADORA Y PAVIMENTADORA MONLE S.A. DE C.V.</v>
      </c>
      <c r="AA743" s="146" t="s">
        <v>5666</v>
      </c>
      <c r="AB743" s="1769" t="s">
        <v>4878</v>
      </c>
      <c r="AC743" s="1770" t="s">
        <v>4879</v>
      </c>
      <c r="AD743" s="1769" t="s">
        <v>5903</v>
      </c>
      <c r="AE743" s="1771" t="str">
        <f>OBRA!X741</f>
        <v>ING. J. GUADALUPE IBARRA RAMIREZ</v>
      </c>
      <c r="AF743" s="19">
        <v>200</v>
      </c>
      <c r="AG743" s="2" t="s">
        <v>1548</v>
      </c>
      <c r="AH743" s="615">
        <f t="shared" si="61"/>
        <v>4952.9811</v>
      </c>
      <c r="AI743" s="2">
        <v>1200</v>
      </c>
      <c r="AJ743" s="2">
        <v>1200</v>
      </c>
      <c r="AK743" s="1888">
        <v>1</v>
      </c>
      <c r="AL743" s="1522">
        <v>20.291011999999998</v>
      </c>
      <c r="AM743" s="1523">
        <v>103.391206</v>
      </c>
      <c r="AN743" s="571" t="s">
        <v>5523</v>
      </c>
      <c r="AO743" s="571" t="s">
        <v>5523</v>
      </c>
      <c r="AP743" s="571" t="s">
        <v>5523</v>
      </c>
      <c r="AQ743" s="501" t="s">
        <v>5523</v>
      </c>
      <c r="AR743" s="501"/>
      <c r="AS743" s="704" t="s">
        <v>5523</v>
      </c>
    </row>
    <row r="744" spans="1:45" ht="135" customHeight="1">
      <c r="A744" s="16">
        <f>OBRA!J742</f>
        <v>2023</v>
      </c>
      <c r="B744" s="783" t="s">
        <v>3944</v>
      </c>
      <c r="C744" s="783">
        <f>OBRA!K742</f>
        <v>235005</v>
      </c>
      <c r="D744" s="24" t="s">
        <v>2310</v>
      </c>
      <c r="E744" s="2" t="str">
        <f>OBRA!M742</f>
        <v>RAMO 33</v>
      </c>
      <c r="F744" s="671" t="s">
        <v>1428</v>
      </c>
      <c r="G744" s="156" t="s">
        <v>2206</v>
      </c>
      <c r="H744" s="412" t="str">
        <f>OBRA!N742</f>
        <v>GMJ 005C OP/2023</v>
      </c>
      <c r="I744" s="2" t="str">
        <f>OBRA!O742</f>
        <v>ADJUDICACIÓN DIRECTA</v>
      </c>
      <c r="J744" s="3" t="str">
        <f>OBRA!P742</f>
        <v>"COMPLEMENTO DE OBRA: EQUIPAMIENTO, ELECTRIFICACIÓN, TREN DE DESCARGA, CASETA DE CLORACIÓN, CERCADO PERIMETRAL Y PUESTA EN MARCHA DEL POZO DE AGUA", EN LA LOCALIDAD DE CHANTEPEC DEL MUNICIPIO DE JOCOTEPEC, JALISCO.</v>
      </c>
      <c r="K744" s="1175" t="s">
        <v>6459</v>
      </c>
      <c r="L744" s="3" t="s">
        <v>4751</v>
      </c>
      <c r="M744" s="3" t="s">
        <v>4568</v>
      </c>
      <c r="N744" s="3" t="str">
        <f>OBRA!Q742</f>
        <v>CHANTEPEC</v>
      </c>
      <c r="O744" s="504" t="s">
        <v>5516</v>
      </c>
      <c r="P744" s="79">
        <f>OBRA!R742</f>
        <v>544139.78</v>
      </c>
      <c r="Q744" s="1023">
        <f t="shared" si="57"/>
        <v>469086.01724137936</v>
      </c>
      <c r="R744" s="1714" t="s">
        <v>68</v>
      </c>
      <c r="S744" s="67">
        <f>OBRA!S742</f>
        <v>45044</v>
      </c>
      <c r="T744" s="1134">
        <f>OBRA!V742</f>
        <v>45035</v>
      </c>
      <c r="U744" s="5">
        <f>OBRA!T742</f>
        <v>45054</v>
      </c>
      <c r="V744" s="11">
        <f>OBRA!U742</f>
        <v>45086</v>
      </c>
      <c r="W744" s="1901">
        <v>163241.93</v>
      </c>
      <c r="X744" s="1019">
        <f>OBRA!AS742+OBRA!AT742</f>
        <v>609769.67000000004</v>
      </c>
      <c r="Y744" s="1089" t="s">
        <v>6071</v>
      </c>
      <c r="Z744" s="146" t="str">
        <f>OBRA!W742</f>
        <v>CONSTRUCTORA ELÉCTRICA DEL LAGO S.A. DE C.V.</v>
      </c>
      <c r="AA744" s="146" t="s">
        <v>5666</v>
      </c>
      <c r="AB744" s="1769" t="s">
        <v>6072</v>
      </c>
      <c r="AC744" s="1770" t="s">
        <v>6073</v>
      </c>
      <c r="AD744" s="1769" t="s">
        <v>6074</v>
      </c>
      <c r="AE744" s="1771" t="str">
        <f>OBRA!X742</f>
        <v>ING. J. GUADALUPE IBARRA RAMIREZ</v>
      </c>
      <c r="AF744" s="552">
        <v>1</v>
      </c>
      <c r="AG744" s="2" t="s">
        <v>1463</v>
      </c>
      <c r="AH744" s="615">
        <f t="shared" si="61"/>
        <v>609769.67000000004</v>
      </c>
      <c r="AI744" s="2">
        <v>1200</v>
      </c>
      <c r="AJ744" s="2">
        <v>1200</v>
      </c>
      <c r="AK744" s="1888">
        <v>1</v>
      </c>
      <c r="AL744" s="1522">
        <v>20.291011999999998</v>
      </c>
      <c r="AM744" s="1523">
        <v>103.391206</v>
      </c>
      <c r="AN744" s="571" t="s">
        <v>5524</v>
      </c>
      <c r="AO744" s="571" t="s">
        <v>5524</v>
      </c>
      <c r="AP744" s="571" t="s">
        <v>5524</v>
      </c>
      <c r="AQ744" s="501" t="s">
        <v>5524</v>
      </c>
      <c r="AR744" s="501"/>
      <c r="AS744" s="704" t="s">
        <v>5524</v>
      </c>
    </row>
    <row r="745" spans="1:45" ht="169.5" customHeight="1">
      <c r="A745" s="16">
        <f>OBRA!J743</f>
        <v>2023</v>
      </c>
      <c r="B745" s="783" t="s">
        <v>3944</v>
      </c>
      <c r="C745" s="783">
        <f>OBRA!K743</f>
        <v>235006</v>
      </c>
      <c r="D745" s="24" t="s">
        <v>2310</v>
      </c>
      <c r="E745" s="2" t="str">
        <f>OBRA!M743</f>
        <v>CUENTA CORRIENTE</v>
      </c>
      <c r="F745" s="671" t="s">
        <v>1428</v>
      </c>
      <c r="G745" s="156" t="s">
        <v>2206</v>
      </c>
      <c r="H745" s="412" t="str">
        <f>OBRA!N743</f>
        <v>GMJ 006C OP/2023</v>
      </c>
      <c r="I745" s="2" t="str">
        <f>OBRA!O743</f>
        <v>ADJUDICACIÓN DIRECTA</v>
      </c>
      <c r="J745"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K745" s="1323" t="s">
        <v>6460</v>
      </c>
      <c r="L745" s="3" t="s">
        <v>6241</v>
      </c>
      <c r="M745" s="3" t="s">
        <v>5892</v>
      </c>
      <c r="N745" s="3" t="str">
        <f>OBRA!Q743</f>
        <v>CABECERA MUNICIPAL</v>
      </c>
      <c r="O745" s="504" t="s">
        <v>5516</v>
      </c>
      <c r="P745" s="79">
        <f>OBRA!R743</f>
        <v>584259.75</v>
      </c>
      <c r="Q745" s="1023">
        <f t="shared" si="57"/>
        <v>503672.19827586209</v>
      </c>
      <c r="R745" s="1714" t="s">
        <v>68</v>
      </c>
      <c r="S745" s="67">
        <f>OBRA!S743</f>
        <v>45042</v>
      </c>
      <c r="T745" s="1134">
        <f>OBRA!V743</f>
        <v>45040</v>
      </c>
      <c r="U745" s="5">
        <f>OBRA!T743</f>
        <v>45048</v>
      </c>
      <c r="V745" s="11">
        <f>OBRA!U743</f>
        <v>45168</v>
      </c>
      <c r="W745" s="1901">
        <v>175277.92</v>
      </c>
      <c r="X745" s="1019">
        <f>OBRA!AS743+OBRA!AT743</f>
        <v>774108.4</v>
      </c>
      <c r="Y745" s="1089" t="s">
        <v>6075</v>
      </c>
      <c r="Z745" s="146" t="str">
        <f>OBRA!W743</f>
        <v>ESTRUCTURAS PLANEADAS DE OCCIDENTE, S.A. DE C.V.</v>
      </c>
      <c r="AA745" s="146" t="s">
        <v>5666</v>
      </c>
      <c r="AB745" s="148" t="s">
        <v>4477</v>
      </c>
      <c r="AC745" s="146" t="s">
        <v>4478</v>
      </c>
      <c r="AD745" s="148" t="s">
        <v>6045</v>
      </c>
      <c r="AE745" s="1771" t="str">
        <f>OBRA!X743</f>
        <v>ARQ. JAIME CONDE GOMEZ</v>
      </c>
      <c r="AF745" s="552">
        <v>367</v>
      </c>
      <c r="AG745" s="2" t="s">
        <v>1548</v>
      </c>
      <c r="AH745" s="615">
        <f t="shared" si="61"/>
        <v>2109.2871934604905</v>
      </c>
      <c r="AI745" s="2" t="s">
        <v>68</v>
      </c>
      <c r="AJ745" s="2">
        <v>48500</v>
      </c>
      <c r="AK745" s="1888">
        <v>1</v>
      </c>
      <c r="AL745" s="1522">
        <v>20.286434</v>
      </c>
      <c r="AM745" s="1523">
        <v>103.43029300000001</v>
      </c>
      <c r="AN745" s="571" t="s">
        <v>5525</v>
      </c>
      <c r="AO745" s="571" t="s">
        <v>5525</v>
      </c>
      <c r="AP745" s="571" t="s">
        <v>5525</v>
      </c>
      <c r="AQ745" s="501" t="s">
        <v>5525</v>
      </c>
      <c r="AR745" s="501"/>
      <c r="AS745" s="704" t="s">
        <v>5525</v>
      </c>
    </row>
    <row r="746" spans="1:45" ht="94.5" customHeight="1">
      <c r="A746" s="16">
        <f>OBRA!J744</f>
        <v>2023</v>
      </c>
      <c r="B746" s="783" t="s">
        <v>3944</v>
      </c>
      <c r="C746" s="783">
        <f>OBRA!K744</f>
        <v>235007</v>
      </c>
      <c r="D746" s="24" t="s">
        <v>2310</v>
      </c>
      <c r="E746" s="2" t="str">
        <f>OBRA!M744</f>
        <v>CUENTA CORRIENTE</v>
      </c>
      <c r="F746" s="671" t="s">
        <v>1428</v>
      </c>
      <c r="G746" s="156" t="s">
        <v>2206</v>
      </c>
      <c r="H746" s="412" t="str">
        <f>OBRA!N744</f>
        <v>GMJ 007C OP/2023</v>
      </c>
      <c r="I746" s="2" t="str">
        <f>OBRA!O744</f>
        <v>ADJUDICACIÓN DIRECTA</v>
      </c>
      <c r="J746" s="3" t="str">
        <f>OBRA!P744</f>
        <v>“CONSTRUCCIÓN DE LÍNEA DE ABASTECIMIENTO DE AGUA POTABLE DE 6” EN CALLE JOSEFA ORTÍZ DE DOMINGUEZ DEL LIBRAMIENTO AL DEPÓSITO DE AGUA”, EN LA CABECERA MUNICIPAL DE JOCOTEPEC, JALISCO.</v>
      </c>
      <c r="K746" s="1323" t="s">
        <v>6461</v>
      </c>
      <c r="L746" s="3" t="s">
        <v>4745</v>
      </c>
      <c r="M746" s="3" t="s">
        <v>6076</v>
      </c>
      <c r="N746" s="3" t="str">
        <f>OBRA!Q744</f>
        <v>CABECERA MUNICIPAL</v>
      </c>
      <c r="O746" s="504" t="s">
        <v>5516</v>
      </c>
      <c r="P746" s="79">
        <f>OBRA!R744</f>
        <v>387303.55</v>
      </c>
      <c r="Q746" s="1023">
        <f t="shared" si="57"/>
        <v>333882.37068965519</v>
      </c>
      <c r="R746" s="1714" t="s">
        <v>68</v>
      </c>
      <c r="S746" s="67">
        <f>OBRA!S744</f>
        <v>45056</v>
      </c>
      <c r="T746" s="1134">
        <f>OBRA!V744</f>
        <v>45055</v>
      </c>
      <c r="U746" s="5">
        <f>OBRA!T744</f>
        <v>45061</v>
      </c>
      <c r="V746" s="11">
        <f>OBRA!U744</f>
        <v>45090</v>
      </c>
      <c r="W746" s="1901">
        <v>0</v>
      </c>
      <c r="X746" s="1019">
        <f>OBRA!AS744+OBRA!AT744</f>
        <v>383670.21</v>
      </c>
      <c r="Y746" s="1089" t="s">
        <v>6077</v>
      </c>
      <c r="Z746" s="146" t="str">
        <f>OBRA!W744</f>
        <v>EDIFICACIONES Y TERRACERIAS CH, S.A. DE C.V.</v>
      </c>
      <c r="AA746" s="146" t="s">
        <v>5666</v>
      </c>
      <c r="AB746" s="1769" t="s">
        <v>5398</v>
      </c>
      <c r="AC746" s="1770" t="s">
        <v>5399</v>
      </c>
      <c r="AD746" s="1769" t="s">
        <v>6066</v>
      </c>
      <c r="AE746" s="1771" t="str">
        <f>OBRA!X744</f>
        <v>C. DANIEL RODRIGUEZ VALENZUELA</v>
      </c>
      <c r="AF746" s="552">
        <v>125</v>
      </c>
      <c r="AG746" s="2" t="s">
        <v>1451</v>
      </c>
      <c r="AH746" s="615">
        <f t="shared" si="61"/>
        <v>3069.36168</v>
      </c>
      <c r="AI746" s="2">
        <v>5000</v>
      </c>
      <c r="AJ746" s="2">
        <v>5000</v>
      </c>
      <c r="AK746" s="1888">
        <v>1</v>
      </c>
      <c r="AL746" s="1522">
        <v>20.294352</v>
      </c>
      <c r="AM746" s="1523">
        <v>103.430109</v>
      </c>
      <c r="AN746" s="571" t="s">
        <v>5838</v>
      </c>
      <c r="AO746" s="571" t="s">
        <v>5838</v>
      </c>
      <c r="AP746" s="571" t="s">
        <v>5838</v>
      </c>
      <c r="AQ746" s="501" t="s">
        <v>5838</v>
      </c>
      <c r="AR746" s="501"/>
      <c r="AS746" s="704" t="s">
        <v>5838</v>
      </c>
    </row>
    <row r="747" spans="1:45" ht="80.25" customHeight="1">
      <c r="A747" s="16">
        <f>OBRA!J745</f>
        <v>2023</v>
      </c>
      <c r="B747" s="783" t="s">
        <v>3944</v>
      </c>
      <c r="C747" s="783">
        <f>OBRA!K745</f>
        <v>235008</v>
      </c>
      <c r="D747" s="24" t="s">
        <v>2310</v>
      </c>
      <c r="E747" s="2" t="str">
        <f>OBRA!M745</f>
        <v>CUENTA CORRIENTE</v>
      </c>
      <c r="F747" s="671" t="s">
        <v>1428</v>
      </c>
      <c r="G747" s="156" t="s">
        <v>2206</v>
      </c>
      <c r="H747" s="412" t="str">
        <f>OBRA!N745</f>
        <v>GMJ 008C OP/2023</v>
      </c>
      <c r="I747" s="2" t="str">
        <f>OBRA!O745</f>
        <v>ADJUDICACIÓN DIRECTA</v>
      </c>
      <c r="J747" s="3" t="str">
        <f>OBRA!P745</f>
        <v>“REPARACIÓN DE TANQUE ALMACENAMIENTO DE AGUA POTABLE ZONA NORTE”, EN LA CABECERA MUNICIPAL DE JOCOTEPEC, JALISCO</v>
      </c>
      <c r="K747" s="1323" t="s">
        <v>6462</v>
      </c>
      <c r="L747" s="3" t="s">
        <v>5417</v>
      </c>
      <c r="M747" s="3" t="s">
        <v>2654</v>
      </c>
      <c r="N747" s="3" t="str">
        <f>OBRA!Q745</f>
        <v>CABECERA MUNICIPAL</v>
      </c>
      <c r="O747" s="504" t="s">
        <v>5516</v>
      </c>
      <c r="P747" s="79">
        <f>OBRA!R745</f>
        <v>374761.47</v>
      </c>
      <c r="Q747" s="1023">
        <f t="shared" si="57"/>
        <v>323070.2327586207</v>
      </c>
      <c r="R747" s="1714" t="s">
        <v>68</v>
      </c>
      <c r="S747" s="67">
        <f>OBRA!S745</f>
        <v>45056</v>
      </c>
      <c r="T747" s="1134">
        <f>OBRA!V745</f>
        <v>45055</v>
      </c>
      <c r="U747" s="5">
        <f>OBRA!T745</f>
        <v>45061</v>
      </c>
      <c r="V747" s="11">
        <f>OBRA!U745</f>
        <v>45086</v>
      </c>
      <c r="W747" s="1901">
        <v>0</v>
      </c>
      <c r="X747" s="1019">
        <f>OBRA!AS745+OBRA!AT745</f>
        <v>490751.18</v>
      </c>
      <c r="Y747" s="1089" t="s">
        <v>6078</v>
      </c>
      <c r="Z747" s="146" t="str">
        <f>OBRA!W745</f>
        <v>ESTRUCTURAS PLANEADAS DE OCCIDENTE, S.A. DE C.V.</v>
      </c>
      <c r="AA747" s="146" t="s">
        <v>5666</v>
      </c>
      <c r="AB747" s="148" t="s">
        <v>4477</v>
      </c>
      <c r="AC747" s="146" t="s">
        <v>4478</v>
      </c>
      <c r="AD747" s="148" t="s">
        <v>6045</v>
      </c>
      <c r="AE747" s="1771" t="str">
        <f>OBRA!X745</f>
        <v>ING. J. GUADALUPE IBARRA RAMIREZ</v>
      </c>
      <c r="AF747" s="552">
        <v>259</v>
      </c>
      <c r="AG747" s="2" t="s">
        <v>1548</v>
      </c>
      <c r="AH747" s="615">
        <f t="shared" si="61"/>
        <v>1894.7922007722007</v>
      </c>
      <c r="AI747" s="2">
        <v>5000</v>
      </c>
      <c r="AJ747" s="2">
        <v>5000</v>
      </c>
      <c r="AK747" s="1888">
        <v>1</v>
      </c>
      <c r="AL747" s="1522">
        <v>20.294468999999999</v>
      </c>
      <c r="AM747" s="1523">
        <v>103.43018600000001</v>
      </c>
      <c r="AN747" s="571" t="s">
        <v>5526</v>
      </c>
      <c r="AO747" s="571" t="s">
        <v>5526</v>
      </c>
      <c r="AP747" s="571" t="s">
        <v>5526</v>
      </c>
      <c r="AQ747" s="501" t="s">
        <v>5526</v>
      </c>
      <c r="AR747" s="501"/>
      <c r="AS747" s="704" t="s">
        <v>5526</v>
      </c>
    </row>
    <row r="748" spans="1:45" ht="91.5" customHeight="1">
      <c r="A748" s="16">
        <f>OBRA!J746</f>
        <v>2023</v>
      </c>
      <c r="B748" s="783" t="s">
        <v>3944</v>
      </c>
      <c r="C748" s="783">
        <f>OBRA!K746</f>
        <v>235009</v>
      </c>
      <c r="D748" s="24" t="s">
        <v>2310</v>
      </c>
      <c r="E748" s="2" t="str">
        <f>OBRA!M746</f>
        <v>CUENTA CORRIENTE</v>
      </c>
      <c r="F748" s="671" t="s">
        <v>1428</v>
      </c>
      <c r="G748" s="156" t="s">
        <v>2206</v>
      </c>
      <c r="H748" s="412" t="str">
        <f>OBRA!N746</f>
        <v>GMJ 009C OP/2023</v>
      </c>
      <c r="I748" s="2" t="str">
        <f>OBRA!O746</f>
        <v>ADJUDICACIÓN DIRECTA</v>
      </c>
      <c r="J748" s="3" t="str">
        <f>OBRA!P746</f>
        <v>“CONSTRUCCIÓN DE LÍNEA DE ABASTECIMIENTO DE AGUA POTABLE DE 6” EN CALLE JOSEFA ORTÍZ DE DOMINGUEZ DEL LIBRAMIENTO A CALLE FILÓSOFOS”, EN LA CABECERA MUNICIPAL DE JOCOTEPEC, JALISCO</v>
      </c>
      <c r="K748" s="1323" t="s">
        <v>6461</v>
      </c>
      <c r="L748" s="3" t="s">
        <v>4745</v>
      </c>
      <c r="M748" s="3" t="s">
        <v>6079</v>
      </c>
      <c r="N748" s="3" t="str">
        <f>OBRA!Q746</f>
        <v>CABECERA MUNICIPAL</v>
      </c>
      <c r="O748" s="504" t="s">
        <v>5516</v>
      </c>
      <c r="P748" s="79">
        <f>OBRA!R746</f>
        <v>835320.31999999995</v>
      </c>
      <c r="Q748" s="1023">
        <f t="shared" si="57"/>
        <v>720103.72413793101</v>
      </c>
      <c r="R748" s="1714" t="s">
        <v>68</v>
      </c>
      <c r="S748" s="67">
        <f>OBRA!S746</f>
        <v>45056</v>
      </c>
      <c r="T748" s="1134">
        <f>OBRA!V746</f>
        <v>45055</v>
      </c>
      <c r="U748" s="5">
        <f>OBRA!T746</f>
        <v>45061</v>
      </c>
      <c r="V748" s="11">
        <f>OBRA!U746</f>
        <v>45090</v>
      </c>
      <c r="W748" s="1901">
        <v>0</v>
      </c>
      <c r="X748" s="1019">
        <f>OBRA!AS746+OBRA!AT746</f>
        <v>803639.66</v>
      </c>
      <c r="Y748" s="1089" t="s">
        <v>6768</v>
      </c>
      <c r="Z748" s="146" t="str">
        <f>OBRA!W746</f>
        <v>EDIFICACIONES Y TERRACERIAS CH, S.A. DE C.V.</v>
      </c>
      <c r="AA748" s="146" t="s">
        <v>5666</v>
      </c>
      <c r="AB748" s="1769" t="s">
        <v>5398</v>
      </c>
      <c r="AC748" s="1770" t="s">
        <v>5399</v>
      </c>
      <c r="AD748" s="1769" t="s">
        <v>6066</v>
      </c>
      <c r="AE748" s="1771" t="str">
        <f>OBRA!X746</f>
        <v>C. DANIEL RODRIGUEZ VALENZUELA</v>
      </c>
      <c r="AF748" s="552">
        <v>270</v>
      </c>
      <c r="AG748" s="2" t="s">
        <v>1451</v>
      </c>
      <c r="AH748" s="615">
        <f t="shared" si="61"/>
        <v>2976.4431851851855</v>
      </c>
      <c r="AI748" s="2">
        <v>5000</v>
      </c>
      <c r="AJ748" s="2">
        <v>5000</v>
      </c>
      <c r="AK748" s="1888">
        <v>1</v>
      </c>
      <c r="AL748" s="1522">
        <v>20.292020999999998</v>
      </c>
      <c r="AM748" s="1523">
        <v>103.43062500000001</v>
      </c>
      <c r="AN748" s="571" t="s">
        <v>5844</v>
      </c>
      <c r="AO748" s="571" t="s">
        <v>5844</v>
      </c>
      <c r="AP748" s="571"/>
      <c r="AQ748" s="501" t="s">
        <v>5844</v>
      </c>
      <c r="AR748" s="501"/>
      <c r="AS748" s="18"/>
    </row>
    <row r="749" spans="1:45" ht="76.5" customHeight="1">
      <c r="A749" s="16">
        <f>OBRA!J747</f>
        <v>2023</v>
      </c>
      <c r="B749" s="783" t="s">
        <v>3944</v>
      </c>
      <c r="C749" s="783">
        <f>OBRA!K747</f>
        <v>235010</v>
      </c>
      <c r="D749" s="24" t="s">
        <v>2310</v>
      </c>
      <c r="E749" s="2" t="str">
        <f>OBRA!M747</f>
        <v>CUENTA CORRIENTE</v>
      </c>
      <c r="F749" s="671" t="s">
        <v>1428</v>
      </c>
      <c r="G749" s="156" t="s">
        <v>2206</v>
      </c>
      <c r="H749" s="412" t="str">
        <f>OBRA!N747</f>
        <v>GMJ 010C OP/2023</v>
      </c>
      <c r="I749" s="2" t="str">
        <f>OBRA!O747</f>
        <v>ADJUDICACIÓN DIRECTA</v>
      </c>
      <c r="J749" s="3" t="str">
        <f>OBRA!P747</f>
        <v>“REPARACIÓN DE TANQUE ALMACENAMIENTO DE AGUA POTABLE”, EN LA LOCALIDAD DE SAN CRISTÓBAL ZAPOTITLÁN DEL MUNICIPIO DE JOCOTEPEC, JALISCO</v>
      </c>
      <c r="K749" s="1323" t="s">
        <v>6464</v>
      </c>
      <c r="L749" s="3" t="s">
        <v>4745</v>
      </c>
      <c r="M749" s="3" t="s">
        <v>4886</v>
      </c>
      <c r="N749" s="3" t="str">
        <f>OBRA!Q747</f>
        <v>SAN CRISTÓBAL ZAPOTITLÁN</v>
      </c>
      <c r="O749" s="504" t="s">
        <v>5516</v>
      </c>
      <c r="P749" s="79">
        <f>OBRA!R747</f>
        <v>168796.66</v>
      </c>
      <c r="Q749" s="1023">
        <f t="shared" si="57"/>
        <v>145514.36206896554</v>
      </c>
      <c r="R749" s="1714" t="s">
        <v>68</v>
      </c>
      <c r="S749" s="67">
        <f>OBRA!S747</f>
        <v>45059</v>
      </c>
      <c r="T749" s="1134">
        <f>OBRA!V747</f>
        <v>45061</v>
      </c>
      <c r="U749" s="5">
        <f>OBRA!T747</f>
        <v>45075</v>
      </c>
      <c r="V749" s="11">
        <f>OBRA!U747</f>
        <v>45094</v>
      </c>
      <c r="W749" s="1901">
        <v>0</v>
      </c>
      <c r="X749" s="1019">
        <f>OBRA!AS747+OBRA!AT747</f>
        <v>254158.03</v>
      </c>
      <c r="Y749" s="1089" t="s">
        <v>6080</v>
      </c>
      <c r="Z749" s="146" t="str">
        <f>OBRA!W747</f>
        <v>ESTRUCTURAS PLANEADAS DE OCCIDENTE, S.A. DE C.V.</v>
      </c>
      <c r="AA749" s="146" t="s">
        <v>5666</v>
      </c>
      <c r="AB749" s="148" t="s">
        <v>4477</v>
      </c>
      <c r="AC749" s="146" t="s">
        <v>4478</v>
      </c>
      <c r="AD749" s="148" t="s">
        <v>6045</v>
      </c>
      <c r="AE749" s="1771" t="str">
        <f>OBRA!X747</f>
        <v>ING. J. GUADALUPE IBARRA RAMIREZ</v>
      </c>
      <c r="AF749" s="552">
        <v>108</v>
      </c>
      <c r="AG749" s="2" t="s">
        <v>1548</v>
      </c>
      <c r="AH749" s="615">
        <f t="shared" si="61"/>
        <v>2353.3150925925925</v>
      </c>
      <c r="AI749" s="2">
        <v>2400</v>
      </c>
      <c r="AJ749" s="2">
        <v>2400</v>
      </c>
      <c r="AK749" s="1888">
        <v>1</v>
      </c>
      <c r="AL749" s="1522">
        <v>20.219604</v>
      </c>
      <c r="AM749" s="1523">
        <v>103.37009</v>
      </c>
      <c r="AN749" s="571" t="s">
        <v>5527</v>
      </c>
      <c r="AO749" s="571" t="s">
        <v>5527</v>
      </c>
      <c r="AP749" s="571" t="s">
        <v>5527</v>
      </c>
      <c r="AQ749" s="501" t="s">
        <v>5527</v>
      </c>
      <c r="AR749" s="501"/>
      <c r="AS749" s="704" t="s">
        <v>5527</v>
      </c>
    </row>
    <row r="750" spans="1:45" ht="112.5" customHeight="1">
      <c r="A750" s="16">
        <f>OBRA!J748</f>
        <v>2023</v>
      </c>
      <c r="B750" s="783" t="s">
        <v>3944</v>
      </c>
      <c r="C750" s="783">
        <f>OBRA!K748</f>
        <v>235011</v>
      </c>
      <c r="D750" s="24" t="s">
        <v>2310</v>
      </c>
      <c r="E750" s="2" t="str">
        <f>OBRA!M748</f>
        <v>CUENTA CORRIENTE</v>
      </c>
      <c r="F750" s="671" t="s">
        <v>1428</v>
      </c>
      <c r="G750" s="156" t="s">
        <v>2206</v>
      </c>
      <c r="H750" s="412" t="str">
        <f>OBRA!N748</f>
        <v>GMJ 011C OP/2023</v>
      </c>
      <c r="I750" s="2" t="str">
        <f>OBRA!O748</f>
        <v>ADJUDICACIÓN DIRECTA</v>
      </c>
      <c r="J750" s="3" t="str">
        <f>OBRA!P748</f>
        <v>“CONSTRUCCIÓN DE REDES HIDROSANITARIAS EN CALLE FILÓSOFOS ENTRE CALLE HIDALGO NORTE Y CALLE ALLENDE”, EN LA CABECERA MUNICIPAL DE JOCOTEPEC, JALISCO</v>
      </c>
      <c r="K750" s="1323" t="s">
        <v>6468</v>
      </c>
      <c r="L750" s="3" t="s">
        <v>6257</v>
      </c>
      <c r="M750" s="3" t="s">
        <v>6082</v>
      </c>
      <c r="N750" s="3" t="str">
        <f>OBRA!Q748</f>
        <v>CABECERA MUNICIPAL</v>
      </c>
      <c r="O750" s="504" t="s">
        <v>5529</v>
      </c>
      <c r="P750" s="79">
        <f>OBRA!R748</f>
        <v>254339.78</v>
      </c>
      <c r="Q750" s="1023">
        <f t="shared" si="57"/>
        <v>219258.43103448278</v>
      </c>
      <c r="R750" s="1714" t="s">
        <v>68</v>
      </c>
      <c r="S750" s="67">
        <f>OBRA!S748</f>
        <v>45141</v>
      </c>
      <c r="T750" s="1134">
        <f>OBRA!V748</f>
        <v>45071</v>
      </c>
      <c r="U750" s="5">
        <f>OBRA!T748</f>
        <v>45187</v>
      </c>
      <c r="V750" s="11">
        <f>OBRA!U748</f>
        <v>45219</v>
      </c>
      <c r="W750" s="1904">
        <v>76301.929999999993</v>
      </c>
      <c r="X750" s="1905">
        <f>OBRA!AS748+OBRA!AT748</f>
        <v>341318.49280000001</v>
      </c>
      <c r="Y750" s="1906" t="s">
        <v>6091</v>
      </c>
      <c r="Z750" s="1770" t="str">
        <f>OBRA!W748</f>
        <v>MANUEL PALOS VACA</v>
      </c>
      <c r="AA750" s="1770" t="s">
        <v>5666</v>
      </c>
      <c r="AB750" s="1769" t="s">
        <v>5667</v>
      </c>
      <c r="AC750" s="1770" t="s">
        <v>6092</v>
      </c>
      <c r="AD750" s="1769" t="s">
        <v>6093</v>
      </c>
      <c r="AE750" s="1771" t="str">
        <f>OBRA!X748</f>
        <v>C. DANIEL RODRIGUEZ VALENZUELA</v>
      </c>
      <c r="AF750" s="19">
        <f>88.95+91.31</f>
        <v>180.26</v>
      </c>
      <c r="AG750" s="2" t="s">
        <v>1451</v>
      </c>
      <c r="AH750" s="615">
        <f t="shared" si="61"/>
        <v>1893.4788239210031</v>
      </c>
      <c r="AI750" s="2">
        <v>50</v>
      </c>
      <c r="AJ750" s="2">
        <v>50</v>
      </c>
      <c r="AK750" s="1888">
        <v>1</v>
      </c>
      <c r="AL750" s="1522">
        <v>20.291170000000001</v>
      </c>
      <c r="AM750" s="1523">
        <v>103.42919500000001</v>
      </c>
      <c r="AN750" s="571" t="s">
        <v>5850</v>
      </c>
      <c r="AO750" s="571" t="s">
        <v>5850</v>
      </c>
      <c r="AP750" s="571" t="s">
        <v>5850</v>
      </c>
      <c r="AQ750" s="501" t="s">
        <v>5850</v>
      </c>
      <c r="AR750" s="501"/>
      <c r="AS750" s="704" t="s">
        <v>5850</v>
      </c>
    </row>
    <row r="751" spans="1:45" ht="126.75" customHeight="1">
      <c r="A751" s="16">
        <f>OBRA!J749</f>
        <v>2023</v>
      </c>
      <c r="B751" s="783" t="s">
        <v>3944</v>
      </c>
      <c r="C751" s="783">
        <f>OBRA!K749</f>
        <v>235012</v>
      </c>
      <c r="D751" s="24" t="s">
        <v>2310</v>
      </c>
      <c r="E751" s="2" t="str">
        <f>OBRA!M749</f>
        <v>RAMO 33</v>
      </c>
      <c r="F751" s="671" t="s">
        <v>1428</v>
      </c>
      <c r="G751" s="156" t="s">
        <v>2206</v>
      </c>
      <c r="H751" s="412" t="str">
        <f>OBRA!N749</f>
        <v>GMJ 012C OP/2023</v>
      </c>
      <c r="I751" s="2" t="str">
        <f>OBRA!O749</f>
        <v>ADJUDICACIÓN DIRECTA</v>
      </c>
      <c r="J751" s="3" t="str">
        <f>OBRA!P749</f>
        <v>“CONSTRUCCIÓN DE REDES HIDROSANITARIAS EN CALLE FILÓSOFOS ENTRE CALLE INDEPENDENCIA Y CALLE JOSEFA ORTÍZ DE DOMÍNGUEZ”, EN LA CABECERA MUNICIPAL DE JOCOTEPEC, JALISCO</v>
      </c>
      <c r="K751" s="1323" t="s">
        <v>6469</v>
      </c>
      <c r="L751" s="3" t="s">
        <v>6257</v>
      </c>
      <c r="M751" s="3" t="s">
        <v>6081</v>
      </c>
      <c r="N751" s="3" t="str">
        <f>OBRA!Q749</f>
        <v>CABECERA MUNICIPAL</v>
      </c>
      <c r="O751" s="504" t="s">
        <v>5529</v>
      </c>
      <c r="P751" s="79">
        <f>OBRA!R749</f>
        <v>553159.56000000006</v>
      </c>
      <c r="Q751" s="1023">
        <f t="shared" si="57"/>
        <v>476861.68965517252</v>
      </c>
      <c r="R751" s="1714" t="s">
        <v>68</v>
      </c>
      <c r="S751" s="67">
        <f>OBRA!S749</f>
        <v>45141</v>
      </c>
      <c r="T751" s="1134">
        <f>OBRA!V749</f>
        <v>45140</v>
      </c>
      <c r="U751" s="5">
        <f>OBRA!T749</f>
        <v>45148</v>
      </c>
      <c r="V751" s="11">
        <f>OBRA!U749</f>
        <v>45170</v>
      </c>
      <c r="W751" s="1901">
        <v>165947.85999999999</v>
      </c>
      <c r="X751" s="1019">
        <f>OBRA!AS749+OBRA!AT749</f>
        <v>707620.48</v>
      </c>
      <c r="Y751" s="1089" t="s">
        <v>6094</v>
      </c>
      <c r="Z751" s="146" t="str">
        <f>OBRA!W749</f>
        <v>MANUEL PALOS VACA</v>
      </c>
      <c r="AA751" s="146" t="s">
        <v>5665</v>
      </c>
      <c r="AB751" s="1769" t="s">
        <v>5667</v>
      </c>
      <c r="AC751" s="1770" t="s">
        <v>6092</v>
      </c>
      <c r="AD751" s="1769" t="s">
        <v>6093</v>
      </c>
      <c r="AE751" s="1771" t="str">
        <f>OBRA!X749</f>
        <v>C. DANIEL RODRIGUEZ VALENZUELA</v>
      </c>
      <c r="AF751" s="19">
        <f>146.52+111.12</f>
        <v>257.64</v>
      </c>
      <c r="AG751" s="2" t="s">
        <v>1451</v>
      </c>
      <c r="AH751" s="615">
        <f t="shared" si="61"/>
        <v>2746.5474305232106</v>
      </c>
      <c r="AI751" s="2">
        <v>150</v>
      </c>
      <c r="AJ751" s="2">
        <v>150</v>
      </c>
      <c r="AK751" s="1888">
        <v>1</v>
      </c>
      <c r="AL751" s="1522">
        <v>20.291388999999999</v>
      </c>
      <c r="AM751" s="1523">
        <v>103.43118699999999</v>
      </c>
      <c r="AN751" s="571" t="s">
        <v>6095</v>
      </c>
      <c r="AO751" s="571" t="s">
        <v>6095</v>
      </c>
      <c r="AP751" s="571" t="s">
        <v>6095</v>
      </c>
      <c r="AQ751" s="501" t="s">
        <v>6095</v>
      </c>
      <c r="AR751" s="501"/>
      <c r="AS751" s="704" t="s">
        <v>6095</v>
      </c>
    </row>
    <row r="752" spans="1:45" ht="121.5" customHeight="1">
      <c r="A752" s="16">
        <f>OBRA!J750</f>
        <v>2023</v>
      </c>
      <c r="B752" s="783" t="s">
        <v>3944</v>
      </c>
      <c r="C752" s="783">
        <f>OBRA!K750</f>
        <v>235013</v>
      </c>
      <c r="D752" s="24" t="s">
        <v>2310</v>
      </c>
      <c r="E752" s="2" t="str">
        <f>OBRA!M750</f>
        <v>RAMO 33</v>
      </c>
      <c r="F752" s="671" t="s">
        <v>1428</v>
      </c>
      <c r="G752" s="156" t="s">
        <v>2206</v>
      </c>
      <c r="H752" s="412" t="str">
        <f>OBRA!N750</f>
        <v>GMJ 013C OP/2023</v>
      </c>
      <c r="I752" s="2" t="str">
        <f>OBRA!O750</f>
        <v>ADJUDICACIÓN DIRECTA</v>
      </c>
      <c r="J752" s="3" t="str">
        <f>OBRA!P750</f>
        <v>“CONSTRUCCIÓN DE RED DE DRENAJE SANITARIO Y RED DE AGUA POTABLE EN CALLE PLAYAS DE LA LAGUNA”, EN LA LOCALIDAD DE CHANTEPEC DEL MUNICIPIO DE JOCOTEPEC, JALISCO</v>
      </c>
      <c r="K752" s="1323" t="s">
        <v>6465</v>
      </c>
      <c r="L752" s="3" t="s">
        <v>6257</v>
      </c>
      <c r="M752" s="3" t="s">
        <v>6083</v>
      </c>
      <c r="N752" s="3" t="str">
        <f>OBRA!Q750</f>
        <v>CHANTEPEC</v>
      </c>
      <c r="O752" s="504" t="s">
        <v>5529</v>
      </c>
      <c r="P752" s="79">
        <f>OBRA!R750</f>
        <v>724743.66</v>
      </c>
      <c r="Q752" s="1023">
        <f t="shared" si="57"/>
        <v>624779.01724137936</v>
      </c>
      <c r="R752" s="1714" t="s">
        <v>68</v>
      </c>
      <c r="S752" s="67">
        <f>OBRA!S750</f>
        <v>45105</v>
      </c>
      <c r="T752" s="1134">
        <f>OBRA!V750</f>
        <v>45104</v>
      </c>
      <c r="U752" s="5">
        <f>OBRA!T750</f>
        <v>45110</v>
      </c>
      <c r="V752" s="11">
        <f>OBRA!U750</f>
        <v>45141</v>
      </c>
      <c r="W752" s="1901">
        <v>217423.09</v>
      </c>
      <c r="X752" s="1019">
        <f>OBRA!AS750+OBRA!AT750</f>
        <v>683930.4</v>
      </c>
      <c r="Y752" s="1089" t="s">
        <v>6096</v>
      </c>
      <c r="Z752" s="146" t="str">
        <f>OBRA!W750</f>
        <v>EDIFICACIONES Y TERRACERIAS CH, S.A. DE C.V.</v>
      </c>
      <c r="AA752" s="146" t="s">
        <v>5665</v>
      </c>
      <c r="AB752" s="1769" t="s">
        <v>5398</v>
      </c>
      <c r="AC752" s="1770" t="s">
        <v>5399</v>
      </c>
      <c r="AD752" s="1769" t="s">
        <v>6066</v>
      </c>
      <c r="AE752" s="1771" t="str">
        <f>OBRA!X750</f>
        <v>C. DANIEL RODRIGUEZ VALENZUELA</v>
      </c>
      <c r="AF752" s="19">
        <f>208.61+202.62</f>
        <v>411.23</v>
      </c>
      <c r="AG752" s="2" t="s">
        <v>1451</v>
      </c>
      <c r="AH752" s="615">
        <f t="shared" si="61"/>
        <v>1663.1335262505168</v>
      </c>
      <c r="AI752" s="2">
        <v>150</v>
      </c>
      <c r="AJ752" s="2">
        <v>150</v>
      </c>
      <c r="AK752" s="1888">
        <v>1</v>
      </c>
      <c r="AL752" s="1522">
        <v>20.291482999999999</v>
      </c>
      <c r="AM752" s="1523">
        <v>103.39101599999999</v>
      </c>
      <c r="AN752" s="571" t="s">
        <v>6097</v>
      </c>
      <c r="AO752" s="571" t="s">
        <v>6097</v>
      </c>
      <c r="AP752" s="571"/>
      <c r="AQ752" s="501" t="s">
        <v>6097</v>
      </c>
      <c r="AR752" s="501"/>
      <c r="AS752" s="704" t="s">
        <v>6097</v>
      </c>
    </row>
    <row r="753" spans="1:45" ht="160.5" customHeight="1">
      <c r="A753" s="16">
        <f>OBRA!J751</f>
        <v>2023</v>
      </c>
      <c r="B753" s="783" t="s">
        <v>3944</v>
      </c>
      <c r="C753" s="783">
        <f>OBRA!K751</f>
        <v>235014</v>
      </c>
      <c r="D753" s="24" t="s">
        <v>2310</v>
      </c>
      <c r="E753" s="2" t="str">
        <f>OBRA!M751</f>
        <v>RAMO 33</v>
      </c>
      <c r="F753" s="671" t="s">
        <v>1428</v>
      </c>
      <c r="G753" s="156" t="s">
        <v>2206</v>
      </c>
      <c r="H753" s="412" t="str">
        <f>OBRA!N751</f>
        <v>GMJ 014C OP/2023</v>
      </c>
      <c r="I753" s="2" t="str">
        <f>OBRA!O751</f>
        <v>ADJUDICACIÓN DIRECTA</v>
      </c>
      <c r="J753" s="3" t="str">
        <f>OBRA!P751</f>
        <v>“CONSTRUCCIÓN DE RED DE DRENAJE SANITARIO Y RED DE AGUA POTABLE EN CALLE PLAYA AZUL”, EN LA LOCALIDAD DE CHANTEPEC DEL MUNICIPIO DE JOCOTEPEC, JALISCO</v>
      </c>
      <c r="K753" s="1323" t="s">
        <v>6470</v>
      </c>
      <c r="L753" s="3" t="s">
        <v>6257</v>
      </c>
      <c r="M753" s="3" t="s">
        <v>6084</v>
      </c>
      <c r="N753" s="3" t="str">
        <f>OBRA!Q751</f>
        <v>CHANTEPEC</v>
      </c>
      <c r="O753" s="504" t="s">
        <v>5529</v>
      </c>
      <c r="P753" s="79">
        <f>OBRA!R751</f>
        <v>543995.47</v>
      </c>
      <c r="Q753" s="1023">
        <f t="shared" si="57"/>
        <v>468961.61206896551</v>
      </c>
      <c r="R753" s="1714" t="s">
        <v>68</v>
      </c>
      <c r="S753" s="67">
        <f>OBRA!S751</f>
        <v>45105</v>
      </c>
      <c r="T753" s="1134">
        <f>OBRA!V751</f>
        <v>45104</v>
      </c>
      <c r="U753" s="5">
        <f>OBRA!T751</f>
        <v>45110</v>
      </c>
      <c r="V753" s="11">
        <f>OBRA!U751</f>
        <v>45141</v>
      </c>
      <c r="W753" s="1901">
        <v>163198.64000000001</v>
      </c>
      <c r="X753" s="1019">
        <f>OBRA!AS751+OBRA!AT751</f>
        <v>576880.88</v>
      </c>
      <c r="Y753" s="1089" t="s">
        <v>6098</v>
      </c>
      <c r="Z753" s="146" t="str">
        <f>OBRA!W751</f>
        <v>EDIFICACIONES Y TERRACERIAS CH, S.A. DE C.V.</v>
      </c>
      <c r="AA753" s="146" t="s">
        <v>5666</v>
      </c>
      <c r="AB753" s="1769" t="s">
        <v>5398</v>
      </c>
      <c r="AC753" s="1770" t="s">
        <v>5399</v>
      </c>
      <c r="AD753" s="1769" t="s">
        <v>6066</v>
      </c>
      <c r="AE753" s="1771" t="str">
        <f>OBRA!X751</f>
        <v>C. DANIEL RODRIGUEZ VALENZUELA</v>
      </c>
      <c r="AF753" s="19">
        <f>170.28+165.18</f>
        <v>335.46000000000004</v>
      </c>
      <c r="AG753" s="2" t="s">
        <v>1451</v>
      </c>
      <c r="AH753" s="615">
        <f t="shared" si="61"/>
        <v>1719.6711381386751</v>
      </c>
      <c r="AI753" s="2">
        <v>100</v>
      </c>
      <c r="AJ753" s="2">
        <v>200</v>
      </c>
      <c r="AK753" s="1888">
        <v>1</v>
      </c>
      <c r="AL753" s="1522">
        <v>20.291975999999998</v>
      </c>
      <c r="AM753" s="1523">
        <v>103.391639</v>
      </c>
      <c r="AN753" s="571" t="s">
        <v>6099</v>
      </c>
      <c r="AO753" s="571" t="s">
        <v>6099</v>
      </c>
      <c r="AP753" s="571" t="s">
        <v>6099</v>
      </c>
      <c r="AQ753" s="501" t="s">
        <v>6099</v>
      </c>
      <c r="AR753" s="501"/>
      <c r="AS753" s="704" t="s">
        <v>6099</v>
      </c>
    </row>
    <row r="754" spans="1:45" ht="102" customHeight="1">
      <c r="A754" s="16">
        <f>OBRA!J752</f>
        <v>2023</v>
      </c>
      <c r="B754" s="783" t="s">
        <v>3944</v>
      </c>
      <c r="C754" s="783">
        <f>OBRA!K752</f>
        <v>235015</v>
      </c>
      <c r="D754" s="24" t="s">
        <v>2310</v>
      </c>
      <c r="E754" s="2" t="str">
        <f>OBRA!M752</f>
        <v>CUENTA CORRIENTE</v>
      </c>
      <c r="F754" s="671" t="s">
        <v>1428</v>
      </c>
      <c r="G754" s="156" t="s">
        <v>2206</v>
      </c>
      <c r="H754" s="412" t="str">
        <f>OBRA!N752</f>
        <v>GMJ 015C OP/2023</v>
      </c>
      <c r="I754" s="2" t="str">
        <f>OBRA!O752</f>
        <v>ADJUDICACIÓN DIRECTA</v>
      </c>
      <c r="J754" s="3" t="str">
        <f>OBRA!P752</f>
        <v>“TERMINACIÓN DE DEPÓSITO DE AGUA, LÍNEA DE LLENADO Y DISTRIBUCIÓN DE AGUA POTABLE EN CUARTEL DE LA GUARDIA NACIONAL (OBRA CIVIL)”, EN LA LOCALIDAD DE POTRERILLOS DEL MUNICIPIO DE JOCOTEPEC, JALISCO</v>
      </c>
      <c r="K754" s="1175" t="s">
        <v>6471</v>
      </c>
      <c r="L754" s="3" t="s">
        <v>5417</v>
      </c>
      <c r="M754" s="3" t="s">
        <v>6085</v>
      </c>
      <c r="N754" s="3" t="str">
        <f>OBRA!Q752</f>
        <v>CRUCERO POTRERILLOS</v>
      </c>
      <c r="O754" s="504" t="s">
        <v>5529</v>
      </c>
      <c r="P754" s="79">
        <f>OBRA!R752</f>
        <v>703136.32</v>
      </c>
      <c r="Q754" s="1023">
        <f t="shared" si="57"/>
        <v>606152</v>
      </c>
      <c r="R754" s="1714" t="s">
        <v>68</v>
      </c>
      <c r="S754" s="67">
        <f>OBRA!S752</f>
        <v>45105</v>
      </c>
      <c r="T754" s="1134">
        <f>OBRA!V752</f>
        <v>45104</v>
      </c>
      <c r="U754" s="5">
        <f>OBRA!T752</f>
        <v>45113</v>
      </c>
      <c r="V754" s="11">
        <f>OBRA!U752</f>
        <v>45168</v>
      </c>
      <c r="W754" s="1901">
        <v>210940.9</v>
      </c>
      <c r="X754" s="1019">
        <f>OBRA!AS752+OBRA!AT752</f>
        <v>871262.6716</v>
      </c>
      <c r="Y754" s="1089" t="s">
        <v>6100</v>
      </c>
      <c r="Z754" s="146" t="str">
        <f>OBRA!W752</f>
        <v>ALSERCON SA DE CV</v>
      </c>
      <c r="AA754" s="146" t="s">
        <v>5666</v>
      </c>
      <c r="AB754" s="1769" t="s">
        <v>5398</v>
      </c>
      <c r="AC754" s="1770" t="s">
        <v>5399</v>
      </c>
      <c r="AD754" s="1769" t="s">
        <v>6066</v>
      </c>
      <c r="AE754" s="1771" t="str">
        <f>OBRA!X752</f>
        <v>C. DANIEL RODRIGUEZ VALENZUELA</v>
      </c>
      <c r="AF754" s="19">
        <v>924.1</v>
      </c>
      <c r="AG754" s="2" t="s">
        <v>1548</v>
      </c>
      <c r="AH754" s="615">
        <f t="shared" si="61"/>
        <v>942.82293215020013</v>
      </c>
      <c r="AI754" s="2">
        <v>400</v>
      </c>
      <c r="AJ754" s="2">
        <v>400</v>
      </c>
      <c r="AK754" s="1888">
        <v>1</v>
      </c>
      <c r="AL754" s="1522">
        <v>20.300170000000001</v>
      </c>
      <c r="AM754" s="1523">
        <v>103.47023900000001</v>
      </c>
      <c r="AN754" s="571" t="s">
        <v>6101</v>
      </c>
      <c r="AO754" s="571" t="s">
        <v>6101</v>
      </c>
      <c r="AP754" s="571" t="s">
        <v>6101</v>
      </c>
      <c r="AQ754" s="501" t="s">
        <v>6101</v>
      </c>
      <c r="AR754" s="501"/>
      <c r="AS754" s="18"/>
    </row>
    <row r="755" spans="1:45" ht="66" customHeight="1">
      <c r="A755" s="16">
        <f>OBRA!J753</f>
        <v>2023</v>
      </c>
      <c r="B755" s="783" t="s">
        <v>3944</v>
      </c>
      <c r="C755" s="783">
        <f>OBRA!K753</f>
        <v>235016</v>
      </c>
      <c r="D755" s="24" t="s">
        <v>2310</v>
      </c>
      <c r="E755" s="2" t="str">
        <f>OBRA!M753</f>
        <v>CUENTA CORRIENTE</v>
      </c>
      <c r="F755" s="671" t="s">
        <v>1428</v>
      </c>
      <c r="G755" s="156" t="s">
        <v>2206</v>
      </c>
      <c r="H755" s="412" t="str">
        <f>OBRA!N753</f>
        <v>GMJ 016C OP/2023</v>
      </c>
      <c r="I755" s="2" t="str">
        <f>OBRA!O753</f>
        <v>ADJUDICACIÓN DIRECTA</v>
      </c>
      <c r="J755" s="3" t="str">
        <f>OBRA!P753</f>
        <v>“INTALACIÓN DE RIELERIA PARA EL PROCESO DE MATANZA EN RASTRO MUNICIPAL”, EN LA CABECERA MUNICIPAL DE JOCOTEPEC, JALISCO</v>
      </c>
      <c r="K755" s="3" t="s">
        <v>6450</v>
      </c>
      <c r="L755" s="3" t="s">
        <v>6241</v>
      </c>
      <c r="M755" s="3" t="s">
        <v>2002</v>
      </c>
      <c r="N755" s="3" t="str">
        <f>OBRA!Q753</f>
        <v>CABECERA MUNICIPAL</v>
      </c>
      <c r="O755" s="504" t="s">
        <v>5529</v>
      </c>
      <c r="P755" s="79">
        <f>OBRA!R753</f>
        <v>821212.44</v>
      </c>
      <c r="Q755" s="1023">
        <f t="shared" si="57"/>
        <v>707941.75862068962</v>
      </c>
      <c r="R755" s="1714" t="s">
        <v>68</v>
      </c>
      <c r="S755" s="67">
        <f>OBRA!S753</f>
        <v>45134</v>
      </c>
      <c r="T755" s="1134">
        <f>OBRA!V753</f>
        <v>45131</v>
      </c>
      <c r="U755" s="5">
        <f>OBRA!T753</f>
        <v>45145</v>
      </c>
      <c r="V755" s="11">
        <f>OBRA!U753</f>
        <v>45169</v>
      </c>
      <c r="W755" s="1901">
        <v>246363.73</v>
      </c>
      <c r="X755" s="1019">
        <f>OBRA!AS753+OBRA!AT753</f>
        <v>821212.14</v>
      </c>
      <c r="Y755" s="1089" t="s">
        <v>6451</v>
      </c>
      <c r="Z755" s="1770" t="str">
        <f>OBRA!W753</f>
        <v>C. ANA LUZ HIDALGO VELA</v>
      </c>
      <c r="AA755" s="1770" t="s">
        <v>5665</v>
      </c>
      <c r="AB755" s="1769" t="s">
        <v>6102</v>
      </c>
      <c r="AC755" s="1770" t="s">
        <v>6103</v>
      </c>
      <c r="AD755" s="1769" t="s">
        <v>6104</v>
      </c>
      <c r="AE755" s="1771" t="str">
        <f>OBRA!X753</f>
        <v>ARQ. JAIME CONDE GOMEZ</v>
      </c>
      <c r="AF755" s="19">
        <v>15</v>
      </c>
      <c r="AG755" s="2" t="s">
        <v>1451</v>
      </c>
      <c r="AH755" s="615">
        <f t="shared" si="61"/>
        <v>54747.476000000002</v>
      </c>
      <c r="AI755" s="2">
        <v>2000</v>
      </c>
      <c r="AJ755" s="2">
        <v>48500</v>
      </c>
      <c r="AK755" s="1888">
        <v>1</v>
      </c>
      <c r="AL755" s="1522">
        <v>20.279288999999999</v>
      </c>
      <c r="AM755" s="1523">
        <v>103.444957</v>
      </c>
      <c r="AN755" s="571" t="s">
        <v>6105</v>
      </c>
      <c r="AO755" s="571" t="s">
        <v>6105</v>
      </c>
      <c r="AP755" s="571" t="s">
        <v>6105</v>
      </c>
      <c r="AQ755" s="501" t="s">
        <v>6105</v>
      </c>
      <c r="AR755" s="501"/>
      <c r="AS755" s="18"/>
    </row>
    <row r="756" spans="1:45" ht="132" customHeight="1">
      <c r="A756" s="16">
        <f>OBRA!J754</f>
        <v>2023</v>
      </c>
      <c r="B756" s="783" t="s">
        <v>3944</v>
      </c>
      <c r="C756" s="783">
        <f>OBRA!K754</f>
        <v>235017</v>
      </c>
      <c r="D756" s="24" t="s">
        <v>2310</v>
      </c>
      <c r="E756" s="2" t="str">
        <f>OBRA!M754</f>
        <v>FOCOCI</v>
      </c>
      <c r="F756" s="671" t="s">
        <v>1428</v>
      </c>
      <c r="G756" s="156" t="s">
        <v>2206</v>
      </c>
      <c r="H756" s="412" t="str">
        <f>OBRA!N754</f>
        <v>CSS-OP-CC-017/2023</v>
      </c>
      <c r="I756" s="2" t="str">
        <f>OBRA!O754</f>
        <v>CONCURSO SIMPLIFICADO SUMARIO</v>
      </c>
      <c r="J756" s="3" t="str">
        <f>OBRA!P754</f>
        <v>“PAVIMENTACIÓN CON EMPEDRADO ZAMPEADO, EN CALLE LA PAZ EN LA DELEGACIÓN DE SAN JUAN COSALÁ, MUNICIPIO DE JOCOTEPEC, JALISCO”</v>
      </c>
      <c r="K756" s="1323" t="s">
        <v>6474</v>
      </c>
      <c r="L756" s="3" t="s">
        <v>4752</v>
      </c>
      <c r="M756" s="3" t="s">
        <v>2636</v>
      </c>
      <c r="N756" s="3" t="str">
        <f>OBRA!Q754</f>
        <v>SAN JUAN COSALÁ</v>
      </c>
      <c r="O756" s="504" t="s">
        <v>5529</v>
      </c>
      <c r="P756" s="79">
        <f>OBRA!R754</f>
        <v>4998360.84</v>
      </c>
      <c r="Q756" s="1023">
        <f t="shared" ref="Q756:Q803" si="62">P756/1.16</f>
        <v>4308931.7586206896</v>
      </c>
      <c r="R756" s="1714" t="s">
        <v>68</v>
      </c>
      <c r="S756" s="67">
        <f>OBRA!S754</f>
        <v>45152</v>
      </c>
      <c r="T756" s="1134" t="str">
        <f>OBRA!V754</f>
        <v>-</v>
      </c>
      <c r="U756" s="5">
        <f>OBRA!T754</f>
        <v>45155</v>
      </c>
      <c r="V756" s="11">
        <f>OBRA!U754</f>
        <v>45274</v>
      </c>
      <c r="W756" s="1901">
        <v>1499508.25</v>
      </c>
      <c r="X756" s="1019">
        <f>OBRA!AS754+OBRA!AT754</f>
        <v>5362257.2</v>
      </c>
      <c r="Y756" s="1089" t="s">
        <v>6106</v>
      </c>
      <c r="Z756" s="146" t="str">
        <f>OBRA!W754</f>
        <v>C. SERGIO CABRERA</v>
      </c>
      <c r="AA756" s="146" t="s">
        <v>5665</v>
      </c>
      <c r="AB756" s="1769" t="s">
        <v>4444</v>
      </c>
      <c r="AC756" s="146" t="s">
        <v>1922</v>
      </c>
      <c r="AD756" s="148" t="s">
        <v>6046</v>
      </c>
      <c r="AE756" s="1771" t="str">
        <f>OBRA!X754</f>
        <v>C. DANIEL RODRIGUEZ VALENZUELA</v>
      </c>
      <c r="AF756" s="19">
        <v>4605.49</v>
      </c>
      <c r="AG756" s="2" t="s">
        <v>1548</v>
      </c>
      <c r="AH756" s="615">
        <f t="shared" si="61"/>
        <v>1164.318498140263</v>
      </c>
      <c r="AI756" s="2">
        <v>350</v>
      </c>
      <c r="AJ756" s="2">
        <v>8000</v>
      </c>
      <c r="AK756" s="1888">
        <v>1</v>
      </c>
      <c r="AL756" s="1522">
        <v>20.288902</v>
      </c>
      <c r="AM756" s="1523">
        <v>103.34813</v>
      </c>
      <c r="AN756" s="571" t="s">
        <v>6107</v>
      </c>
      <c r="AO756" s="571" t="s">
        <v>6107</v>
      </c>
      <c r="AP756" s="571" t="s">
        <v>6107</v>
      </c>
      <c r="AQ756" s="501" t="s">
        <v>6107</v>
      </c>
      <c r="AR756" s="501"/>
      <c r="AS756" s="704" t="s">
        <v>6107</v>
      </c>
    </row>
    <row r="757" spans="1:45" ht="136.5" customHeight="1">
      <c r="A757" s="16">
        <f>OBRA!J755</f>
        <v>2023</v>
      </c>
      <c r="B757" s="783" t="s">
        <v>3944</v>
      </c>
      <c r="C757" s="783">
        <f>OBRA!K755</f>
        <v>235018</v>
      </c>
      <c r="D757" s="24" t="s">
        <v>2310</v>
      </c>
      <c r="E757" s="2" t="str">
        <f>OBRA!M755</f>
        <v>RAMO 33</v>
      </c>
      <c r="F757" s="671" t="s">
        <v>1428</v>
      </c>
      <c r="G757" s="156" t="s">
        <v>2206</v>
      </c>
      <c r="H757" s="412" t="str">
        <f>OBRA!N755</f>
        <v>CSS-OP-CC-018/2023</v>
      </c>
      <c r="I757" s="2" t="str">
        <f>OBRA!O755</f>
        <v>CONCURSO SIMPLIFICADO SUMARIO</v>
      </c>
      <c r="J757" s="3" t="str">
        <f>OBRA!P755</f>
        <v>“CONSTRUCCIÓN DE SUPERFICIE DE RODAMIENTO EN CALLE PLAYAS DE LA LAGUNA”, EN LA LOCALIDAD DE CHANTEPEC, MUNICIPIO DE JOCOTEPEC, JALISCO</v>
      </c>
      <c r="K757" s="1323" t="s">
        <v>6476</v>
      </c>
      <c r="L757" s="3" t="s">
        <v>4752</v>
      </c>
      <c r="M757" s="3" t="s">
        <v>6083</v>
      </c>
      <c r="N757" s="3" t="str">
        <f>OBRA!Q755</f>
        <v>CHANTEPEC</v>
      </c>
      <c r="O757" s="504" t="s">
        <v>5529</v>
      </c>
      <c r="P757" s="79">
        <f>OBRA!R755</f>
        <v>2808816.17</v>
      </c>
      <c r="Q757" s="1023">
        <f t="shared" si="62"/>
        <v>2421393.25</v>
      </c>
      <c r="R757" s="1714" t="s">
        <v>68</v>
      </c>
      <c r="S757" s="67">
        <f>OBRA!S755</f>
        <v>45168</v>
      </c>
      <c r="T757" s="1134" t="str">
        <f>OBRA!V755</f>
        <v>-</v>
      </c>
      <c r="U757" s="5">
        <f>OBRA!T755</f>
        <v>45173</v>
      </c>
      <c r="V757" s="11">
        <f>OBRA!U755</f>
        <v>45237</v>
      </c>
      <c r="W757" s="1901">
        <v>842644.85</v>
      </c>
      <c r="X757" s="1019">
        <f>OBRA!AS755+OBRA!AT755</f>
        <v>2808775.53</v>
      </c>
      <c r="Y757" s="1089" t="s">
        <v>6108</v>
      </c>
      <c r="Z757" s="146" t="str">
        <f>OBRA!W755</f>
        <v>ALSERCON SA DE CV</v>
      </c>
      <c r="AA757" s="1770" t="s">
        <v>5666</v>
      </c>
      <c r="AB757" s="1769" t="s">
        <v>2164</v>
      </c>
      <c r="AC757" s="1770" t="s">
        <v>2165</v>
      </c>
      <c r="AD757" s="1769" t="s">
        <v>6109</v>
      </c>
      <c r="AE757" s="1771" t="str">
        <f>OBRA!X755</f>
        <v>C. DANIEL RODRIGUEZ VALENZUELA</v>
      </c>
      <c r="AF757" s="19">
        <v>1828.1</v>
      </c>
      <c r="AG757" s="2" t="s">
        <v>1548</v>
      </c>
      <c r="AH757" s="615">
        <f t="shared" si="61"/>
        <v>1536.4452327553197</v>
      </c>
      <c r="AI757" s="2">
        <v>150</v>
      </c>
      <c r="AJ757" s="2">
        <v>500</v>
      </c>
      <c r="AK757" s="1888">
        <v>1</v>
      </c>
      <c r="AL757" s="1522">
        <v>20.291482999999999</v>
      </c>
      <c r="AM757" s="1523">
        <v>103.39101599999999</v>
      </c>
      <c r="AN757" s="571" t="s">
        <v>6110</v>
      </c>
      <c r="AO757" s="571" t="s">
        <v>6110</v>
      </c>
      <c r="AP757" s="571" t="s">
        <v>6110</v>
      </c>
      <c r="AQ757" s="501" t="s">
        <v>6110</v>
      </c>
      <c r="AR757" s="501"/>
      <c r="AS757" s="18"/>
    </row>
    <row r="758" spans="1:45" ht="94.5" customHeight="1">
      <c r="A758" s="16">
        <f>OBRA!J756</f>
        <v>2023</v>
      </c>
      <c r="B758" s="783" t="s">
        <v>3944</v>
      </c>
      <c r="C758" s="783">
        <f>OBRA!K756</f>
        <v>235019</v>
      </c>
      <c r="D758" s="24" t="s">
        <v>2310</v>
      </c>
      <c r="E758" s="2" t="str">
        <f>OBRA!M756</f>
        <v>RAMO 33</v>
      </c>
      <c r="F758" s="671" t="s">
        <v>1428</v>
      </c>
      <c r="G758" s="156" t="s">
        <v>2206</v>
      </c>
      <c r="H758" s="412" t="str">
        <f>OBRA!N756</f>
        <v>GMJ 019C OP/2023</v>
      </c>
      <c r="I758" s="2" t="str">
        <f>OBRA!O756</f>
        <v>ADJUDICACIÓN DIRECTA</v>
      </c>
      <c r="J758" s="3" t="str">
        <f>OBRA!P756</f>
        <v>“CONSTRUCCIÓN DE SUPERFICIE DE RODAMIENTO EN CALLE PLAYA AZUL”, EN LA LOCALIDAD DE CHANTEPEC, MUNICIPIO DE JOCOTEPEC, JALISCO</v>
      </c>
      <c r="K758" s="1323" t="s">
        <v>6479</v>
      </c>
      <c r="L758" s="3" t="s">
        <v>4752</v>
      </c>
      <c r="M758" s="3" t="s">
        <v>6084</v>
      </c>
      <c r="N758" s="3" t="str">
        <f>OBRA!Q756</f>
        <v>CHANTEPEC</v>
      </c>
      <c r="O758" s="504" t="s">
        <v>5529</v>
      </c>
      <c r="P758" s="79">
        <f>OBRA!R756</f>
        <v>2049615.46</v>
      </c>
      <c r="Q758" s="1023">
        <f t="shared" si="62"/>
        <v>1766909.8793103448</v>
      </c>
      <c r="R758" s="1714" t="s">
        <v>68</v>
      </c>
      <c r="S758" s="67">
        <f>OBRA!S756</f>
        <v>45168</v>
      </c>
      <c r="T758" s="1134">
        <f>OBRA!V756</f>
        <v>45163</v>
      </c>
      <c r="U758" s="5">
        <f>OBRA!T756</f>
        <v>45180</v>
      </c>
      <c r="V758" s="11">
        <f>OBRA!U756</f>
        <v>45230</v>
      </c>
      <c r="W758" s="1901">
        <v>614884.64</v>
      </c>
      <c r="X758" s="1019">
        <f>OBRA!AS756+OBRA!AT756</f>
        <v>2059505.58</v>
      </c>
      <c r="Y758" s="1089" t="s">
        <v>6111</v>
      </c>
      <c r="Z758" s="146" t="str">
        <f>OBRA!W756</f>
        <v>C. REFUGIO GUTIÉRREZ NIEVES</v>
      </c>
      <c r="AA758" s="1770" t="s">
        <v>5665</v>
      </c>
      <c r="AB758" s="1769" t="s">
        <v>6112</v>
      </c>
      <c r="AC758" s="1770" t="s">
        <v>4580</v>
      </c>
      <c r="AD758" s="1769" t="s">
        <v>6113</v>
      </c>
      <c r="AE758" s="1771" t="str">
        <f>OBRA!X756</f>
        <v>C. DANIEL RODRIGUEZ VALENZUELA</v>
      </c>
      <c r="AF758" s="19">
        <v>1368</v>
      </c>
      <c r="AG758" s="2" t="s">
        <v>1548</v>
      </c>
      <c r="AH758" s="615">
        <f t="shared" si="61"/>
        <v>1505.4865350877194</v>
      </c>
      <c r="AI758" s="2">
        <v>100</v>
      </c>
      <c r="AJ758" s="2">
        <v>500</v>
      </c>
      <c r="AK758" s="1888">
        <v>1</v>
      </c>
      <c r="AL758" s="1522">
        <v>20.291975999999998</v>
      </c>
      <c r="AM758" s="1523">
        <v>103.391639</v>
      </c>
      <c r="AN758" s="571" t="s">
        <v>6114</v>
      </c>
      <c r="AO758" s="571" t="s">
        <v>6114</v>
      </c>
      <c r="AP758" s="571" t="s">
        <v>6114</v>
      </c>
      <c r="AQ758" s="501" t="s">
        <v>6114</v>
      </c>
      <c r="AR758" s="501"/>
      <c r="AS758" s="704" t="s">
        <v>6114</v>
      </c>
    </row>
    <row r="759" spans="1:45" ht="131.25" customHeight="1">
      <c r="A759" s="16">
        <f>OBRA!J757</f>
        <v>2023</v>
      </c>
      <c r="B759" s="783" t="s">
        <v>3944</v>
      </c>
      <c r="C759" s="783">
        <f>OBRA!K757</f>
        <v>235020</v>
      </c>
      <c r="D759" s="24" t="s">
        <v>2310</v>
      </c>
      <c r="E759" s="2" t="str">
        <f>OBRA!M757</f>
        <v>CUENTA CORRIENTE</v>
      </c>
      <c r="F759" s="671" t="s">
        <v>1428</v>
      </c>
      <c r="G759" s="156" t="s">
        <v>2206</v>
      </c>
      <c r="H759" s="412" t="str">
        <f>OBRA!N757</f>
        <v>GMJ 020C OP/2023</v>
      </c>
      <c r="I759" s="2" t="str">
        <f>OBRA!O757</f>
        <v>ADJUDICACIÓN DIRECTA</v>
      </c>
      <c r="J759" s="3" t="str">
        <f>OBRA!P757</f>
        <v>“REHABILITACIÓN DE PLAZA PRINCIPAL”, EN LA LOCALIDAD DE HUEJOTITÁN, MUNICIPIO DE JOCOTEPEC, JALISCO</v>
      </c>
      <c r="K759" s="1323" t="s">
        <v>6480</v>
      </c>
      <c r="L759" s="3" t="s">
        <v>6242</v>
      </c>
      <c r="M759" s="3" t="s">
        <v>6086</v>
      </c>
      <c r="N759" s="3" t="str">
        <f>OBRA!Q757</f>
        <v>HUEJOTITÁN</v>
      </c>
      <c r="O759" s="504" t="s">
        <v>5529</v>
      </c>
      <c r="P759" s="79">
        <f>OBRA!R757</f>
        <v>304838.93</v>
      </c>
      <c r="Q759" s="1023">
        <f t="shared" si="62"/>
        <v>262792.18103448278</v>
      </c>
      <c r="R759" s="1714" t="s">
        <v>68</v>
      </c>
      <c r="S759" s="67">
        <f>OBRA!S757</f>
        <v>45166</v>
      </c>
      <c r="T759" s="1134">
        <f>OBRA!V757</f>
        <v>45167</v>
      </c>
      <c r="U759" s="5">
        <f>OBRA!T757</f>
        <v>45168</v>
      </c>
      <c r="V759" s="11">
        <f>OBRA!U757</f>
        <v>45199</v>
      </c>
      <c r="W759" s="1901">
        <v>0</v>
      </c>
      <c r="X759" s="1019">
        <f>OBRA!AS757+OBRA!AT757</f>
        <v>324751.53000000003</v>
      </c>
      <c r="Y759" s="1089" t="s">
        <v>6115</v>
      </c>
      <c r="Z759" s="146" t="str">
        <f>OBRA!W757</f>
        <v xml:space="preserve">DORIA &amp; SAMPIER CONSTRUCTORA, S.A. DE C.V. </v>
      </c>
      <c r="AA759" s="146" t="s">
        <v>5666</v>
      </c>
      <c r="AB759" s="1769" t="s">
        <v>5607</v>
      </c>
      <c r="AC759" s="1770" t="s">
        <v>4401</v>
      </c>
      <c r="AD759" s="1769" t="s">
        <v>5608</v>
      </c>
      <c r="AE759" s="1771" t="str">
        <f>OBRA!X757</f>
        <v>ARQ. JAIME CONDE GOMEZ</v>
      </c>
      <c r="AF759" s="19">
        <v>596.96</v>
      </c>
      <c r="AG759" s="2" t="s">
        <v>1548</v>
      </c>
      <c r="AH759" s="615">
        <f t="shared" si="61"/>
        <v>544.00886156526406</v>
      </c>
      <c r="AI759" s="2">
        <v>1300</v>
      </c>
      <c r="AJ759" s="2">
        <v>1300</v>
      </c>
      <c r="AK759" s="1888">
        <v>1</v>
      </c>
      <c r="AL759" s="1522">
        <v>20.354331999999999</v>
      </c>
      <c r="AM759" s="1523">
        <v>103.487101</v>
      </c>
      <c r="AN759" s="571" t="s">
        <v>6117</v>
      </c>
      <c r="AO759" s="571" t="s">
        <v>6117</v>
      </c>
      <c r="AP759" s="571" t="s">
        <v>6117</v>
      </c>
      <c r="AQ759" s="571" t="s">
        <v>6117</v>
      </c>
      <c r="AR759" s="787"/>
      <c r="AS759" s="18"/>
    </row>
    <row r="760" spans="1:45" ht="105" customHeight="1">
      <c r="A760" s="16">
        <f>OBRA!J758</f>
        <v>2023</v>
      </c>
      <c r="B760" s="783" t="s">
        <v>3944</v>
      </c>
      <c r="C760" s="783">
        <f>OBRA!K758</f>
        <v>235021</v>
      </c>
      <c r="D760" s="24" t="s">
        <v>2310</v>
      </c>
      <c r="E760" s="2" t="str">
        <f>OBRA!M758</f>
        <v>RAMO 33</v>
      </c>
      <c r="F760" s="671" t="s">
        <v>1428</v>
      </c>
      <c r="G760" s="156" t="s">
        <v>2206</v>
      </c>
      <c r="H760" s="412" t="str">
        <f>OBRA!N758</f>
        <v>GMJ 021 C-OP/2023</v>
      </c>
      <c r="I760" s="2" t="str">
        <f>OBRA!O758</f>
        <v>ADJUDICACIÓN DIRECTA</v>
      </c>
      <c r="J760" s="3" t="str">
        <f>OBRA!P758</f>
        <v>"CONSTRUCCIÓN DE BANQUETAS E IMAGEN URBANA EN CALLE LA PAZ DE CALLE HIDALGO A CALLE ROTARIO Y CALLE ROTARIO DE CALLE LA PAZ A CARRETERA JOCOTEPEC-CHAPALA", EN LA LOCALIDAD DE SAN JUAN COSALÁ, MUNICIPIO DE JOCOTEPEC, JALISCO.</v>
      </c>
      <c r="K760" s="3" t="s">
        <v>6482</v>
      </c>
      <c r="L760" s="3" t="s">
        <v>6253</v>
      </c>
      <c r="M760" s="3" t="s">
        <v>6087</v>
      </c>
      <c r="N760" s="3" t="str">
        <f>OBRA!Q758</f>
        <v>SAN JUAN COSALÁ</v>
      </c>
      <c r="O760" s="504" t="s">
        <v>5529</v>
      </c>
      <c r="P760" s="79">
        <f>OBRA!R758</f>
        <v>853249.52</v>
      </c>
      <c r="Q760" s="1023">
        <f t="shared" si="62"/>
        <v>735559.93103448278</v>
      </c>
      <c r="R760" s="1714" t="s">
        <v>68</v>
      </c>
      <c r="S760" s="67">
        <f>OBRA!S758</f>
        <v>45203</v>
      </c>
      <c r="T760" s="1134">
        <f>OBRA!V758</f>
        <v>45202</v>
      </c>
      <c r="U760" s="5">
        <f>OBRA!T758</f>
        <v>45209</v>
      </c>
      <c r="V760" s="11">
        <f>OBRA!U758</f>
        <v>45222</v>
      </c>
      <c r="W760" s="1901">
        <v>255974.85</v>
      </c>
      <c r="X760" s="1019">
        <f>OBRA!AS758+OBRA!AT758</f>
        <v>1011271.1799999999</v>
      </c>
      <c r="Y760" s="1089" t="s">
        <v>6118</v>
      </c>
      <c r="Z760" s="146" t="str">
        <f>OBRA!W758</f>
        <v>ING. SERGIO CABRERA</v>
      </c>
      <c r="AA760" s="146" t="s">
        <v>5665</v>
      </c>
      <c r="AB760" s="1769" t="s">
        <v>4444</v>
      </c>
      <c r="AC760" s="146" t="s">
        <v>1922</v>
      </c>
      <c r="AD760" s="148" t="s">
        <v>6046</v>
      </c>
      <c r="AE760" s="1771" t="str">
        <f>OBRA!X758</f>
        <v>C. DANIEL RODRIGUEZ VALENZUELA</v>
      </c>
      <c r="AF760" s="552">
        <v>1260</v>
      </c>
      <c r="AG760" s="2" t="s">
        <v>1548</v>
      </c>
      <c r="AH760" s="615">
        <f t="shared" si="61"/>
        <v>802.59617460317452</v>
      </c>
      <c r="AI760" s="2">
        <v>350</v>
      </c>
      <c r="AJ760" s="2">
        <v>8000</v>
      </c>
      <c r="AK760" s="1888">
        <v>1</v>
      </c>
      <c r="AL760" s="1522">
        <v>20.288902</v>
      </c>
      <c r="AM760" s="1523">
        <v>103.34813</v>
      </c>
      <c r="AN760" s="571" t="s">
        <v>6161</v>
      </c>
      <c r="AO760" s="571" t="s">
        <v>6161</v>
      </c>
      <c r="AP760" s="571" t="s">
        <v>6161</v>
      </c>
      <c r="AQ760" s="501" t="s">
        <v>6161</v>
      </c>
      <c r="AR760" s="501"/>
      <c r="AS760" s="18"/>
    </row>
    <row r="761" spans="1:45" ht="62.25" hidden="1" customHeight="1">
      <c r="A761" s="16">
        <f>OBRA!J759</f>
        <v>2023</v>
      </c>
      <c r="B761" s="783" t="s">
        <v>3944</v>
      </c>
      <c r="C761" s="783">
        <f>OBRA!K759</f>
        <v>235022</v>
      </c>
      <c r="D761" s="24" t="s">
        <v>2310</v>
      </c>
      <c r="E761" s="2" t="str">
        <f>OBRA!M759</f>
        <v>CUENTA CORRIENTE</v>
      </c>
      <c r="F761" s="671" t="s">
        <v>1428</v>
      </c>
      <c r="G761" s="156" t="s">
        <v>2206</v>
      </c>
      <c r="H761" s="12" t="str">
        <f>OBRA!N759</f>
        <v>GMJ 022 OP/2023</v>
      </c>
      <c r="I761" s="2" t="str">
        <f>OBRA!O759</f>
        <v>CANCELADA</v>
      </c>
      <c r="J761" s="3" t="str">
        <f>OBRA!P759</f>
        <v>"ELECTRIFICACIÓN DE POZO CAMICHINES UBICADO EN CALLE FRANCISCO VILLA", EN LA CABECERA MUNICIPAL DE JOCOTEPEC, JALISCO.</v>
      </c>
      <c r="K761" s="541"/>
      <c r="L761" s="541"/>
      <c r="M761" s="541"/>
      <c r="N761" s="3" t="str">
        <f>OBRA!Q759</f>
        <v>CABECERA MUNICIPAL</v>
      </c>
      <c r="O761" s="504" t="s">
        <v>6040</v>
      </c>
      <c r="P761" s="4">
        <f>OBRA!R759</f>
        <v>247646.07999999999</v>
      </c>
      <c r="Q761" s="1023">
        <f t="shared" si="62"/>
        <v>213488</v>
      </c>
      <c r="R761" s="1714" t="s">
        <v>68</v>
      </c>
      <c r="S761" s="6">
        <f>OBRA!S759</f>
        <v>45212</v>
      </c>
      <c r="T761" s="1134">
        <f>OBRA!V759</f>
        <v>45212</v>
      </c>
      <c r="U761" s="5">
        <f>OBRA!T759</f>
        <v>45215</v>
      </c>
      <c r="V761" s="11">
        <f>OBRA!U759</f>
        <v>45258</v>
      </c>
      <c r="W761" s="1527"/>
      <c r="X761" s="1019">
        <f>OBRA!AS759+OBRA!AT759</f>
        <v>0</v>
      </c>
      <c r="Y761" s="1017"/>
      <c r="Z761" s="146" t="str">
        <f>OBRA!W759</f>
        <v>SOLEC ENERGY, S.A. DE C.V.</v>
      </c>
      <c r="AA761" s="146" t="s">
        <v>5666</v>
      </c>
      <c r="AB761" s="1769" t="s">
        <v>4548</v>
      </c>
      <c r="AC761" s="1770" t="s">
        <v>4549</v>
      </c>
      <c r="AD761" s="1769" t="s">
        <v>4550</v>
      </c>
      <c r="AE761" s="1771" t="str">
        <f>OBRA!X759</f>
        <v>C. DANIEL RODRIGUEZ VALENZUELA</v>
      </c>
      <c r="AF761" s="161"/>
      <c r="AG761" s="510"/>
      <c r="AH761" s="664" t="e">
        <f t="shared" si="61"/>
        <v>#DIV/0!</v>
      </c>
      <c r="AI761" s="510"/>
      <c r="AJ761" s="506"/>
      <c r="AK761" s="1768"/>
      <c r="AL761" s="1524"/>
      <c r="AM761" s="1525"/>
      <c r="AN761" s="573"/>
      <c r="AO761" s="573"/>
      <c r="AP761" s="573"/>
      <c r="AQ761" s="506"/>
      <c r="AR761" s="506"/>
      <c r="AS761" s="511"/>
    </row>
    <row r="762" spans="1:45" ht="76.5" customHeight="1">
      <c r="A762" s="16">
        <f>OBRA!J760</f>
        <v>2023</v>
      </c>
      <c r="B762" s="783" t="s">
        <v>3944</v>
      </c>
      <c r="C762" s="783">
        <f>OBRA!K760</f>
        <v>235023</v>
      </c>
      <c r="D762" s="24" t="s">
        <v>2310</v>
      </c>
      <c r="E762" s="2" t="str">
        <f>OBRA!M760</f>
        <v>CUENTA CORRIENTE</v>
      </c>
      <c r="F762" s="671" t="s">
        <v>1428</v>
      </c>
      <c r="G762" s="156" t="s">
        <v>2206</v>
      </c>
      <c r="H762" s="412" t="str">
        <f>OBRA!N760</f>
        <v>GMJ 023 C-OP/2023</v>
      </c>
      <c r="I762" s="2" t="str">
        <f>OBRA!O760</f>
        <v>ADJUDICACIÓN DIRECTA</v>
      </c>
      <c r="J762" s="3" t="str">
        <f>OBRA!P760</f>
        <v>"ELECTRIFICACIÓN DE POZO EN PRIVADA GUADALUPE VICTORIA", EN LA LOCALIDAD DE SAN JUAN COSALÁ, MUNICIPIO DE JOCOTEPEC, JALISCO.</v>
      </c>
      <c r="K762" s="1323" t="s">
        <v>6484</v>
      </c>
      <c r="L762" s="3" t="s">
        <v>4751</v>
      </c>
      <c r="M762" s="3" t="s">
        <v>6026</v>
      </c>
      <c r="N762" s="3" t="str">
        <f>OBRA!Q760</f>
        <v>SAN JUAN COSALÁ</v>
      </c>
      <c r="O762" s="504" t="s">
        <v>5529</v>
      </c>
      <c r="P762" s="79">
        <f>OBRA!R760</f>
        <v>330252</v>
      </c>
      <c r="Q762" s="1023">
        <f t="shared" si="62"/>
        <v>284700</v>
      </c>
      <c r="R762" s="1714" t="s">
        <v>68</v>
      </c>
      <c r="S762" s="67">
        <f>OBRA!S760</f>
        <v>45212</v>
      </c>
      <c r="T762" s="1134">
        <f>OBRA!V760</f>
        <v>45212</v>
      </c>
      <c r="U762" s="5">
        <f>OBRA!T760</f>
        <v>45222</v>
      </c>
      <c r="V762" s="11">
        <f>OBRA!U760</f>
        <v>45282</v>
      </c>
      <c r="W762" s="278">
        <v>99075.6</v>
      </c>
      <c r="X762" s="1019">
        <f>OBRA!AS760+OBRA!AT760</f>
        <v>428834.82</v>
      </c>
      <c r="Y762" s="1089" t="s">
        <v>6119</v>
      </c>
      <c r="Z762" s="146" t="str">
        <f>OBRA!W760</f>
        <v>SOLEC ENERGY, S.A. DE C.V.</v>
      </c>
      <c r="AA762" s="146" t="s">
        <v>5666</v>
      </c>
      <c r="AB762" s="148" t="s">
        <v>4548</v>
      </c>
      <c r="AC762" s="146" t="s">
        <v>4549</v>
      </c>
      <c r="AD762" s="148" t="s">
        <v>6120</v>
      </c>
      <c r="AE762" s="183" t="str">
        <f>OBRA!X760</f>
        <v>C. DANIEL RODRIGUEZ VALENZUELA</v>
      </c>
      <c r="AF762" s="19">
        <v>1</v>
      </c>
      <c r="AG762" s="2" t="s">
        <v>1463</v>
      </c>
      <c r="AH762" s="615">
        <f t="shared" si="61"/>
        <v>428834.82</v>
      </c>
      <c r="AI762" s="2">
        <v>1000</v>
      </c>
      <c r="AJ762" s="2">
        <v>4000</v>
      </c>
      <c r="AK762" s="1888">
        <v>1</v>
      </c>
      <c r="AL762" s="1522">
        <v>20.292089000000001</v>
      </c>
      <c r="AM762" s="1523">
        <v>103.348386</v>
      </c>
      <c r="AN762" s="571" t="s">
        <v>5872</v>
      </c>
      <c r="AO762" s="571" t="s">
        <v>5872</v>
      </c>
      <c r="AP762" s="571" t="s">
        <v>5872</v>
      </c>
      <c r="AQ762" s="513"/>
      <c r="AR762" s="513"/>
      <c r="AS762" s="704" t="s">
        <v>5872</v>
      </c>
    </row>
    <row r="763" spans="1:45" ht="267" customHeight="1">
      <c r="A763" s="16">
        <f>OBRA!J761</f>
        <v>2023</v>
      </c>
      <c r="B763" s="783" t="s">
        <v>3944</v>
      </c>
      <c r="C763" s="783">
        <f>OBRA!K761</f>
        <v>235024</v>
      </c>
      <c r="D763" s="24" t="s">
        <v>2310</v>
      </c>
      <c r="E763" s="2" t="str">
        <f>OBRA!M761</f>
        <v>CUENTA CORRIENTE</v>
      </c>
      <c r="F763" s="671" t="s">
        <v>1428</v>
      </c>
      <c r="G763" s="156" t="s">
        <v>2206</v>
      </c>
      <c r="H763" s="412" t="str">
        <f>OBRA!N761</f>
        <v>CSS-OP-CC-024/2023</v>
      </c>
      <c r="I763" s="2" t="str">
        <f>OBRA!O761</f>
        <v>CONCURSO SIMPLIFICADO SUMARIO</v>
      </c>
      <c r="J763" s="3" t="str">
        <f>OBRA!P761</f>
        <v>"CONSTRUCCIÓN DE 29 LOCALES COMERCIALES EN PLAZOLETA", EN LA LOCALIDAD DE CHANTEPEC, MUNICIPIO DE JOCOTEPEC, JALISCO.</v>
      </c>
      <c r="K763" s="1323" t="s">
        <v>6485</v>
      </c>
      <c r="L763" s="3" t="s">
        <v>6242</v>
      </c>
      <c r="M763" s="3" t="s">
        <v>6086</v>
      </c>
      <c r="N763" s="3" t="str">
        <f>OBRA!Q761</f>
        <v>CHANTEPEC</v>
      </c>
      <c r="O763" s="504" t="s">
        <v>6040</v>
      </c>
      <c r="P763" s="79">
        <f>OBRA!R761</f>
        <v>5281923.58</v>
      </c>
      <c r="Q763" s="1023">
        <f t="shared" si="62"/>
        <v>4553382.3965517245</v>
      </c>
      <c r="R763" s="1714" t="s">
        <v>68</v>
      </c>
      <c r="S763" s="67">
        <f>OBRA!S761</f>
        <v>45245</v>
      </c>
      <c r="T763" s="1134" t="str">
        <f>OBRA!V761</f>
        <v>-</v>
      </c>
      <c r="U763" s="5">
        <f>OBRA!T761</f>
        <v>45251</v>
      </c>
      <c r="V763" s="11">
        <f>OBRA!U761</f>
        <v>45370</v>
      </c>
      <c r="W763" s="1901">
        <v>1584577.07</v>
      </c>
      <c r="X763" s="1019">
        <f>OBRA!AS761+OBRA!AT761</f>
        <v>5801953.1699999999</v>
      </c>
      <c r="Y763" s="1089" t="s">
        <v>6122</v>
      </c>
      <c r="Z763" s="146" t="str">
        <f>OBRA!W761</f>
        <v>OCTAVA CUATRO VISITAS, S.A. DE C.V.</v>
      </c>
      <c r="AA763" s="146" t="s">
        <v>5666</v>
      </c>
      <c r="AB763" s="1769" t="s">
        <v>6123</v>
      </c>
      <c r="AC763" s="1770" t="s">
        <v>6124</v>
      </c>
      <c r="AD763" s="1769" t="s">
        <v>6125</v>
      </c>
      <c r="AE763" s="1771" t="str">
        <f>OBRA!X761</f>
        <v>ING. J. GUADALUPE IBARRA RAMIREZ</v>
      </c>
      <c r="AF763" s="19">
        <v>29</v>
      </c>
      <c r="AG763" s="2" t="s">
        <v>6121</v>
      </c>
      <c r="AH763" s="615">
        <f t="shared" si="61"/>
        <v>200067.35068965517</v>
      </c>
      <c r="AI763" s="2">
        <v>200</v>
      </c>
      <c r="AJ763" s="2">
        <v>2000</v>
      </c>
      <c r="AK763" s="1888">
        <v>1</v>
      </c>
      <c r="AL763" s="1522">
        <v>20.290935000000001</v>
      </c>
      <c r="AM763" s="1523">
        <v>103.394266</v>
      </c>
      <c r="AN763" s="571" t="s">
        <v>5800</v>
      </c>
      <c r="AO763" s="571" t="s">
        <v>5800</v>
      </c>
      <c r="AP763" s="571" t="s">
        <v>5800</v>
      </c>
      <c r="AQ763" s="513"/>
      <c r="AR763" s="513"/>
      <c r="AS763" s="18"/>
    </row>
    <row r="764" spans="1:45" ht="78" customHeight="1">
      <c r="A764" s="16">
        <f>OBRA!J762</f>
        <v>2023</v>
      </c>
      <c r="B764" s="783" t="s">
        <v>3944</v>
      </c>
      <c r="C764" s="783">
        <f>OBRA!K762</f>
        <v>235025</v>
      </c>
      <c r="D764" s="24" t="s">
        <v>2310</v>
      </c>
      <c r="E764" s="2" t="str">
        <f>OBRA!M762</f>
        <v>CUENTA CORRIENTE</v>
      </c>
      <c r="F764" s="671" t="s">
        <v>1428</v>
      </c>
      <c r="G764" s="156" t="s">
        <v>2206</v>
      </c>
      <c r="H764" s="412" t="str">
        <f>OBRA!N762</f>
        <v>GMJ 025C OP/2023</v>
      </c>
      <c r="I764" s="2" t="str">
        <f>OBRA!O762</f>
        <v>ADJUDICACIÓN DIRECTA</v>
      </c>
      <c r="J764" s="3" t="str">
        <f>OBRA!P762</f>
        <v>"REHABILITACIÓN DE PLAZA PRINCIPAL (3RA ETAPA)", EN LA LOCALIDAD DE HUEJOTITÁN, MUNICIPIO DE JOCOTEPEC, JALISCO.</v>
      </c>
      <c r="K764" s="1323" t="s">
        <v>6487</v>
      </c>
      <c r="L764" s="3" t="s">
        <v>6242</v>
      </c>
      <c r="M764" s="3" t="s">
        <v>4746</v>
      </c>
      <c r="N764" s="3" t="str">
        <f>OBRA!Q762</f>
        <v>HUEJOTITÁN</v>
      </c>
      <c r="O764" s="504" t="s">
        <v>6040</v>
      </c>
      <c r="P764" s="79">
        <f>OBRA!R762</f>
        <v>441962.08</v>
      </c>
      <c r="Q764" s="1023">
        <f t="shared" si="62"/>
        <v>381001.79310344829</v>
      </c>
      <c r="R764" s="1714" t="s">
        <v>68</v>
      </c>
      <c r="S764" s="67">
        <f>OBRA!S762</f>
        <v>45247</v>
      </c>
      <c r="T764" s="1134">
        <f>OBRA!V762</f>
        <v>45245</v>
      </c>
      <c r="U764" s="5">
        <f>OBRA!T762</f>
        <v>45245</v>
      </c>
      <c r="V764" s="11">
        <f>OBRA!U762</f>
        <v>45290</v>
      </c>
      <c r="W764" s="1901">
        <v>0</v>
      </c>
      <c r="X764" s="1019">
        <f>OBRA!AS762+OBRA!AT762</f>
        <v>441962.08</v>
      </c>
      <c r="Y764" s="1089" t="s">
        <v>6115</v>
      </c>
      <c r="Z764" s="146" t="str">
        <f>OBRA!W762</f>
        <v xml:space="preserve">DORIA &amp; SAMPIER CONSTRUCTORA, S.A. DE C.V. </v>
      </c>
      <c r="AA764" s="146" t="s">
        <v>5666</v>
      </c>
      <c r="AB764" s="1769" t="s">
        <v>5607</v>
      </c>
      <c r="AC764" s="1770" t="s">
        <v>4401</v>
      </c>
      <c r="AD764" s="1769" t="s">
        <v>6116</v>
      </c>
      <c r="AE764" s="1771" t="str">
        <f>OBRA!X762</f>
        <v>ARQ. JAIME CONDE GOMEZ</v>
      </c>
      <c r="AF764" s="552">
        <v>516</v>
      </c>
      <c r="AG764" s="2" t="s">
        <v>1548</v>
      </c>
      <c r="AH764" s="615">
        <f t="shared" si="61"/>
        <v>856.51565891472876</v>
      </c>
      <c r="AI764" s="2">
        <v>1300</v>
      </c>
      <c r="AJ764" s="2">
        <v>1300</v>
      </c>
      <c r="AK764" s="1888">
        <v>1</v>
      </c>
      <c r="AL764" s="1522">
        <v>20.354331999999999</v>
      </c>
      <c r="AM764" s="1523">
        <v>103.487101</v>
      </c>
      <c r="AN764" s="571" t="s">
        <v>6126</v>
      </c>
      <c r="AO764" s="571" t="s">
        <v>6126</v>
      </c>
      <c r="AP764" s="571" t="s">
        <v>6126</v>
      </c>
      <c r="AQ764" s="513"/>
      <c r="AR764" s="513"/>
      <c r="AS764" s="18"/>
    </row>
    <row r="765" spans="1:45" ht="102.75" customHeight="1">
      <c r="A765" s="16">
        <f>OBRA!J763</f>
        <v>2023</v>
      </c>
      <c r="B765" s="783" t="s">
        <v>3944</v>
      </c>
      <c r="C765" s="783">
        <f>OBRA!K763</f>
        <v>235026</v>
      </c>
      <c r="D765" s="24" t="s">
        <v>2310</v>
      </c>
      <c r="E765" s="2" t="str">
        <f>OBRA!M763</f>
        <v>CTA-CTE / RAMO 33</v>
      </c>
      <c r="F765" s="671" t="s">
        <v>1428</v>
      </c>
      <c r="G765" s="156" t="s">
        <v>2206</v>
      </c>
      <c r="H765" s="412" t="str">
        <f>OBRA!N763</f>
        <v>FAIS-RAMO33/CC-OP-CSS-026/2023</v>
      </c>
      <c r="I765" s="2" t="str">
        <f>OBRA!O763</f>
        <v>CONCURSO SIMPLIFICADO SUMARIO CON RECURSOS CONCURRIDOS</v>
      </c>
      <c r="J765" s="3" t="str">
        <f>OBRA!P763</f>
        <v>"CONSTRUCCIÓN DE UN CARCAMO DE BOMBEO EN LA ZONA DEL MALECÓN, CERCA DE LA PLANTA DE TRATAMIENTO DE AGUAS RESIDUALES, POR CALLE RIVERA DEL LAGO, ESQUINA CON CALLE JOSÉ SANTANA", EN LA CABECERA MUNICIPAL DE JOCOTEPEC, JALISCO.</v>
      </c>
      <c r="K765" s="3" t="s">
        <v>6488</v>
      </c>
      <c r="L765" s="3" t="s">
        <v>4747</v>
      </c>
      <c r="M765" s="3" t="s">
        <v>6088</v>
      </c>
      <c r="N765" s="3" t="str">
        <f>OBRA!Q763</f>
        <v>CABECERA MUNICIPAL</v>
      </c>
      <c r="O765" s="504" t="s">
        <v>6040</v>
      </c>
      <c r="P765" s="79">
        <f>OBRA!R763</f>
        <v>2969939.23</v>
      </c>
      <c r="Q765" s="1023">
        <f t="shared" si="62"/>
        <v>2560292.4396551726</v>
      </c>
      <c r="R765" s="1714" t="s">
        <v>68</v>
      </c>
      <c r="S765" s="67">
        <f>OBRA!S763</f>
        <v>45268</v>
      </c>
      <c r="T765" s="1134" t="str">
        <f>OBRA!V763</f>
        <v>-</v>
      </c>
      <c r="U765" s="5">
        <f>OBRA!T763</f>
        <v>45271</v>
      </c>
      <c r="V765" s="11">
        <f>OBRA!U763</f>
        <v>45290</v>
      </c>
      <c r="W765" s="1901">
        <v>890981.77</v>
      </c>
      <c r="X765" s="1019">
        <f>OBRA!AS763+OBRA!AT763</f>
        <v>4350066.6500000004</v>
      </c>
      <c r="Y765" s="1089" t="s">
        <v>5877</v>
      </c>
      <c r="Z765" s="146" t="str">
        <f>OBRA!W763</f>
        <v>EDIFICACIONES Y TERRACERIAS CH, S.A. DE C.V.</v>
      </c>
      <c r="AA765" s="146" t="s">
        <v>5666</v>
      </c>
      <c r="AB765" s="1769" t="s">
        <v>5398</v>
      </c>
      <c r="AC765" s="1770" t="s">
        <v>5399</v>
      </c>
      <c r="AD765" s="1769" t="s">
        <v>6066</v>
      </c>
      <c r="AE765" s="1771" t="str">
        <f>OBRA!X763</f>
        <v>C. DANIEL RODRIGUEZ VALENZUELA</v>
      </c>
      <c r="AF765" s="552">
        <v>72</v>
      </c>
      <c r="AG765" s="2" t="s">
        <v>1548</v>
      </c>
      <c r="AH765" s="615">
        <f t="shared" si="61"/>
        <v>60417.592361111114</v>
      </c>
      <c r="AI765" s="2">
        <v>10143</v>
      </c>
      <c r="AJ765" s="2">
        <v>10143</v>
      </c>
      <c r="AK765" s="1888">
        <v>1</v>
      </c>
      <c r="AL765" s="1522">
        <v>20.283450999999999</v>
      </c>
      <c r="AM765" s="1523">
        <v>103.417547</v>
      </c>
      <c r="AN765" s="571" t="s">
        <v>5878</v>
      </c>
      <c r="AO765" s="571" t="s">
        <v>5878</v>
      </c>
      <c r="AP765" s="571" t="s">
        <v>5878</v>
      </c>
      <c r="AQ765" s="501" t="s">
        <v>5878</v>
      </c>
      <c r="AR765" s="501"/>
      <c r="AS765" s="704" t="s">
        <v>5878</v>
      </c>
    </row>
    <row r="766" spans="1:45" ht="63.75" customHeight="1">
      <c r="A766" s="16">
        <f>OBRA!J764</f>
        <v>2023</v>
      </c>
      <c r="B766" s="783" t="s">
        <v>3944</v>
      </c>
      <c r="C766" s="783">
        <f>OBRA!K764</f>
        <v>235027</v>
      </c>
      <c r="D766" s="24" t="s">
        <v>2310</v>
      </c>
      <c r="E766" s="2" t="str">
        <f>OBRA!M764</f>
        <v>CUENTA CORRIENTE</v>
      </c>
      <c r="F766" s="671" t="s">
        <v>1428</v>
      </c>
      <c r="G766" s="156" t="s">
        <v>2206</v>
      </c>
      <c r="H766" s="412" t="str">
        <f>OBRA!N764</f>
        <v>GMJ 027C OP/2023</v>
      </c>
      <c r="I766" s="2" t="str">
        <f>OBRA!O764</f>
        <v>ADJUDICACIÓN DIRECTA</v>
      </c>
      <c r="J766" s="3" t="str">
        <f>OBRA!P764</f>
        <v>"CONSTRUCCIÓN DE CALLE, ESTACIONAMIENTO, MACHUELOS Y CANCHA DE UNIDAD DEPORTIVA", EN LA LOCALIDAD DE CHANTEPEC, MUNICIPIO DE JOCOTEPEC.</v>
      </c>
      <c r="K766" s="3"/>
      <c r="L766" s="3" t="s">
        <v>5342</v>
      </c>
      <c r="M766" s="3" t="s">
        <v>5342</v>
      </c>
      <c r="N766" s="3" t="str">
        <f>OBRA!Q764</f>
        <v>CHANTEPEC</v>
      </c>
      <c r="O766" s="504" t="s">
        <v>6040</v>
      </c>
      <c r="P766" s="79">
        <f>OBRA!R764</f>
        <v>1515153.08</v>
      </c>
      <c r="Q766" s="1023">
        <f t="shared" si="62"/>
        <v>1306166.4482758623</v>
      </c>
      <c r="R766" s="1714" t="s">
        <v>68</v>
      </c>
      <c r="S766" s="67">
        <f>OBRA!S764</f>
        <v>45258</v>
      </c>
      <c r="T766" s="1134">
        <f>OBRA!V764</f>
        <v>45257</v>
      </c>
      <c r="U766" s="5">
        <f>OBRA!T764</f>
        <v>45264</v>
      </c>
      <c r="V766" s="11">
        <f>OBRA!U764</f>
        <v>45374</v>
      </c>
      <c r="W766" s="1901">
        <v>454545.91999999998</v>
      </c>
      <c r="X766" s="1019">
        <f>OBRA!AS764+OBRA!AT764</f>
        <v>1851371.85</v>
      </c>
      <c r="Y766" s="1089" t="s">
        <v>6493</v>
      </c>
      <c r="Z766" s="146" t="str">
        <f>OBRA!W764</f>
        <v xml:space="preserve">DESARROLLADORA FARAR, S.A. DE C.V. </v>
      </c>
      <c r="AA766" s="146" t="s">
        <v>5666</v>
      </c>
      <c r="AB766" s="1769" t="s">
        <v>6127</v>
      </c>
      <c r="AC766" s="1770" t="s">
        <v>6128</v>
      </c>
      <c r="AD766" s="1769" t="s">
        <v>6129</v>
      </c>
      <c r="AE766" s="1771" t="str">
        <f>OBRA!X764</f>
        <v>ING. J. GUADALUPE IBARRA RAMIREZ</v>
      </c>
      <c r="AF766" s="552">
        <f>1100+2343+783+510+800</f>
        <v>5536</v>
      </c>
      <c r="AG766" s="2" t="s">
        <v>1548</v>
      </c>
      <c r="AH766" s="615">
        <f t="shared" si="61"/>
        <v>334.4241058526012</v>
      </c>
      <c r="AI766" s="2">
        <v>3600</v>
      </c>
      <c r="AJ766" s="2">
        <v>3600</v>
      </c>
      <c r="AK766" s="1888">
        <v>1</v>
      </c>
      <c r="AL766" s="1522">
        <v>20.293021</v>
      </c>
      <c r="AM766" s="1523">
        <v>103.389804</v>
      </c>
      <c r="AN766" s="571" t="s">
        <v>6130</v>
      </c>
      <c r="AO766" s="571" t="s">
        <v>6130</v>
      </c>
      <c r="AP766" s="571" t="s">
        <v>6130</v>
      </c>
      <c r="AQ766" s="513"/>
      <c r="AR766" s="513"/>
      <c r="AS766" s="18"/>
    </row>
    <row r="767" spans="1:45" ht="65.25" customHeight="1">
      <c r="A767" s="16">
        <f>OBRA!J765</f>
        <v>2023</v>
      </c>
      <c r="B767" s="783" t="s">
        <v>3944</v>
      </c>
      <c r="C767" s="783">
        <f>OBRA!K765</f>
        <v>235028</v>
      </c>
      <c r="D767" s="24" t="s">
        <v>2310</v>
      </c>
      <c r="E767" s="2" t="str">
        <f>OBRA!M765</f>
        <v>CUENTA CORRIENTE</v>
      </c>
      <c r="F767" s="671" t="s">
        <v>1428</v>
      </c>
      <c r="G767" s="156" t="s">
        <v>2206</v>
      </c>
      <c r="H767" s="412" t="str">
        <f>OBRA!N765</f>
        <v>GMJ 028C OP/2023</v>
      </c>
      <c r="I767" s="2" t="str">
        <f>OBRA!O765</f>
        <v>ADJUDICACIÓN DIRECTA</v>
      </c>
      <c r="J767" s="3" t="str">
        <f>OBRA!P765</f>
        <v>"CONSTRUCCIÓN DE BAÑOS, VESTIDORES, LOCALES COMERCIALES, DRENAJE SANITARIO Y PLUVIALES EN UNIDAD DEPORTIVA", EN LA LOCALIDAD DE CHANTEPEC, MUNICIPIO DE JOCOTEPEC, JALISCO.</v>
      </c>
      <c r="K767" s="3"/>
      <c r="L767" s="3" t="s">
        <v>5342</v>
      </c>
      <c r="M767" s="3" t="s">
        <v>5342</v>
      </c>
      <c r="N767" s="3" t="str">
        <f>OBRA!Q765</f>
        <v>CHANTEPEC</v>
      </c>
      <c r="O767" s="504" t="s">
        <v>6040</v>
      </c>
      <c r="P767" s="79">
        <f>OBRA!R765</f>
        <v>1777367.51</v>
      </c>
      <c r="Q767" s="1023">
        <f t="shared" si="62"/>
        <v>1532213.3706896552</v>
      </c>
      <c r="R767" s="1714" t="s">
        <v>68</v>
      </c>
      <c r="S767" s="67">
        <f>OBRA!S765</f>
        <v>45258</v>
      </c>
      <c r="T767" s="1134">
        <f>OBRA!V765</f>
        <v>45257</v>
      </c>
      <c r="U767" s="5">
        <f>OBRA!T765</f>
        <v>45264</v>
      </c>
      <c r="V767" s="11">
        <f>OBRA!U765</f>
        <v>45374</v>
      </c>
      <c r="W767" s="1901">
        <v>533210.25</v>
      </c>
      <c r="X767" s="1019">
        <f>OBRA!AS765+OBRA!AT765</f>
        <v>2046862.31</v>
      </c>
      <c r="Y767" s="1089" t="s">
        <v>6131</v>
      </c>
      <c r="Z767" s="146" t="str">
        <f>OBRA!W765</f>
        <v>ACROX CONSTRUCCIONES, S.A. DE C.V.</v>
      </c>
      <c r="AA767" s="146" t="s">
        <v>5666</v>
      </c>
      <c r="AB767" s="1769" t="s">
        <v>6132</v>
      </c>
      <c r="AC767" s="1770" t="s">
        <v>6133</v>
      </c>
      <c r="AD767" s="1769" t="s">
        <v>6134</v>
      </c>
      <c r="AE767" s="1771" t="str">
        <f>OBRA!X765</f>
        <v>ING. J. GUADALUPE IBARRA RAMIREZ</v>
      </c>
      <c r="AF767" s="552">
        <v>297</v>
      </c>
      <c r="AG767" s="2" t="s">
        <v>1548</v>
      </c>
      <c r="AH767" s="615">
        <f t="shared" si="61"/>
        <v>6891.7922895622896</v>
      </c>
      <c r="AI767" s="2">
        <v>3600</v>
      </c>
      <c r="AJ767" s="2">
        <v>3600</v>
      </c>
      <c r="AK767" s="1888">
        <v>1</v>
      </c>
      <c r="AL767" s="1522">
        <v>20.293021</v>
      </c>
      <c r="AM767" s="1523">
        <v>103.389804</v>
      </c>
      <c r="AN767" s="571" t="s">
        <v>5900</v>
      </c>
      <c r="AO767" s="571" t="s">
        <v>5900</v>
      </c>
      <c r="AP767" s="571" t="s">
        <v>5900</v>
      </c>
      <c r="AQ767" s="513"/>
      <c r="AR767" s="513"/>
      <c r="AS767" s="18"/>
    </row>
    <row r="768" spans="1:45" ht="97.5" customHeight="1">
      <c r="A768" s="16">
        <f>OBRA!J766</f>
        <v>2023</v>
      </c>
      <c r="B768" s="783" t="s">
        <v>3944</v>
      </c>
      <c r="C768" s="783">
        <f>OBRA!K766</f>
        <v>235029</v>
      </c>
      <c r="D768" s="24" t="s">
        <v>2310</v>
      </c>
      <c r="E768" s="2" t="str">
        <f>OBRA!M766</f>
        <v>RAMO 33</v>
      </c>
      <c r="F768" s="671" t="s">
        <v>1428</v>
      </c>
      <c r="G768" s="156" t="s">
        <v>2206</v>
      </c>
      <c r="H768" s="412" t="str">
        <f>OBRA!N766</f>
        <v>GMJ 029C OP/2023</v>
      </c>
      <c r="I768" s="2" t="str">
        <f>OBRA!O766</f>
        <v>ADJUDICACIÓN DIRECTA</v>
      </c>
      <c r="J768" s="3" t="str">
        <f>OBRA!P766</f>
        <v>"CONSTRUCCIÓN DE LÍNEA DE COLECTOR SANITARIO DE PVC DE 18 PULGADAS A NUEVO CARCAMO DE BOMBEO Y LÍNEA DE BOMBEO DE ACERO DE 8 PULGADAS DE NUEVO CARCAMO A PLANTA DE TRATAMIENTO", EN LA CABECERA MUNICIPAL DE JOCOTEPEC, JALISCO.</v>
      </c>
      <c r="K768" s="3" t="s">
        <v>6496</v>
      </c>
      <c r="L768" s="3" t="s">
        <v>4747</v>
      </c>
      <c r="M768" s="3" t="s">
        <v>6089</v>
      </c>
      <c r="N768" s="3" t="str">
        <f>OBRA!Q766</f>
        <v>CABECERA MUNICIPAL</v>
      </c>
      <c r="O768" s="504" t="s">
        <v>6040</v>
      </c>
      <c r="P768" s="79">
        <f>OBRA!R766</f>
        <v>521271.1</v>
      </c>
      <c r="Q768" s="1023">
        <f t="shared" si="62"/>
        <v>449371.63793103449</v>
      </c>
      <c r="R768" s="1714" t="s">
        <v>68</v>
      </c>
      <c r="S768" s="67">
        <f>OBRA!S766</f>
        <v>45257</v>
      </c>
      <c r="T768" s="1134">
        <f>OBRA!V766</f>
        <v>45257</v>
      </c>
      <c r="U768" s="5">
        <f>OBRA!T766</f>
        <v>45258</v>
      </c>
      <c r="V768" s="11">
        <f>OBRA!U766</f>
        <v>45276</v>
      </c>
      <c r="W768" s="1901">
        <v>0</v>
      </c>
      <c r="X768" s="1019">
        <f>OBRA!AS766+OBRA!AT766</f>
        <v>1160164.23</v>
      </c>
      <c r="Y768" s="1089" t="s">
        <v>6135</v>
      </c>
      <c r="Z768" s="146" t="str">
        <f>OBRA!W766</f>
        <v>TERRACERÍAS Y PAVIMENTOS DE LA RIBERA, S.A. DE C.V.</v>
      </c>
      <c r="AA768" s="146" t="s">
        <v>5666</v>
      </c>
      <c r="AB768" s="1769" t="s">
        <v>4444</v>
      </c>
      <c r="AC768" s="1770" t="s">
        <v>3470</v>
      </c>
      <c r="AD768" s="1769" t="s">
        <v>6070</v>
      </c>
      <c r="AE768" s="1771" t="str">
        <f>OBRA!X766</f>
        <v>C. DANIEL RODRIGUEZ VALENZUELA</v>
      </c>
      <c r="AF768" s="552">
        <f>30+120</f>
        <v>150</v>
      </c>
      <c r="AG768" s="2" t="s">
        <v>1451</v>
      </c>
      <c r="AH768" s="615">
        <f t="shared" ref="AH768:AH772" si="63">X768/AF768</f>
        <v>7734.4282000000003</v>
      </c>
      <c r="AI768" s="2">
        <v>10143</v>
      </c>
      <c r="AJ768" s="2">
        <v>10143</v>
      </c>
      <c r="AK768" s="1888">
        <v>1</v>
      </c>
      <c r="AL768" s="1522">
        <v>20.283450999999999</v>
      </c>
      <c r="AM768" s="1523">
        <v>103.417547</v>
      </c>
      <c r="AN768" s="571" t="s">
        <v>5901</v>
      </c>
      <c r="AO768" s="571" t="s">
        <v>5901</v>
      </c>
      <c r="AP768" s="571" t="s">
        <v>5901</v>
      </c>
      <c r="AQ768" s="501" t="s">
        <v>5901</v>
      </c>
      <c r="AR768" s="501"/>
      <c r="AS768" s="704" t="s">
        <v>5901</v>
      </c>
    </row>
    <row r="769" spans="1:45" ht="82.5" customHeight="1">
      <c r="A769" s="16">
        <f>OBRA!J767</f>
        <v>2023</v>
      </c>
      <c r="B769" s="783" t="s">
        <v>3944</v>
      </c>
      <c r="C769" s="783">
        <f>OBRA!K767</f>
        <v>235030</v>
      </c>
      <c r="D769" s="24" t="s">
        <v>2310</v>
      </c>
      <c r="E769" s="2" t="str">
        <f>OBRA!M767</f>
        <v xml:space="preserve">FORTAMUN </v>
      </c>
      <c r="F769" s="671" t="s">
        <v>1428</v>
      </c>
      <c r="G769" s="156" t="s">
        <v>2206</v>
      </c>
      <c r="H769" s="412" t="str">
        <f>OBRA!N767</f>
        <v>GMJ 030C OP/2023</v>
      </c>
      <c r="I769" s="2" t="str">
        <f>OBRA!O767</f>
        <v>ADJUDICACIÓN DIRECTA</v>
      </c>
      <c r="J769" s="3" t="str">
        <f>OBRA!P767</f>
        <v>"CONSTRUCCIÓN DE LÍNEA DE ABASTECIMIENTO DEL POZO DE AGUA POTABLE EN PRIV. GUADALUPE VICTORIA A RED PRINCIPAL EN C. ZARAGOZA", EN LA LOCALIDAD DE SAN JUAN COSALÁ, MUNICIPIO DE JOCOTEPEC, JALISCO.</v>
      </c>
      <c r="K769" s="3"/>
      <c r="L769" s="3" t="s">
        <v>4745</v>
      </c>
      <c r="M769" s="3" t="s">
        <v>6090</v>
      </c>
      <c r="N769" s="3" t="str">
        <f>OBRA!Q767</f>
        <v>SAN JUAN COSALÁ</v>
      </c>
      <c r="O769" s="504" t="s">
        <v>6040</v>
      </c>
      <c r="P769" s="79">
        <f>OBRA!R767</f>
        <v>810268.98</v>
      </c>
      <c r="Q769" s="1023">
        <f t="shared" si="62"/>
        <v>698507.74137931038</v>
      </c>
      <c r="R769" s="1714" t="s">
        <v>68</v>
      </c>
      <c r="S769" s="67">
        <f>OBRA!S767</f>
        <v>45269</v>
      </c>
      <c r="T769" s="1134">
        <f>OBRA!V767</f>
        <v>45268</v>
      </c>
      <c r="U769" s="5">
        <f>OBRA!T767</f>
        <v>45271</v>
      </c>
      <c r="V769" s="11">
        <f>OBRA!U767</f>
        <v>45290</v>
      </c>
      <c r="W769" s="1901">
        <v>0</v>
      </c>
      <c r="X769" s="1019">
        <f>OBRA!AS767+OBRA!AT767</f>
        <v>1160164.23</v>
      </c>
      <c r="Y769" s="1089" t="s">
        <v>6136</v>
      </c>
      <c r="Z769" s="146" t="str">
        <f>OBRA!W767</f>
        <v>ESTRUCTURAS PLANEADAS DE OCCIDENTE, S.A. DE C.V.</v>
      </c>
      <c r="AA769" s="146" t="s">
        <v>5666</v>
      </c>
      <c r="AB769" s="148" t="s">
        <v>4477</v>
      </c>
      <c r="AC769" s="146" t="s">
        <v>4478</v>
      </c>
      <c r="AD769" s="148" t="s">
        <v>6045</v>
      </c>
      <c r="AE769" s="1771" t="str">
        <f>OBRA!X767</f>
        <v>C. DANIEL RODRIGUEZ VALENZUELA</v>
      </c>
      <c r="AF769" s="552">
        <v>527.39</v>
      </c>
      <c r="AG769" s="2" t="s">
        <v>1451</v>
      </c>
      <c r="AH769" s="615">
        <f t="shared" si="63"/>
        <v>2199.8221998900244</v>
      </c>
      <c r="AI769" s="2">
        <v>500</v>
      </c>
      <c r="AJ769" s="2">
        <v>4000</v>
      </c>
      <c r="AK769" s="1888">
        <v>1</v>
      </c>
      <c r="AL769" s="1522">
        <v>20.290797000000001</v>
      </c>
      <c r="AM769" s="1523">
        <v>103.348333</v>
      </c>
      <c r="AN769" s="571" t="s">
        <v>5902</v>
      </c>
      <c r="AO769" s="571"/>
      <c r="AP769" s="571" t="s">
        <v>5902</v>
      </c>
      <c r="AQ769" s="501" t="s">
        <v>5902</v>
      </c>
      <c r="AR769" s="501"/>
      <c r="AS769" s="704" t="s">
        <v>5902</v>
      </c>
    </row>
    <row r="770" spans="1:45" s="104" customFormat="1" ht="15" hidden="1" customHeight="1">
      <c r="A770" s="82">
        <f>OBRA!J768</f>
        <v>2023</v>
      </c>
      <c r="B770" s="784" t="s">
        <v>3944</v>
      </c>
      <c r="C770" s="784">
        <f>OBRA!K768</f>
        <v>235031</v>
      </c>
      <c r="D770" s="1779" t="s">
        <v>2310</v>
      </c>
      <c r="E770" s="85">
        <f>OBRA!M768</f>
        <v>0</v>
      </c>
      <c r="F770" s="83"/>
      <c r="G770" s="1780"/>
      <c r="H770" s="103" t="str">
        <f>OBRA!N768</f>
        <v>GMJ 031C OP/2023</v>
      </c>
      <c r="I770" s="85" t="str">
        <f>OBRA!O768</f>
        <v>CANCELADA</v>
      </c>
      <c r="J770" s="125">
        <f>OBRA!P768</f>
        <v>0</v>
      </c>
      <c r="K770" s="125"/>
      <c r="L770" s="125"/>
      <c r="M770" s="125"/>
      <c r="N770" s="125">
        <f>OBRA!Q768</f>
        <v>0</v>
      </c>
      <c r="O770" s="812"/>
      <c r="P770" s="86">
        <f>OBRA!R768</f>
        <v>0</v>
      </c>
      <c r="Q770" s="86">
        <f t="shared" si="62"/>
        <v>0</v>
      </c>
      <c r="R770" s="86" t="s">
        <v>68</v>
      </c>
      <c r="S770" s="87">
        <f>OBRA!S768</f>
        <v>0</v>
      </c>
      <c r="T770" s="1409">
        <f>OBRA!V768</f>
        <v>0</v>
      </c>
      <c r="U770" s="88">
        <f>OBRA!T768</f>
        <v>0</v>
      </c>
      <c r="V770" s="89">
        <f>OBRA!U768</f>
        <v>0</v>
      </c>
      <c r="W770" s="821"/>
      <c r="X770" s="1430">
        <f>OBRA!AS768+OBRA!AT768</f>
        <v>0</v>
      </c>
      <c r="Y770" s="1016"/>
      <c r="Z770" s="147">
        <f>OBRA!W768</f>
        <v>0</v>
      </c>
      <c r="AA770" s="147"/>
      <c r="AB770" s="149">
        <f>Z770</f>
        <v>0</v>
      </c>
      <c r="AC770" s="147"/>
      <c r="AD770" s="149"/>
      <c r="AE770" s="184">
        <f>OBRA!X768</f>
        <v>0</v>
      </c>
      <c r="AF770" s="84"/>
      <c r="AG770" s="85"/>
      <c r="AH770" s="664" t="e">
        <f t="shared" si="63"/>
        <v>#DIV/0!</v>
      </c>
      <c r="AI770" s="85"/>
      <c r="AJ770" s="514"/>
      <c r="AK770" s="514"/>
      <c r="AL770" s="1515"/>
      <c r="AM770" s="1516"/>
      <c r="AN770" s="816"/>
      <c r="AO770" s="816"/>
      <c r="AP770" s="816"/>
      <c r="AQ770" s="514"/>
      <c r="AR770" s="514"/>
      <c r="AS770" s="83"/>
    </row>
    <row r="771" spans="1:45" ht="80.25" customHeight="1">
      <c r="A771" s="16">
        <f>OBRA!J769</f>
        <v>2023</v>
      </c>
      <c r="B771" s="783" t="s">
        <v>3944</v>
      </c>
      <c r="C771" s="783">
        <f>OBRA!K769</f>
        <v>235032</v>
      </c>
      <c r="D771" s="24" t="s">
        <v>2310</v>
      </c>
      <c r="E771" s="2" t="str">
        <f>OBRA!M769</f>
        <v xml:space="preserve">FORTAMUN </v>
      </c>
      <c r="F771" s="671" t="s">
        <v>1428</v>
      </c>
      <c r="G771" s="156" t="s">
        <v>2206</v>
      </c>
      <c r="H771" s="412" t="str">
        <f>OBRA!N769</f>
        <v>GMJ 032C OP/2023</v>
      </c>
      <c r="I771" s="2" t="str">
        <f>OBRA!O769</f>
        <v>ADJUDICACIÓN DIRECTA</v>
      </c>
      <c r="J771" s="3" t="str">
        <f>OBRA!P769</f>
        <v>"REHABILITACIÓN DE LA UNIDAD DEPORTIVA DONATO GUERRA SUR", EN LA CABECERA MUNICIPAL DE JOCOTEPEC, JALISCO.</v>
      </c>
      <c r="K771" s="1323" t="s">
        <v>6499</v>
      </c>
      <c r="L771" s="3" t="s">
        <v>5342</v>
      </c>
      <c r="M771" s="3" t="s">
        <v>3999</v>
      </c>
      <c r="N771" s="3" t="str">
        <f>OBRA!Q769</f>
        <v>CABECERA MUNICIPAL</v>
      </c>
      <c r="O771" s="504" t="s">
        <v>6040</v>
      </c>
      <c r="P771" s="79">
        <f>OBRA!R769</f>
        <v>1060774.83</v>
      </c>
      <c r="Q771" s="1023">
        <f t="shared" si="62"/>
        <v>914461.06034482771</v>
      </c>
      <c r="R771" s="1714" t="s">
        <v>68</v>
      </c>
      <c r="S771" s="67">
        <f>OBRA!S769</f>
        <v>45275</v>
      </c>
      <c r="T771" s="1134">
        <f>OBRA!V769</f>
        <v>45274</v>
      </c>
      <c r="U771" s="5">
        <f>OBRA!T769</f>
        <v>45278</v>
      </c>
      <c r="V771" s="11">
        <f>OBRA!U769</f>
        <v>45322</v>
      </c>
      <c r="W771" s="1901">
        <v>0</v>
      </c>
      <c r="X771" s="1019">
        <f>OBRA!AS769+OBRA!AT769</f>
        <v>1081145.3400000001</v>
      </c>
      <c r="Y771" s="1089" t="s">
        <v>6137</v>
      </c>
      <c r="Z771" s="146" t="str">
        <f>OBRA!W769</f>
        <v>URBANIZADORA Y PAVIMENTADORA MONLE, S.A. DE C.V.</v>
      </c>
      <c r="AA771" s="146" t="s">
        <v>5666</v>
      </c>
      <c r="AB771" s="1769" t="s">
        <v>4878</v>
      </c>
      <c r="AC771" s="1770" t="s">
        <v>4879</v>
      </c>
      <c r="AD771" s="1769" t="s">
        <v>5903</v>
      </c>
      <c r="AE771" s="1771" t="str">
        <f>OBRA!X769</f>
        <v>C. DANIEL RODRIGUEZ VALENZUELA</v>
      </c>
      <c r="AF771" s="19">
        <v>4</v>
      </c>
      <c r="AG771" s="601" t="s">
        <v>6138</v>
      </c>
      <c r="AH771" s="615">
        <f t="shared" si="63"/>
        <v>270286.33500000002</v>
      </c>
      <c r="AI771" s="2">
        <v>5500</v>
      </c>
      <c r="AJ771" s="2">
        <v>5500</v>
      </c>
      <c r="AK771" s="1888">
        <v>1</v>
      </c>
      <c r="AL771" s="1522">
        <v>20.280017999999998</v>
      </c>
      <c r="AM771" s="1523">
        <v>103.432284</v>
      </c>
      <c r="AN771" s="571" t="s">
        <v>6139</v>
      </c>
      <c r="AO771" s="571" t="s">
        <v>6139</v>
      </c>
      <c r="AP771" s="571" t="s">
        <v>6139</v>
      </c>
      <c r="AQ771" s="501" t="s">
        <v>6139</v>
      </c>
      <c r="AR771" s="501"/>
      <c r="AS771" s="704" t="s">
        <v>6139</v>
      </c>
    </row>
    <row r="772" spans="1:45" ht="51.75" customHeight="1">
      <c r="A772" s="16">
        <f>OBRA!J770</f>
        <v>2024</v>
      </c>
      <c r="B772" s="783" t="s">
        <v>3944</v>
      </c>
      <c r="C772" s="783">
        <f>OBRA!K770</f>
        <v>241001</v>
      </c>
      <c r="D772" s="24" t="s">
        <v>2310</v>
      </c>
      <c r="E772" s="2" t="str">
        <f>OBRA!M770</f>
        <v>RAMO 23</v>
      </c>
      <c r="F772" s="511"/>
      <c r="G772" s="25"/>
      <c r="H772" s="12" t="str">
        <f>OBRA!N770</f>
        <v>-</v>
      </c>
      <c r="I772" s="2" t="str">
        <f>OBRA!O770</f>
        <v>CONVENIO</v>
      </c>
      <c r="J772" s="3" t="str">
        <f>OBRA!P770</f>
        <v>PAVIMENTACIÓN EN EL MUNICIPIO DE JOCOTEPEC</v>
      </c>
      <c r="K772" s="3"/>
      <c r="L772" s="3" t="s">
        <v>6258</v>
      </c>
      <c r="M772" s="3"/>
      <c r="N772" s="3" t="str">
        <f>OBRA!Q770</f>
        <v>CABECERA MUNICIPAL</v>
      </c>
      <c r="O772" s="504" t="s">
        <v>6749</v>
      </c>
      <c r="P772" s="79">
        <f>OBRA!R770</f>
        <v>0</v>
      </c>
      <c r="Q772" s="1023">
        <f t="shared" si="62"/>
        <v>0</v>
      </c>
      <c r="R772" s="1714" t="s">
        <v>68</v>
      </c>
      <c r="S772" s="67" t="str">
        <f>OBRA!S770</f>
        <v>-</v>
      </c>
      <c r="T772" s="1134" t="str">
        <f>OBRA!V770</f>
        <v>NO APLICA</v>
      </c>
      <c r="U772" s="5">
        <f>OBRA!T770</f>
        <v>0</v>
      </c>
      <c r="V772" s="11">
        <f>OBRA!U770</f>
        <v>0</v>
      </c>
      <c r="W772" s="278">
        <v>0</v>
      </c>
      <c r="X772" s="1019">
        <f>OBRA!AS770+OBRA!AT770</f>
        <v>0</v>
      </c>
      <c r="Y772" s="1018"/>
      <c r="Z772" s="146">
        <f>OBRA!W770</f>
        <v>0</v>
      </c>
      <c r="AA772" s="146" t="s">
        <v>68</v>
      </c>
      <c r="AB772" s="148">
        <f t="shared" ref="AB772:AB836" si="64">Z772</f>
        <v>0</v>
      </c>
      <c r="AC772" s="146" t="s">
        <v>68</v>
      </c>
      <c r="AD772" s="148" t="s">
        <v>68</v>
      </c>
      <c r="AE772" s="183">
        <f>OBRA!X770</f>
        <v>0</v>
      </c>
      <c r="AF772" s="552">
        <v>232</v>
      </c>
      <c r="AG772" s="2" t="s">
        <v>1548</v>
      </c>
      <c r="AH772" s="615">
        <f t="shared" si="63"/>
        <v>0</v>
      </c>
      <c r="AI772" s="2"/>
      <c r="AJ772" s="513"/>
      <c r="AK772" s="513"/>
      <c r="AL772" s="1513"/>
      <c r="AM772" s="1514"/>
      <c r="AN772" s="571"/>
      <c r="AO772" s="571"/>
      <c r="AP772" s="571"/>
      <c r="AQ772" s="513"/>
      <c r="AR772" s="513"/>
      <c r="AS772" s="18"/>
    </row>
    <row r="773" spans="1:45" ht="96.75" customHeight="1">
      <c r="A773" s="16">
        <f>OBRA!J771</f>
        <v>2024</v>
      </c>
      <c r="B773" s="783" t="s">
        <v>3944</v>
      </c>
      <c r="C773" s="783">
        <f>OBRA!K771</f>
        <v>242001</v>
      </c>
      <c r="D773" s="24" t="s">
        <v>2310</v>
      </c>
      <c r="E773" s="2" t="str">
        <f>OBRA!M771</f>
        <v>CUENTA CORRIENTE</v>
      </c>
      <c r="F773" s="511"/>
      <c r="G773" s="156" t="s">
        <v>2861</v>
      </c>
      <c r="H773" s="12" t="str">
        <f>OBRA!N771</f>
        <v>CPSP DOP 001/2024</v>
      </c>
      <c r="I773" s="2" t="str">
        <f>OBRA!O771</f>
        <v>SERVICIOS</v>
      </c>
      <c r="J773" s="3" t="str">
        <f>OBRA!P771</f>
        <v>CONTRATACIÓN DE SERVICIOS PARA REALIZACIÓN DE: UN VIDEO INSPECCIÓN INTERIOR PARA CONOCERSU ESTATUS Y ESTRUCTURA DEL POZO UBICADO EN EL ATRIO DE LA PARROQUÍA DEL SR. DEL MONTE, EN LA CABECERA MUNICIPAL DE JOCOTEPEC, JALISCO.</v>
      </c>
      <c r="K773" s="3"/>
      <c r="L773" s="3" t="s">
        <v>4751</v>
      </c>
      <c r="M773" s="173" t="s">
        <v>6694</v>
      </c>
      <c r="N773" s="3" t="str">
        <f>OBRA!Q771</f>
        <v>CABECERA MUNICIPAL</v>
      </c>
      <c r="O773" s="504" t="s">
        <v>6750</v>
      </c>
      <c r="P773" s="79">
        <f>OBRA!R771</f>
        <v>9222</v>
      </c>
      <c r="Q773" s="1023">
        <f t="shared" si="62"/>
        <v>7950.0000000000009</v>
      </c>
      <c r="R773" s="1023" t="s">
        <v>68</v>
      </c>
      <c r="S773" s="67">
        <f>OBRA!S771</f>
        <v>45293</v>
      </c>
      <c r="T773" s="1134">
        <f>OBRA!V771</f>
        <v>0</v>
      </c>
      <c r="U773" s="5">
        <f>OBRA!T771</f>
        <v>45294</v>
      </c>
      <c r="V773" s="11">
        <f>OBRA!U771</f>
        <v>45295</v>
      </c>
      <c r="W773" s="1901">
        <v>0</v>
      </c>
      <c r="X773" s="1019">
        <f>OBRA!AS771+OBRA!AT771</f>
        <v>0</v>
      </c>
      <c r="Y773" s="1018" t="s">
        <v>6769</v>
      </c>
      <c r="Z773" s="146" t="str">
        <f>OBRA!W771</f>
        <v>SOLUCIONES INTEGRALES A POZOS, S.A. DE C.V.</v>
      </c>
      <c r="AA773" s="146" t="s">
        <v>5666</v>
      </c>
      <c r="AB773" s="148" t="s">
        <v>6728</v>
      </c>
      <c r="AC773" s="146" t="s">
        <v>6729</v>
      </c>
      <c r="AD773" s="148" t="s">
        <v>6730</v>
      </c>
      <c r="AE773" s="1771" t="str">
        <f>OBRA!X771</f>
        <v>C. IMELDA KARINA PÉREZ GONZÁLEZ</v>
      </c>
      <c r="AF773" s="19">
        <v>1</v>
      </c>
      <c r="AG773" s="2" t="s">
        <v>1573</v>
      </c>
      <c r="AH773" s="183">
        <f t="shared" ref="AH773:AH816" si="65">P773/AF773</f>
        <v>9222</v>
      </c>
      <c r="AI773" s="2"/>
      <c r="AJ773" s="2"/>
      <c r="AK773" s="1888">
        <v>1</v>
      </c>
      <c r="AL773" s="1513"/>
      <c r="AM773" s="1514"/>
      <c r="AN773" s="571"/>
      <c r="AO773" s="571"/>
      <c r="AP773" s="571"/>
      <c r="AQ773" s="513"/>
      <c r="AR773" s="513"/>
      <c r="AS773" s="18"/>
    </row>
    <row r="774" spans="1:45" ht="123.75" customHeight="1">
      <c r="A774" s="16">
        <f>OBRA!J772</f>
        <v>2024</v>
      </c>
      <c r="B774" s="783" t="s">
        <v>3944</v>
      </c>
      <c r="C774" s="783">
        <f>OBRA!K772</f>
        <v>242002</v>
      </c>
      <c r="D774" s="24" t="s">
        <v>2310</v>
      </c>
      <c r="E774" s="2" t="str">
        <f>OBRA!M772</f>
        <v>CUENTA CORRIENTE</v>
      </c>
      <c r="F774" s="511"/>
      <c r="G774" s="156" t="s">
        <v>2861</v>
      </c>
      <c r="H774" s="12" t="str">
        <f>OBRA!N772</f>
        <v>CPSP DOP 002/2024</v>
      </c>
      <c r="I774" s="2" t="str">
        <f>OBRA!O772</f>
        <v>SERVICIOS</v>
      </c>
      <c r="J774"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3"/>
      <c r="L774" s="3" t="s">
        <v>4751</v>
      </c>
      <c r="M774" s="173" t="s">
        <v>6695</v>
      </c>
      <c r="N774" s="3" t="str">
        <f>OBRA!Q772</f>
        <v>SAN PEDRO TESISTÁN</v>
      </c>
      <c r="O774" s="504" t="s">
        <v>6750</v>
      </c>
      <c r="P774" s="79">
        <f>OBRA!R772</f>
        <v>23200</v>
      </c>
      <c r="Q774" s="1023">
        <f t="shared" si="62"/>
        <v>20000</v>
      </c>
      <c r="R774" s="1023" t="s">
        <v>68</v>
      </c>
      <c r="S774" s="67">
        <f>OBRA!S772</f>
        <v>45293</v>
      </c>
      <c r="T774" s="1134">
        <f>OBRA!V772</f>
        <v>0</v>
      </c>
      <c r="U774" s="5">
        <f>OBRA!T772</f>
        <v>45293</v>
      </c>
      <c r="V774" s="11">
        <f>OBRA!U772</f>
        <v>45294</v>
      </c>
      <c r="W774" s="1901">
        <v>0</v>
      </c>
      <c r="X774" s="1019">
        <f>OBRA!AS772+OBRA!AT772</f>
        <v>0</v>
      </c>
      <c r="Y774" s="1018" t="s">
        <v>6769</v>
      </c>
      <c r="Z774" s="146" t="str">
        <f>OBRA!W772</f>
        <v xml:space="preserve">CICLOS GIP SC </v>
      </c>
      <c r="AA774" s="146" t="s">
        <v>5666</v>
      </c>
      <c r="AB774" s="1769" t="s">
        <v>4878</v>
      </c>
      <c r="AC774" s="1770" t="s">
        <v>4879</v>
      </c>
      <c r="AD774" s="1769" t="s">
        <v>4880</v>
      </c>
      <c r="AE774" s="1771" t="str">
        <f>OBRA!X772</f>
        <v>C. IMELDA KARINA PÉREZ GONZÁLEZ</v>
      </c>
      <c r="AF774" s="19">
        <v>1</v>
      </c>
      <c r="AG774" s="2" t="s">
        <v>6758</v>
      </c>
      <c r="AH774" s="183">
        <f t="shared" si="65"/>
        <v>23200</v>
      </c>
      <c r="AI774" s="2"/>
      <c r="AJ774" s="2"/>
      <c r="AK774" s="1888">
        <v>1</v>
      </c>
      <c r="AL774" s="1513"/>
      <c r="AM774" s="1514"/>
      <c r="AN774" s="571"/>
      <c r="AO774" s="571"/>
      <c r="AP774" s="571"/>
      <c r="AQ774" s="513"/>
      <c r="AR774" s="513"/>
      <c r="AS774" s="18"/>
    </row>
    <row r="775" spans="1:45" ht="83.25" customHeight="1">
      <c r="A775" s="16">
        <f>OBRA!J773</f>
        <v>2024</v>
      </c>
      <c r="B775" s="783" t="s">
        <v>3944</v>
      </c>
      <c r="C775" s="783">
        <f>OBRA!K773</f>
        <v>242003</v>
      </c>
      <c r="D775" s="24" t="s">
        <v>2310</v>
      </c>
      <c r="E775" s="2" t="str">
        <f>OBRA!M773</f>
        <v>CUENTA CORRIENTE</v>
      </c>
      <c r="F775" s="511"/>
      <c r="G775" s="156" t="s">
        <v>2861</v>
      </c>
      <c r="H775" s="12" t="str">
        <f>OBRA!N773</f>
        <v>CPSP DOP 003/2024</v>
      </c>
      <c r="I775" s="2" t="str">
        <f>OBRA!O773</f>
        <v>SERVICIOS</v>
      </c>
      <c r="J775" s="3" t="str">
        <f>OBRA!P773</f>
        <v>CONTRATACIÓN DE SERVICIOS PROFESIONALES: PARA REUBICACIÓN Y LEVANTAMIENTO DE LA BAJA TENSIÓN EN CALLE PLAYAS DEL SOL, EN LA LOCALIDAD DE CHANTEPEC, MUNICIPIO DE JOCOTEPEC, JALISCO</v>
      </c>
      <c r="K775" s="3"/>
      <c r="L775" s="3" t="s">
        <v>6690</v>
      </c>
      <c r="M775" s="173" t="s">
        <v>5418</v>
      </c>
      <c r="N775" s="3" t="str">
        <f>OBRA!Q773</f>
        <v>CHANTEPEC</v>
      </c>
      <c r="O775" s="504" t="s">
        <v>6750</v>
      </c>
      <c r="P775" s="79">
        <f>OBRA!R773</f>
        <v>33325.64</v>
      </c>
      <c r="Q775" s="1023">
        <f t="shared" si="62"/>
        <v>28729</v>
      </c>
      <c r="R775" s="1023" t="s">
        <v>68</v>
      </c>
      <c r="S775" s="67">
        <f>OBRA!S773</f>
        <v>45308</v>
      </c>
      <c r="T775" s="1134">
        <f>OBRA!V773</f>
        <v>0</v>
      </c>
      <c r="U775" s="5">
        <f>OBRA!T773</f>
        <v>45309</v>
      </c>
      <c r="V775" s="11">
        <f>OBRA!U773</f>
        <v>45315</v>
      </c>
      <c r="W775" s="1901">
        <v>0</v>
      </c>
      <c r="X775" s="1019">
        <f>OBRA!AS773+OBRA!AT773</f>
        <v>0</v>
      </c>
      <c r="Y775" s="1018" t="s">
        <v>6769</v>
      </c>
      <c r="Z775" s="146" t="str">
        <f>OBRA!W773</f>
        <v>SOLEC ENERGY, S.A. DE C.V.</v>
      </c>
      <c r="AA775" s="146" t="s">
        <v>5666</v>
      </c>
      <c r="AB775" s="148" t="s">
        <v>4548</v>
      </c>
      <c r="AC775" s="146" t="s">
        <v>4549</v>
      </c>
      <c r="AD775" s="148" t="s">
        <v>6120</v>
      </c>
      <c r="AE775" s="1771" t="str">
        <f>OBRA!X773</f>
        <v>C. IMELDA KARINA PÉREZ GONZÁLEZ</v>
      </c>
      <c r="AF775" s="19">
        <v>1</v>
      </c>
      <c r="AG775" s="2" t="s">
        <v>1573</v>
      </c>
      <c r="AH775" s="183">
        <f t="shared" si="65"/>
        <v>33325.64</v>
      </c>
      <c r="AI775" s="2"/>
      <c r="AJ775" s="2"/>
      <c r="AK775" s="2"/>
      <c r="AL775" s="1513"/>
      <c r="AM775" s="1514"/>
      <c r="AN775" s="571"/>
      <c r="AO775" s="571"/>
      <c r="AP775" s="571"/>
      <c r="AQ775" s="513"/>
      <c r="AR775" s="513"/>
      <c r="AS775" s="18"/>
    </row>
    <row r="776" spans="1:45" ht="124.5" customHeight="1">
      <c r="A776" s="16">
        <f>OBRA!J774</f>
        <v>2024</v>
      </c>
      <c r="B776" s="783" t="s">
        <v>3944</v>
      </c>
      <c r="C776" s="783">
        <f>OBRA!K774</f>
        <v>242004</v>
      </c>
      <c r="D776" s="24" t="s">
        <v>2310</v>
      </c>
      <c r="E776" s="2" t="str">
        <f>OBRA!M774</f>
        <v>CUENTA CORRIENTE</v>
      </c>
      <c r="F776" s="511"/>
      <c r="G776" s="156" t="s">
        <v>2861</v>
      </c>
      <c r="H776" s="12" t="str">
        <f>OBRA!N774</f>
        <v>CPSP DOP 004/2024</v>
      </c>
      <c r="I776" s="2" t="str">
        <f>OBRA!O774</f>
        <v>SERVICIOS</v>
      </c>
      <c r="J776"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3"/>
      <c r="L776" s="3" t="s">
        <v>4751</v>
      </c>
      <c r="M776" s="173" t="s">
        <v>6694</v>
      </c>
      <c r="N776" s="3" t="str">
        <f>OBRA!Q774</f>
        <v>CABECERA MUNICIPAL</v>
      </c>
      <c r="O776" s="504" t="s">
        <v>6750</v>
      </c>
      <c r="P776" s="79">
        <f>OBRA!R774</f>
        <v>25520</v>
      </c>
      <c r="Q776" s="1023">
        <f t="shared" si="62"/>
        <v>22000</v>
      </c>
      <c r="R776" s="1023" t="s">
        <v>68</v>
      </c>
      <c r="S776" s="67">
        <f>OBRA!S774</f>
        <v>45296</v>
      </c>
      <c r="T776" s="1134">
        <f>OBRA!V774</f>
        <v>0</v>
      </c>
      <c r="U776" s="5">
        <f>OBRA!T774</f>
        <v>45299</v>
      </c>
      <c r="V776" s="11">
        <f>OBRA!U774</f>
        <v>45300</v>
      </c>
      <c r="W776" s="1901">
        <v>0</v>
      </c>
      <c r="X776" s="1019">
        <f>OBRA!AS774+OBRA!AT774</f>
        <v>0</v>
      </c>
      <c r="Y776" s="1018" t="s">
        <v>6769</v>
      </c>
      <c r="Z776" s="146" t="str">
        <f>OBRA!W774</f>
        <v>ING. MARCO ANTONIO PAREDES RODRÍGUEZ</v>
      </c>
      <c r="AA776" s="146" t="s">
        <v>5665</v>
      </c>
      <c r="AB776" s="1769" t="s">
        <v>3742</v>
      </c>
      <c r="AC776" s="146" t="s">
        <v>4292</v>
      </c>
      <c r="AD776" s="148" t="s">
        <v>6549</v>
      </c>
      <c r="AE776" s="1771" t="str">
        <f>OBRA!X774</f>
        <v>C. IMELDA KARINA PÉREZ GONZÁLEZ</v>
      </c>
      <c r="AF776" s="19">
        <v>1</v>
      </c>
      <c r="AG776" s="2" t="s">
        <v>1573</v>
      </c>
      <c r="AH776" s="183">
        <f t="shared" si="65"/>
        <v>25520</v>
      </c>
      <c r="AI776" s="2"/>
      <c r="AJ776" s="2"/>
      <c r="AK776" s="1888">
        <v>1</v>
      </c>
      <c r="AL776" s="1513"/>
      <c r="AM776" s="1514"/>
      <c r="AN776" s="571"/>
      <c r="AO776" s="571"/>
      <c r="AP776" s="571"/>
      <c r="AQ776" s="513"/>
      <c r="AR776" s="513"/>
      <c r="AS776" s="18"/>
    </row>
    <row r="777" spans="1:45" ht="194.25" customHeight="1">
      <c r="A777" s="16">
        <f>OBRA!J775</f>
        <v>2024</v>
      </c>
      <c r="B777" s="783" t="s">
        <v>3944</v>
      </c>
      <c r="C777" s="783">
        <f>OBRA!K775</f>
        <v>242005</v>
      </c>
      <c r="D777" s="24" t="s">
        <v>2310</v>
      </c>
      <c r="E777" s="2" t="str">
        <f>OBRA!M775</f>
        <v>CUENTA CORRIENTE</v>
      </c>
      <c r="F777" s="511"/>
      <c r="G777" s="156" t="s">
        <v>2861</v>
      </c>
      <c r="H777" s="12" t="str">
        <f>OBRA!N775</f>
        <v>CPSP DOP 005/2024</v>
      </c>
      <c r="I777" s="2" t="str">
        <f>OBRA!O775</f>
        <v>SERVICIOS</v>
      </c>
      <c r="J777"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3"/>
      <c r="L777" s="3" t="s">
        <v>4751</v>
      </c>
      <c r="M777" s="173" t="s">
        <v>6696</v>
      </c>
      <c r="N777" s="3" t="str">
        <f>OBRA!Q775</f>
        <v>NEXTIPAC</v>
      </c>
      <c r="O777" s="504" t="s">
        <v>6750</v>
      </c>
      <c r="P777" s="79">
        <f>OBRA!R775</f>
        <v>69600</v>
      </c>
      <c r="Q777" s="1023">
        <f t="shared" si="62"/>
        <v>60000.000000000007</v>
      </c>
      <c r="R777" s="1023" t="s">
        <v>6723</v>
      </c>
      <c r="S777" s="67">
        <f>OBRA!S775</f>
        <v>45348</v>
      </c>
      <c r="T777" s="1134">
        <f>OBRA!V775</f>
        <v>0</v>
      </c>
      <c r="U777" s="5">
        <f>OBRA!T775</f>
        <v>45349</v>
      </c>
      <c r="V777" s="11">
        <f>OBRA!U775</f>
        <v>45352</v>
      </c>
      <c r="W777" s="1901">
        <v>0</v>
      </c>
      <c r="X777" s="1019">
        <f>OBRA!AS775+OBRA!AT775</f>
        <v>0</v>
      </c>
      <c r="Y777" s="1018" t="s">
        <v>6769</v>
      </c>
      <c r="Z777" s="146" t="str">
        <f>OBRA!W775</f>
        <v xml:space="preserve">CICLOS GIP SC </v>
      </c>
      <c r="AA777" s="146" t="s">
        <v>5666</v>
      </c>
      <c r="AB777" s="1769" t="s">
        <v>4878</v>
      </c>
      <c r="AC777" s="1770" t="s">
        <v>4879</v>
      </c>
      <c r="AD777" s="1769" t="s">
        <v>4880</v>
      </c>
      <c r="AE777" s="1771" t="str">
        <f>OBRA!X775</f>
        <v>C. IMELDA KARINA PÉREZ GONZÁLEZ</v>
      </c>
      <c r="AF777" s="19">
        <v>3</v>
      </c>
      <c r="AG777" s="2" t="s">
        <v>6758</v>
      </c>
      <c r="AH777" s="183">
        <f t="shared" si="65"/>
        <v>23200</v>
      </c>
      <c r="AI777" s="2"/>
      <c r="AJ777" s="2"/>
      <c r="AK777" s="1888">
        <v>1</v>
      </c>
      <c r="AL777" s="1513"/>
      <c r="AM777" s="1514"/>
      <c r="AN777" s="571"/>
      <c r="AO777" s="571"/>
      <c r="AP777" s="571"/>
      <c r="AQ777" s="513"/>
      <c r="AR777" s="513"/>
      <c r="AS777" s="18"/>
    </row>
    <row r="778" spans="1:45" ht="81.75" customHeight="1">
      <c r="A778" s="16">
        <f>OBRA!J776</f>
        <v>2024</v>
      </c>
      <c r="B778" s="783" t="s">
        <v>3944</v>
      </c>
      <c r="C778" s="783">
        <f>OBRA!K776</f>
        <v>242006</v>
      </c>
      <c r="D778" s="24" t="s">
        <v>2310</v>
      </c>
      <c r="E778" s="2" t="str">
        <f>OBRA!M776</f>
        <v>CUENTA CORRIENTE</v>
      </c>
      <c r="F778" s="511"/>
      <c r="G778" s="156" t="s">
        <v>2861</v>
      </c>
      <c r="H778" s="12" t="str">
        <f>OBRA!N776</f>
        <v>CPSP DOP 006/2024</v>
      </c>
      <c r="I778" s="2" t="str">
        <f>OBRA!O776</f>
        <v>SERVICIOS</v>
      </c>
      <c r="J778" s="3" t="str">
        <f>OBRA!P776</f>
        <v>CONTRATACIÓN DE SERVICIOS PROFESIONALES PARA REUBICACIÓN DE ACOMETIDA AÉREA DE CFE DE LOS LOCALES DE LOS PORTALES Y MOVIMIENTO DE FIBRA ÓPTICA EN LA CALLE MIGUEL ARANA, MUNICIPIO DE JOCOTEPEC, JALISCO.</v>
      </c>
      <c r="K778" s="3"/>
      <c r="L778" s="3" t="s">
        <v>6690</v>
      </c>
      <c r="M778" s="173" t="s">
        <v>6697</v>
      </c>
      <c r="N778" s="3" t="str">
        <f>OBRA!Q776</f>
        <v>CABECERA MUNICIPAL</v>
      </c>
      <c r="O778" s="504" t="s">
        <v>6750</v>
      </c>
      <c r="P778" s="79">
        <f>OBRA!R776</f>
        <v>9048</v>
      </c>
      <c r="Q778" s="1023">
        <f t="shared" si="62"/>
        <v>7800.0000000000009</v>
      </c>
      <c r="R778" s="1023" t="s">
        <v>68</v>
      </c>
      <c r="S778" s="67">
        <f>OBRA!S776</f>
        <v>45362</v>
      </c>
      <c r="T778" s="1134">
        <f>OBRA!V776</f>
        <v>0</v>
      </c>
      <c r="U778" s="5">
        <f>OBRA!T776</f>
        <v>45363</v>
      </c>
      <c r="V778" s="11">
        <f>OBRA!U776</f>
        <v>45365</v>
      </c>
      <c r="W778" s="1901">
        <v>0</v>
      </c>
      <c r="X778" s="1019">
        <f>OBRA!AS776+OBRA!AT776</f>
        <v>0</v>
      </c>
      <c r="Y778" s="1018" t="s">
        <v>6769</v>
      </c>
      <c r="Z778" s="146" t="str">
        <f>OBRA!W776</f>
        <v>SOLEC ENERGY, S.A. DE C.V.</v>
      </c>
      <c r="AA778" s="146" t="s">
        <v>5666</v>
      </c>
      <c r="AB778" s="148" t="s">
        <v>4548</v>
      </c>
      <c r="AC778" s="146" t="s">
        <v>4549</v>
      </c>
      <c r="AD778" s="148" t="s">
        <v>6120</v>
      </c>
      <c r="AE778" s="1771" t="str">
        <f>OBRA!X776</f>
        <v>C. IMELDA KARINA PÉREZ GONZÁLEZ</v>
      </c>
      <c r="AF778" s="19">
        <v>1</v>
      </c>
      <c r="AG778" s="2" t="s">
        <v>1573</v>
      </c>
      <c r="AH778" s="183">
        <f t="shared" si="65"/>
        <v>9048</v>
      </c>
      <c r="AI778" s="2"/>
      <c r="AJ778" s="2"/>
      <c r="AK778" s="1888">
        <v>1</v>
      </c>
      <c r="AL778" s="1513"/>
      <c r="AM778" s="1514"/>
      <c r="AN778" s="571"/>
      <c r="AO778" s="571"/>
      <c r="AP778" s="571"/>
      <c r="AQ778" s="513"/>
      <c r="AR778" s="513"/>
      <c r="AS778" s="18"/>
    </row>
    <row r="779" spans="1:45" ht="211.5" customHeight="1">
      <c r="A779" s="16">
        <f>OBRA!J777</f>
        <v>2024</v>
      </c>
      <c r="B779" s="783" t="s">
        <v>3944</v>
      </c>
      <c r="C779" s="783">
        <f>OBRA!K777</f>
        <v>242007</v>
      </c>
      <c r="D779" s="24" t="s">
        <v>2310</v>
      </c>
      <c r="E779" s="2" t="str">
        <f>OBRA!M777</f>
        <v>CUENTA CORRIENTE</v>
      </c>
      <c r="F779" s="511"/>
      <c r="G779" s="156" t="s">
        <v>2861</v>
      </c>
      <c r="H779" s="12" t="str">
        <f>OBRA!N777</f>
        <v>CPSP DOP 007/2024</v>
      </c>
      <c r="I779" s="2" t="str">
        <f>OBRA!O777</f>
        <v>SERVICIOS</v>
      </c>
      <c r="J779" s="1175"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3"/>
      <c r="L779" s="3" t="s">
        <v>4751</v>
      </c>
      <c r="M779" s="1461" t="s">
        <v>6698</v>
      </c>
      <c r="N779" s="3" t="str">
        <f>OBRA!Q777</f>
        <v>MPIO: CHANTEPEC Y NEXTIPAC</v>
      </c>
      <c r="O779" s="504" t="s">
        <v>6750</v>
      </c>
      <c r="P779" s="79">
        <f>OBRA!R777</f>
        <v>5800</v>
      </c>
      <c r="Q779" s="1023">
        <f t="shared" si="62"/>
        <v>5000</v>
      </c>
      <c r="R779" s="1023" t="s">
        <v>6724</v>
      </c>
      <c r="S779" s="67">
        <f>OBRA!S777</f>
        <v>45363</v>
      </c>
      <c r="T779" s="1134">
        <f>OBRA!V777</f>
        <v>0</v>
      </c>
      <c r="U779" s="5">
        <f>OBRA!T777</f>
        <v>45365</v>
      </c>
      <c r="V779" s="11">
        <f>OBRA!U777</f>
        <v>45365</v>
      </c>
      <c r="W779" s="1901">
        <v>0</v>
      </c>
      <c r="X779" s="1019">
        <f>OBRA!AS777+OBRA!AT777</f>
        <v>0</v>
      </c>
      <c r="Y779" s="1018" t="s">
        <v>6769</v>
      </c>
      <c r="Z779" s="146" t="str">
        <f>OBRA!W777</f>
        <v>C. ROBERTO GARCÍA NAVARRO</v>
      </c>
      <c r="AA779" s="146" t="s">
        <v>5665</v>
      </c>
      <c r="AB779" s="148" t="str">
        <f t="shared" si="64"/>
        <v>C. ROBERTO GARCÍA NAVARRO</v>
      </c>
      <c r="AC779" s="146"/>
      <c r="AD779" s="148"/>
      <c r="AE779" s="1771" t="str">
        <f>OBRA!X777</f>
        <v>C. IMELDA KARINA PÉREZ GONZÁLEZ</v>
      </c>
      <c r="AF779" s="19">
        <v>4</v>
      </c>
      <c r="AG779" s="2" t="s">
        <v>1573</v>
      </c>
      <c r="AH779" s="183">
        <f t="shared" si="65"/>
        <v>1450</v>
      </c>
      <c r="AI779" s="2"/>
      <c r="AJ779" s="2"/>
      <c r="AK779" s="1888">
        <v>1</v>
      </c>
      <c r="AL779" s="1513"/>
      <c r="AM779" s="1514"/>
      <c r="AN779" s="571"/>
      <c r="AO779" s="571"/>
      <c r="AP779" s="571"/>
      <c r="AQ779" s="513"/>
      <c r="AR779" s="513"/>
      <c r="AS779" s="18"/>
    </row>
    <row r="780" spans="1:45" ht="116.25" customHeight="1">
      <c r="A780" s="16">
        <f>OBRA!J778</f>
        <v>2024</v>
      </c>
      <c r="B780" s="783" t="s">
        <v>3944</v>
      </c>
      <c r="C780" s="783">
        <f>OBRA!K778</f>
        <v>242008</v>
      </c>
      <c r="D780" s="24" t="s">
        <v>2310</v>
      </c>
      <c r="E780" s="2" t="str">
        <f>OBRA!M778</f>
        <v>CUENTA CORRIENTE</v>
      </c>
      <c r="F780" s="511"/>
      <c r="G780" s="156" t="s">
        <v>2861</v>
      </c>
      <c r="H780" s="12" t="str">
        <f>OBRA!N778</f>
        <v>CPSP DOP 008/2024</v>
      </c>
      <c r="I780" s="2" t="str">
        <f>OBRA!O778</f>
        <v>SERVICIOS</v>
      </c>
      <c r="J780" s="1175"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3"/>
      <c r="L780" s="3" t="s">
        <v>4751</v>
      </c>
      <c r="M780" s="173" t="s">
        <v>6699</v>
      </c>
      <c r="N780" s="3" t="str">
        <f>OBRA!Q778</f>
        <v>HUEJOTITÁN</v>
      </c>
      <c r="O780" s="504" t="s">
        <v>6750</v>
      </c>
      <c r="P780" s="79">
        <f>OBRA!R778</f>
        <v>77546</v>
      </c>
      <c r="Q780" s="1023">
        <f t="shared" si="62"/>
        <v>66850</v>
      </c>
      <c r="R780" s="1023" t="s">
        <v>6723</v>
      </c>
      <c r="S780" s="67">
        <f>OBRA!S778</f>
        <v>45362</v>
      </c>
      <c r="T780" s="1134">
        <f>OBRA!V778</f>
        <v>0</v>
      </c>
      <c r="U780" s="5">
        <f>OBRA!T778</f>
        <v>45363</v>
      </c>
      <c r="V780" s="11">
        <f>OBRA!U778</f>
        <v>45364</v>
      </c>
      <c r="W780" s="1901">
        <v>0</v>
      </c>
      <c r="X780" s="1019">
        <f>OBRA!AS778+OBRA!AT778</f>
        <v>0</v>
      </c>
      <c r="Y780" s="1018" t="s">
        <v>6769</v>
      </c>
      <c r="Z780" s="146" t="str">
        <f>OBRA!W778</f>
        <v>ING. MARCO ANTONIO PAREDES RODRÍGUEZ</v>
      </c>
      <c r="AA780" s="146" t="s">
        <v>5665</v>
      </c>
      <c r="AB780" s="1769" t="s">
        <v>3742</v>
      </c>
      <c r="AC780" s="146" t="s">
        <v>4292</v>
      </c>
      <c r="AD780" s="148" t="s">
        <v>6549</v>
      </c>
      <c r="AE780" s="1771" t="str">
        <f>OBRA!X778</f>
        <v>C. IMELDA KARINA PÉREZ GONZÁLEZ</v>
      </c>
      <c r="AF780" s="19">
        <v>1</v>
      </c>
      <c r="AG780" s="2" t="s">
        <v>1573</v>
      </c>
      <c r="AH780" s="183">
        <f t="shared" si="65"/>
        <v>77546</v>
      </c>
      <c r="AI780" s="2"/>
      <c r="AJ780" s="2"/>
      <c r="AK780" s="1888">
        <v>1</v>
      </c>
      <c r="AL780" s="1513"/>
      <c r="AM780" s="1514"/>
      <c r="AN780" s="571"/>
      <c r="AO780" s="571"/>
      <c r="AP780" s="571"/>
      <c r="AQ780" s="513"/>
      <c r="AR780" s="513"/>
      <c r="AS780" s="18"/>
    </row>
    <row r="781" spans="1:45" ht="136.5" customHeight="1">
      <c r="A781" s="16">
        <f>OBRA!J779</f>
        <v>2024</v>
      </c>
      <c r="B781" s="783" t="s">
        <v>3944</v>
      </c>
      <c r="C781" s="783">
        <f>OBRA!K779</f>
        <v>242009</v>
      </c>
      <c r="D781" s="24" t="s">
        <v>2310</v>
      </c>
      <c r="E781" s="2" t="str">
        <f>OBRA!M779</f>
        <v>CUENTA CORRIENTE</v>
      </c>
      <c r="F781" s="511"/>
      <c r="G781" s="156" t="s">
        <v>2861</v>
      </c>
      <c r="H781" s="12" t="str">
        <f>OBRA!N779</f>
        <v>CPSP DOP 009/2024</v>
      </c>
      <c r="I781" s="2" t="str">
        <f>OBRA!O779</f>
        <v>SERVICIOS</v>
      </c>
      <c r="J781"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3"/>
      <c r="L781" s="3" t="s">
        <v>6248</v>
      </c>
      <c r="M781" s="173" t="s">
        <v>6701</v>
      </c>
      <c r="N781" s="3" t="str">
        <f>OBRA!Q779</f>
        <v>HUEJOTITÁN</v>
      </c>
      <c r="O781" s="504" t="s">
        <v>6750</v>
      </c>
      <c r="P781" s="79">
        <f>OBRA!R779</f>
        <v>61479.999999999993</v>
      </c>
      <c r="Q781" s="1023">
        <f t="shared" si="62"/>
        <v>53000</v>
      </c>
      <c r="R781" s="1023" t="s">
        <v>68</v>
      </c>
      <c r="S781" s="67">
        <f>OBRA!S779</f>
        <v>45369</v>
      </c>
      <c r="T781" s="1134">
        <f>OBRA!V779</f>
        <v>0</v>
      </c>
      <c r="U781" s="5">
        <f>OBRA!T779</f>
        <v>45370</v>
      </c>
      <c r="V781" s="11">
        <f>OBRA!U779</f>
        <v>45372</v>
      </c>
      <c r="W781" s="1901">
        <v>0</v>
      </c>
      <c r="X781" s="1019">
        <f>OBRA!AS779+OBRA!AT779</f>
        <v>0</v>
      </c>
      <c r="Y781" s="1018" t="s">
        <v>6769</v>
      </c>
      <c r="Z781" s="146" t="str">
        <f>OBRA!W779</f>
        <v>ING. SERGIO CABRERA</v>
      </c>
      <c r="AA781" s="146" t="s">
        <v>5665</v>
      </c>
      <c r="AB781" s="1769" t="s">
        <v>4444</v>
      </c>
      <c r="AC781" s="146" t="s">
        <v>1922</v>
      </c>
      <c r="AD781" s="148" t="s">
        <v>6046</v>
      </c>
      <c r="AE781" s="1771" t="str">
        <f>OBRA!X779</f>
        <v>C. IMELDA KARINA PÉREZ GONZÁLEZ</v>
      </c>
      <c r="AF781" s="19">
        <v>1</v>
      </c>
      <c r="AG781" s="2" t="s">
        <v>6411</v>
      </c>
      <c r="AH781" s="183">
        <f t="shared" si="65"/>
        <v>61479.999999999993</v>
      </c>
      <c r="AI781" s="2"/>
      <c r="AJ781" s="2"/>
      <c r="AK781" s="1888">
        <v>1</v>
      </c>
      <c r="AL781" s="1513"/>
      <c r="AM781" s="1514"/>
      <c r="AN781" s="571"/>
      <c r="AO781" s="571"/>
      <c r="AP781" s="571"/>
      <c r="AQ781" s="513"/>
      <c r="AR781" s="513"/>
      <c r="AS781" s="18"/>
    </row>
    <row r="782" spans="1:45" ht="91.5" customHeight="1">
      <c r="A782" s="16">
        <f>OBRA!J780</f>
        <v>2024</v>
      </c>
      <c r="B782" s="783" t="s">
        <v>3944</v>
      </c>
      <c r="C782" s="783">
        <f>OBRA!K780</f>
        <v>242010</v>
      </c>
      <c r="D782" s="24" t="s">
        <v>2310</v>
      </c>
      <c r="E782" s="2" t="str">
        <f>OBRA!M780</f>
        <v>CUENTA CORRIENTE</v>
      </c>
      <c r="F782" s="511"/>
      <c r="G782" s="156" t="s">
        <v>2861</v>
      </c>
      <c r="H782" s="12" t="str">
        <f>OBRA!N780</f>
        <v>CPSP DOP 010/2024</v>
      </c>
      <c r="I782" s="2" t="str">
        <f>OBRA!O780</f>
        <v>SERVICIOS</v>
      </c>
      <c r="J782" s="3" t="str">
        <f>OBRA!P780</f>
        <v>CONTRATACIÓN DE SERVICIOS PROFEFESIONALES PARA: ALIMENTACIÓN ELÉCTRICA DE BASE 7-200 A PASTILLA GENERAL DEL POZO DE AGUA POTABLE UBICADO EN PRIV. GUADALUPE VICTORIA, EN LA LOCALIDAD DE SAN JUAN COSALÁ,  MUNICIPIO DE JOCOTEPEC, JALISCO.</v>
      </c>
      <c r="K782" s="3"/>
      <c r="L782" s="3" t="s">
        <v>6690</v>
      </c>
      <c r="M782" s="173" t="s">
        <v>2717</v>
      </c>
      <c r="N782" s="3" t="str">
        <f>OBRA!Q780</f>
        <v>SAN JUAN COSALÁ</v>
      </c>
      <c r="O782" s="504" t="s">
        <v>6750</v>
      </c>
      <c r="P782" s="79">
        <f>OBRA!R780</f>
        <v>47923.079999999994</v>
      </c>
      <c r="Q782" s="1023">
        <f t="shared" si="62"/>
        <v>41313</v>
      </c>
      <c r="R782" s="1023" t="s">
        <v>68</v>
      </c>
      <c r="S782" s="67">
        <f>OBRA!S780</f>
        <v>45370</v>
      </c>
      <c r="T782" s="1134">
        <f>OBRA!V780</f>
        <v>0</v>
      </c>
      <c r="U782" s="5">
        <f>OBRA!T780</f>
        <v>45372</v>
      </c>
      <c r="V782" s="11">
        <f>OBRA!U780</f>
        <v>45376</v>
      </c>
      <c r="W782" s="1901">
        <v>0</v>
      </c>
      <c r="X782" s="1019">
        <f>OBRA!AS780+OBRA!AT780</f>
        <v>0</v>
      </c>
      <c r="Y782" s="1018" t="s">
        <v>6769</v>
      </c>
      <c r="Z782" s="146" t="str">
        <f>OBRA!W780</f>
        <v>C. JUAN CARLOS CHAIRES SALCEDO</v>
      </c>
      <c r="AA782" s="146" t="s">
        <v>5665</v>
      </c>
      <c r="AB782" s="148" t="s">
        <v>4548</v>
      </c>
      <c r="AC782" s="146" t="s">
        <v>4549</v>
      </c>
      <c r="AD782" s="148" t="s">
        <v>6548</v>
      </c>
      <c r="AE782" s="1771" t="str">
        <f>OBRA!X780</f>
        <v>C. IMELDA KARINA PÉREZ GONZÁLEZ</v>
      </c>
      <c r="AF782" s="19">
        <v>1</v>
      </c>
      <c r="AG782" s="2" t="s">
        <v>1573</v>
      </c>
      <c r="AH782" s="183">
        <f t="shared" si="65"/>
        <v>47923.079999999994</v>
      </c>
      <c r="AI782" s="2"/>
      <c r="AJ782" s="2"/>
      <c r="AK782" s="1888">
        <v>1</v>
      </c>
      <c r="AL782" s="1513"/>
      <c r="AM782" s="1514"/>
      <c r="AN782" s="571"/>
      <c r="AO782" s="571"/>
      <c r="AP782" s="571"/>
      <c r="AQ782" s="513"/>
      <c r="AR782" s="513"/>
      <c r="AS782" s="18"/>
    </row>
    <row r="783" spans="1:45" ht="183.75" customHeight="1">
      <c r="A783" s="16">
        <f>OBRA!J781</f>
        <v>2024</v>
      </c>
      <c r="B783" s="783" t="s">
        <v>3944</v>
      </c>
      <c r="C783" s="783"/>
      <c r="D783" s="24"/>
      <c r="E783" s="2" t="str">
        <f>OBRA!M781</f>
        <v>CUENTA CORRIENTE</v>
      </c>
      <c r="F783" s="511"/>
      <c r="G783" s="156" t="s">
        <v>2861</v>
      </c>
      <c r="H783" s="12" t="str">
        <f>OBRA!N781</f>
        <v>CPSP DOP 011/2024</v>
      </c>
      <c r="I783" s="2" t="str">
        <f>OBRA!O781</f>
        <v>SERVICIOS</v>
      </c>
      <c r="J783" s="1175"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3"/>
      <c r="L783" s="3" t="s">
        <v>4751</v>
      </c>
      <c r="M783" s="173" t="s">
        <v>6702</v>
      </c>
      <c r="N783" s="3" t="str">
        <f>OBRA!Q781</f>
        <v>CHANTEPEC</v>
      </c>
      <c r="O783" s="504" t="s">
        <v>6751</v>
      </c>
      <c r="P783" s="79">
        <f>OBRA!R781</f>
        <v>97208</v>
      </c>
      <c r="Q783" s="1023">
        <f t="shared" ref="Q783:Q792" si="66">P783/1.16</f>
        <v>83800</v>
      </c>
      <c r="R783" s="1023" t="s">
        <v>6723</v>
      </c>
      <c r="S783" s="67">
        <f>OBRA!S781</f>
        <v>45383</v>
      </c>
      <c r="T783" s="1134">
        <f>OBRA!V781</f>
        <v>0</v>
      </c>
      <c r="U783" s="5">
        <f>OBRA!T781</f>
        <v>45384</v>
      </c>
      <c r="V783" s="11">
        <f>OBRA!U781</f>
        <v>45386</v>
      </c>
      <c r="W783" s="1901">
        <v>0</v>
      </c>
      <c r="X783" s="1019">
        <f>OBRA!AS781+OBRA!AT781</f>
        <v>0</v>
      </c>
      <c r="Y783" s="1018" t="s">
        <v>6769</v>
      </c>
      <c r="Z783" s="146" t="str">
        <f>OBRA!W781</f>
        <v>ING. MARCO ANTONIO PAREDES RODRÍGUEZ</v>
      </c>
      <c r="AA783" s="146" t="s">
        <v>5665</v>
      </c>
      <c r="AB783" s="1769" t="s">
        <v>3742</v>
      </c>
      <c r="AC783" s="146" t="s">
        <v>4292</v>
      </c>
      <c r="AD783" s="148" t="s">
        <v>6549</v>
      </c>
      <c r="AE783" s="1771" t="str">
        <f>OBRA!X781</f>
        <v>C. IMELDA KARINA PÉREZ GONZÁLEZ</v>
      </c>
      <c r="AF783" s="19">
        <v>1</v>
      </c>
      <c r="AG783" s="2" t="s">
        <v>1573</v>
      </c>
      <c r="AH783" s="183">
        <f t="shared" si="65"/>
        <v>97208</v>
      </c>
      <c r="AI783" s="2"/>
      <c r="AJ783" s="2"/>
      <c r="AK783" s="1888">
        <v>1</v>
      </c>
      <c r="AL783" s="1513"/>
      <c r="AM783" s="1514"/>
      <c r="AN783" s="571"/>
      <c r="AO783" s="571"/>
      <c r="AP783" s="571"/>
      <c r="AQ783" s="513"/>
      <c r="AR783" s="513"/>
      <c r="AS783" s="18"/>
    </row>
    <row r="784" spans="1:45" ht="69.75" customHeight="1">
      <c r="A784" s="16">
        <f>OBRA!J782</f>
        <v>2024</v>
      </c>
      <c r="B784" s="783" t="s">
        <v>3944</v>
      </c>
      <c r="C784" s="783"/>
      <c r="D784" s="24"/>
      <c r="E784" s="2" t="str">
        <f>OBRA!M782</f>
        <v>CUENTA CORRIENTE</v>
      </c>
      <c r="F784" s="511"/>
      <c r="G784" s="156" t="s">
        <v>2861</v>
      </c>
      <c r="H784" s="12" t="str">
        <f>OBRA!N782</f>
        <v>CPSP DOP 012/2024</v>
      </c>
      <c r="I784" s="2" t="str">
        <f>OBRA!O782</f>
        <v>SERVICIOS</v>
      </c>
      <c r="J784" s="3" t="str">
        <f>OBRA!P782</f>
        <v>"AFORO DE POZO PROFUNDO UBICADO EN CALLE MIGUEL ARANA CRUCE CON CALLE ALLENDE (ZONA CENTRO)", EN LA CABECERA MUNICIPAL DE JOCOTEPEC, JALISCO.</v>
      </c>
      <c r="K784" s="3"/>
      <c r="L784" s="3" t="s">
        <v>4751</v>
      </c>
      <c r="M784" s="173" t="s">
        <v>6703</v>
      </c>
      <c r="N784" s="3" t="str">
        <f>OBRA!Q782</f>
        <v>CABECERA MUNICIPAL</v>
      </c>
      <c r="O784" s="504" t="s">
        <v>6751</v>
      </c>
      <c r="P784" s="79">
        <f>OBRA!R782</f>
        <v>174092.79999999999</v>
      </c>
      <c r="Q784" s="1023">
        <f t="shared" si="66"/>
        <v>150080</v>
      </c>
      <c r="R784" s="1023" t="s">
        <v>68</v>
      </c>
      <c r="S784" s="67">
        <f>OBRA!S782</f>
        <v>45400</v>
      </c>
      <c r="T784" s="1134">
        <f>OBRA!V782</f>
        <v>0</v>
      </c>
      <c r="U784" s="5">
        <f>OBRA!T782</f>
        <v>45404</v>
      </c>
      <c r="V784" s="11">
        <f>OBRA!U782</f>
        <v>45408</v>
      </c>
      <c r="W784" s="1901">
        <f>P784/2</f>
        <v>87046.399999999994</v>
      </c>
      <c r="X784" s="1019">
        <f>OBRA!AS782+OBRA!AT782</f>
        <v>0</v>
      </c>
      <c r="Y784" s="1018" t="s">
        <v>6769</v>
      </c>
      <c r="Z784" s="146" t="str">
        <f>OBRA!W782</f>
        <v>PERFORACIONES TEPATITLÁN, S.A. DE C.V.</v>
      </c>
      <c r="AA784" s="146" t="s">
        <v>5666</v>
      </c>
      <c r="AB784" s="148" t="s">
        <v>6731</v>
      </c>
      <c r="AC784" s="146" t="s">
        <v>6732</v>
      </c>
      <c r="AD784" s="148" t="s">
        <v>6733</v>
      </c>
      <c r="AE784" s="1771" t="str">
        <f>OBRA!X782</f>
        <v>C. IMELDA KARINA PÉREZ GONZÁLEZ</v>
      </c>
      <c r="AF784" s="19">
        <v>1</v>
      </c>
      <c r="AG784" s="2" t="s">
        <v>1573</v>
      </c>
      <c r="AH784" s="183">
        <f t="shared" si="65"/>
        <v>174092.79999999999</v>
      </c>
      <c r="AI784" s="2"/>
      <c r="AJ784" s="2"/>
      <c r="AK784" s="1888">
        <v>1</v>
      </c>
      <c r="AL784" s="1513"/>
      <c r="AM784" s="1514"/>
      <c r="AN784" s="571"/>
      <c r="AO784" s="571"/>
      <c r="AP784" s="571"/>
      <c r="AQ784" s="513"/>
      <c r="AR784" s="513"/>
      <c r="AS784" s="18"/>
    </row>
    <row r="785" spans="1:45" ht="143.25" customHeight="1">
      <c r="A785" s="16">
        <f>OBRA!J783</f>
        <v>2024</v>
      </c>
      <c r="B785" s="783" t="s">
        <v>3944</v>
      </c>
      <c r="C785" s="783"/>
      <c r="D785" s="24"/>
      <c r="E785" s="2" t="str">
        <f>OBRA!M783</f>
        <v>CUENTA CORRIENTE</v>
      </c>
      <c r="F785" s="511"/>
      <c r="G785" s="156" t="s">
        <v>2861</v>
      </c>
      <c r="H785" s="12" t="str">
        <f>OBRA!N783</f>
        <v>CPSP DOP 013/2024</v>
      </c>
      <c r="I785" s="2" t="str">
        <f>OBRA!O783</f>
        <v>SERVICIOS</v>
      </c>
      <c r="J785" s="1175"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3"/>
      <c r="L785" s="3" t="s">
        <v>4751</v>
      </c>
      <c r="M785" s="1461" t="s">
        <v>6704</v>
      </c>
      <c r="N785" s="3" t="str">
        <f>OBRA!Q783</f>
        <v>MPIO: CABECERA Y SAN JUAN COSALÁ</v>
      </c>
      <c r="O785" s="504" t="s">
        <v>6751</v>
      </c>
      <c r="P785" s="79">
        <f>OBRA!R783</f>
        <v>6380</v>
      </c>
      <c r="Q785" s="1023">
        <f t="shared" si="66"/>
        <v>5500</v>
      </c>
      <c r="R785" s="1023" t="s">
        <v>6724</v>
      </c>
      <c r="S785" s="67">
        <f>OBRA!S783</f>
        <v>45399</v>
      </c>
      <c r="T785" s="1134">
        <f>OBRA!V783</f>
        <v>0</v>
      </c>
      <c r="U785" s="5">
        <f>OBRA!T783</f>
        <v>45400</v>
      </c>
      <c r="V785" s="11">
        <f>OBRA!U783</f>
        <v>45401</v>
      </c>
      <c r="W785" s="1901">
        <v>0</v>
      </c>
      <c r="X785" s="1019">
        <f>OBRA!AS783+OBRA!AT783</f>
        <v>0</v>
      </c>
      <c r="Y785" s="1018" t="s">
        <v>6769</v>
      </c>
      <c r="Z785" s="146" t="str">
        <f>OBRA!W783</f>
        <v xml:space="preserve">DORIA &amp; SAMPIER CONSTRUCTORA, S.A. DE C.V. </v>
      </c>
      <c r="AA785" s="146" t="s">
        <v>5666</v>
      </c>
      <c r="AB785" s="1769" t="s">
        <v>5607</v>
      </c>
      <c r="AC785" s="1770" t="s">
        <v>4401</v>
      </c>
      <c r="AD785" s="148" t="s">
        <v>6552</v>
      </c>
      <c r="AE785" s="1771" t="str">
        <f>OBRA!X783</f>
        <v>C. IMELDA KARINA PÉREZ GONZÁLEZ</v>
      </c>
      <c r="AF785" s="19">
        <v>3</v>
      </c>
      <c r="AG785" s="2" t="s">
        <v>6758</v>
      </c>
      <c r="AH785" s="183">
        <f t="shared" si="65"/>
        <v>2126.6666666666665</v>
      </c>
      <c r="AI785" s="2"/>
      <c r="AJ785" s="2"/>
      <c r="AK785" s="1888">
        <v>1</v>
      </c>
      <c r="AL785" s="1513"/>
      <c r="AM785" s="1514"/>
      <c r="AN785" s="571"/>
      <c r="AO785" s="571"/>
      <c r="AP785" s="571"/>
      <c r="AQ785" s="513"/>
      <c r="AR785" s="513"/>
      <c r="AS785" s="18"/>
    </row>
    <row r="786" spans="1:45" ht="175.5" customHeight="1">
      <c r="A786" s="16">
        <f>OBRA!J784</f>
        <v>2024</v>
      </c>
      <c r="B786" s="783" t="s">
        <v>3944</v>
      </c>
      <c r="C786" s="783"/>
      <c r="D786" s="24"/>
      <c r="E786" s="2" t="str">
        <f>OBRA!M784</f>
        <v>CUENTA CORRIENTE</v>
      </c>
      <c r="F786" s="511"/>
      <c r="G786" s="156" t="s">
        <v>2861</v>
      </c>
      <c r="H786" s="12" t="str">
        <f>OBRA!N784</f>
        <v>CPSP DOP 014/2024</v>
      </c>
      <c r="I786" s="2" t="str">
        <f>OBRA!O784</f>
        <v>SERVICIOS</v>
      </c>
      <c r="J786" s="1175"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3"/>
      <c r="L786" s="3" t="s">
        <v>4751</v>
      </c>
      <c r="M786" s="1461" t="s">
        <v>6705</v>
      </c>
      <c r="N786" s="3" t="str">
        <f>OBRA!Q784</f>
        <v>MPIO: CABECERA, SAN JUAN COSALA Y CHANTEPEC</v>
      </c>
      <c r="O786" s="504" t="s">
        <v>6751</v>
      </c>
      <c r="P786" s="79">
        <f>OBRA!R784</f>
        <v>23200</v>
      </c>
      <c r="Q786" s="1023">
        <f t="shared" si="66"/>
        <v>20000</v>
      </c>
      <c r="R786" s="1023" t="s">
        <v>6724</v>
      </c>
      <c r="S786" s="67">
        <f>OBRA!S784</f>
        <v>45397</v>
      </c>
      <c r="T786" s="1134">
        <f>OBRA!V784</f>
        <v>0</v>
      </c>
      <c r="U786" s="5">
        <f>OBRA!T784</f>
        <v>45398</v>
      </c>
      <c r="V786" s="11">
        <f>OBRA!U784</f>
        <v>45401</v>
      </c>
      <c r="W786" s="1901">
        <v>0</v>
      </c>
      <c r="X786" s="1019">
        <f>OBRA!AS784+OBRA!AT784</f>
        <v>0</v>
      </c>
      <c r="Y786" s="1018" t="s">
        <v>6769</v>
      </c>
      <c r="Z786" s="146" t="str">
        <f>OBRA!W784</f>
        <v xml:space="preserve">CICLOS GIP SC </v>
      </c>
      <c r="AA786" s="146" t="s">
        <v>5666</v>
      </c>
      <c r="AB786" s="1769" t="s">
        <v>4878</v>
      </c>
      <c r="AC786" s="1770" t="s">
        <v>4879</v>
      </c>
      <c r="AD786" s="1769" t="s">
        <v>4880</v>
      </c>
      <c r="AE786" s="1771" t="str">
        <f>OBRA!X784</f>
        <v>C. IMELDA KARINA PÉREZ GONZÁLEZ</v>
      </c>
      <c r="AF786" s="19">
        <v>4</v>
      </c>
      <c r="AG786" s="2" t="s">
        <v>6758</v>
      </c>
      <c r="AH786" s="183">
        <f t="shared" si="65"/>
        <v>5800</v>
      </c>
      <c r="AI786" s="2"/>
      <c r="AJ786" s="2"/>
      <c r="AK786" s="1888">
        <v>1</v>
      </c>
      <c r="AL786" s="1513"/>
      <c r="AM786" s="1514"/>
      <c r="AN786" s="571"/>
      <c r="AO786" s="571"/>
      <c r="AP786" s="571"/>
      <c r="AQ786" s="513"/>
      <c r="AR786" s="513"/>
      <c r="AS786" s="18"/>
    </row>
    <row r="787" spans="1:45" ht="147" customHeight="1">
      <c r="A787" s="16">
        <f>OBRA!J785</f>
        <v>2024</v>
      </c>
      <c r="B787" s="783" t="s">
        <v>3944</v>
      </c>
      <c r="C787" s="783"/>
      <c r="D787" s="24"/>
      <c r="E787" s="2" t="str">
        <f>OBRA!M785</f>
        <v>CUENTA CORRIENTE</v>
      </c>
      <c r="F787" s="511"/>
      <c r="G787" s="156" t="s">
        <v>2861</v>
      </c>
      <c r="H787" s="12" t="str">
        <f>OBRA!N785</f>
        <v>CPSP DOP 015/2024</v>
      </c>
      <c r="I787" s="2" t="str">
        <f>OBRA!O785</f>
        <v>SERVICIOS</v>
      </c>
      <c r="J787" s="1175"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3"/>
      <c r="L787" s="3" t="s">
        <v>4751</v>
      </c>
      <c r="M787" s="173" t="s">
        <v>6706</v>
      </c>
      <c r="N787" s="3" t="str">
        <f>OBRA!Q785</f>
        <v>MPIO: SAN JUAN COSALA, CABECERA Y CHANTEPEC</v>
      </c>
      <c r="O787" s="504" t="s">
        <v>6751</v>
      </c>
      <c r="P787" s="79">
        <f>OBRA!R785</f>
        <v>6380</v>
      </c>
      <c r="Q787" s="1023">
        <f t="shared" si="66"/>
        <v>5500</v>
      </c>
      <c r="R787" s="1023" t="s">
        <v>6724</v>
      </c>
      <c r="S787" s="67">
        <f>OBRA!S785</f>
        <v>45401</v>
      </c>
      <c r="T787" s="1134">
        <f>OBRA!V785</f>
        <v>0</v>
      </c>
      <c r="U787" s="5">
        <f>OBRA!T785</f>
        <v>45405</v>
      </c>
      <c r="V787" s="11">
        <f>OBRA!U785</f>
        <v>45406</v>
      </c>
      <c r="W787" s="1901">
        <v>0</v>
      </c>
      <c r="X787" s="1019">
        <f>OBRA!AS785+OBRA!AT785</f>
        <v>0</v>
      </c>
      <c r="Y787" s="1018" t="s">
        <v>6769</v>
      </c>
      <c r="Z787" s="146" t="str">
        <f>OBRA!W785</f>
        <v xml:space="preserve">DORIA &amp; SAMPIER CONSTRUCTORA, S.A. DE C.V. </v>
      </c>
      <c r="AA787" s="146" t="s">
        <v>5666</v>
      </c>
      <c r="AB787" s="1769" t="s">
        <v>5607</v>
      </c>
      <c r="AC787" s="1770" t="s">
        <v>4401</v>
      </c>
      <c r="AD787" s="148" t="s">
        <v>6552</v>
      </c>
      <c r="AE787" s="1771" t="str">
        <f>OBRA!X785</f>
        <v>C. IMELDA KARINA PÉREZ GONZÁLEZ</v>
      </c>
      <c r="AF787" s="19">
        <v>3</v>
      </c>
      <c r="AG787" s="2" t="s">
        <v>6758</v>
      </c>
      <c r="AH787" s="183">
        <f t="shared" si="65"/>
        <v>2126.6666666666665</v>
      </c>
      <c r="AI787" s="2"/>
      <c r="AJ787" s="2"/>
      <c r="AK787" s="1888">
        <v>1</v>
      </c>
      <c r="AL787" s="1513"/>
      <c r="AM787" s="1514"/>
      <c r="AN787" s="571"/>
      <c r="AO787" s="571"/>
      <c r="AP787" s="571"/>
      <c r="AQ787" s="513"/>
      <c r="AR787" s="513"/>
      <c r="AS787" s="18"/>
    </row>
    <row r="788" spans="1:45" ht="69.75" customHeight="1">
      <c r="A788" s="16">
        <f>OBRA!J786</f>
        <v>2024</v>
      </c>
      <c r="B788" s="783" t="s">
        <v>3944</v>
      </c>
      <c r="C788" s="783"/>
      <c r="D788" s="24"/>
      <c r="E788" s="2" t="str">
        <f>OBRA!M786</f>
        <v>CUENTA CORRIENTE</v>
      </c>
      <c r="F788" s="511"/>
      <c r="G788" s="156" t="s">
        <v>2861</v>
      </c>
      <c r="H788" s="12" t="str">
        <f>OBRA!N786</f>
        <v>CPSP DOP 016/2024</v>
      </c>
      <c r="I788" s="2" t="str">
        <f>OBRA!O786</f>
        <v>SERVICIOS</v>
      </c>
      <c r="J788" s="3" t="str">
        <f>OBRA!P786</f>
        <v>CONTRATACIÓN PARA REALIZAR: EL REGISTRO ELÉCTRICO EN POZO NUEVO DE AGUA POTABLE UBICADO EN CALLE MORELOS, EN LA CABECERA MUNICIPAL DE JOCTEPEC, JALISCO.</v>
      </c>
      <c r="K788" s="3"/>
      <c r="L788" s="3" t="s">
        <v>4751</v>
      </c>
      <c r="M788" s="173" t="s">
        <v>6707</v>
      </c>
      <c r="N788" s="3" t="str">
        <f>OBRA!Q786</f>
        <v>CABECERA MUNICIPAL</v>
      </c>
      <c r="O788" s="504" t="s">
        <v>6751</v>
      </c>
      <c r="P788" s="79">
        <f>OBRA!R786</f>
        <v>19720</v>
      </c>
      <c r="Q788" s="1023">
        <f t="shared" si="66"/>
        <v>17000</v>
      </c>
      <c r="R788" s="1023" t="s">
        <v>68</v>
      </c>
      <c r="S788" s="67">
        <f>OBRA!S786</f>
        <v>45450</v>
      </c>
      <c r="T788" s="1134">
        <f>OBRA!V786</f>
        <v>0</v>
      </c>
      <c r="U788" s="5">
        <f>OBRA!T786</f>
        <v>45453</v>
      </c>
      <c r="V788" s="11">
        <f>OBRA!U786</f>
        <v>45453</v>
      </c>
      <c r="W788" s="1901">
        <v>0</v>
      </c>
      <c r="X788" s="1019">
        <f>OBRA!AS786+OBRA!AT786</f>
        <v>0</v>
      </c>
      <c r="Y788" s="1018" t="s">
        <v>6769</v>
      </c>
      <c r="Z788" s="146" t="str">
        <f>OBRA!W786</f>
        <v xml:space="preserve">CICLOS GIP SC </v>
      </c>
      <c r="AA788" s="146" t="s">
        <v>5666</v>
      </c>
      <c r="AB788" s="1769" t="s">
        <v>4878</v>
      </c>
      <c r="AC788" s="1770" t="s">
        <v>4879</v>
      </c>
      <c r="AD788" s="1769" t="s">
        <v>4880</v>
      </c>
      <c r="AE788" s="1771" t="str">
        <f>OBRA!X786</f>
        <v>C. IMELDA KARINA PÉREZ GONZÁLEZ</v>
      </c>
      <c r="AF788" s="19">
        <v>1</v>
      </c>
      <c r="AG788" s="2" t="s">
        <v>1573</v>
      </c>
      <c r="AH788" s="183">
        <f t="shared" si="65"/>
        <v>19720</v>
      </c>
      <c r="AI788" s="2"/>
      <c r="AJ788" s="2"/>
      <c r="AK788" s="1888">
        <v>1</v>
      </c>
      <c r="AL788" s="1513"/>
      <c r="AM788" s="1514"/>
      <c r="AN788" s="571"/>
      <c r="AO788" s="571"/>
      <c r="AP788" s="571"/>
      <c r="AQ788" s="513"/>
      <c r="AR788" s="513"/>
      <c r="AS788" s="18"/>
    </row>
    <row r="789" spans="1:45" ht="288.75" customHeight="1">
      <c r="A789" s="16">
        <f>OBRA!J787</f>
        <v>2024</v>
      </c>
      <c r="B789" s="783" t="s">
        <v>3944</v>
      </c>
      <c r="C789" s="783"/>
      <c r="D789" s="24"/>
      <c r="E789" s="2" t="str">
        <f>OBRA!M787</f>
        <v>CUENTA CORRIENTE</v>
      </c>
      <c r="F789" s="511"/>
      <c r="G789" s="156" t="s">
        <v>2861</v>
      </c>
      <c r="H789" s="12" t="str">
        <f>OBRA!N787</f>
        <v>CPSP DOP 017/2024</v>
      </c>
      <c r="I789" s="2" t="str">
        <f>OBRA!O787</f>
        <v>SERVICIOS</v>
      </c>
      <c r="J789" s="1175"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3"/>
      <c r="L789" s="3" t="s">
        <v>6692</v>
      </c>
      <c r="M789" s="173" t="s">
        <v>6708</v>
      </c>
      <c r="N789" s="3" t="str">
        <f>OBRA!Q787</f>
        <v>MPIO: CABECERA, SAN JUAN COSALÁ, HUEJOTITÁN Y EL MOLINO.</v>
      </c>
      <c r="O789" s="504" t="s">
        <v>6751</v>
      </c>
      <c r="P789" s="79">
        <f>OBRA!R787</f>
        <v>85747.199999999997</v>
      </c>
      <c r="Q789" s="1023">
        <f t="shared" si="66"/>
        <v>73920</v>
      </c>
      <c r="R789" s="1023" t="s">
        <v>6723</v>
      </c>
      <c r="S789" s="67">
        <f>OBRA!S787</f>
        <v>45456</v>
      </c>
      <c r="T789" s="1134">
        <f>OBRA!V787</f>
        <v>0</v>
      </c>
      <c r="U789" s="5">
        <f>OBRA!T787</f>
        <v>45460</v>
      </c>
      <c r="V789" s="11">
        <f>OBRA!U787</f>
        <v>45471</v>
      </c>
      <c r="W789" s="1901">
        <v>0</v>
      </c>
      <c r="X789" s="1019">
        <f>OBRA!AS787+OBRA!AT787</f>
        <v>0</v>
      </c>
      <c r="Y789" s="1018" t="s">
        <v>6769</v>
      </c>
      <c r="Z789" s="146" t="str">
        <f>OBRA!W787</f>
        <v>ECCOC DE GUADALAJARA, S.A. DE C.V.</v>
      </c>
      <c r="AA789" s="146" t="s">
        <v>5666</v>
      </c>
      <c r="AB789" s="1769" t="s">
        <v>4500</v>
      </c>
      <c r="AC789" s="1770" t="s">
        <v>4430</v>
      </c>
      <c r="AD789" s="1769" t="s">
        <v>6763</v>
      </c>
      <c r="AE789" s="1771" t="str">
        <f>OBRA!X787</f>
        <v>C. IMELDA KARINA PÉREZ GONZÁLEZ</v>
      </c>
      <c r="AF789" s="19">
        <v>5</v>
      </c>
      <c r="AG789" s="2" t="s">
        <v>6758</v>
      </c>
      <c r="AH789" s="183">
        <f t="shared" si="65"/>
        <v>17149.439999999999</v>
      </c>
      <c r="AI789" s="2"/>
      <c r="AJ789" s="2"/>
      <c r="AK789" s="1888">
        <v>1</v>
      </c>
      <c r="AL789" s="1513"/>
      <c r="AM789" s="1514"/>
      <c r="AN789" s="571"/>
      <c r="AO789" s="571"/>
      <c r="AP789" s="571"/>
      <c r="AQ789" s="513"/>
      <c r="AR789" s="513"/>
      <c r="AS789" s="18"/>
    </row>
    <row r="790" spans="1:45" ht="120.75" customHeight="1">
      <c r="A790" s="16">
        <f>OBRA!J788</f>
        <v>2024</v>
      </c>
      <c r="B790" s="783" t="s">
        <v>3944</v>
      </c>
      <c r="C790" s="783"/>
      <c r="D790" s="24"/>
      <c r="E790" s="2" t="str">
        <f>OBRA!M788</f>
        <v>CUENTA CORRIENTE</v>
      </c>
      <c r="F790" s="511"/>
      <c r="G790" s="156" t="s">
        <v>2861</v>
      </c>
      <c r="H790" s="12" t="str">
        <f>OBRA!N788</f>
        <v>CPSP DOP 018/2024</v>
      </c>
      <c r="I790" s="2" t="str">
        <f>OBRA!O788</f>
        <v>SERVICIOS</v>
      </c>
      <c r="J790" s="1175"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3"/>
      <c r="L790" s="3" t="s">
        <v>4751</v>
      </c>
      <c r="M790" s="173" t="s">
        <v>6695</v>
      </c>
      <c r="N790" s="3" t="str">
        <f>OBRA!Q788</f>
        <v>SAN PEDRO TESISTÁN</v>
      </c>
      <c r="O790" s="504" t="s">
        <v>6751</v>
      </c>
      <c r="P790" s="79">
        <f>OBRA!R788</f>
        <v>39770</v>
      </c>
      <c r="Q790" s="1023">
        <f t="shared" si="66"/>
        <v>34284.482758620688</v>
      </c>
      <c r="R790" s="1023" t="s">
        <v>6723</v>
      </c>
      <c r="S790" s="67">
        <f>OBRA!S788</f>
        <v>45443</v>
      </c>
      <c r="T790" s="1134">
        <f>OBRA!V788</f>
        <v>0</v>
      </c>
      <c r="U790" s="5">
        <f>OBRA!T788</f>
        <v>45444</v>
      </c>
      <c r="V790" s="11">
        <f>OBRA!U788</f>
        <v>45451</v>
      </c>
      <c r="W790" s="1901">
        <v>0</v>
      </c>
      <c r="X790" s="1019">
        <f>OBRA!AS788+OBRA!AT788</f>
        <v>0</v>
      </c>
      <c r="Y790" s="1018" t="s">
        <v>6769</v>
      </c>
      <c r="Z790" s="146" t="str">
        <f>OBRA!W788</f>
        <v>ING. MARCO ANTONIO PAREDES RODRÍGUEZ</v>
      </c>
      <c r="AA790" s="146" t="s">
        <v>5665</v>
      </c>
      <c r="AB790" s="1769" t="s">
        <v>3742</v>
      </c>
      <c r="AC790" s="146" t="s">
        <v>4292</v>
      </c>
      <c r="AD790" s="148" t="s">
        <v>6549</v>
      </c>
      <c r="AE790" s="1771" t="str">
        <f>OBRA!X788</f>
        <v>ING. LUIS RIGOBERTO OLMEDO NAVARRO</v>
      </c>
      <c r="AF790" s="19">
        <v>1</v>
      </c>
      <c r="AG790" s="2" t="s">
        <v>1573</v>
      </c>
      <c r="AH790" s="183">
        <f t="shared" si="65"/>
        <v>39770</v>
      </c>
      <c r="AI790" s="2"/>
      <c r="AJ790" s="2"/>
      <c r="AK790" s="1888">
        <v>1</v>
      </c>
      <c r="AL790" s="1513"/>
      <c r="AM790" s="1514"/>
      <c r="AN790" s="571"/>
      <c r="AO790" s="571"/>
      <c r="AP790" s="571"/>
      <c r="AQ790" s="513"/>
      <c r="AR790" s="513"/>
      <c r="AS790" s="18"/>
    </row>
    <row r="791" spans="1:45" ht="90" customHeight="1">
      <c r="A791" s="16">
        <f>OBRA!J789</f>
        <v>2024</v>
      </c>
      <c r="B791" s="783" t="s">
        <v>3944</v>
      </c>
      <c r="C791" s="783"/>
      <c r="D791" s="24"/>
      <c r="E791" s="2" t="str">
        <f>OBRA!M789</f>
        <v>CUENTA CORRIENTE</v>
      </c>
      <c r="F791" s="511"/>
      <c r="G791" s="156" t="s">
        <v>2861</v>
      </c>
      <c r="H791" s="12" t="str">
        <f>OBRA!N789</f>
        <v>CPSP DOP 019/2024</v>
      </c>
      <c r="I791" s="2" t="str">
        <f>OBRA!O789</f>
        <v>SERVICIOS</v>
      </c>
      <c r="J791" s="1175"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3"/>
      <c r="L791" s="3" t="s">
        <v>4751</v>
      </c>
      <c r="M791" s="173" t="s">
        <v>6695</v>
      </c>
      <c r="N791" s="3" t="str">
        <f>OBRA!Q789</f>
        <v>SAN PEDRO TESISTÁN</v>
      </c>
      <c r="O791" s="504" t="s">
        <v>6751</v>
      </c>
      <c r="P791" s="79">
        <f>OBRA!R789</f>
        <v>46080</v>
      </c>
      <c r="Q791" s="1023">
        <f t="shared" si="66"/>
        <v>39724.137931034486</v>
      </c>
      <c r="R791" s="1023" t="s">
        <v>6723</v>
      </c>
      <c r="S791" s="67">
        <f>OBRA!S789</f>
        <v>45450</v>
      </c>
      <c r="T791" s="1134">
        <f>OBRA!V789</f>
        <v>0</v>
      </c>
      <c r="U791" s="5">
        <f>OBRA!T789</f>
        <v>45452</v>
      </c>
      <c r="V791" s="11">
        <f>OBRA!U789</f>
        <v>45463</v>
      </c>
      <c r="W791" s="1901">
        <v>0</v>
      </c>
      <c r="X791" s="1019">
        <f>OBRA!AS789+OBRA!AT789</f>
        <v>0</v>
      </c>
      <c r="Y791" s="1018" t="s">
        <v>6769</v>
      </c>
      <c r="Z791" s="146" t="str">
        <f>OBRA!W789</f>
        <v>ING. MARCO ANTONIO PAREDES RODRÍGUEZ</v>
      </c>
      <c r="AA791" s="146" t="s">
        <v>5665</v>
      </c>
      <c r="AB791" s="1769" t="s">
        <v>3742</v>
      </c>
      <c r="AC791" s="146" t="s">
        <v>4292</v>
      </c>
      <c r="AD791" s="148" t="s">
        <v>6549</v>
      </c>
      <c r="AE791" s="1771" t="str">
        <f>OBRA!X789</f>
        <v>ING. LUIS RIGOBERTO OLMEDO NAVARRO</v>
      </c>
      <c r="AF791" s="19">
        <v>1</v>
      </c>
      <c r="AG791" s="2" t="s">
        <v>1573</v>
      </c>
      <c r="AH791" s="183">
        <f t="shared" si="65"/>
        <v>46080</v>
      </c>
      <c r="AI791" s="2"/>
      <c r="AJ791" s="2"/>
      <c r="AK791" s="1888">
        <v>1</v>
      </c>
      <c r="AL791" s="1513"/>
      <c r="AM791" s="1514"/>
      <c r="AN791" s="571"/>
      <c r="AO791" s="571"/>
      <c r="AP791" s="571"/>
      <c r="AQ791" s="513"/>
      <c r="AR791" s="513"/>
      <c r="AS791" s="18"/>
    </row>
    <row r="792" spans="1:45" ht="105.75" customHeight="1">
      <c r="A792" s="16">
        <f>OBRA!J790</f>
        <v>2024</v>
      </c>
      <c r="B792" s="783" t="s">
        <v>3944</v>
      </c>
      <c r="C792" s="783"/>
      <c r="D792" s="24"/>
      <c r="E792" s="2" t="str">
        <f>OBRA!M790</f>
        <v>CUENTA CORRIENTE</v>
      </c>
      <c r="F792" s="511"/>
      <c r="G792" s="156" t="s">
        <v>2861</v>
      </c>
      <c r="H792" s="12" t="str">
        <f>OBRA!N790</f>
        <v>CPSP DOP 020/2024</v>
      </c>
      <c r="I792" s="2" t="str">
        <f>OBRA!O790</f>
        <v>SERVICIOS</v>
      </c>
      <c r="J792" s="1175"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3"/>
      <c r="L792" s="3" t="s">
        <v>68</v>
      </c>
      <c r="M792" s="173" t="s">
        <v>6710</v>
      </c>
      <c r="N792" s="3" t="str">
        <f>OBRA!Q790</f>
        <v>CABECERA MUNICIPAL</v>
      </c>
      <c r="O792" s="504" t="s">
        <v>6751</v>
      </c>
      <c r="P792" s="79">
        <f>OBRA!R790</f>
        <v>30159.999999999996</v>
      </c>
      <c r="Q792" s="1023">
        <f t="shared" si="66"/>
        <v>26000</v>
      </c>
      <c r="R792" s="1023" t="s">
        <v>6723</v>
      </c>
      <c r="S792" s="67">
        <f>OBRA!S790</f>
        <v>45469</v>
      </c>
      <c r="T792" s="1134">
        <f>OBRA!V790</f>
        <v>0</v>
      </c>
      <c r="U792" s="5">
        <f>OBRA!T790</f>
        <v>45470</v>
      </c>
      <c r="V792" s="11">
        <f>OBRA!U790</f>
        <v>45474</v>
      </c>
      <c r="W792" s="1901">
        <v>0</v>
      </c>
      <c r="X792" s="1019">
        <f>OBRA!AS790+OBRA!AT790</f>
        <v>0</v>
      </c>
      <c r="Y792" s="1018" t="s">
        <v>6769</v>
      </c>
      <c r="Z792" s="146" t="str">
        <f>OBRA!W790</f>
        <v>PEDRO MORALES HERNÁNDEZ</v>
      </c>
      <c r="AA792" s="146" t="s">
        <v>5665</v>
      </c>
      <c r="AB792" s="148" t="str">
        <f t="shared" ref="AB792" si="67">Z792</f>
        <v>PEDRO MORALES HERNÁNDEZ</v>
      </c>
      <c r="AC792" s="146" t="s">
        <v>4430</v>
      </c>
      <c r="AD792" s="148" t="s">
        <v>4431</v>
      </c>
      <c r="AE792" s="1771" t="str">
        <f>OBRA!X790</f>
        <v>C. DANIEL RODRIGUEZ VALENZUELA</v>
      </c>
      <c r="AF792" s="19">
        <v>3</v>
      </c>
      <c r="AG792" s="2" t="s">
        <v>6758</v>
      </c>
      <c r="AH792" s="183">
        <f t="shared" si="65"/>
        <v>10053.333333333332</v>
      </c>
      <c r="AI792" s="2"/>
      <c r="AJ792" s="2"/>
      <c r="AK792" s="1888">
        <v>1</v>
      </c>
      <c r="AL792" s="1513"/>
      <c r="AM792" s="1514"/>
      <c r="AN792" s="571"/>
      <c r="AO792" s="571"/>
      <c r="AP792" s="571"/>
      <c r="AQ792" s="513"/>
      <c r="AR792" s="513"/>
      <c r="AS792" s="18"/>
    </row>
    <row r="793" spans="1:45" ht="96.75" customHeight="1">
      <c r="A793" s="16">
        <f>OBRA!J791</f>
        <v>2024</v>
      </c>
      <c r="B793" s="783" t="s">
        <v>3944</v>
      </c>
      <c r="C793" s="783"/>
      <c r="D793" s="24"/>
      <c r="E793" s="2" t="str">
        <f>OBRA!M791</f>
        <v>CUENTA CORRIENTE</v>
      </c>
      <c r="F793" s="511"/>
      <c r="G793" s="156" t="s">
        <v>2861</v>
      </c>
      <c r="H793" s="12" t="str">
        <f>OBRA!N791</f>
        <v>CPSP DOP 021/2024</v>
      </c>
      <c r="I793" s="2" t="str">
        <f>OBRA!O791</f>
        <v>SERVICIOS</v>
      </c>
      <c r="J793" s="1175"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3"/>
      <c r="L793" s="3" t="s">
        <v>4751</v>
      </c>
      <c r="M793" s="173" t="s">
        <v>6695</v>
      </c>
      <c r="N793" s="3" t="str">
        <f>OBRA!Q791</f>
        <v>SAN PEDRO TESISTÁN</v>
      </c>
      <c r="O793" s="504" t="s">
        <v>6752</v>
      </c>
      <c r="P793" s="79">
        <f>OBRA!R791</f>
        <v>31180.799999999999</v>
      </c>
      <c r="Q793" s="1023">
        <f t="shared" ref="Q793:Q798" si="68">P793/1.16</f>
        <v>26880</v>
      </c>
      <c r="R793" s="1023" t="s">
        <v>6723</v>
      </c>
      <c r="S793" s="67">
        <f>OBRA!S791</f>
        <v>45463</v>
      </c>
      <c r="T793" s="1134">
        <f>OBRA!V791</f>
        <v>0</v>
      </c>
      <c r="U793" s="5">
        <f>OBRA!T791</f>
        <v>45464</v>
      </c>
      <c r="V793" s="11">
        <f>OBRA!U791</f>
        <v>45470</v>
      </c>
      <c r="W793" s="1901">
        <v>0</v>
      </c>
      <c r="X793" s="1019">
        <f>OBRA!AS791+OBRA!AT791</f>
        <v>0</v>
      </c>
      <c r="Y793" s="1018" t="s">
        <v>6769</v>
      </c>
      <c r="Z793" s="146" t="str">
        <f>OBRA!W791</f>
        <v>ING. MARCO ANTONIO PAREDES RODRÍGUEZ</v>
      </c>
      <c r="AA793" s="146" t="s">
        <v>5665</v>
      </c>
      <c r="AB793" s="1769" t="s">
        <v>3742</v>
      </c>
      <c r="AC793" s="146" t="s">
        <v>4292</v>
      </c>
      <c r="AD793" s="148" t="s">
        <v>6549</v>
      </c>
      <c r="AE793" s="1771" t="str">
        <f>OBRA!X791</f>
        <v>ING. LUIS RIGOBERTO OLMEDO NAVARRO</v>
      </c>
      <c r="AF793" s="19">
        <v>1</v>
      </c>
      <c r="AG793" s="2" t="s">
        <v>1573</v>
      </c>
      <c r="AH793" s="183">
        <f t="shared" si="65"/>
        <v>31180.799999999999</v>
      </c>
      <c r="AI793" s="2"/>
      <c r="AJ793" s="2"/>
      <c r="AK793" s="1888">
        <v>1</v>
      </c>
      <c r="AL793" s="1513"/>
      <c r="AM793" s="1514"/>
      <c r="AN793" s="571"/>
      <c r="AO793" s="571"/>
      <c r="AP793" s="571"/>
      <c r="AQ793" s="513"/>
      <c r="AR793" s="513"/>
      <c r="AS793" s="18"/>
    </row>
    <row r="794" spans="1:45" ht="140.25" customHeight="1">
      <c r="A794" s="16">
        <f>OBRA!J792</f>
        <v>2024</v>
      </c>
      <c r="B794" s="783" t="s">
        <v>3944</v>
      </c>
      <c r="C794" s="783"/>
      <c r="D794" s="24"/>
      <c r="E794" s="2" t="str">
        <f>OBRA!M792</f>
        <v>CUENTA CORRIENTE</v>
      </c>
      <c r="F794" s="511"/>
      <c r="G794" s="156" t="s">
        <v>2861</v>
      </c>
      <c r="H794" s="12" t="str">
        <f>OBRA!N792</f>
        <v>CPSP DOP 022/2024</v>
      </c>
      <c r="I794" s="2" t="str">
        <f>OBRA!O792</f>
        <v>SERVICIOS</v>
      </c>
      <c r="J794" s="1175"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3"/>
      <c r="L794" s="3" t="s">
        <v>6690</v>
      </c>
      <c r="M794" s="173" t="s">
        <v>2002</v>
      </c>
      <c r="N794" s="3" t="str">
        <f>OBRA!Q792</f>
        <v>CABECERA MUNICIPAL</v>
      </c>
      <c r="O794" s="504" t="s">
        <v>6752</v>
      </c>
      <c r="P794" s="79">
        <f>OBRA!R792</f>
        <v>205842</v>
      </c>
      <c r="Q794" s="1023">
        <f t="shared" si="68"/>
        <v>177450</v>
      </c>
      <c r="R794" s="1023" t="s">
        <v>68</v>
      </c>
      <c r="S794" s="67">
        <f>OBRA!S792</f>
        <v>45502</v>
      </c>
      <c r="T794" s="1134">
        <f>OBRA!V792</f>
        <v>0</v>
      </c>
      <c r="U794" s="5">
        <f>OBRA!T792</f>
        <v>45503</v>
      </c>
      <c r="V794" s="11">
        <f>OBRA!U792</f>
        <v>45517</v>
      </c>
      <c r="W794" s="1901">
        <v>0</v>
      </c>
      <c r="X794" s="1019">
        <f>OBRA!AS792+OBRA!AT792</f>
        <v>0</v>
      </c>
      <c r="Y794" s="1018" t="s">
        <v>6769</v>
      </c>
      <c r="Z794" s="146" t="str">
        <f>OBRA!W792</f>
        <v>C. CESAR EDUARDO LOMELÍ VALDÉZ</v>
      </c>
      <c r="AA794" s="146" t="s">
        <v>5665</v>
      </c>
      <c r="AB794" s="148" t="s">
        <v>6734</v>
      </c>
      <c r="AC794" s="146" t="s">
        <v>6735</v>
      </c>
      <c r="AD794" s="148" t="s">
        <v>6736</v>
      </c>
      <c r="AE794" s="1771" t="str">
        <f>OBRA!X792</f>
        <v>ARQ. JAIME CONDE GOMEZ</v>
      </c>
      <c r="AF794" s="19">
        <v>1</v>
      </c>
      <c r="AG794" s="2" t="s">
        <v>1573</v>
      </c>
      <c r="AH794" s="183">
        <f t="shared" si="65"/>
        <v>205842</v>
      </c>
      <c r="AI794" s="2"/>
      <c r="AJ794" s="2"/>
      <c r="AK794" s="1888">
        <v>1</v>
      </c>
      <c r="AL794" s="1513"/>
      <c r="AM794" s="1514"/>
      <c r="AN794" s="571"/>
      <c r="AO794" s="571"/>
      <c r="AP794" s="571"/>
      <c r="AQ794" s="513"/>
      <c r="AR794" s="513"/>
      <c r="AS794" s="18"/>
    </row>
    <row r="795" spans="1:45" ht="97.5" customHeight="1">
      <c r="A795" s="16">
        <f>OBRA!J793</f>
        <v>2024</v>
      </c>
      <c r="B795" s="783" t="s">
        <v>3944</v>
      </c>
      <c r="C795" s="783"/>
      <c r="D795" s="24"/>
      <c r="E795" s="2" t="str">
        <f>OBRA!M793</f>
        <v>CUENTA CORRIENTE</v>
      </c>
      <c r="F795" s="511"/>
      <c r="G795" s="156" t="s">
        <v>2861</v>
      </c>
      <c r="H795" s="12" t="str">
        <f>OBRA!N793</f>
        <v>CPSP DOP 023/2024</v>
      </c>
      <c r="I795" s="2" t="str">
        <f>OBRA!O793</f>
        <v>SERVICIOS</v>
      </c>
      <c r="J795" s="3" t="str">
        <f>OBRA!P793</f>
        <v>CONTRATACIÓN DEL SERVICIO PARA LOS TRÁMITES DE GESTORÍA PARA EL AUMENTO DE CARGA DEL POZO DE AGUA POTABLE UBICASO EN PRIV. JUAN PABLO II, EN LA LOCALIDAD DE SAN JUAN COSALÁ, MUNICIPIO DE JOCOTEPEC, JALISCO.</v>
      </c>
      <c r="K795" s="3"/>
      <c r="L795" s="3" t="s">
        <v>6690</v>
      </c>
      <c r="M795" s="173" t="s">
        <v>4822</v>
      </c>
      <c r="N795" s="3" t="str">
        <f>OBRA!Q793</f>
        <v>SAN JUAN COSALÁ</v>
      </c>
      <c r="O795" s="504" t="s">
        <v>6752</v>
      </c>
      <c r="P795" s="79">
        <f>OBRA!R793</f>
        <v>28419.999999999996</v>
      </c>
      <c r="Q795" s="1023">
        <f t="shared" si="68"/>
        <v>24500</v>
      </c>
      <c r="R795" s="1023" t="s">
        <v>68</v>
      </c>
      <c r="S795" s="67">
        <f>OBRA!S793</f>
        <v>45520</v>
      </c>
      <c r="T795" s="1134">
        <f>OBRA!V793</f>
        <v>0</v>
      </c>
      <c r="U795" s="5">
        <f>OBRA!T793</f>
        <v>45524</v>
      </c>
      <c r="V795" s="11">
        <f>OBRA!U793</f>
        <v>45530</v>
      </c>
      <c r="W795" s="1901">
        <v>0</v>
      </c>
      <c r="X795" s="1019">
        <f>OBRA!AS793+OBRA!AT793</f>
        <v>0</v>
      </c>
      <c r="Y795" s="1018" t="s">
        <v>6769</v>
      </c>
      <c r="Z795" s="146" t="str">
        <f>OBRA!W793</f>
        <v>C. CESAR EDUARDO LOMELÍ VALDÉZ</v>
      </c>
      <c r="AA795" s="146" t="s">
        <v>5665</v>
      </c>
      <c r="AB795" s="148" t="s">
        <v>6734</v>
      </c>
      <c r="AC795" s="146" t="s">
        <v>6735</v>
      </c>
      <c r="AD795" s="148" t="s">
        <v>6736</v>
      </c>
      <c r="AE795" s="1771" t="str">
        <f>OBRA!X793</f>
        <v>C. IMELDA KARINA PÉREZ GONZÁLEZ</v>
      </c>
      <c r="AF795" s="19">
        <v>1</v>
      </c>
      <c r="AG795" s="2" t="s">
        <v>1573</v>
      </c>
      <c r="AH795" s="183">
        <f t="shared" si="65"/>
        <v>28419.999999999996</v>
      </c>
      <c r="AI795" s="2"/>
      <c r="AJ795" s="2"/>
      <c r="AK795" s="1888">
        <v>1</v>
      </c>
      <c r="AL795" s="1513"/>
      <c r="AM795" s="1514"/>
      <c r="AN795" s="571"/>
      <c r="AO795" s="571"/>
      <c r="AP795" s="571"/>
      <c r="AQ795" s="513"/>
      <c r="AR795" s="513"/>
      <c r="AS795" s="18"/>
    </row>
    <row r="796" spans="1:45" ht="73.5" customHeight="1">
      <c r="A796" s="16">
        <f>OBRA!J794</f>
        <v>2024</v>
      </c>
      <c r="B796" s="783" t="s">
        <v>3944</v>
      </c>
      <c r="C796" s="783"/>
      <c r="D796" s="24"/>
      <c r="E796" s="2" t="str">
        <f>OBRA!M794</f>
        <v>CUENTA CORRIENTE</v>
      </c>
      <c r="F796" s="511"/>
      <c r="G796" s="156" t="s">
        <v>2861</v>
      </c>
      <c r="H796" s="12" t="str">
        <f>OBRA!N794</f>
        <v>CPSP DOP 024/2024</v>
      </c>
      <c r="I796" s="2" t="str">
        <f>OBRA!O794</f>
        <v>SERVICIOS</v>
      </c>
      <c r="J796" s="3" t="str">
        <f>OBRA!P794</f>
        <v>CONTRATACIÓN DE SERVICIO PARA REALIZAR ESTUDIO DE MATERIALES PARA LA BASE HIDRÁULICA EN CALLE MATAMOROS SUR, EN LA CABECERA MUNICIPAL DE JOCOTEPEC, JALISCO.</v>
      </c>
      <c r="K796" s="3"/>
      <c r="L796" s="3" t="s">
        <v>4752</v>
      </c>
      <c r="M796" s="173" t="s">
        <v>6711</v>
      </c>
      <c r="N796" s="3" t="str">
        <f>OBRA!Q794</f>
        <v>CABECERA MUNICIPAL</v>
      </c>
      <c r="O796" s="504" t="s">
        <v>6752</v>
      </c>
      <c r="P796" s="79">
        <f>OBRA!R794</f>
        <v>13919.999999999998</v>
      </c>
      <c r="Q796" s="1023">
        <f t="shared" si="68"/>
        <v>12000</v>
      </c>
      <c r="R796" s="1023" t="s">
        <v>68</v>
      </c>
      <c r="S796" s="67">
        <f>OBRA!S794</f>
        <v>45520</v>
      </c>
      <c r="T796" s="1134">
        <f>OBRA!V794</f>
        <v>0</v>
      </c>
      <c r="U796" s="5">
        <f>OBRA!T794</f>
        <v>45523</v>
      </c>
      <c r="V796" s="11">
        <f>OBRA!U794</f>
        <v>45524</v>
      </c>
      <c r="W796" s="1901">
        <v>0</v>
      </c>
      <c r="X796" s="1019">
        <f>OBRA!AS794+OBRA!AT794</f>
        <v>0</v>
      </c>
      <c r="Y796" s="1018" t="s">
        <v>6769</v>
      </c>
      <c r="Z796" s="146" t="str">
        <f>OBRA!W794</f>
        <v>ECCOC DE GUADALAJARA, S.A. DE C.V.</v>
      </c>
      <c r="AA796" s="146"/>
      <c r="AB796" s="1769" t="s">
        <v>4500</v>
      </c>
      <c r="AC796" s="1770" t="s">
        <v>4430</v>
      </c>
      <c r="AD796" s="1769" t="s">
        <v>6763</v>
      </c>
      <c r="AE796" s="1771" t="str">
        <f>OBRA!X794</f>
        <v>C. IMELDA KARINA PÉREZ GONZÁLEZ</v>
      </c>
      <c r="AF796" s="19">
        <v>1</v>
      </c>
      <c r="AG796" s="2" t="s">
        <v>6758</v>
      </c>
      <c r="AH796" s="183">
        <f t="shared" si="65"/>
        <v>13919.999999999998</v>
      </c>
      <c r="AI796" s="2"/>
      <c r="AJ796" s="2"/>
      <c r="AK796" s="1888">
        <v>1</v>
      </c>
      <c r="AL796" s="1513"/>
      <c r="AM796" s="1514"/>
      <c r="AN796" s="571"/>
      <c r="AO796" s="571"/>
      <c r="AP796" s="571"/>
      <c r="AQ796" s="513"/>
      <c r="AR796" s="513"/>
      <c r="AS796" s="18"/>
    </row>
    <row r="797" spans="1:45" ht="123" customHeight="1">
      <c r="A797" s="16">
        <f>OBRA!J795</f>
        <v>2024</v>
      </c>
      <c r="B797" s="783" t="s">
        <v>3944</v>
      </c>
      <c r="C797" s="783"/>
      <c r="D797" s="24"/>
      <c r="E797" s="2" t="str">
        <f>OBRA!M795</f>
        <v>CUENTA CORRIENTE</v>
      </c>
      <c r="F797" s="511"/>
      <c r="G797" s="156" t="s">
        <v>2861</v>
      </c>
      <c r="H797" s="12" t="str">
        <f>OBRA!N795</f>
        <v>CPSP DOP 025/2024</v>
      </c>
      <c r="I797" s="2" t="str">
        <f>OBRA!O795</f>
        <v>SERVICIOS</v>
      </c>
      <c r="J797"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3"/>
      <c r="L797" s="3" t="s">
        <v>4751</v>
      </c>
      <c r="M797" s="173" t="s">
        <v>6695</v>
      </c>
      <c r="N797" s="3" t="str">
        <f>OBRA!Q795</f>
        <v>SAN PEDRO TESISTÁN</v>
      </c>
      <c r="O797" s="504" t="s">
        <v>6752</v>
      </c>
      <c r="P797" s="79">
        <f>OBRA!R795</f>
        <v>32479.999999999996</v>
      </c>
      <c r="Q797" s="1023">
        <f t="shared" si="68"/>
        <v>28000</v>
      </c>
      <c r="R797" s="1023" t="s">
        <v>68</v>
      </c>
      <c r="S797" s="67">
        <f>OBRA!S795</f>
        <v>45533</v>
      </c>
      <c r="T797" s="1134">
        <f>OBRA!V795</f>
        <v>0</v>
      </c>
      <c r="U797" s="5">
        <f>OBRA!T795</f>
        <v>45537</v>
      </c>
      <c r="V797" s="11">
        <f>OBRA!U795</f>
        <v>45538</v>
      </c>
      <c r="W797" s="1901">
        <v>0</v>
      </c>
      <c r="X797" s="1019">
        <f>OBRA!AS795+OBRA!AT795</f>
        <v>0</v>
      </c>
      <c r="Y797" s="1018" t="s">
        <v>6769</v>
      </c>
      <c r="Z797" s="146" t="str">
        <f>OBRA!W795</f>
        <v>ING. MARCO ANTONIO PAREDES RODRÍGUEZ</v>
      </c>
      <c r="AA797" s="146" t="s">
        <v>5665</v>
      </c>
      <c r="AB797" s="1769" t="s">
        <v>3742</v>
      </c>
      <c r="AC797" s="146" t="s">
        <v>4292</v>
      </c>
      <c r="AD797" s="148" t="s">
        <v>6549</v>
      </c>
      <c r="AE797" s="1771" t="str">
        <f>OBRA!X795</f>
        <v>C. IMELDA KARINA PÉREZ GONZÁLEZ</v>
      </c>
      <c r="AF797" s="19">
        <v>1</v>
      </c>
      <c r="AG797" s="2" t="s">
        <v>6758</v>
      </c>
      <c r="AH797" s="183">
        <f t="shared" si="65"/>
        <v>32479.999999999996</v>
      </c>
      <c r="AI797" s="2"/>
      <c r="AJ797" s="2"/>
      <c r="AK797" s="2"/>
      <c r="AL797" s="1513"/>
      <c r="AM797" s="1514"/>
      <c r="AN797" s="571"/>
      <c r="AO797" s="571"/>
      <c r="AP797" s="571"/>
      <c r="AQ797" s="513"/>
      <c r="AR797" s="513"/>
      <c r="AS797" s="18"/>
    </row>
    <row r="798" spans="1:45" ht="130.5" customHeight="1">
      <c r="A798" s="16">
        <f>OBRA!J796</f>
        <v>2024</v>
      </c>
      <c r="B798" s="783" t="s">
        <v>3944</v>
      </c>
      <c r="C798" s="783"/>
      <c r="D798" s="24"/>
      <c r="E798" s="2" t="str">
        <f>OBRA!M796</f>
        <v>CUENTA CORRIENTE</v>
      </c>
      <c r="F798" s="511"/>
      <c r="G798" s="156" t="s">
        <v>2861</v>
      </c>
      <c r="H798" s="12" t="str">
        <f>OBRA!N796</f>
        <v>CPSP DOP 026/2024</v>
      </c>
      <c r="I798" s="2" t="str">
        <f>OBRA!O796</f>
        <v>SERVICIOS</v>
      </c>
      <c r="J798"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3"/>
      <c r="L798" s="3" t="s">
        <v>4751</v>
      </c>
      <c r="M798" s="173" t="s">
        <v>4799</v>
      </c>
      <c r="N798" s="3" t="str">
        <f>OBRA!Q796</f>
        <v>CABECERA MUNICIPAL</v>
      </c>
      <c r="O798" s="504" t="s">
        <v>6752</v>
      </c>
      <c r="P798" s="79">
        <f>OBRA!R796</f>
        <v>30125.199999999997</v>
      </c>
      <c r="Q798" s="1023">
        <f t="shared" si="68"/>
        <v>25970</v>
      </c>
      <c r="R798" s="1023" t="s">
        <v>68</v>
      </c>
      <c r="S798" s="67">
        <f>OBRA!S796</f>
        <v>45533</v>
      </c>
      <c r="T798" s="1134">
        <f>OBRA!V796</f>
        <v>0</v>
      </c>
      <c r="U798" s="5">
        <f>OBRA!T796</f>
        <v>45539</v>
      </c>
      <c r="V798" s="11">
        <f>OBRA!U796</f>
        <v>45540</v>
      </c>
      <c r="W798" s="1901">
        <v>0</v>
      </c>
      <c r="X798" s="1019">
        <f>OBRA!AS796+OBRA!AT796</f>
        <v>0</v>
      </c>
      <c r="Y798" s="1018" t="s">
        <v>6769</v>
      </c>
      <c r="Z798" s="146" t="str">
        <f>OBRA!W796</f>
        <v>ING. MARCO ANTONIO PAREDES RODRÍGUEZ</v>
      </c>
      <c r="AA798" s="146" t="s">
        <v>5665</v>
      </c>
      <c r="AB798" s="1769" t="s">
        <v>3742</v>
      </c>
      <c r="AC798" s="146" t="s">
        <v>4292</v>
      </c>
      <c r="AD798" s="148" t="s">
        <v>6549</v>
      </c>
      <c r="AE798" s="1771" t="str">
        <f>OBRA!X796</f>
        <v>C. IMELDA KARINA PÉREZ GONZÁLEZ</v>
      </c>
      <c r="AF798" s="19">
        <v>1</v>
      </c>
      <c r="AG798" s="2" t="s">
        <v>6758</v>
      </c>
      <c r="AH798" s="183">
        <f t="shared" si="65"/>
        <v>30125.199999999997</v>
      </c>
      <c r="AI798" s="2"/>
      <c r="AJ798" s="2"/>
      <c r="AK798" s="2"/>
      <c r="AL798" s="1513"/>
      <c r="AM798" s="1514"/>
      <c r="AN798" s="571"/>
      <c r="AO798" s="571"/>
      <c r="AP798" s="571"/>
      <c r="AQ798" s="513"/>
      <c r="AR798" s="513"/>
      <c r="AS798" s="18"/>
    </row>
    <row r="799" spans="1:45" ht="87" customHeight="1">
      <c r="A799" s="16">
        <f>OBRA!J797</f>
        <v>2024</v>
      </c>
      <c r="B799" s="783" t="s">
        <v>3944</v>
      </c>
      <c r="C799" s="783">
        <f>OBRA!K797</f>
        <v>243001</v>
      </c>
      <c r="D799" s="24" t="s">
        <v>2310</v>
      </c>
      <c r="E799" s="2" t="str">
        <f>OBRA!M797</f>
        <v>CUENTA CORRIENTE</v>
      </c>
      <c r="F799" s="511"/>
      <c r="G799" s="156" t="s">
        <v>2861</v>
      </c>
      <c r="H799" s="12" t="str">
        <f>OBRA!N797</f>
        <v>C- OP 001/2024</v>
      </c>
      <c r="I799" s="2" t="str">
        <f>OBRA!O797</f>
        <v>ARRENDAMIENTO</v>
      </c>
      <c r="J799" s="3" t="str">
        <f>OBRA!P797</f>
        <v>RENTA DE UNA EXCAVADORA SOBRE ORUGAS CATERPILLAR 336E Y CAMIÓN DE VOLTEO DE 14M3, PARA LA LIMPIEZA A LA ORILLA DE LA PLAYA EN LA ZONA DEL MALECÓN DE SAN JUAN COSALÁ, MUNICIPIO DE JOCOTEPEC, JALISCO.</v>
      </c>
      <c r="K799" s="3"/>
      <c r="L799" s="3" t="s">
        <v>4806</v>
      </c>
      <c r="M799" s="173" t="s">
        <v>4806</v>
      </c>
      <c r="N799" s="3" t="str">
        <f>OBRA!Q797</f>
        <v>SAN JUAN COSALÁ</v>
      </c>
      <c r="O799" s="504" t="s">
        <v>6753</v>
      </c>
      <c r="P799" s="79">
        <f>OBRA!R797</f>
        <v>3943.9999999999995</v>
      </c>
      <c r="Q799" s="1023">
        <f t="shared" si="62"/>
        <v>3400</v>
      </c>
      <c r="R799" s="1023" t="s">
        <v>2294</v>
      </c>
      <c r="S799" s="67">
        <f>OBRA!S797</f>
        <v>45341</v>
      </c>
      <c r="T799" s="1134">
        <f>OBRA!V797</f>
        <v>0</v>
      </c>
      <c r="U799" s="5">
        <f>OBRA!T797</f>
        <v>45343</v>
      </c>
      <c r="V799" s="11">
        <f>OBRA!U797</f>
        <v>45349</v>
      </c>
      <c r="W799" s="1901">
        <v>0</v>
      </c>
      <c r="X799" s="1019">
        <f>OBRA!AS797+OBRA!AT797</f>
        <v>0</v>
      </c>
      <c r="Y799" s="1018" t="s">
        <v>6770</v>
      </c>
      <c r="Z799" s="146" t="str">
        <f>OBRA!W797</f>
        <v>ING. SERGIO CABRERA</v>
      </c>
      <c r="AA799" s="146" t="s">
        <v>5665</v>
      </c>
      <c r="AB799" s="1769" t="s">
        <v>4444</v>
      </c>
      <c r="AC799" s="146" t="s">
        <v>1922</v>
      </c>
      <c r="AD799" s="148" t="s">
        <v>6046</v>
      </c>
      <c r="AE799" s="1771" t="str">
        <f>OBRA!X797</f>
        <v>ING. LUIS RIGOBERTO OLMEDO NAVARRO</v>
      </c>
      <c r="AF799" s="19">
        <v>2</v>
      </c>
      <c r="AG799" s="2" t="s">
        <v>6756</v>
      </c>
      <c r="AH799" s="183">
        <f t="shared" si="65"/>
        <v>1971.9999999999998</v>
      </c>
      <c r="AI799" s="2"/>
      <c r="AJ799" s="513"/>
      <c r="AK799" s="1888">
        <v>1</v>
      </c>
      <c r="AL799" s="1513"/>
      <c r="AM799" s="1514"/>
      <c r="AN799" s="571"/>
      <c r="AO799" s="571"/>
      <c r="AP799" s="571"/>
      <c r="AQ799" s="513"/>
      <c r="AR799" s="513"/>
      <c r="AS799" s="18"/>
    </row>
    <row r="800" spans="1:45" ht="88.5" customHeight="1">
      <c r="A800" s="16">
        <f>OBRA!J798</f>
        <v>2024</v>
      </c>
      <c r="B800" s="783" t="s">
        <v>3944</v>
      </c>
      <c r="C800" s="783">
        <f>OBRA!K798</f>
        <v>243002</v>
      </c>
      <c r="D800" s="24" t="s">
        <v>2310</v>
      </c>
      <c r="E800" s="2" t="str">
        <f>OBRA!M798</f>
        <v>CUENTA CORRIENTE</v>
      </c>
      <c r="F800" s="511"/>
      <c r="G800" s="156" t="s">
        <v>2861</v>
      </c>
      <c r="H800" s="12" t="str">
        <f>OBRA!N798</f>
        <v>C- OP 002/2024</v>
      </c>
      <c r="I800" s="2" t="str">
        <f>OBRA!O798</f>
        <v>ARRENDAMIENTO</v>
      </c>
      <c r="J800" s="3" t="str">
        <f>OBRA!P798</f>
        <v>RENTA DE UNA MOTOCONFORMADORA CATERPILLAR 160 Y UNA PIPA DE 10,000 LITROS MARCA INTERNATIONAL, PARA LA CONFORMACIÓN DE BASE EN CALLE COLÓN SUR, EN LA CABECERA MUNICIPAL DE JOCOTEPEC, JALISCO.</v>
      </c>
      <c r="K800" s="3"/>
      <c r="L800" s="3" t="s">
        <v>4752</v>
      </c>
      <c r="M800" s="173" t="s">
        <v>5344</v>
      </c>
      <c r="N800" s="3" t="str">
        <f>OBRA!Q798</f>
        <v>CABECERA MUNICIPAL</v>
      </c>
      <c r="O800" s="504" t="s">
        <v>6753</v>
      </c>
      <c r="P800" s="79">
        <f>OBRA!R798</f>
        <v>2204</v>
      </c>
      <c r="Q800" s="1023">
        <f t="shared" si="62"/>
        <v>1900.0000000000002</v>
      </c>
      <c r="R800" s="1023" t="s">
        <v>2294</v>
      </c>
      <c r="S800" s="67">
        <f>OBRA!S798</f>
        <v>45345</v>
      </c>
      <c r="T800" s="1134">
        <f>OBRA!V798</f>
        <v>0</v>
      </c>
      <c r="U800" s="5">
        <f>OBRA!T798</f>
        <v>45348</v>
      </c>
      <c r="V800" s="11">
        <f>OBRA!U798</f>
        <v>45350</v>
      </c>
      <c r="W800" s="1901">
        <v>0</v>
      </c>
      <c r="X800" s="1019">
        <f>OBRA!AS798+OBRA!AT798</f>
        <v>0</v>
      </c>
      <c r="Y800" s="1018" t="s">
        <v>6770</v>
      </c>
      <c r="Z800" s="146" t="str">
        <f>OBRA!W798</f>
        <v>ING. SERGIO CABRERA</v>
      </c>
      <c r="AA800" s="146" t="s">
        <v>5665</v>
      </c>
      <c r="AB800" s="1769" t="s">
        <v>4444</v>
      </c>
      <c r="AC800" s="146" t="s">
        <v>1922</v>
      </c>
      <c r="AD800" s="148" t="s">
        <v>6046</v>
      </c>
      <c r="AE800" s="1771" t="str">
        <f>OBRA!X798</f>
        <v>C. IMELDA KARINA PÉREZ GONZÁLEZ</v>
      </c>
      <c r="AF800" s="19">
        <v>2</v>
      </c>
      <c r="AG800" s="2" t="s">
        <v>6756</v>
      </c>
      <c r="AH800" s="183">
        <f t="shared" si="65"/>
        <v>1102</v>
      </c>
      <c r="AI800" s="2"/>
      <c r="AJ800" s="513"/>
      <c r="AK800" s="1888">
        <v>1</v>
      </c>
      <c r="AL800" s="1513"/>
      <c r="AM800" s="1514"/>
      <c r="AN800" s="571"/>
      <c r="AO800" s="571"/>
      <c r="AP800" s="571"/>
      <c r="AQ800" s="513"/>
      <c r="AR800" s="513"/>
      <c r="AS800" s="18"/>
    </row>
    <row r="801" spans="1:45" ht="96" customHeight="1">
      <c r="A801" s="16">
        <f>OBRA!J799</f>
        <v>2024</v>
      </c>
      <c r="B801" s="783" t="s">
        <v>3944</v>
      </c>
      <c r="C801" s="783">
        <f>OBRA!K799</f>
        <v>243003</v>
      </c>
      <c r="D801" s="24" t="s">
        <v>2310</v>
      </c>
      <c r="E801" s="2" t="str">
        <f>OBRA!M799</f>
        <v>CUENTA CORRIENTE</v>
      </c>
      <c r="F801" s="511"/>
      <c r="G801" s="156" t="s">
        <v>2861</v>
      </c>
      <c r="H801" s="12" t="str">
        <f>OBRA!N799</f>
        <v>C- OP 003/2024</v>
      </c>
      <c r="I801" s="2" t="str">
        <f>OBRA!O799</f>
        <v>ARRENDAMIENTO</v>
      </c>
      <c r="J801" s="3" t="str">
        <f>OBRA!P799</f>
        <v>RENTA DE UNA RETROEXCAVADORA CARTEPILLAR 416E, PARA RECONEXIÓN DE DESCARGA DOMICILIARÍA EN TELESECUNDARÍA ENTRE CALLE ZARAGOZA Y VICENTE GUERRERO", EN LA LOCALIDAD DE ZAPOTITÁN DE HIDALGO, DEL MUNICIPIO DE JOCOTEPEC, JALISCO.</v>
      </c>
      <c r="K801" s="3"/>
      <c r="L801" s="3" t="s">
        <v>4747</v>
      </c>
      <c r="M801" s="173" t="s">
        <v>6712</v>
      </c>
      <c r="N801" s="3" t="str">
        <f>OBRA!Q799</f>
        <v>ZAPOTITÁN DE HIDALGO</v>
      </c>
      <c r="O801" s="504" t="s">
        <v>6753</v>
      </c>
      <c r="P801" s="79">
        <f>OBRA!R799</f>
        <v>696</v>
      </c>
      <c r="Q801" s="1023">
        <f t="shared" si="62"/>
        <v>600</v>
      </c>
      <c r="R801" s="1023" t="s">
        <v>2294</v>
      </c>
      <c r="S801" s="67">
        <f>OBRA!S799</f>
        <v>45345</v>
      </c>
      <c r="T801" s="1134">
        <f>OBRA!V799</f>
        <v>0</v>
      </c>
      <c r="U801" s="5">
        <f>OBRA!T799</f>
        <v>45348</v>
      </c>
      <c r="V801" s="11">
        <f>OBRA!U799</f>
        <v>45353</v>
      </c>
      <c r="W801" s="1901">
        <v>0</v>
      </c>
      <c r="X801" s="1019">
        <f>OBRA!AS799+OBRA!AT799</f>
        <v>0</v>
      </c>
      <c r="Y801" s="1018" t="s">
        <v>6770</v>
      </c>
      <c r="Z801" s="146" t="str">
        <f>OBRA!W799</f>
        <v xml:space="preserve">DORIA &amp; SAMPIER CONSTRUCTORA, S.A. DE C.V. </v>
      </c>
      <c r="AA801" s="146" t="s">
        <v>5666</v>
      </c>
      <c r="AB801" s="1769" t="s">
        <v>5607</v>
      </c>
      <c r="AC801" s="1770" t="s">
        <v>4401</v>
      </c>
      <c r="AD801" s="148" t="s">
        <v>6552</v>
      </c>
      <c r="AE801" s="1771" t="str">
        <f>OBRA!X799</f>
        <v>C. IMELDA KARINA PÉREZ GONZÁLEZ</v>
      </c>
      <c r="AF801" s="19">
        <v>1</v>
      </c>
      <c r="AG801" s="2" t="s">
        <v>6756</v>
      </c>
      <c r="AH801" s="183">
        <f t="shared" si="65"/>
        <v>696</v>
      </c>
      <c r="AI801" s="2"/>
      <c r="AJ801" s="513"/>
      <c r="AK801" s="1888">
        <v>1</v>
      </c>
      <c r="AL801" s="1513"/>
      <c r="AM801" s="1514"/>
      <c r="AN801" s="571"/>
      <c r="AO801" s="571"/>
      <c r="AP801" s="571"/>
      <c r="AQ801" s="513"/>
      <c r="AR801" s="513"/>
      <c r="AS801" s="18"/>
    </row>
    <row r="802" spans="1:45" ht="76.5" customHeight="1">
      <c r="A802" s="16">
        <f>OBRA!J800</f>
        <v>2024</v>
      </c>
      <c r="B802" s="783" t="s">
        <v>3944</v>
      </c>
      <c r="C802" s="783">
        <f>OBRA!K800</f>
        <v>243004</v>
      </c>
      <c r="D802" s="24" t="s">
        <v>2310</v>
      </c>
      <c r="E802" s="2" t="str">
        <f>OBRA!M800</f>
        <v>CUENTA CORRIENTE</v>
      </c>
      <c r="F802" s="511"/>
      <c r="G802" s="156" t="s">
        <v>2861</v>
      </c>
      <c r="H802" s="12" t="str">
        <f>OBRA!N800</f>
        <v>C- OP 004/2024</v>
      </c>
      <c r="I802" s="2" t="str">
        <f>OBRA!O800</f>
        <v>ARRENDAMIENTO</v>
      </c>
      <c r="J802" s="3" t="str">
        <f>OBRA!P800</f>
        <v>RENTA DE UNA EXCAVADORA JOHN DEER 200B, RETROEXCAVADORA JCV 214E, 4 CAMIONES DE VOLTEO FREIGHLINER DE 14 M3, PARA LA LIMPIEZA DE LA PLAYA EN LA ZONA DEL EMBARCADERO DEL MALECÓN DE JOCOTEPEC, JALISCO.</v>
      </c>
      <c r="K802" s="3"/>
      <c r="L802" s="3" t="s">
        <v>4806</v>
      </c>
      <c r="M802" s="173" t="s">
        <v>4806</v>
      </c>
      <c r="N802" s="3" t="str">
        <f>OBRA!Q800</f>
        <v>CABECERA MUNICIPAL</v>
      </c>
      <c r="O802" s="504" t="s">
        <v>6753</v>
      </c>
      <c r="P802" s="79">
        <f>OBRA!R800</f>
        <v>4292</v>
      </c>
      <c r="Q802" s="1023">
        <f t="shared" si="62"/>
        <v>3700.0000000000005</v>
      </c>
      <c r="R802" s="1023" t="s">
        <v>6725</v>
      </c>
      <c r="S802" s="67">
        <f>OBRA!S800</f>
        <v>45363</v>
      </c>
      <c r="T802" s="1134">
        <f>OBRA!V800</f>
        <v>0</v>
      </c>
      <c r="U802" s="5">
        <f>OBRA!T800</f>
        <v>45365</v>
      </c>
      <c r="V802" s="11">
        <f>OBRA!U800</f>
        <v>45372</v>
      </c>
      <c r="W802" s="1901">
        <v>0</v>
      </c>
      <c r="X802" s="1019">
        <f>OBRA!AS800+OBRA!AT800</f>
        <v>0</v>
      </c>
      <c r="Y802" s="1018" t="s">
        <v>6770</v>
      </c>
      <c r="Z802" s="146" t="str">
        <f>OBRA!W800</f>
        <v>C. URIEL PALOS VACA</v>
      </c>
      <c r="AA802" s="146" t="s">
        <v>5665</v>
      </c>
      <c r="AB802" s="148" t="s">
        <v>3760</v>
      </c>
      <c r="AC802" s="146" t="s">
        <v>4494</v>
      </c>
      <c r="AD802" s="148" t="s">
        <v>6737</v>
      </c>
      <c r="AE802" s="1771" t="str">
        <f>OBRA!X800</f>
        <v>C. IMELDA KARINA PÉREZ GONZÁLEZ</v>
      </c>
      <c r="AF802" s="19">
        <v>6</v>
      </c>
      <c r="AG802" s="2" t="s">
        <v>6756</v>
      </c>
      <c r="AH802" s="183">
        <f t="shared" si="65"/>
        <v>715.33333333333337</v>
      </c>
      <c r="AI802" s="2"/>
      <c r="AJ802" s="513"/>
      <c r="AK802" s="1888">
        <v>1</v>
      </c>
      <c r="AL802" s="1513"/>
      <c r="AM802" s="1514"/>
      <c r="AN802" s="571"/>
      <c r="AO802" s="571"/>
      <c r="AP802" s="571"/>
      <c r="AQ802" s="513"/>
      <c r="AR802" s="513"/>
      <c r="AS802" s="18"/>
    </row>
    <row r="803" spans="1:45" ht="84.75" customHeight="1">
      <c r="A803" s="16">
        <f>OBRA!J801</f>
        <v>2024</v>
      </c>
      <c r="B803" s="783" t="s">
        <v>3944</v>
      </c>
      <c r="C803" s="783">
        <f>OBRA!K801</f>
        <v>243005</v>
      </c>
      <c r="D803" s="24" t="s">
        <v>2310</v>
      </c>
      <c r="E803" s="2" t="str">
        <f>OBRA!M801</f>
        <v>CUENTA CORRIENTE</v>
      </c>
      <c r="F803" s="511"/>
      <c r="G803" s="156" t="s">
        <v>2861</v>
      </c>
      <c r="H803" s="12" t="str">
        <f>OBRA!N801</f>
        <v>C- OP 005/2024</v>
      </c>
      <c r="I803" s="2" t="str">
        <f>OBRA!O801</f>
        <v>ARRENDAMIENTO</v>
      </c>
      <c r="J803" s="3" t="str">
        <f>OBRA!P801</f>
        <v>RENTA DE UNA EXCAVADORA SOBRE ORUGAS CATERPILLAR 336E Y CAMIÓN DE VOLTEO DE 14M3, PARA LA LIMPIEZA A LA ORILLA DE LA PLAYA EN LA ZONA DEL MALECÓN DE SAN CRISTÓBAL ZAPOTITLÁN, MUNICIPIO DE JOCOTEPEC, JALISCO</v>
      </c>
      <c r="K803" s="3"/>
      <c r="L803" s="3" t="s">
        <v>4806</v>
      </c>
      <c r="M803" s="173" t="s">
        <v>4806</v>
      </c>
      <c r="N803" s="3" t="str">
        <f>OBRA!Q801</f>
        <v>SAN CRISTÓBAL ZAPOTITLÁN</v>
      </c>
      <c r="O803" s="504" t="s">
        <v>6753</v>
      </c>
      <c r="P803" s="79">
        <f>OBRA!R801</f>
        <v>3711.9999999999995</v>
      </c>
      <c r="Q803" s="1023">
        <f t="shared" si="62"/>
        <v>3200</v>
      </c>
      <c r="R803" s="1023" t="s">
        <v>2294</v>
      </c>
      <c r="S803" s="67">
        <f>OBRA!S801</f>
        <v>45362</v>
      </c>
      <c r="T803" s="1134">
        <f>OBRA!V801</f>
        <v>0</v>
      </c>
      <c r="U803" s="5">
        <f>OBRA!T801</f>
        <v>45363</v>
      </c>
      <c r="V803" s="11">
        <f>OBRA!U801</f>
        <v>45367</v>
      </c>
      <c r="W803" s="1901">
        <v>0</v>
      </c>
      <c r="X803" s="1019">
        <f>OBRA!AS801+OBRA!AT801</f>
        <v>0</v>
      </c>
      <c r="Y803" s="1018" t="s">
        <v>6770</v>
      </c>
      <c r="Z803" s="146" t="str">
        <f>OBRA!W801</f>
        <v>ING. SERGIO CABRERA</v>
      </c>
      <c r="AA803" s="146" t="s">
        <v>5665</v>
      </c>
      <c r="AB803" s="1769" t="s">
        <v>4444</v>
      </c>
      <c r="AC803" s="146" t="s">
        <v>1922</v>
      </c>
      <c r="AD803" s="148" t="s">
        <v>6046</v>
      </c>
      <c r="AE803" s="1771" t="str">
        <f>OBRA!X801</f>
        <v>C. IMELDA KARINA PÉREZ GONZÁLEZ</v>
      </c>
      <c r="AF803" s="19">
        <v>2</v>
      </c>
      <c r="AG803" s="2" t="s">
        <v>6756</v>
      </c>
      <c r="AH803" s="183">
        <f t="shared" si="65"/>
        <v>1855.9999999999998</v>
      </c>
      <c r="AI803" s="2"/>
      <c r="AJ803" s="513"/>
      <c r="AK803" s="1888">
        <v>1</v>
      </c>
      <c r="AL803" s="1513"/>
      <c r="AM803" s="1514"/>
      <c r="AN803" s="571"/>
      <c r="AO803" s="571"/>
      <c r="AP803" s="571"/>
      <c r="AQ803" s="513"/>
      <c r="AR803" s="513"/>
      <c r="AS803" s="18"/>
    </row>
    <row r="804" spans="1:45" ht="65.25" customHeight="1">
      <c r="A804" s="16">
        <f>OBRA!J802</f>
        <v>2024</v>
      </c>
      <c r="B804" s="783" t="s">
        <v>3944</v>
      </c>
      <c r="C804" s="783">
        <f>OBRA!K802</f>
        <v>243006</v>
      </c>
      <c r="D804" s="24" t="s">
        <v>2310</v>
      </c>
      <c r="E804" s="2" t="str">
        <f>OBRA!M802</f>
        <v>CUENTA CORRIENTE</v>
      </c>
      <c r="F804" s="511"/>
      <c r="G804" s="156" t="s">
        <v>2861</v>
      </c>
      <c r="H804" s="12" t="str">
        <f>OBRA!N802</f>
        <v>C- OP 006/2024</v>
      </c>
      <c r="I804" s="2" t="str">
        <f>OBRA!O802</f>
        <v>ARRENDAMIENTO</v>
      </c>
      <c r="J804" s="3" t="str">
        <f>OBRA!P802</f>
        <v>RENTA DE CAMIÓN TIPO PIPA MARCA DINA, PLACAS JU-79-346, CON CAPACIDAD DE 10,000 LITROS, PARA EL TRASLADO DE AGUA POTABLE EN EL MUNICIPIO DE JOCOTEPEC, JALISCO.</v>
      </c>
      <c r="K804" s="3"/>
      <c r="L804" s="3" t="s">
        <v>4745</v>
      </c>
      <c r="M804" s="173" t="s">
        <v>68</v>
      </c>
      <c r="N804" s="3" t="str">
        <f>OBRA!Q802</f>
        <v>MUNICIPIO</v>
      </c>
      <c r="O804" s="504" t="s">
        <v>6753</v>
      </c>
      <c r="P804" s="79">
        <f>OBRA!R802</f>
        <v>1971.9999999999998</v>
      </c>
      <c r="Q804" s="1023">
        <f t="shared" ref="Q804:Q845" si="69">P804/1.16</f>
        <v>1700</v>
      </c>
      <c r="R804" s="1023" t="s">
        <v>5591</v>
      </c>
      <c r="S804" s="67">
        <f>OBRA!S802</f>
        <v>45352</v>
      </c>
      <c r="T804" s="1134">
        <f>OBRA!V802</f>
        <v>0</v>
      </c>
      <c r="U804" s="5">
        <f>OBRA!T802</f>
        <v>45352</v>
      </c>
      <c r="V804" s="11">
        <f>OBRA!U802</f>
        <v>45381</v>
      </c>
      <c r="W804" s="1901">
        <v>0</v>
      </c>
      <c r="X804" s="1019">
        <f>OBRA!AS802+OBRA!AT802</f>
        <v>0</v>
      </c>
      <c r="Y804" s="1018" t="s">
        <v>6770</v>
      </c>
      <c r="Z804" s="146" t="str">
        <f>OBRA!W802</f>
        <v>ING. SERGIO CABRERA</v>
      </c>
      <c r="AA804" s="146" t="s">
        <v>5665</v>
      </c>
      <c r="AB804" s="1769" t="s">
        <v>4444</v>
      </c>
      <c r="AC804" s="146" t="s">
        <v>1922</v>
      </c>
      <c r="AD804" s="148" t="s">
        <v>6046</v>
      </c>
      <c r="AE804" s="183" t="str">
        <f>OBRA!X802</f>
        <v>C. IMELDA KARINA PÉREZ GONZÁLEZ</v>
      </c>
      <c r="AF804" s="19">
        <v>1</v>
      </c>
      <c r="AG804" s="2" t="s">
        <v>6756</v>
      </c>
      <c r="AH804" s="183">
        <f t="shared" si="65"/>
        <v>1971.9999999999998</v>
      </c>
      <c r="AI804" s="2"/>
      <c r="AJ804" s="513"/>
      <c r="AK804" s="1888">
        <v>1</v>
      </c>
      <c r="AL804" s="1513"/>
      <c r="AM804" s="1514"/>
      <c r="AN804" s="571"/>
      <c r="AO804" s="571"/>
      <c r="AP804" s="571"/>
      <c r="AQ804" s="513"/>
      <c r="AR804" s="513"/>
      <c r="AS804" s="18"/>
    </row>
    <row r="805" spans="1:45" ht="71.25" customHeight="1">
      <c r="A805" s="16">
        <f>OBRA!J803</f>
        <v>2024</v>
      </c>
      <c r="B805" s="783" t="s">
        <v>3944</v>
      </c>
      <c r="C805" s="783">
        <f>OBRA!K803</f>
        <v>243007</v>
      </c>
      <c r="D805" s="24" t="s">
        <v>2310</v>
      </c>
      <c r="E805" s="2" t="str">
        <f>OBRA!M803</f>
        <v>CUENTA CORRIENTE</v>
      </c>
      <c r="F805" s="511"/>
      <c r="G805" s="156" t="s">
        <v>2861</v>
      </c>
      <c r="H805" s="12" t="str">
        <f>OBRA!N803</f>
        <v>C- OP 007/2024</v>
      </c>
      <c r="I805" s="2" t="str">
        <f>OBRA!O803</f>
        <v>ARRENDAMIENTO</v>
      </c>
      <c r="J805" s="3" t="str">
        <f>OBRA!P803</f>
        <v>RENTA DE UNA RETROEXCAVADORA CATERPILLAR 420E Y CAMIÓN VOLTEO DE 14 M3, PARA LA LIMPIEZA EN ZONAS DE LA CABECERA MUNICIPAL DE JOCOTEPEC, JALISCO.</v>
      </c>
      <c r="K805" s="3"/>
      <c r="L805" s="3" t="s">
        <v>6345</v>
      </c>
      <c r="M805" s="173" t="s">
        <v>68</v>
      </c>
      <c r="N805" s="3" t="str">
        <f>OBRA!Q803</f>
        <v>CABECERA MUNICIPAL</v>
      </c>
      <c r="O805" s="504" t="s">
        <v>6753</v>
      </c>
      <c r="P805" s="79">
        <f>OBRA!R803</f>
        <v>1508</v>
      </c>
      <c r="Q805" s="1023">
        <f t="shared" si="69"/>
        <v>1300</v>
      </c>
      <c r="R805" s="1023" t="s">
        <v>2294</v>
      </c>
      <c r="S805" s="67">
        <f>OBRA!S803</f>
        <v>45378</v>
      </c>
      <c r="T805" s="1134">
        <f>OBRA!V803</f>
        <v>0</v>
      </c>
      <c r="U805" s="5">
        <f>OBRA!T803</f>
        <v>45383</v>
      </c>
      <c r="V805" s="11">
        <f>OBRA!U803</f>
        <v>45412</v>
      </c>
      <c r="W805" s="1901">
        <v>0</v>
      </c>
      <c r="X805" s="1019">
        <f>OBRA!AS803+OBRA!AT803</f>
        <v>0</v>
      </c>
      <c r="Y805" s="1018" t="s">
        <v>6770</v>
      </c>
      <c r="Z805" s="146" t="str">
        <f>OBRA!W803</f>
        <v>ING. SERGIO CABRERA</v>
      </c>
      <c r="AA805" s="146" t="s">
        <v>5665</v>
      </c>
      <c r="AB805" s="1769" t="s">
        <v>4444</v>
      </c>
      <c r="AC805" s="146" t="s">
        <v>1922</v>
      </c>
      <c r="AD805" s="148" t="s">
        <v>6046</v>
      </c>
      <c r="AE805" s="183" t="str">
        <f>OBRA!X803</f>
        <v>C. IMELDA KARINA PÉREZ GONZÁLEZ</v>
      </c>
      <c r="AF805" s="19">
        <v>1</v>
      </c>
      <c r="AG805" s="2" t="s">
        <v>6756</v>
      </c>
      <c r="AH805" s="183">
        <f t="shared" si="65"/>
        <v>1508</v>
      </c>
      <c r="AI805" s="2"/>
      <c r="AJ805" s="513"/>
      <c r="AK805" s="1888">
        <v>1</v>
      </c>
      <c r="AL805" s="1513"/>
      <c r="AM805" s="1514"/>
      <c r="AN805" s="571"/>
      <c r="AO805" s="571"/>
      <c r="AP805" s="571"/>
      <c r="AQ805" s="513"/>
      <c r="AR805" s="513"/>
      <c r="AS805" s="18"/>
    </row>
    <row r="806" spans="1:45" ht="66.75" customHeight="1">
      <c r="A806" s="16">
        <f>OBRA!J804</f>
        <v>2024</v>
      </c>
      <c r="B806" s="783" t="s">
        <v>3944</v>
      </c>
      <c r="C806" s="783">
        <f>OBRA!K804</f>
        <v>243008</v>
      </c>
      <c r="D806" s="24" t="s">
        <v>2310</v>
      </c>
      <c r="E806" s="2" t="str">
        <f>OBRA!M804</f>
        <v>CUENTA CORRIENTE</v>
      </c>
      <c r="F806" s="511"/>
      <c r="G806" s="156" t="s">
        <v>2861</v>
      </c>
      <c r="H806" s="12" t="str">
        <f>OBRA!N804</f>
        <v>C- OP 008/2024</v>
      </c>
      <c r="I806" s="2" t="str">
        <f>OBRA!O804</f>
        <v>ARRENDAMIENTO</v>
      </c>
      <c r="J806" s="3" t="str">
        <f>OBRA!P804</f>
        <v>RENTA DE CAMIÓN TIPO PIPA MARCA KENWORT T800, PLACAS JY-06-625, CON CAPACIDAD DE 20,000 LITROS, PARA EL TRASLADO DE AGUA POTABLE EN EL MUNICIPIO DE JOCOTEPEC, JALISCO.</v>
      </c>
      <c r="K806" s="3"/>
      <c r="L806" s="3" t="s">
        <v>4745</v>
      </c>
      <c r="M806" s="173" t="s">
        <v>68</v>
      </c>
      <c r="N806" s="3" t="str">
        <f>OBRA!Q804</f>
        <v>MUNICIPIO</v>
      </c>
      <c r="O806" s="504" t="s">
        <v>6753</v>
      </c>
      <c r="P806" s="79">
        <f>OBRA!R804</f>
        <v>4640</v>
      </c>
      <c r="Q806" s="1023">
        <f t="shared" si="69"/>
        <v>4000.0000000000005</v>
      </c>
      <c r="R806" s="1023" t="s">
        <v>5591</v>
      </c>
      <c r="S806" s="67">
        <f>OBRA!S804</f>
        <v>45394</v>
      </c>
      <c r="T806" s="1134">
        <f>OBRA!V804</f>
        <v>0</v>
      </c>
      <c r="U806" s="5">
        <f>OBRA!T804</f>
        <v>45397</v>
      </c>
      <c r="V806" s="11">
        <f>OBRA!U804</f>
        <v>45401</v>
      </c>
      <c r="W806" s="1901">
        <v>0</v>
      </c>
      <c r="X806" s="1019">
        <f>OBRA!AS804+OBRA!AT804</f>
        <v>0</v>
      </c>
      <c r="Y806" s="1018" t="s">
        <v>6770</v>
      </c>
      <c r="Z806" s="146" t="str">
        <f>OBRA!W804</f>
        <v xml:space="preserve">DORIA &amp; SAMPIER CONSTRUCTORA, S.A. DE C.V. </v>
      </c>
      <c r="AA806" s="146" t="s">
        <v>5666</v>
      </c>
      <c r="AB806" s="1769" t="s">
        <v>5607</v>
      </c>
      <c r="AC806" s="1770" t="s">
        <v>4401</v>
      </c>
      <c r="AD806" s="148" t="s">
        <v>6552</v>
      </c>
      <c r="AE806" s="183" t="str">
        <f>OBRA!X804</f>
        <v>C. IMELDA KARINA PÉREZ GONZÁLEZ</v>
      </c>
      <c r="AF806" s="19">
        <v>1</v>
      </c>
      <c r="AG806" s="2" t="s">
        <v>6756</v>
      </c>
      <c r="AH806" s="183">
        <f t="shared" si="65"/>
        <v>4640</v>
      </c>
      <c r="AI806" s="2"/>
      <c r="AJ806" s="513"/>
      <c r="AK806" s="1888">
        <v>1</v>
      </c>
      <c r="AL806" s="1513"/>
      <c r="AM806" s="1514"/>
      <c r="AN806" s="571"/>
      <c r="AO806" s="571"/>
      <c r="AP806" s="571"/>
      <c r="AQ806" s="513"/>
      <c r="AR806" s="513"/>
      <c r="AS806" s="18"/>
    </row>
    <row r="807" spans="1:45" ht="106.5" customHeight="1">
      <c r="A807" s="16">
        <f>OBRA!J805</f>
        <v>2024</v>
      </c>
      <c r="B807" s="783" t="s">
        <v>3944</v>
      </c>
      <c r="C807" s="783">
        <f>OBRA!K805</f>
        <v>243009</v>
      </c>
      <c r="D807" s="24" t="s">
        <v>2310</v>
      </c>
      <c r="E807" s="2" t="str">
        <f>OBRA!M805</f>
        <v>CUENTA CORRIENTE</v>
      </c>
      <c r="F807" s="511"/>
      <c r="G807" s="156" t="s">
        <v>2861</v>
      </c>
      <c r="H807" s="12" t="str">
        <f>OBRA!N805</f>
        <v>C- OP 009/2024</v>
      </c>
      <c r="I807" s="2" t="str">
        <f>OBRA!O805</f>
        <v>ARRENDAMIENTO</v>
      </c>
      <c r="J807"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K807" s="3"/>
      <c r="L807" s="3" t="s">
        <v>4749</v>
      </c>
      <c r="M807" s="173" t="s">
        <v>6715</v>
      </c>
      <c r="N807" s="3" t="str">
        <f>OBRA!Q805</f>
        <v>NEXTIPAC</v>
      </c>
      <c r="O807" s="504" t="s">
        <v>6753</v>
      </c>
      <c r="P807" s="79">
        <f>OBRA!R805</f>
        <v>788.8</v>
      </c>
      <c r="Q807" s="1023">
        <f t="shared" si="69"/>
        <v>680</v>
      </c>
      <c r="R807" s="1023" t="s">
        <v>2294</v>
      </c>
      <c r="S807" s="67">
        <f>OBRA!S805</f>
        <v>45352</v>
      </c>
      <c r="T807" s="1134">
        <f>OBRA!V805</f>
        <v>0</v>
      </c>
      <c r="U807" s="5">
        <f>OBRA!T805</f>
        <v>45352</v>
      </c>
      <c r="V807" s="11">
        <f>OBRA!U805</f>
        <v>45443</v>
      </c>
      <c r="W807" s="1901">
        <v>0</v>
      </c>
      <c r="X807" s="1019">
        <f>OBRA!AS805+OBRA!AT805</f>
        <v>0</v>
      </c>
      <c r="Y807" s="1018" t="s">
        <v>6770</v>
      </c>
      <c r="Z807" s="146" t="str">
        <f>OBRA!W805</f>
        <v>INFRAESTRUCTURA GUSEV, S.A. DE C.V.</v>
      </c>
      <c r="AA807" s="146" t="s">
        <v>5666</v>
      </c>
      <c r="AB807" s="148" t="s">
        <v>6527</v>
      </c>
      <c r="AC807" s="146" t="s">
        <v>6514</v>
      </c>
      <c r="AD807" s="148" t="s">
        <v>6515</v>
      </c>
      <c r="AE807" s="183" t="str">
        <f>OBRA!X805</f>
        <v>C. DANIEL RODRIGUEZ VALENZUELA</v>
      </c>
      <c r="AF807" s="19">
        <v>1</v>
      </c>
      <c r="AG807" s="2" t="s">
        <v>6756</v>
      </c>
      <c r="AH807" s="183">
        <f t="shared" si="65"/>
        <v>788.8</v>
      </c>
      <c r="AI807" s="2"/>
      <c r="AJ807" s="513"/>
      <c r="AK807" s="1888">
        <v>1</v>
      </c>
      <c r="AL807" s="1513"/>
      <c r="AM807" s="1514"/>
      <c r="AN807" s="571"/>
      <c r="AO807" s="571"/>
      <c r="AP807" s="571"/>
      <c r="AQ807" s="513"/>
      <c r="AR807" s="513"/>
      <c r="AS807" s="18"/>
    </row>
    <row r="808" spans="1:45" ht="103.5" customHeight="1">
      <c r="A808" s="16">
        <f>OBRA!J806</f>
        <v>2024</v>
      </c>
      <c r="B808" s="783" t="s">
        <v>3944</v>
      </c>
      <c r="C808" s="783">
        <f>OBRA!K806</f>
        <v>243010</v>
      </c>
      <c r="D808" s="24" t="s">
        <v>2310</v>
      </c>
      <c r="E808" s="2" t="str">
        <f>OBRA!M806</f>
        <v>CUENTA CORRIENTE</v>
      </c>
      <c r="F808" s="511"/>
      <c r="G808" s="156" t="s">
        <v>2861</v>
      </c>
      <c r="H808" s="12" t="str">
        <f>OBRA!N806</f>
        <v>C- OP 010/2024</v>
      </c>
      <c r="I808" s="2" t="str">
        <f>OBRA!O806</f>
        <v>ARRENDAMIENTO</v>
      </c>
      <c r="J808" s="3" t="str">
        <f>OBRA!P806</f>
        <v>RENTA DE CAMIÓN VOLTEO CON CAPACIDAD DE 7 M3, PARA EL RETIRO DE MATERIAL POR LOS TRABAJOS DE INSTALACIÓN Y ACONDICIONAMIENTO DE DRENAJE SANITARIO EN CALLE ZARAGOZA EN JDN NIÑOS HÉROES", EN LA CABECERA MUNICIPAL DE JOCOTEPEC, JALISCO.</v>
      </c>
      <c r="K808" s="3"/>
      <c r="L808" s="3" t="s">
        <v>4747</v>
      </c>
      <c r="M808" s="173" t="s">
        <v>6716</v>
      </c>
      <c r="N808" s="3" t="str">
        <f>OBRA!Q806</f>
        <v>CABECERA MUNICIPAL</v>
      </c>
      <c r="O808" s="504" t="s">
        <v>6753</v>
      </c>
      <c r="P808" s="79">
        <f>OBRA!R806</f>
        <v>1482.4799999999998</v>
      </c>
      <c r="Q808" s="1023">
        <f t="shared" si="69"/>
        <v>1278</v>
      </c>
      <c r="R808" s="1023" t="s">
        <v>2462</v>
      </c>
      <c r="S808" s="67">
        <f>OBRA!S806</f>
        <v>45420</v>
      </c>
      <c r="T808" s="1134">
        <f>OBRA!V806</f>
        <v>0</v>
      </c>
      <c r="U808" s="5">
        <f>OBRA!T806</f>
        <v>45422</v>
      </c>
      <c r="V808" s="11">
        <f>OBRA!U806</f>
        <v>45423</v>
      </c>
      <c r="W808" s="1901">
        <v>0</v>
      </c>
      <c r="X808" s="1019">
        <f>OBRA!AS806+OBRA!AT806</f>
        <v>0</v>
      </c>
      <c r="Y808" s="1018" t="s">
        <v>6770</v>
      </c>
      <c r="Z808" s="146" t="str">
        <f>OBRA!W806</f>
        <v xml:space="preserve">DORIA &amp; SAMPIER CONSTRUCTORA, S.A. DE C.V. </v>
      </c>
      <c r="AA808" s="146" t="s">
        <v>5666</v>
      </c>
      <c r="AB808" s="1769" t="s">
        <v>5607</v>
      </c>
      <c r="AC808" s="1770" t="s">
        <v>4401</v>
      </c>
      <c r="AD808" s="148" t="s">
        <v>6552</v>
      </c>
      <c r="AE808" s="183" t="str">
        <f>OBRA!X806</f>
        <v>ING. J. GUADALUPE IBARRA RAMIREZ</v>
      </c>
      <c r="AF808" s="19">
        <v>1</v>
      </c>
      <c r="AG808" s="2" t="s">
        <v>6756</v>
      </c>
      <c r="AH808" s="183">
        <f t="shared" si="65"/>
        <v>1482.4799999999998</v>
      </c>
      <c r="AI808" s="2"/>
      <c r="AJ808" s="513"/>
      <c r="AK808" s="1888">
        <v>1</v>
      </c>
      <c r="AL808" s="1513"/>
      <c r="AM808" s="1514"/>
      <c r="AN808" s="571"/>
      <c r="AO808" s="571"/>
      <c r="AP808" s="571"/>
      <c r="AQ808" s="513"/>
      <c r="AR808" s="513"/>
      <c r="AS808" s="18"/>
    </row>
    <row r="809" spans="1:45" ht="83.25" customHeight="1">
      <c r="A809" s="16">
        <f>OBRA!J807</f>
        <v>2024</v>
      </c>
      <c r="B809" s="783" t="s">
        <v>3944</v>
      </c>
      <c r="C809" s="783"/>
      <c r="D809" s="24"/>
      <c r="E809" s="2" t="str">
        <f>OBRA!M807</f>
        <v>CUENTA CORRIENTE</v>
      </c>
      <c r="F809" s="511"/>
      <c r="G809" s="156" t="s">
        <v>2861</v>
      </c>
      <c r="H809" s="12" t="str">
        <f>OBRA!N807</f>
        <v>C- OP 011/2024</v>
      </c>
      <c r="I809" s="2" t="str">
        <f>OBRA!O807</f>
        <v>ARRENDAMIENTO</v>
      </c>
      <c r="J809" s="3" t="str">
        <f>OBRA!P807</f>
        <v>RENTA DE CAMIÓN TIPO PIPA MARCA INTERNATIONAL, PLACAS JU-51-888, CON CAPACIDAD DE 20,000 LITROS, PARA EL TRASLADO DE AGUA POTABLE EN EL MUNICIPIO DE JOCOTEPEC, JALISCO.</v>
      </c>
      <c r="K809" s="3"/>
      <c r="L809" s="3" t="s">
        <v>4745</v>
      </c>
      <c r="M809" s="173" t="s">
        <v>68</v>
      </c>
      <c r="N809" s="3" t="str">
        <f>OBRA!Q807</f>
        <v>MUNICIPIO</v>
      </c>
      <c r="O809" s="504" t="s">
        <v>6754</v>
      </c>
      <c r="P809" s="79">
        <f>OBRA!R807</f>
        <v>4640</v>
      </c>
      <c r="Q809" s="1023">
        <f t="shared" ref="Q809:Q819" si="70">P809/1.16</f>
        <v>4000.0000000000005</v>
      </c>
      <c r="R809" s="1023" t="s">
        <v>5591</v>
      </c>
      <c r="S809" s="67">
        <f>OBRA!S807</f>
        <v>45425</v>
      </c>
      <c r="T809" s="1134">
        <f>OBRA!V807</f>
        <v>0</v>
      </c>
      <c r="U809" s="5">
        <f>OBRA!T807</f>
        <v>45425</v>
      </c>
      <c r="V809" s="11">
        <f>OBRA!U807</f>
        <v>45430</v>
      </c>
      <c r="W809" s="1901">
        <v>0</v>
      </c>
      <c r="X809" s="1019">
        <f>OBRA!AS807+OBRA!AT807</f>
        <v>0</v>
      </c>
      <c r="Y809" s="1018" t="s">
        <v>6770</v>
      </c>
      <c r="Z809" s="146" t="str">
        <f>OBRA!W807</f>
        <v xml:space="preserve">DORIA &amp; SAMPIER CONSTRUCTORA, S.A. DE C.V. </v>
      </c>
      <c r="AA809" s="146" t="s">
        <v>5666</v>
      </c>
      <c r="AB809" s="1769" t="s">
        <v>5607</v>
      </c>
      <c r="AC809" s="1770" t="s">
        <v>4401</v>
      </c>
      <c r="AD809" s="148" t="s">
        <v>6552</v>
      </c>
      <c r="AE809" s="183" t="str">
        <f>OBRA!X807</f>
        <v>C. IMELDA KARINA PÉREZ GONZÁLEZ</v>
      </c>
      <c r="AF809" s="19">
        <v>1</v>
      </c>
      <c r="AG809" s="2" t="s">
        <v>6756</v>
      </c>
      <c r="AH809" s="183">
        <f t="shared" si="65"/>
        <v>4640</v>
      </c>
      <c r="AI809" s="2"/>
      <c r="AJ809" s="513"/>
      <c r="AK809" s="1888">
        <v>1</v>
      </c>
      <c r="AL809" s="1513"/>
      <c r="AM809" s="1514"/>
      <c r="AN809" s="571"/>
      <c r="AO809" s="571"/>
      <c r="AP809" s="571"/>
      <c r="AQ809" s="513"/>
      <c r="AR809" s="513"/>
      <c r="AS809" s="18"/>
    </row>
    <row r="810" spans="1:45" ht="96.75" customHeight="1">
      <c r="A810" s="16">
        <f>OBRA!J808</f>
        <v>2024</v>
      </c>
      <c r="B810" s="783" t="s">
        <v>3944</v>
      </c>
      <c r="C810" s="783"/>
      <c r="D810" s="24"/>
      <c r="E810" s="2" t="str">
        <f>OBRA!M808</f>
        <v>CUENTA CORRIENTE</v>
      </c>
      <c r="F810" s="511"/>
      <c r="G810" s="156" t="s">
        <v>2861</v>
      </c>
      <c r="H810" s="12" t="str">
        <f>OBRA!N808</f>
        <v>C- OP 012/2024</v>
      </c>
      <c r="I810" s="2" t="str">
        <f>OBRA!O808</f>
        <v>ARRENDAMIENTO</v>
      </c>
      <c r="J810" s="3" t="str">
        <f>OBRA!P808</f>
        <v>RENTA DE UNA EXCAVADORA CAT SERIE 416E, PARA LOS TRABAJOS DE CONSTRUCCIÓN DE BASE Y LETRAS MONUMENTALES "HUEJOTITÁN" EN INGRESO A LA POBLACIÓN, EN LA LOCALIDAD DE HUEJOTITÁN, DEL MUNICIPIO DE JOCOTEPEC, JALISCO.</v>
      </c>
      <c r="K810" s="3"/>
      <c r="L810" s="3" t="s">
        <v>4749</v>
      </c>
      <c r="M810" s="173" t="s">
        <v>2554</v>
      </c>
      <c r="N810" s="3" t="str">
        <f>OBRA!Q808</f>
        <v>HUEJOTITÁN</v>
      </c>
      <c r="O810" s="504" t="s">
        <v>6754</v>
      </c>
      <c r="P810" s="79">
        <f>OBRA!R808</f>
        <v>788.8</v>
      </c>
      <c r="Q810" s="1023">
        <f t="shared" si="70"/>
        <v>680</v>
      </c>
      <c r="R810" s="1023" t="s">
        <v>2294</v>
      </c>
      <c r="S810" s="67">
        <f>OBRA!S808</f>
        <v>45372</v>
      </c>
      <c r="T810" s="1134">
        <f>OBRA!V808</f>
        <v>0</v>
      </c>
      <c r="U810" s="5">
        <f>OBRA!T808</f>
        <v>45372</v>
      </c>
      <c r="V810" s="11">
        <f>OBRA!U808</f>
        <v>45411</v>
      </c>
      <c r="W810" s="1901">
        <v>0</v>
      </c>
      <c r="X810" s="1019">
        <f>OBRA!AS808+OBRA!AT808</f>
        <v>0</v>
      </c>
      <c r="Y810" s="1018" t="s">
        <v>6770</v>
      </c>
      <c r="Z810" s="146" t="str">
        <f>OBRA!W808</f>
        <v>INFRAESTRUCTURA GUSEV, S.A. DE C.V.</v>
      </c>
      <c r="AA810" s="146" t="s">
        <v>5666</v>
      </c>
      <c r="AB810" s="148" t="s">
        <v>6527</v>
      </c>
      <c r="AC810" s="146" t="s">
        <v>6514</v>
      </c>
      <c r="AD810" s="148" t="s">
        <v>6515</v>
      </c>
      <c r="AE810" s="183" t="str">
        <f>OBRA!X808</f>
        <v>C. DANIEL RODRIGUEZ VALENZUELA</v>
      </c>
      <c r="AF810" s="19">
        <v>1</v>
      </c>
      <c r="AG810" s="2" t="s">
        <v>6756</v>
      </c>
      <c r="AH810" s="183">
        <f t="shared" si="65"/>
        <v>788.8</v>
      </c>
      <c r="AI810" s="2"/>
      <c r="AJ810" s="513"/>
      <c r="AK810" s="1888">
        <v>1</v>
      </c>
      <c r="AL810" s="1513"/>
      <c r="AM810" s="1514"/>
      <c r="AN810" s="571"/>
      <c r="AO810" s="571"/>
      <c r="AP810" s="571"/>
      <c r="AQ810" s="513"/>
      <c r="AR810" s="513"/>
      <c r="AS810" s="18"/>
    </row>
    <row r="811" spans="1:45" ht="129" customHeight="1">
      <c r="A811" s="16">
        <f>OBRA!J809</f>
        <v>2024</v>
      </c>
      <c r="B811" s="783" t="s">
        <v>3944</v>
      </c>
      <c r="C811" s="783"/>
      <c r="D811" s="24"/>
      <c r="E811" s="2" t="str">
        <f>OBRA!M809</f>
        <v>CUENTA CORRIENTE</v>
      </c>
      <c r="F811" s="511"/>
      <c r="G811" s="156" t="s">
        <v>2861</v>
      </c>
      <c r="H811" s="12" t="str">
        <f>OBRA!N809</f>
        <v>C- OP 013/2024</v>
      </c>
      <c r="I811" s="2" t="str">
        <f>OBRA!O809</f>
        <v>ARRENDAMIENTO</v>
      </c>
      <c r="J811"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3"/>
      <c r="L811" s="3" t="s">
        <v>4751</v>
      </c>
      <c r="M811" s="173" t="s">
        <v>6695</v>
      </c>
      <c r="N811" s="3" t="str">
        <f>OBRA!Q809</f>
        <v>SAN PEDRO TESISTÁN</v>
      </c>
      <c r="O811" s="504" t="s">
        <v>6754</v>
      </c>
      <c r="P811" s="79">
        <f>OBRA!R809</f>
        <v>4605.2</v>
      </c>
      <c r="Q811" s="1023">
        <f t="shared" si="70"/>
        <v>3970</v>
      </c>
      <c r="R811" s="1023" t="s">
        <v>2294</v>
      </c>
      <c r="S811" s="67">
        <f>OBRA!S809</f>
        <v>45432</v>
      </c>
      <c r="T811" s="1134">
        <f>OBRA!V809</f>
        <v>0</v>
      </c>
      <c r="U811" s="5">
        <f>OBRA!T809</f>
        <v>45434</v>
      </c>
      <c r="V811" s="11">
        <f>OBRA!U809</f>
        <v>45478</v>
      </c>
      <c r="W811" s="1901">
        <v>0</v>
      </c>
      <c r="X811" s="1019">
        <f>OBRA!AS809+OBRA!AT809</f>
        <v>0</v>
      </c>
      <c r="Y811" s="1018" t="s">
        <v>6770</v>
      </c>
      <c r="Z811" s="146" t="str">
        <f>OBRA!W809</f>
        <v>INFRAESTRUCTURA GUSEV, S.A. DE C.V.</v>
      </c>
      <c r="AA811" s="146" t="s">
        <v>5666</v>
      </c>
      <c r="AB811" s="148" t="s">
        <v>6527</v>
      </c>
      <c r="AC811" s="146" t="s">
        <v>6514</v>
      </c>
      <c r="AD811" s="148" t="s">
        <v>6515</v>
      </c>
      <c r="AE811" s="183" t="str">
        <f>OBRA!X809</f>
        <v>C. DANIEL RODRIGUEZ VALENZUELA</v>
      </c>
      <c r="AF811" s="19">
        <v>6</v>
      </c>
      <c r="AG811" s="2" t="s">
        <v>6756</v>
      </c>
      <c r="AH811" s="183">
        <f t="shared" si="65"/>
        <v>767.5333333333333</v>
      </c>
      <c r="AI811" s="2"/>
      <c r="AJ811" s="513"/>
      <c r="AK811" s="1888">
        <v>1</v>
      </c>
      <c r="AL811" s="1513"/>
      <c r="AM811" s="1514"/>
      <c r="AN811" s="571"/>
      <c r="AO811" s="571"/>
      <c r="AP811" s="571"/>
      <c r="AQ811" s="513"/>
      <c r="AR811" s="513"/>
      <c r="AS811" s="18"/>
    </row>
    <row r="812" spans="1:45" ht="66" customHeight="1">
      <c r="A812" s="16">
        <f>OBRA!J810</f>
        <v>2024</v>
      </c>
      <c r="B812" s="783" t="s">
        <v>3944</v>
      </c>
      <c r="C812" s="783"/>
      <c r="D812" s="24"/>
      <c r="E812" s="2" t="str">
        <f>OBRA!M810</f>
        <v>CUENTA CORRIENTE</v>
      </c>
      <c r="F812" s="511"/>
      <c r="G812" s="156" t="s">
        <v>2861</v>
      </c>
      <c r="H812" s="12" t="str">
        <f>OBRA!N810</f>
        <v>C- OP 014/2024</v>
      </c>
      <c r="I812" s="2" t="str">
        <f>OBRA!O810</f>
        <v>ARRENDAMIENTO</v>
      </c>
      <c r="J812" s="3" t="str">
        <f>OBRA!P810</f>
        <v>RENTA DE CAMIÓN TIPO PIPA MARCA INTERNATIONAL, MODELO 2014 CON CAPACIDAD DE 10,000 LITROS, PARA EL TRASLADO DE AGUA POTABLE EN EL MUNICIPIO DE JOCOTEPEC, JALISCO.</v>
      </c>
      <c r="K812" s="3"/>
      <c r="L812" s="3" t="s">
        <v>4745</v>
      </c>
      <c r="M812" s="173" t="s">
        <v>68</v>
      </c>
      <c r="N812" s="3" t="str">
        <f>OBRA!Q810</f>
        <v>MUNICIPIO</v>
      </c>
      <c r="O812" s="504" t="s">
        <v>6754</v>
      </c>
      <c r="P812" s="79">
        <f>OBRA!R810</f>
        <v>90828</v>
      </c>
      <c r="Q812" s="1023">
        <f t="shared" si="70"/>
        <v>78300</v>
      </c>
      <c r="R812" s="1023" t="s">
        <v>3954</v>
      </c>
      <c r="S812" s="67">
        <f>OBRA!S810</f>
        <v>45380</v>
      </c>
      <c r="T812" s="1134">
        <f>OBRA!V810</f>
        <v>0</v>
      </c>
      <c r="U812" s="5">
        <f>OBRA!T810</f>
        <v>45383</v>
      </c>
      <c r="V812" s="11">
        <f>OBRA!U810</f>
        <v>45412</v>
      </c>
      <c r="W812" s="1901">
        <v>0</v>
      </c>
      <c r="X812" s="1019">
        <f>OBRA!AS810+OBRA!AT810</f>
        <v>0</v>
      </c>
      <c r="Y812" s="1018" t="s">
        <v>6770</v>
      </c>
      <c r="Z812" s="146" t="str">
        <f>OBRA!W810</f>
        <v xml:space="preserve">DORIA &amp; SAMPIER CONSTRUCTORA, S.A. DE C.V. </v>
      </c>
      <c r="AA812" s="146" t="s">
        <v>5666</v>
      </c>
      <c r="AB812" s="1769" t="s">
        <v>5607</v>
      </c>
      <c r="AC812" s="1770" t="s">
        <v>4401</v>
      </c>
      <c r="AD812" s="148" t="s">
        <v>6552</v>
      </c>
      <c r="AE812" s="183" t="str">
        <f>OBRA!X810</f>
        <v>C. IMELDA KARINA PÉREZ GONZÁLEZ</v>
      </c>
      <c r="AF812" s="19">
        <v>1</v>
      </c>
      <c r="AG812" s="2" t="s">
        <v>6756</v>
      </c>
      <c r="AH812" s="183">
        <f t="shared" si="65"/>
        <v>90828</v>
      </c>
      <c r="AI812" s="2"/>
      <c r="AJ812" s="513"/>
      <c r="AK812" s="1888">
        <v>1</v>
      </c>
      <c r="AL812" s="1513"/>
      <c r="AM812" s="1514"/>
      <c r="AN812" s="571"/>
      <c r="AO812" s="571"/>
      <c r="AP812" s="571"/>
      <c r="AQ812" s="513"/>
      <c r="AR812" s="513"/>
      <c r="AS812" s="18"/>
    </row>
    <row r="813" spans="1:45" ht="65.25" customHeight="1">
      <c r="A813" s="16">
        <f>OBRA!J811</f>
        <v>2024</v>
      </c>
      <c r="B813" s="783" t="s">
        <v>3944</v>
      </c>
      <c r="C813" s="783"/>
      <c r="D813" s="24"/>
      <c r="E813" s="2" t="str">
        <f>OBRA!M811</f>
        <v>CUENTA CORRIENTE</v>
      </c>
      <c r="F813" s="511"/>
      <c r="G813" s="156" t="s">
        <v>2861</v>
      </c>
      <c r="H813" s="12" t="str">
        <f>OBRA!N811</f>
        <v>C- OP 015/2024</v>
      </c>
      <c r="I813" s="2" t="str">
        <f>OBRA!O811</f>
        <v>ARRENDAMIENTO</v>
      </c>
      <c r="J813" s="3" t="str">
        <f>OBRA!P811</f>
        <v>RENTA DE CAMIÓN TIPO PIPA MARCA FREIGHTLINER, CON CAPACIDAD DE 10,000 LITROS, PARA EL TRASLADO DE AGUA POTABLE EN EL MUNICIPIO DE JOCOTEPEC, JALISCO.</v>
      </c>
      <c r="K813" s="3"/>
      <c r="L813" s="3" t="s">
        <v>4745</v>
      </c>
      <c r="M813" s="173" t="s">
        <v>68</v>
      </c>
      <c r="N813" s="3" t="str">
        <f>OBRA!Q811</f>
        <v>MUNICIPIO</v>
      </c>
      <c r="O813" s="504" t="s">
        <v>6754</v>
      </c>
      <c r="P813" s="79">
        <f>OBRA!R811</f>
        <v>90828</v>
      </c>
      <c r="Q813" s="1023">
        <f t="shared" si="70"/>
        <v>78300</v>
      </c>
      <c r="R813" s="1023" t="s">
        <v>3954</v>
      </c>
      <c r="S813" s="67">
        <f>OBRA!S811</f>
        <v>45412</v>
      </c>
      <c r="T813" s="1134">
        <f>OBRA!V811</f>
        <v>0</v>
      </c>
      <c r="U813" s="5">
        <f>OBRA!T811</f>
        <v>45413</v>
      </c>
      <c r="V813" s="11">
        <f>OBRA!U811</f>
        <v>45443</v>
      </c>
      <c r="W813" s="1901">
        <v>0</v>
      </c>
      <c r="X813" s="1019">
        <f>OBRA!AS811+OBRA!AT811</f>
        <v>0</v>
      </c>
      <c r="Y813" s="1018" t="s">
        <v>6770</v>
      </c>
      <c r="Z813" s="146" t="str">
        <f>OBRA!W811</f>
        <v xml:space="preserve">DORIA &amp; SAMPIER CONSTRUCTORA, S.A. DE C.V. </v>
      </c>
      <c r="AA813" s="146" t="s">
        <v>5666</v>
      </c>
      <c r="AB813" s="1769" t="s">
        <v>5607</v>
      </c>
      <c r="AC813" s="1770" t="s">
        <v>4401</v>
      </c>
      <c r="AD813" s="148" t="s">
        <v>6552</v>
      </c>
      <c r="AE813" s="183" t="str">
        <f>OBRA!X811</f>
        <v>C. IMELDA KARINA PÉREZ GONZÁLEZ</v>
      </c>
      <c r="AF813" s="19">
        <v>1</v>
      </c>
      <c r="AG813" s="2" t="s">
        <v>6756</v>
      </c>
      <c r="AH813" s="183">
        <f t="shared" si="65"/>
        <v>90828</v>
      </c>
      <c r="AI813" s="2"/>
      <c r="AJ813" s="513"/>
      <c r="AK813" s="1888">
        <v>1</v>
      </c>
      <c r="AL813" s="1513"/>
      <c r="AM813" s="1514"/>
      <c r="AN813" s="571"/>
      <c r="AO813" s="571"/>
      <c r="AP813" s="571"/>
      <c r="AQ813" s="513"/>
      <c r="AR813" s="513"/>
      <c r="AS813" s="18"/>
    </row>
    <row r="814" spans="1:45" ht="78" customHeight="1">
      <c r="A814" s="16">
        <f>OBRA!J812</f>
        <v>2024</v>
      </c>
      <c r="B814" s="783" t="s">
        <v>3944</v>
      </c>
      <c r="C814" s="783"/>
      <c r="D814" s="24"/>
      <c r="E814" s="2" t="str">
        <f>OBRA!M812</f>
        <v>CUENTA CORRIENTE</v>
      </c>
      <c r="F814" s="511"/>
      <c r="G814" s="156" t="s">
        <v>2861</v>
      </c>
      <c r="H814" s="12" t="str">
        <f>OBRA!N812</f>
        <v>C- OP 016/2024</v>
      </c>
      <c r="I814" s="2" t="str">
        <f>OBRA!O812</f>
        <v>ARRENDAMIENTO</v>
      </c>
      <c r="J814" s="3" t="str">
        <f>OBRA!P812</f>
        <v>RENTA DE CAMIÓN TIPO PIPA MARCA KENWORT CON CAPACIDAD DE 10,000 LITROS, PARA EL TRASLADO DE AGUA POTABLE EN EL MUNICIPIO DE JOCOTEPEC, JALISCO.</v>
      </c>
      <c r="K814" s="3"/>
      <c r="L814" s="3" t="s">
        <v>4745</v>
      </c>
      <c r="M814" s="173" t="s">
        <v>68</v>
      </c>
      <c r="N814" s="3" t="str">
        <f>OBRA!Q812</f>
        <v>MUNICIPIO</v>
      </c>
      <c r="O814" s="504" t="s">
        <v>6754</v>
      </c>
      <c r="P814" s="79">
        <f>OBRA!R812</f>
        <v>3711.9999999999995</v>
      </c>
      <c r="Q814" s="1023">
        <f t="shared" si="70"/>
        <v>3200</v>
      </c>
      <c r="R814" s="1023" t="s">
        <v>5591</v>
      </c>
      <c r="S814" s="67">
        <f>OBRA!S812</f>
        <v>45443</v>
      </c>
      <c r="T814" s="1134">
        <f>OBRA!V812</f>
        <v>0</v>
      </c>
      <c r="U814" s="5">
        <f>OBRA!T812</f>
        <v>45446</v>
      </c>
      <c r="V814" s="11">
        <f>OBRA!U812</f>
        <v>45453</v>
      </c>
      <c r="W814" s="1901">
        <v>0</v>
      </c>
      <c r="X814" s="1019">
        <f>OBRA!AS812+OBRA!AT812</f>
        <v>0</v>
      </c>
      <c r="Y814" s="1018" t="s">
        <v>6770</v>
      </c>
      <c r="Z814" s="146" t="str">
        <f>OBRA!W812</f>
        <v>TERRACERÍAS Y PAVIMENTOS DE LA RIBERA, S.A. DE C.V.</v>
      </c>
      <c r="AA814" s="146" t="s">
        <v>5666</v>
      </c>
      <c r="AB814" s="1769" t="s">
        <v>4444</v>
      </c>
      <c r="AC814" s="1770" t="s">
        <v>3470</v>
      </c>
      <c r="AD814" s="1769" t="s">
        <v>6070</v>
      </c>
      <c r="AE814" s="183" t="str">
        <f>OBRA!X812</f>
        <v>C. IMELDA KARINA PÉREZ GONZÁLEZ</v>
      </c>
      <c r="AF814" s="19">
        <v>1</v>
      </c>
      <c r="AG814" s="2" t="s">
        <v>6756</v>
      </c>
      <c r="AH814" s="183">
        <f t="shared" si="65"/>
        <v>3711.9999999999995</v>
      </c>
      <c r="AI814" s="2"/>
      <c r="AJ814" s="513"/>
      <c r="AK814" s="1888">
        <v>1</v>
      </c>
      <c r="AL814" s="1513"/>
      <c r="AM814" s="1514"/>
      <c r="AN814" s="571"/>
      <c r="AO814" s="571"/>
      <c r="AP814" s="571"/>
      <c r="AQ814" s="513"/>
      <c r="AR814" s="513"/>
      <c r="AS814" s="18"/>
    </row>
    <row r="815" spans="1:45" ht="84.75" customHeight="1">
      <c r="A815" s="16">
        <f>OBRA!J813</f>
        <v>2024</v>
      </c>
      <c r="B815" s="783" t="s">
        <v>3944</v>
      </c>
      <c r="C815" s="783"/>
      <c r="D815" s="24"/>
      <c r="E815" s="2" t="str">
        <f>OBRA!M813</f>
        <v>CUENTA CORRIENTE</v>
      </c>
      <c r="F815" s="511"/>
      <c r="G815" s="156" t="s">
        <v>2861</v>
      </c>
      <c r="H815" s="12" t="str">
        <f>OBRA!N813</f>
        <v>C- OP 017/2024</v>
      </c>
      <c r="I815" s="2" t="str">
        <f>OBRA!O813</f>
        <v>ARRENDAMIENTO</v>
      </c>
      <c r="J815" s="3" t="str">
        <f>OBRA!P813</f>
        <v>RENTA DE RETROEXCAVADORA CAT SERIE 416E, PARA TRABAJOS DE DEMOLICIÓN Y ADECUACIONES PARA LOS EQUIPOS DE PERFORACIÓN DE POZO PROFUNDO, EN LA CABECERA MUNICIPAL DE JOCOTEPEC, JALISCO.</v>
      </c>
      <c r="K815" s="3"/>
      <c r="L815" s="3" t="s">
        <v>4745</v>
      </c>
      <c r="M815" s="173" t="s">
        <v>68</v>
      </c>
      <c r="N815" s="3" t="str">
        <f>OBRA!Q813</f>
        <v>CABECERA MUNICIPAL</v>
      </c>
      <c r="O815" s="504" t="s">
        <v>6754</v>
      </c>
      <c r="P815" s="79">
        <f>OBRA!R813</f>
        <v>696</v>
      </c>
      <c r="Q815" s="1023">
        <f t="shared" si="70"/>
        <v>600</v>
      </c>
      <c r="R815" s="1023" t="s">
        <v>2294</v>
      </c>
      <c r="S815" s="67">
        <f>OBRA!S813</f>
        <v>45372</v>
      </c>
      <c r="T815" s="1134">
        <f>OBRA!V813</f>
        <v>0</v>
      </c>
      <c r="U815" s="5">
        <f>OBRA!T813</f>
        <v>45358</v>
      </c>
      <c r="V815" s="11">
        <f>OBRA!U813</f>
        <v>45363</v>
      </c>
      <c r="W815" s="1901">
        <v>0</v>
      </c>
      <c r="X815" s="1019">
        <f>OBRA!AS813+OBRA!AT813</f>
        <v>0</v>
      </c>
      <c r="Y815" s="1018" t="s">
        <v>6770</v>
      </c>
      <c r="Z815" s="146" t="str">
        <f>OBRA!W813</f>
        <v>INFRAESTRUCTURA GUSEV, S.A. DE C.V.</v>
      </c>
      <c r="AA815" s="146" t="s">
        <v>5666</v>
      </c>
      <c r="AB815" s="148" t="s">
        <v>6527</v>
      </c>
      <c r="AC815" s="146" t="s">
        <v>6514</v>
      </c>
      <c r="AD815" s="148" t="s">
        <v>6515</v>
      </c>
      <c r="AE815" s="183" t="str">
        <f>OBRA!X813</f>
        <v>ING. J. GUADALUPE IBARRA RAMIREZ</v>
      </c>
      <c r="AF815" s="19">
        <v>1</v>
      </c>
      <c r="AG815" s="2" t="s">
        <v>6756</v>
      </c>
      <c r="AH815" s="183">
        <f t="shared" si="65"/>
        <v>696</v>
      </c>
      <c r="AI815" s="2"/>
      <c r="AJ815" s="513"/>
      <c r="AK815" s="1888">
        <v>1</v>
      </c>
      <c r="AL815" s="1513"/>
      <c r="AM815" s="1514"/>
      <c r="AN815" s="571"/>
      <c r="AO815" s="571"/>
      <c r="AP815" s="571"/>
      <c r="AQ815" s="513"/>
      <c r="AR815" s="513"/>
      <c r="AS815" s="18"/>
    </row>
    <row r="816" spans="1:45" ht="126.75" customHeight="1">
      <c r="A816" s="16">
        <f>OBRA!J814</f>
        <v>2024</v>
      </c>
      <c r="B816" s="783" t="s">
        <v>3944</v>
      </c>
      <c r="C816" s="783"/>
      <c r="D816" s="24"/>
      <c r="E816" s="2" t="str">
        <f>OBRA!M814</f>
        <v>CUENTA CORRIENTE</v>
      </c>
      <c r="F816" s="511"/>
      <c r="G816" s="156" t="s">
        <v>2861</v>
      </c>
      <c r="H816" s="12" t="str">
        <f>OBRA!N814</f>
        <v>C- OP 018/2024</v>
      </c>
      <c r="I816" s="2" t="str">
        <f>OBRA!O814</f>
        <v>ARRENDAMIENTO</v>
      </c>
      <c r="J816"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3"/>
      <c r="L816" s="3" t="s">
        <v>4747</v>
      </c>
      <c r="M816" s="173" t="s">
        <v>6296</v>
      </c>
      <c r="N816" s="3" t="str">
        <f>OBRA!Q814</f>
        <v>CHANTEPEC</v>
      </c>
      <c r="O816" s="504" t="s">
        <v>6754</v>
      </c>
      <c r="P816" s="79">
        <f>OBRA!R814</f>
        <v>3329.2</v>
      </c>
      <c r="Q816" s="1023">
        <f t="shared" si="70"/>
        <v>2870</v>
      </c>
      <c r="R816" s="1023" t="s">
        <v>2294</v>
      </c>
      <c r="S816" s="67">
        <f>OBRA!S814</f>
        <v>45415</v>
      </c>
      <c r="T816" s="1134">
        <f>OBRA!V814</f>
        <v>0</v>
      </c>
      <c r="U816" s="5">
        <f>OBRA!T814</f>
        <v>45418</v>
      </c>
      <c r="V816" s="11">
        <f>OBRA!U814</f>
        <v>45437</v>
      </c>
      <c r="W816" s="1901">
        <v>0</v>
      </c>
      <c r="X816" s="1019">
        <f>OBRA!AS814+OBRA!AT814</f>
        <v>0</v>
      </c>
      <c r="Y816" s="1018" t="s">
        <v>6770</v>
      </c>
      <c r="Z816" s="146" t="str">
        <f>OBRA!W814</f>
        <v>INFRAESTRUCTURA GUSEV, S.A. DE C.V.</v>
      </c>
      <c r="AA816" s="146" t="s">
        <v>5666</v>
      </c>
      <c r="AB816" s="148" t="s">
        <v>6527</v>
      </c>
      <c r="AC816" s="146" t="s">
        <v>6514</v>
      </c>
      <c r="AD816" s="148" t="s">
        <v>6515</v>
      </c>
      <c r="AE816" s="183" t="str">
        <f>OBRA!X814</f>
        <v>C. DANIEL RODRIGUEZ VALENZUELA</v>
      </c>
      <c r="AF816" s="19">
        <v>4</v>
      </c>
      <c r="AG816" s="2" t="s">
        <v>6756</v>
      </c>
      <c r="AH816" s="183">
        <f t="shared" si="65"/>
        <v>832.3</v>
      </c>
      <c r="AI816" s="2"/>
      <c r="AJ816" s="513"/>
      <c r="AK816" s="1888">
        <v>1</v>
      </c>
      <c r="AL816" s="1513"/>
      <c r="AM816" s="1514"/>
      <c r="AN816" s="571"/>
      <c r="AO816" s="571"/>
      <c r="AP816" s="571"/>
      <c r="AQ816" s="513"/>
      <c r="AR816" s="513"/>
      <c r="AS816" s="18"/>
    </row>
    <row r="817" spans="1:46" ht="15" hidden="1" customHeight="1">
      <c r="A817" s="16">
        <f>OBRA!J815</f>
        <v>2024</v>
      </c>
      <c r="B817" s="783" t="s">
        <v>3944</v>
      </c>
      <c r="C817" s="783"/>
      <c r="D817" s="24"/>
      <c r="E817" s="2" t="str">
        <f>OBRA!M815</f>
        <v>CUENTA CORRIENTE</v>
      </c>
      <c r="F817" s="511"/>
      <c r="G817" s="156" t="s">
        <v>2861</v>
      </c>
      <c r="H817" s="12" t="str">
        <f>OBRA!N815</f>
        <v>C- OP 019/2024</v>
      </c>
      <c r="I817" s="2" t="str">
        <f>OBRA!O815</f>
        <v>CANCELADA</v>
      </c>
      <c r="J817" s="3">
        <f>OBRA!P815</f>
        <v>0</v>
      </c>
      <c r="K817" s="541"/>
      <c r="L817" s="3" t="s">
        <v>68</v>
      </c>
      <c r="M817" s="1859" t="s">
        <v>68</v>
      </c>
      <c r="N817" s="3" t="str">
        <f>OBRA!Q815</f>
        <v>-</v>
      </c>
      <c r="O817" s="529"/>
      <c r="P817" s="4">
        <f>OBRA!R815</f>
        <v>0</v>
      </c>
      <c r="Q817" s="1023">
        <f t="shared" si="70"/>
        <v>0</v>
      </c>
      <c r="R817" s="1023"/>
      <c r="S817" s="6" t="str">
        <f>OBRA!S815</f>
        <v>-</v>
      </c>
      <c r="T817" s="1134">
        <f>OBRA!V815</f>
        <v>0</v>
      </c>
      <c r="U817" s="5">
        <f>OBRA!T815</f>
        <v>0</v>
      </c>
      <c r="V817" s="11">
        <f>OBRA!U815</f>
        <v>0</v>
      </c>
      <c r="W817" s="278">
        <v>0</v>
      </c>
      <c r="X817" s="1019">
        <f>OBRA!AS815+OBRA!AT815</f>
        <v>0</v>
      </c>
      <c r="Y817" s="1017"/>
      <c r="Z817" s="146">
        <f>OBRA!W815</f>
        <v>0</v>
      </c>
      <c r="AA817" s="146"/>
      <c r="AB817" s="148">
        <f t="shared" ref="AB817:AB819" si="71">Z817</f>
        <v>0</v>
      </c>
      <c r="AC817" s="163"/>
      <c r="AD817" s="1169"/>
      <c r="AE817" s="183" t="str">
        <f>OBRA!X815</f>
        <v>C. IMELDA KARINA PÉREZ GONZÁLEZ</v>
      </c>
      <c r="AF817" s="19"/>
      <c r="AG817" s="510"/>
      <c r="AH817" s="664" t="e">
        <f t="shared" ref="AH817:AH831" si="72">X817/AF817</f>
        <v>#DIV/0!</v>
      </c>
      <c r="AI817" s="510"/>
      <c r="AJ817" s="506"/>
      <c r="AK817" s="506"/>
      <c r="AL817" s="635"/>
      <c r="AM817" s="1517"/>
      <c r="AN817" s="573"/>
      <c r="AO817" s="573"/>
      <c r="AP817" s="573"/>
      <c r="AQ817" s="506"/>
      <c r="AR817" s="506"/>
      <c r="AS817" s="511"/>
    </row>
    <row r="818" spans="1:46" ht="118.5" customHeight="1">
      <c r="A818" s="16">
        <f>OBRA!J816</f>
        <v>2024</v>
      </c>
      <c r="B818" s="783" t="s">
        <v>3944</v>
      </c>
      <c r="C818" s="783"/>
      <c r="D818" s="24"/>
      <c r="E818" s="2" t="str">
        <f>OBRA!M816</f>
        <v>CUENTA CORRIENTE</v>
      </c>
      <c r="F818" s="511"/>
      <c r="G818" s="156" t="s">
        <v>2861</v>
      </c>
      <c r="H818" s="12" t="str">
        <f>OBRA!N816</f>
        <v>C- OP 020/2024</v>
      </c>
      <c r="I818" s="2" t="str">
        <f>OBRA!O816</f>
        <v>ARRENDAMIENTO</v>
      </c>
      <c r="J818" s="1175"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3"/>
      <c r="L818" s="3" t="s">
        <v>4747</v>
      </c>
      <c r="M818" s="173" t="s">
        <v>6718</v>
      </c>
      <c r="N818" s="3" t="str">
        <f>OBRA!Q816</f>
        <v>MPIO: CABECERA Y CHANTEPEC</v>
      </c>
      <c r="O818" s="504" t="s">
        <v>6754</v>
      </c>
      <c r="P818" s="79">
        <f>OBRA!R816</f>
        <v>2888.3999999999996</v>
      </c>
      <c r="Q818" s="1023">
        <f t="shared" si="70"/>
        <v>2490</v>
      </c>
      <c r="R818" s="1023" t="s">
        <v>2294</v>
      </c>
      <c r="S818" s="67">
        <f>OBRA!S816</f>
        <v>45468</v>
      </c>
      <c r="T818" s="1134">
        <f>OBRA!V816</f>
        <v>0</v>
      </c>
      <c r="U818" s="5">
        <f>OBRA!T816</f>
        <v>45469</v>
      </c>
      <c r="V818" s="11">
        <f>OBRA!U816</f>
        <v>45499</v>
      </c>
      <c r="W818" s="1901">
        <v>0</v>
      </c>
      <c r="X818" s="1019">
        <f>OBRA!AS816+OBRA!AT816</f>
        <v>0</v>
      </c>
      <c r="Y818" s="1018" t="s">
        <v>6770</v>
      </c>
      <c r="Z818" s="146" t="str">
        <f>OBRA!W816</f>
        <v>GURPO CONSTRUCTOR GASPEC, S.A. DE C.V.</v>
      </c>
      <c r="AA818" s="146" t="s">
        <v>5666</v>
      </c>
      <c r="AB818" s="148" t="s">
        <v>6738</v>
      </c>
      <c r="AC818" s="146"/>
      <c r="AD818" s="148"/>
      <c r="AE818" s="183" t="str">
        <f>OBRA!X816</f>
        <v>C. DANIEL RODRIGUEZ VALENZUELA</v>
      </c>
      <c r="AF818" s="19">
        <v>3</v>
      </c>
      <c r="AG818" s="2" t="s">
        <v>6756</v>
      </c>
      <c r="AH818" s="183">
        <f t="shared" ref="AH818:AH819" si="73">P818/AF818</f>
        <v>962.79999999999984</v>
      </c>
      <c r="AI818" s="2"/>
      <c r="AJ818" s="513"/>
      <c r="AK818" s="1888">
        <v>1</v>
      </c>
      <c r="AL818" s="1513"/>
      <c r="AM818" s="1514"/>
      <c r="AN818" s="571"/>
      <c r="AO818" s="571"/>
      <c r="AP818" s="571"/>
      <c r="AQ818" s="513"/>
      <c r="AR818" s="513"/>
      <c r="AS818" s="18"/>
    </row>
    <row r="819" spans="1:46" ht="123" customHeight="1">
      <c r="A819" s="16">
        <f>OBRA!J817</f>
        <v>2024</v>
      </c>
      <c r="B819" s="783" t="s">
        <v>3944</v>
      </c>
      <c r="C819" s="783"/>
      <c r="D819" s="24"/>
      <c r="E819" s="2" t="str">
        <f>OBRA!M817</f>
        <v>CUENTA CORRIENTE</v>
      </c>
      <c r="F819" s="511"/>
      <c r="G819" s="156" t="s">
        <v>2861</v>
      </c>
      <c r="H819" s="12" t="str">
        <f>OBRA!N817</f>
        <v>C- OP 021/2024</v>
      </c>
      <c r="I819" s="2" t="str">
        <f>OBRA!O817</f>
        <v>ARRENDAMIENTO</v>
      </c>
      <c r="J819"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3"/>
      <c r="L819" s="3" t="s">
        <v>6345</v>
      </c>
      <c r="M819" s="173" t="s">
        <v>6719</v>
      </c>
      <c r="N819" s="3" t="str">
        <f>OBRA!Q817</f>
        <v>LAS TROJES</v>
      </c>
      <c r="O819" s="504" t="s">
        <v>6755</v>
      </c>
      <c r="P819" s="79">
        <f>OBRA!R817</f>
        <v>1252.8</v>
      </c>
      <c r="Q819" s="1023">
        <f t="shared" si="70"/>
        <v>1080</v>
      </c>
      <c r="R819" s="1023" t="s">
        <v>5591</v>
      </c>
      <c r="S819" s="67">
        <f>OBRA!S817</f>
        <v>45397</v>
      </c>
      <c r="T819" s="1134">
        <f>OBRA!V817</f>
        <v>0</v>
      </c>
      <c r="U819" s="5">
        <f>OBRA!T817</f>
        <v>45399</v>
      </c>
      <c r="V819" s="11">
        <f>OBRA!U817</f>
        <v>45434</v>
      </c>
      <c r="W819" s="1901">
        <v>0</v>
      </c>
      <c r="X819" s="1019">
        <f>OBRA!AS817+OBRA!AT817</f>
        <v>0</v>
      </c>
      <c r="Y819" s="1018" t="s">
        <v>6770</v>
      </c>
      <c r="Z819" s="146" t="str">
        <f>OBRA!W817</f>
        <v>DZ SERVICIOS CONSTRUCTIVOS E INFRAESTRUCTURA, S.A.S. DE C.V.</v>
      </c>
      <c r="AA819" s="146"/>
      <c r="AB819" s="148" t="str">
        <f t="shared" si="71"/>
        <v>DZ SERVICIOS CONSTRUCTIVOS E INFRAESTRUCTURA, S.A.S. DE C.V.</v>
      </c>
      <c r="AC819" s="146"/>
      <c r="AD819" s="148"/>
      <c r="AE819" s="183" t="str">
        <f>OBRA!X817</f>
        <v>ARQ. JAIME CONDE GOMEZ</v>
      </c>
      <c r="AF819" s="19">
        <v>2</v>
      </c>
      <c r="AG819" s="2" t="s">
        <v>6756</v>
      </c>
      <c r="AH819" s="183">
        <f t="shared" si="73"/>
        <v>626.4</v>
      </c>
      <c r="AI819" s="2"/>
      <c r="AJ819" s="513"/>
      <c r="AK819" s="1888">
        <v>1</v>
      </c>
      <c r="AL819" s="1513"/>
      <c r="AM819" s="1514"/>
      <c r="AN819" s="571"/>
      <c r="AO819" s="571"/>
      <c r="AP819" s="571"/>
      <c r="AQ819" s="513"/>
      <c r="AR819" s="513"/>
      <c r="AS819" s="18"/>
    </row>
    <row r="820" spans="1:46" ht="15" hidden="1" customHeight="1">
      <c r="A820" s="16">
        <f>OBRA!J818</f>
        <v>2024</v>
      </c>
      <c r="B820" s="783" t="s">
        <v>3944</v>
      </c>
      <c r="C820" s="783"/>
      <c r="D820" s="24"/>
      <c r="E820" s="2" t="str">
        <f>OBRA!M818</f>
        <v>CUENTA CORRIENTE</v>
      </c>
      <c r="F820" s="511"/>
      <c r="G820" s="156" t="s">
        <v>2861</v>
      </c>
      <c r="H820" s="12" t="str">
        <f>OBRA!N818</f>
        <v>C- OP 022/2024</v>
      </c>
      <c r="I820" s="2" t="str">
        <f>OBRA!O818</f>
        <v>CANCELADA</v>
      </c>
      <c r="J820" s="3">
        <f>OBRA!P818</f>
        <v>0</v>
      </c>
      <c r="K820" s="541"/>
      <c r="L820" s="3" t="s">
        <v>68</v>
      </c>
      <c r="M820" s="1859" t="s">
        <v>68</v>
      </c>
      <c r="N820" s="3" t="str">
        <f>OBRA!Q818</f>
        <v>-</v>
      </c>
      <c r="O820" s="529"/>
      <c r="P820" s="4">
        <f>OBRA!R818</f>
        <v>0</v>
      </c>
      <c r="Q820" s="1023">
        <f t="shared" ref="Q820:Q824" si="74">P820/1.16</f>
        <v>0</v>
      </c>
      <c r="R820" s="1023"/>
      <c r="S820" s="6" t="str">
        <f>OBRA!S818</f>
        <v>-</v>
      </c>
      <c r="T820" s="1134">
        <f>OBRA!V818</f>
        <v>0</v>
      </c>
      <c r="U820" s="5">
        <f>OBRA!T818</f>
        <v>0</v>
      </c>
      <c r="V820" s="11">
        <f>OBRA!U818</f>
        <v>0</v>
      </c>
      <c r="W820" s="278">
        <v>0</v>
      </c>
      <c r="X820" s="1019">
        <f>OBRA!AS818+OBRA!AT818</f>
        <v>0</v>
      </c>
      <c r="Y820" s="1017"/>
      <c r="Z820" s="146">
        <f>OBRA!W818</f>
        <v>0</v>
      </c>
      <c r="AA820" s="146"/>
      <c r="AB820" s="148">
        <f t="shared" ref="AB820" si="75">Z820</f>
        <v>0</v>
      </c>
      <c r="AC820" s="163"/>
      <c r="AD820" s="1169"/>
      <c r="AE820" s="183" t="str">
        <f>OBRA!X818</f>
        <v>C. IMELDA KARINA PÉREZ GONZÁLEZ</v>
      </c>
      <c r="AF820" s="19"/>
      <c r="AG820" s="510"/>
      <c r="AH820" s="664" t="e">
        <f t="shared" si="72"/>
        <v>#DIV/0!</v>
      </c>
      <c r="AI820" s="510"/>
      <c r="AJ820" s="506"/>
      <c r="AK820" s="506"/>
      <c r="AL820" s="635"/>
      <c r="AM820" s="1517"/>
      <c r="AN820" s="573"/>
      <c r="AO820" s="573"/>
      <c r="AP820" s="573"/>
      <c r="AQ820" s="506"/>
      <c r="AR820" s="506"/>
      <c r="AS820" s="511"/>
    </row>
    <row r="821" spans="1:46" ht="125.25" customHeight="1">
      <c r="A821" s="16">
        <f>OBRA!J819</f>
        <v>2024</v>
      </c>
      <c r="B821" s="783" t="s">
        <v>3944</v>
      </c>
      <c r="C821" s="783"/>
      <c r="D821" s="24"/>
      <c r="E821" s="2" t="str">
        <f>OBRA!M819</f>
        <v>CUENTA CORRIENTE</v>
      </c>
      <c r="F821" s="511"/>
      <c r="G821" s="156" t="s">
        <v>2861</v>
      </c>
      <c r="H821" s="12" t="str">
        <f>OBRA!N819</f>
        <v>C- OP 023/2024</v>
      </c>
      <c r="I821" s="2" t="str">
        <f>OBRA!O819</f>
        <v>ARRENDAMIENTO</v>
      </c>
      <c r="J821"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3"/>
      <c r="L821" s="3" t="s">
        <v>4751</v>
      </c>
      <c r="M821" s="173" t="s">
        <v>6720</v>
      </c>
      <c r="N821" s="3" t="str">
        <f>OBRA!Q819</f>
        <v>CABECERA MUNICIPAL</v>
      </c>
      <c r="O821" s="504" t="s">
        <v>6755</v>
      </c>
      <c r="P821" s="79">
        <f>OBRA!R819</f>
        <v>1400.0039999999999</v>
      </c>
      <c r="Q821" s="1023">
        <f t="shared" si="74"/>
        <v>1206.9000000000001</v>
      </c>
      <c r="R821" s="1023" t="s">
        <v>2294</v>
      </c>
      <c r="S821" s="67">
        <f>OBRA!S819</f>
        <v>45491</v>
      </c>
      <c r="T821" s="1134">
        <f>OBRA!V819</f>
        <v>0</v>
      </c>
      <c r="U821" s="5">
        <f>OBRA!T819</f>
        <v>45495</v>
      </c>
      <c r="V821" s="11">
        <f>OBRA!U819</f>
        <v>45504</v>
      </c>
      <c r="W821" s="1901">
        <v>0</v>
      </c>
      <c r="X821" s="1019">
        <f>OBRA!AS819+OBRA!AT819</f>
        <v>0</v>
      </c>
      <c r="Y821" s="1018" t="s">
        <v>6770</v>
      </c>
      <c r="Z821" s="146" t="str">
        <f>OBRA!W819</f>
        <v>TERRACERÍAS Y PAVIMENTOS DE LA RIBERA, S.A. DE C.V.</v>
      </c>
      <c r="AA821" s="146" t="s">
        <v>5666</v>
      </c>
      <c r="AB821" s="1769" t="s">
        <v>4444</v>
      </c>
      <c r="AC821" s="1770" t="s">
        <v>3470</v>
      </c>
      <c r="AD821" s="1769" t="s">
        <v>6070</v>
      </c>
      <c r="AE821" s="183" t="str">
        <f>OBRA!X819</f>
        <v>ING. LUIS RIGOBERTO OLMEDO NAVARRO</v>
      </c>
      <c r="AF821" s="19">
        <v>2</v>
      </c>
      <c r="AG821" s="2" t="s">
        <v>6756</v>
      </c>
      <c r="AH821" s="183">
        <f t="shared" ref="AH821:AH825" si="76">P821/AF821</f>
        <v>700.00199999999995</v>
      </c>
      <c r="AI821" s="2"/>
      <c r="AJ821" s="513"/>
      <c r="AK821" s="1888">
        <v>1</v>
      </c>
      <c r="AL821" s="1513"/>
      <c r="AM821" s="1514"/>
      <c r="AN821" s="571"/>
      <c r="AO821" s="571"/>
      <c r="AP821" s="571"/>
      <c r="AQ821" s="513"/>
      <c r="AR821" s="513"/>
      <c r="AS821" s="18"/>
    </row>
    <row r="822" spans="1:46" ht="129" customHeight="1">
      <c r="A822" s="16">
        <f>OBRA!J820</f>
        <v>2024</v>
      </c>
      <c r="B822" s="783" t="s">
        <v>3944</v>
      </c>
      <c r="C822" s="783"/>
      <c r="D822" s="24"/>
      <c r="E822" s="2" t="str">
        <f>OBRA!M820</f>
        <v>CUENTA CORRIENTE</v>
      </c>
      <c r="F822" s="511"/>
      <c r="G822" s="156" t="s">
        <v>2861</v>
      </c>
      <c r="H822" s="12" t="str">
        <f>OBRA!N820</f>
        <v>C- OP 024/2024</v>
      </c>
      <c r="I822" s="2" t="str">
        <f>OBRA!O820</f>
        <v>ARRENDAMIENTO</v>
      </c>
      <c r="J822"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3"/>
      <c r="L822" s="3" t="s">
        <v>6345</v>
      </c>
      <c r="M822" s="173" t="s">
        <v>6721</v>
      </c>
      <c r="N822" s="3" t="str">
        <f>OBRA!Q820</f>
        <v>CABECERA MUNICIPAL</v>
      </c>
      <c r="O822" s="504" t="s">
        <v>6755</v>
      </c>
      <c r="P822" s="79">
        <f>OBRA!R820</f>
        <v>9512</v>
      </c>
      <c r="Q822" s="1023">
        <f t="shared" si="74"/>
        <v>8200</v>
      </c>
      <c r="R822" s="1023" t="s">
        <v>6726</v>
      </c>
      <c r="S822" s="67">
        <f>OBRA!S820</f>
        <v>45531</v>
      </c>
      <c r="T822" s="1134">
        <f>OBRA!V820</f>
        <v>0</v>
      </c>
      <c r="U822" s="5">
        <f>OBRA!T820</f>
        <v>45533</v>
      </c>
      <c r="V822" s="11">
        <f>OBRA!U820</f>
        <v>45537</v>
      </c>
      <c r="W822" s="1901">
        <v>0</v>
      </c>
      <c r="X822" s="1019">
        <f>OBRA!AS820+OBRA!AT820</f>
        <v>0</v>
      </c>
      <c r="Y822" s="1018" t="s">
        <v>6770</v>
      </c>
      <c r="Z822" s="146" t="str">
        <f>OBRA!W820</f>
        <v>ING. SERGIO CABRERA</v>
      </c>
      <c r="AA822" s="146" t="s">
        <v>5665</v>
      </c>
      <c r="AB822" s="1769" t="s">
        <v>4444</v>
      </c>
      <c r="AC822" s="146" t="s">
        <v>1922</v>
      </c>
      <c r="AD822" s="148" t="s">
        <v>6046</v>
      </c>
      <c r="AE822" s="183" t="str">
        <f>OBRA!X820</f>
        <v>C. DANIEL RODRIGUEZ VALENZUELA</v>
      </c>
      <c r="AF822" s="19">
        <v>4</v>
      </c>
      <c r="AG822" s="2" t="s">
        <v>6756</v>
      </c>
      <c r="AH822" s="183">
        <f t="shared" si="76"/>
        <v>2378</v>
      </c>
      <c r="AI822" s="2"/>
      <c r="AJ822" s="513"/>
      <c r="AK822" s="1888">
        <v>1</v>
      </c>
      <c r="AL822" s="1513"/>
      <c r="AM822" s="1514"/>
      <c r="AN822" s="571"/>
      <c r="AO822" s="571"/>
      <c r="AP822" s="571"/>
      <c r="AQ822" s="513"/>
      <c r="AR822" s="513"/>
      <c r="AS822" s="18"/>
    </row>
    <row r="823" spans="1:46" ht="147" customHeight="1">
      <c r="A823" s="16">
        <f>OBRA!J821</f>
        <v>2024</v>
      </c>
      <c r="B823" s="783" t="s">
        <v>3944</v>
      </c>
      <c r="C823" s="783"/>
      <c r="D823" s="24"/>
      <c r="E823" s="2" t="str">
        <f>OBRA!M821</f>
        <v>CUENTA CORRIENTE</v>
      </c>
      <c r="F823" s="511"/>
      <c r="G823" s="156" t="s">
        <v>2861</v>
      </c>
      <c r="H823" s="12" t="str">
        <f>OBRA!N821</f>
        <v>C- OP 025/2024</v>
      </c>
      <c r="I823" s="2" t="str">
        <f>OBRA!O821</f>
        <v>ARRENDAMIENTO</v>
      </c>
      <c r="J823"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3"/>
      <c r="L823" s="3" t="s">
        <v>4752</v>
      </c>
      <c r="M823" s="173" t="s">
        <v>6711</v>
      </c>
      <c r="N823" s="3" t="str">
        <f>OBRA!Q821</f>
        <v>CABECERA MUNICIPAL</v>
      </c>
      <c r="O823" s="504" t="s">
        <v>6755</v>
      </c>
      <c r="P823" s="79">
        <f>OBRA!R821</f>
        <v>4452.1611999999996</v>
      </c>
      <c r="Q823" s="1023">
        <f t="shared" si="74"/>
        <v>3838.0699999999997</v>
      </c>
      <c r="R823" s="1023" t="s">
        <v>2294</v>
      </c>
      <c r="S823" s="67">
        <f>OBRA!S821</f>
        <v>45474</v>
      </c>
      <c r="T823" s="1134">
        <f>OBRA!V821</f>
        <v>0</v>
      </c>
      <c r="U823" s="5">
        <f>OBRA!T821</f>
        <v>45488</v>
      </c>
      <c r="V823" s="11">
        <f>OBRA!U821</f>
        <v>45545</v>
      </c>
      <c r="W823" s="1901">
        <v>0</v>
      </c>
      <c r="X823" s="1019">
        <f>OBRA!AS821+OBRA!AT821</f>
        <v>0</v>
      </c>
      <c r="Y823" s="1018" t="s">
        <v>6770</v>
      </c>
      <c r="Z823" s="146" t="str">
        <f>OBRA!W821</f>
        <v>GURPO CONSTRUCTOR GASPEC, S.A. DE C.V.</v>
      </c>
      <c r="AA823" s="146" t="s">
        <v>5666</v>
      </c>
      <c r="AB823" s="148" t="s">
        <v>6738</v>
      </c>
      <c r="AC823" s="146"/>
      <c r="AD823" s="148"/>
      <c r="AE823" s="183" t="str">
        <f>OBRA!X821</f>
        <v>C. DANIEL RODRIGUEZ VALENZUELA</v>
      </c>
      <c r="AF823" s="19">
        <v>6</v>
      </c>
      <c r="AG823" s="2" t="s">
        <v>6756</v>
      </c>
      <c r="AH823" s="183">
        <f t="shared" si="76"/>
        <v>742.02686666666659</v>
      </c>
      <c r="AI823" s="2"/>
      <c r="AJ823" s="513"/>
      <c r="AK823" s="1888">
        <v>1</v>
      </c>
      <c r="AL823" s="1513"/>
      <c r="AM823" s="1514"/>
      <c r="AN823" s="571"/>
      <c r="AO823" s="571"/>
      <c r="AP823" s="571"/>
      <c r="AQ823" s="513"/>
      <c r="AR823" s="513"/>
      <c r="AS823" s="18"/>
    </row>
    <row r="824" spans="1:46" ht="168.75" customHeight="1">
      <c r="A824" s="16">
        <f>OBRA!J822</f>
        <v>2024</v>
      </c>
      <c r="B824" s="783" t="s">
        <v>3944</v>
      </c>
      <c r="C824" s="783"/>
      <c r="D824" s="24"/>
      <c r="E824" s="2" t="str">
        <f>OBRA!M822</f>
        <v>CUENTA CORRIENTE</v>
      </c>
      <c r="F824" s="511"/>
      <c r="G824" s="156" t="s">
        <v>2861</v>
      </c>
      <c r="H824" s="12" t="str">
        <f>OBRA!N822</f>
        <v>C- OP 026/2024</v>
      </c>
      <c r="I824" s="2" t="str">
        <f>OBRA!O822</f>
        <v>ARRENDAMIENTO</v>
      </c>
      <c r="J824"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3"/>
      <c r="L824" s="3" t="s">
        <v>4752</v>
      </c>
      <c r="M824" s="173" t="s">
        <v>6711</v>
      </c>
      <c r="N824" s="3" t="str">
        <f>OBRA!Q822</f>
        <v>CABECERA MUNICIPAL</v>
      </c>
      <c r="O824" s="504" t="s">
        <v>6755</v>
      </c>
      <c r="P824" s="79">
        <f>OBRA!R822</f>
        <v>4452.1611999999996</v>
      </c>
      <c r="Q824" s="1023">
        <f t="shared" si="74"/>
        <v>3838.0699999999997</v>
      </c>
      <c r="R824" s="1023" t="s">
        <v>2294</v>
      </c>
      <c r="S824" s="67">
        <f>OBRA!S822</f>
        <v>45474</v>
      </c>
      <c r="T824" s="1134">
        <f>OBRA!V822</f>
        <v>0</v>
      </c>
      <c r="U824" s="5">
        <f>OBRA!T822</f>
        <v>45488</v>
      </c>
      <c r="V824" s="11">
        <f>OBRA!U822</f>
        <v>45545</v>
      </c>
      <c r="W824" s="1901">
        <v>0</v>
      </c>
      <c r="X824" s="1019">
        <f>OBRA!AS822+OBRA!AT822</f>
        <v>0</v>
      </c>
      <c r="Y824" s="1018" t="s">
        <v>6770</v>
      </c>
      <c r="Z824" s="146" t="str">
        <f>OBRA!W822</f>
        <v>GURPO CONSTRUCTOR GASPEC, S.A. DE C.V.</v>
      </c>
      <c r="AA824" s="146" t="s">
        <v>5666</v>
      </c>
      <c r="AB824" s="148" t="s">
        <v>6738</v>
      </c>
      <c r="AC824" s="146"/>
      <c r="AD824" s="148"/>
      <c r="AE824" s="183" t="str">
        <f>OBRA!X822</f>
        <v>C. DANIEL RODRIGUEZ VALENZUELA</v>
      </c>
      <c r="AF824" s="19">
        <v>6</v>
      </c>
      <c r="AG824" s="2" t="s">
        <v>6756</v>
      </c>
      <c r="AH824" s="183">
        <f t="shared" si="76"/>
        <v>742.02686666666659</v>
      </c>
      <c r="AI824" s="2"/>
      <c r="AJ824" s="513"/>
      <c r="AK824" s="1888">
        <v>1</v>
      </c>
      <c r="AL824" s="1513"/>
      <c r="AM824" s="1514"/>
      <c r="AN824" s="571"/>
      <c r="AO824" s="571"/>
      <c r="AP824" s="571"/>
      <c r="AQ824" s="513"/>
      <c r="AR824" s="513"/>
      <c r="AS824" s="18"/>
    </row>
    <row r="825" spans="1:46" ht="111.75" customHeight="1">
      <c r="A825" s="16">
        <f>OBRA!J823</f>
        <v>2024</v>
      </c>
      <c r="B825" s="783" t="s">
        <v>3944</v>
      </c>
      <c r="C825" s="783"/>
      <c r="D825" s="24"/>
      <c r="E825" s="2" t="str">
        <f>OBRA!M823</f>
        <v>CUENTA CORRIENTE</v>
      </c>
      <c r="F825" s="511"/>
      <c r="G825" s="156" t="s">
        <v>2861</v>
      </c>
      <c r="H825" s="12" t="str">
        <f>OBRA!N823</f>
        <v>C- OP 027/2024</v>
      </c>
      <c r="I825" s="2" t="str">
        <f>OBRA!O823</f>
        <v>ARRENDAMIENTO</v>
      </c>
      <c r="J825" s="3" t="str">
        <f>OBRA!P823</f>
        <v>RENTA DE UNA RETROEXCAVADORA 420E, UN CAMIÓN VOLTEO DE 14 M3 Y JORNAL DE LIMPIEZA, PARA LOS TRABAJOS DE LIMPIEZA EN LA CALLE DEGOLLADO DE CALLE MATAMOROS A CALLE NICOLÁS BRAVO, EN LA CABECERA MUNICIPAL DE JOCOTEPEC, JALISCO.</v>
      </c>
      <c r="K825" s="3"/>
      <c r="L825" s="3" t="s">
        <v>6345</v>
      </c>
      <c r="M825" s="173" t="s">
        <v>6722</v>
      </c>
      <c r="N825" s="3" t="str">
        <f>OBRA!Q823</f>
        <v>CABECERA MUNICIPAL</v>
      </c>
      <c r="O825" s="504" t="s">
        <v>6755</v>
      </c>
      <c r="P825" s="79">
        <f>OBRA!R823</f>
        <v>2204</v>
      </c>
      <c r="Q825" s="1023">
        <f t="shared" ref="Q825" si="77">P825/1.16</f>
        <v>1900.0000000000002</v>
      </c>
      <c r="R825" s="1023" t="s">
        <v>6726</v>
      </c>
      <c r="S825" s="67">
        <f>OBRA!S823</f>
        <v>45541</v>
      </c>
      <c r="T825" s="1134">
        <f>OBRA!V823</f>
        <v>0</v>
      </c>
      <c r="U825" s="5">
        <f>OBRA!T823</f>
        <v>45544</v>
      </c>
      <c r="V825" s="11">
        <f>OBRA!U823</f>
        <v>45548</v>
      </c>
      <c r="W825" s="1901">
        <v>0</v>
      </c>
      <c r="X825" s="1019">
        <f>OBRA!AS823+OBRA!AT823</f>
        <v>0</v>
      </c>
      <c r="Y825" s="1018" t="s">
        <v>6770</v>
      </c>
      <c r="Z825" s="146" t="str">
        <f>OBRA!W823</f>
        <v>ING. SERGIO CABRERA</v>
      </c>
      <c r="AA825" s="146" t="s">
        <v>5665</v>
      </c>
      <c r="AB825" s="1769" t="s">
        <v>4444</v>
      </c>
      <c r="AC825" s="146" t="s">
        <v>1922</v>
      </c>
      <c r="AD825" s="148" t="s">
        <v>6046</v>
      </c>
      <c r="AE825" s="183" t="str">
        <f>OBRA!X823</f>
        <v>C. DANIEL RODRIGUEZ VALENZUELA</v>
      </c>
      <c r="AF825" s="19">
        <v>2</v>
      </c>
      <c r="AG825" s="2" t="s">
        <v>6756</v>
      </c>
      <c r="AH825" s="183">
        <f t="shared" si="76"/>
        <v>1102</v>
      </c>
      <c r="AI825" s="2"/>
      <c r="AJ825" s="513"/>
      <c r="AK825" s="1888">
        <v>1</v>
      </c>
      <c r="AL825" s="1513"/>
      <c r="AM825" s="1514"/>
      <c r="AN825" s="571"/>
      <c r="AO825" s="571"/>
      <c r="AP825" s="571"/>
      <c r="AQ825" s="513"/>
      <c r="AR825" s="526"/>
      <c r="AS825" s="18"/>
    </row>
    <row r="826" spans="1:46" ht="90.75" customHeight="1">
      <c r="A826" s="16">
        <f>OBRA!J824</f>
        <v>2024</v>
      </c>
      <c r="B826" s="783" t="s">
        <v>3944</v>
      </c>
      <c r="C826" s="783">
        <f>OBRA!K824</f>
        <v>244001</v>
      </c>
      <c r="D826" s="24" t="s">
        <v>2310</v>
      </c>
      <c r="E826" s="2" t="str">
        <f>OBRA!M824</f>
        <v>REGULARIZACIÓN DE VEHÍCULOS DE PROCEDENCIA EXTRANJERA - RAMO 23/2024</v>
      </c>
      <c r="F826" s="511"/>
      <c r="G826" s="156" t="s">
        <v>2206</v>
      </c>
      <c r="H826" s="412" t="str">
        <f>OBRA!N824</f>
        <v>DOP/AD/001/2024</v>
      </c>
      <c r="I826" s="2" t="str">
        <f>OBRA!O824</f>
        <v>ADMINISTRACIÓN DIRECTA</v>
      </c>
      <c r="J826" s="3" t="str">
        <f>OBRA!P824</f>
        <v>"BACHEO SUPERFICIAL AISLADO CON MEZCLA ASFÁLTICA EN LA CALLE NIÑÓS HÉROES ENTRE CALLE DEGOLLADO Y CALLE ITURBIDE EN EL BARRIO LA CALABAZA DE LA CABECERA MUNICIPAL DE JOCOTEPEC, JALISCO, MUNICIPIO DE JOCOTEPEC, JALISCO</v>
      </c>
      <c r="K826" s="3" t="s">
        <v>6781</v>
      </c>
      <c r="L826" s="3" t="s">
        <v>6258</v>
      </c>
      <c r="M826" s="3" t="s">
        <v>6165</v>
      </c>
      <c r="N826" s="3" t="str">
        <f>OBRA!Q824</f>
        <v>CABECERA MUNICIPAL</v>
      </c>
      <c r="O826" s="504" t="s">
        <v>6164</v>
      </c>
      <c r="P826" s="79">
        <f>OBRA!R824</f>
        <v>89910</v>
      </c>
      <c r="Q826" s="1023">
        <f t="shared" si="69"/>
        <v>77508.620689655174</v>
      </c>
      <c r="R826" s="1714" t="s">
        <v>68</v>
      </c>
      <c r="S826" s="67" t="str">
        <f>OBRA!S824</f>
        <v>-</v>
      </c>
      <c r="T826" s="1134" t="str">
        <f>OBRA!V824</f>
        <v>-</v>
      </c>
      <c r="U826" s="5">
        <f>OBRA!T824</f>
        <v>45392</v>
      </c>
      <c r="V826" s="11">
        <f>OBRA!U824</f>
        <v>45394</v>
      </c>
      <c r="W826" s="1901">
        <v>0</v>
      </c>
      <c r="X826" s="1019">
        <f>OBRA!AS824+OBRA!AT824</f>
        <v>89888.77</v>
      </c>
      <c r="Y826" s="1018" t="s">
        <v>6056</v>
      </c>
      <c r="Z826" s="146" t="str">
        <f>OBRA!W824</f>
        <v>-</v>
      </c>
      <c r="AA826" s="146" t="s">
        <v>68</v>
      </c>
      <c r="AB826" s="148" t="str">
        <f t="shared" si="64"/>
        <v>-</v>
      </c>
      <c r="AC826" s="146" t="s">
        <v>68</v>
      </c>
      <c r="AD826" s="148" t="s">
        <v>68</v>
      </c>
      <c r="AE826" s="183" t="str">
        <f>OBRA!X824</f>
        <v>ING. LUIS RIGOBERTO OLMEDO NAVARRO</v>
      </c>
      <c r="AF826" s="552">
        <v>232</v>
      </c>
      <c r="AG826" s="2" t="s">
        <v>1548</v>
      </c>
      <c r="AH826" s="615">
        <f t="shared" si="72"/>
        <v>387.45159482758623</v>
      </c>
      <c r="AI826" s="2">
        <v>250</v>
      </c>
      <c r="AJ826" s="2">
        <v>5000</v>
      </c>
      <c r="AK826" s="1888">
        <v>1</v>
      </c>
      <c r="AL826" s="1522">
        <v>20.289055000000001</v>
      </c>
      <c r="AM826" s="1523">
        <v>103.43452000000001</v>
      </c>
      <c r="AN826" s="571" t="s">
        <v>6164</v>
      </c>
      <c r="AO826" s="571"/>
      <c r="AP826" s="571" t="s">
        <v>6164</v>
      </c>
      <c r="AQ826" s="501" t="s">
        <v>6164</v>
      </c>
      <c r="AR826" s="495"/>
      <c r="AS826" s="605" t="s">
        <v>6164</v>
      </c>
      <c r="AT826">
        <f>4526.35+11399.5+2737.99+18594.53+7077.26+9794.4+8361.04+98293.23+11913.66+47162.81+77231.52+59803.35+35550.74+165854.49+162782+32089+602697.49</f>
        <v>1355869.3599999999</v>
      </c>
    </row>
    <row r="827" spans="1:46" ht="108" customHeight="1">
      <c r="A827" s="16">
        <f>OBRA!J825</f>
        <v>2024</v>
      </c>
      <c r="B827" s="783" t="s">
        <v>3944</v>
      </c>
      <c r="C827" s="783">
        <f>OBRA!K825</f>
        <v>244002</v>
      </c>
      <c r="D827" s="24" t="s">
        <v>2310</v>
      </c>
      <c r="E827" s="2" t="str">
        <f>OBRA!M825</f>
        <v>RAMO 33</v>
      </c>
      <c r="F827" s="511"/>
      <c r="G827" s="156" t="s">
        <v>2206</v>
      </c>
      <c r="H827" s="412" t="str">
        <f>OBRA!N825</f>
        <v>DOP/AD/002/2024</v>
      </c>
      <c r="I827" s="2" t="str">
        <f>OBRA!O825</f>
        <v>ADMINISTRACIÓN DIRECTA</v>
      </c>
      <c r="J827" s="3" t="str">
        <f>OBRA!P825</f>
        <v>"CONSTRUCCIÓN DE DRENAJE EN CARRETERA JOCOTEPEC-CHAPALA DE CALLE XOCHITL A CALLE PLAYAS DEL SOL", EN LA LOCALIDAD DE CHANTEPEC, MUNICIPIO DE JOCOTEPEC, JALISCO.</v>
      </c>
      <c r="K827" s="1175" t="s">
        <v>6782</v>
      </c>
      <c r="L827" s="3" t="s">
        <v>4747</v>
      </c>
      <c r="M827" s="3" t="s">
        <v>6296</v>
      </c>
      <c r="N827" s="3" t="str">
        <f>OBRA!Q825</f>
        <v>CHANTEPEC</v>
      </c>
      <c r="O827" s="504" t="s">
        <v>6500</v>
      </c>
      <c r="P827" s="79">
        <f>OBRA!R825</f>
        <v>448614.85</v>
      </c>
      <c r="Q827" s="1023">
        <f t="shared" si="69"/>
        <v>386736.93965517241</v>
      </c>
      <c r="R827" s="1714" t="s">
        <v>68</v>
      </c>
      <c r="S827" s="67">
        <f>OBRA!S825</f>
        <v>45414</v>
      </c>
      <c r="T827" s="1134" t="str">
        <f>OBRA!V825</f>
        <v>-</v>
      </c>
      <c r="U827" s="5">
        <f>OBRA!T825</f>
        <v>45418</v>
      </c>
      <c r="V827" s="11">
        <f>OBRA!U825</f>
        <v>45437</v>
      </c>
      <c r="W827" s="1901">
        <v>0</v>
      </c>
      <c r="X827" s="1019">
        <f>OBRA!AS825+OBRA!AT825</f>
        <v>304125.05</v>
      </c>
      <c r="Y827" s="1018" t="s">
        <v>6323</v>
      </c>
      <c r="Z827" s="146" t="str">
        <f>OBRA!W825</f>
        <v>-</v>
      </c>
      <c r="AA827" s="146" t="s">
        <v>68</v>
      </c>
      <c r="AB827" s="148" t="str">
        <f t="shared" si="64"/>
        <v>-</v>
      </c>
      <c r="AC827" s="146" t="s">
        <v>68</v>
      </c>
      <c r="AD827" s="148" t="s">
        <v>68</v>
      </c>
      <c r="AE827" s="183" t="str">
        <f>OBRA!X825</f>
        <v>C. DANIEL RODRIGUEZ VALENZUELA</v>
      </c>
      <c r="AF827" s="19">
        <v>204</v>
      </c>
      <c r="AG827" s="2" t="s">
        <v>1548</v>
      </c>
      <c r="AH827" s="615">
        <f t="shared" si="72"/>
        <v>1490.8090686274509</v>
      </c>
      <c r="AI827" s="2">
        <v>150</v>
      </c>
      <c r="AJ827" s="2">
        <v>150</v>
      </c>
      <c r="AK827" s="1888">
        <v>1</v>
      </c>
      <c r="AL827" s="1522">
        <v>20.293230999999999</v>
      </c>
      <c r="AM827" s="1523">
        <v>103.393326</v>
      </c>
      <c r="AN827" s="571" t="s">
        <v>6500</v>
      </c>
      <c r="AO827" s="571" t="s">
        <v>6500</v>
      </c>
      <c r="AP827" s="571" t="s">
        <v>6500</v>
      </c>
      <c r="AQ827" s="501" t="s">
        <v>6500</v>
      </c>
      <c r="AR827" s="495"/>
      <c r="AS827" s="605" t="s">
        <v>6500</v>
      </c>
    </row>
    <row r="828" spans="1:46" ht="154.5" customHeight="1">
      <c r="A828" s="16">
        <f>OBRA!J826</f>
        <v>2024</v>
      </c>
      <c r="B828" s="783" t="s">
        <v>3944</v>
      </c>
      <c r="C828" s="783">
        <f>OBRA!K826</f>
        <v>244003</v>
      </c>
      <c r="D828" s="24" t="s">
        <v>2310</v>
      </c>
      <c r="E828" s="2" t="str">
        <f>OBRA!M826</f>
        <v>CUENTA CORRIENTE</v>
      </c>
      <c r="F828" s="511"/>
      <c r="G828" s="156" t="s">
        <v>2206</v>
      </c>
      <c r="H828" s="412" t="str">
        <f>OBRA!N826</f>
        <v>DOP/AD/003/2024</v>
      </c>
      <c r="I828" s="2" t="str">
        <f>OBRA!O826</f>
        <v>ADMINISTRACIÓN DIRECTA</v>
      </c>
      <c r="J828" s="3" t="str">
        <f>OBRA!P826</f>
        <v xml:space="preserve">"DELIMITACIÓN PERIMETRAL, CASETA DE CONTROL U CLORACIÓN DEL POZO DE AGUA", EN LA LOCALIDAD DE SAN PEDRO TESITÁN </v>
      </c>
      <c r="K828" s="1175" t="s">
        <v>6783</v>
      </c>
      <c r="L828" s="3" t="s">
        <v>4751</v>
      </c>
      <c r="M828" s="3" t="s">
        <v>6031</v>
      </c>
      <c r="N828" s="3" t="str">
        <f>OBRA!Q826</f>
        <v>SAN PEDRO TESISTÁN</v>
      </c>
      <c r="O828" s="504" t="s">
        <v>6501</v>
      </c>
      <c r="P828" s="79">
        <f>OBRA!R826</f>
        <v>831839.5</v>
      </c>
      <c r="Q828" s="1023">
        <f t="shared" si="69"/>
        <v>717103.01724137936</v>
      </c>
      <c r="R828" s="1714" t="s">
        <v>68</v>
      </c>
      <c r="S828" s="67">
        <f>OBRA!S826</f>
        <v>45432</v>
      </c>
      <c r="T828" s="1134" t="str">
        <f>OBRA!V826</f>
        <v>-</v>
      </c>
      <c r="U828" s="5">
        <f>OBRA!T826</f>
        <v>45434</v>
      </c>
      <c r="V828" s="11">
        <f>OBRA!U826</f>
        <v>45478</v>
      </c>
      <c r="W828" s="1901">
        <v>0</v>
      </c>
      <c r="X828" s="1019">
        <f>OBRA!AS826+OBRA!AT826</f>
        <v>812121.47</v>
      </c>
      <c r="Y828" s="1018" t="s">
        <v>6322</v>
      </c>
      <c r="Z828" s="146" t="str">
        <f>OBRA!W826</f>
        <v>-</v>
      </c>
      <c r="AA828" s="146" t="s">
        <v>68</v>
      </c>
      <c r="AB828" s="148" t="str">
        <f t="shared" si="64"/>
        <v>-</v>
      </c>
      <c r="AC828" s="146" t="s">
        <v>68</v>
      </c>
      <c r="AD828" s="148" t="s">
        <v>68</v>
      </c>
      <c r="AE828" s="183" t="str">
        <f>OBRA!X826</f>
        <v>C. DANIEL RODRIGUEZ VALENZUELA</v>
      </c>
      <c r="AF828" s="19">
        <v>691.48</v>
      </c>
      <c r="AG828" s="2" t="s">
        <v>1548</v>
      </c>
      <c r="AH828" s="615">
        <f t="shared" si="72"/>
        <v>1174.4684878810667</v>
      </c>
      <c r="AI828" s="2">
        <v>1400</v>
      </c>
      <c r="AJ828" s="2">
        <v>1400</v>
      </c>
      <c r="AK828" s="1888">
        <v>1</v>
      </c>
      <c r="AL828" s="1522">
        <v>20.223721000000001</v>
      </c>
      <c r="AM828" s="1523">
        <v>103.410983</v>
      </c>
      <c r="AN828" s="571" t="s">
        <v>6501</v>
      </c>
      <c r="AO828" s="571" t="s">
        <v>6501</v>
      </c>
      <c r="AP828" s="571" t="s">
        <v>6501</v>
      </c>
      <c r="AQ828" s="513"/>
      <c r="AR828" s="2"/>
      <c r="AS828" s="156"/>
    </row>
    <row r="829" spans="1:46" ht="108" customHeight="1">
      <c r="A829" s="16">
        <f>OBRA!J827</f>
        <v>2024</v>
      </c>
      <c r="B829" s="783" t="s">
        <v>3944</v>
      </c>
      <c r="C829" s="783">
        <f>OBRA!K827</f>
        <v>244004</v>
      </c>
      <c r="D829" s="24" t="s">
        <v>2310</v>
      </c>
      <c r="E829" s="2" t="str">
        <f>OBRA!M827</f>
        <v>RAMO 33</v>
      </c>
      <c r="F829" s="511"/>
      <c r="G829" s="156" t="s">
        <v>2206</v>
      </c>
      <c r="H829" s="412" t="str">
        <f>OBRA!N827</f>
        <v>DOP/AD/004/2024</v>
      </c>
      <c r="I829" s="2" t="str">
        <f>OBRA!O827</f>
        <v>ADMINISTRACIÓN DIRECTA</v>
      </c>
      <c r="J829" s="3" t="str">
        <f>OBRA!P827</f>
        <v>"REHABILITACIÓN DE SUPERFICIE DE RODAMIENTO Y CONSTRUCCIÓN DE BOCA DE TORMENTA EN CALLE MATAMOROS", EN LA CABECERA MUNICIPAL DE JOCOTEPEC, JALISCO.</v>
      </c>
      <c r="K829" s="1175" t="s">
        <v>6784</v>
      </c>
      <c r="L829" s="3" t="s">
        <v>4752</v>
      </c>
      <c r="M829" s="3" t="s">
        <v>6711</v>
      </c>
      <c r="N829" s="3" t="str">
        <f>OBRA!Q827</f>
        <v>CABECERA MUNICIPAL</v>
      </c>
      <c r="O829" s="504" t="s">
        <v>6502</v>
      </c>
      <c r="P829" s="79">
        <f>OBRA!R827</f>
        <v>1572787.58</v>
      </c>
      <c r="Q829" s="1023">
        <f t="shared" si="69"/>
        <v>1355851.3620689656</v>
      </c>
      <c r="R829" s="1714" t="s">
        <v>68</v>
      </c>
      <c r="S829" s="67">
        <f>OBRA!S827</f>
        <v>45474</v>
      </c>
      <c r="T829" s="1134" t="str">
        <f>OBRA!V827</f>
        <v>-</v>
      </c>
      <c r="U829" s="5">
        <f>OBRA!T827</f>
        <v>45488</v>
      </c>
      <c r="V829" s="11">
        <f>OBRA!U827</f>
        <v>45545</v>
      </c>
      <c r="W829" s="1901">
        <v>0</v>
      </c>
      <c r="X829" s="1019">
        <f>OBRA!AS827+OBRA!AT827</f>
        <v>0</v>
      </c>
      <c r="Y829" s="1018" t="s">
        <v>6324</v>
      </c>
      <c r="Z829" s="146" t="str">
        <f>OBRA!W827</f>
        <v>-</v>
      </c>
      <c r="AA829" s="146" t="s">
        <v>68</v>
      </c>
      <c r="AB829" s="148" t="str">
        <f t="shared" si="64"/>
        <v>-</v>
      </c>
      <c r="AC829" s="146" t="s">
        <v>68</v>
      </c>
      <c r="AD829" s="148" t="s">
        <v>68</v>
      </c>
      <c r="AE829" s="183" t="str">
        <f>OBRA!X827</f>
        <v>C. DANIEL RODRIGUEZ VALENZUELA</v>
      </c>
      <c r="AF829" s="19">
        <v>1237.1400000000001</v>
      </c>
      <c r="AG829" s="2" t="s">
        <v>1548</v>
      </c>
      <c r="AH829" s="615">
        <f t="shared" si="72"/>
        <v>0</v>
      </c>
      <c r="AI829" s="2" t="s">
        <v>68</v>
      </c>
      <c r="AJ829" s="2">
        <v>40000</v>
      </c>
      <c r="AK829" s="1888">
        <v>1</v>
      </c>
      <c r="AL829" s="1522">
        <v>20.279458000000002</v>
      </c>
      <c r="AM829" s="1523">
        <v>103.429254</v>
      </c>
      <c r="AN829" s="571" t="s">
        <v>6502</v>
      </c>
      <c r="AO829" s="571"/>
      <c r="AP829" s="571"/>
      <c r="AQ829" s="495" t="s">
        <v>6502</v>
      </c>
      <c r="AR829" s="496"/>
      <c r="AS829" s="18"/>
      <c r="AT829" s="1789" t="e">
        <f>#REF!+#REF!</f>
        <v>#REF!</v>
      </c>
    </row>
    <row r="830" spans="1:46" ht="92.25" customHeight="1">
      <c r="A830" s="16">
        <f>OBRA!J828</f>
        <v>2024</v>
      </c>
      <c r="B830" s="783" t="s">
        <v>3944</v>
      </c>
      <c r="C830" s="783">
        <f>OBRA!K828</f>
        <v>244005</v>
      </c>
      <c r="D830" s="24" t="s">
        <v>2310</v>
      </c>
      <c r="E830" s="2" t="str">
        <f>OBRA!M828</f>
        <v>CUENTA CORRIENTE</v>
      </c>
      <c r="F830" s="511"/>
      <c r="G830" s="156" t="s">
        <v>2206</v>
      </c>
      <c r="H830" s="412" t="str">
        <f>OBRA!N828</f>
        <v>DOP/AD/005/2024</v>
      </c>
      <c r="I830" s="2" t="str">
        <f>OBRA!O828</f>
        <v>ADMINISTRACIÓN DIRECTA</v>
      </c>
      <c r="J830" s="3" t="str">
        <f>OBRA!P828</f>
        <v>"REHABILITACIÓN DE SUPERFICIE DE RODAMIENTO Y CONSTRUCCIÓN DE BOCA DE TORMENTA EN CALLE MATAMOROS", EN LA CABECERA MUNICIPAL DE JOCOTEPEC, JALISCO.</v>
      </c>
      <c r="K830" s="1175" t="s">
        <v>6794</v>
      </c>
      <c r="L830" s="3" t="s">
        <v>4752</v>
      </c>
      <c r="M830" s="3" t="s">
        <v>6711</v>
      </c>
      <c r="N830" s="3" t="str">
        <f>OBRA!Q828</f>
        <v>CABECERA MUNICIPAL</v>
      </c>
      <c r="O830" s="504" t="s">
        <v>6503</v>
      </c>
      <c r="P830" s="79">
        <f>OBRA!R828</f>
        <v>600000</v>
      </c>
      <c r="Q830" s="1023">
        <f t="shared" si="69"/>
        <v>517241.37931034487</v>
      </c>
      <c r="R830" s="1714" t="s">
        <v>68</v>
      </c>
      <c r="S830" s="67">
        <f>OBRA!S828</f>
        <v>45492</v>
      </c>
      <c r="T830" s="1134" t="str">
        <f>OBRA!V828</f>
        <v>-</v>
      </c>
      <c r="U830" s="5">
        <f>OBRA!T828</f>
        <v>45496</v>
      </c>
      <c r="V830" s="11">
        <f>OBRA!U828</f>
        <v>45549</v>
      </c>
      <c r="W830" s="1901">
        <v>0</v>
      </c>
      <c r="X830" s="1019">
        <f>OBRA!AS828+OBRA!AT828</f>
        <v>0</v>
      </c>
      <c r="Y830" s="1018" t="s">
        <v>6885</v>
      </c>
      <c r="Z830" s="146" t="str">
        <f>OBRA!W828</f>
        <v>-</v>
      </c>
      <c r="AA830" s="146" t="s">
        <v>68</v>
      </c>
      <c r="AB830" s="148" t="str">
        <f t="shared" si="64"/>
        <v>-</v>
      </c>
      <c r="AC830" s="146" t="s">
        <v>68</v>
      </c>
      <c r="AD830" s="148" t="s">
        <v>68</v>
      </c>
      <c r="AE830" s="183" t="str">
        <f>OBRA!X828</f>
        <v>ARQ. JOSÉ ANTONIO CASILLAS MEDINA</v>
      </c>
      <c r="AF830" s="19"/>
      <c r="AG830" s="2" t="s">
        <v>1548</v>
      </c>
      <c r="AH830" s="615" t="e">
        <f t="shared" si="72"/>
        <v>#DIV/0!</v>
      </c>
      <c r="AI830" s="2" t="s">
        <v>68</v>
      </c>
      <c r="AJ830" s="2">
        <v>40000</v>
      </c>
      <c r="AK830" s="1888">
        <v>0.75</v>
      </c>
      <c r="AL830" s="1522">
        <v>20.279458000000002</v>
      </c>
      <c r="AM830" s="1523">
        <v>103.429254</v>
      </c>
      <c r="AN830" s="571" t="s">
        <v>6503</v>
      </c>
      <c r="AO830" s="571"/>
      <c r="AP830" s="571"/>
      <c r="AQ830" s="495" t="s">
        <v>6503</v>
      </c>
      <c r="AR830" s="501"/>
      <c r="AS830" s="18"/>
    </row>
    <row r="831" spans="1:46" ht="61.5" customHeight="1">
      <c r="A831" s="16">
        <f>OBRA!J829</f>
        <v>2024</v>
      </c>
      <c r="B831" s="783" t="s">
        <v>3944</v>
      </c>
      <c r="C831" s="783">
        <f>OBRA!K829</f>
        <v>244006</v>
      </c>
      <c r="D831" s="24" t="s">
        <v>2310</v>
      </c>
      <c r="E831" s="2" t="str">
        <f>OBRA!M829</f>
        <v>RAMO 33</v>
      </c>
      <c r="F831" s="511"/>
      <c r="G831" s="156" t="s">
        <v>2206</v>
      </c>
      <c r="H831" s="412" t="str">
        <f>OBRA!N829</f>
        <v>DOP/AD/001/2024</v>
      </c>
      <c r="I831" s="2" t="str">
        <f>OBRA!O829</f>
        <v>ADMINISTRACIÓN DIRECTA</v>
      </c>
      <c r="J831" s="3" t="str">
        <f>OBRA!P829</f>
        <v>REHABILITACIÓN DE REDES HIDROSANITARIAS Y SUPERFICIE DE RODAMIENTO EN C. MATAMOROS ENTRE DEGOLLADO Y ALDAMA", EN LA CABECERA MUNICIPAL DE JOCOTEPEC, JALISCO.</v>
      </c>
      <c r="K831" s="1175"/>
      <c r="L831" s="3" t="s">
        <v>6248</v>
      </c>
      <c r="M831" s="3" t="s">
        <v>6881</v>
      </c>
      <c r="N831" s="3" t="str">
        <f>OBRA!Q829</f>
        <v>CABECERA MUNICIPAL</v>
      </c>
      <c r="O831" s="504" t="s">
        <v>6883</v>
      </c>
      <c r="P831" s="79">
        <f>OBRA!R829</f>
        <v>1057005.33</v>
      </c>
      <c r="Q831" s="1023">
        <f t="shared" si="69"/>
        <v>911211.49137931049</v>
      </c>
      <c r="R831" s="1714" t="s">
        <v>68</v>
      </c>
      <c r="S831" s="67">
        <f>OBRA!S829</f>
        <v>45616</v>
      </c>
      <c r="T831" s="1134" t="str">
        <f>OBRA!V829</f>
        <v>-</v>
      </c>
      <c r="U831" s="5">
        <f>OBRA!T829</f>
        <v>45617</v>
      </c>
      <c r="V831" s="11">
        <f>OBRA!U829</f>
        <v>45645</v>
      </c>
      <c r="W831" s="1901">
        <v>0</v>
      </c>
      <c r="X831" s="1019">
        <f>OBRA!AS829+OBRA!AT829</f>
        <v>0</v>
      </c>
      <c r="Y831" s="1089" t="s">
        <v>6884</v>
      </c>
      <c r="Z831" s="146" t="str">
        <f>OBRA!W829</f>
        <v>-</v>
      </c>
      <c r="AA831" s="146" t="s">
        <v>68</v>
      </c>
      <c r="AB831" s="148" t="str">
        <f t="shared" si="64"/>
        <v>-</v>
      </c>
      <c r="AC831" s="146" t="s">
        <v>68</v>
      </c>
      <c r="AD831" s="148" t="s">
        <v>68</v>
      </c>
      <c r="AE831" s="183" t="str">
        <f>OBRA!X829</f>
        <v>ARQ. EDGAR RUBÉN SAUCEDO AGUILAR</v>
      </c>
      <c r="AF831" s="19">
        <v>618.79</v>
      </c>
      <c r="AG831" s="2" t="s">
        <v>1548</v>
      </c>
      <c r="AH831" s="615">
        <f t="shared" si="72"/>
        <v>0</v>
      </c>
      <c r="AI831" s="2"/>
      <c r="AJ831" s="2"/>
      <c r="AK831" s="1888">
        <v>0.05</v>
      </c>
      <c r="AL831" s="1522"/>
      <c r="AM831" s="1523"/>
      <c r="AN831" s="571" t="s">
        <v>6883</v>
      </c>
      <c r="AO831" s="571" t="s">
        <v>6883</v>
      </c>
      <c r="AP831" s="571" t="s">
        <v>6883</v>
      </c>
      <c r="AQ831" s="495" t="s">
        <v>6883</v>
      </c>
      <c r="AR831" s="513"/>
      <c r="AS831" s="18"/>
    </row>
    <row r="832" spans="1:46" ht="64.5" customHeight="1">
      <c r="A832" s="16">
        <f>OBRA!J830</f>
        <v>2024</v>
      </c>
      <c r="B832" s="783" t="s">
        <v>3944</v>
      </c>
      <c r="C832" s="783">
        <f>OBRA!K830</f>
        <v>244007</v>
      </c>
      <c r="D832" s="24" t="s">
        <v>2310</v>
      </c>
      <c r="E832" s="2" t="str">
        <f>OBRA!M830</f>
        <v>RAMO 33</v>
      </c>
      <c r="F832" s="511"/>
      <c r="G832" s="156" t="s">
        <v>2206</v>
      </c>
      <c r="H832" s="412" t="str">
        <f>OBRA!N830</f>
        <v>DOP/AD/002/2024</v>
      </c>
      <c r="I832" s="2" t="str">
        <f>OBRA!O830</f>
        <v>ADMINISTRACIÓN DIRECTA</v>
      </c>
      <c r="J832" s="3" t="str">
        <f>OBRA!P830</f>
        <v>"CONSTRUCCIÓN DE SUPERFICIE DE RODAMIENTO EN CALLE JOSÉ SANTANA DE C. RIVERA DEL LAGO A 30 ML HACIA COLÓN", EN LA CABECERA MUNICIPAL DE JOCOTEPEC, JALISCO.</v>
      </c>
      <c r="K832" s="1175"/>
      <c r="L832" s="3" t="s">
        <v>6692</v>
      </c>
      <c r="M832" s="3" t="s">
        <v>6882</v>
      </c>
      <c r="N832" s="3" t="str">
        <f>OBRA!Q830</f>
        <v>CABECERA MUNICIPAL</v>
      </c>
      <c r="O832" s="504" t="s">
        <v>6886</v>
      </c>
      <c r="P832" s="79">
        <f>OBRA!R830</f>
        <v>722232.67</v>
      </c>
      <c r="Q832" s="1023">
        <f t="shared" si="69"/>
        <v>622614.3706896553</v>
      </c>
      <c r="R832" s="1714" t="s">
        <v>68</v>
      </c>
      <c r="S832" s="67">
        <f>OBRA!S830</f>
        <v>45616</v>
      </c>
      <c r="T832" s="1134" t="str">
        <f>OBRA!V830</f>
        <v>-</v>
      </c>
      <c r="U832" s="5">
        <f>OBRA!T830</f>
        <v>45618</v>
      </c>
      <c r="V832" s="11">
        <f>OBRA!U830</f>
        <v>45645</v>
      </c>
      <c r="W832" s="1901">
        <v>0</v>
      </c>
      <c r="X832" s="1019">
        <f>OBRA!AS830+OBRA!AT830</f>
        <v>0</v>
      </c>
      <c r="Y832" s="1018" t="s">
        <v>6887</v>
      </c>
      <c r="Z832" s="146" t="str">
        <f>OBRA!W830</f>
        <v>-</v>
      </c>
      <c r="AA832" s="146" t="s">
        <v>68</v>
      </c>
      <c r="AB832" s="148" t="str">
        <f t="shared" si="64"/>
        <v>-</v>
      </c>
      <c r="AC832" s="146" t="s">
        <v>68</v>
      </c>
      <c r="AD832" s="148" t="s">
        <v>68</v>
      </c>
      <c r="AE832" s="183" t="str">
        <f>OBRA!X830</f>
        <v>ARQ. JOSÉ ANTONIO CASILLAS MEDINA</v>
      </c>
      <c r="AF832" s="19">
        <v>741.16</v>
      </c>
      <c r="AG832" s="2" t="s">
        <v>1548</v>
      </c>
      <c r="AH832" s="615">
        <f t="shared" ref="AH832:AH863" si="78">X832/AF832</f>
        <v>0</v>
      </c>
      <c r="AI832" s="2"/>
      <c r="AJ832" s="2"/>
      <c r="AK832" s="1888">
        <v>0.05</v>
      </c>
      <c r="AL832" s="1522"/>
      <c r="AM832" s="1523"/>
      <c r="AN832" s="571" t="s">
        <v>6886</v>
      </c>
      <c r="AO832" s="571" t="s">
        <v>6886</v>
      </c>
      <c r="AP832" s="571" t="s">
        <v>6886</v>
      </c>
      <c r="AQ832" s="495" t="s">
        <v>6886</v>
      </c>
      <c r="AR832" s="513"/>
      <c r="AS832" s="18"/>
    </row>
    <row r="833" spans="1:45" ht="15" customHeight="1">
      <c r="A833" s="16">
        <f>OBRA!J831</f>
        <v>2024</v>
      </c>
      <c r="B833" s="783" t="s">
        <v>3944</v>
      </c>
      <c r="C833" s="783">
        <f>OBRA!K831</f>
        <v>244008</v>
      </c>
      <c r="D833" s="24" t="s">
        <v>2310</v>
      </c>
      <c r="E833" s="2">
        <f>OBRA!M831</f>
        <v>0</v>
      </c>
      <c r="F833" s="511"/>
      <c r="G833" s="156" t="s">
        <v>2206</v>
      </c>
      <c r="H833" s="412" t="str">
        <f>OBRA!N831</f>
        <v>DOP/AD/003/2024</v>
      </c>
      <c r="I833" s="2" t="str">
        <f>OBRA!O831</f>
        <v>ADMINISTRACIÓN DIRECTA</v>
      </c>
      <c r="J833" s="3">
        <f>OBRA!P831</f>
        <v>0</v>
      </c>
      <c r="K833" s="1175"/>
      <c r="L833" s="3"/>
      <c r="M833" s="3"/>
      <c r="N833" s="3" t="str">
        <f>OBRA!Q831</f>
        <v>-</v>
      </c>
      <c r="O833" s="504"/>
      <c r="P833" s="79">
        <f>OBRA!R831</f>
        <v>0</v>
      </c>
      <c r="Q833" s="1023">
        <f t="shared" si="69"/>
        <v>0</v>
      </c>
      <c r="R833" s="1714" t="s">
        <v>68</v>
      </c>
      <c r="S833" s="67" t="str">
        <f>OBRA!S831</f>
        <v>-</v>
      </c>
      <c r="T833" s="1134" t="str">
        <f>OBRA!V831</f>
        <v>-</v>
      </c>
      <c r="U833" s="5">
        <f>OBRA!T831</f>
        <v>0</v>
      </c>
      <c r="V833" s="11">
        <f>OBRA!U831</f>
        <v>0</v>
      </c>
      <c r="W833" s="1901">
        <v>0</v>
      </c>
      <c r="X833" s="1019">
        <f>OBRA!AS831+OBRA!AT831</f>
        <v>0</v>
      </c>
      <c r="Y833" s="1018"/>
      <c r="Z833" s="146" t="str">
        <f>OBRA!W831</f>
        <v>-</v>
      </c>
      <c r="AA833" s="146" t="s">
        <v>68</v>
      </c>
      <c r="AB833" s="148" t="str">
        <f t="shared" si="64"/>
        <v>-</v>
      </c>
      <c r="AC833" s="146" t="s">
        <v>68</v>
      </c>
      <c r="AD833" s="148" t="s">
        <v>68</v>
      </c>
      <c r="AE833" s="183">
        <f>OBRA!X831</f>
        <v>0</v>
      </c>
      <c r="AF833" s="19"/>
      <c r="AG833" s="2"/>
      <c r="AH833" s="615" t="e">
        <f t="shared" si="78"/>
        <v>#DIV/0!</v>
      </c>
      <c r="AI833" s="2"/>
      <c r="AJ833" s="2"/>
      <c r="AK833" s="1888"/>
      <c r="AL833" s="1522"/>
      <c r="AM833" s="1523"/>
      <c r="AN833" s="571"/>
      <c r="AO833" s="571"/>
      <c r="AP833" s="571"/>
      <c r="AQ833" s="2"/>
      <c r="AR833" s="513"/>
      <c r="AS833" s="18"/>
    </row>
    <row r="834" spans="1:45" ht="15" customHeight="1">
      <c r="A834" s="16">
        <f>OBRA!J832</f>
        <v>2024</v>
      </c>
      <c r="B834" s="783" t="s">
        <v>3944</v>
      </c>
      <c r="C834" s="783">
        <f>OBRA!K832</f>
        <v>244009</v>
      </c>
      <c r="D834" s="24" t="s">
        <v>2310</v>
      </c>
      <c r="E834" s="2">
        <f>OBRA!M832</f>
        <v>0</v>
      </c>
      <c r="F834" s="511"/>
      <c r="G834" s="156" t="s">
        <v>2206</v>
      </c>
      <c r="H834" s="412" t="str">
        <f>OBRA!N832</f>
        <v>DOP/AD/004/2024</v>
      </c>
      <c r="I834" s="2" t="str">
        <f>OBRA!O832</f>
        <v>ADMINISTRACIÓN DIRECTA</v>
      </c>
      <c r="J834" s="3">
        <f>OBRA!P832</f>
        <v>0</v>
      </c>
      <c r="K834" s="1175"/>
      <c r="L834" s="3"/>
      <c r="M834" s="3"/>
      <c r="N834" s="3" t="str">
        <f>OBRA!Q832</f>
        <v>-</v>
      </c>
      <c r="O834" s="504"/>
      <c r="P834" s="79">
        <f>OBRA!R832</f>
        <v>0</v>
      </c>
      <c r="Q834" s="1023">
        <f t="shared" si="69"/>
        <v>0</v>
      </c>
      <c r="R834" s="1714" t="s">
        <v>68</v>
      </c>
      <c r="S834" s="67" t="str">
        <f>OBRA!S832</f>
        <v>-</v>
      </c>
      <c r="T834" s="1134" t="str">
        <f>OBRA!V832</f>
        <v>-</v>
      </c>
      <c r="U834" s="5">
        <f>OBRA!T832</f>
        <v>0</v>
      </c>
      <c r="V834" s="11">
        <f>OBRA!U832</f>
        <v>0</v>
      </c>
      <c r="W834" s="1901">
        <v>0</v>
      </c>
      <c r="X834" s="1019">
        <f>OBRA!AS832+OBRA!AT832</f>
        <v>0</v>
      </c>
      <c r="Y834" s="1018"/>
      <c r="Z834" s="146" t="str">
        <f>OBRA!W832</f>
        <v>-</v>
      </c>
      <c r="AA834" s="146" t="s">
        <v>68</v>
      </c>
      <c r="AB834" s="148" t="str">
        <f t="shared" si="64"/>
        <v>-</v>
      </c>
      <c r="AC834" s="146" t="s">
        <v>68</v>
      </c>
      <c r="AD834" s="148" t="s">
        <v>68</v>
      </c>
      <c r="AE834" s="183">
        <f>OBRA!X832</f>
        <v>0</v>
      </c>
      <c r="AF834" s="19"/>
      <c r="AG834" s="2"/>
      <c r="AH834" s="615" t="e">
        <f t="shared" si="78"/>
        <v>#DIV/0!</v>
      </c>
      <c r="AI834" s="2"/>
      <c r="AJ834" s="2"/>
      <c r="AK834" s="1888"/>
      <c r="AL834" s="1522"/>
      <c r="AM834" s="1523"/>
      <c r="AN834" s="571"/>
      <c r="AO834" s="571"/>
      <c r="AP834" s="571"/>
      <c r="AQ834" s="2"/>
      <c r="AR834" s="513"/>
      <c r="AS834" s="18"/>
    </row>
    <row r="835" spans="1:45" ht="19.5" customHeight="1">
      <c r="A835" s="16">
        <f>OBRA!J833</f>
        <v>2024</v>
      </c>
      <c r="B835" s="783" t="s">
        <v>3944</v>
      </c>
      <c r="C835" s="783">
        <f>OBRA!K833</f>
        <v>244010</v>
      </c>
      <c r="D835" s="24" t="s">
        <v>2310</v>
      </c>
      <c r="E835" s="2">
        <f>OBRA!M833</f>
        <v>0</v>
      </c>
      <c r="F835" s="511"/>
      <c r="G835" s="156" t="s">
        <v>2206</v>
      </c>
      <c r="H835" s="1896" t="str">
        <f>OBRA!N833</f>
        <v>DOP/AD/005/2024</v>
      </c>
      <c r="I835" s="2" t="str">
        <f>OBRA!O833</f>
        <v>ADMINISTRACIÓN DIRECTA</v>
      </c>
      <c r="J835" s="3">
        <f>OBRA!P833</f>
        <v>0</v>
      </c>
      <c r="K835" s="1175"/>
      <c r="L835" s="3"/>
      <c r="M835" s="3"/>
      <c r="N835" s="3" t="str">
        <f>OBRA!Q833</f>
        <v>-</v>
      </c>
      <c r="O835" s="504"/>
      <c r="P835" s="79">
        <f>OBRA!R833</f>
        <v>0</v>
      </c>
      <c r="Q835" s="1023">
        <f t="shared" si="69"/>
        <v>0</v>
      </c>
      <c r="R835" s="1714" t="s">
        <v>68</v>
      </c>
      <c r="S835" s="67" t="str">
        <f>OBRA!S833</f>
        <v>-</v>
      </c>
      <c r="T835" s="1134" t="str">
        <f>OBRA!V833</f>
        <v>-</v>
      </c>
      <c r="U835" s="5">
        <f>OBRA!T833</f>
        <v>0</v>
      </c>
      <c r="V835" s="11">
        <f>OBRA!U833</f>
        <v>0</v>
      </c>
      <c r="W835" s="1901">
        <v>0</v>
      </c>
      <c r="X835" s="1019">
        <f>OBRA!AS833+OBRA!AT833</f>
        <v>0</v>
      </c>
      <c r="Y835" s="1018"/>
      <c r="Z835" s="146" t="str">
        <f>OBRA!W833</f>
        <v>-</v>
      </c>
      <c r="AA835" s="146" t="s">
        <v>68</v>
      </c>
      <c r="AB835" s="148" t="str">
        <f t="shared" si="64"/>
        <v>-</v>
      </c>
      <c r="AC835" s="146" t="s">
        <v>68</v>
      </c>
      <c r="AD835" s="148" t="s">
        <v>68</v>
      </c>
      <c r="AE835" s="183">
        <f>OBRA!X833</f>
        <v>0</v>
      </c>
      <c r="AF835" s="19"/>
      <c r="AG835" s="2"/>
      <c r="AH835" s="615" t="e">
        <f t="shared" si="78"/>
        <v>#DIV/0!</v>
      </c>
      <c r="AI835" s="2"/>
      <c r="AJ835" s="2"/>
      <c r="AK835" s="1888"/>
      <c r="AL835" s="1522"/>
      <c r="AM835" s="1523"/>
      <c r="AN835" s="571"/>
      <c r="AO835" s="571"/>
      <c r="AP835" s="571"/>
      <c r="AQ835" s="2"/>
      <c r="AR835" s="513"/>
      <c r="AS835" s="18"/>
    </row>
    <row r="836" spans="1:45" ht="123.75" customHeight="1">
      <c r="A836" s="16">
        <f>OBRA!J834</f>
        <v>2024</v>
      </c>
      <c r="B836" s="783" t="s">
        <v>3944</v>
      </c>
      <c r="C836" s="783">
        <f>OBRA!K834</f>
        <v>245001</v>
      </c>
      <c r="D836" s="24" t="s">
        <v>2310</v>
      </c>
      <c r="E836" s="2" t="str">
        <f>OBRA!M834</f>
        <v>CUENTA CORRIENTE</v>
      </c>
      <c r="F836" s="671" t="s">
        <v>1428</v>
      </c>
      <c r="G836" s="156" t="s">
        <v>2206</v>
      </c>
      <c r="H836" s="2" t="str">
        <f>OBRA!N834</f>
        <v>GMJ 001C- OP/2024</v>
      </c>
      <c r="I836" s="2" t="str">
        <f>OBRA!O834</f>
        <v>ADJUDICACIÓN DIRECTA</v>
      </c>
      <c r="J836" s="3" t="str">
        <f>OBRA!P834</f>
        <v>"EQUIPAMIENTO DE POZO PROFUNDO EN PRIVADA GUADALUPE VICTORIA, EN LA LOCALIDAD DE SAN JUAN COSALÁ, MUNICIPIO DE JOCOTEPEC, JALISCO.</v>
      </c>
      <c r="K836" s="1897" t="s">
        <v>6786</v>
      </c>
      <c r="L836" s="3" t="s">
        <v>4751</v>
      </c>
      <c r="M836" s="3" t="s">
        <v>6026</v>
      </c>
      <c r="N836" s="3" t="str">
        <f>OBRA!Q834</f>
        <v>SAN JUAN COSALÁ</v>
      </c>
      <c r="O836" s="504" t="s">
        <v>6041</v>
      </c>
      <c r="P836" s="79">
        <f>OBRA!R834</f>
        <v>653611.4</v>
      </c>
      <c r="Q836" s="1023">
        <f t="shared" si="69"/>
        <v>563458.10344827594</v>
      </c>
      <c r="R836" s="1714" t="s">
        <v>68</v>
      </c>
      <c r="S836" s="67">
        <f>OBRA!S834</f>
        <v>45322</v>
      </c>
      <c r="T836" s="1134">
        <f>OBRA!V834</f>
        <v>45321</v>
      </c>
      <c r="U836" s="5">
        <f>OBRA!T834</f>
        <v>45331</v>
      </c>
      <c r="V836" s="11">
        <f>OBRA!U834</f>
        <v>45320</v>
      </c>
      <c r="W836" s="1901">
        <v>196083.42</v>
      </c>
      <c r="X836" s="1019">
        <f>OBRA!AS834+OBRA!AT834</f>
        <v>666579.04</v>
      </c>
      <c r="Y836" s="1089" t="s">
        <v>6024</v>
      </c>
      <c r="Z836" s="146" t="str">
        <f>OBRA!W834</f>
        <v>C. EDURADO VENTURA PADILLA</v>
      </c>
      <c r="AA836" s="146" t="s">
        <v>5665</v>
      </c>
      <c r="AB836" s="148" t="str">
        <f t="shared" si="64"/>
        <v>C. EDURADO VENTURA PADILLA</v>
      </c>
      <c r="AC836" s="146" t="s">
        <v>4405</v>
      </c>
      <c r="AD836" s="148" t="s">
        <v>6044</v>
      </c>
      <c r="AE836" s="183" t="str">
        <f>OBRA!X834</f>
        <v>ING. DANIEL RODRIGUEZ VALENZUELA</v>
      </c>
      <c r="AF836" s="19">
        <v>1</v>
      </c>
      <c r="AG836" s="2" t="s">
        <v>1463</v>
      </c>
      <c r="AH836" s="615">
        <f t="shared" si="78"/>
        <v>666579.04</v>
      </c>
      <c r="AI836" s="2">
        <v>1000</v>
      </c>
      <c r="AJ836" s="2">
        <v>4000</v>
      </c>
      <c r="AK836" s="1888">
        <v>1</v>
      </c>
      <c r="AL836" s="1522">
        <v>20.292089000000001</v>
      </c>
      <c r="AM836" s="1523">
        <v>103.348386</v>
      </c>
      <c r="AN836" s="571" t="s">
        <v>6049</v>
      </c>
      <c r="AO836" s="571" t="s">
        <v>6049</v>
      </c>
      <c r="AP836" s="571" t="s">
        <v>6049</v>
      </c>
      <c r="AQ836" s="571" t="s">
        <v>6049</v>
      </c>
      <c r="AR836" s="571" t="s">
        <v>6049</v>
      </c>
      <c r="AS836" s="704" t="s">
        <v>6049</v>
      </c>
    </row>
    <row r="837" spans="1:45" ht="152.25" customHeight="1">
      <c r="A837" s="16">
        <f>OBRA!J835</f>
        <v>2024</v>
      </c>
      <c r="B837" s="783" t="s">
        <v>3944</v>
      </c>
      <c r="C837" s="783">
        <f>OBRA!K835</f>
        <v>245002</v>
      </c>
      <c r="D837" s="24" t="s">
        <v>2310</v>
      </c>
      <c r="E837" s="2" t="str">
        <f>OBRA!M835</f>
        <v>CUENTA CORRIENTE</v>
      </c>
      <c r="F837" s="671" t="s">
        <v>1428</v>
      </c>
      <c r="G837" s="156" t="s">
        <v>2206</v>
      </c>
      <c r="H837" s="2" t="str">
        <f>OBRA!N835</f>
        <v>GMJ 002C- OP/2024</v>
      </c>
      <c r="I837" s="2" t="str">
        <f>OBRA!O835</f>
        <v>ADJUDICACIÓN DIRECTA</v>
      </c>
      <c r="J837" s="3" t="str">
        <f>OBRA!P835</f>
        <v>"CASETA DE CONTROL Y CLORACIÒN, ENMALLADO, DELIMITACIÒN DE PREDIO EN POZO EN PRIVADA GUADALUPE VICTORIA", EN LA LOCALIDAD DE SAN JUAN COSALÁ, MUNICIPIO DE JOCOTEPEC, JALISCO.</v>
      </c>
      <c r="K837" s="1175" t="s">
        <v>6787</v>
      </c>
      <c r="L837" s="3" t="s">
        <v>4751</v>
      </c>
      <c r="M837" s="3" t="s">
        <v>6026</v>
      </c>
      <c r="N837" s="3" t="str">
        <f>OBRA!Q835</f>
        <v>SAN JUAN COSALÁ</v>
      </c>
      <c r="O837" s="504" t="s">
        <v>6041</v>
      </c>
      <c r="P837" s="79">
        <f>OBRA!R835</f>
        <v>388619.27</v>
      </c>
      <c r="Q837" s="1023">
        <f t="shared" si="69"/>
        <v>335016.61206896557</v>
      </c>
      <c r="R837" s="1714" t="s">
        <v>68</v>
      </c>
      <c r="S837" s="67">
        <f>OBRA!S835</f>
        <v>45335</v>
      </c>
      <c r="T837" s="1134">
        <f>OBRA!V835</f>
        <v>45331</v>
      </c>
      <c r="U837" s="5">
        <f>OBRA!T835</f>
        <v>45336</v>
      </c>
      <c r="V837" s="11">
        <f>OBRA!U835</f>
        <v>45351</v>
      </c>
      <c r="W837" s="1901">
        <v>0</v>
      </c>
      <c r="X837" s="1019">
        <f>OBRA!AS835+OBRA!AT835</f>
        <v>387739.52</v>
      </c>
      <c r="Y837" s="1089" t="s">
        <v>6027</v>
      </c>
      <c r="Z837" s="146" t="str">
        <f>OBRA!W835</f>
        <v>ESTRUCTURAS PLANEADAS DE OCCIDENTE, S.A. DE C.V.</v>
      </c>
      <c r="AA837" s="146" t="s">
        <v>5666</v>
      </c>
      <c r="AB837" s="148" t="s">
        <v>4477</v>
      </c>
      <c r="AC837" s="146" t="s">
        <v>4478</v>
      </c>
      <c r="AD837" s="148" t="s">
        <v>6552</v>
      </c>
      <c r="AE837" s="183" t="str">
        <f>OBRA!X835</f>
        <v>ING. DANIEL RODRIGUEZ VALENZUELA</v>
      </c>
      <c r="AF837" s="19">
        <v>200</v>
      </c>
      <c r="AG837" s="2" t="s">
        <v>1548</v>
      </c>
      <c r="AH837" s="615">
        <f t="shared" si="78"/>
        <v>1938.6976000000002</v>
      </c>
      <c r="AI837" s="2">
        <v>1000</v>
      </c>
      <c r="AJ837" s="2">
        <v>4000</v>
      </c>
      <c r="AK837" s="1888">
        <v>1</v>
      </c>
      <c r="AL837" s="1522">
        <v>20.292089000000001</v>
      </c>
      <c r="AM837" s="1523">
        <v>103.348386</v>
      </c>
      <c r="AN837" s="571" t="s">
        <v>6050</v>
      </c>
      <c r="AO837" s="571" t="s">
        <v>6050</v>
      </c>
      <c r="AP837" s="571" t="s">
        <v>6050</v>
      </c>
      <c r="AQ837" s="571" t="s">
        <v>6050</v>
      </c>
      <c r="AR837" s="571" t="s">
        <v>6050</v>
      </c>
      <c r="AS837" s="704" t="s">
        <v>6050</v>
      </c>
    </row>
    <row r="838" spans="1:45" ht="75" customHeight="1">
      <c r="A838" s="16">
        <f>OBRA!J836</f>
        <v>2024</v>
      </c>
      <c r="B838" s="783" t="s">
        <v>3944</v>
      </c>
      <c r="C838" s="783">
        <f>OBRA!K836</f>
        <v>245003</v>
      </c>
      <c r="D838" s="24" t="s">
        <v>2310</v>
      </c>
      <c r="E838" s="2" t="str">
        <f>OBRA!M836</f>
        <v>CUENTA CORRIENTE</v>
      </c>
      <c r="F838" s="671" t="s">
        <v>1428</v>
      </c>
      <c r="G838" s="156" t="s">
        <v>2206</v>
      </c>
      <c r="H838" s="2" t="str">
        <f>OBRA!N836</f>
        <v>GMJ 003C- OP/2024</v>
      </c>
      <c r="I838" s="2" t="str">
        <f>OBRA!O836</f>
        <v>ADJUDICACIÓN DIRECTA</v>
      </c>
      <c r="J838" s="3" t="str">
        <f>OBRA!P836</f>
        <v>"CONSTRUCCIÒN DE BANQUETAS Y SUPERFICIE DE RODAMIENTO EN C. MATAMOROS ENTRTE CARRETERA JOCOTEPEC-CHAPALA Y C. LA PAZ", EN LA LOCALIDAD DE SAN JUAN COSALÁ, MUNICIPIO DE JOCOTEPEC, JALISCO.</v>
      </c>
      <c r="K838" s="1175" t="s">
        <v>6788</v>
      </c>
      <c r="L838" s="3" t="s">
        <v>6785</v>
      </c>
      <c r="M838" s="3" t="s">
        <v>6028</v>
      </c>
      <c r="N838" s="3" t="str">
        <f>OBRA!Q836</f>
        <v>SAN JUAN COSALÁ</v>
      </c>
      <c r="O838" s="504" t="s">
        <v>6041</v>
      </c>
      <c r="P838" s="79">
        <f>OBRA!R836</f>
        <v>132689.01999999999</v>
      </c>
      <c r="Q838" s="1023">
        <f t="shared" si="69"/>
        <v>114387.08620689655</v>
      </c>
      <c r="R838" s="1714" t="s">
        <v>68</v>
      </c>
      <c r="S838" s="67">
        <f>OBRA!S836</f>
        <v>45331</v>
      </c>
      <c r="T838" s="1134">
        <f>OBRA!V836</f>
        <v>45331</v>
      </c>
      <c r="U838" s="5">
        <f>OBRA!T836</f>
        <v>45332</v>
      </c>
      <c r="V838" s="11">
        <f>OBRA!U836</f>
        <v>45344</v>
      </c>
      <c r="W838" s="1901">
        <v>0</v>
      </c>
      <c r="X838" s="1019">
        <f>OBRA!AS836+OBRA!AT836</f>
        <v>116710.62</v>
      </c>
      <c r="Y838" s="1089" t="s">
        <v>6029</v>
      </c>
      <c r="Z838" s="146" t="str">
        <f>OBRA!W836</f>
        <v>ING. SERGIO CABRERA</v>
      </c>
      <c r="AA838" s="146" t="s">
        <v>5665</v>
      </c>
      <c r="AB838" s="1769" t="s">
        <v>4444</v>
      </c>
      <c r="AC838" s="146" t="s">
        <v>1922</v>
      </c>
      <c r="AD838" s="148" t="s">
        <v>6551</v>
      </c>
      <c r="AE838" s="183" t="str">
        <f>OBRA!X836</f>
        <v>ING. DANIEL RODRIGUEZ VALENZUELA</v>
      </c>
      <c r="AF838" s="19">
        <v>151.41</v>
      </c>
      <c r="AG838" s="2" t="s">
        <v>1548</v>
      </c>
      <c r="AH838" s="615">
        <f t="shared" si="78"/>
        <v>770.82504458093911</v>
      </c>
      <c r="AI838" s="2">
        <v>50</v>
      </c>
      <c r="AJ838" s="2">
        <v>300</v>
      </c>
      <c r="AK838" s="1888">
        <v>1</v>
      </c>
      <c r="AL838" s="1522">
        <v>20.289093999999999</v>
      </c>
      <c r="AM838" s="1523">
        <v>103.348412</v>
      </c>
      <c r="AN838" s="571" t="s">
        <v>6051</v>
      </c>
      <c r="AO838" s="571" t="s">
        <v>6051</v>
      </c>
      <c r="AP838" s="571" t="s">
        <v>6051</v>
      </c>
      <c r="AQ838" s="571" t="s">
        <v>6051</v>
      </c>
      <c r="AR838" s="571" t="s">
        <v>6051</v>
      </c>
      <c r="AS838" s="704" t="s">
        <v>6051</v>
      </c>
    </row>
    <row r="839" spans="1:45" ht="78" customHeight="1">
      <c r="A839" s="16">
        <f>OBRA!J837</f>
        <v>2024</v>
      </c>
      <c r="B839" s="783" t="s">
        <v>3944</v>
      </c>
      <c r="C839" s="783">
        <f>OBRA!K837</f>
        <v>245004</v>
      </c>
      <c r="D839" s="24" t="s">
        <v>2310</v>
      </c>
      <c r="E839" s="2" t="str">
        <f>OBRA!M837</f>
        <v>CUENTA CORRIENTE</v>
      </c>
      <c r="F839" s="671" t="s">
        <v>1428</v>
      </c>
      <c r="G839" s="156" t="s">
        <v>2206</v>
      </c>
      <c r="H839" s="1898" t="str">
        <f>OBRA!N837</f>
        <v>CSS-OP-CC-004/2024</v>
      </c>
      <c r="I839" s="2" t="str">
        <f>OBRA!O837</f>
        <v>CONCURSO SIMPLIFICADO SUMARIO</v>
      </c>
      <c r="J839" s="3" t="str">
        <f>OBRA!P837</f>
        <v>"PERFORACIÓN DE UN POZO PROFUNDO PARA LA EXTRACIÓN DE AGUA POTABLE A 250 ML", EN LA LOCALIDAD DE SAN PEDRO TESISTÁN, MUNICIPIO DE JOCOTEPEC, JALISCO.</v>
      </c>
      <c r="K839" s="1175" t="s">
        <v>6789</v>
      </c>
      <c r="L839" s="3" t="s">
        <v>4751</v>
      </c>
      <c r="M839" s="3" t="s">
        <v>6031</v>
      </c>
      <c r="N839" s="3" t="str">
        <f>OBRA!Q837</f>
        <v>SAN PEDRO TESISTÁN</v>
      </c>
      <c r="O839" s="504" t="s">
        <v>6041</v>
      </c>
      <c r="P839" s="79">
        <f>OBRA!R837</f>
        <v>4461580.4000000004</v>
      </c>
      <c r="Q839" s="1023">
        <f t="shared" si="69"/>
        <v>3846190.0000000005</v>
      </c>
      <c r="R839" s="1714" t="s">
        <v>68</v>
      </c>
      <c r="S839" s="67">
        <f>OBRA!S837</f>
        <v>45338</v>
      </c>
      <c r="T839" s="1134" t="str">
        <f>OBRA!V837</f>
        <v>-</v>
      </c>
      <c r="U839" s="5">
        <f>OBRA!T837</f>
        <v>45343</v>
      </c>
      <c r="V839" s="11">
        <f>OBRA!U837</f>
        <v>45402</v>
      </c>
      <c r="W839" s="1901">
        <v>1338474.1200000001</v>
      </c>
      <c r="X839" s="1019">
        <f>OBRA!AS837+OBRA!AT837</f>
        <v>4367131.0199999996</v>
      </c>
      <c r="Y839" s="1089" t="s">
        <v>6032</v>
      </c>
      <c r="Z839" s="146" t="str">
        <f>OBRA!W837</f>
        <v>RAMPER DRILLINGS S.A. DE C.V.</v>
      </c>
      <c r="AA839" s="146" t="s">
        <v>5666</v>
      </c>
      <c r="AB839" s="148" t="s">
        <v>1748</v>
      </c>
      <c r="AC839" s="146" t="s">
        <v>1749</v>
      </c>
      <c r="AD839" s="148" t="s">
        <v>4578</v>
      </c>
      <c r="AE839" s="183" t="str">
        <f>OBRA!X837</f>
        <v>ARQ. JAIME CONDE GOMEZ</v>
      </c>
      <c r="AF839" s="19">
        <v>250</v>
      </c>
      <c r="AG839" s="2" t="s">
        <v>1451</v>
      </c>
      <c r="AH839" s="615">
        <f t="shared" si="78"/>
        <v>17468.524079999999</v>
      </c>
      <c r="AI839" s="2">
        <v>1400</v>
      </c>
      <c r="AJ839" s="2">
        <v>1400</v>
      </c>
      <c r="AK839" s="1888">
        <v>1</v>
      </c>
      <c r="AL839" s="1522">
        <v>20.224596999999999</v>
      </c>
      <c r="AM839" s="1523">
        <v>103.41150399999999</v>
      </c>
      <c r="AN839" s="571" t="s">
        <v>6048</v>
      </c>
      <c r="AO839" s="571" t="s">
        <v>6048</v>
      </c>
      <c r="AP839" s="571" t="s">
        <v>6048</v>
      </c>
      <c r="AQ839" s="571" t="s">
        <v>6048</v>
      </c>
      <c r="AR839" s="571" t="s">
        <v>6048</v>
      </c>
      <c r="AS839" s="704" t="s">
        <v>6048</v>
      </c>
    </row>
    <row r="840" spans="1:45" ht="85.5" customHeight="1">
      <c r="A840" s="16">
        <f>OBRA!J838</f>
        <v>2024</v>
      </c>
      <c r="B840" s="783" t="s">
        <v>3944</v>
      </c>
      <c r="C840" s="783">
        <f>OBRA!K838</f>
        <v>245005</v>
      </c>
      <c r="D840" s="24" t="s">
        <v>2310</v>
      </c>
      <c r="E840" s="2" t="str">
        <f>OBRA!M838</f>
        <v>CUENTA CORRIENTE</v>
      </c>
      <c r="F840" s="671" t="s">
        <v>1428</v>
      </c>
      <c r="G840" s="156" t="s">
        <v>2206</v>
      </c>
      <c r="H840" s="2" t="str">
        <f>OBRA!N838</f>
        <v>GMJ 005C- OP/2024</v>
      </c>
      <c r="I840" s="2" t="str">
        <f>OBRA!O838</f>
        <v>ADJUDICACIÓN DIRECTA</v>
      </c>
      <c r="J840" s="3" t="str">
        <f>OBRA!P838</f>
        <v>"REHABILITACIÓN DE LÍNEAS HIDROSANITARIAS EN CALLE RAMÓN CORONA ENTRE CARRETERA JIQUILPAN-GUADALAJARA Y CALLE PINO SUAREZ", EN LA LOCALIDAD DE SAN PEDRO TESISTÁN, MUNICIPIO DE JOCOTEPEC, JALISCO.</v>
      </c>
      <c r="K840" s="1175" t="s">
        <v>6790</v>
      </c>
      <c r="L840" s="3" t="s">
        <v>6257</v>
      </c>
      <c r="M840" s="3" t="s">
        <v>6321</v>
      </c>
      <c r="N840" s="3" t="str">
        <f>OBRA!Q838</f>
        <v>SAN PEDRO TESISTÁN</v>
      </c>
      <c r="O840" s="504" t="s">
        <v>6041</v>
      </c>
      <c r="P840" s="79">
        <f>OBRA!R838</f>
        <v>1863104.13</v>
      </c>
      <c r="Q840" s="1023">
        <f t="shared" si="69"/>
        <v>1606124.25</v>
      </c>
      <c r="R840" s="1714" t="s">
        <v>68</v>
      </c>
      <c r="S840" s="67">
        <f>OBRA!S838</f>
        <v>45356</v>
      </c>
      <c r="T840" s="1134">
        <f>OBRA!V838</f>
        <v>45355</v>
      </c>
      <c r="U840" s="5">
        <f>OBRA!T838</f>
        <v>45362</v>
      </c>
      <c r="V840" s="11">
        <f>OBRA!U838</f>
        <v>45376</v>
      </c>
      <c r="W840" s="1901">
        <v>558931.24</v>
      </c>
      <c r="X840" s="1019">
        <f>OBRA!AS838+OBRA!AT838</f>
        <v>1617850.41</v>
      </c>
      <c r="Y840" s="1089" t="s">
        <v>6043</v>
      </c>
      <c r="Z840" s="146" t="str">
        <f>OBRA!W838</f>
        <v>C. SERGIO CABRERA</v>
      </c>
      <c r="AA840" s="146" t="s">
        <v>5665</v>
      </c>
      <c r="AB840" s="1769" t="s">
        <v>4444</v>
      </c>
      <c r="AC840" s="146" t="s">
        <v>1922</v>
      </c>
      <c r="AD840" s="148" t="s">
        <v>6551</v>
      </c>
      <c r="AE840" s="183" t="str">
        <f>OBRA!X838</f>
        <v>ING. DALIA JUDITH VARGAS HOYOS</v>
      </c>
      <c r="AF840" s="19">
        <f>286+286</f>
        <v>572</v>
      </c>
      <c r="AG840" s="2" t="s">
        <v>1451</v>
      </c>
      <c r="AH840" s="615">
        <f t="shared" si="78"/>
        <v>2828.4098076923074</v>
      </c>
      <c r="AI840" s="2">
        <v>200</v>
      </c>
      <c r="AJ840" s="2">
        <v>500</v>
      </c>
      <c r="AK840" s="1888">
        <v>1</v>
      </c>
      <c r="AL840" s="1522">
        <v>20.230066000000001</v>
      </c>
      <c r="AM840" s="1523">
        <v>103.41699800000001</v>
      </c>
      <c r="AN840" s="571" t="s">
        <v>6166</v>
      </c>
      <c r="AO840" s="571" t="s">
        <v>6166</v>
      </c>
      <c r="AP840" s="571" t="s">
        <v>6166</v>
      </c>
      <c r="AQ840" s="571" t="s">
        <v>6166</v>
      </c>
      <c r="AR840" s="571" t="s">
        <v>6166</v>
      </c>
      <c r="AS840" s="18"/>
    </row>
    <row r="841" spans="1:45" ht="93.75" customHeight="1">
      <c r="A841" s="16">
        <f>OBRA!J839</f>
        <v>2024</v>
      </c>
      <c r="B841" s="783" t="s">
        <v>3944</v>
      </c>
      <c r="C841" s="783">
        <f>OBRA!K839</f>
        <v>245006</v>
      </c>
      <c r="D841" s="24" t="s">
        <v>2310</v>
      </c>
      <c r="E841" s="2" t="str">
        <f>OBRA!M839</f>
        <v>CUENTA CORRIENTE</v>
      </c>
      <c r="F841" s="671" t="s">
        <v>1428</v>
      </c>
      <c r="G841" s="156" t="s">
        <v>2206</v>
      </c>
      <c r="H841" s="2" t="str">
        <f>OBRA!N839</f>
        <v>GMJ 006C- OP/2024</v>
      </c>
      <c r="I841" s="2" t="str">
        <f>OBRA!O839</f>
        <v>ADJUDICACIÓN DIRECTA</v>
      </c>
      <c r="J841" s="3" t="str">
        <f>OBRA!P839</f>
        <v>"REHABILITACIÓN DE SUPERFICIE DE RODAMIENTO EN CALLE RAMÓN CORONA ENTRE CARRETERA JIQUILPAN-GUADALAJARA Y CALLE PINO SUAREZ", EN LA LOCALIDAD DE SAN PEDRO TESISTÁN, MUNICIPIO DE JOCOTEPEC, JALISCO.</v>
      </c>
      <c r="K841" s="3" t="s">
        <v>6792</v>
      </c>
      <c r="L841" s="3" t="s">
        <v>4752</v>
      </c>
      <c r="M841" s="3" t="s">
        <v>6321</v>
      </c>
      <c r="N841" s="3" t="str">
        <f>OBRA!Q839</f>
        <v>SAN PEDRO TESISTÁN</v>
      </c>
      <c r="O841" s="504" t="s">
        <v>6041</v>
      </c>
      <c r="P841" s="79">
        <f>OBRA!R839</f>
        <v>1911380.28</v>
      </c>
      <c r="Q841" s="1023">
        <f t="shared" si="69"/>
        <v>1647741.6206896554</v>
      </c>
      <c r="R841" s="1714" t="s">
        <v>68</v>
      </c>
      <c r="S841" s="67">
        <f>OBRA!S839</f>
        <v>45355</v>
      </c>
      <c r="T841" s="1134">
        <f>OBRA!V839</f>
        <v>45355</v>
      </c>
      <c r="U841" s="5">
        <f>OBRA!T839</f>
        <v>45355</v>
      </c>
      <c r="V841" s="11">
        <f>OBRA!U839</f>
        <v>45369</v>
      </c>
      <c r="W841" s="1901">
        <v>573414.07999999996</v>
      </c>
      <c r="X841" s="1019">
        <f>OBRA!AS839+OBRA!AT839</f>
        <v>1856041.13</v>
      </c>
      <c r="Y841" s="1089" t="s">
        <v>6042</v>
      </c>
      <c r="Z841" s="146" t="str">
        <f>OBRA!W839</f>
        <v>C. SERGIO CABRERA</v>
      </c>
      <c r="AA841" s="146" t="s">
        <v>5665</v>
      </c>
      <c r="AB841" s="1769" t="s">
        <v>4444</v>
      </c>
      <c r="AC841" s="146" t="s">
        <v>1922</v>
      </c>
      <c r="AD841" s="148" t="s">
        <v>6551</v>
      </c>
      <c r="AE841" s="183" t="str">
        <f>OBRA!X839</f>
        <v>ING. DALIA JUDITH VARGAS HOYOS</v>
      </c>
      <c r="AF841" s="19">
        <v>1561.23</v>
      </c>
      <c r="AG841" s="2" t="s">
        <v>1548</v>
      </c>
      <c r="AH841" s="615">
        <f t="shared" si="78"/>
        <v>1188.8326063424352</v>
      </c>
      <c r="AI841" s="2">
        <v>200</v>
      </c>
      <c r="AJ841" s="2">
        <v>500</v>
      </c>
      <c r="AK841" s="1888">
        <v>1</v>
      </c>
      <c r="AL841" s="1522">
        <v>20.230066000000001</v>
      </c>
      <c r="AM841" s="1523">
        <v>103.41699800000001</v>
      </c>
      <c r="AN841" s="571" t="s">
        <v>6168</v>
      </c>
      <c r="AO841" s="571" t="s">
        <v>6168</v>
      </c>
      <c r="AP841" s="571" t="s">
        <v>6168</v>
      </c>
      <c r="AQ841" s="504" t="s">
        <v>6168</v>
      </c>
      <c r="AR841" s="504" t="s">
        <v>6168</v>
      </c>
      <c r="AS841" s="18"/>
    </row>
    <row r="842" spans="1:45" ht="86.25" customHeight="1">
      <c r="A842" s="16">
        <f>OBRA!J840</f>
        <v>2024</v>
      </c>
      <c r="B842" s="783" t="s">
        <v>3944</v>
      </c>
      <c r="C842" s="783">
        <f>OBRA!K840</f>
        <v>245007</v>
      </c>
      <c r="D842" s="24" t="s">
        <v>2310</v>
      </c>
      <c r="E842" s="2" t="str">
        <f>OBRA!M840</f>
        <v>CUENTA CORRIENTE</v>
      </c>
      <c r="F842" s="671" t="s">
        <v>1428</v>
      </c>
      <c r="G842" s="156" t="s">
        <v>2206</v>
      </c>
      <c r="H842" s="1698" t="str">
        <f>OBRA!N840</f>
        <v>GMJ 007C- OP/2024</v>
      </c>
      <c r="I842" s="2" t="str">
        <f>OBRA!O840</f>
        <v>ADJUDICACIÓN DIRECTA</v>
      </c>
      <c r="J842" s="3" t="str">
        <f>OBRA!P840</f>
        <v>"REHABILITACIÓN DE BANQUETAS E IMAGEN URBANA EN CALLE RAMÓN CORONA ENTRE CARRETERA JIQUILPAN-GUADALAJARA Y CALLE PINO SUAREZ", EN LA LOCALIDAD DE SAN PEDRO TESISTÁN, MUNICIPIO DE JOCOTEPEC, JALISCO.</v>
      </c>
      <c r="K842" s="1175" t="s">
        <v>6802</v>
      </c>
      <c r="L842" s="3" t="s">
        <v>6253</v>
      </c>
      <c r="M842" s="3" t="s">
        <v>6321</v>
      </c>
      <c r="N842" s="3" t="str">
        <f>OBRA!Q840</f>
        <v>SAN PEDRO TESISTÁN</v>
      </c>
      <c r="O842" s="504" t="s">
        <v>6041</v>
      </c>
      <c r="P842" s="79">
        <f>OBRA!R840</f>
        <v>431465.57</v>
      </c>
      <c r="Q842" s="1023">
        <f t="shared" si="69"/>
        <v>371953.07758620696</v>
      </c>
      <c r="R842" s="1714" t="s">
        <v>68</v>
      </c>
      <c r="S842" s="67">
        <f>OBRA!S840</f>
        <v>45356</v>
      </c>
      <c r="T842" s="1134">
        <f>OBRA!V840</f>
        <v>45355</v>
      </c>
      <c r="U842" s="5">
        <f>OBRA!T840</f>
        <v>45374</v>
      </c>
      <c r="V842" s="11">
        <f>OBRA!U840</f>
        <v>45379</v>
      </c>
      <c r="W842" s="1901">
        <v>0</v>
      </c>
      <c r="X842" s="1019">
        <f>OBRA!AS840+OBRA!AT840</f>
        <v>392418.51</v>
      </c>
      <c r="Y842" s="1018" t="s">
        <v>6156</v>
      </c>
      <c r="Z842" s="146" t="str">
        <f>OBRA!W840</f>
        <v>TERRACERÍAS Y PAVIMENTOS DE LA RIBERA, S.A. DE C.V.</v>
      </c>
      <c r="AA842" s="146" t="s">
        <v>5666</v>
      </c>
      <c r="AB842" s="1769" t="s">
        <v>4444</v>
      </c>
      <c r="AC842" s="1770" t="s">
        <v>3470</v>
      </c>
      <c r="AD842" s="1769" t="s">
        <v>6070</v>
      </c>
      <c r="AE842" s="183" t="str">
        <f>OBRA!X840</f>
        <v>ING. DALIA JUDITH VARGAS HOYOS</v>
      </c>
      <c r="AF842" s="19">
        <v>504.65</v>
      </c>
      <c r="AG842" s="2" t="s">
        <v>1548</v>
      </c>
      <c r="AH842" s="615">
        <f t="shared" si="78"/>
        <v>777.60529079560092</v>
      </c>
      <c r="AI842" s="2">
        <v>200</v>
      </c>
      <c r="AJ842" s="2">
        <v>500</v>
      </c>
      <c r="AK842" s="1888">
        <v>1</v>
      </c>
      <c r="AL842" s="1522">
        <v>20.230066000000001</v>
      </c>
      <c r="AM842" s="1523">
        <v>103.41699800000001</v>
      </c>
      <c r="AN842" s="571" t="s">
        <v>6504</v>
      </c>
      <c r="AO842" s="571" t="s">
        <v>6504</v>
      </c>
      <c r="AP842" s="571" t="s">
        <v>6504</v>
      </c>
      <c r="AQ842" s="504" t="s">
        <v>6504</v>
      </c>
      <c r="AR842" s="504" t="s">
        <v>6504</v>
      </c>
      <c r="AS842" s="704" t="s">
        <v>6504</v>
      </c>
    </row>
    <row r="843" spans="1:45" ht="111.75" customHeight="1">
      <c r="A843" s="16">
        <f>OBRA!J841</f>
        <v>2024</v>
      </c>
      <c r="B843" s="783" t="s">
        <v>3944</v>
      </c>
      <c r="C843" s="783">
        <f>OBRA!K841</f>
        <v>245008</v>
      </c>
      <c r="D843" s="24" t="s">
        <v>2310</v>
      </c>
      <c r="E843" s="2" t="str">
        <f>OBRA!M841</f>
        <v>CUENTA CORRIENTE</v>
      </c>
      <c r="F843" s="671" t="s">
        <v>1428</v>
      </c>
      <c r="G843" s="156" t="s">
        <v>2206</v>
      </c>
      <c r="H843" s="412" t="str">
        <f>OBRA!N841</f>
        <v>CSS-OP-CC-008/2024</v>
      </c>
      <c r="I843" s="2" t="str">
        <f>OBRA!O841</f>
        <v>CONCURSO SIMPLIFICADO SUMARIO</v>
      </c>
      <c r="J843" s="3" t="str">
        <f>OBRA!P841</f>
        <v>"PERFORACIÓN DE UN POZO PROFUNDO EN CALLE MIGUEL ARANA CRUCE CON ALLENDE (ZONA CENTRO)", EN LA CABECERA MUNICIPAL DE JOCOTEPEC, JALISCO.</v>
      </c>
      <c r="K843" s="1175" t="s">
        <v>6795</v>
      </c>
      <c r="L843" s="3" t="s">
        <v>4751</v>
      </c>
      <c r="M843" s="3" t="s">
        <v>6037</v>
      </c>
      <c r="N843" s="3" t="str">
        <f>OBRA!Q841</f>
        <v>CABECERA MUNICIPAL</v>
      </c>
      <c r="O843" s="504" t="s">
        <v>6041</v>
      </c>
      <c r="P843" s="79">
        <f>OBRA!R841</f>
        <v>7514599.0899999999</v>
      </c>
      <c r="Q843" s="1023">
        <f t="shared" si="69"/>
        <v>6478102.6637931038</v>
      </c>
      <c r="R843" s="1714" t="s">
        <v>68</v>
      </c>
      <c r="S843" s="67">
        <f>OBRA!S841</f>
        <v>45350</v>
      </c>
      <c r="T843" s="1134" t="str">
        <f>OBRA!V841</f>
        <v>-</v>
      </c>
      <c r="U843" s="5">
        <f>OBRA!T841</f>
        <v>45351</v>
      </c>
      <c r="V843" s="11">
        <f>OBRA!U841</f>
        <v>45427</v>
      </c>
      <c r="W843" s="1901">
        <v>2254379.73</v>
      </c>
      <c r="X843" s="1019">
        <f>OBRA!AS841+OBRA!AT841</f>
        <v>8072090.79</v>
      </c>
      <c r="Y843" s="1089" t="s">
        <v>6038</v>
      </c>
      <c r="Z843" s="146" t="str">
        <f>OBRA!W841</f>
        <v xml:space="preserve">EDIFICACIONES GRADINA, S.A. DE C.V. </v>
      </c>
      <c r="AA843" s="146" t="s">
        <v>5666</v>
      </c>
      <c r="AB843" s="148" t="s">
        <v>6140</v>
      </c>
      <c r="AC843" s="146" t="s">
        <v>6047</v>
      </c>
      <c r="AD843" s="148" t="s">
        <v>6553</v>
      </c>
      <c r="AE843" s="183" t="str">
        <f>OBRA!X841</f>
        <v>ING. J. GUADALUPE IBARRA RAMIREZ</v>
      </c>
      <c r="AF843" s="19">
        <v>350</v>
      </c>
      <c r="AG843" s="2" t="s">
        <v>1451</v>
      </c>
      <c r="AH843" s="615">
        <f t="shared" si="78"/>
        <v>23063.116542857144</v>
      </c>
      <c r="AI843" s="2">
        <v>2200</v>
      </c>
      <c r="AJ843" s="2">
        <v>8000</v>
      </c>
      <c r="AK843" s="1888">
        <v>1</v>
      </c>
      <c r="AL843" s="1522">
        <v>20.285806000000001</v>
      </c>
      <c r="AM843" s="1523">
        <v>103.429776</v>
      </c>
      <c r="AN843" s="571" t="s">
        <v>6167</v>
      </c>
      <c r="AO843" s="571" t="s">
        <v>6167</v>
      </c>
      <c r="AP843" s="571" t="s">
        <v>6167</v>
      </c>
      <c r="AQ843" s="504" t="s">
        <v>6167</v>
      </c>
      <c r="AR843" s="504" t="s">
        <v>6167</v>
      </c>
      <c r="AS843" s="18"/>
    </row>
    <row r="844" spans="1:45" ht="91.5" customHeight="1">
      <c r="A844" s="16">
        <f>OBRA!J842</f>
        <v>2024</v>
      </c>
      <c r="B844" s="783" t="s">
        <v>3944</v>
      </c>
      <c r="C844" s="783">
        <f>OBRA!K842</f>
        <v>245009</v>
      </c>
      <c r="D844" s="24" t="s">
        <v>2310</v>
      </c>
      <c r="E844" s="2" t="str">
        <f>OBRA!M842</f>
        <v>CUENTA CORRIENTE</v>
      </c>
      <c r="F844" s="671" t="s">
        <v>1428</v>
      </c>
      <c r="G844" s="156" t="s">
        <v>2206</v>
      </c>
      <c r="H844" s="412" t="str">
        <f>OBRA!N842</f>
        <v>GMJ 009C- OP/2024</v>
      </c>
      <c r="I844" s="2" t="str">
        <f>OBRA!O842</f>
        <v>ADJUDICACIÓN DIRECTA</v>
      </c>
      <c r="J844" s="3" t="str">
        <f>OBRA!P842</f>
        <v>"ELECTRIFICACIÓN DE NUEVO CÁRCAMO DE BOMBEO UBICADO EN LA CALLE RIVERA DEL LAGO ESQUINA CON JOSÉ SANTANA", EN LA CABECERA MUNICIPAL DE JOCOTEPEC, JALISCO.</v>
      </c>
      <c r="K844" s="1175" t="s">
        <v>6803</v>
      </c>
      <c r="L844" s="3" t="s">
        <v>2560</v>
      </c>
      <c r="M844" s="3" t="s">
        <v>6151</v>
      </c>
      <c r="N844" s="3" t="str">
        <f>OBRA!Q842</f>
        <v>CABECERA MUNICIPAL</v>
      </c>
      <c r="O844" s="504" t="s">
        <v>6041</v>
      </c>
      <c r="P844" s="79">
        <f>OBRA!R842</f>
        <v>948599.13</v>
      </c>
      <c r="Q844" s="1023">
        <f t="shared" si="69"/>
        <v>817757.87068965519</v>
      </c>
      <c r="R844" s="1714" t="s">
        <v>68</v>
      </c>
      <c r="S844" s="67">
        <f>OBRA!S842</f>
        <v>45363</v>
      </c>
      <c r="T844" s="1134">
        <f>OBRA!V842</f>
        <v>45362</v>
      </c>
      <c r="U844" s="5">
        <f>OBRA!T842</f>
        <v>45384</v>
      </c>
      <c r="V844" s="11">
        <f>OBRA!U842</f>
        <v>45467</v>
      </c>
      <c r="W844" s="1901">
        <f>P844*0.3</f>
        <v>284579.739</v>
      </c>
      <c r="X844" s="1019">
        <f>OBRA!AS842+OBRA!AT842</f>
        <v>988798.45</v>
      </c>
      <c r="Y844" s="1018" t="s">
        <v>6157</v>
      </c>
      <c r="Z844" s="146" t="str">
        <f>OBRA!W842</f>
        <v>SOLEC ENERGY, S.A. DE C.V.</v>
      </c>
      <c r="AA844" s="146" t="s">
        <v>5666</v>
      </c>
      <c r="AB844" s="148" t="s">
        <v>4548</v>
      </c>
      <c r="AC844" s="146" t="s">
        <v>4549</v>
      </c>
      <c r="AD844" s="1337" t="s">
        <v>6554</v>
      </c>
      <c r="AE844" s="183" t="str">
        <f>OBRA!X842</f>
        <v>ING. LUIS RIGOBERTO OLMEDO NAVARRO</v>
      </c>
      <c r="AF844" s="19">
        <v>1</v>
      </c>
      <c r="AG844" s="2" t="s">
        <v>1573</v>
      </c>
      <c r="AH844" s="615">
        <f t="shared" si="78"/>
        <v>988798.45</v>
      </c>
      <c r="AI844" s="2">
        <v>2000</v>
      </c>
      <c r="AJ844" s="2">
        <v>22000</v>
      </c>
      <c r="AK844" s="1888">
        <v>1</v>
      </c>
      <c r="AL844" s="1522">
        <v>20.283450999999999</v>
      </c>
      <c r="AM844" s="1523">
        <v>103.417547</v>
      </c>
      <c r="AN844" s="571" t="s">
        <v>6169</v>
      </c>
      <c r="AO844" s="571" t="s">
        <v>6169</v>
      </c>
      <c r="AP844" s="571" t="s">
        <v>6169</v>
      </c>
      <c r="AQ844" s="504" t="s">
        <v>6169</v>
      </c>
      <c r="AR844" s="504" t="s">
        <v>6169</v>
      </c>
      <c r="AS844" s="18"/>
    </row>
    <row r="845" spans="1:45" ht="56.25" customHeight="1">
      <c r="A845" s="16">
        <f>OBRA!J843</f>
        <v>2024</v>
      </c>
      <c r="B845" s="783" t="s">
        <v>3944</v>
      </c>
      <c r="C845" s="783">
        <f>OBRA!K843</f>
        <v>245010</v>
      </c>
      <c r="D845" s="24" t="s">
        <v>2310</v>
      </c>
      <c r="E845" s="2" t="str">
        <f>OBRA!M843</f>
        <v>RAMO 33</v>
      </c>
      <c r="F845" s="671" t="s">
        <v>1428</v>
      </c>
      <c r="G845" s="156" t="s">
        <v>2206</v>
      </c>
      <c r="H845" s="412" t="str">
        <f>OBRA!N843</f>
        <v>GMJ 010C- OP/2024</v>
      </c>
      <c r="I845" s="2" t="str">
        <f>OBRA!O843</f>
        <v>ADJUDICACIÓN DIRECTA</v>
      </c>
      <c r="J845" s="3" t="str">
        <f>OBRA!P843</f>
        <v>"CONSTRUCCIÓN DE PUENTE PEATONAL EN CALLE LIBERTAD", EN LA LOCALIDAD DE ZAPOTITÁN DE HIDALGO, MUNICIPIO DE JOCOTEPEC, JALISCO.</v>
      </c>
      <c r="K845" s="1175" t="s">
        <v>6804</v>
      </c>
      <c r="L845" s="3" t="s">
        <v>6259</v>
      </c>
      <c r="M845" s="3" t="s">
        <v>6152</v>
      </c>
      <c r="N845" s="3" t="str">
        <f>OBRA!Q843</f>
        <v>ZAPOTITÁN DE HIDALGO</v>
      </c>
      <c r="O845" s="504" t="s">
        <v>6041</v>
      </c>
      <c r="P845" s="79">
        <f>OBRA!R843</f>
        <v>568143.82999999996</v>
      </c>
      <c r="Q845" s="1023">
        <f t="shared" si="69"/>
        <v>489779.16379310342</v>
      </c>
      <c r="R845" s="1714" t="s">
        <v>68</v>
      </c>
      <c r="S845" s="67">
        <f>OBRA!S843</f>
        <v>45364</v>
      </c>
      <c r="T845" s="1134">
        <f>OBRA!V843</f>
        <v>45363</v>
      </c>
      <c r="U845" s="5">
        <f>OBRA!T843</f>
        <v>45376</v>
      </c>
      <c r="V845" s="11">
        <f>OBRA!U843</f>
        <v>45413</v>
      </c>
      <c r="W845" s="1901">
        <f>P845*0.3</f>
        <v>170443.14899999998</v>
      </c>
      <c r="X845" s="1019">
        <f>OBRA!AS843+OBRA!AT843</f>
        <v>701966.8</v>
      </c>
      <c r="Y845" s="1018" t="s">
        <v>6158</v>
      </c>
      <c r="Z845" s="146" t="str">
        <f>OBRA!W843</f>
        <v>ALSERCON SA DE CV</v>
      </c>
      <c r="AA845" s="146" t="s">
        <v>5666</v>
      </c>
      <c r="AB845" s="1769" t="s">
        <v>2164</v>
      </c>
      <c r="AC845" s="1770" t="s">
        <v>2165</v>
      </c>
      <c r="AD845" s="1769" t="s">
        <v>6109</v>
      </c>
      <c r="AE845" s="183" t="s">
        <v>213</v>
      </c>
      <c r="AF845" s="19">
        <v>43.2</v>
      </c>
      <c r="AG845" s="2" t="s">
        <v>1548</v>
      </c>
      <c r="AH845" s="615">
        <f t="shared" si="78"/>
        <v>16249.231481481482</v>
      </c>
      <c r="AI845" s="2">
        <v>200</v>
      </c>
      <c r="AJ845" s="2">
        <v>500</v>
      </c>
      <c r="AK845" s="1888">
        <v>1</v>
      </c>
      <c r="AL845" s="1522">
        <v>20.326571000000001</v>
      </c>
      <c r="AM845" s="1523">
        <v>103.47636300000001</v>
      </c>
      <c r="AN845" s="571" t="s">
        <v>6170</v>
      </c>
      <c r="AO845" s="571" t="s">
        <v>6170</v>
      </c>
      <c r="AP845" s="571" t="s">
        <v>6170</v>
      </c>
      <c r="AQ845" s="504" t="s">
        <v>6170</v>
      </c>
      <c r="AR845" s="504"/>
      <c r="AS845" s="18"/>
    </row>
    <row r="846" spans="1:45" ht="96.75" customHeight="1">
      <c r="A846" s="16">
        <f>OBRA!J844</f>
        <v>2024</v>
      </c>
      <c r="B846" s="783" t="s">
        <v>3944</v>
      </c>
      <c r="C846" s="783">
        <f>OBRA!K844</f>
        <v>245011</v>
      </c>
      <c r="D846" s="24" t="s">
        <v>2310</v>
      </c>
      <c r="E846" s="2" t="str">
        <f>OBRA!M844</f>
        <v>RAMO 33</v>
      </c>
      <c r="F846" s="671" t="s">
        <v>1428</v>
      </c>
      <c r="G846" s="156" t="s">
        <v>2206</v>
      </c>
      <c r="H846" s="412" t="str">
        <f>OBRA!N844</f>
        <v>CSS-OP-FAIS/RAMO 33-011/2024</v>
      </c>
      <c r="I846" s="2" t="str">
        <f>OBRA!O844</f>
        <v>CONCURSO SIMPLIFICADO SUMARIO</v>
      </c>
      <c r="J846" s="3" t="str">
        <f>OBRA!P844</f>
        <v>"CONSTRUCCIÓN DE LÍNEA DE COLECTOR  DE 18", EN LA CABECERA MUNICIPAL DE JOCOTEPEC, JALISCO.</v>
      </c>
      <c r="K846" s="1175" t="s">
        <v>6806</v>
      </c>
      <c r="L846" s="3" t="s">
        <v>6260</v>
      </c>
      <c r="M846" s="3" t="s">
        <v>6089</v>
      </c>
      <c r="N846" s="3" t="str">
        <f>OBRA!Q844</f>
        <v>CABECERA MUNICIPAL</v>
      </c>
      <c r="O846" s="504" t="s">
        <v>6490</v>
      </c>
      <c r="P846" s="79">
        <f>OBRA!R844</f>
        <v>5799082.5300000003</v>
      </c>
      <c r="Q846" s="1023">
        <f t="shared" ref="Q846:Q852" si="79">P846/1.16</f>
        <v>4999209.0775862075</v>
      </c>
      <c r="R846" s="1714" t="s">
        <v>68</v>
      </c>
      <c r="S846" s="67">
        <f>OBRA!S844</f>
        <v>45394</v>
      </c>
      <c r="T846" s="1134" t="str">
        <f>OBRA!V844</f>
        <v>-</v>
      </c>
      <c r="U846" s="5">
        <f>OBRA!T844</f>
        <v>45397</v>
      </c>
      <c r="V846" s="11">
        <f>OBRA!U844</f>
        <v>45458</v>
      </c>
      <c r="W846" s="1901">
        <v>1739724.76</v>
      </c>
      <c r="X846" s="1019">
        <f>OBRA!AS844+OBRA!AT844</f>
        <v>7572122.3899999997</v>
      </c>
      <c r="Y846" s="1018" t="s">
        <v>6505</v>
      </c>
      <c r="Z846" s="146" t="str">
        <f>OBRA!W844</f>
        <v>TERRACERÍAS Y PAVIMENTOS DE LA RIBERA, S.A. DE C.V.</v>
      </c>
      <c r="AA846" s="146" t="s">
        <v>5666</v>
      </c>
      <c r="AB846" s="1769" t="s">
        <v>4444</v>
      </c>
      <c r="AC846" s="1770" t="s">
        <v>3470</v>
      </c>
      <c r="AD846" s="1769" t="s">
        <v>6070</v>
      </c>
      <c r="AE846" s="183" t="str">
        <f>OBRA!X844</f>
        <v>C. DANIEL RODRIGUEZ VALENZUELA</v>
      </c>
      <c r="AF846" s="19">
        <v>640</v>
      </c>
      <c r="AG846" s="2" t="s">
        <v>1451</v>
      </c>
      <c r="AH846" s="615">
        <f t="shared" si="78"/>
        <v>11831.441234374999</v>
      </c>
      <c r="AI846" s="2">
        <v>2000</v>
      </c>
      <c r="AJ846" s="2">
        <v>22000</v>
      </c>
      <c r="AK846" s="1888">
        <v>1</v>
      </c>
      <c r="AL846" s="1522">
        <v>20.286213</v>
      </c>
      <c r="AM846" s="1523">
        <v>103.416695</v>
      </c>
      <c r="AN846" s="571" t="s">
        <v>6506</v>
      </c>
      <c r="AO846" s="571" t="s">
        <v>6506</v>
      </c>
      <c r="AP846" s="571" t="s">
        <v>6506</v>
      </c>
      <c r="AQ846" s="504" t="s">
        <v>6506</v>
      </c>
      <c r="AR846" s="504" t="s">
        <v>6506</v>
      </c>
      <c r="AS846" s="18"/>
    </row>
    <row r="847" spans="1:45" ht="75" customHeight="1">
      <c r="A847" s="16">
        <f>OBRA!J845</f>
        <v>2024</v>
      </c>
      <c r="B847" s="783" t="s">
        <v>3944</v>
      </c>
      <c r="C847" s="783">
        <f>OBRA!K845</f>
        <v>245012</v>
      </c>
      <c r="D847" s="24" t="s">
        <v>2310</v>
      </c>
      <c r="E847" s="2" t="str">
        <f>OBRA!M845</f>
        <v>CUENTA CORRIENTE</v>
      </c>
      <c r="F847" s="671" t="s">
        <v>1428</v>
      </c>
      <c r="G847" s="156" t="s">
        <v>2206</v>
      </c>
      <c r="H847" s="12" t="str">
        <f>OBRA!N845</f>
        <v>CSS-OP-CC-012/2024</v>
      </c>
      <c r="I847" s="2" t="str">
        <f>OBRA!O845</f>
        <v>CONCURSO SIMPLIFICADO SUMARIO</v>
      </c>
      <c r="J847" s="3" t="str">
        <f>OBRA!P845</f>
        <v>"PERFORACIÓN DE UN POZO PROFUNDO A 250 ML EN CALLE MORELOS CRUCE CON C. GONZÁLEZ ORTEGA", EN LA CABECERA MUNICIPAL DE JOCOTEPEC, JALISCO</v>
      </c>
      <c r="K847" s="1175" t="s">
        <v>6796</v>
      </c>
      <c r="L847" s="3" t="s">
        <v>4751</v>
      </c>
      <c r="M847" s="3" t="s">
        <v>6176</v>
      </c>
      <c r="N847" s="3" t="str">
        <f>OBRA!Q845</f>
        <v>CABECERA MUNICIPAL</v>
      </c>
      <c r="O847" s="504" t="s">
        <v>6490</v>
      </c>
      <c r="P847" s="79">
        <f>OBRA!R845</f>
        <v>4428068</v>
      </c>
      <c r="Q847" s="1023">
        <f t="shared" si="79"/>
        <v>3817300.0000000005</v>
      </c>
      <c r="R847" s="1714" t="s">
        <v>68</v>
      </c>
      <c r="S847" s="67">
        <f>OBRA!S845</f>
        <v>45394</v>
      </c>
      <c r="T847" s="1134" t="str">
        <f>OBRA!V845</f>
        <v>-</v>
      </c>
      <c r="U847" s="5">
        <f>OBRA!T845</f>
        <v>45414</v>
      </c>
      <c r="V847" s="11">
        <f>OBRA!U845</f>
        <v>45458</v>
      </c>
      <c r="W847" s="1901">
        <v>1328420.3999999999</v>
      </c>
      <c r="X847" s="1019">
        <f>OBRA!AS845+OBRA!AT845</f>
        <v>5581497.9199999999</v>
      </c>
      <c r="Y847" s="1018" t="s">
        <v>6177</v>
      </c>
      <c r="Z847" s="146" t="str">
        <f>OBRA!W845</f>
        <v>VICTOR SAUL RAMOS MORALES</v>
      </c>
      <c r="AA847" s="146" t="s">
        <v>5665</v>
      </c>
      <c r="AB847" s="148" t="str">
        <f t="shared" ref="AB847:AB875" si="80">Z847</f>
        <v>VICTOR SAUL RAMOS MORALES</v>
      </c>
      <c r="AC847" s="146" t="s">
        <v>6178</v>
      </c>
      <c r="AD847" s="148" t="s">
        <v>6555</v>
      </c>
      <c r="AE847" s="183" t="str">
        <f>OBRA!X845</f>
        <v>ING. LUIS RIGOBERTO OLMEDO NAVARRO</v>
      </c>
      <c r="AF847" s="19">
        <v>350</v>
      </c>
      <c r="AG847" s="2" t="s">
        <v>1451</v>
      </c>
      <c r="AH847" s="615">
        <f t="shared" si="78"/>
        <v>15947.136914285715</v>
      </c>
      <c r="AI847" s="2">
        <v>5500</v>
      </c>
      <c r="AJ847" s="2">
        <v>22000</v>
      </c>
      <c r="AK847" s="1888">
        <v>1</v>
      </c>
      <c r="AL847" s="1522">
        <v>20.286714</v>
      </c>
      <c r="AM847" s="1523">
        <v>103.42418499999999</v>
      </c>
      <c r="AN847" s="571" t="s">
        <v>6508</v>
      </c>
      <c r="AO847" s="571" t="s">
        <v>6508</v>
      </c>
      <c r="AP847" s="571" t="s">
        <v>6508</v>
      </c>
      <c r="AQ847" s="2"/>
      <c r="AR847" s="2"/>
      <c r="AS847" s="704" t="s">
        <v>6508</v>
      </c>
    </row>
    <row r="848" spans="1:45" ht="133.5" customHeight="1">
      <c r="A848" s="16">
        <f>OBRA!J846</f>
        <v>2024</v>
      </c>
      <c r="B848" s="783" t="s">
        <v>3944</v>
      </c>
      <c r="C848" s="783">
        <f>OBRA!K846</f>
        <v>245013</v>
      </c>
      <c r="D848" s="24" t="s">
        <v>2310</v>
      </c>
      <c r="E848" s="2" t="str">
        <f>OBRA!M846</f>
        <v>RAMO 33</v>
      </c>
      <c r="F848" s="671" t="s">
        <v>1428</v>
      </c>
      <c r="G848" s="156" t="s">
        <v>2206</v>
      </c>
      <c r="H848" s="12" t="str">
        <f>OBRA!N846</f>
        <v>GMJ 013C- OP/2024</v>
      </c>
      <c r="I848" s="2" t="str">
        <f>OBRA!O846</f>
        <v>ADJUDICACIÓN DIRECTA</v>
      </c>
      <c r="J848" s="3" t="str">
        <f>OBRA!P846</f>
        <v>"CONSTRUCCIÓN DE PUENTE PEATONAL EN CALLE GALEANA", EN LA DELEGACIÓN DE ZAPOTITÁN DE HIDALGO, DEL MUNICIPIO DE JOCOTEPEC, JALISCO.</v>
      </c>
      <c r="K848" s="1175" t="s">
        <v>6805</v>
      </c>
      <c r="L848" s="3" t="s">
        <v>6259</v>
      </c>
      <c r="M848" s="3" t="s">
        <v>4782</v>
      </c>
      <c r="N848" s="3" t="str">
        <f>OBRA!Q846</f>
        <v>ZAPOTITÁN DE HIDALGO</v>
      </c>
      <c r="O848" s="504" t="s">
        <v>6490</v>
      </c>
      <c r="P848" s="79">
        <f>OBRA!R846</f>
        <v>979189.38</v>
      </c>
      <c r="Q848" s="1023">
        <f t="shared" si="79"/>
        <v>844128.77586206899</v>
      </c>
      <c r="R848" s="1714" t="s">
        <v>68</v>
      </c>
      <c r="S848" s="67">
        <f>OBRA!S846</f>
        <v>45400</v>
      </c>
      <c r="T848" s="1134">
        <f>OBRA!V846</f>
        <v>45399</v>
      </c>
      <c r="U848" s="5">
        <f>OBRA!T846</f>
        <v>45418</v>
      </c>
      <c r="V848" s="11">
        <f>OBRA!U846</f>
        <v>45443</v>
      </c>
      <c r="W848" s="1901">
        <v>293756.81</v>
      </c>
      <c r="X848" s="1019">
        <f>OBRA!AS846+OBRA!AT846</f>
        <v>979189.38</v>
      </c>
      <c r="Y848" s="1018" t="s">
        <v>6509</v>
      </c>
      <c r="Z848" s="146" t="str">
        <f>OBRA!W846</f>
        <v>ALSERCON SA DE CV</v>
      </c>
      <c r="AA848" s="146" t="s">
        <v>5666</v>
      </c>
      <c r="AB848" s="148" t="s">
        <v>2164</v>
      </c>
      <c r="AC848" s="146" t="s">
        <v>2165</v>
      </c>
      <c r="AD848" s="148" t="s">
        <v>6550</v>
      </c>
      <c r="AE848" s="183" t="str">
        <f>OBRA!X846</f>
        <v>ARQ. JAIME CONDE GOMEZ</v>
      </c>
      <c r="AF848" s="19">
        <v>570</v>
      </c>
      <c r="AG848" s="2" t="s">
        <v>1548</v>
      </c>
      <c r="AH848" s="615">
        <f t="shared" si="78"/>
        <v>1717.8761052631578</v>
      </c>
      <c r="AI848" s="2">
        <v>150</v>
      </c>
      <c r="AJ848" s="2">
        <v>1300</v>
      </c>
      <c r="AK848" s="1888">
        <v>1</v>
      </c>
      <c r="AL848" s="1522">
        <v>20.327373000000001</v>
      </c>
      <c r="AM848" s="1523">
        <v>103.482738</v>
      </c>
      <c r="AN848" s="571" t="s">
        <v>6510</v>
      </c>
      <c r="AO848" s="571" t="s">
        <v>6510</v>
      </c>
      <c r="AP848" s="571" t="s">
        <v>6510</v>
      </c>
      <c r="AQ848" s="495" t="s">
        <v>6510</v>
      </c>
      <c r="AR848" s="504" t="s">
        <v>6510</v>
      </c>
      <c r="AS848" s="18"/>
    </row>
    <row r="849" spans="1:45" ht="92.25" customHeight="1">
      <c r="A849" s="16">
        <f>OBRA!J847</f>
        <v>2024</v>
      </c>
      <c r="B849" s="783" t="s">
        <v>3944</v>
      </c>
      <c r="C849" s="783">
        <f>OBRA!K847</f>
        <v>245014</v>
      </c>
      <c r="D849" s="24" t="s">
        <v>2310</v>
      </c>
      <c r="E849" s="2" t="str">
        <f>OBRA!M847</f>
        <v>CUENTA CORRIENTE</v>
      </c>
      <c r="F849" s="671" t="s">
        <v>1428</v>
      </c>
      <c r="G849" s="156" t="s">
        <v>2206</v>
      </c>
      <c r="H849" s="12" t="str">
        <f>OBRA!N847</f>
        <v>GMJ 014C- OP/2024</v>
      </c>
      <c r="I849" s="2" t="str">
        <f>OBRA!O847</f>
        <v>ADJUDICACIÓN DIRECTA</v>
      </c>
      <c r="J849" s="3" t="str">
        <f>OBRA!P847</f>
        <v>"EQUIPAMIENTO DE NUEVO POZO PROFUNDO DE AGUA POTABLE EN CALLE MIGUEL ARANA CRUCE CON CALLE ALLENDE (ZONA CENTRO) Y ADECUACIÓN DE GARZA EN POZO ACTUAL UBICADO EN EL ATRIO", EN LA CABECERA MUNICIPAL DE JOCOTEPEC, JALISCO.</v>
      </c>
      <c r="K849" s="1175" t="s">
        <v>6797</v>
      </c>
      <c r="L849" s="3" t="s">
        <v>4751</v>
      </c>
      <c r="M849" s="3" t="s">
        <v>6037</v>
      </c>
      <c r="N849" s="3" t="str">
        <f>OBRA!Q847</f>
        <v>CABECERA MUNICIPAL</v>
      </c>
      <c r="O849" s="504" t="s">
        <v>6490</v>
      </c>
      <c r="P849" s="79">
        <f>OBRA!R847</f>
        <v>802898.64</v>
      </c>
      <c r="Q849" s="1023">
        <f t="shared" si="79"/>
        <v>692154.00000000012</v>
      </c>
      <c r="R849" s="1714" t="s">
        <v>68</v>
      </c>
      <c r="S849" s="67">
        <f>OBRA!S847</f>
        <v>45419</v>
      </c>
      <c r="T849" s="1134">
        <f>OBRA!V847</f>
        <v>45418</v>
      </c>
      <c r="U849" s="5">
        <f>OBRA!T847</f>
        <v>45420</v>
      </c>
      <c r="V849" s="11">
        <f>OBRA!U847</f>
        <v>45442</v>
      </c>
      <c r="W849" s="1901">
        <f>P849*0.3</f>
        <v>240869.592</v>
      </c>
      <c r="X849" s="1019">
        <f>OBRA!AS847+OBRA!AT847</f>
        <v>802898.41</v>
      </c>
      <c r="Y849" s="1018" t="s">
        <v>6172</v>
      </c>
      <c r="Z849" s="146" t="str">
        <f>OBRA!W847</f>
        <v>ING. MARCO ANTONIO PAREDES RODRÍGUEZ</v>
      </c>
      <c r="AA849" s="146" t="s">
        <v>5665</v>
      </c>
      <c r="AB849" s="1769" t="s">
        <v>3742</v>
      </c>
      <c r="AC849" s="146" t="s">
        <v>4292</v>
      </c>
      <c r="AD849" s="148" t="s">
        <v>6549</v>
      </c>
      <c r="AE849" s="183" t="str">
        <f>OBRA!X847</f>
        <v>ING. J. GUADALUPE IBARRA RAMIREZ</v>
      </c>
      <c r="AF849" s="19">
        <v>1</v>
      </c>
      <c r="AG849" s="2" t="s">
        <v>1573</v>
      </c>
      <c r="AH849" s="615">
        <f t="shared" si="78"/>
        <v>802898.41</v>
      </c>
      <c r="AI849" s="2">
        <v>2200</v>
      </c>
      <c r="AJ849" s="2">
        <v>8000</v>
      </c>
      <c r="AK849" s="1888">
        <v>1</v>
      </c>
      <c r="AL849" s="1522">
        <v>20.285806000000001</v>
      </c>
      <c r="AM849" s="1523">
        <v>103.429776</v>
      </c>
      <c r="AN849" s="571" t="s">
        <v>6511</v>
      </c>
      <c r="AO849" s="571" t="s">
        <v>6511</v>
      </c>
      <c r="AP849" s="571" t="s">
        <v>6511</v>
      </c>
      <c r="AQ849" s="495" t="s">
        <v>6511</v>
      </c>
      <c r="AR849" s="504"/>
      <c r="AS849" s="704" t="s">
        <v>6511</v>
      </c>
    </row>
    <row r="850" spans="1:45" ht="227.25" customHeight="1">
      <c r="A850" s="16">
        <f>OBRA!J848</f>
        <v>2024</v>
      </c>
      <c r="B850" s="783" t="s">
        <v>3944</v>
      </c>
      <c r="C850" s="783">
        <f>OBRA!K848</f>
        <v>245015</v>
      </c>
      <c r="D850" s="24" t="s">
        <v>2310</v>
      </c>
      <c r="E850" s="2" t="str">
        <f>OBRA!M848</f>
        <v>RAMO 33</v>
      </c>
      <c r="F850" s="671" t="s">
        <v>1428</v>
      </c>
      <c r="G850" s="156" t="s">
        <v>2206</v>
      </c>
      <c r="H850" s="12" t="str">
        <f>OBRA!N848</f>
        <v>GMJ 015C- OP/2024</v>
      </c>
      <c r="I850" s="2" t="str">
        <f>OBRA!O848</f>
        <v>ADJUDICACIÓN DIRECTA</v>
      </c>
      <c r="J850" s="3" t="str">
        <f>OBRA!P848</f>
        <v>"ELECTRIFICACIÓN DE NUEVO POZO PROFUNDO DE AGUA POTABLE ENTUBADA EN JOCOTEPEC CENTRO, INCLUYE CONSTRUCCIÓN Y ELECTRIFICACIÓN DE CASETA DE CONTROL ELÉCTRICO EN POZO ACTUAL UBICADO EN EL ATRIO", EN LA CABECERA MUNICIPAL DE JOCOTEPEC, JALISCO</v>
      </c>
      <c r="K850" s="1175" t="s">
        <v>6798</v>
      </c>
      <c r="L850" s="3" t="s">
        <v>4751</v>
      </c>
      <c r="M850" s="3" t="s">
        <v>6181</v>
      </c>
      <c r="N850" s="3" t="str">
        <f>OBRA!Q848</f>
        <v>CABECERA MUNICIPAL</v>
      </c>
      <c r="O850" s="504" t="s">
        <v>6490</v>
      </c>
      <c r="P850" s="79">
        <f>OBRA!R848</f>
        <v>944743.84</v>
      </c>
      <c r="Q850" s="1023">
        <f t="shared" si="79"/>
        <v>814434.3448275862</v>
      </c>
      <c r="R850" s="1714" t="s">
        <v>68</v>
      </c>
      <c r="S850" s="67">
        <f>OBRA!S848</f>
        <v>45419</v>
      </c>
      <c r="T850" s="1134">
        <f>OBRA!V848</f>
        <v>45418</v>
      </c>
      <c r="U850" s="5">
        <f>OBRA!T848</f>
        <v>45423</v>
      </c>
      <c r="V850" s="11">
        <f>OBRA!U848</f>
        <v>45443</v>
      </c>
      <c r="W850" s="1901">
        <v>0</v>
      </c>
      <c r="X850" s="1019">
        <f>OBRA!AS848+OBRA!AT848</f>
        <v>954258.28</v>
      </c>
      <c r="Y850" s="1018" t="s">
        <v>6182</v>
      </c>
      <c r="Z850" s="146" t="str">
        <f>OBRA!W848</f>
        <v>SOLEC ENERGY, S.A. DE C.V.</v>
      </c>
      <c r="AA850" s="146" t="s">
        <v>5666</v>
      </c>
      <c r="AB850" s="148" t="s">
        <v>4548</v>
      </c>
      <c r="AC850" s="146" t="s">
        <v>4549</v>
      </c>
      <c r="AD850" s="148" t="s">
        <v>6548</v>
      </c>
      <c r="AE850" s="183" t="str">
        <f>OBRA!X848</f>
        <v>ING. J. GUADALUPE IBARRA RAMIREZ</v>
      </c>
      <c r="AF850" s="19">
        <v>1</v>
      </c>
      <c r="AG850" s="2" t="s">
        <v>1463</v>
      </c>
      <c r="AH850" s="615">
        <f t="shared" si="78"/>
        <v>954258.28</v>
      </c>
      <c r="AI850" s="2">
        <v>2200</v>
      </c>
      <c r="AJ850" s="2">
        <v>8000</v>
      </c>
      <c r="AK850" s="1888">
        <v>1</v>
      </c>
      <c r="AL850" s="1522">
        <v>20.285785000000001</v>
      </c>
      <c r="AM850" s="1523">
        <v>103.429727</v>
      </c>
      <c r="AN850" s="571" t="s">
        <v>6771</v>
      </c>
      <c r="AO850" s="571" t="s">
        <v>6771</v>
      </c>
      <c r="AP850" s="571" t="s">
        <v>6771</v>
      </c>
      <c r="AQ850" s="504" t="s">
        <v>6771</v>
      </c>
      <c r="AR850" s="504" t="s">
        <v>6771</v>
      </c>
      <c r="AS850" s="704" t="s">
        <v>6771</v>
      </c>
    </row>
    <row r="851" spans="1:45" ht="69.75" customHeight="1">
      <c r="A851" s="16">
        <f>OBRA!J849</f>
        <v>2024</v>
      </c>
      <c r="B851" s="783" t="s">
        <v>3944</v>
      </c>
      <c r="C851" s="783">
        <f>OBRA!K849</f>
        <v>245016</v>
      </c>
      <c r="D851" s="24" t="s">
        <v>2310</v>
      </c>
      <c r="E851" s="2" t="str">
        <f>OBRA!M849</f>
        <v>CUENTA CORRIENTE</v>
      </c>
      <c r="F851" s="671" t="s">
        <v>1428</v>
      </c>
      <c r="G851" s="156" t="s">
        <v>2206</v>
      </c>
      <c r="H851" s="12" t="str">
        <f>OBRA!N849</f>
        <v>GMJ 016C- OP/2024</v>
      </c>
      <c r="I851" s="2" t="str">
        <f>OBRA!O849</f>
        <v>ADJUDICACIÓN DIRECTA</v>
      </c>
      <c r="J851" s="3" t="str">
        <f>OBRA!P849</f>
        <v>"SUMINISTRO E INSTALACIÓN DE POSTES PARA ALUMBRADO DE CAMPO DE FUTBOL EN LA UNIDAD DEPORTIVA SUR DONATO GUERRA", EN LA CABECERA MUNICIPAL DE JOCOTEPEC, JALISCO.</v>
      </c>
      <c r="K851" s="1175" t="s">
        <v>6807</v>
      </c>
      <c r="L851" s="3" t="s">
        <v>6255</v>
      </c>
      <c r="M851" s="3" t="s">
        <v>3999</v>
      </c>
      <c r="N851" s="3" t="str">
        <f>OBRA!Q849</f>
        <v>CABECERA MUNICIPAL</v>
      </c>
      <c r="O851" s="504" t="s">
        <v>6490</v>
      </c>
      <c r="P851" s="79">
        <f>OBRA!R849</f>
        <v>152167.64000000001</v>
      </c>
      <c r="Q851" s="1023">
        <f t="shared" si="79"/>
        <v>131179.00000000003</v>
      </c>
      <c r="R851" s="1714" t="s">
        <v>68</v>
      </c>
      <c r="S851" s="67">
        <f>OBRA!S849</f>
        <v>45446</v>
      </c>
      <c r="T851" s="1134">
        <f>OBRA!V849</f>
        <v>45443</v>
      </c>
      <c r="U851" s="5">
        <f>OBRA!T849</f>
        <v>45432</v>
      </c>
      <c r="V851" s="11">
        <f>OBRA!U849</f>
        <v>45440</v>
      </c>
      <c r="W851" s="1901">
        <v>0</v>
      </c>
      <c r="X851" s="1019">
        <f>OBRA!AS849+OBRA!AT849</f>
        <v>152167.64000000001</v>
      </c>
      <c r="Y851" s="1018" t="s">
        <v>6184</v>
      </c>
      <c r="Z851" s="146" t="str">
        <f>OBRA!W849</f>
        <v>SOLEC ENERGY, S.A. DE C.V.</v>
      </c>
      <c r="AA851" s="146" t="s">
        <v>5666</v>
      </c>
      <c r="AB851" s="148" t="s">
        <v>4548</v>
      </c>
      <c r="AC851" s="146" t="s">
        <v>4549</v>
      </c>
      <c r="AD851" s="1337" t="s">
        <v>6548</v>
      </c>
      <c r="AE851" s="183" t="str">
        <f>OBRA!X849</f>
        <v>ING. LUIS RIGOBERTO OLMEDO NAVARRO</v>
      </c>
      <c r="AF851" s="19">
        <v>3</v>
      </c>
      <c r="AG851" s="2" t="s">
        <v>1468</v>
      </c>
      <c r="AH851" s="615">
        <f t="shared" si="78"/>
        <v>50722.546666666669</v>
      </c>
      <c r="AI851" s="2">
        <v>2000</v>
      </c>
      <c r="AJ851" s="2">
        <v>2000</v>
      </c>
      <c r="AK851" s="1888">
        <v>1</v>
      </c>
      <c r="AL851" s="1522">
        <v>20.279914000000002</v>
      </c>
      <c r="AM851" s="1523">
        <v>103.43153599999999</v>
      </c>
      <c r="AN851" s="571" t="s">
        <v>6512</v>
      </c>
      <c r="AO851" s="571" t="s">
        <v>6512</v>
      </c>
      <c r="AP851" s="571" t="s">
        <v>6512</v>
      </c>
      <c r="AQ851" s="1852" t="s">
        <v>6512</v>
      </c>
      <c r="AR851" s="1852" t="s">
        <v>6512</v>
      </c>
      <c r="AS851" s="704" t="s">
        <v>6512</v>
      </c>
    </row>
    <row r="852" spans="1:45" ht="108.75" customHeight="1">
      <c r="A852" s="16">
        <f>OBRA!J850</f>
        <v>2024</v>
      </c>
      <c r="B852" s="783" t="s">
        <v>3944</v>
      </c>
      <c r="C852" s="783">
        <f>OBRA!K850</f>
        <v>245017</v>
      </c>
      <c r="D852" s="24" t="s">
        <v>2310</v>
      </c>
      <c r="E852" s="2" t="str">
        <f>OBRA!M850</f>
        <v>CUENTA CORRIENTE</v>
      </c>
      <c r="F852" s="511"/>
      <c r="G852" s="156" t="s">
        <v>2206</v>
      </c>
      <c r="H852" s="12" t="str">
        <f>OBRA!N850</f>
        <v>GMJ 017C- OP/2024</v>
      </c>
      <c r="I852" s="2" t="str">
        <f>OBRA!O850</f>
        <v>ADJUDICACIÓN DIRECTA</v>
      </c>
      <c r="J852" s="3" t="str">
        <f>OBRA!P850</f>
        <v>"TRABAJOS PRELIMINARES DE DELIMITACIÓN, DESPALME Y CONFORMACIÓN DE PLATAFORMA, REHABILITACIÓN DE CAMINO DE ACCESO Y EXCAVACIÓN DE FOSA Y CANAL PREVIA CANCELACIÓN DE VERTEDERO MUNICIPAL", EN LA CABECERA MUNICIPAL DE JOCOTEPEC, JALISCO.</v>
      </c>
      <c r="K852" s="1899" t="s">
        <v>6809</v>
      </c>
      <c r="L852" s="3" t="s">
        <v>6261</v>
      </c>
      <c r="M852" s="3" t="s">
        <v>6239</v>
      </c>
      <c r="N852" s="3" t="str">
        <f>OBRA!Q850</f>
        <v>CABECERA MUNICIPAL</v>
      </c>
      <c r="O852" s="504" t="s">
        <v>6490</v>
      </c>
      <c r="P852" s="79">
        <f>OBRA!R850</f>
        <v>687485.47</v>
      </c>
      <c r="Q852" s="1023">
        <f t="shared" si="79"/>
        <v>592659.88793103455</v>
      </c>
      <c r="R852" s="1714" t="s">
        <v>68</v>
      </c>
      <c r="S852" s="67">
        <f>OBRA!S850</f>
        <v>45450</v>
      </c>
      <c r="T852" s="1134">
        <f>OBRA!V850</f>
        <v>45449</v>
      </c>
      <c r="U852" s="5">
        <f>OBRA!T850</f>
        <v>45453</v>
      </c>
      <c r="V852" s="11">
        <f>OBRA!U850</f>
        <v>45471</v>
      </c>
      <c r="W852" s="1901">
        <v>206245.64</v>
      </c>
      <c r="X852" s="1019">
        <f>OBRA!AS850+OBRA!AT850</f>
        <v>687485.47</v>
      </c>
      <c r="Y852" s="1018" t="s">
        <v>6349</v>
      </c>
      <c r="Z852" s="146" t="str">
        <f>OBRA!W850</f>
        <v xml:space="preserve">DORIA &amp; SAMPIER CONSTRUCTORA, S.A. DE C.V. </v>
      </c>
      <c r="AA852" s="146" t="s">
        <v>5666</v>
      </c>
      <c r="AB852" s="1769" t="s">
        <v>5607</v>
      </c>
      <c r="AC852" s="146" t="s">
        <v>4401</v>
      </c>
      <c r="AD852" s="148" t="s">
        <v>6552</v>
      </c>
      <c r="AE852" s="183" t="str">
        <f>OBRA!X850</f>
        <v>ING. J. GUADALUPE IBARRA RAMIREZ</v>
      </c>
      <c r="AF852" s="19">
        <f>2077+2280+800</f>
        <v>5157</v>
      </c>
      <c r="AG852" s="2" t="s">
        <v>1548</v>
      </c>
      <c r="AH852" s="615">
        <f t="shared" si="78"/>
        <v>133.31112468489431</v>
      </c>
      <c r="AI852" s="2" t="s">
        <v>68</v>
      </c>
      <c r="AJ852" s="2">
        <v>49000</v>
      </c>
      <c r="AK852" s="1888">
        <v>1</v>
      </c>
      <c r="AL852" s="1522">
        <v>20.288929</v>
      </c>
      <c r="AM852" s="1523">
        <v>103.46734600000001</v>
      </c>
      <c r="AN852" s="571" t="s">
        <v>6513</v>
      </c>
      <c r="AO852" s="571" t="s">
        <v>6513</v>
      </c>
      <c r="AP852" s="571" t="s">
        <v>6513</v>
      </c>
      <c r="AQ852" s="1852" t="s">
        <v>6513</v>
      </c>
      <c r="AR852" s="1852" t="s">
        <v>6513</v>
      </c>
      <c r="AS852" s="704" t="s">
        <v>6513</v>
      </c>
    </row>
    <row r="853" spans="1:45" ht="161.25" customHeight="1">
      <c r="A853" s="16">
        <f>OBRA!J851</f>
        <v>2024</v>
      </c>
      <c r="B853" s="783" t="s">
        <v>3944</v>
      </c>
      <c r="C853" s="783">
        <f>OBRA!K851</f>
        <v>245018</v>
      </c>
      <c r="D853" s="24" t="s">
        <v>2310</v>
      </c>
      <c r="E853" s="2" t="str">
        <f>OBRA!M851</f>
        <v xml:space="preserve">FORTAMUN </v>
      </c>
      <c r="F853" s="511"/>
      <c r="G853" s="156" t="s">
        <v>2206</v>
      </c>
      <c r="H853" s="12" t="str">
        <f>OBRA!N851</f>
        <v>GMJ 018C- OP/2024</v>
      </c>
      <c r="I853" s="2" t="str">
        <f>OBRA!O851</f>
        <v>ADJUDICACIÓN DIRECTA</v>
      </c>
      <c r="J853" s="3" t="str">
        <f>OBRA!P851</f>
        <v>"CONSTRUCCIÓN DE LÍNEA DE ABASTECIMIENTO DE 6" DEL POZO DE AGUA POTABLE NUEVO A RED PRINCIPAL EN ZONA ORIENTE DE LA POBLACIÓN", EN LA LOCALIDAD DE SAN PEDRO TESISTÁN, MUNICIPIO DE JOCOTEPEC, JALISCO.</v>
      </c>
      <c r="K853" s="1175" t="s">
        <v>6810</v>
      </c>
      <c r="L853" s="3" t="s">
        <v>4745</v>
      </c>
      <c r="M853" s="3" t="s">
        <v>6262</v>
      </c>
      <c r="N853" s="3" t="str">
        <f>OBRA!Q851</f>
        <v>SAN PEDRO TESISTÁN</v>
      </c>
      <c r="O853" s="504" t="s">
        <v>6490</v>
      </c>
      <c r="P853" s="79">
        <f>OBRA!R851</f>
        <v>1298701.05</v>
      </c>
      <c r="Q853" s="1023">
        <f t="shared" ref="Q853:Q875" si="81">P853/1.16</f>
        <v>1119569.8706896552</v>
      </c>
      <c r="R853" s="1714" t="s">
        <v>68</v>
      </c>
      <c r="S853" s="67">
        <f>OBRA!S851</f>
        <v>45448</v>
      </c>
      <c r="T853" s="1134">
        <f>OBRA!V851</f>
        <v>45448</v>
      </c>
      <c r="U853" s="5">
        <f>OBRA!T851</f>
        <v>45450</v>
      </c>
      <c r="V853" s="11">
        <f>OBRA!U851</f>
        <v>45464</v>
      </c>
      <c r="W853" s="1901">
        <v>0</v>
      </c>
      <c r="X853" s="1019">
        <f>OBRA!AS851+OBRA!AT851</f>
        <v>1378125.6</v>
      </c>
      <c r="Y853" s="1018" t="s">
        <v>6350</v>
      </c>
      <c r="Z853" s="146" t="str">
        <f>OBRA!W851</f>
        <v>INFRAESTRUCTURA GUSEV, S.A. DE C.V.</v>
      </c>
      <c r="AA853" s="146" t="s">
        <v>5666</v>
      </c>
      <c r="AB853" s="148" t="s">
        <v>6527</v>
      </c>
      <c r="AC853" s="146" t="s">
        <v>6514</v>
      </c>
      <c r="AD853" s="148" t="s">
        <v>6515</v>
      </c>
      <c r="AE853" s="183" t="str">
        <f>OBRA!X851</f>
        <v>C. DANIEL RODRIGUEZ VALENZUELA</v>
      </c>
      <c r="AF853" s="19">
        <v>675.27</v>
      </c>
      <c r="AG853" s="2" t="s">
        <v>1451</v>
      </c>
      <c r="AH853" s="615">
        <f t="shared" si="78"/>
        <v>2040.8512150695278</v>
      </c>
      <c r="AI853" s="2">
        <v>1400</v>
      </c>
      <c r="AJ853" s="2">
        <v>1400</v>
      </c>
      <c r="AK853" s="1888">
        <v>1</v>
      </c>
      <c r="AL853" s="1522">
        <v>20.224906000000001</v>
      </c>
      <c r="AM853" s="1523">
        <v>103.41237099999999</v>
      </c>
      <c r="AN853" s="571" t="s">
        <v>6518</v>
      </c>
      <c r="AO853" s="571" t="s">
        <v>6518</v>
      </c>
      <c r="AP853" s="571" t="s">
        <v>6518</v>
      </c>
      <c r="AQ853" s="571" t="s">
        <v>6518</v>
      </c>
      <c r="AR853" s="571"/>
      <c r="AS853" s="704" t="s">
        <v>6518</v>
      </c>
    </row>
    <row r="854" spans="1:45" ht="72" customHeight="1">
      <c r="A854" s="16">
        <f>OBRA!J852</f>
        <v>2024</v>
      </c>
      <c r="B854" s="783" t="s">
        <v>3944</v>
      </c>
      <c r="C854" s="783">
        <f>OBRA!K852</f>
        <v>245019</v>
      </c>
      <c r="D854" s="24" t="s">
        <v>2310</v>
      </c>
      <c r="E854" s="2" t="str">
        <f>OBRA!M852</f>
        <v xml:space="preserve">FORTAMUN </v>
      </c>
      <c r="F854" s="511"/>
      <c r="G854" s="156" t="s">
        <v>2206</v>
      </c>
      <c r="H854" s="12" t="str">
        <f>OBRA!N852</f>
        <v>GMJ 019C- OP/2024</v>
      </c>
      <c r="I854" s="2" t="str">
        <f>OBRA!O852</f>
        <v>ADJUDICACIÓN DIRECTA</v>
      </c>
      <c r="J854" s="3" t="str">
        <f>OBRA!P852</f>
        <v>"AMPLIACIÓN DE ALUMBRADO PÚBLICO EN CALLE JOSEFA ORTÍZ DE DOMINGUEZ ENTRE CALLE CIENTÍFICOS Y LIBRAMIENTO", EN LA CABECERA MUNICIPAL DE JOCOTEPEC, JALISCO.</v>
      </c>
      <c r="K854" s="1175" t="s">
        <v>6808</v>
      </c>
      <c r="L854" s="3" t="s">
        <v>6255</v>
      </c>
      <c r="M854" s="3" t="s">
        <v>5410</v>
      </c>
      <c r="N854" s="3" t="str">
        <f>OBRA!Q852</f>
        <v>CABECERA MUNICIPAL</v>
      </c>
      <c r="O854" s="504" t="s">
        <v>6490</v>
      </c>
      <c r="P854" s="79">
        <f>OBRA!R852</f>
        <v>204310.14</v>
      </c>
      <c r="Q854" s="1023">
        <f t="shared" si="81"/>
        <v>176129.43103448278</v>
      </c>
      <c r="R854" s="1714" t="s">
        <v>68</v>
      </c>
      <c r="S854" s="67">
        <f>OBRA!S852</f>
        <v>45470</v>
      </c>
      <c r="T854" s="1134">
        <f>OBRA!V852</f>
        <v>45469</v>
      </c>
      <c r="U854" s="5">
        <f>OBRA!T852</f>
        <v>45477</v>
      </c>
      <c r="V854" s="11">
        <f>OBRA!U852</f>
        <v>45491</v>
      </c>
      <c r="W854" s="1901">
        <v>0</v>
      </c>
      <c r="X854" s="1019">
        <f>OBRA!AS852+OBRA!AT852</f>
        <v>204310.14</v>
      </c>
      <c r="Y854" s="1018" t="s">
        <v>6351</v>
      </c>
      <c r="Z854" s="146" t="str">
        <f>OBRA!W852</f>
        <v>SOLEC ENERGY, S.A. DE C.V.</v>
      </c>
      <c r="AA854" s="146" t="s">
        <v>5666</v>
      </c>
      <c r="AB854" s="148" t="s">
        <v>4548</v>
      </c>
      <c r="AC854" s="146" t="s">
        <v>4549</v>
      </c>
      <c r="AD854" s="1337" t="s">
        <v>6548</v>
      </c>
      <c r="AE854" s="183" t="str">
        <f>OBRA!X852</f>
        <v>ING. LUIS RIGOBERTO OLMEDO NAVARRO</v>
      </c>
      <c r="AF854" s="19">
        <v>6</v>
      </c>
      <c r="AG854" s="2" t="s">
        <v>1841</v>
      </c>
      <c r="AH854" s="615">
        <f t="shared" si="78"/>
        <v>34051.69</v>
      </c>
      <c r="AI854" s="2">
        <v>200</v>
      </c>
      <c r="AJ854" s="2">
        <v>5000</v>
      </c>
      <c r="AK854" s="1888">
        <v>1</v>
      </c>
      <c r="AL854" s="1522">
        <v>20.291888</v>
      </c>
      <c r="AM854" s="1523">
        <v>103.430611</v>
      </c>
      <c r="AN854" s="571" t="s">
        <v>6519</v>
      </c>
      <c r="AO854" s="571" t="s">
        <v>6519</v>
      </c>
      <c r="AP854" s="571" t="s">
        <v>6519</v>
      </c>
      <c r="AQ854" s="571" t="s">
        <v>6519</v>
      </c>
      <c r="AR854" s="571" t="s">
        <v>6519</v>
      </c>
      <c r="AS854" s="18"/>
    </row>
    <row r="855" spans="1:45" ht="240" customHeight="1">
      <c r="A855" s="16">
        <f>OBRA!J853</f>
        <v>2024</v>
      </c>
      <c r="B855" s="783" t="s">
        <v>3944</v>
      </c>
      <c r="C855" s="783">
        <f>OBRA!K853</f>
        <v>245020</v>
      </c>
      <c r="D855" s="24" t="s">
        <v>2310</v>
      </c>
      <c r="E855" s="2" t="str">
        <f>OBRA!M853</f>
        <v xml:space="preserve">FORTAMUN </v>
      </c>
      <c r="F855" s="511"/>
      <c r="G855" s="156" t="s">
        <v>2206</v>
      </c>
      <c r="H855" s="12" t="str">
        <f>OBRA!N853</f>
        <v>GMJ 020C- OP/2024</v>
      </c>
      <c r="I855" s="2" t="str">
        <f>OBRA!O853</f>
        <v>ADJUDICACIÓN DIRECTA</v>
      </c>
      <c r="J855" s="3" t="str">
        <f>OBRA!P853</f>
        <v>"REMODELACIÓN DE LAS INSTALACIONES DE LA COMANDANCIA MUNICIPAL", EN LA CABECERA MUNICIPAL", EN LA CABECERA MUNICIPAL DE JOCOTEPEC, JALISCO.</v>
      </c>
      <c r="K855" s="1175" t="s">
        <v>6813</v>
      </c>
      <c r="L855" s="3" t="s">
        <v>6241</v>
      </c>
      <c r="M855" s="3" t="s">
        <v>6263</v>
      </c>
      <c r="N855" s="3" t="str">
        <f>OBRA!Q853</f>
        <v>CABECERA MUNICIPAL</v>
      </c>
      <c r="O855" s="504" t="s">
        <v>6490</v>
      </c>
      <c r="P855" s="79">
        <f>OBRA!R853</f>
        <v>1801948.36</v>
      </c>
      <c r="Q855" s="1023">
        <f t="shared" si="81"/>
        <v>1553403.7586206899</v>
      </c>
      <c r="R855" s="1714" t="s">
        <v>68</v>
      </c>
      <c r="S855" s="67">
        <f>OBRA!S853</f>
        <v>45468</v>
      </c>
      <c r="T855" s="1134">
        <f>OBRA!V853</f>
        <v>45467</v>
      </c>
      <c r="U855" s="5">
        <f>OBRA!T853</f>
        <v>45470</v>
      </c>
      <c r="V855" s="11">
        <f>OBRA!U853</f>
        <v>45548</v>
      </c>
      <c r="W855" s="1901">
        <v>540584.5</v>
      </c>
      <c r="X855" s="1019">
        <f>OBRA!AS853+OBRA!AT853</f>
        <v>1936618.31</v>
      </c>
      <c r="Y855" s="1018" t="s">
        <v>6350</v>
      </c>
      <c r="Z855" s="146" t="str">
        <f>OBRA!W853</f>
        <v>INFRAESTRUCTURA GUSEV, S.A. DE C.V.</v>
      </c>
      <c r="AA855" s="146" t="s">
        <v>5666</v>
      </c>
      <c r="AB855" s="148" t="s">
        <v>6527</v>
      </c>
      <c r="AC855" s="146" t="s">
        <v>6514</v>
      </c>
      <c r="AD855" s="1337" t="s">
        <v>6515</v>
      </c>
      <c r="AE855" s="183" t="str">
        <f>OBRA!X853</f>
        <v>C. DANIEL RODRIGUEZ VALENZUELA</v>
      </c>
      <c r="AF855" s="19">
        <v>474.58</v>
      </c>
      <c r="AG855" s="2" t="s">
        <v>1548</v>
      </c>
      <c r="AH855" s="615">
        <f t="shared" si="78"/>
        <v>4080.699376290615</v>
      </c>
      <c r="AI855" s="2" t="s">
        <v>68</v>
      </c>
      <c r="AJ855" s="2">
        <v>49000</v>
      </c>
      <c r="AK855" s="1888">
        <v>1</v>
      </c>
      <c r="AL855" s="1522">
        <v>20.280428000000001</v>
      </c>
      <c r="AM855" s="1523">
        <v>103.431247</v>
      </c>
      <c r="AN855" s="571" t="s">
        <v>6520</v>
      </c>
      <c r="AO855" s="571" t="s">
        <v>6520</v>
      </c>
      <c r="AP855" s="571" t="s">
        <v>6520</v>
      </c>
      <c r="AQ855" s="504" t="s">
        <v>6520</v>
      </c>
      <c r="AR855" s="504"/>
      <c r="AS855" s="704" t="s">
        <v>6520</v>
      </c>
    </row>
    <row r="856" spans="1:45" ht="75" customHeight="1">
      <c r="A856" s="16">
        <f>OBRA!J854</f>
        <v>2024</v>
      </c>
      <c r="B856" s="783" t="s">
        <v>3944</v>
      </c>
      <c r="C856" s="783">
        <f>OBRA!K854</f>
        <v>245021</v>
      </c>
      <c r="D856" s="24" t="s">
        <v>2310</v>
      </c>
      <c r="E856" s="2" t="str">
        <f>OBRA!M854</f>
        <v xml:space="preserve">FORTAMUN </v>
      </c>
      <c r="F856" s="511"/>
      <c r="G856" s="156" t="s">
        <v>2206</v>
      </c>
      <c r="H856" s="12" t="str">
        <f>OBRA!N854</f>
        <v>GMJ 021C- OP/2024</v>
      </c>
      <c r="I856" s="2" t="str">
        <f>OBRA!O854</f>
        <v>ADJUDICACIÓN DIRECTA</v>
      </c>
      <c r="J856" s="3" t="str">
        <f>OBRA!P854</f>
        <v>"REHABILITACIÓN DE LÍNEA DE DRENAJE DE 12" EN CALLE RIVERA DEL LAGO ENTRE ANDADOR XOCHITL Y CARRETERA JOCOTEPEC, CHAPALA", EN LA LOCALIDAD DE NEXTIPAC, MUNICIPIO DE JOCOTEPEC, JALISCO.</v>
      </c>
      <c r="K856" s="3" t="s">
        <v>6816</v>
      </c>
      <c r="L856" s="3" t="s">
        <v>4747</v>
      </c>
      <c r="M856" s="3" t="s">
        <v>6264</v>
      </c>
      <c r="N856" s="3" t="str">
        <f>OBRA!Q854</f>
        <v>NEXTIPAC</v>
      </c>
      <c r="O856" s="504" t="s">
        <v>6491</v>
      </c>
      <c r="P856" s="79">
        <f>OBRA!R854</f>
        <v>424277.78</v>
      </c>
      <c r="Q856" s="1023">
        <f t="shared" si="81"/>
        <v>365756.70689655177</v>
      </c>
      <c r="R856" s="1714" t="s">
        <v>68</v>
      </c>
      <c r="S856" s="67">
        <f>OBRA!S854</f>
        <v>45470</v>
      </c>
      <c r="T856" s="1134">
        <f>OBRA!V854</f>
        <v>45469</v>
      </c>
      <c r="U856" s="5">
        <f>OBRA!T854</f>
        <v>45471</v>
      </c>
      <c r="V856" s="11">
        <f>OBRA!U854</f>
        <v>45476</v>
      </c>
      <c r="W856" s="1901">
        <v>0</v>
      </c>
      <c r="X856" s="1019">
        <f>OBRA!AS854+OBRA!AT854</f>
        <v>424277.78</v>
      </c>
      <c r="Y856" s="1018" t="s">
        <v>6352</v>
      </c>
      <c r="Z856" s="146" t="str">
        <f>OBRA!W854</f>
        <v>SERGIO CABRERA</v>
      </c>
      <c r="AA856" s="146" t="s">
        <v>5665</v>
      </c>
      <c r="AB856" s="1769" t="s">
        <v>4444</v>
      </c>
      <c r="AC856" s="146" t="s">
        <v>1922</v>
      </c>
      <c r="AD856" s="148" t="s">
        <v>6551</v>
      </c>
      <c r="AE856" s="183" t="str">
        <f>OBRA!X854</f>
        <v>C. DANIEL RODRIGUEZ VALENZUELA</v>
      </c>
      <c r="AF856" s="19">
        <v>132</v>
      </c>
      <c r="AG856" s="2" t="s">
        <v>1451</v>
      </c>
      <c r="AH856" s="615">
        <f t="shared" si="78"/>
        <v>3214.2256060606064</v>
      </c>
      <c r="AI856" s="2">
        <v>150</v>
      </c>
      <c r="AJ856" s="2">
        <v>150</v>
      </c>
      <c r="AK856" s="1888">
        <v>1</v>
      </c>
      <c r="AL856" s="1522">
        <v>20.278127000000001</v>
      </c>
      <c r="AM856" s="1523">
        <v>103.415932</v>
      </c>
      <c r="AN856" s="571" t="s">
        <v>6521</v>
      </c>
      <c r="AO856" s="571" t="s">
        <v>6521</v>
      </c>
      <c r="AP856" s="571" t="s">
        <v>6521</v>
      </c>
      <c r="AQ856" s="504" t="s">
        <v>6521</v>
      </c>
      <c r="AR856" s="504" t="s">
        <v>6521</v>
      </c>
      <c r="AS856" s="704" t="s">
        <v>6521</v>
      </c>
    </row>
    <row r="857" spans="1:45" ht="75" customHeight="1">
      <c r="A857" s="16">
        <f>OBRA!J855</f>
        <v>2024</v>
      </c>
      <c r="B857" s="783" t="s">
        <v>3944</v>
      </c>
      <c r="C857" s="783">
        <f>OBRA!K855</f>
        <v>245022</v>
      </c>
      <c r="D857" s="24" t="s">
        <v>2310</v>
      </c>
      <c r="E857" s="2" t="str">
        <f>OBRA!M855</f>
        <v xml:space="preserve">FORTAMUN </v>
      </c>
      <c r="F857" s="511"/>
      <c r="G857" s="156" t="s">
        <v>2206</v>
      </c>
      <c r="H857" s="12" t="str">
        <f>OBRA!N855</f>
        <v>GMJ 022C- OP/2024</v>
      </c>
      <c r="I857" s="2" t="str">
        <f>OBRA!O855</f>
        <v>ADJUDICACIÓN DIRECTA</v>
      </c>
      <c r="J857" s="3" t="str">
        <f>OBRA!P855</f>
        <v>"REHABILITACIÓN DE LÍNEA DE AGUA POTABLE DE 3" EN CALLE RIVERA DEL LAGO ENTRE ANDADOR XOCHITL Y CARRETERA JOCOTEPEC, CHAPALA", EN LA LOCALIDAD DE NEXTIPAC, MUNICIPIO DE JOCOTPEC, JALISCO.</v>
      </c>
      <c r="K857" s="3" t="s">
        <v>6811</v>
      </c>
      <c r="L857" s="3" t="s">
        <v>4745</v>
      </c>
      <c r="M857" s="3" t="s">
        <v>6264</v>
      </c>
      <c r="N857" s="3" t="str">
        <f>OBRA!Q855</f>
        <v>NEXTIPAC</v>
      </c>
      <c r="O857" s="504" t="s">
        <v>6491</v>
      </c>
      <c r="P857" s="79">
        <f>OBRA!R855</f>
        <v>238287.78</v>
      </c>
      <c r="Q857" s="1023">
        <f t="shared" si="81"/>
        <v>205420.5</v>
      </c>
      <c r="R857" s="1714" t="s">
        <v>68</v>
      </c>
      <c r="S857" s="67">
        <f>OBRA!S855</f>
        <v>45470</v>
      </c>
      <c r="T857" s="1134">
        <f>OBRA!V855</f>
        <v>45469</v>
      </c>
      <c r="U857" s="5">
        <f>OBRA!T855</f>
        <v>45477</v>
      </c>
      <c r="V857" s="11">
        <f>OBRA!U855</f>
        <v>45483</v>
      </c>
      <c r="W857" s="1901">
        <v>0</v>
      </c>
      <c r="X857" s="1019">
        <f>OBRA!AS855+OBRA!AT855</f>
        <v>238287.74</v>
      </c>
      <c r="Y857" s="1018" t="s">
        <v>6352</v>
      </c>
      <c r="Z857" s="146" t="str">
        <f>OBRA!W855</f>
        <v>SERGIO CABRERA</v>
      </c>
      <c r="AA857" s="146" t="s">
        <v>5665</v>
      </c>
      <c r="AB857" s="1769" t="s">
        <v>4444</v>
      </c>
      <c r="AC857" s="146" t="s">
        <v>1922</v>
      </c>
      <c r="AD857" s="148" t="s">
        <v>6551</v>
      </c>
      <c r="AE857" s="183" t="str">
        <f>OBRA!X855</f>
        <v>C. DANIEL RODRIGUEZ VALENZUELA</v>
      </c>
      <c r="AF857" s="19">
        <v>132</v>
      </c>
      <c r="AG857" s="2" t="s">
        <v>1451</v>
      </c>
      <c r="AH857" s="615">
        <f t="shared" si="78"/>
        <v>1805.2101515151514</v>
      </c>
      <c r="AI857" s="2">
        <v>150</v>
      </c>
      <c r="AJ857" s="2">
        <v>150</v>
      </c>
      <c r="AK857" s="1888">
        <v>1</v>
      </c>
      <c r="AL857" s="1522">
        <v>20.278127000000001</v>
      </c>
      <c r="AM857" s="1523">
        <v>103.415932</v>
      </c>
      <c r="AN857" s="571" t="s">
        <v>6522</v>
      </c>
      <c r="AO857" s="571" t="s">
        <v>6522</v>
      </c>
      <c r="AP857" s="571" t="s">
        <v>6522</v>
      </c>
      <c r="AQ857" s="504" t="s">
        <v>6522</v>
      </c>
      <c r="AR857" s="504" t="s">
        <v>6522</v>
      </c>
      <c r="AS857" s="704" t="s">
        <v>6522</v>
      </c>
    </row>
    <row r="858" spans="1:45" ht="111" customHeight="1">
      <c r="A858" s="16">
        <f>OBRA!J856</f>
        <v>2024</v>
      </c>
      <c r="B858" s="783" t="s">
        <v>3944</v>
      </c>
      <c r="C858" s="783">
        <f>OBRA!K856</f>
        <v>245023</v>
      </c>
      <c r="D858" s="24" t="s">
        <v>2310</v>
      </c>
      <c r="E858" s="2" t="str">
        <f>OBRA!M856</f>
        <v xml:space="preserve">FORTAMUN </v>
      </c>
      <c r="F858" s="511"/>
      <c r="G858" s="156" t="s">
        <v>2206</v>
      </c>
      <c r="H858" s="12" t="str">
        <f>OBRA!N856</f>
        <v>GMJ 023C- OP/2024</v>
      </c>
      <c r="I858" s="2" t="str">
        <f>OBRA!O856</f>
        <v>ADJUDICACIÓN DIRECTA</v>
      </c>
      <c r="J858" s="3" t="str">
        <f>OBRA!P856</f>
        <v>"REHABILITACIÓN DE SUPERFICIE DE RODAMIENTO EN CALLE RIVERA DEL LAGO ENTRE ANDADOR XOCHITL Y CARRETERA JOCOTEPEC, CHAPALA", EN LA LOCALIDAD DE NEXTIPAC, MUNICIPIO DE JOCOTEPEC, JALISCO.</v>
      </c>
      <c r="K858" s="1175" t="s">
        <v>6793</v>
      </c>
      <c r="L858" s="3" t="s">
        <v>4752</v>
      </c>
      <c r="M858" s="3" t="s">
        <v>6264</v>
      </c>
      <c r="N858" s="3" t="str">
        <f>OBRA!Q856</f>
        <v>NEXTIPAC</v>
      </c>
      <c r="O858" s="504" t="s">
        <v>6491</v>
      </c>
      <c r="P858" s="79">
        <f>OBRA!R856</f>
        <v>974176.38</v>
      </c>
      <c r="Q858" s="1023">
        <f t="shared" si="81"/>
        <v>839807.22413793113</v>
      </c>
      <c r="R858" s="1714" t="s">
        <v>68</v>
      </c>
      <c r="S858" s="67">
        <f>OBRA!S856</f>
        <v>45470</v>
      </c>
      <c r="T858" s="1134">
        <f>OBRA!V856</f>
        <v>45469</v>
      </c>
      <c r="U858" s="5">
        <f>OBRA!T856</f>
        <v>45484</v>
      </c>
      <c r="V858" s="11">
        <f>OBRA!U856</f>
        <v>45497</v>
      </c>
      <c r="W858" s="1901">
        <v>0</v>
      </c>
      <c r="X858" s="1019">
        <f>OBRA!AS856+OBRA!AT856</f>
        <v>1270476.05</v>
      </c>
      <c r="Y858" s="1018" t="s">
        <v>6353</v>
      </c>
      <c r="Z858" s="146" t="str">
        <f>OBRA!W856</f>
        <v>SERGIO CABRERA</v>
      </c>
      <c r="AA858" s="146" t="s">
        <v>5665</v>
      </c>
      <c r="AB858" s="1769" t="s">
        <v>4444</v>
      </c>
      <c r="AC858" s="146" t="s">
        <v>1922</v>
      </c>
      <c r="AD858" s="148" t="s">
        <v>6551</v>
      </c>
      <c r="AE858" s="183" t="str">
        <f>OBRA!X856</f>
        <v>C. DANIEL RODRIGUEZ VALENZUELA</v>
      </c>
      <c r="AF858" s="19">
        <v>1102.44</v>
      </c>
      <c r="AG858" s="2" t="s">
        <v>1548</v>
      </c>
      <c r="AH858" s="615">
        <f t="shared" si="78"/>
        <v>1152.4219458655346</v>
      </c>
      <c r="AI858" s="2">
        <v>150</v>
      </c>
      <c r="AJ858" s="2">
        <v>300</v>
      </c>
      <c r="AK858" s="1888">
        <v>1</v>
      </c>
      <c r="AL858" s="1522">
        <v>20.278127000000001</v>
      </c>
      <c r="AM858" s="1523">
        <v>103.415932</v>
      </c>
      <c r="AN858" s="571" t="s">
        <v>6772</v>
      </c>
      <c r="AO858" s="571" t="s">
        <v>6772</v>
      </c>
      <c r="AP858" s="571" t="s">
        <v>6772</v>
      </c>
      <c r="AQ858" s="495" t="s">
        <v>6772</v>
      </c>
      <c r="AR858" s="495" t="s">
        <v>6772</v>
      </c>
      <c r="AS858" s="704" t="s">
        <v>6772</v>
      </c>
    </row>
    <row r="859" spans="1:45" ht="109.5" customHeight="1">
      <c r="A859" s="16">
        <f>OBRA!J857</f>
        <v>2024</v>
      </c>
      <c r="B859" s="783" t="s">
        <v>3944</v>
      </c>
      <c r="C859" s="783">
        <f>OBRA!K857</f>
        <v>245024</v>
      </c>
      <c r="D859" s="24" t="s">
        <v>2310</v>
      </c>
      <c r="E859" s="2" t="str">
        <f>OBRA!M857</f>
        <v>CUENTA CORRIENTE</v>
      </c>
      <c r="F859" s="511"/>
      <c r="G859" s="156" t="s">
        <v>2206</v>
      </c>
      <c r="H859" s="12" t="str">
        <f>OBRA!N857</f>
        <v>GMJ 024C- OP/2024</v>
      </c>
      <c r="I859" s="2" t="str">
        <f>OBRA!O857</f>
        <v>ADJUDICACIÓN DIRECTA</v>
      </c>
      <c r="J859" s="3" t="str">
        <f>OBRA!P857</f>
        <v>"EQUIPAMIENTO DE POZO PROFUNDO DE AGUA POTABLE" EN LA LOCALIDAD DE SAN PEDRO TESISTÁN MUNICIPIO DE JOCOTEPEC, JALISCO.</v>
      </c>
      <c r="K859" s="1175" t="s">
        <v>6799</v>
      </c>
      <c r="L859" s="3" t="s">
        <v>4751</v>
      </c>
      <c r="M859" s="3" t="s">
        <v>6031</v>
      </c>
      <c r="N859" s="3" t="str">
        <f>OBRA!Q857</f>
        <v>SAN PEDRO TESISTÁN</v>
      </c>
      <c r="O859" s="504" t="s">
        <v>6491</v>
      </c>
      <c r="P859" s="79">
        <f>OBRA!R857</f>
        <v>375226.36</v>
      </c>
      <c r="Q859" s="1023">
        <f t="shared" si="81"/>
        <v>323471</v>
      </c>
      <c r="R859" s="1714" t="s">
        <v>68</v>
      </c>
      <c r="S859" s="67">
        <f>OBRA!S857</f>
        <v>45485</v>
      </c>
      <c r="T859" s="1134">
        <f>OBRA!V857</f>
        <v>45484</v>
      </c>
      <c r="U859" s="5">
        <f>OBRA!T857</f>
        <v>45495</v>
      </c>
      <c r="V859" s="11">
        <f>OBRA!U857</f>
        <v>45513</v>
      </c>
      <c r="W859" s="1901">
        <v>112567.9</v>
      </c>
      <c r="X859" s="1019">
        <f>OBRA!AS857+OBRA!AT857</f>
        <v>370354.35</v>
      </c>
      <c r="Y859" s="1018" t="s">
        <v>6523</v>
      </c>
      <c r="Z859" s="146" t="str">
        <f>OBRA!W857</f>
        <v>ING. MARCO ANTONIO PAREDES RODRÍGUEZ</v>
      </c>
      <c r="AA859" s="146" t="s">
        <v>5665</v>
      </c>
      <c r="AB859" s="1769" t="s">
        <v>3742</v>
      </c>
      <c r="AC859" s="146" t="s">
        <v>4292</v>
      </c>
      <c r="AD859" s="148" t="s">
        <v>6549</v>
      </c>
      <c r="AE859" s="183" t="str">
        <f>OBRA!X857</f>
        <v>ING. LUIS RIGOBERTO OLMEDO NAVARRO</v>
      </c>
      <c r="AF859" s="19">
        <v>1</v>
      </c>
      <c r="AG859" s="2" t="s">
        <v>1573</v>
      </c>
      <c r="AH859" s="615">
        <f t="shared" si="78"/>
        <v>370354.35</v>
      </c>
      <c r="AI859" s="2">
        <v>1400</v>
      </c>
      <c r="AJ859" s="2">
        <v>1400</v>
      </c>
      <c r="AK859" s="1888">
        <v>1</v>
      </c>
      <c r="AL859" s="1522">
        <v>20.224596999999999</v>
      </c>
      <c r="AM859" s="1523">
        <v>103.41150399999999</v>
      </c>
      <c r="AN859" s="571" t="s">
        <v>6524</v>
      </c>
      <c r="AO859" s="571"/>
      <c r="AP859" s="571" t="s">
        <v>6524</v>
      </c>
      <c r="AQ859" s="2"/>
      <c r="AR859" s="2"/>
      <c r="AS859" s="18"/>
    </row>
    <row r="860" spans="1:45" ht="145.5" customHeight="1">
      <c r="A860" s="16">
        <f>OBRA!J858</f>
        <v>2024</v>
      </c>
      <c r="B860" s="783" t="s">
        <v>3944</v>
      </c>
      <c r="C860" s="783">
        <f>OBRA!K858</f>
        <v>245025</v>
      </c>
      <c r="D860" s="24" t="s">
        <v>2310</v>
      </c>
      <c r="E860" s="2" t="str">
        <f>OBRA!M858</f>
        <v>CUENTA CORRIENTE</v>
      </c>
      <c r="F860" s="511"/>
      <c r="G860" s="156" t="s">
        <v>2206</v>
      </c>
      <c r="H860" s="12" t="str">
        <f>OBRA!N858</f>
        <v>GMJ 025C- OP/2024</v>
      </c>
      <c r="I860" s="2" t="str">
        <f>OBRA!O858</f>
        <v>ADJUDICACIÓN DIRECTA</v>
      </c>
      <c r="J860" s="3" t="str">
        <f>OBRA!P858</f>
        <v>"ELECTRIFICACIÓN DE POZO PROFUNDO DE AGUA POTABLE", EN LA LOCALIDAD DE SAN PEDRO TESISTÁN, MUNICIPIO DE JOCOTEPEC, JALISCO.</v>
      </c>
      <c r="K860" s="1175" t="s">
        <v>6800</v>
      </c>
      <c r="L860" s="3" t="s">
        <v>4751</v>
      </c>
      <c r="M860" s="3" t="s">
        <v>6031</v>
      </c>
      <c r="N860" s="3" t="str">
        <f>OBRA!Q858</f>
        <v>SAN PEDRO TESISTÁN</v>
      </c>
      <c r="O860" s="504" t="s">
        <v>6491</v>
      </c>
      <c r="P860" s="79">
        <f>OBRA!R858</f>
        <v>932099.44</v>
      </c>
      <c r="Q860" s="1023">
        <f t="shared" si="81"/>
        <v>803534</v>
      </c>
      <c r="R860" s="1714" t="s">
        <v>68</v>
      </c>
      <c r="S860" s="67">
        <f>OBRA!S858</f>
        <v>45490</v>
      </c>
      <c r="T860" s="1134">
        <f>OBRA!V858</f>
        <v>45489</v>
      </c>
      <c r="U860" s="5">
        <f>OBRA!T858</f>
        <v>45497</v>
      </c>
      <c r="V860" s="11">
        <f>OBRA!U858</f>
        <v>45506</v>
      </c>
      <c r="W860" s="1901">
        <v>279629.83</v>
      </c>
      <c r="X860" s="1019">
        <f>OBRA!AS858+OBRA!AT858</f>
        <v>932099.44</v>
      </c>
      <c r="Y860" s="1018" t="s">
        <v>6347</v>
      </c>
      <c r="Z860" s="146" t="str">
        <f>OBRA!W858</f>
        <v>SOLEC ENERGY, S.A. DE C.V.</v>
      </c>
      <c r="AA860" s="146" t="s">
        <v>5666</v>
      </c>
      <c r="AB860" s="148" t="s">
        <v>4548</v>
      </c>
      <c r="AC860" s="146" t="s">
        <v>4549</v>
      </c>
      <c r="AD860" s="1337" t="s">
        <v>6548</v>
      </c>
      <c r="AE860" s="183" t="str">
        <f>OBRA!X858</f>
        <v>ING. LUIS RIGOBERTO OLMEDO NAVARRO</v>
      </c>
      <c r="AF860" s="19">
        <v>1</v>
      </c>
      <c r="AG860" s="2" t="s">
        <v>1573</v>
      </c>
      <c r="AH860" s="615">
        <f t="shared" si="78"/>
        <v>932099.44</v>
      </c>
      <c r="AI860" s="2">
        <v>1400</v>
      </c>
      <c r="AJ860" s="2">
        <v>1400</v>
      </c>
      <c r="AK860" s="1888">
        <v>1</v>
      </c>
      <c r="AL860" s="1522">
        <v>20.224596999999999</v>
      </c>
      <c r="AM860" s="1523">
        <v>103.41150399999999</v>
      </c>
      <c r="AN860" s="571" t="s">
        <v>6525</v>
      </c>
      <c r="AO860" s="571" t="s">
        <v>6525</v>
      </c>
      <c r="AP860" s="571" t="s">
        <v>6525</v>
      </c>
      <c r="AQ860" s="2"/>
      <c r="AR860" s="504" t="s">
        <v>6525</v>
      </c>
      <c r="AS860" s="704" t="s">
        <v>6525</v>
      </c>
    </row>
    <row r="861" spans="1:45" ht="70.5" customHeight="1">
      <c r="A861" s="16">
        <f>OBRA!J859</f>
        <v>2024</v>
      </c>
      <c r="B861" s="783" t="s">
        <v>3944</v>
      </c>
      <c r="C861" s="783">
        <f>OBRA!K859</f>
        <v>245026</v>
      </c>
      <c r="D861" s="24" t="s">
        <v>2310</v>
      </c>
      <c r="E861" s="2" t="str">
        <f>OBRA!M859</f>
        <v>CUENTA CORRIENTE</v>
      </c>
      <c r="F861" s="511"/>
      <c r="G861" s="156" t="s">
        <v>2206</v>
      </c>
      <c r="H861" s="12" t="str">
        <f>OBRA!N859</f>
        <v>GMJ 026C- OP/2024</v>
      </c>
      <c r="I861" s="2" t="str">
        <f>OBRA!O859</f>
        <v>ADJUDICACIÓN DIRECTA</v>
      </c>
      <c r="J861" s="3" t="str">
        <f>OBRA!P859</f>
        <v>"TRABAJOS COMPLETARIOS E IMPERMEABILIZACIÓN DEL DEPÓSITO DE AGUA UBICADO EN LA ZONA NORTE", DE LA CABCERA MUNICIPAL DE JOCOTEPEC, JALISCO.</v>
      </c>
      <c r="K861" s="3" t="s">
        <v>6812</v>
      </c>
      <c r="L861" s="3" t="s">
        <v>4745</v>
      </c>
      <c r="M861" s="3" t="s">
        <v>2654</v>
      </c>
      <c r="N861" s="3" t="str">
        <f>OBRA!Q859</f>
        <v>CABECERA MUNICIPAL</v>
      </c>
      <c r="O861" s="504" t="s">
        <v>6491</v>
      </c>
      <c r="P861" s="79">
        <v>759205.81</v>
      </c>
      <c r="Q861" s="1023">
        <f t="shared" si="81"/>
        <v>654487.76724137936</v>
      </c>
      <c r="R861" s="1714" t="s">
        <v>68</v>
      </c>
      <c r="S861" s="67">
        <f>OBRA!S859</f>
        <v>45497</v>
      </c>
      <c r="T861" s="1134">
        <f>OBRA!V859</f>
        <v>45496</v>
      </c>
      <c r="U861" s="5">
        <f>OBRA!T859</f>
        <v>45502</v>
      </c>
      <c r="V861" s="11">
        <f>OBRA!U859</f>
        <v>45535</v>
      </c>
      <c r="W861" s="1901">
        <v>0</v>
      </c>
      <c r="X861" s="1019">
        <f>OBRA!AS859+OBRA!AT859</f>
        <v>763292.06</v>
      </c>
      <c r="Y861" s="1018" t="s">
        <v>6335</v>
      </c>
      <c r="Z861" s="1907" t="str">
        <f>OBRA!W859</f>
        <v>CONSTRUCTORA ELITE Y MOVIMIENTOS DE TIERRAS, S.A. DE C.V.</v>
      </c>
      <c r="AA861" s="146" t="s">
        <v>5666</v>
      </c>
      <c r="AB861" s="148" t="s">
        <v>6526</v>
      </c>
      <c r="AC861" s="146" t="s">
        <v>6516</v>
      </c>
      <c r="AD861" s="148" t="s">
        <v>6517</v>
      </c>
      <c r="AE861" s="183" t="str">
        <f>OBRA!X859</f>
        <v>ING. LUIS RIGOBERTO OLMEDO NAVARRO</v>
      </c>
      <c r="AF861" s="19">
        <v>540.6</v>
      </c>
      <c r="AG861" s="2" t="s">
        <v>1548</v>
      </c>
      <c r="AH861" s="615">
        <f t="shared" si="78"/>
        <v>1411.9349981502035</v>
      </c>
      <c r="AI861" s="2" t="s">
        <v>68</v>
      </c>
      <c r="AJ861" s="2">
        <v>10000</v>
      </c>
      <c r="AK861" s="1888">
        <v>1</v>
      </c>
      <c r="AL861" s="1522">
        <v>20.294478999999999</v>
      </c>
      <c r="AM861" s="1523">
        <v>103.43019200000001</v>
      </c>
      <c r="AN861" s="571" t="s">
        <v>6528</v>
      </c>
      <c r="AO861" s="571" t="s">
        <v>6528</v>
      </c>
      <c r="AP861" s="571" t="s">
        <v>6528</v>
      </c>
      <c r="AQ861" s="504" t="s">
        <v>6528</v>
      </c>
      <c r="AR861" s="504"/>
      <c r="AS861" s="704" t="s">
        <v>6528</v>
      </c>
    </row>
    <row r="862" spans="1:45" ht="111.75" customHeight="1">
      <c r="A862" s="16">
        <f>OBRA!J860</f>
        <v>2024</v>
      </c>
      <c r="B862" s="783" t="s">
        <v>3944</v>
      </c>
      <c r="C862" s="783">
        <f>OBRA!K860</f>
        <v>245027</v>
      </c>
      <c r="D862" s="24" t="s">
        <v>2310</v>
      </c>
      <c r="E862" s="2" t="str">
        <f>OBRA!M860</f>
        <v xml:space="preserve">FORTAMUN </v>
      </c>
      <c r="F862" s="511"/>
      <c r="G862" s="156" t="s">
        <v>2206</v>
      </c>
      <c r="H862" s="12" t="str">
        <f>OBRA!N860</f>
        <v>GMJ 027C- OP/2024</v>
      </c>
      <c r="I862" s="2" t="str">
        <f>OBRA!O860</f>
        <v>ADJUDICACIÓN DIRECTA</v>
      </c>
      <c r="J862" s="3" t="str">
        <f>OBRA!P860</f>
        <v>"PROYECTO DE ELECTRIFICACIÓN DE UNIDAD DEPORTIVA DE MEDIA Y BAJA TENSIÓN", EN LA LOCALIDAD DE CHANTEPEC, MUNICIPIO DE JOCOTEPEC, JALISCO.</v>
      </c>
      <c r="K862" s="1175" t="s">
        <v>6817</v>
      </c>
      <c r="L862" s="3" t="s">
        <v>5342</v>
      </c>
      <c r="M862" s="3" t="s">
        <v>5342</v>
      </c>
      <c r="N862" s="3" t="str">
        <f>OBRA!Q860</f>
        <v>CHANTEPEC</v>
      </c>
      <c r="O862" s="504" t="s">
        <v>6491</v>
      </c>
      <c r="P862" s="79">
        <f>OBRA!R860</f>
        <v>779373.61</v>
      </c>
      <c r="Q862" s="1023">
        <f t="shared" si="81"/>
        <v>671873.80172413797</v>
      </c>
      <c r="R862" s="1714" t="s">
        <v>68</v>
      </c>
      <c r="S862" s="67">
        <f>OBRA!S860</f>
        <v>45507</v>
      </c>
      <c r="T862" s="1134">
        <f>OBRA!V860</f>
        <v>45506</v>
      </c>
      <c r="U862" s="5">
        <f>OBRA!T860</f>
        <v>45510</v>
      </c>
      <c r="V862" s="11">
        <f>OBRA!U860</f>
        <v>45527</v>
      </c>
      <c r="W862" s="1901">
        <v>0</v>
      </c>
      <c r="X862" s="1019">
        <f>OBRA!AS860+OBRA!AT860</f>
        <v>779373.61</v>
      </c>
      <c r="Y862" s="1018" t="s">
        <v>6337</v>
      </c>
      <c r="Z862" s="146" t="str">
        <f>OBRA!W860</f>
        <v>SOLEC ENERGY, S.A. DE C.V.</v>
      </c>
      <c r="AA862" s="146" t="s">
        <v>5666</v>
      </c>
      <c r="AB862" s="148" t="s">
        <v>4548</v>
      </c>
      <c r="AC862" s="146" t="s">
        <v>4549</v>
      </c>
      <c r="AD862" s="1337" t="s">
        <v>6548</v>
      </c>
      <c r="AE862" s="183">
        <f>OBRA!X860</f>
        <v>0</v>
      </c>
      <c r="AF862" s="19">
        <v>1</v>
      </c>
      <c r="AG862" s="2" t="s">
        <v>1573</v>
      </c>
      <c r="AH862" s="615">
        <f t="shared" si="78"/>
        <v>779373.61</v>
      </c>
      <c r="AI862" s="2">
        <v>700</v>
      </c>
      <c r="AJ862" s="2">
        <v>2500</v>
      </c>
      <c r="AK862" s="1888">
        <v>1</v>
      </c>
      <c r="AL862" s="1522">
        <v>20.292967000000001</v>
      </c>
      <c r="AM862" s="1523">
        <v>103.389911</v>
      </c>
      <c r="AN862" s="571" t="s">
        <v>6773</v>
      </c>
      <c r="AO862" s="571" t="s">
        <v>6773</v>
      </c>
      <c r="AP862" s="571" t="s">
        <v>6773</v>
      </c>
      <c r="AQ862" s="2"/>
      <c r="AR862" s="504" t="s">
        <v>6773</v>
      </c>
      <c r="AS862" s="704" t="s">
        <v>6773</v>
      </c>
    </row>
    <row r="863" spans="1:45" ht="154.5" customHeight="1">
      <c r="A863" s="16">
        <f>OBRA!J861</f>
        <v>2024</v>
      </c>
      <c r="B863" s="783" t="s">
        <v>3944</v>
      </c>
      <c r="C863" s="783">
        <f>OBRA!K861</f>
        <v>245028</v>
      </c>
      <c r="D863" s="24" t="s">
        <v>2310</v>
      </c>
      <c r="E863" s="2" t="str">
        <f>OBRA!M861</f>
        <v xml:space="preserve">FORTAMUN </v>
      </c>
      <c r="F863" s="511"/>
      <c r="G863" s="156" t="s">
        <v>2206</v>
      </c>
      <c r="H863" s="12" t="str">
        <f>OBRA!N861</f>
        <v>GMJ 028C- OP/2024</v>
      </c>
      <c r="I863" s="2" t="str">
        <f>OBRA!O861</f>
        <v>ADJUDICACIÓN DIRECTA</v>
      </c>
      <c r="J863" s="3" t="str">
        <f>OBRA!P861</f>
        <v>"ADECUACIÓN DE ELECTRIFICACIÓN, EQUIPAMIENTO Y TREN DE DESCARGA DEL POZO DE AGUA POTABLE EN CALLE MORELOS ENTRE CALLE GONZALEZ ORTEGA Y CALLE NICOLÁS BRAVO", EN LOCALIDAD DE NEXTIPAC, MUNICIPIO DE JOCOTEPEC, JALISCO.</v>
      </c>
      <c r="K863" s="1175" t="s">
        <v>6801</v>
      </c>
      <c r="L863" s="3" t="s">
        <v>4751</v>
      </c>
      <c r="M863" s="3" t="s">
        <v>6430</v>
      </c>
      <c r="N863" s="3" t="str">
        <f>OBRA!Q861</f>
        <v>NEXTIPAC</v>
      </c>
      <c r="O863" s="504" t="s">
        <v>6491</v>
      </c>
      <c r="P863" s="79">
        <f>OBRA!R861</f>
        <v>1025125.64</v>
      </c>
      <c r="Q863" s="1023">
        <f t="shared" si="81"/>
        <v>883729.00000000012</v>
      </c>
      <c r="R863" s="1714" t="s">
        <v>68</v>
      </c>
      <c r="S863" s="67">
        <f>OBRA!S861</f>
        <v>0</v>
      </c>
      <c r="T863" s="1134">
        <f>OBRA!V861</f>
        <v>45511</v>
      </c>
      <c r="U863" s="5">
        <f>OBRA!T861</f>
        <v>45516</v>
      </c>
      <c r="V863" s="11">
        <f>OBRA!U861</f>
        <v>45526</v>
      </c>
      <c r="W863" s="1901">
        <v>307537.69</v>
      </c>
      <c r="X863" s="1019">
        <f>OBRA!AS861+OBRA!AT861</f>
        <v>1064619</v>
      </c>
      <c r="Y863" s="1018" t="s">
        <v>6338</v>
      </c>
      <c r="Z863" s="146" t="str">
        <f>OBRA!W861</f>
        <v>ING. MARCO ANTONIO PAREDES RODRÍGUEZ</v>
      </c>
      <c r="AA863" s="146" t="s">
        <v>5665</v>
      </c>
      <c r="AB863" s="1769" t="s">
        <v>3742</v>
      </c>
      <c r="AC863" s="146" t="s">
        <v>4292</v>
      </c>
      <c r="AD863" s="148" t="s">
        <v>6549</v>
      </c>
      <c r="AE863" s="183" t="str">
        <f>OBRA!X861</f>
        <v>ING. LUIS RIGOBERTO OLMEDO NAVARRO</v>
      </c>
      <c r="AF863" s="19">
        <v>1</v>
      </c>
      <c r="AG863" s="2" t="s">
        <v>1573</v>
      </c>
      <c r="AH863" s="615">
        <f t="shared" si="78"/>
        <v>1064619</v>
      </c>
      <c r="AI863" s="2">
        <v>5500</v>
      </c>
      <c r="AJ863" s="2">
        <v>22000</v>
      </c>
      <c r="AK863" s="1888">
        <v>1</v>
      </c>
      <c r="AL863" s="1522">
        <v>20.286714</v>
      </c>
      <c r="AM863" s="1903">
        <v>103.42418499999999</v>
      </c>
      <c r="AN863" s="1889" t="s">
        <v>6774</v>
      </c>
      <c r="AO863" s="571" t="s">
        <v>6774</v>
      </c>
      <c r="AP863" s="571" t="s">
        <v>6774</v>
      </c>
      <c r="AQ863" s="495" t="s">
        <v>6774</v>
      </c>
      <c r="AR863" s="504"/>
      <c r="AS863" s="18"/>
    </row>
    <row r="864" spans="1:45" ht="80.25" customHeight="1">
      <c r="A864" s="16">
        <f>OBRA!J862</f>
        <v>2024</v>
      </c>
      <c r="B864" s="783" t="s">
        <v>3944</v>
      </c>
      <c r="C864" s="783">
        <f>OBRA!K862</f>
        <v>245029</v>
      </c>
      <c r="D864" s="24" t="s">
        <v>2310</v>
      </c>
      <c r="E864" s="2" t="str">
        <f>OBRA!M862</f>
        <v>CUENTA CORRIENTE</v>
      </c>
      <c r="F864" s="511"/>
      <c r="G864" s="156" t="s">
        <v>2206</v>
      </c>
      <c r="H864" s="12" t="str">
        <f>OBRA!N862</f>
        <v>GMJ 029C- OP/2024</v>
      </c>
      <c r="I864" s="2" t="str">
        <f>OBRA!O862</f>
        <v>ADJUDICACIÓN DIRECTA</v>
      </c>
      <c r="J864" s="3" t="str">
        <f>OBRA!P862</f>
        <v>"MANTENIMIENTO DE PINTURA E IMPERMEABILIZACIÓN, RETIRO Y COLOCACIÓN DE PISOS EN PLANTA DE AZOTEA EN EDIFICIO ADMINISTRATIVO DE CALLE HIDALGO SUR # 187" EN LA CABECERA MUNICIPAL DE JOCOTEPEC, JALISCO</v>
      </c>
      <c r="K864" s="3" t="s">
        <v>6814</v>
      </c>
      <c r="L864" s="3" t="s">
        <v>6241</v>
      </c>
      <c r="M864" s="3" t="s">
        <v>6431</v>
      </c>
      <c r="N864" s="3" t="str">
        <f>OBRA!Q862</f>
        <v>CABECERA MUNICIPAL</v>
      </c>
      <c r="O864" s="504" t="s">
        <v>6491</v>
      </c>
      <c r="P864" s="79">
        <f>OBRA!R862</f>
        <v>347680.34</v>
      </c>
      <c r="Q864" s="1023">
        <f t="shared" si="81"/>
        <v>299724.43103448278</v>
      </c>
      <c r="R864" s="1714" t="s">
        <v>68</v>
      </c>
      <c r="S864" s="67">
        <f>OBRA!S862</f>
        <v>45531</v>
      </c>
      <c r="T864" s="1134">
        <f>OBRA!V862</f>
        <v>45530</v>
      </c>
      <c r="U864" s="5">
        <f>OBRA!T862</f>
        <v>45535</v>
      </c>
      <c r="V864" s="11">
        <f>OBRA!U862</f>
        <v>45551</v>
      </c>
      <c r="W864" s="1901">
        <v>104304.02</v>
      </c>
      <c r="X864" s="1019">
        <f>OBRA!AS862+OBRA!AT862</f>
        <v>347680.34</v>
      </c>
      <c r="Y864" s="1018" t="s">
        <v>6334</v>
      </c>
      <c r="Z864" s="146" t="str">
        <f>OBRA!W862</f>
        <v>C. OSCAR HERNÁNDEZ HERNÁNDEZ</v>
      </c>
      <c r="AA864" s="146" t="s">
        <v>5665</v>
      </c>
      <c r="AB864" s="148" t="str">
        <f t="shared" si="80"/>
        <v>C. OSCAR HERNÁNDEZ HERNÁNDEZ</v>
      </c>
      <c r="AC864" s="146" t="s">
        <v>6514</v>
      </c>
      <c r="AD864" s="148" t="s">
        <v>6515</v>
      </c>
      <c r="AE864" s="183">
        <f>OBRA!X862</f>
        <v>0</v>
      </c>
      <c r="AF864" s="19">
        <v>4618</v>
      </c>
      <c r="AG864" s="2" t="s">
        <v>1548</v>
      </c>
      <c r="AH864" s="615">
        <f t="shared" ref="AH864:AH875" si="82">X864/AF864</f>
        <v>75.288077089649207</v>
      </c>
      <c r="AI864" s="2" t="s">
        <v>68</v>
      </c>
      <c r="AJ864" s="2">
        <v>10000</v>
      </c>
      <c r="AK864" s="1888">
        <v>1</v>
      </c>
      <c r="AL864" s="1522">
        <v>20.283180999999999</v>
      </c>
      <c r="AM864" s="1523">
        <v>103.430739</v>
      </c>
      <c r="AN864" s="571" t="s">
        <v>6775</v>
      </c>
      <c r="AO864" s="571" t="s">
        <v>6775</v>
      </c>
      <c r="AP864" s="571" t="s">
        <v>6775</v>
      </c>
      <c r="AQ864" s="495" t="s">
        <v>6775</v>
      </c>
      <c r="AR864" s="504" t="s">
        <v>6775</v>
      </c>
      <c r="AS864" s="704" t="s">
        <v>6775</v>
      </c>
    </row>
    <row r="865" spans="1:45" ht="66.75" customHeight="1">
      <c r="A865" s="16">
        <f>OBRA!J863</f>
        <v>2024</v>
      </c>
      <c r="B865" s="783" t="s">
        <v>3944</v>
      </c>
      <c r="C865" s="783">
        <f>OBRA!K863</f>
        <v>245030</v>
      </c>
      <c r="D865" s="24" t="s">
        <v>2310</v>
      </c>
      <c r="E865" s="2" t="str">
        <f>OBRA!M863</f>
        <v>CUENTA CORRIENTE</v>
      </c>
      <c r="F865" s="511"/>
      <c r="G865" s="156" t="s">
        <v>2206</v>
      </c>
      <c r="H865" s="12" t="str">
        <f>OBRA!N863</f>
        <v>GMJ 030C- OP/2024</v>
      </c>
      <c r="I865" s="2" t="str">
        <f>OBRA!O863</f>
        <v>ADJUDICACIÓN DIRECTA</v>
      </c>
      <c r="J865" s="3" t="str">
        <f>OBRA!P863</f>
        <v>"MANTENIMIENTO DE CANCHA DE USOS MULTIPLES UBICADA EN ZONA DEL MALECÓN", EN LA LOCALIDAD DE SAN JUAN COSALÁ, MUNICIPIO DE JOCOTEPEC, JALISCO.</v>
      </c>
      <c r="K865" s="1175" t="s">
        <v>6818</v>
      </c>
      <c r="L865" s="3" t="s">
        <v>4806</v>
      </c>
      <c r="M865" s="3" t="s">
        <v>6432</v>
      </c>
      <c r="N865" s="3" t="str">
        <f>OBRA!Q863</f>
        <v>SAN JUAN COSALÁ</v>
      </c>
      <c r="O865" s="504" t="s">
        <v>6491</v>
      </c>
      <c r="P865" s="79">
        <f>OBRA!R863</f>
        <v>215269.78</v>
      </c>
      <c r="Q865" s="1023">
        <f t="shared" si="81"/>
        <v>185577.39655172414</v>
      </c>
      <c r="R865" s="1714" t="s">
        <v>68</v>
      </c>
      <c r="S865" s="67">
        <f>OBRA!S863</f>
        <v>45532</v>
      </c>
      <c r="T865" s="1134">
        <f>OBRA!V863</f>
        <v>45531</v>
      </c>
      <c r="U865" s="5">
        <f>OBRA!T863</f>
        <v>45534</v>
      </c>
      <c r="V865" s="11">
        <f>OBRA!U863</f>
        <v>45548</v>
      </c>
      <c r="W865" s="1901">
        <v>0</v>
      </c>
      <c r="X865" s="1019">
        <f>OBRA!AS863+OBRA!AT863</f>
        <v>215269.78</v>
      </c>
      <c r="Y865" s="1018" t="s">
        <v>6346</v>
      </c>
      <c r="Z865" s="146" t="str">
        <f>OBRA!W863</f>
        <v>ALSERCON SA DE CV</v>
      </c>
      <c r="AA865" s="146" t="s">
        <v>5666</v>
      </c>
      <c r="AB865" s="148" t="s">
        <v>2164</v>
      </c>
      <c r="AC865" s="146" t="s">
        <v>2165</v>
      </c>
      <c r="AD865" s="148" t="s">
        <v>6550</v>
      </c>
      <c r="AE865" s="183">
        <f>OBRA!X863</f>
        <v>0</v>
      </c>
      <c r="AF865" s="19">
        <v>512</v>
      </c>
      <c r="AG865" s="2" t="s">
        <v>1548</v>
      </c>
      <c r="AH865" s="615">
        <f t="shared" si="82"/>
        <v>420.4487890625</v>
      </c>
      <c r="AI865" s="2">
        <v>500</v>
      </c>
      <c r="AJ865" s="2">
        <v>2000</v>
      </c>
      <c r="AK865" s="1888">
        <v>1</v>
      </c>
      <c r="AL865" s="1522">
        <v>20.283975999999999</v>
      </c>
      <c r="AM865" s="1523">
        <v>103.338094</v>
      </c>
      <c r="AN865" s="571" t="s">
        <v>6776</v>
      </c>
      <c r="AO865" s="571" t="s">
        <v>6776</v>
      </c>
      <c r="AP865" s="571" t="s">
        <v>6776</v>
      </c>
      <c r="AQ865" s="495" t="s">
        <v>6776</v>
      </c>
      <c r="AR865" s="504" t="s">
        <v>6776</v>
      </c>
      <c r="AS865" s="704" t="s">
        <v>6776</v>
      </c>
    </row>
    <row r="866" spans="1:45" ht="50.25" customHeight="1">
      <c r="A866" s="16">
        <f>OBRA!J864</f>
        <v>2024</v>
      </c>
      <c r="B866" s="783" t="s">
        <v>3944</v>
      </c>
      <c r="C866" s="783">
        <f>OBRA!K864</f>
        <v>245031</v>
      </c>
      <c r="D866" s="24" t="s">
        <v>2310</v>
      </c>
      <c r="E866" s="2" t="str">
        <f>OBRA!M864</f>
        <v>CUENTA CORRIENTE</v>
      </c>
      <c r="F866" s="511"/>
      <c r="G866" s="156" t="s">
        <v>2206</v>
      </c>
      <c r="H866" s="12" t="str">
        <f>OBRA!N864</f>
        <v>GMJ 031C- OP/2024</v>
      </c>
      <c r="I866" s="2" t="str">
        <f>OBRA!O864</f>
        <v>ADJUDICACIÓN DIRECTA</v>
      </c>
      <c r="J866" s="3" t="str">
        <f>OBRA!P864</f>
        <v>"ELECTRIFICACIÓN DE LOCALES COMERCIALES EN PLAZA CÍVICA", EN LA LOCALIDAD DE CHANTEPEC, MUNICIPIO DE JOCOTEPEC, JALISCO</v>
      </c>
      <c r="K866" s="1175" t="s">
        <v>6819</v>
      </c>
      <c r="L866" s="3" t="s">
        <v>6242</v>
      </c>
      <c r="M866" s="3" t="s">
        <v>6433</v>
      </c>
      <c r="N866" s="3" t="str">
        <f>OBRA!Q864</f>
        <v>CHANTEPEC</v>
      </c>
      <c r="O866" s="504" t="s">
        <v>6492</v>
      </c>
      <c r="P866" s="79">
        <f>OBRA!R864</f>
        <v>672254.43</v>
      </c>
      <c r="Q866" s="1023">
        <f t="shared" si="81"/>
        <v>579529.6810344829</v>
      </c>
      <c r="R866" s="1714" t="s">
        <v>68</v>
      </c>
      <c r="S866" s="67">
        <f>OBRA!S864</f>
        <v>45532</v>
      </c>
      <c r="T866" s="1134">
        <f>OBRA!V864</f>
        <v>45531</v>
      </c>
      <c r="U866" s="5">
        <f>OBRA!T864</f>
        <v>45533</v>
      </c>
      <c r="V866" s="11">
        <f>OBRA!U864</f>
        <v>45562</v>
      </c>
      <c r="W866" s="1901">
        <v>201676.33</v>
      </c>
      <c r="X866" s="1019">
        <f>OBRA!AS864+OBRA!AT864</f>
        <v>672254.42</v>
      </c>
      <c r="Y866" s="1018" t="s">
        <v>6347</v>
      </c>
      <c r="Z866" s="146" t="str">
        <f>OBRA!W864</f>
        <v>SOLEC ENERGY, S.A. DE C.V.</v>
      </c>
      <c r="AA866" s="146" t="s">
        <v>5666</v>
      </c>
      <c r="AB866" s="148" t="s">
        <v>4548</v>
      </c>
      <c r="AC866" s="146" t="s">
        <v>4549</v>
      </c>
      <c r="AD866" s="1337" t="s">
        <v>6548</v>
      </c>
      <c r="AE866" s="1908" t="str">
        <f>OBRA!X864</f>
        <v>ING. LUIS RIGOBERTO OLMEDO NAVARRO</v>
      </c>
      <c r="AF866" s="19">
        <v>32</v>
      </c>
      <c r="AG866" s="2" t="s">
        <v>1841</v>
      </c>
      <c r="AH866" s="615">
        <f t="shared" si="82"/>
        <v>21007.950625000001</v>
      </c>
      <c r="AI866" s="2">
        <v>300</v>
      </c>
      <c r="AJ866" s="2">
        <v>2000</v>
      </c>
      <c r="AK866" s="1888">
        <v>1</v>
      </c>
      <c r="AL866" s="1522">
        <v>20.290751</v>
      </c>
      <c r="AM866" s="1523">
        <v>103.394237</v>
      </c>
      <c r="AN866" s="571" t="s">
        <v>6529</v>
      </c>
      <c r="AO866" s="571"/>
      <c r="AP866" s="571" t="s">
        <v>6529</v>
      </c>
      <c r="AQ866" s="504" t="s">
        <v>6529</v>
      </c>
      <c r="AR866" s="504"/>
      <c r="AS866" s="18"/>
    </row>
    <row r="867" spans="1:45" ht="15" hidden="1" customHeight="1">
      <c r="A867" s="16">
        <f>OBRA!J865</f>
        <v>2024</v>
      </c>
      <c r="B867" s="783" t="s">
        <v>3944</v>
      </c>
      <c r="C867" s="783">
        <f>OBRA!K865</f>
        <v>245032</v>
      </c>
      <c r="D867" s="24" t="s">
        <v>2310</v>
      </c>
      <c r="E867" s="2">
        <f>OBRA!M865</f>
        <v>0</v>
      </c>
      <c r="F867" s="511"/>
      <c r="G867" s="1670"/>
      <c r="H867" s="12" t="str">
        <f>OBRA!N865</f>
        <v>GMJ 032C- OP/2024</v>
      </c>
      <c r="I867" s="2" t="str">
        <f>OBRA!O865</f>
        <v>CANCELADA</v>
      </c>
      <c r="J867" s="3">
        <f>OBRA!P865</f>
        <v>0</v>
      </c>
      <c r="K867" s="541"/>
      <c r="L867" s="3" t="s">
        <v>68</v>
      </c>
      <c r="M867" s="541"/>
      <c r="N867" s="3">
        <f>OBRA!Q865</f>
        <v>0</v>
      </c>
      <c r="O867" s="529"/>
      <c r="P867" s="4">
        <f>OBRA!R865</f>
        <v>0</v>
      </c>
      <c r="Q867" s="1023">
        <f t="shared" si="81"/>
        <v>0</v>
      </c>
      <c r="R867" s="1714" t="s">
        <v>68</v>
      </c>
      <c r="S867" s="6">
        <f>OBRA!S865</f>
        <v>0</v>
      </c>
      <c r="T867" s="1134">
        <f>OBRA!V865</f>
        <v>0</v>
      </c>
      <c r="U867" s="5">
        <f>OBRA!T865</f>
        <v>0</v>
      </c>
      <c r="V867" s="11">
        <f>OBRA!U865</f>
        <v>0</v>
      </c>
      <c r="W867" s="278"/>
      <c r="X867" s="1019">
        <f>OBRA!AS865+OBRA!AT865</f>
        <v>0</v>
      </c>
      <c r="Y867" s="1018"/>
      <c r="Z867" s="146" t="str">
        <f>OBRA!W865</f>
        <v>-</v>
      </c>
      <c r="AA867" s="146"/>
      <c r="AB867" s="148" t="str">
        <f t="shared" si="80"/>
        <v>-</v>
      </c>
      <c r="AC867" s="163"/>
      <c r="AD867" s="1169"/>
      <c r="AE867" s="551">
        <f>OBRA!X865</f>
        <v>0</v>
      </c>
      <c r="AF867" s="161"/>
      <c r="AG867" s="510"/>
      <c r="AH867" s="634" t="e">
        <f t="shared" si="82"/>
        <v>#DIV/0!</v>
      </c>
      <c r="AI867" s="510"/>
      <c r="AJ867" s="506"/>
      <c r="AK867" s="506"/>
      <c r="AL867" s="635"/>
      <c r="AM867" s="1517"/>
      <c r="AN867" s="573"/>
      <c r="AO867" s="573"/>
      <c r="AP867" s="573"/>
      <c r="AQ867" s="506"/>
      <c r="AR867" s="506"/>
      <c r="AS867" s="511"/>
    </row>
    <row r="868" spans="1:45" ht="48.75" customHeight="1">
      <c r="A868" s="16">
        <f>OBRA!J866</f>
        <v>2024</v>
      </c>
      <c r="B868" s="783" t="s">
        <v>3944</v>
      </c>
      <c r="C868" s="783">
        <f>OBRA!K866</f>
        <v>245033</v>
      </c>
      <c r="D868" s="24" t="s">
        <v>2310</v>
      </c>
      <c r="E868" s="2" t="str">
        <f>OBRA!M866</f>
        <v>CUENTA CORRIENTE</v>
      </c>
      <c r="F868" s="511"/>
      <c r="G868" s="156" t="s">
        <v>2206</v>
      </c>
      <c r="H868" s="12" t="str">
        <f>OBRA!N866</f>
        <v>GMJ 033C- OP/2024</v>
      </c>
      <c r="I868" s="2" t="str">
        <f>OBRA!O866</f>
        <v>ADJUDICACIÓN DIRECTA</v>
      </c>
      <c r="J868" s="3" t="str">
        <f>OBRA!P866</f>
        <v>"INSTALACIÓN DE REDUCTORES DE VELOCIDAD EN CRUCERO", EN LA LOCALIDAD DE HUEJOTITÁN, MUNICIPIO DE JOCOTEPEC, JALISCO.</v>
      </c>
      <c r="K868" s="1175" t="s">
        <v>6820</v>
      </c>
      <c r="L868" s="3" t="s">
        <v>6345</v>
      </c>
      <c r="M868" s="3" t="s">
        <v>2554</v>
      </c>
      <c r="N868" s="3" t="str">
        <f>OBRA!Q866</f>
        <v>HUEJOTITÁN</v>
      </c>
      <c r="O868" s="504" t="s">
        <v>6492</v>
      </c>
      <c r="P868" s="79">
        <f>OBRA!R866</f>
        <v>299463.51</v>
      </c>
      <c r="Q868" s="1023">
        <f t="shared" si="81"/>
        <v>258158.19827586209</v>
      </c>
      <c r="R868" s="1714" t="s">
        <v>68</v>
      </c>
      <c r="S868" s="67">
        <f>OBRA!S866</f>
        <v>45532</v>
      </c>
      <c r="T868" s="1134">
        <f>OBRA!V866</f>
        <v>45531</v>
      </c>
      <c r="U868" s="5">
        <f>OBRA!T866</f>
        <v>45536</v>
      </c>
      <c r="V868" s="11">
        <f>OBRA!U866</f>
        <v>45540</v>
      </c>
      <c r="W868" s="1901">
        <v>0</v>
      </c>
      <c r="X868" s="1019">
        <f>OBRA!AS866+OBRA!AT866</f>
        <v>0</v>
      </c>
      <c r="Y868" s="1018" t="s">
        <v>6334</v>
      </c>
      <c r="Z868" s="146" t="str">
        <f>OBRA!W866</f>
        <v>SERGIO CABRERA</v>
      </c>
      <c r="AA868" s="146" t="s">
        <v>5665</v>
      </c>
      <c r="AB868" s="1769" t="s">
        <v>4444</v>
      </c>
      <c r="AC868" s="146" t="s">
        <v>1922</v>
      </c>
      <c r="AD868" s="148" t="s">
        <v>6551</v>
      </c>
      <c r="AE868" s="183" t="str">
        <f>OBRA!X866</f>
        <v>IMELDA KARINA PÉREZ GONZÁLEZ</v>
      </c>
      <c r="AF868" s="19">
        <v>312</v>
      </c>
      <c r="AG868" s="2" t="s">
        <v>1451</v>
      </c>
      <c r="AH868" s="615">
        <f t="shared" si="82"/>
        <v>0</v>
      </c>
      <c r="AI868" s="2" t="s">
        <v>68</v>
      </c>
      <c r="AJ868" s="2">
        <v>1300</v>
      </c>
      <c r="AK868" s="1888">
        <v>1</v>
      </c>
      <c r="AL868" s="1522">
        <v>20.335771000000001</v>
      </c>
      <c r="AM868" s="1523">
        <v>103.509558</v>
      </c>
      <c r="AN868" s="571"/>
      <c r="AO868" s="571"/>
      <c r="AP868" s="571"/>
      <c r="AQ868" s="2"/>
      <c r="AR868" s="504"/>
      <c r="AS868" s="18"/>
    </row>
    <row r="869" spans="1:45" ht="90" customHeight="1">
      <c r="A869" s="16">
        <f>OBRA!J867</f>
        <v>2024</v>
      </c>
      <c r="B869" s="783" t="s">
        <v>3944</v>
      </c>
      <c r="C869" s="783">
        <f>OBRA!K867</f>
        <v>245034</v>
      </c>
      <c r="D869" s="24" t="s">
        <v>2310</v>
      </c>
      <c r="E869" s="2" t="str">
        <f>OBRA!M867</f>
        <v>CUENTA CORRIENTE</v>
      </c>
      <c r="F869" s="511"/>
      <c r="G869" s="156" t="s">
        <v>2206</v>
      </c>
      <c r="H869" s="12" t="str">
        <f>OBRA!N867</f>
        <v>GMJ 034C- OP/2024</v>
      </c>
      <c r="I869" s="2" t="str">
        <f>OBRA!O867</f>
        <v>ADJUDICACIÓN DIRECTA</v>
      </c>
      <c r="J869" s="3" t="str">
        <f>OBRA!P867</f>
        <v>"REHABILITACIÓN DE ÁREA PARA LA COLOCACIÓN DE LA CRUZ ATRIAL EN LA EXPLANADA SUR DEL TEMPLO DEL SEÑOR DEL MONTE", EN LA CABECERA MUNICIPAL DE JOCOTEPEC, JALISCO.</v>
      </c>
      <c r="K869" s="1175" t="s">
        <v>6815</v>
      </c>
      <c r="L869" s="3" t="s">
        <v>6241</v>
      </c>
      <c r="M869" s="3" t="s">
        <v>3976</v>
      </c>
      <c r="N869" s="3" t="str">
        <f>OBRA!Q867</f>
        <v>CABECERA MUNICIPAL</v>
      </c>
      <c r="O869" s="504" t="s">
        <v>6492</v>
      </c>
      <c r="P869" s="79">
        <f>OBRA!R867</f>
        <v>109760.7</v>
      </c>
      <c r="Q869" s="1023">
        <f t="shared" si="81"/>
        <v>94621.293103448275</v>
      </c>
      <c r="R869" s="1714" t="s">
        <v>68</v>
      </c>
      <c r="S869" s="67">
        <f>OBRA!S867</f>
        <v>45531</v>
      </c>
      <c r="T869" s="1134">
        <f>OBRA!V867</f>
        <v>45531</v>
      </c>
      <c r="U869" s="5">
        <f>OBRA!T867</f>
        <v>45537</v>
      </c>
      <c r="V869" s="11">
        <f>OBRA!U867</f>
        <v>45555</v>
      </c>
      <c r="W869" s="1901">
        <v>0</v>
      </c>
      <c r="X869" s="1019">
        <f>OBRA!AS867+OBRA!AT867</f>
        <v>299463.51</v>
      </c>
      <c r="Y869" s="1018" t="s">
        <v>6334</v>
      </c>
      <c r="Z869" s="146" t="str">
        <f>OBRA!W867</f>
        <v xml:space="preserve">DORIA &amp; SAMPIER CONSTRUCTORA, S.A. DE C.V. </v>
      </c>
      <c r="AA869" s="146" t="s">
        <v>5666</v>
      </c>
      <c r="AB869" s="1769" t="s">
        <v>5607</v>
      </c>
      <c r="AC869" s="146" t="s">
        <v>4401</v>
      </c>
      <c r="AD869" s="1337" t="s">
        <v>6552</v>
      </c>
      <c r="AE869" s="183" t="str">
        <f>OBRA!X867</f>
        <v>ARQ. JAIME CONDE GOMEZ</v>
      </c>
      <c r="AF869" s="19">
        <v>1</v>
      </c>
      <c r="AG869" s="2" t="s">
        <v>1573</v>
      </c>
      <c r="AH869" s="615">
        <f t="shared" si="82"/>
        <v>299463.51</v>
      </c>
      <c r="AI869" s="2" t="s">
        <v>68</v>
      </c>
      <c r="AJ869" s="2">
        <v>10000</v>
      </c>
      <c r="AK869" s="1888">
        <v>1</v>
      </c>
      <c r="AL869" s="1522">
        <v>20.28547</v>
      </c>
      <c r="AM869" s="1523">
        <v>103.429793</v>
      </c>
      <c r="AN869" s="571" t="s">
        <v>6777</v>
      </c>
      <c r="AO869" s="571" t="s">
        <v>6777</v>
      </c>
      <c r="AP869" s="571" t="s">
        <v>6777</v>
      </c>
      <c r="AQ869" s="495" t="s">
        <v>6777</v>
      </c>
      <c r="AR869" s="504"/>
      <c r="AS869" s="704" t="s">
        <v>6777</v>
      </c>
    </row>
    <row r="870" spans="1:45" ht="80.25" customHeight="1">
      <c r="A870" s="16">
        <f>OBRA!J868</f>
        <v>2024</v>
      </c>
      <c r="B870" s="783" t="s">
        <v>3944</v>
      </c>
      <c r="C870" s="783">
        <f>OBRA!K868</f>
        <v>245035</v>
      </c>
      <c r="D870" s="24" t="s">
        <v>2310</v>
      </c>
      <c r="E870" s="2" t="str">
        <f>OBRA!M868</f>
        <v>CUENTA CORRIENTE</v>
      </c>
      <c r="F870" s="511"/>
      <c r="G870" s="156" t="s">
        <v>2206</v>
      </c>
      <c r="H870" s="12" t="str">
        <f>OBRA!N868</f>
        <v>GMJ 035C- OP/2024</v>
      </c>
      <c r="I870" s="2" t="str">
        <f>OBRA!O868</f>
        <v>ADJUDICACIÓN DIRECTA</v>
      </c>
      <c r="J870" s="3" t="str">
        <f>OBRA!P868</f>
        <v>"RECONSTRUCCIÓN DE SUPERFICIE DE RODAMIENTO EN LA CALLE MIGUEL ARANA ENTRE CALLE GONZALEZ ORTEGA Y CALLE NICOLÁS BRAVO", EN LA CABECERA MUNICIPAL JOCOTEPEC, JALISCO.</v>
      </c>
      <c r="K870" s="3" t="s">
        <v>6821</v>
      </c>
      <c r="L870" s="3" t="s">
        <v>6254</v>
      </c>
      <c r="M870" s="3" t="s">
        <v>6434</v>
      </c>
      <c r="N870" s="3" t="str">
        <f>OBRA!Q868</f>
        <v>CABECERA MUNICIPAL</v>
      </c>
      <c r="O870" s="504" t="s">
        <v>6492</v>
      </c>
      <c r="P870" s="79">
        <f>OBRA!R868</f>
        <v>1641205.93</v>
      </c>
      <c r="Q870" s="1023">
        <f t="shared" si="81"/>
        <v>1414832.698275862</v>
      </c>
      <c r="R870" s="1714" t="s">
        <v>68</v>
      </c>
      <c r="S870" s="67">
        <f>OBRA!S868</f>
        <v>45537</v>
      </c>
      <c r="T870" s="1134">
        <f>OBRA!V868</f>
        <v>45534</v>
      </c>
      <c r="U870" s="5">
        <f>OBRA!T868</f>
        <v>45545</v>
      </c>
      <c r="V870" s="11">
        <f>OBRA!U868</f>
        <v>45550</v>
      </c>
      <c r="W870" s="1901">
        <v>492361.78</v>
      </c>
      <c r="X870" s="1019">
        <f>OBRA!AS868+OBRA!AT868</f>
        <v>0</v>
      </c>
      <c r="Y870" s="1018" t="s">
        <v>6348</v>
      </c>
      <c r="Z870" s="146" t="str">
        <f>OBRA!W868</f>
        <v>TERRACERÍAS Y PAVIMENTOS DE LA RIBERA, S.A. DE C.V.</v>
      </c>
      <c r="AA870" s="146" t="s">
        <v>5666</v>
      </c>
      <c r="AB870" s="1769" t="s">
        <v>4444</v>
      </c>
      <c r="AC870" s="1770" t="s">
        <v>3470</v>
      </c>
      <c r="AD870" s="1769" t="s">
        <v>6070</v>
      </c>
      <c r="AE870" s="183" t="str">
        <f>OBRA!X868</f>
        <v>C. IMELDA KARINA PÉREZ GONZÁLEZ</v>
      </c>
      <c r="AF870" s="19">
        <v>1786.81</v>
      </c>
      <c r="AG870" s="2" t="s">
        <v>1548</v>
      </c>
      <c r="AH870" s="615">
        <f t="shared" si="82"/>
        <v>0</v>
      </c>
      <c r="AI870" s="2">
        <v>200</v>
      </c>
      <c r="AJ870" s="2">
        <v>22000</v>
      </c>
      <c r="AK870" s="1888">
        <v>1</v>
      </c>
      <c r="AL870" s="1522">
        <v>20.284939999999999</v>
      </c>
      <c r="AM870" s="1523">
        <v>103.424854</v>
      </c>
      <c r="AN870" s="571" t="s">
        <v>6778</v>
      </c>
      <c r="AO870" s="571" t="s">
        <v>6778</v>
      </c>
      <c r="AP870" s="571" t="s">
        <v>6778</v>
      </c>
      <c r="AQ870" s="495" t="s">
        <v>6778</v>
      </c>
      <c r="AR870" s="504"/>
      <c r="AS870" s="704" t="s">
        <v>6778</v>
      </c>
    </row>
    <row r="871" spans="1:45" ht="72" customHeight="1">
      <c r="A871" s="16">
        <f>OBRA!J869</f>
        <v>2024</v>
      </c>
      <c r="B871" s="783" t="s">
        <v>3944</v>
      </c>
      <c r="C871" s="783">
        <f>OBRA!K869</f>
        <v>245036</v>
      </c>
      <c r="D871" s="24" t="s">
        <v>2310</v>
      </c>
      <c r="E871" s="2" t="str">
        <f>OBRA!M869</f>
        <v>CUENTA CORRIENTE</v>
      </c>
      <c r="F871" s="511"/>
      <c r="G871" s="156" t="s">
        <v>2206</v>
      </c>
      <c r="H871" s="12" t="str">
        <f>OBRA!N869</f>
        <v>GMJ 036C- OP/2024</v>
      </c>
      <c r="I871" s="2" t="str">
        <f>OBRA!O869</f>
        <v>ADJUDICACIÓN DIRECTA</v>
      </c>
      <c r="J871" s="3" t="str">
        <f>OBRA!P869</f>
        <v>"RECONSTRUCCIÓN DE SUPERFICIE DE RODAMIENTO EN EL INGRESO AL POBLADO", EN LA LOCALIDAD DE HUEJOTITÁN, MUNICIPIO DE JOCOTEPEC, JALISCO.</v>
      </c>
      <c r="K871" s="3" t="s">
        <v>6822</v>
      </c>
      <c r="L871" s="3" t="s">
        <v>6254</v>
      </c>
      <c r="M871" s="3" t="s">
        <v>6435</v>
      </c>
      <c r="N871" s="3" t="str">
        <f>OBRA!Q869</f>
        <v>HUEJOTITÁN</v>
      </c>
      <c r="O871" s="504" t="s">
        <v>6492</v>
      </c>
      <c r="P871" s="79">
        <f>OBRA!R869</f>
        <v>2600448.56</v>
      </c>
      <c r="Q871" s="1023">
        <f t="shared" si="81"/>
        <v>2241766</v>
      </c>
      <c r="R871" s="1714" t="s">
        <v>68</v>
      </c>
      <c r="S871" s="67">
        <f>OBRA!S869</f>
        <v>45540</v>
      </c>
      <c r="T871" s="1134">
        <f>OBRA!V869</f>
        <v>0</v>
      </c>
      <c r="U871" s="5">
        <f>OBRA!T869</f>
        <v>45541</v>
      </c>
      <c r="V871" s="11">
        <f>OBRA!U869</f>
        <v>45551</v>
      </c>
      <c r="W871" s="1901">
        <v>780134.57</v>
      </c>
      <c r="X871" s="1019">
        <f>OBRA!AS869+OBRA!AT869</f>
        <v>0</v>
      </c>
      <c r="Y871" s="1018" t="s">
        <v>6530</v>
      </c>
      <c r="Z871" s="146" t="str">
        <f>OBRA!W869</f>
        <v>SERGIO CABRERA</v>
      </c>
      <c r="AA871" s="146" t="s">
        <v>5665</v>
      </c>
      <c r="AB871" s="1769" t="s">
        <v>4444</v>
      </c>
      <c r="AC871" s="146" t="s">
        <v>1922</v>
      </c>
      <c r="AD871" s="148" t="s">
        <v>6551</v>
      </c>
      <c r="AE871" s="183" t="str">
        <f>OBRA!X869</f>
        <v>C. IMELDA KARINA PÉREZ GONZÁLEZ</v>
      </c>
      <c r="AF871" s="19">
        <v>6840.4</v>
      </c>
      <c r="AG871" s="2" t="s">
        <v>1548</v>
      </c>
      <c r="AH871" s="615">
        <f t="shared" si="82"/>
        <v>0</v>
      </c>
      <c r="AI871" s="2" t="s">
        <v>68</v>
      </c>
      <c r="AJ871" s="2">
        <v>1300</v>
      </c>
      <c r="AK871" s="1888">
        <v>1</v>
      </c>
      <c r="AL871" s="1522">
        <v>20.347173999999999</v>
      </c>
      <c r="AM871" s="1523">
        <v>103.49384499999999</v>
      </c>
      <c r="AN871" s="571" t="s">
        <v>6531</v>
      </c>
      <c r="AO871" s="571" t="s">
        <v>6531</v>
      </c>
      <c r="AP871" s="571" t="s">
        <v>6531</v>
      </c>
      <c r="AQ871" s="495" t="s">
        <v>6531</v>
      </c>
      <c r="AR871" s="504"/>
      <c r="AS871" s="704" t="s">
        <v>6531</v>
      </c>
    </row>
    <row r="872" spans="1:45" ht="57" customHeight="1">
      <c r="A872" s="16">
        <f>OBRA!J870</f>
        <v>2024</v>
      </c>
      <c r="B872" s="783" t="s">
        <v>3944</v>
      </c>
      <c r="C872" s="783">
        <f>OBRA!K870</f>
        <v>245037</v>
      </c>
      <c r="D872" s="24" t="s">
        <v>2310</v>
      </c>
      <c r="E872" s="2" t="str">
        <f>OBRA!M870</f>
        <v xml:space="preserve">FORTAMUN </v>
      </c>
      <c r="F872" s="511"/>
      <c r="G872" s="156" t="s">
        <v>2206</v>
      </c>
      <c r="H872" s="12" t="str">
        <f>OBRA!N870</f>
        <v>GMJ 037C- OP/2024</v>
      </c>
      <c r="I872" s="2" t="str">
        <f>OBRA!O870</f>
        <v>ADJUDICACIÓN DIRECTA</v>
      </c>
      <c r="J872" s="3" t="str">
        <f>OBRA!P870</f>
        <v>"MANTENIMIENTO A POZO PROFUNDO Y SUMINISTRO DE TUBERÍA UBICADO EN FRACCIONAMIENTO MAGISTERIAL", EN LA CABECERA MUNICIPAL DE JOCOTEPEC, JALISCO.</v>
      </c>
      <c r="K872" s="1175"/>
      <c r="L872" s="3" t="s">
        <v>4751</v>
      </c>
      <c r="M872" s="3" t="s">
        <v>6436</v>
      </c>
      <c r="N872" s="3" t="str">
        <f>OBRA!Q870</f>
        <v>CABECERA MUNICIPAL</v>
      </c>
      <c r="O872" s="504" t="s">
        <v>6492</v>
      </c>
      <c r="P872" s="79">
        <f>OBRA!R870</f>
        <v>758548.36</v>
      </c>
      <c r="Q872" s="1023">
        <f t="shared" si="81"/>
        <v>653921</v>
      </c>
      <c r="R872" s="1714" t="s">
        <v>68</v>
      </c>
      <c r="S872" s="67">
        <f>OBRA!S870</f>
        <v>45562</v>
      </c>
      <c r="T872" s="1134">
        <f>OBRA!V870</f>
        <v>45562</v>
      </c>
      <c r="U872" s="5">
        <f>OBRA!T870</f>
        <v>45562</v>
      </c>
      <c r="V872" s="11">
        <f>OBRA!U870</f>
        <v>45569</v>
      </c>
      <c r="W872" s="1901">
        <v>0</v>
      </c>
      <c r="X872" s="1019">
        <f>OBRA!AS870+OBRA!AT870</f>
        <v>0</v>
      </c>
      <c r="Y872" s="1018" t="s">
        <v>6562</v>
      </c>
      <c r="Z872" s="146" t="str">
        <f>OBRA!W870</f>
        <v>ING. MARCO ANTONIO PAREDES RODRÍGUEZ</v>
      </c>
      <c r="AA872" s="146" t="s">
        <v>5665</v>
      </c>
      <c r="AB872" s="1769" t="s">
        <v>3742</v>
      </c>
      <c r="AC872" s="146" t="s">
        <v>4292</v>
      </c>
      <c r="AD872" s="1337" t="s">
        <v>6549</v>
      </c>
      <c r="AE872" s="183" t="str">
        <f>OBRA!X870</f>
        <v>ING. LUIS RIGOBERTO OLMEDO NAVARRO</v>
      </c>
      <c r="AF872" s="19">
        <v>1</v>
      </c>
      <c r="AG872" s="2" t="s">
        <v>1573</v>
      </c>
      <c r="AH872" s="615">
        <f t="shared" si="82"/>
        <v>0</v>
      </c>
      <c r="AI872" s="2">
        <v>500</v>
      </c>
      <c r="AJ872" s="2">
        <v>10000</v>
      </c>
      <c r="AK872" s="1888">
        <v>1</v>
      </c>
      <c r="AL872" s="1522">
        <v>20.282632</v>
      </c>
      <c r="AM872" s="1523">
        <v>103.439976</v>
      </c>
      <c r="AN872" s="571"/>
      <c r="AO872" s="571"/>
      <c r="AP872" s="571"/>
      <c r="AQ872" s="2"/>
      <c r="AR872" s="504"/>
      <c r="AS872" s="18"/>
    </row>
    <row r="873" spans="1:45" ht="15" hidden="1" customHeight="1">
      <c r="A873" s="16">
        <f>OBRA!J871</f>
        <v>0</v>
      </c>
      <c r="B873" s="783" t="s">
        <v>3944</v>
      </c>
      <c r="C873" s="783">
        <f>OBRA!K871</f>
        <v>0</v>
      </c>
      <c r="D873" s="24" t="s">
        <v>2310</v>
      </c>
      <c r="E873" s="2">
        <f>OBRA!M871</f>
        <v>0</v>
      </c>
      <c r="F873" s="511"/>
      <c r="G873" s="1670"/>
      <c r="H873" s="12">
        <f>OBRA!N871</f>
        <v>0</v>
      </c>
      <c r="I873" s="2">
        <f>OBRA!O871</f>
        <v>0</v>
      </c>
      <c r="J873" s="3">
        <f>OBRA!P871</f>
        <v>0</v>
      </c>
      <c r="K873" s="541"/>
      <c r="L873" s="541"/>
      <c r="M873" s="541"/>
      <c r="N873" s="3">
        <f>OBRA!Q871</f>
        <v>0</v>
      </c>
      <c r="O873" s="529"/>
      <c r="P873" s="4">
        <f>OBRA!R871</f>
        <v>0</v>
      </c>
      <c r="Q873" s="1023">
        <f t="shared" si="81"/>
        <v>0</v>
      </c>
      <c r="R873" s="1714" t="s">
        <v>68</v>
      </c>
      <c r="S873" s="6">
        <f>OBRA!S871</f>
        <v>0</v>
      </c>
      <c r="T873" s="1134">
        <f>OBRA!V871</f>
        <v>0</v>
      </c>
      <c r="U873" s="5">
        <f>OBRA!T871</f>
        <v>0</v>
      </c>
      <c r="V873" s="11">
        <f>OBRA!U871</f>
        <v>0</v>
      </c>
      <c r="W873" s="1015"/>
      <c r="X873" s="1019">
        <f>OBRA!AS871+OBRA!AT871</f>
        <v>0</v>
      </c>
      <c r="Y873" s="1017"/>
      <c r="Z873" s="146">
        <f>OBRA!W871</f>
        <v>0</v>
      </c>
      <c r="AA873" s="146"/>
      <c r="AB873" s="148">
        <f t="shared" si="80"/>
        <v>0</v>
      </c>
      <c r="AC873" s="163"/>
      <c r="AD873" s="1169"/>
      <c r="AE873" s="551">
        <f>OBRA!X871</f>
        <v>0</v>
      </c>
      <c r="AF873" s="161"/>
      <c r="AG873" s="510"/>
      <c r="AH873" s="634" t="e">
        <f t="shared" si="82"/>
        <v>#DIV/0!</v>
      </c>
      <c r="AI873" s="510"/>
      <c r="AJ873" s="506"/>
      <c r="AK873" s="506"/>
      <c r="AL873" s="635"/>
      <c r="AM873" s="1517"/>
      <c r="AN873" s="573"/>
      <c r="AO873" s="573"/>
      <c r="AP873" s="573"/>
      <c r="AQ873" s="506"/>
      <c r="AR873" s="506"/>
      <c r="AS873" s="511"/>
    </row>
    <row r="874" spans="1:45" ht="15" hidden="1" customHeight="1">
      <c r="A874" s="16">
        <f>OBRA!J872</f>
        <v>0</v>
      </c>
      <c r="B874" s="783" t="s">
        <v>3944</v>
      </c>
      <c r="C874" s="783">
        <f>OBRA!K872</f>
        <v>0</v>
      </c>
      <c r="D874" s="24" t="s">
        <v>2310</v>
      </c>
      <c r="E874" s="2">
        <f>OBRA!M872</f>
        <v>0</v>
      </c>
      <c r="F874" s="511"/>
      <c r="G874" s="1670"/>
      <c r="H874" s="12">
        <f>OBRA!N872</f>
        <v>0</v>
      </c>
      <c r="I874" s="2">
        <f>OBRA!O872</f>
        <v>0</v>
      </c>
      <c r="J874" s="3">
        <f>OBRA!P872</f>
        <v>0</v>
      </c>
      <c r="K874" s="541"/>
      <c r="L874" s="541"/>
      <c r="M874" s="541"/>
      <c r="N874" s="3">
        <f>OBRA!Q872</f>
        <v>0</v>
      </c>
      <c r="O874" s="529"/>
      <c r="P874" s="4">
        <f>OBRA!R872</f>
        <v>0</v>
      </c>
      <c r="Q874" s="1023">
        <f t="shared" si="81"/>
        <v>0</v>
      </c>
      <c r="R874" s="1714" t="s">
        <v>68</v>
      </c>
      <c r="S874" s="6">
        <f>OBRA!S872</f>
        <v>0</v>
      </c>
      <c r="T874" s="1134">
        <f>OBRA!V872</f>
        <v>0</v>
      </c>
      <c r="U874" s="5">
        <f>OBRA!T872</f>
        <v>0</v>
      </c>
      <c r="V874" s="11">
        <f>OBRA!U872</f>
        <v>0</v>
      </c>
      <c r="W874" s="1015"/>
      <c r="X874" s="1019">
        <f>OBRA!AS872+OBRA!AT872</f>
        <v>0</v>
      </c>
      <c r="Y874" s="1017"/>
      <c r="Z874" s="146">
        <f>OBRA!W872</f>
        <v>0</v>
      </c>
      <c r="AA874" s="146"/>
      <c r="AB874" s="148">
        <f t="shared" si="80"/>
        <v>0</v>
      </c>
      <c r="AC874" s="163"/>
      <c r="AD874" s="1169"/>
      <c r="AE874" s="551">
        <f>OBRA!X872</f>
        <v>0</v>
      </c>
      <c r="AF874" s="161"/>
      <c r="AG874" s="510"/>
      <c r="AH874" s="634" t="e">
        <f t="shared" si="82"/>
        <v>#DIV/0!</v>
      </c>
      <c r="AI874" s="510"/>
      <c r="AJ874" s="506"/>
      <c r="AK874" s="506"/>
      <c r="AL874" s="635"/>
      <c r="AM874" s="1517"/>
      <c r="AN874" s="573"/>
      <c r="AO874" s="573"/>
      <c r="AP874" s="573"/>
      <c r="AQ874" s="506"/>
      <c r="AR874" s="506"/>
      <c r="AS874" s="511"/>
    </row>
    <row r="875" spans="1:45" ht="26.25" hidden="1" customHeight="1">
      <c r="A875" s="16">
        <f>OBRA!J873</f>
        <v>0</v>
      </c>
      <c r="B875" s="783" t="s">
        <v>3944</v>
      </c>
      <c r="C875" s="783">
        <f>OBRA!K873</f>
        <v>0</v>
      </c>
      <c r="D875" s="24" t="s">
        <v>2310</v>
      </c>
      <c r="E875" s="2">
        <f>OBRA!M873</f>
        <v>0</v>
      </c>
      <c r="F875" s="511"/>
      <c r="G875" s="1670"/>
      <c r="H875" s="12">
        <f>OBRA!N873</f>
        <v>0</v>
      </c>
      <c r="I875" s="2">
        <f>OBRA!O873</f>
        <v>0</v>
      </c>
      <c r="J875" s="3">
        <f>OBRA!P873</f>
        <v>0</v>
      </c>
      <c r="K875" s="541"/>
      <c r="L875" s="541"/>
      <c r="M875" s="541"/>
      <c r="N875" s="3">
        <f>OBRA!Q873</f>
        <v>0</v>
      </c>
      <c r="O875" s="529"/>
      <c r="P875" s="4">
        <f>OBRA!R873</f>
        <v>0</v>
      </c>
      <c r="Q875" s="1023">
        <f t="shared" si="81"/>
        <v>0</v>
      </c>
      <c r="R875" s="1714" t="s">
        <v>68</v>
      </c>
      <c r="S875" s="6">
        <f>OBRA!S873</f>
        <v>0</v>
      </c>
      <c r="T875" s="1134">
        <f>OBRA!V873</f>
        <v>0</v>
      </c>
      <c r="U875" s="5">
        <f>OBRA!T873</f>
        <v>0</v>
      </c>
      <c r="V875" s="11">
        <f>OBRA!U873</f>
        <v>0</v>
      </c>
      <c r="W875" s="1015"/>
      <c r="X875" s="1019">
        <f>OBRA!AS873+OBRA!AT873</f>
        <v>0</v>
      </c>
      <c r="Y875" s="1017"/>
      <c r="Z875" s="146">
        <f>OBRA!W873</f>
        <v>0</v>
      </c>
      <c r="AA875" s="146"/>
      <c r="AB875" s="148">
        <f t="shared" si="80"/>
        <v>0</v>
      </c>
      <c r="AC875" s="163"/>
      <c r="AD875" s="1169"/>
      <c r="AE875" s="551">
        <f>OBRA!X873</f>
        <v>0</v>
      </c>
      <c r="AF875" s="161"/>
      <c r="AG875" s="510"/>
      <c r="AH875" s="634" t="e">
        <f t="shared" si="82"/>
        <v>#DIV/0!</v>
      </c>
      <c r="AI875" s="510"/>
      <c r="AJ875" s="506"/>
      <c r="AK875" s="506"/>
      <c r="AL875" s="635"/>
      <c r="AM875" s="1517"/>
      <c r="AN875" s="573"/>
      <c r="AO875" s="573"/>
      <c r="AP875" s="573"/>
      <c r="AQ875" s="506"/>
      <c r="AR875" s="506"/>
      <c r="AS875" s="511"/>
    </row>
    <row r="876" spans="1:45">
      <c r="A876" s="24"/>
      <c r="B876" s="24"/>
      <c r="C876" s="24"/>
      <c r="D876" s="24"/>
      <c r="E876" s="23"/>
      <c r="F876" s="23"/>
      <c r="G876" s="23"/>
      <c r="H876" s="25"/>
      <c r="I876" s="25"/>
      <c r="J876" s="26"/>
      <c r="K876" s="26"/>
      <c r="L876" s="26"/>
      <c r="M876" s="26"/>
      <c r="N876" s="26"/>
      <c r="P876" s="27"/>
      <c r="Q876" s="27"/>
      <c r="R876" s="1686"/>
      <c r="S876" s="28"/>
      <c r="T876" s="28"/>
      <c r="U876" s="29"/>
      <c r="V876" s="29"/>
      <c r="W876" s="1890"/>
      <c r="X876" s="29"/>
      <c r="Y876" s="1358"/>
      <c r="Z876" s="29"/>
      <c r="AA876" s="29"/>
      <c r="AB876" s="29"/>
      <c r="AC876" s="29"/>
      <c r="AD876" s="29"/>
      <c r="AE876" s="23"/>
      <c r="AF876" s="23"/>
      <c r="AG876" s="25"/>
      <c r="AH876" s="25"/>
      <c r="AI876" s="25"/>
      <c r="AJ876" s="25"/>
      <c r="AK876" s="25"/>
      <c r="AL876" s="25"/>
      <c r="AM876" s="25"/>
      <c r="AN876" s="25"/>
      <c r="AO876" s="25"/>
      <c r="AP876" s="25"/>
      <c r="AQ876" s="25"/>
      <c r="AR876" s="25"/>
      <c r="AS876" s="25"/>
    </row>
    <row r="877" spans="1:45" ht="30" customHeight="1">
      <c r="E877" s="807" t="s">
        <v>2965</v>
      </c>
      <c r="H877" s="1784"/>
      <c r="I877"/>
      <c r="M877"/>
      <c r="N877"/>
      <c r="O877" s="26"/>
      <c r="P877" s="533"/>
      <c r="W877" s="533"/>
      <c r="X877" s="533">
        <f>X408+X409+P524+X583+X648+P755</f>
        <v>6304068.8499999996</v>
      </c>
      <c r="Z877"/>
      <c r="AA877"/>
      <c r="AC877"/>
      <c r="AD877"/>
      <c r="AF877" s="1791">
        <f>AF491+AF499+AF500</f>
        <v>1872.4</v>
      </c>
    </row>
    <row r="878" spans="1:45">
      <c r="E878" t="s">
        <v>2966</v>
      </c>
      <c r="H878" s="1784"/>
      <c r="I878"/>
      <c r="M878"/>
      <c r="N878"/>
      <c r="O878" s="26"/>
      <c r="Z878"/>
      <c r="AA878"/>
      <c r="AC878"/>
      <c r="AD878"/>
    </row>
    <row r="879" spans="1:45">
      <c r="H879" s="1784"/>
      <c r="I879"/>
      <c r="M879"/>
      <c r="N879"/>
      <c r="O879" s="26"/>
      <c r="P879" s="505"/>
      <c r="Z879"/>
      <c r="AA879"/>
      <c r="AC879"/>
      <c r="AD879"/>
    </row>
    <row r="880" spans="1:45" ht="18.75">
      <c r="A880" s="159"/>
      <c r="B880" s="159"/>
      <c r="C880" s="159"/>
      <c r="D880" s="159"/>
      <c r="I880"/>
      <c r="M880"/>
      <c r="N880"/>
      <c r="P880" s="505"/>
      <c r="X880" s="533"/>
      <c r="Z880"/>
      <c r="AA880"/>
      <c r="AC880"/>
      <c r="AD880"/>
      <c r="AG880" s="25"/>
    </row>
    <row r="881" spans="5:33" s="999" customFormat="1" ht="26.25">
      <c r="E881" s="1000" t="s">
        <v>2182</v>
      </c>
      <c r="F881" s="1000"/>
      <c r="G881" s="1000"/>
      <c r="H881" s="1783"/>
      <c r="V881" s="999">
        <f>97+105</f>
        <v>202</v>
      </c>
      <c r="X881" s="1793">
        <f>X363</f>
        <v>630687.37</v>
      </c>
      <c r="Y881" s="1783"/>
      <c r="AD881" s="1794" t="e">
        <f>#REF!</f>
        <v>#REF!</v>
      </c>
    </row>
    <row r="882" spans="5:33" s="999" customFormat="1" ht="26.25">
      <c r="E882" s="1002">
        <f>OBRA!P878</f>
        <v>45631</v>
      </c>
      <c r="F882" s="1001"/>
      <c r="G882" s="1001"/>
      <c r="H882" s="1785"/>
      <c r="I882" s="1001"/>
      <c r="Y882" s="1783"/>
      <c r="AD882" s="1794" t="e">
        <f>AD881*AE882/AG882</f>
        <v>#REF!</v>
      </c>
      <c r="AE882" s="999">
        <v>591</v>
      </c>
      <c r="AF882" s="999">
        <v>17</v>
      </c>
      <c r="AG882" s="999">
        <f>AE882+AF882</f>
        <v>608</v>
      </c>
    </row>
    <row r="883" spans="5:33">
      <c r="I883"/>
      <c r="M883"/>
      <c r="N883"/>
      <c r="Z883"/>
      <c r="AA883"/>
      <c r="AC883"/>
      <c r="AD883"/>
    </row>
    <row r="884" spans="5:33">
      <c r="I884"/>
      <c r="M884"/>
      <c r="N884"/>
      <c r="Z884"/>
      <c r="AA884"/>
      <c r="AC884"/>
      <c r="AD884"/>
    </row>
  </sheetData>
  <autoFilter ref="A7:AS875" xr:uid="{00000000-0009-0000-0000-000001000000}">
    <filterColumn colId="0">
      <filters>
        <filter val="2021"/>
        <filter val="2022"/>
        <filter val="2023"/>
        <filter val="2024"/>
      </filters>
    </filterColumn>
    <filterColumn colId="8">
      <filters>
        <filter val="ADJUDICACIÓN DIRECTA"/>
        <filter val="ADMINISTRACIÓN DIRECTA"/>
        <filter val="ARRENDAMIENTO"/>
        <filter val="CONCURSO SIMPLIFICADO SUMARIO"/>
        <filter val="CONCURSO SIMPLIFICADO SUMARIO CON RECURSOS CONCURRIDOS"/>
        <filter val="CONVENIO"/>
        <filter val="MANTENIMIENTOS"/>
        <filter val="SERVICIOS"/>
      </filters>
    </filterColumn>
    <sortState xmlns:xlrd2="http://schemas.microsoft.com/office/spreadsheetml/2017/richdata2" ref="A854:AS854">
      <sortCondition ref="M7:M875"/>
    </sortState>
  </autoFilter>
  <mergeCells count="15">
    <mergeCell ref="A1:AS1"/>
    <mergeCell ref="A2:AS2"/>
    <mergeCell ref="F3:J3"/>
    <mergeCell ref="G4:V4"/>
    <mergeCell ref="A4:F5"/>
    <mergeCell ref="S5:V5"/>
    <mergeCell ref="G5:N5"/>
    <mergeCell ref="P5:Q5"/>
    <mergeCell ref="W4:X5"/>
    <mergeCell ref="Y4:Y5"/>
    <mergeCell ref="Z4:AE5"/>
    <mergeCell ref="AL5:AM5"/>
    <mergeCell ref="AF4:AM4"/>
    <mergeCell ref="AI5:AJ5"/>
    <mergeCell ref="AN4:AS5"/>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O558" r:id="rId785" xr:uid="{2C5A7064-7D76-4066-A4FE-71B60C664BA4}"/>
    <hyperlink ref="O560" r:id="rId786" xr:uid="{CFFB95C5-7BE9-4006-A404-0444191AD976}"/>
    <hyperlink ref="O562" r:id="rId787" xr:uid="{31E5D065-808F-4177-A4A6-AB0A90DC8D8A}"/>
    <hyperlink ref="O564:O566" r:id="rId788" display="https://portaltransparencia.jocotepec.gob.mx/informacion/3331" xr:uid="{746171A2-A41E-4AD6-8A5B-980C382161F0}"/>
    <hyperlink ref="O531" r:id="rId789" xr:uid="{E267ABB4-93B4-46CD-B4CD-2261FC32E514}"/>
    <hyperlink ref="AN531" r:id="rId790" xr:uid="{AB34F7CD-CB19-4290-95BB-BF7224DD6904}"/>
    <hyperlink ref="O536" r:id="rId791" xr:uid="{74A09B3D-2033-4DE1-A4E3-9488413D6A75}"/>
    <hyperlink ref="AN536" r:id="rId792" xr:uid="{B9BECCFA-3F97-47C3-80F9-BEDC1E6A7F33}"/>
    <hyperlink ref="O542" r:id="rId793" xr:uid="{11901CE3-F832-4330-896A-D0B13168E3C6}"/>
    <hyperlink ref="AN542" r:id="rId794" xr:uid="{CC94B773-46D4-4B09-882D-7A406E24C003}"/>
    <hyperlink ref="O543:O547" r:id="rId795" display="https://portaltransparencia.jocotepec.gob.mx/informacion/2930" xr:uid="{5F005320-3409-47F6-9CD0-F22D3766C140}"/>
    <hyperlink ref="AO542" r:id="rId796" xr:uid="{356B849A-B752-4F6E-9F7B-4F78AA126C0D}"/>
    <hyperlink ref="AP542" r:id="rId797" xr:uid="{786AD2FB-64BF-4AD1-8CAD-6351C8F3A42A}"/>
    <hyperlink ref="AQ542" r:id="rId798" xr:uid="{5A4E3793-AF32-46C1-A7BD-8986528BDABB}"/>
    <hyperlink ref="AR542" r:id="rId799" xr:uid="{1B1A1320-B55C-4853-A5A9-5BF9CE2CF771}"/>
    <hyperlink ref="AN543" r:id="rId800" xr:uid="{D935731A-DBBF-40FC-9102-F2F5E2FE669B}"/>
    <hyperlink ref="AN544" r:id="rId801" xr:uid="{6BDB94EC-2D19-46E2-AA7C-698017F8B034}"/>
    <hyperlink ref="AN545" r:id="rId802" xr:uid="{8E27D634-5372-4820-B586-E369E9ACA52F}"/>
    <hyperlink ref="AN546" r:id="rId803" xr:uid="{B093DE87-3F3A-4B9A-A311-8D2EEAAFBAC1}"/>
    <hyperlink ref="AN547" r:id="rId804" xr:uid="{22FCDB6B-906A-428B-AD5C-5033140B258D}"/>
    <hyperlink ref="AO543" r:id="rId805" xr:uid="{4CBCBD1F-279A-4004-B888-DE3F1599F8E1}"/>
    <hyperlink ref="AO544" r:id="rId806" xr:uid="{3273BCB9-D1AD-4651-8260-9FF2880DB1BB}"/>
    <hyperlink ref="AO545" r:id="rId807" xr:uid="{773F13B4-D937-46EE-A282-35DA7EC9C3FC}"/>
    <hyperlink ref="AO546" r:id="rId808" xr:uid="{C1289AAB-5CE0-4500-B564-0BBF86E8B591}"/>
    <hyperlink ref="AO547" r:id="rId809" xr:uid="{CD839605-6979-4ACE-BBA0-22118318345B}"/>
    <hyperlink ref="AP543" r:id="rId810" xr:uid="{F1D81432-BB83-4662-88B4-7605B4DAEA0B}"/>
    <hyperlink ref="AP544" r:id="rId811" xr:uid="{10EAAA5E-AD2B-499C-AF19-0EF5DC203A4E}"/>
    <hyperlink ref="AP545" r:id="rId812" xr:uid="{A73FEF6E-3BD9-407C-9DBE-FD04F3A3C60D}"/>
    <hyperlink ref="AP546" r:id="rId813" xr:uid="{742CEE88-7316-4A38-BF3D-7B1F2A66F71C}"/>
    <hyperlink ref="AP547" r:id="rId814" xr:uid="{BD6D2FFB-DF8B-4341-95F2-1D8566151B56}"/>
    <hyperlink ref="AQ543" r:id="rId815" xr:uid="{92E91803-445B-4C1F-B0F6-75FC80C2C1D7}"/>
    <hyperlink ref="AQ544" r:id="rId816" xr:uid="{55571856-5010-43EA-8A02-D76BCC213784}"/>
    <hyperlink ref="AQ545" r:id="rId817" xr:uid="{0B769EB9-1977-465E-8B4B-94C96E46C367}"/>
    <hyperlink ref="AQ546" r:id="rId818" xr:uid="{6B86B097-F5BA-4BE0-AE9F-0C060EFBC12A}"/>
    <hyperlink ref="AQ547" r:id="rId819" xr:uid="{7076D230-C816-45A8-8392-2A7297A9A676}"/>
    <hyperlink ref="AR543" r:id="rId820" xr:uid="{028C6EF9-1FF5-4939-AB51-9D1D2EA6193C}"/>
    <hyperlink ref="AR544" r:id="rId821" xr:uid="{FCB7B162-46ED-4975-9585-CEC779D47E45}"/>
    <hyperlink ref="AR545" r:id="rId822" xr:uid="{9BAC2C41-187C-4113-AA7B-2F3A7DFD3B1D}"/>
    <hyperlink ref="AR546" r:id="rId823" xr:uid="{3EA7DEE9-6CF8-45A2-9537-52B69075A818}"/>
    <hyperlink ref="AR547" r:id="rId824" xr:uid="{34AB66C5-3DAF-4907-B33E-B6472F51369C}"/>
    <hyperlink ref="AS542" r:id="rId825" xr:uid="{6E082DC4-D650-448F-9532-2CE4DF5FD35C}"/>
    <hyperlink ref="AS543:AS547" r:id="rId826" display="https://portaltransparencia.jocotepec.gob.mx/informacion/2930" xr:uid="{FC2D91C9-71B3-4379-A4C2-DF40E927B64E}"/>
    <hyperlink ref="AN549" r:id="rId827" xr:uid="{E836398D-22C9-42C7-8E58-72993BDD8169}"/>
    <hyperlink ref="AN550" r:id="rId828" xr:uid="{2984048E-E6D3-431B-8807-EB5F881884B1}"/>
    <hyperlink ref="AN552" r:id="rId829" xr:uid="{790C6B58-5CCF-4465-80BA-44D169FA1194}"/>
    <hyperlink ref="AN557" r:id="rId830" xr:uid="{C5C6914F-EB4F-4704-BC68-3008697CADDC}"/>
    <hyperlink ref="AN553" r:id="rId831" xr:uid="{B2F7B2DC-5B02-4C92-AE28-CD2EF5082B69}"/>
    <hyperlink ref="AN554:AN556" r:id="rId832" display="https://portaltransparencia.jocotepec.gob.mx/informacion/3330" xr:uid="{C65363A7-A351-4968-9602-F0BB5FC36DF9}"/>
    <hyperlink ref="AN558" r:id="rId833" xr:uid="{612C3592-44C7-4CF1-8AE2-79AE91490659}"/>
    <hyperlink ref="AN560" r:id="rId834" xr:uid="{E3E24854-4608-4627-8321-40795BC1A6C4}"/>
    <hyperlink ref="AN562" r:id="rId835" xr:uid="{7C936B33-0E22-47A7-97AB-B5DB013EEBCA}"/>
    <hyperlink ref="AN564:AN566" r:id="rId836" display="https://portaltransparencia.jocotepec.gob.mx/informacion/3331" xr:uid="{F5C58236-5598-4FF4-A71B-E198F29A3839}"/>
    <hyperlink ref="O587" r:id="rId837" xr:uid="{17ACC599-34C9-42C7-A186-B7DF7864911B}"/>
    <hyperlink ref="O588:O590" r:id="rId838" display="https://portaltransparencia.jocotepec.gob.mx/informacion/3331" xr:uid="{FAA21E30-CFD9-4685-9B6D-7C8BECC068D4}"/>
    <hyperlink ref="AN587" r:id="rId839" xr:uid="{0CB96B0F-B93C-4A2B-834E-D2B4543CF971}"/>
    <hyperlink ref="AN588:AN590" r:id="rId840" display="https://portaltransparencia.jocotepec.gob.mx/informacion/3331" xr:uid="{F4D6960B-4D01-416E-BDA3-719B1803E901}"/>
    <hyperlink ref="AN592" r:id="rId841" xr:uid="{11A4B60B-DEC3-4216-819F-9C70113D037A}"/>
  </hyperlinks>
  <pageMargins left="0.47244094488188981" right="0.23622047244094491" top="0.35433070866141736" bottom="0.35433070866141736" header="0.70866141732283472" footer="0.74803149606299213"/>
  <pageSetup paperSize="5" scale="50" orientation="landscape" r:id="rId842"/>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03" hidden="1" customWidth="1"/>
    <col min="5" max="5" width="14.28515625" customWidth="1"/>
    <col min="6" max="6" width="14" style="1176"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35" customWidth="1"/>
  </cols>
  <sheetData>
    <row r="5" spans="1:17">
      <c r="A5" s="1597"/>
      <c r="B5" s="1604"/>
      <c r="C5" s="1597" t="s">
        <v>1409</v>
      </c>
      <c r="D5" s="1597" t="s">
        <v>19</v>
      </c>
      <c r="E5" s="1597" t="s">
        <v>1420</v>
      </c>
      <c r="F5" s="1631" t="s">
        <v>4743</v>
      </c>
      <c r="G5" s="1597" t="s">
        <v>2206</v>
      </c>
      <c r="H5" s="1597" t="s">
        <v>4740</v>
      </c>
      <c r="I5" s="1597" t="s">
        <v>3385</v>
      </c>
      <c r="J5" s="1597" t="s">
        <v>3386</v>
      </c>
      <c r="K5" s="2025" t="s">
        <v>4741</v>
      </c>
      <c r="L5" s="2025"/>
      <c r="M5" s="1601" t="s">
        <v>4744</v>
      </c>
      <c r="N5" s="1597" t="s">
        <v>2455</v>
      </c>
      <c r="O5" s="1597" t="s">
        <v>1418</v>
      </c>
      <c r="P5" s="1597" t="s">
        <v>4742</v>
      </c>
      <c r="Q5" s="1636" t="s">
        <v>2965</v>
      </c>
    </row>
    <row r="6" spans="1:17" ht="18.75" customHeight="1">
      <c r="A6" s="946"/>
      <c r="B6" s="1605"/>
      <c r="C6" s="946"/>
      <c r="D6" s="946"/>
      <c r="E6" s="946"/>
      <c r="F6" s="1632"/>
      <c r="G6" s="946"/>
      <c r="H6" s="946"/>
      <c r="I6" s="946"/>
      <c r="J6" s="946"/>
      <c r="K6" s="946"/>
      <c r="L6" s="946"/>
      <c r="M6" s="946"/>
      <c r="N6" s="946"/>
      <c r="O6" s="946"/>
      <c r="P6" s="946"/>
      <c r="Q6" s="1637"/>
    </row>
    <row r="7" spans="1:17" ht="60.75" customHeight="1">
      <c r="A7" s="1"/>
      <c r="B7" s="1600"/>
      <c r="C7" s="1" t="str">
        <f>OBRA!CB346</f>
        <v>2018-2021</v>
      </c>
      <c r="D7" s="1">
        <f>OBRA!J346</f>
        <v>2018</v>
      </c>
      <c r="E7" s="1598" t="str">
        <f>OBRA!O346</f>
        <v>ADMINISTRACIÓN DIRECTA</v>
      </c>
      <c r="F7" s="1281" t="str">
        <f>OBRA!N346</f>
        <v>DOP/AD/001/2018</v>
      </c>
      <c r="G7" s="3" t="str">
        <f>OBRA!P346</f>
        <v>"CONSTRUCCIÓN DE LÍNEA DE AGUA POTABLE EN CALLE EL DOMINGUILLO (RED DE ABASTECIMIENTO)", EN LA LOCALIDAD DE SAN JUAN COSALA, DEL MUNICIPIO DE JOCOTEPEC, JALISCO</v>
      </c>
      <c r="H7" s="1598" t="s">
        <v>4745</v>
      </c>
      <c r="I7" s="3" t="str">
        <f>OBRA!Q346</f>
        <v>SAN JUAN COSALÁ</v>
      </c>
      <c r="J7" s="3" t="s">
        <v>4762</v>
      </c>
      <c r="K7" s="683"/>
      <c r="L7" s="683"/>
      <c r="M7" s="1602">
        <f>OBRA!AS346+OBRA!AT346</f>
        <v>256948.51</v>
      </c>
      <c r="N7" s="242">
        <f>GRAL!AF348</f>
        <v>222</v>
      </c>
      <c r="O7" s="242" t="str">
        <f>GRAL!AG348</f>
        <v>ML</v>
      </c>
      <c r="P7" s="1"/>
      <c r="Q7" s="1"/>
    </row>
    <row r="8" spans="1:17" ht="63" customHeight="1">
      <c r="A8" s="1"/>
      <c r="B8" s="1600"/>
      <c r="C8" s="1" t="str">
        <f>OBRA!CB347</f>
        <v>2018-2021</v>
      </c>
      <c r="D8" s="1">
        <f>OBRA!J347</f>
        <v>2018</v>
      </c>
      <c r="E8" s="1598" t="str">
        <f>OBRA!O347</f>
        <v>ADMINISTRACIÓN DIRECTA</v>
      </c>
      <c r="F8" s="1281" t="str">
        <f>OBRA!N347</f>
        <v>DOP/AD/002/2018</v>
      </c>
      <c r="G8" s="3" t="str">
        <f>OBRA!P347</f>
        <v>"CONSTRUCCIÓN DE LÍNEA DE AGUA POTABLE EN CALLE EL DOMINGUILLO (RED DE DISTRIBUCCIÓN)", EN LA LOCALIDAD DE SAN JUAN COSALA, DEL MUNICIPIO DE JOCOTEPEC, JALISCO</v>
      </c>
      <c r="H8" s="1598" t="s">
        <v>4745</v>
      </c>
      <c r="I8" s="3" t="str">
        <f>OBRA!Q347</f>
        <v>SAN JUAN COSALÁ</v>
      </c>
      <c r="J8" s="3" t="s">
        <v>4762</v>
      </c>
      <c r="K8" s="683"/>
      <c r="L8" s="683"/>
      <c r="M8" s="1602">
        <f>OBRA!AS347+OBRA!AT347</f>
        <v>342261.25</v>
      </c>
      <c r="N8" s="242">
        <f>GRAL!AF349</f>
        <v>229</v>
      </c>
      <c r="O8" s="242" t="str">
        <f>GRAL!AG349</f>
        <v>ML</v>
      </c>
      <c r="P8" s="1"/>
      <c r="Q8" s="1"/>
    </row>
    <row r="9" spans="1:17" ht="60">
      <c r="A9" s="1"/>
      <c r="B9" s="1600"/>
      <c r="C9" s="1" t="str">
        <f>OBRA!CB348</f>
        <v>2018-2021</v>
      </c>
      <c r="D9" s="1">
        <f>OBRA!J348</f>
        <v>2018</v>
      </c>
      <c r="E9" s="1598" t="str">
        <f>OBRA!O348</f>
        <v>ADMINISTRACIÓN DIRECTA</v>
      </c>
      <c r="F9" s="1281" t="str">
        <f>OBRA!N348</f>
        <v>DOP/AD/003/2018</v>
      </c>
      <c r="G9" s="3" t="str">
        <f>OBRA!P348</f>
        <v>"REHABILITACIÓN DE RED DE DRENAJE EN CALLE PLAYAS DE LA LAGUNA CON REPOSICIÓN DE EMPEDRADO", EN LA AGENCIA MUNICIPAL DE CHANTEPEC, DEL MUNICIPIO DE JOCOTEPEC, JALISCO</v>
      </c>
      <c r="H9" s="1598" t="s">
        <v>4747</v>
      </c>
      <c r="I9" s="3" t="str">
        <f>OBRA!Q348</f>
        <v>CHANTEPEC</v>
      </c>
      <c r="J9" s="3" t="s">
        <v>2633</v>
      </c>
      <c r="K9" s="3" t="s">
        <v>4766</v>
      </c>
      <c r="L9" s="3" t="s">
        <v>4897</v>
      </c>
      <c r="M9" s="1602">
        <f>OBRA!AS348+OBRA!AT348</f>
        <v>305644.31</v>
      </c>
      <c r="N9" s="242">
        <f>GRAL!AF350</f>
        <v>70</v>
      </c>
      <c r="O9" s="242" t="str">
        <f>GRAL!AG350</f>
        <v>ML</v>
      </c>
      <c r="P9" s="1"/>
      <c r="Q9" s="1"/>
    </row>
    <row r="10" spans="1:17" ht="60">
      <c r="A10" s="1"/>
      <c r="B10" s="1600"/>
      <c r="C10" s="1" t="str">
        <f>OBRA!CB349</f>
        <v>2018-2021</v>
      </c>
      <c r="D10" s="1">
        <f>OBRA!J349</f>
        <v>2018</v>
      </c>
      <c r="E10" s="1598" t="str">
        <f>OBRA!O349</f>
        <v>ADMINISTRACIÓN DIRECTA</v>
      </c>
      <c r="F10" s="1281" t="str">
        <f>OBRA!N349</f>
        <v>DOP/AD/004/2018</v>
      </c>
      <c r="G10" s="3" t="str">
        <f>OBRA!P349</f>
        <v>"REHABILITACIÓN DE LÍNEA DE AGUA POTABLE EN CALLE PLAYAS DE LA LAGUNA CON REPOSICIÓN DE SUPERFICIE DE RODAMIENTO", EN LA AGENCIA MUNICIPAL DE CHANTEPEC, DEL MUNICIPIO DE JOCOTEPEC, JALISCO</v>
      </c>
      <c r="H10" s="1598" t="s">
        <v>4745</v>
      </c>
      <c r="I10" s="3" t="str">
        <f>OBRA!Q349</f>
        <v>CHANTEPEC</v>
      </c>
      <c r="J10" s="3" t="s">
        <v>2633</v>
      </c>
      <c r="K10" s="3" t="s">
        <v>4766</v>
      </c>
      <c r="L10" s="3" t="s">
        <v>4897</v>
      </c>
      <c r="M10" s="1602">
        <f>OBRA!AS349+OBRA!AT349</f>
        <v>217283.1</v>
      </c>
      <c r="N10" s="242">
        <f>GRAL!AF351</f>
        <v>70</v>
      </c>
      <c r="O10" s="242" t="str">
        <f>GRAL!AG351</f>
        <v>ML</v>
      </c>
      <c r="P10" s="1"/>
      <c r="Q10" s="1"/>
    </row>
    <row r="11" spans="1:17" ht="30" hidden="1">
      <c r="A11" s="1"/>
      <c r="B11" s="1"/>
      <c r="C11" s="1" t="str">
        <f>OBRA!CB350</f>
        <v>2018-2021</v>
      </c>
      <c r="D11" s="1">
        <f>OBRA!J350</f>
        <v>2019</v>
      </c>
      <c r="E11" s="1598" t="str">
        <f>OBRA!O350</f>
        <v>CONVENIO</v>
      </c>
      <c r="F11" s="1598" t="str">
        <f>OBRA!N350</f>
        <v>CEA-PERF-003/2019</v>
      </c>
      <c r="G11" s="3" t="str">
        <f>OBRA!P350</f>
        <v>PERFORACIÓN DE POZO PROFUNDO PARA AGUA POTABLE EN LA LOCALIDAD DE EL MOLINO, MUNICIPIO DE JOCOTEPEC, JALISCO".</v>
      </c>
      <c r="H11" s="1"/>
      <c r="I11" s="3" t="str">
        <f>OBRA!Q350</f>
        <v>EL MOLINO</v>
      </c>
      <c r="J11" s="3"/>
      <c r="K11" s="3"/>
      <c r="L11" s="3"/>
      <c r="M11" s="1602">
        <f>OBRA!AS350+OBRA!AT350</f>
        <v>0</v>
      </c>
      <c r="N11" s="1" t="str">
        <f>GRAL!AF352</f>
        <v>-</v>
      </c>
      <c r="O11" s="1" t="str">
        <f>GRAL!AG352</f>
        <v>-</v>
      </c>
      <c r="P11" s="1"/>
      <c r="Q11" s="1"/>
    </row>
    <row r="12" spans="1:17" ht="33.75" hidden="1">
      <c r="A12" s="1"/>
      <c r="B12" s="1"/>
      <c r="C12" s="1" t="str">
        <f>OBRA!CB351</f>
        <v>2018-2021</v>
      </c>
      <c r="D12" s="1">
        <f>OBRA!J351</f>
        <v>2019</v>
      </c>
      <c r="E12" s="1598" t="str">
        <f>OBRA!O351</f>
        <v>CONVENIO</v>
      </c>
      <c r="F12" s="1598" t="str">
        <f>OBRA!N351</f>
        <v>CONVENIO JOCOTEPEC PID 2019</v>
      </c>
      <c r="G12" s="3" t="str">
        <f>OBRA!P351</f>
        <v>ESTABLECIMIENTO DE DOS PUNTOS INOCUOS DE DESEMBARQUE (PID)"</v>
      </c>
      <c r="H12" s="1"/>
      <c r="I12" s="3">
        <f>OBRA!Q351</f>
        <v>0</v>
      </c>
      <c r="J12" s="3"/>
      <c r="K12" s="3"/>
      <c r="L12" s="3"/>
      <c r="M12" s="1602">
        <f>OBRA!AS351+OBRA!AT351</f>
        <v>0</v>
      </c>
      <c r="N12" s="1" t="str">
        <f>GRAL!AF353</f>
        <v>-</v>
      </c>
      <c r="O12" s="1" t="str">
        <f>GRAL!AG353</f>
        <v>-</v>
      </c>
      <c r="P12" s="1"/>
      <c r="Q12" s="1"/>
    </row>
    <row r="13" spans="1:17" ht="30" hidden="1">
      <c r="A13" s="1"/>
      <c r="B13" s="1"/>
      <c r="C13" s="1" t="str">
        <f>OBRA!CB352</f>
        <v>2018-2021</v>
      </c>
      <c r="D13" s="1">
        <f>OBRA!J352</f>
        <v>2019</v>
      </c>
      <c r="E13" s="1598" t="str">
        <f>OBRA!O352</f>
        <v>CONVENIO</v>
      </c>
      <c r="F13" s="1598" t="str">
        <f>OBRA!N352</f>
        <v>CONVENIO RASTRO DIGNO 2019</v>
      </c>
      <c r="G13" s="3" t="str">
        <f>OBRA!P352</f>
        <v>PROGRAMA DE MEJORAMIENTO DE INSTALACIONES DE SACRIFICIO DE GANADO "RASTRO DIGNO" EJERCICIO FISCAL 2019</v>
      </c>
      <c r="H13" s="1"/>
      <c r="I13" s="3" t="str">
        <f>OBRA!Q352</f>
        <v>CABECERA MUNICIPAL</v>
      </c>
      <c r="J13" s="3"/>
      <c r="K13" s="3"/>
      <c r="L13" s="3"/>
      <c r="M13" s="1602">
        <f>OBRA!AS352+OBRA!AT352</f>
        <v>0</v>
      </c>
      <c r="N13" s="1" t="str">
        <f>GRAL!AF354</f>
        <v>-</v>
      </c>
      <c r="O13" s="1" t="str">
        <f>GRAL!AG354</f>
        <v>-</v>
      </c>
      <c r="P13" s="1"/>
      <c r="Q13" s="1"/>
    </row>
    <row r="14" spans="1:17" ht="75">
      <c r="A14" s="1"/>
      <c r="B14" s="1600"/>
      <c r="C14" s="1" t="str">
        <f>OBRA!CB353</f>
        <v>2018-2021</v>
      </c>
      <c r="D14" s="1">
        <f>OBRA!J353</f>
        <v>2019</v>
      </c>
      <c r="E14" s="1598" t="str">
        <f>OBRA!O353</f>
        <v>ADMINISTRACIÓN DIRECTA</v>
      </c>
      <c r="F14" s="1281" t="str">
        <f>OBRA!N353</f>
        <v>DOP/AD/001/2019</v>
      </c>
      <c r="G14" s="3" t="str">
        <f>OBRA!P353</f>
        <v>DEMOLICIÓN DE UN BIEN INMUEBLE UBICADO EN LA CALLE PEDRO MORENO NORTE NÚMERO 183, CRUCE CON CALLE LIBERTAD Y AVENIDA DE LOS MAESTROS CONOCIDO COMO UBR "UNIDAD BÁSICA DE REHABILITACIÓN" EN LA CABECERA MUNICIPAL DE JOCOTEPEC, JALISCO.</v>
      </c>
      <c r="H14" s="1598" t="s">
        <v>2206</v>
      </c>
      <c r="I14" s="3" t="str">
        <f>OBRA!Q353</f>
        <v>CABECERA MUNICIPAL</v>
      </c>
      <c r="J14" s="3" t="s">
        <v>4763</v>
      </c>
      <c r="K14" s="3" t="s">
        <v>3146</v>
      </c>
      <c r="L14" s="3" t="s">
        <v>68</v>
      </c>
      <c r="M14" s="1602">
        <f>OBRA!AS353+OBRA!AT353</f>
        <v>249936.46</v>
      </c>
      <c r="N14" s="242">
        <f>GRAL!AF355</f>
        <v>534.25</v>
      </c>
      <c r="O14" s="242" t="str">
        <f>GRAL!AG355</f>
        <v>M2</v>
      </c>
      <c r="P14" s="2" t="s">
        <v>68</v>
      </c>
      <c r="Q14" s="2"/>
    </row>
    <row r="15" spans="1:17" ht="60" hidden="1">
      <c r="A15" s="1"/>
      <c r="B15" s="1"/>
      <c r="C15" s="1" t="str">
        <f>OBRA!CB354</f>
        <v>2018-2021</v>
      </c>
      <c r="D15" s="1">
        <f>OBRA!J354</f>
        <v>2019</v>
      </c>
      <c r="E15" s="1598" t="str">
        <f>OBRA!O354</f>
        <v>CANCELADA</v>
      </c>
      <c r="F15" s="1598" t="str">
        <f>OBRA!N354</f>
        <v>DOP/AD/002/2019</v>
      </c>
      <c r="G15" s="3" t="str">
        <f>OBRA!P354</f>
        <v>"CONSERVACIÓN Y MANTENIMIENTO DE HUELLAS DE ADOQUÍN EN CALLE MATAMOROS SUR DE C. DONATO GUERRA A HOSPITAL DE URGENCIAS" EN LA CABECERA MUNICIPAL DE JOCOTEPEPC, JALISCO"</v>
      </c>
      <c r="H15" s="1"/>
      <c r="I15" s="3">
        <f>OBRA!Q354</f>
        <v>0</v>
      </c>
      <c r="J15" s="3"/>
      <c r="K15" s="3"/>
      <c r="L15" s="3"/>
      <c r="M15" s="1602">
        <f>OBRA!AS354+OBRA!AT354</f>
        <v>0</v>
      </c>
      <c r="N15" s="1">
        <f>GRAL!AF356</f>
        <v>295.60000000000002</v>
      </c>
      <c r="O15" s="1" t="str">
        <f>GRAL!AG356</f>
        <v>M2</v>
      </c>
      <c r="P15" s="1"/>
      <c r="Q15" s="1"/>
    </row>
    <row r="16" spans="1:17" ht="45" hidden="1">
      <c r="A16" s="1"/>
      <c r="B16" s="1"/>
      <c r="C16" s="1" t="str">
        <f>OBRA!CB355</f>
        <v>2018-2021</v>
      </c>
      <c r="D16" s="1">
        <f>OBRA!J355</f>
        <v>2019</v>
      </c>
      <c r="E16" s="1598" t="str">
        <f>OBRA!O355</f>
        <v>CANCELADA</v>
      </c>
      <c r="F16" s="1598" t="str">
        <f>OBRA!N355</f>
        <v>DOP/AD/003/2019</v>
      </c>
      <c r="G16" s="3" t="str">
        <f>OBRA!P355</f>
        <v>CONSERVACIÓN Y MANTENIMIENTO INCLUYENTE DE BANQUETA Y ACCESO HOSPITAL DE URGENCIAS" EN LA CABECERA MUNICIPAL DE JOCOTEPEC, JALISCO</v>
      </c>
      <c r="H16" s="1"/>
      <c r="I16" s="3">
        <f>OBRA!Q355</f>
        <v>0</v>
      </c>
      <c r="J16" s="3"/>
      <c r="K16" s="3"/>
      <c r="L16" s="3"/>
      <c r="M16" s="1602">
        <f>OBRA!AS355+OBRA!AT355</f>
        <v>0</v>
      </c>
      <c r="N16" s="1">
        <f>GRAL!AF357</f>
        <v>1</v>
      </c>
      <c r="O16" s="1">
        <f>GRAL!AG357</f>
        <v>0</v>
      </c>
      <c r="P16" s="1"/>
      <c r="Q16" s="1"/>
    </row>
    <row r="17" spans="1:17" ht="45">
      <c r="A17" s="1"/>
      <c r="B17" s="1600"/>
      <c r="C17" s="1" t="str">
        <f>OBRA!CB356</f>
        <v>2018-2021</v>
      </c>
      <c r="D17" s="1">
        <f>OBRA!J356</f>
        <v>2019</v>
      </c>
      <c r="E17" s="1598" t="str">
        <f>OBRA!O356</f>
        <v>ADMINISTRACIÓN DIRECTA</v>
      </c>
      <c r="F17" s="1281" t="str">
        <f>OBRA!N356</f>
        <v>DOP/AD/004/2019</v>
      </c>
      <c r="G17" s="3" t="str">
        <f>OBRA!P356</f>
        <v>CONSTRUCCIÓN DE RAMPAS INCLUYENTES EN LA DELEGACIÓN, DE SAN JUAN COSALA" DE LA CABECERA MUNICIPAL DE JOCOTEPEC, JALISCO.</v>
      </c>
      <c r="H17" s="1598" t="s">
        <v>4748</v>
      </c>
      <c r="I17" s="3" t="str">
        <f>OBRA!Q356</f>
        <v>SAN JUAN COSALÁ</v>
      </c>
      <c r="J17" s="683" t="s">
        <v>4779</v>
      </c>
      <c r="K17" s="683" t="s">
        <v>2586</v>
      </c>
      <c r="L17" s="3" t="s">
        <v>68</v>
      </c>
      <c r="M17" s="1602">
        <f>OBRA!AS356+OBRA!AT356</f>
        <v>6559.65</v>
      </c>
      <c r="N17" s="242">
        <f>GRAL!AF358</f>
        <v>1</v>
      </c>
      <c r="O17" s="242" t="str">
        <f>GRAL!AG358</f>
        <v>LOTE</v>
      </c>
      <c r="P17" s="2" t="s">
        <v>68</v>
      </c>
      <c r="Q17" s="2"/>
    </row>
    <row r="18" spans="1:17" ht="67.5" customHeight="1">
      <c r="A18" s="1"/>
      <c r="B18" s="1600"/>
      <c r="C18" s="1" t="str">
        <f>OBRA!CB357</f>
        <v>2018-2021</v>
      </c>
      <c r="D18" s="1">
        <f>OBRA!J357</f>
        <v>2019</v>
      </c>
      <c r="E18" s="1598" t="str">
        <f>OBRA!O357</f>
        <v>ADMINISTRACIÓN DIRECTA</v>
      </c>
      <c r="F18" s="1281" t="str">
        <f>OBRA!N357</f>
        <v>DOP/AD/005/2019</v>
      </c>
      <c r="G18" s="3" t="str">
        <f>OBRA!P357</f>
        <v>CONSTRUCCIÓN DE ASTA DE BANDERA DE 10 MTS DE ALURA EN LA PLAZA PRINCIPAL" EN LA DELEGACIÓN DE SAN JUAN COSALA, DE LA CABECERA MUNICIPAL DE JOCOTEPEC, JALISCO.</v>
      </c>
      <c r="H18" s="1598" t="s">
        <v>4749</v>
      </c>
      <c r="I18" s="3" t="str">
        <f>OBRA!Q357</f>
        <v>SAN JUAN COSALÁ</v>
      </c>
      <c r="J18" s="3" t="s">
        <v>4746</v>
      </c>
      <c r="K18" s="3" t="s">
        <v>68</v>
      </c>
      <c r="L18" s="3" t="s">
        <v>68</v>
      </c>
      <c r="M18" s="1602">
        <f>OBRA!AS357+OBRA!AT357</f>
        <v>50740.69</v>
      </c>
      <c r="N18" s="242">
        <f>GRAL!AF359</f>
        <v>1</v>
      </c>
      <c r="O18" s="242" t="str">
        <f>GRAL!AG359</f>
        <v>LOTE</v>
      </c>
      <c r="P18" s="2" t="s">
        <v>68</v>
      </c>
      <c r="Q18" s="2"/>
    </row>
    <row r="19" spans="1:17" ht="60.75" customHeight="1">
      <c r="A19" s="1"/>
      <c r="B19" s="1600"/>
      <c r="C19" s="1" t="str">
        <f>OBRA!CB358</f>
        <v>2018-2021</v>
      </c>
      <c r="D19" s="1">
        <f>OBRA!J358</f>
        <v>2019</v>
      </c>
      <c r="E19" s="1598" t="str">
        <f>OBRA!O358</f>
        <v>ADMINISTRACIÓN DIRECTA</v>
      </c>
      <c r="F19" s="1281" t="str">
        <f>OBRA!N358</f>
        <v>DOP/AD/006/2019</v>
      </c>
      <c r="G19" s="3" t="str">
        <f>OBRA!P358</f>
        <v>"FABRICACIÓN DE APLANADO EN MURO PONIENTE DE LA PLAZA PRINCIPAL" EN LA DELEGACIÓN, DE SAN JUAN COSALA, DE LA CABECERA MUNICIPAL DE JOCOTEPEC, JALISCO</v>
      </c>
      <c r="H19" s="1598" t="s">
        <v>4749</v>
      </c>
      <c r="I19" s="3" t="str">
        <f>OBRA!Q358</f>
        <v>SAN JUAN COSALÁ</v>
      </c>
      <c r="J19" s="3" t="s">
        <v>4746</v>
      </c>
      <c r="K19" s="3" t="s">
        <v>68</v>
      </c>
      <c r="L19" s="3" t="s">
        <v>68</v>
      </c>
      <c r="M19" s="1602">
        <f>OBRA!AS358+OBRA!AT358</f>
        <v>6202.19</v>
      </c>
      <c r="N19" s="242">
        <f>GRAL!AF360</f>
        <v>43</v>
      </c>
      <c r="O19" s="242" t="str">
        <f>GRAL!AG360</f>
        <v>M2</v>
      </c>
      <c r="P19" s="2" t="s">
        <v>68</v>
      </c>
      <c r="Q19" s="2"/>
    </row>
    <row r="20" spans="1:17" ht="64.5" customHeight="1">
      <c r="A20" s="1"/>
      <c r="B20" s="1600"/>
      <c r="C20" s="1" t="str">
        <f>OBRA!CB359</f>
        <v>2018-2021</v>
      </c>
      <c r="D20" s="1">
        <f>OBRA!J359</f>
        <v>2019</v>
      </c>
      <c r="E20" s="1598" t="str">
        <f>OBRA!O359</f>
        <v>ADMINISTRACIÓN DIRECTA</v>
      </c>
      <c r="F20" s="1281" t="str">
        <f>OBRA!N359</f>
        <v>DOP/AD/007/2019</v>
      </c>
      <c r="G20" s="3" t="str">
        <f>OBRA!P359</f>
        <v>"MANTENIMIENTO Y CONSERVACIÓN CON MAQUINARIA PESADA DE CALLES Y CAMINOS EN LAS AGENCIAS, DELEGACIONES Y CABECERA DEL MUNICIPIO DE JOCOTEPEC, JALISCO"</v>
      </c>
      <c r="H20" s="1598" t="s">
        <v>4750</v>
      </c>
      <c r="I20" s="3" t="str">
        <f>OBRA!Q359</f>
        <v>MUNICIPIO</v>
      </c>
      <c r="J20" s="3" t="s">
        <v>4764</v>
      </c>
      <c r="K20" s="3" t="s">
        <v>68</v>
      </c>
      <c r="L20" s="3" t="s">
        <v>68</v>
      </c>
      <c r="M20" s="1602">
        <f>OBRA!AS359+OBRA!AT359</f>
        <v>185312.5</v>
      </c>
      <c r="N20" s="242">
        <f>GRAL!AF361</f>
        <v>1</v>
      </c>
      <c r="O20" s="242" t="str">
        <f>GRAL!AG361</f>
        <v>LOTE</v>
      </c>
      <c r="P20" s="2" t="s">
        <v>68</v>
      </c>
      <c r="Q20" s="2"/>
    </row>
    <row r="21" spans="1:17" ht="63" customHeight="1">
      <c r="A21" s="1"/>
      <c r="B21" s="1600"/>
      <c r="C21" s="1" t="str">
        <f>OBRA!CB360</f>
        <v>2018-2021</v>
      </c>
      <c r="D21" s="1">
        <f>OBRA!J360</f>
        <v>2019</v>
      </c>
      <c r="E21" s="1598" t="str">
        <f>OBRA!O360</f>
        <v>ADMINISTRACIÓN DIRECTA</v>
      </c>
      <c r="F21" s="1281" t="str">
        <f>OBRA!N360</f>
        <v>DOP/AD/008/2019</v>
      </c>
      <c r="G21" s="3" t="str">
        <f>OBRA!P360</f>
        <v>"LA COMPRA DE MATERIALES E INSUMOS NECESARIOS" PARA LA PERFORACIÓN DE POZO PROFUNDO EN LA AGENCIA MUNICIPAL DE EL MOLINO, DEL MUNICIPIO DE JOCOTEPEC, JALISCO.</v>
      </c>
      <c r="H21" s="1598" t="s">
        <v>4751</v>
      </c>
      <c r="I21" s="3" t="str">
        <f>OBRA!Q360</f>
        <v>EL MOLINO</v>
      </c>
      <c r="J21" s="683" t="s">
        <v>4885</v>
      </c>
      <c r="K21" s="3" t="s">
        <v>68</v>
      </c>
      <c r="L21" s="3" t="s">
        <v>68</v>
      </c>
      <c r="M21" s="1602">
        <f>OBRA!AS360+OBRA!AT360</f>
        <v>615186.80000000005</v>
      </c>
      <c r="N21" s="242">
        <f>GRAL!AF362</f>
        <v>1</v>
      </c>
      <c r="O21" s="242" t="str">
        <f>GRAL!AG362</f>
        <v>POZO</v>
      </c>
      <c r="P21" s="2" t="s">
        <v>68</v>
      </c>
      <c r="Q21" s="2"/>
    </row>
    <row r="22" spans="1:17" ht="60">
      <c r="A22" s="1"/>
      <c r="B22" s="1600"/>
      <c r="C22" s="1" t="str">
        <f>OBRA!CB361</f>
        <v>2018-2021</v>
      </c>
      <c r="D22" s="1">
        <f>OBRA!J361</f>
        <v>2019</v>
      </c>
      <c r="E22" s="1598" t="str">
        <f>OBRA!O361</f>
        <v>ADMINISTRACIÓN DIRECTA</v>
      </c>
      <c r="F22" s="1281" t="str">
        <f>OBRA!N361</f>
        <v>DOP/AD/009/2019</v>
      </c>
      <c r="G22" s="3" t="str">
        <f>OBRA!P361</f>
        <v>"CONSTRUCCION DE EMPEDRADOS ECOLÓGICOS, AHOGADOS EN CEMENTO Y CON HUELLAS, EN VARIAS CALLES DE LA AGENCIA MUNICIPAL DE EL MOLINO". DEL MUNICIPIO DE JOCOTEPEC, JALISCO.</v>
      </c>
      <c r="H22" s="1598" t="s">
        <v>4752</v>
      </c>
      <c r="I22" s="3" t="str">
        <f>OBRA!Q361</f>
        <v>EL MOLINO</v>
      </c>
      <c r="J22" s="3" t="s">
        <v>4098</v>
      </c>
      <c r="K22" s="3" t="s">
        <v>68</v>
      </c>
      <c r="L22" s="3" t="s">
        <v>68</v>
      </c>
      <c r="M22" s="1602">
        <f>OBRA!AS361+OBRA!AT361</f>
        <v>630687.37</v>
      </c>
      <c r="N22" s="242">
        <f>GRAL!AF363</f>
        <v>2787.77</v>
      </c>
      <c r="O22" s="242" t="str">
        <f>GRAL!AG363</f>
        <v>M2</v>
      </c>
      <c r="P22" s="2" t="s">
        <v>68</v>
      </c>
      <c r="Q22" s="2"/>
    </row>
    <row r="23" spans="1:17" ht="45">
      <c r="A23" s="1"/>
      <c r="B23" s="1600"/>
      <c r="C23" s="1" t="str">
        <f>OBRA!CB362</f>
        <v>2018-2021</v>
      </c>
      <c r="D23" s="1">
        <f>OBRA!J362</f>
        <v>2019</v>
      </c>
      <c r="E23" s="1598" t="str">
        <f>OBRA!O362</f>
        <v>ADMINISTRACIÓN DIRECTA</v>
      </c>
      <c r="F23" s="1281" t="str">
        <f>OBRA!N362</f>
        <v>DOP/AD/010/2019</v>
      </c>
      <c r="G23" s="3" t="str">
        <f>OBRA!P362</f>
        <v>"CONSTRUCCIÓN DE LÍNEAS HIDROSANITARIAS EN CALLE EXTRAMUROS DE PRIVADA A CARRETERA," EN SAN PEDRO TESISTAN, DEL MUNICIPIO DE JOCOTEPEC, JALISCO.</v>
      </c>
      <c r="H23" s="1598" t="s">
        <v>4753</v>
      </c>
      <c r="I23" s="3" t="str">
        <f>OBRA!Q362</f>
        <v>SAN PEDRO TESISTÁN</v>
      </c>
      <c r="J23" s="3" t="s">
        <v>4765</v>
      </c>
      <c r="K23" s="3" t="s">
        <v>4766</v>
      </c>
      <c r="L23" s="3" t="s">
        <v>4767</v>
      </c>
      <c r="M23" s="1602">
        <f>OBRA!AS362+OBRA!AT362</f>
        <v>445239.22</v>
      </c>
      <c r="N23" s="242">
        <f>GRAL!AF364</f>
        <v>351</v>
      </c>
      <c r="O23" s="242" t="str">
        <f>GRAL!AG364</f>
        <v>ML</v>
      </c>
      <c r="P23" s="1281" t="s">
        <v>4974</v>
      </c>
      <c r="Q23" s="2" t="s">
        <v>4975</v>
      </c>
    </row>
    <row r="24" spans="1:17" ht="60">
      <c r="A24" s="1"/>
      <c r="B24" s="1600"/>
      <c r="C24" s="1" t="str">
        <f>OBRA!CB363</f>
        <v>2018-2021</v>
      </c>
      <c r="D24" s="1">
        <f>OBRA!J363</f>
        <v>2019</v>
      </c>
      <c r="E24" s="1598" t="str">
        <f>OBRA!O363</f>
        <v>ADMINISTRACIÓN DIRECTA</v>
      </c>
      <c r="F24" s="1281" t="str">
        <f>OBRA!N363</f>
        <v>DOP/AD/011/2019</v>
      </c>
      <c r="G24" s="3" t="str">
        <f>OBRA!P363</f>
        <v>"REHABILITACIÓN DE RED DE AGUA POTABLE CON REPOSICIÓN DE SUPERFICIE DE RODAMIENTO EN CALLE HIDALGO ENTRE ALDAMA Y FILOSOFOS", EN LA CABECERA MUNICIPAL DE JOCOTEPEC, JALISCO.</v>
      </c>
      <c r="H24" s="1598" t="s">
        <v>4754</v>
      </c>
      <c r="I24" s="3" t="str">
        <f>OBRA!Q363</f>
        <v>CABECERA MUNICIPAL</v>
      </c>
      <c r="J24" s="3" t="s">
        <v>2619</v>
      </c>
      <c r="K24" s="3" t="s">
        <v>4768</v>
      </c>
      <c r="L24" s="3" t="s">
        <v>4769</v>
      </c>
      <c r="M24" s="1602">
        <f>OBRA!AS363+OBRA!AT363</f>
        <v>660663.76</v>
      </c>
      <c r="N24" s="242">
        <f>GRAL!AF365</f>
        <v>208.14</v>
      </c>
      <c r="O24" s="242" t="str">
        <f>GRAL!AG365</f>
        <v>ML</v>
      </c>
      <c r="P24" s="1281"/>
      <c r="Q24" s="2"/>
    </row>
    <row r="25" spans="1:17" ht="60">
      <c r="A25" s="1"/>
      <c r="B25" s="1600"/>
      <c r="C25" s="1" t="str">
        <f>OBRA!CB364</f>
        <v>2018-2021</v>
      </c>
      <c r="D25" s="1">
        <f>OBRA!J364</f>
        <v>2019</v>
      </c>
      <c r="E25" s="1598" t="str">
        <f>OBRA!O364</f>
        <v>ADMINISTRACIÓN DIRECTA</v>
      </c>
      <c r="F25" s="1281" t="str">
        <f>OBRA!N364</f>
        <v>DOP/AD/012/2019</v>
      </c>
      <c r="G25" s="3" t="str">
        <f>OBRA!P364</f>
        <v>"REHABILITACIÓN DE RED DE DRENAJE CON REPOSICIÓN DE SUPERFICIE DE RODAMIENTO EN CALLE HIDALGO ENTRE ALDAMA Y FILOSOFOS", EN LA CABECERA MUNICIPAL DE JOCOTEPEC, JALISCO.</v>
      </c>
      <c r="H25" s="1598" t="s">
        <v>4755</v>
      </c>
      <c r="I25" s="3" t="str">
        <f>OBRA!Q364</f>
        <v>CABECERA MUNICIPAL</v>
      </c>
      <c r="J25" s="3" t="s">
        <v>2619</v>
      </c>
      <c r="K25" s="3" t="s">
        <v>4768</v>
      </c>
      <c r="L25" s="3" t="s">
        <v>4769</v>
      </c>
      <c r="M25" s="1602">
        <f>OBRA!AS364+OBRA!AT364</f>
        <v>885994.40999999992</v>
      </c>
      <c r="N25" s="242">
        <f>GRAL!AF366</f>
        <v>208.14</v>
      </c>
      <c r="O25" s="242" t="str">
        <f>GRAL!AG366</f>
        <v>ML</v>
      </c>
      <c r="P25" s="1281"/>
      <c r="Q25" s="2"/>
    </row>
    <row r="26" spans="1:17" ht="79.5" customHeight="1">
      <c r="A26" s="1"/>
      <c r="B26" s="1600"/>
      <c r="C26" s="1" t="str">
        <f>OBRA!CB365</f>
        <v>2018-2021</v>
      </c>
      <c r="D26" s="1">
        <f>OBRA!J365</f>
        <v>2019</v>
      </c>
      <c r="E26" s="1598" t="str">
        <f>OBRA!O365</f>
        <v>ADMINISTRACIÓN DIRECTA</v>
      </c>
      <c r="F26" s="1281" t="str">
        <f>OBRA!N365</f>
        <v>DOP/AD/013/2019</v>
      </c>
      <c r="G26" s="3" t="str">
        <f>OBRA!P365</f>
        <v>"REHABILITACIÓN DE TOMAS DOMICILIARIAS CON REPOSICIÓN DE SUPERFICIE DE RODAMIENTO EN CALLE LA PAZ ENTRE CALLES ITURBIDE E INDEPENDENCIA" EN LA LOCALIDAD DE SAN JUAN CÓSALA, DEL MUNICIPIO DE JOCOTEPEC, JALISCO.</v>
      </c>
      <c r="H26" s="1598" t="s">
        <v>4754</v>
      </c>
      <c r="I26" s="3" t="str">
        <f>OBRA!Q365</f>
        <v>SAN JUAN COSALÁ</v>
      </c>
      <c r="J26" s="3" t="s">
        <v>2636</v>
      </c>
      <c r="K26" s="3" t="s">
        <v>4770</v>
      </c>
      <c r="L26" s="3" t="s">
        <v>2600</v>
      </c>
      <c r="M26" s="1602">
        <f>OBRA!AS365+OBRA!AT365</f>
        <v>238710.43</v>
      </c>
      <c r="N26" s="242">
        <f>GRAL!AF367</f>
        <v>0</v>
      </c>
      <c r="O26" s="242" t="str">
        <f>GRAL!AG367</f>
        <v>PIEZAS</v>
      </c>
      <c r="P26" s="2"/>
      <c r="Q26" s="2"/>
    </row>
    <row r="27" spans="1:17" ht="75">
      <c r="A27" s="1"/>
      <c r="B27" s="1600"/>
      <c r="C27" s="1" t="str">
        <f>OBRA!CB366</f>
        <v>2018-2021</v>
      </c>
      <c r="D27" s="1">
        <f>OBRA!J366</f>
        <v>2019</v>
      </c>
      <c r="E27" s="1598" t="str">
        <f>OBRA!O366</f>
        <v>ADMINISTRACIÓN DIRECTA</v>
      </c>
      <c r="F27" s="1281" t="str">
        <f>OBRA!N366</f>
        <v>DOP/AD/014/2019</v>
      </c>
      <c r="G27" s="3" t="str">
        <f>OBRA!P366</f>
        <v>"REHABILITACIÓN DE DESCARGAS DOMICILIARIAS DE DRENAJE SANITARIO CON REPOSICIÓN DE SUPERFICIE DE RODAMIENTO EN CALLE LA PAZ ENTRE CALLES ITURBIDE E INDEPENDENCIA", EN LA LOCALIDAD DE SAN JUAN CÓSALA, DEL MUNICIPIO DE JOCOTEPEC, JALISCO.</v>
      </c>
      <c r="H27" s="1598" t="s">
        <v>4755</v>
      </c>
      <c r="I27" s="3" t="str">
        <f>OBRA!Q366</f>
        <v>SAN JUAN COSALÁ</v>
      </c>
      <c r="J27" s="3" t="s">
        <v>2636</v>
      </c>
      <c r="K27" s="3" t="s">
        <v>4770</v>
      </c>
      <c r="L27" s="3" t="s">
        <v>2600</v>
      </c>
      <c r="M27" s="1602">
        <f>OBRA!AS366+OBRA!AT366</f>
        <v>239516.18</v>
      </c>
      <c r="N27" s="242">
        <f>GRAL!AF368</f>
        <v>54</v>
      </c>
      <c r="O27" s="242" t="str">
        <f>GRAL!AG368</f>
        <v>PIEZAS</v>
      </c>
      <c r="P27" s="2"/>
      <c r="Q27" s="2"/>
    </row>
    <row r="28" spans="1:17" ht="77.25" customHeight="1">
      <c r="A28" s="1"/>
      <c r="B28" s="1600"/>
      <c r="C28" s="1" t="str">
        <f>OBRA!CB367</f>
        <v>2018-2021</v>
      </c>
      <c r="D28" s="1">
        <f>OBRA!J367</f>
        <v>2019</v>
      </c>
      <c r="E28" s="1598" t="str">
        <f>OBRA!O367</f>
        <v>ADMINISTRACIÓN DIRECTA</v>
      </c>
      <c r="F28" s="1281" t="str">
        <f>OBRA!N367</f>
        <v>DOP/AD/015/2019</v>
      </c>
      <c r="G28" s="3" t="str">
        <f>OBRA!P367</f>
        <v>"REHABILITACIÓN DE RED DE AGUA POTABLE CON REPOSICIÓN DE SUPERFICIE DE RODAMIENTO EN CALLE LA PAZ ENTRE CALLES ITURBIDE E INDEPENDENCIA", EN LA LOCALIDAD DE SAN JUAN CÓSALA, DEL MUNICIPIO DE JOCOTEPEC, JALISCO.</v>
      </c>
      <c r="H28" s="1598" t="s">
        <v>4754</v>
      </c>
      <c r="I28" s="3" t="str">
        <f>OBRA!Q367</f>
        <v>SAN JUAN COSALÁ</v>
      </c>
      <c r="J28" s="3" t="s">
        <v>2636</v>
      </c>
      <c r="K28" s="3" t="s">
        <v>4770</v>
      </c>
      <c r="L28" s="3" t="s">
        <v>2600</v>
      </c>
      <c r="M28" s="1602">
        <f>OBRA!AS367+OBRA!AT367</f>
        <v>718023.82000000007</v>
      </c>
      <c r="N28" s="219">
        <f>GRAL!AF369</f>
        <v>0</v>
      </c>
      <c r="O28" s="242" t="str">
        <f>GRAL!AG369</f>
        <v>ML</v>
      </c>
      <c r="P28" s="2"/>
      <c r="Q28" s="2"/>
    </row>
    <row r="29" spans="1:17" hidden="1">
      <c r="A29" s="1"/>
      <c r="B29" s="1"/>
      <c r="C29" s="1" t="str">
        <f>OBRA!CB368</f>
        <v>2018-2021</v>
      </c>
      <c r="D29" s="1">
        <f>OBRA!J368</f>
        <v>2019</v>
      </c>
      <c r="E29" s="1598" t="str">
        <f>OBRA!O368</f>
        <v>CANCELADA</v>
      </c>
      <c r="F29" s="1598" t="str">
        <f>OBRA!N368</f>
        <v>DOP/AD/016/2019</v>
      </c>
      <c r="G29" s="3">
        <f>OBRA!P368</f>
        <v>0</v>
      </c>
      <c r="H29" s="1"/>
      <c r="I29" s="3">
        <f>OBRA!Q368</f>
        <v>0</v>
      </c>
      <c r="J29" s="3"/>
      <c r="K29" s="3"/>
      <c r="L29" s="3"/>
      <c r="M29" s="1602">
        <f>OBRA!AS368+OBRA!AT368</f>
        <v>0</v>
      </c>
      <c r="N29" s="1">
        <f>GRAL!AF370</f>
        <v>1</v>
      </c>
      <c r="O29" s="1">
        <f>GRAL!AG370</f>
        <v>0</v>
      </c>
      <c r="P29" s="1"/>
      <c r="Q29" s="1"/>
    </row>
    <row r="30" spans="1:17" ht="45">
      <c r="A30" s="1"/>
      <c r="B30" s="1600"/>
      <c r="C30" s="1" t="str">
        <f>OBRA!CB369</f>
        <v>2018-2021</v>
      </c>
      <c r="D30" s="1">
        <f>OBRA!J369</f>
        <v>2019</v>
      </c>
      <c r="E30" s="1598" t="str">
        <f>OBRA!O369</f>
        <v>ADMINISTRACIÓN DIRECTA</v>
      </c>
      <c r="F30" s="1281" t="str">
        <f>OBRA!N369</f>
        <v>DOP/AD/017/2019</v>
      </c>
      <c r="G30" s="3" t="str">
        <f>OBRA!P369</f>
        <v>"CONSTRUCCIÓN DE PUNTO INOCUO DE DESEMBARQUE EN LA CALLE 5 DE MAYO" EN LA LOCALIDAD DE SAN JUAN COSALA, DEL MUNICIPIO DE JOCOTEPEC, JALISCO.</v>
      </c>
      <c r="H30" s="1598" t="s">
        <v>2206</v>
      </c>
      <c r="I30" s="3" t="str">
        <f>OBRA!Q369</f>
        <v>SAN JUAN COSALÁ</v>
      </c>
      <c r="J30" s="3" t="s">
        <v>2682</v>
      </c>
      <c r="K30" s="3" t="s">
        <v>2535</v>
      </c>
      <c r="L30" s="3" t="s">
        <v>4767</v>
      </c>
      <c r="M30" s="1602">
        <f>OBRA!AS369+OBRA!AT369</f>
        <v>737048.95</v>
      </c>
      <c r="N30" s="242">
        <f>GRAL!AF371</f>
        <v>117.68</v>
      </c>
      <c r="O30" s="242" t="str">
        <f>GRAL!AG371</f>
        <v>M2</v>
      </c>
      <c r="P30" s="2" t="s">
        <v>68</v>
      </c>
      <c r="Q30" s="2"/>
    </row>
    <row r="31" spans="1:17" ht="45">
      <c r="A31" s="1"/>
      <c r="B31" s="1600"/>
      <c r="C31" s="1" t="str">
        <f>OBRA!CB370</f>
        <v>2018-2021</v>
      </c>
      <c r="D31" s="1">
        <f>OBRA!J370</f>
        <v>2019</v>
      </c>
      <c r="E31" s="1598" t="str">
        <f>OBRA!O370</f>
        <v>ADMINISTRACIÓN DIRECTA</v>
      </c>
      <c r="F31" s="1281" t="str">
        <f>OBRA!N370</f>
        <v>DOP/AD/018/2019</v>
      </c>
      <c r="G31" s="3" t="str">
        <f>OBRA!P370</f>
        <v>"REHABILITACIÓN DE LÍNEA DE DISTRIBUCIÓN DE 6" DE AGUA POTABLE, EN CALLE NIÑOS HÉROES DE CALLE ITURBIDE A CALLE VERANO", EN LA CABECERA MUNICIPAL DE JOCOTEPEC, JALISCO.</v>
      </c>
      <c r="H31" s="1598" t="s">
        <v>4745</v>
      </c>
      <c r="I31" s="3" t="str">
        <f>OBRA!Q370</f>
        <v>CABECERA MUNICIPAL</v>
      </c>
      <c r="J31" s="3" t="s">
        <v>4827</v>
      </c>
      <c r="K31" s="3" t="s">
        <v>4770</v>
      </c>
      <c r="L31" s="3" t="s">
        <v>2542</v>
      </c>
      <c r="M31" s="1602">
        <f>OBRA!AS370+OBRA!AT370</f>
        <v>108738.26999999999</v>
      </c>
      <c r="N31" s="242">
        <f>GRAL!AF372</f>
        <v>204</v>
      </c>
      <c r="O31" s="242" t="str">
        <f>GRAL!AG372</f>
        <v>ML</v>
      </c>
      <c r="P31" s="2" t="s">
        <v>4942</v>
      </c>
      <c r="Q31" s="2"/>
    </row>
    <row r="32" spans="1:17" hidden="1">
      <c r="A32" s="1"/>
      <c r="B32" s="1"/>
      <c r="C32" s="1" t="str">
        <f>OBRA!CB371</f>
        <v>2018-2021</v>
      </c>
      <c r="D32" s="1">
        <f>OBRA!J371</f>
        <v>2019</v>
      </c>
      <c r="E32" s="1598" t="str">
        <f>OBRA!O371</f>
        <v>CANCELADA</v>
      </c>
      <c r="F32" s="1598" t="str">
        <f>OBRA!N371</f>
        <v>DOP/AD/019/2019</v>
      </c>
      <c r="G32" s="3">
        <f>OBRA!P371</f>
        <v>0</v>
      </c>
      <c r="H32" s="1"/>
      <c r="I32" s="3">
        <f>OBRA!Q371</f>
        <v>0</v>
      </c>
      <c r="J32" s="3"/>
      <c r="K32" s="3"/>
      <c r="L32" s="3"/>
      <c r="M32" s="1602">
        <f>OBRA!AS371+OBRA!AT371</f>
        <v>0</v>
      </c>
      <c r="N32" s="1">
        <f>GRAL!AF373</f>
        <v>1</v>
      </c>
      <c r="O32" s="1">
        <f>GRAL!AG373</f>
        <v>0</v>
      </c>
      <c r="P32" s="1"/>
      <c r="Q32" s="1"/>
    </row>
    <row r="33" spans="1:17" ht="64.5" customHeight="1">
      <c r="A33" s="1"/>
      <c r="B33" s="1600"/>
      <c r="C33" s="1" t="str">
        <f>OBRA!CB372</f>
        <v>2018-2021</v>
      </c>
      <c r="D33" s="1">
        <f>OBRA!J372</f>
        <v>2019</v>
      </c>
      <c r="E33" s="1598" t="str">
        <f>OBRA!O372</f>
        <v>ADMINISTRACIÓN DIRECTA</v>
      </c>
      <c r="F33" s="1281" t="str">
        <f>OBRA!N372</f>
        <v>DOP/AD/020/2019</v>
      </c>
      <c r="G33" s="3" t="str">
        <f>OBRA!P372</f>
        <v>"REPOSICIÓN DE TOMAS DOMICILIARIAS DE AGUA POTABLE EN CALLE VERANO ENTRE CALLES NIÑOS HÉROES Y LÓPEZ RAYÓN EN LA CABECERA MUNICIPAL DE JOCOTEPEC, JALISCO.</v>
      </c>
      <c r="H33" s="1598" t="s">
        <v>4745</v>
      </c>
      <c r="I33" s="3" t="str">
        <f>OBRA!Q372</f>
        <v>CABECERA MUNICIPAL</v>
      </c>
      <c r="J33" s="3" t="s">
        <v>2542</v>
      </c>
      <c r="K33" s="3" t="s">
        <v>4827</v>
      </c>
      <c r="L33" s="3" t="s">
        <v>4687</v>
      </c>
      <c r="M33" s="1602">
        <f>OBRA!AS372+OBRA!AT372</f>
        <v>15408</v>
      </c>
      <c r="N33" s="242">
        <f>GRAL!AF374</f>
        <v>13</v>
      </c>
      <c r="O33" s="242" t="str">
        <f>GRAL!AG374</f>
        <v>PIEZAS</v>
      </c>
      <c r="P33" s="2"/>
      <c r="Q33" s="2"/>
    </row>
    <row r="34" spans="1:17" ht="60" hidden="1">
      <c r="A34" s="1"/>
      <c r="B34" s="1"/>
      <c r="C34" s="1" t="str">
        <f>OBRA!CB373</f>
        <v>2018-2021</v>
      </c>
      <c r="D34" s="1">
        <f>OBRA!J373</f>
        <v>2019</v>
      </c>
      <c r="E34" s="1598" t="str">
        <f>OBRA!O373</f>
        <v>CANCELADA</v>
      </c>
      <c r="F34" s="1598" t="str">
        <f>OBRA!N373</f>
        <v>DOP/AD/021/2019</v>
      </c>
      <c r="G34" s="3" t="str">
        <f>OBRA!P373</f>
        <v>"CONSTRUCCIÓN DE PUNTO INOCUO DE DESEMBARQUE EN LA CALLE MORELOS" EN EL ÁREA DE DONACIÓN DEL FRACCIONAMIENTO "JARDINES DE JOCOTEPEC" EN LA CABECERA MUNICIPAL DE JOCOTEPEC, JALISCO.</v>
      </c>
      <c r="H34" s="1"/>
      <c r="I34" s="3">
        <f>OBRA!Q373</f>
        <v>0</v>
      </c>
      <c r="J34" s="3"/>
      <c r="K34" s="3"/>
      <c r="L34" s="3"/>
      <c r="M34" s="1602">
        <f>OBRA!AS373+OBRA!AT373</f>
        <v>0</v>
      </c>
      <c r="N34" s="1">
        <f>GRAL!AF375</f>
        <v>0</v>
      </c>
      <c r="O34" s="1">
        <f>GRAL!AG375</f>
        <v>0</v>
      </c>
      <c r="P34" s="1"/>
      <c r="Q34" s="1"/>
    </row>
    <row r="35" spans="1:17" ht="63" customHeight="1">
      <c r="A35" s="1"/>
      <c r="B35" s="1600"/>
      <c r="C35" s="1" t="str">
        <f>OBRA!CB374</f>
        <v>2018-2021</v>
      </c>
      <c r="D35" s="1">
        <f>OBRA!J374</f>
        <v>2019</v>
      </c>
      <c r="E35" s="1598" t="str">
        <f>OBRA!O374</f>
        <v>ADMINISTRACIÓN DIRECTA</v>
      </c>
      <c r="F35" s="1281" t="str">
        <f>OBRA!N374</f>
        <v>DOP/AD/022/2019</v>
      </c>
      <c r="G35" s="3" t="str">
        <f>OBRA!P374</f>
        <v>REHABILITACIÓN DE RED DE DRENAJE SANITARIO EN CALLE LA PAZ ENTRE TACUBA Y VICENTE GUERRERO", EN LA LOCALIDAD DE SAN JUAN CÓSALA, DEL MUNICIPIO DE JOCOTEPEC, JALISCO.</v>
      </c>
      <c r="H35" s="1598" t="s">
        <v>4747</v>
      </c>
      <c r="I35" s="3" t="str">
        <f>OBRA!Q374</f>
        <v>SAN JUAN COSALÁ</v>
      </c>
      <c r="J35" s="3" t="s">
        <v>2636</v>
      </c>
      <c r="K35" s="3" t="s">
        <v>4771</v>
      </c>
      <c r="L35" s="3" t="s">
        <v>2528</v>
      </c>
      <c r="M35" s="1602">
        <f>OBRA!AS374+OBRA!AT374</f>
        <v>232635.88</v>
      </c>
      <c r="N35" s="219">
        <f>GRAL!AF376</f>
        <v>0</v>
      </c>
      <c r="O35" s="242" t="str">
        <f>GRAL!AG376</f>
        <v>ML</v>
      </c>
      <c r="P35" s="2"/>
      <c r="Q35" s="2"/>
    </row>
    <row r="36" spans="1:17" hidden="1">
      <c r="A36" s="1"/>
      <c r="B36" s="1"/>
      <c r="C36" s="1" t="str">
        <f>OBRA!CB375</f>
        <v>2018-2021</v>
      </c>
      <c r="D36" s="1">
        <f>OBRA!J375</f>
        <v>2019</v>
      </c>
      <c r="E36" s="1598" t="str">
        <f>OBRA!O375</f>
        <v>CANCELADA</v>
      </c>
      <c r="F36" s="1598" t="str">
        <f>OBRA!N375</f>
        <v>DOP/AD/023/2019</v>
      </c>
      <c r="G36" s="3">
        <f>OBRA!P375</f>
        <v>0</v>
      </c>
      <c r="H36" s="1"/>
      <c r="I36" s="3">
        <f>OBRA!Q375</f>
        <v>0</v>
      </c>
      <c r="J36" s="3"/>
      <c r="K36" s="3"/>
      <c r="L36" s="3"/>
      <c r="M36" s="1602">
        <f>OBRA!AS375+OBRA!AT375</f>
        <v>0</v>
      </c>
      <c r="N36" s="1">
        <f>GRAL!AF377</f>
        <v>1</v>
      </c>
      <c r="O36" s="1">
        <f>GRAL!AG377</f>
        <v>0</v>
      </c>
      <c r="P36" s="1"/>
      <c r="Q36" s="1"/>
    </row>
    <row r="37" spans="1:17" ht="62.25" customHeight="1">
      <c r="A37" s="1"/>
      <c r="B37" s="1600"/>
      <c r="C37" s="1" t="str">
        <f>OBRA!CB376</f>
        <v>2018-2021</v>
      </c>
      <c r="D37" s="1">
        <f>OBRA!J376</f>
        <v>2019</v>
      </c>
      <c r="E37" s="1598" t="str">
        <f>OBRA!O376</f>
        <v>ADMINISTRACIÓN DIRECTA</v>
      </c>
      <c r="F37" s="1281" t="str">
        <f>OBRA!N376</f>
        <v>DOP/AD/024/2019</v>
      </c>
      <c r="G37" s="3" t="str">
        <f>OBRA!P376</f>
        <v>"CONSTRUCCIÓN DE BANQUETAS 2DA. ETAPA EN LA CALLE MORELOS", EN LA LOCALIDAD DE CHANTEPEC, DEL MUNICIPIO DE JOCOTEPEC, JALISCO.</v>
      </c>
      <c r="H37" s="1598" t="s">
        <v>4748</v>
      </c>
      <c r="I37" s="3" t="str">
        <f>OBRA!Q376</f>
        <v>CHANTEPEC</v>
      </c>
      <c r="J37" s="3" t="s">
        <v>2488</v>
      </c>
      <c r="K37" s="3" t="s">
        <v>2537</v>
      </c>
      <c r="L37" s="3" t="s">
        <v>68</v>
      </c>
      <c r="M37" s="1602">
        <f>OBRA!AS376+OBRA!AT376</f>
        <v>11470</v>
      </c>
      <c r="N37" s="242">
        <f>GRAL!AF378</f>
        <v>19.239999999999998</v>
      </c>
      <c r="O37" s="242" t="str">
        <f>GRAL!AG378</f>
        <v>M2</v>
      </c>
      <c r="P37" s="1281" t="s">
        <v>4976</v>
      </c>
      <c r="Q37" s="2"/>
    </row>
    <row r="38" spans="1:17" hidden="1">
      <c r="A38" s="1"/>
      <c r="B38" s="1"/>
      <c r="C38" s="1" t="str">
        <f>OBRA!CB377</f>
        <v>2018-2021</v>
      </c>
      <c r="D38" s="1">
        <f>OBRA!J377</f>
        <v>2019</v>
      </c>
      <c r="E38" s="1598" t="str">
        <f>OBRA!O377</f>
        <v>CANCELADA</v>
      </c>
      <c r="F38" s="1598" t="str">
        <f>OBRA!N377</f>
        <v>DOP/AD/025/2019</v>
      </c>
      <c r="G38" s="3">
        <f>OBRA!P377</f>
        <v>0</v>
      </c>
      <c r="H38" s="1"/>
      <c r="I38" s="3">
        <f>OBRA!Q377</f>
        <v>0</v>
      </c>
      <c r="J38" s="3"/>
      <c r="K38" s="3"/>
      <c r="L38" s="3"/>
      <c r="M38" s="1602">
        <f>OBRA!AS377+OBRA!AT377</f>
        <v>0</v>
      </c>
      <c r="N38" s="1">
        <f>GRAL!AF379</f>
        <v>1</v>
      </c>
      <c r="O38" s="1">
        <f>GRAL!AG379</f>
        <v>0</v>
      </c>
      <c r="P38" s="1"/>
      <c r="Q38" s="1"/>
    </row>
    <row r="39" spans="1:17" ht="45" hidden="1">
      <c r="A39" s="1"/>
      <c r="B39" s="1"/>
      <c r="C39" s="1" t="str">
        <f>OBRA!CB378</f>
        <v>2018-2021</v>
      </c>
      <c r="D39" s="1">
        <f>OBRA!J378</f>
        <v>2019</v>
      </c>
      <c r="E39" s="1598" t="str">
        <f>OBRA!O378</f>
        <v>ADQUISICIÓN</v>
      </c>
      <c r="F39" s="1598" t="str">
        <f>OBRA!N378</f>
        <v>RASTRO DIGNO 2019</v>
      </c>
      <c r="G39" s="3" t="str">
        <f>OBRA!P378</f>
        <v>ADQUISICIÓN DE: "UN REACTOR ANAEROBIO UASB-IC, PARA EL SISTEMA DE AGUAS RESIDUALES DEL RASTRO MUNICIPAL" DE LA CABECERA MUNICIPAL DE JOCOTEPEC, JALISCO.</v>
      </c>
      <c r="H39" s="1"/>
      <c r="I39" s="3" t="str">
        <f>OBRA!Q378</f>
        <v>CABECERA MUNICIPAL</v>
      </c>
      <c r="J39" s="3"/>
      <c r="K39" s="3"/>
      <c r="L39" s="3"/>
      <c r="M39" s="1602" t="e">
        <f>OBRA!AS378+OBRA!AT378</f>
        <v>#VALUE!</v>
      </c>
      <c r="N39" s="1">
        <f>GRAL!AF380</f>
        <v>1</v>
      </c>
      <c r="O39" s="1" t="str">
        <f>GRAL!AG380</f>
        <v>PIEZAS</v>
      </c>
      <c r="P39" s="1"/>
      <c r="Q39" s="1"/>
    </row>
    <row r="40" spans="1:17" ht="30" hidden="1">
      <c r="A40" s="1"/>
      <c r="B40" s="1"/>
      <c r="C40" s="1" t="str">
        <f>OBRA!CB379</f>
        <v>2018-2021</v>
      </c>
      <c r="D40" s="1">
        <f>OBRA!J379</f>
        <v>2019</v>
      </c>
      <c r="E40" s="1598" t="str">
        <f>OBRA!O379</f>
        <v>ADQUISICIÓN</v>
      </c>
      <c r="F40" s="1598" t="str">
        <f>OBRA!N379</f>
        <v>PID/2019 - NEXTIPAC</v>
      </c>
      <c r="G40" s="3" t="str">
        <f>OBRA!P379</f>
        <v>ADQUISICIÓN DE: UN MUELLE FLOTANTE Y ESTACIÓN DE RECICLADO, PARA LA LOCALIDAD DE NEXTIPAC.</v>
      </c>
      <c r="H40" s="1"/>
      <c r="I40" s="3" t="str">
        <f>OBRA!Q379</f>
        <v>NEXTIPAC</v>
      </c>
      <c r="J40" s="3"/>
      <c r="K40" s="3"/>
      <c r="L40" s="3"/>
      <c r="M40" s="1602">
        <f>OBRA!AS379+OBRA!AT379</f>
        <v>256520.08</v>
      </c>
      <c r="N40" s="1">
        <f>GRAL!AF381</f>
        <v>1</v>
      </c>
      <c r="O40" s="1" t="str">
        <f>GRAL!AG381</f>
        <v>LOTE</v>
      </c>
      <c r="P40" s="1"/>
      <c r="Q40" s="1"/>
    </row>
    <row r="41" spans="1:17" ht="30" hidden="1">
      <c r="A41" s="1"/>
      <c r="B41" s="1"/>
      <c r="C41" s="1" t="str">
        <f>OBRA!CB380</f>
        <v>2018-2021</v>
      </c>
      <c r="D41" s="1">
        <f>OBRA!J380</f>
        <v>2019</v>
      </c>
      <c r="E41" s="1598" t="str">
        <f>OBRA!O380</f>
        <v>ADQUISICIÓN</v>
      </c>
      <c r="F41" s="1598" t="str">
        <f>OBRA!N380</f>
        <v>PID/2019 - SJC</v>
      </c>
      <c r="G41" s="3" t="str">
        <f>OBRA!P380</f>
        <v>ADQUISICIÓN DE: UN MUELLE FLOTANTE Y ESTACIÓN DE RECICLADO, PARA LA LOCALIDAD DE SAN JUAN CÓSALA.</v>
      </c>
      <c r="H41" s="1"/>
      <c r="I41" s="3" t="str">
        <f>OBRA!Q380</f>
        <v>SAN JUAN COSALÁ</v>
      </c>
      <c r="J41" s="3"/>
      <c r="K41" s="3"/>
      <c r="L41" s="3"/>
      <c r="M41" s="1602">
        <f>OBRA!AS380+OBRA!AT380</f>
        <v>256520.08</v>
      </c>
      <c r="N41" s="1">
        <f>GRAL!AF382</f>
        <v>1</v>
      </c>
      <c r="O41" s="1" t="str">
        <f>GRAL!AG382</f>
        <v>LOTE</v>
      </c>
      <c r="P41" s="1"/>
      <c r="Q41" s="1"/>
    </row>
    <row r="42" spans="1:17" ht="45" hidden="1">
      <c r="A42" s="1"/>
      <c r="B42" s="1"/>
      <c r="C42" s="1" t="str">
        <f>OBRA!CB381</f>
        <v>2018-2021</v>
      </c>
      <c r="D42" s="1">
        <f>OBRA!J381</f>
        <v>2019</v>
      </c>
      <c r="E42" s="1598" t="str">
        <f>OBRA!O381</f>
        <v>ARRENDAMIENTO</v>
      </c>
      <c r="F42" s="1598" t="str">
        <f>OBRA!N381</f>
        <v>CTA-CTE/2019</v>
      </c>
      <c r="G42" s="3" t="str">
        <f>OBRA!P381</f>
        <v>ARRENTAMIENTO DEL: INMUEBLE UBICADO EN CALLE HIDALGO Nº 12, EN LA LOCALIDAD DEL MOLINO, PERTENECIENTE AL MUNICIPIO DE JOCOTEPEC, JALISCO.</v>
      </c>
      <c r="H42" s="1"/>
      <c r="I42" s="3" t="str">
        <f>OBRA!Q381</f>
        <v>EL MOLINO</v>
      </c>
      <c r="J42" s="3"/>
      <c r="K42" s="3"/>
      <c r="L42" s="3"/>
      <c r="M42" s="1602">
        <f>OBRA!AS381+OBRA!AT381</f>
        <v>0</v>
      </c>
      <c r="N42" s="1" t="str">
        <f>GRAL!AF383</f>
        <v>N/A</v>
      </c>
      <c r="O42" s="1" t="str">
        <f>GRAL!AG383</f>
        <v>N/A</v>
      </c>
      <c r="P42" s="1"/>
      <c r="Q42" s="1"/>
    </row>
    <row r="43" spans="1:17" ht="75" hidden="1">
      <c r="A43" s="1"/>
      <c r="B43" s="1"/>
      <c r="C43" s="1" t="str">
        <f>OBRA!CB382</f>
        <v>2018-2021</v>
      </c>
      <c r="D43" s="1">
        <f>OBRA!J382</f>
        <v>2019</v>
      </c>
      <c r="E43" s="1598" t="str">
        <f>OBRA!O382</f>
        <v>SERVICIOS</v>
      </c>
      <c r="F43" s="1598" t="str">
        <f>OBRA!N382</f>
        <v>LEVANTAMIENTOS TOPOGRAFICOS</v>
      </c>
      <c r="G43" s="3" t="str">
        <f>OBRA!P382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OBRA!Q382</f>
        <v>MUNICIPIO</v>
      </c>
      <c r="J43" s="3"/>
      <c r="K43" s="3"/>
      <c r="L43" s="3"/>
      <c r="M43" s="1602">
        <f>OBRA!AS382+OBRA!AT382</f>
        <v>0</v>
      </c>
      <c r="N43" s="1" t="str">
        <f>GRAL!AF384</f>
        <v>N/A</v>
      </c>
      <c r="O43" s="1" t="str">
        <f>GRAL!AG384</f>
        <v>N/A</v>
      </c>
      <c r="P43" s="1"/>
      <c r="Q43" s="1"/>
    </row>
    <row r="44" spans="1:17" ht="75">
      <c r="A44" s="1"/>
      <c r="B44" s="1600"/>
      <c r="C44" s="1" t="str">
        <f>OBRA!CB383</f>
        <v>2018-2021</v>
      </c>
      <c r="D44" s="1">
        <f>OBRA!J383</f>
        <v>2019</v>
      </c>
      <c r="E44" s="1598" t="str">
        <f>OBRA!O383</f>
        <v>ADJUDICACIÓN DIRECTA</v>
      </c>
      <c r="F44" s="1281" t="str">
        <f>OBRA!N383</f>
        <v>GMJ 001 C-OP/2019</v>
      </c>
      <c r="G4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H44" s="1598" t="s">
        <v>4756</v>
      </c>
      <c r="I44" s="3" t="str">
        <f>OBRA!Q383</f>
        <v>SAN JUAN COSALÁ</v>
      </c>
      <c r="J44" s="3" t="s">
        <v>2528</v>
      </c>
      <c r="K44" s="3" t="s">
        <v>4779</v>
      </c>
      <c r="L44" s="3" t="s">
        <v>2488</v>
      </c>
      <c r="M44" s="1602">
        <f>OBRA!AS383+OBRA!AT383</f>
        <v>726896.94</v>
      </c>
      <c r="N44" s="242">
        <f>GRAL!AF385</f>
        <v>100.55</v>
      </c>
      <c r="O44" s="242" t="str">
        <f>GRAL!AG385</f>
        <v>ML</v>
      </c>
      <c r="P44" s="601" t="s">
        <v>4977</v>
      </c>
      <c r="Q44" s="601" t="s">
        <v>4978</v>
      </c>
    </row>
    <row r="45" spans="1:17" ht="45">
      <c r="A45" s="1"/>
      <c r="B45" s="1600"/>
      <c r="C45" s="1" t="str">
        <f>OBRA!CB384</f>
        <v>2018-2021</v>
      </c>
      <c r="D45" s="1">
        <f>OBRA!J384</f>
        <v>2019</v>
      </c>
      <c r="E45" s="1598" t="str">
        <f>OBRA!O384</f>
        <v>ADJUDICACIÓN DIRECTA</v>
      </c>
      <c r="F45" s="1281" t="str">
        <f>OBRA!N384</f>
        <v>GMJ 002 C-OP/2019</v>
      </c>
      <c r="G45" s="3" t="str">
        <f>OBRA!P384</f>
        <v>"CONSERVACIÓN Y MANTENIMIENTO INCLUYENTE DE BANQUETA Y ACCESO A HOSPITAL DE URGENCIAS EN LA CABECERA MUNICIPAL DE JOCOTEPEC, JALISCO"</v>
      </c>
      <c r="H45" s="1598" t="s">
        <v>4748</v>
      </c>
      <c r="I45" s="3" t="str">
        <f>OBRA!Q384</f>
        <v>CABECERA MUNICIPAL</v>
      </c>
      <c r="J45" s="3" t="s">
        <v>4648</v>
      </c>
      <c r="K45" s="3" t="s">
        <v>4772</v>
      </c>
      <c r="L45" s="3" t="s">
        <v>4773</v>
      </c>
      <c r="M45" s="1602">
        <f>OBRA!AS384+OBRA!AT384</f>
        <v>140099.94</v>
      </c>
      <c r="N45" s="242">
        <f>GRAL!AF386</f>
        <v>295.60000000000002</v>
      </c>
      <c r="O45" s="242" t="str">
        <f>GRAL!AG386</f>
        <v>M2</v>
      </c>
      <c r="P45" s="601" t="s">
        <v>4979</v>
      </c>
      <c r="Q45" s="2"/>
    </row>
    <row r="46" spans="1:17" ht="45" hidden="1">
      <c r="A46" s="1"/>
      <c r="B46" s="1"/>
      <c r="C46" s="1" t="str">
        <f>OBRA!CB385</f>
        <v>2018-2021</v>
      </c>
      <c r="D46" s="1">
        <f>OBRA!J385</f>
        <v>2019</v>
      </c>
      <c r="E46" s="1598" t="str">
        <f>OBRA!O385</f>
        <v>CANCELADA</v>
      </c>
      <c r="F46" s="1598" t="str">
        <f>OBRA!N385</f>
        <v>GMJ 003 C-OP/2019</v>
      </c>
      <c r="G46" s="3" t="str">
        <f>OBRA!P385</f>
        <v>"REHABILITACIÓN DE LÍNEAS HIDROSANITARIAS EN LA CALLE PRIVADA MORELOS DELEGACIÓN DE SAN JUAN COSALA MUNICIPIO DE JOCOTEPEC, JALISCO".</v>
      </c>
      <c r="H46" s="1"/>
      <c r="I46" s="3" t="str">
        <f>OBRA!Q385</f>
        <v>SAN JUAN COSALÁ</v>
      </c>
      <c r="J46" s="3"/>
      <c r="K46" s="3"/>
      <c r="L46" s="3"/>
      <c r="M46" s="1602">
        <f>OBRA!AS385+OBRA!AT385</f>
        <v>398930.6</v>
      </c>
      <c r="N46" s="1">
        <f>GRAL!AF387</f>
        <v>138</v>
      </c>
      <c r="O46" s="1" t="str">
        <f>GRAL!AG387</f>
        <v>ML</v>
      </c>
      <c r="P46" s="1"/>
      <c r="Q46" s="1"/>
    </row>
    <row r="47" spans="1:17" ht="50.25" customHeight="1">
      <c r="A47" s="1"/>
      <c r="B47" s="1600"/>
      <c r="C47" s="1" t="str">
        <f>OBRA!CB386</f>
        <v>2018-2021</v>
      </c>
      <c r="D47" s="1">
        <f>OBRA!J386</f>
        <v>2019</v>
      </c>
      <c r="E47" s="1598" t="str">
        <f>OBRA!O386</f>
        <v>ADJUDICACIÓN DIRECTA</v>
      </c>
      <c r="F47" s="1281" t="str">
        <f>OBRA!N386</f>
        <v>GMJ 004 C-OP/2019</v>
      </c>
      <c r="G47" s="3" t="str">
        <f>OBRA!P386</f>
        <v>"CONSTRUCCIÓN DE BANQUETAS EN CALLE CUAUHTÉMOC, DELEGACIÓN DEL CHANTE, MUNICIPIO DE JOCOTEPEC, JALISCO</v>
      </c>
      <c r="H47" s="1598" t="s">
        <v>4748</v>
      </c>
      <c r="I47" s="3" t="str">
        <f>OBRA!Q386</f>
        <v>CHANTEPEC</v>
      </c>
      <c r="J47" s="3" t="s">
        <v>4774</v>
      </c>
      <c r="K47" s="683" t="s">
        <v>5418</v>
      </c>
      <c r="L47" s="683" t="s">
        <v>2633</v>
      </c>
      <c r="M47" s="1602">
        <f>OBRA!AS386+OBRA!AT386</f>
        <v>148378.85</v>
      </c>
      <c r="N47" s="242">
        <f>GRAL!AF388</f>
        <v>240</v>
      </c>
      <c r="O47" s="242" t="str">
        <f>GRAL!AG388</f>
        <v>M2</v>
      </c>
      <c r="P47" s="1281" t="s">
        <v>4980</v>
      </c>
      <c r="Q47" s="2"/>
    </row>
    <row r="48" spans="1:17" ht="60">
      <c r="A48" s="1"/>
      <c r="B48" s="1600"/>
      <c r="C48" s="1" t="str">
        <f>OBRA!CB387</f>
        <v>2018-2021</v>
      </c>
      <c r="D48" s="1">
        <f>OBRA!J387</f>
        <v>2019</v>
      </c>
      <c r="E48" s="1598" t="str">
        <f>OBRA!O387</f>
        <v>ADJUDICACIÓN DIRECTA</v>
      </c>
      <c r="F48" s="1281" t="str">
        <f>OBRA!N387</f>
        <v>GMJ 005 C-OP/2019</v>
      </c>
      <c r="G48" s="3" t="str">
        <f>OBRA!P387</f>
        <v xml:space="preserve">"REHABILITACIÓN DE LINEAS DE AGUA POTABLE EN CALLE 20 DE NOVIEMBRE DE ITURBIDE A PRIMAVERA CON REPOSICIÓN DE SUPERFICIE DE RODAMIENTO", CABECERA MUNICIPAL DEL MUNICIPIO DE JOCOTEPEC, JALISCO. </v>
      </c>
      <c r="H48" s="1598" t="s">
        <v>4754</v>
      </c>
      <c r="I48" s="3" t="str">
        <f>OBRA!Q387</f>
        <v>CABECERA MUNICIPAL</v>
      </c>
      <c r="J48" s="3" t="s">
        <v>2687</v>
      </c>
      <c r="K48" s="3" t="s">
        <v>4770</v>
      </c>
      <c r="L48" s="3" t="s">
        <v>2548</v>
      </c>
      <c r="M48" s="1602">
        <f>OBRA!AS387+OBRA!AT387</f>
        <v>554784.07999999996</v>
      </c>
      <c r="N48" s="242">
        <f>GRAL!AF389</f>
        <v>98.47</v>
      </c>
      <c r="O48" s="242" t="str">
        <f>GRAL!AG389</f>
        <v>ML</v>
      </c>
      <c r="P48" s="2" t="s">
        <v>4981</v>
      </c>
      <c r="Q48" s="2"/>
    </row>
    <row r="49" spans="1:17" ht="75" customHeight="1">
      <c r="A49" s="1"/>
      <c r="B49" s="1600"/>
      <c r="C49" s="1" t="str">
        <f>OBRA!CB388</f>
        <v>2018-2021</v>
      </c>
      <c r="D49" s="1">
        <f>OBRA!J388</f>
        <v>2019</v>
      </c>
      <c r="E49" s="1598" t="str">
        <f>OBRA!O388</f>
        <v>ADJUDICACIÓN DIRECTA</v>
      </c>
      <c r="F49" s="1281" t="str">
        <f>OBRA!N388</f>
        <v>GMJ 006 C-OP/2019</v>
      </c>
      <c r="G49" s="3" t="str">
        <f>OBRA!P388</f>
        <v>"REHABILITACIÓN DE LÍNEA DE DRENAJE SANITARIO EN CALLE 20 DE NOVIEMBRE DE ITURBIDE A PRIMAVERA CON REPOSICIÓN DE SUPERFICIE DE RODAMIENTO", EN CABECERA MUNICIPAL DEL MUNICIPIO DE JOCOTEPEC, JALISCO.</v>
      </c>
      <c r="H49" s="1598" t="s">
        <v>4755</v>
      </c>
      <c r="I49" s="3" t="str">
        <f>OBRA!Q388</f>
        <v>CABECERA MUNICIPAL</v>
      </c>
      <c r="J49" s="3" t="s">
        <v>2687</v>
      </c>
      <c r="K49" s="3" t="s">
        <v>4770</v>
      </c>
      <c r="L49" s="3" t="s">
        <v>2548</v>
      </c>
      <c r="M49" s="1602">
        <f>OBRA!AS388+OBRA!AT388</f>
        <v>569953.75</v>
      </c>
      <c r="N49" s="242">
        <f>GRAL!AF390</f>
        <v>104.3</v>
      </c>
      <c r="O49" s="242" t="str">
        <f>GRAL!AG390</f>
        <v>ML</v>
      </c>
      <c r="P49" s="2" t="s">
        <v>4982</v>
      </c>
      <c r="Q49" s="2"/>
    </row>
    <row r="50" spans="1:17" ht="45" hidden="1">
      <c r="A50" s="1"/>
      <c r="B50" s="1"/>
      <c r="C50" s="1" t="str">
        <f>OBRA!CB389</f>
        <v>2018-2021</v>
      </c>
      <c r="D50" s="1">
        <f>OBRA!J389</f>
        <v>2019</v>
      </c>
      <c r="E50" s="1598" t="str">
        <f>OBRA!O389</f>
        <v>CANCELADA</v>
      </c>
      <c r="F50" s="1598" t="str">
        <f>OBRA!N389</f>
        <v>GMJ 007 C-OP/2019</v>
      </c>
      <c r="G50" s="3" t="str">
        <f>OBRA!P389</f>
        <v>"CONSTRUCCIÓN DE EMPEDRADO AHOGADO EN HUELLAS DE CONCRETO MR-42 EN CALLE CARDENAL NORTE", EN LA LOCALIDAD DE SAN JUAN COSALA, MUNICIPIO DE JOCOTEPEC, JALISCO.</v>
      </c>
      <c r="H50" s="1"/>
      <c r="I50" s="3" t="str">
        <f>OBRA!Q389</f>
        <v>SAN JUAN COSALÁ</v>
      </c>
      <c r="J50" s="3"/>
      <c r="K50" s="3"/>
      <c r="L50" s="3"/>
      <c r="M50" s="1602">
        <f>OBRA!AS389+OBRA!AT389</f>
        <v>949738.6</v>
      </c>
      <c r="N50" s="1">
        <f>GRAL!AF391</f>
        <v>1050</v>
      </c>
      <c r="O50" s="1" t="str">
        <f>GRAL!AG391</f>
        <v>M2</v>
      </c>
      <c r="P50" s="1"/>
      <c r="Q50" s="1"/>
    </row>
    <row r="51" spans="1:17" ht="45">
      <c r="A51" s="1"/>
      <c r="B51" s="1600"/>
      <c r="C51" s="1" t="str">
        <f>OBRA!CB390</f>
        <v>2018-2021</v>
      </c>
      <c r="D51" s="1">
        <f>OBRA!J390</f>
        <v>2019</v>
      </c>
      <c r="E51" s="1598" t="str">
        <f>OBRA!O390</f>
        <v>ADJUDICACIÓN DIRECTA</v>
      </c>
      <c r="F51" s="1281" t="str">
        <f>OBRA!N390</f>
        <v>GMJ 008 C-OP/2019</v>
      </c>
      <c r="G51" s="3" t="str">
        <f>OBRA!P390</f>
        <v>"CONSTRUCCION DE DEPOSITO PARA ALMACENAMIENTO DE AGUA POTABLE", EN LA LOCALIDAD DE HUEJOTITAN, MUNICIPIO DE JOCOTEPEC, JALISCO.</v>
      </c>
      <c r="H51" s="1598" t="s">
        <v>4745</v>
      </c>
      <c r="I51" s="3" t="str">
        <f>OBRA!Q390</f>
        <v>HUEJOTITÁN</v>
      </c>
      <c r="J51" s="3" t="s">
        <v>4775</v>
      </c>
      <c r="K51" s="3" t="s">
        <v>68</v>
      </c>
      <c r="L51" s="3" t="s">
        <v>68</v>
      </c>
      <c r="M51" s="1602">
        <f>OBRA!AS390+OBRA!AT390</f>
        <v>707135.33</v>
      </c>
      <c r="N51" s="242">
        <f>GRAL!AF392</f>
        <v>1</v>
      </c>
      <c r="O51" s="242" t="str">
        <f>GRAL!AG392</f>
        <v>LOTE</v>
      </c>
      <c r="P51" s="2" t="s">
        <v>68</v>
      </c>
      <c r="Q51" s="2"/>
    </row>
    <row r="52" spans="1:17" ht="45">
      <c r="A52" s="1"/>
      <c r="B52" s="1600"/>
      <c r="C52" s="1" t="str">
        <f>OBRA!CB391</f>
        <v>2018-2021</v>
      </c>
      <c r="D52" s="1">
        <f>OBRA!J391</f>
        <v>2019</v>
      </c>
      <c r="E52" s="1598" t="str">
        <f>OBRA!O391</f>
        <v>ADJUDICACIÓN DIRECTA</v>
      </c>
      <c r="F52" s="1281" t="str">
        <f>OBRA!N391</f>
        <v>GMJ 009 C-OP/2019</v>
      </c>
      <c r="G52" s="3" t="str">
        <f>OBRA!P391</f>
        <v>CONSTRUCCIÓN DE PLATAFORMA Y CAMINO DE ACCESO AL PREDIO DEL DEPOSITO DE AGUA EN ZONA NORTE DE LA CABECERA MUNICIPAL DE JOCOTEPEC, JALISCO.</v>
      </c>
      <c r="H52" s="1598" t="s">
        <v>4745</v>
      </c>
      <c r="I52" s="3" t="str">
        <f>OBRA!Q391</f>
        <v>CABECERA MUNICIPAL</v>
      </c>
      <c r="J52" s="3" t="s">
        <v>2654</v>
      </c>
      <c r="K52" s="3" t="s">
        <v>68</v>
      </c>
      <c r="L52" s="3" t="s">
        <v>68</v>
      </c>
      <c r="M52" s="1602">
        <f>OBRA!AS391+OBRA!AT391</f>
        <v>413006.4</v>
      </c>
      <c r="N52" s="242">
        <f>GRAL!AF393</f>
        <v>2000</v>
      </c>
      <c r="O52" s="242" t="str">
        <f>GRAL!AG393</f>
        <v>M2</v>
      </c>
      <c r="P52" s="2" t="s">
        <v>68</v>
      </c>
      <c r="Q52" s="2"/>
    </row>
    <row r="53" spans="1:17" ht="45">
      <c r="A53" s="1"/>
      <c r="B53" s="1600"/>
      <c r="C53" s="1" t="str">
        <f>OBRA!CB392</f>
        <v>2018-2021</v>
      </c>
      <c r="D53" s="1">
        <f>OBRA!J392</f>
        <v>2019</v>
      </c>
      <c r="E53" s="1598" t="str">
        <f>OBRA!O392</f>
        <v>ADJUDICACIÓN DIRECTA</v>
      </c>
      <c r="F53" s="1281" t="str">
        <f>OBRA!N392</f>
        <v>GMJ 010 C-OP/2019</v>
      </c>
      <c r="G53" s="3" t="str">
        <f>OBRA!P392</f>
        <v>"CONSTRUCCIÓN DE DEPOSITO PARA ALMACENAMIENTO DE AGUA POTABLE", EN LA ZONA NORTE DE LA CABECERA MUNICIPAL DE JOCOTEPEC, JALISCO.</v>
      </c>
      <c r="H53" s="1598" t="s">
        <v>4745</v>
      </c>
      <c r="I53" s="3" t="str">
        <f>OBRA!Q392</f>
        <v>CABECERA MUNICIPAL</v>
      </c>
      <c r="J53" s="3" t="s">
        <v>2654</v>
      </c>
      <c r="K53" s="3" t="s">
        <v>68</v>
      </c>
      <c r="L53" s="3" t="s">
        <v>68</v>
      </c>
      <c r="M53" s="1602">
        <f>OBRA!AS392+OBRA!AT392</f>
        <v>1661297.6</v>
      </c>
      <c r="N53" s="242">
        <f>GRAL!AF394</f>
        <v>1</v>
      </c>
      <c r="O53" s="242" t="str">
        <f>GRAL!AG394</f>
        <v>LOTE</v>
      </c>
      <c r="P53" s="2" t="s">
        <v>68</v>
      </c>
      <c r="Q53" s="2"/>
    </row>
    <row r="54" spans="1:17" ht="45">
      <c r="A54" s="1"/>
      <c r="B54" s="1600"/>
      <c r="C54" s="1" t="str">
        <f>OBRA!CB393</f>
        <v>2018-2021</v>
      </c>
      <c r="D54" s="1">
        <f>OBRA!J393</f>
        <v>2019</v>
      </c>
      <c r="E54" s="1598" t="str">
        <f>OBRA!O393</f>
        <v>ADJUDICACIÓN DIRECTA</v>
      </c>
      <c r="F54" s="1281" t="str">
        <f>OBRA!N393</f>
        <v>GMJ 011 C-OP/2019</v>
      </c>
      <c r="G54" s="3" t="str">
        <f>OBRA!P393</f>
        <v>"CONSTRUCCIÓN DE DEPOSITO PARA ALMACENAMIENTO DE AGUA POTABLE", EN LA LOCALIDAD DE SAN CRISTOBAL ZAPOTITLAN, MUNICIPIO DE JOCOTEPEC, JALISCO.</v>
      </c>
      <c r="H54" s="1598" t="s">
        <v>4745</v>
      </c>
      <c r="I54" s="3" t="str">
        <f>OBRA!Q393</f>
        <v>SAN CRISTÓBAL ZAPOTITLÁN</v>
      </c>
      <c r="J54" s="683" t="s">
        <v>4886</v>
      </c>
      <c r="K54" s="683" t="s">
        <v>2528</v>
      </c>
      <c r="L54" s="683" t="s">
        <v>4887</v>
      </c>
      <c r="M54" s="1602">
        <f>OBRA!AS393+OBRA!AT393</f>
        <v>643537.42000000004</v>
      </c>
      <c r="N54" s="242">
        <f>GRAL!AF395</f>
        <v>1</v>
      </c>
      <c r="O54" s="242" t="str">
        <f>GRAL!AG395</f>
        <v>LOTE</v>
      </c>
      <c r="P54" s="2" t="s">
        <v>68</v>
      </c>
      <c r="Q54" s="2"/>
    </row>
    <row r="55" spans="1:17" ht="22.5" hidden="1">
      <c r="A55" s="1"/>
      <c r="B55" s="1"/>
      <c r="C55" s="1" t="str">
        <f>OBRA!CB394</f>
        <v>2018-2021</v>
      </c>
      <c r="D55" s="1">
        <f>OBRA!J394</f>
        <v>2019</v>
      </c>
      <c r="E55" s="1598" t="str">
        <f>OBRA!O394</f>
        <v>CANCELADA</v>
      </c>
      <c r="F55" s="1598" t="str">
        <f>OBRA!N394</f>
        <v>GMJ 012 C-OP/2019</v>
      </c>
      <c r="G55" s="3">
        <f>OBRA!P394</f>
        <v>0</v>
      </c>
      <c r="H55" s="1"/>
      <c r="I55" s="3">
        <f>OBRA!Q394</f>
        <v>0</v>
      </c>
      <c r="J55" s="3"/>
      <c r="K55" s="3"/>
      <c r="L55" s="3"/>
      <c r="M55" s="1602">
        <f>OBRA!AS394+OBRA!AT394</f>
        <v>0</v>
      </c>
      <c r="N55" s="1">
        <f>GRAL!AF396</f>
        <v>0</v>
      </c>
      <c r="O55" s="1">
        <f>GRAL!AG396</f>
        <v>0</v>
      </c>
      <c r="P55" s="1"/>
      <c r="Q55" s="1"/>
    </row>
    <row r="56" spans="1:17" ht="45">
      <c r="A56" s="1"/>
      <c r="B56" s="1600"/>
      <c r="C56" s="1" t="str">
        <f>OBRA!CB395</f>
        <v>2018-2021</v>
      </c>
      <c r="D56" s="1">
        <f>OBRA!J395</f>
        <v>2019</v>
      </c>
      <c r="E56" s="1598" t="str">
        <f>OBRA!O395</f>
        <v>ADJUDICACIÓN DIRECTA</v>
      </c>
      <c r="F56" s="1281" t="str">
        <f>OBRA!N395</f>
        <v>GMJ 013 C-OP/2019</v>
      </c>
      <c r="G56" s="3" t="str">
        <f>OBRA!P395</f>
        <v>"CONSTRUCCIÓN DE EMPEDRADO ECOLOGICO EN LA CALLE PRIVADA MORELOS, DELEGACIÓN DE CHANTE, MUNICIPIO DE JOCOTEPEC, JALISCO".</v>
      </c>
      <c r="H56" s="1598" t="s">
        <v>4752</v>
      </c>
      <c r="I56" s="3" t="str">
        <f>OBRA!Q395</f>
        <v>CHANTEPEC</v>
      </c>
      <c r="J56" s="3" t="s">
        <v>2703</v>
      </c>
      <c r="K56" s="3" t="s">
        <v>4697</v>
      </c>
      <c r="L56" s="3" t="s">
        <v>4767</v>
      </c>
      <c r="M56" s="1602">
        <f>OBRA!AS395+OBRA!AT395</f>
        <v>74990.720000000001</v>
      </c>
      <c r="N56" s="242">
        <f>GRAL!AF397</f>
        <v>216</v>
      </c>
      <c r="O56" s="242" t="str">
        <f>GRAL!AG397</f>
        <v>M2</v>
      </c>
      <c r="P56" s="2" t="s">
        <v>68</v>
      </c>
      <c r="Q56" s="2"/>
    </row>
    <row r="57" spans="1:17" ht="55.5" customHeight="1">
      <c r="A57" s="1"/>
      <c r="B57" s="1600"/>
      <c r="C57" s="1" t="str">
        <f>OBRA!CB396</f>
        <v>2018-2021</v>
      </c>
      <c r="D57" s="1">
        <f>OBRA!J396</f>
        <v>2019</v>
      </c>
      <c r="E57" s="1598" t="str">
        <f>OBRA!O396</f>
        <v>ADJUDICACIÓN DIRECTA</v>
      </c>
      <c r="F57" s="1281" t="str">
        <f>OBRA!N396</f>
        <v>GMJ 014 C-OP/2019</v>
      </c>
      <c r="G57" s="3" t="str">
        <f>OBRA!P396</f>
        <v>"CONSTRUCCIÓN DE BANQUETAS EN CALLE CUAUHTÉMOC, 2ª ETAPA, DELEGACIÓN DEL CHANTE, MUNICIPIO DE JOCOTEPEC, JALISCO</v>
      </c>
      <c r="H57" s="1598" t="s">
        <v>4748</v>
      </c>
      <c r="I57" s="3" t="str">
        <f>OBRA!Q396</f>
        <v>CHANTEPEC</v>
      </c>
      <c r="J57" s="3" t="s">
        <v>4774</v>
      </c>
      <c r="K57" s="683" t="s">
        <v>2633</v>
      </c>
      <c r="L57" s="683" t="s">
        <v>5419</v>
      </c>
      <c r="M57" s="1602">
        <f>OBRA!AS396+OBRA!AT396</f>
        <v>185760.77</v>
      </c>
      <c r="N57" s="242">
        <f>GRAL!AF398</f>
        <v>265</v>
      </c>
      <c r="O57" s="242" t="str">
        <f>GRAL!AG398</f>
        <v>M2</v>
      </c>
      <c r="P57" s="1281" t="s">
        <v>4980</v>
      </c>
      <c r="Q57" s="2"/>
    </row>
    <row r="58" spans="1:17" ht="45">
      <c r="A58" s="1"/>
      <c r="B58" s="1600"/>
      <c r="C58" s="1" t="str">
        <f>OBRA!CB397</f>
        <v>2018-2021</v>
      </c>
      <c r="D58" s="1">
        <f>OBRA!J397</f>
        <v>2019</v>
      </c>
      <c r="E58" s="1598" t="str">
        <f>OBRA!O397</f>
        <v>ADJUDICACIÓN DIRECTA</v>
      </c>
      <c r="F58" s="1281" t="str">
        <f>OBRA!N397</f>
        <v>GMJ 015 C-OP/2019</v>
      </c>
      <c r="G58" s="3" t="str">
        <f>OBRA!P397</f>
        <v>REHABILITACIÓN DE LINEA DE AGUA POTABLE EN LA CALLE PRIVADA CARDENAL DE CARDENAL A CERRADA, EN LA DELEGACIÓN DE SAN JUAN COSALA, JOCOTEPEC, JALISCO.</v>
      </c>
      <c r="H58" s="1598" t="s">
        <v>4745</v>
      </c>
      <c r="I58" s="3" t="str">
        <f>OBRA!Q397</f>
        <v>SAN JUAN COSALÁ</v>
      </c>
      <c r="J58" s="3" t="s">
        <v>2712</v>
      </c>
      <c r="K58" s="3" t="s">
        <v>2586</v>
      </c>
      <c r="L58" s="3" t="s">
        <v>4767</v>
      </c>
      <c r="M58" s="1602">
        <f>OBRA!AS397+OBRA!AT397</f>
        <v>74815.27</v>
      </c>
      <c r="N58" s="242">
        <f>GRAL!AF399</f>
        <v>75</v>
      </c>
      <c r="O58" s="242" t="str">
        <f>GRAL!AG399</f>
        <v>ML</v>
      </c>
      <c r="P58" s="2" t="s">
        <v>4983</v>
      </c>
      <c r="Q58" s="2"/>
    </row>
    <row r="59" spans="1:17" ht="60" customHeight="1">
      <c r="A59" s="1"/>
      <c r="B59" s="1600"/>
      <c r="C59" s="1" t="str">
        <f>OBRA!CB398</f>
        <v>2018-2021</v>
      </c>
      <c r="D59" s="1">
        <f>OBRA!J398</f>
        <v>2019</v>
      </c>
      <c r="E59" s="1598" t="str">
        <f>OBRA!O398</f>
        <v>ADJUDICACIÓN DIRECTA</v>
      </c>
      <c r="F59" s="1281" t="str">
        <f>OBRA!N398</f>
        <v>GMJ 016 C-OP/2019</v>
      </c>
      <c r="G59" s="3" t="str">
        <f>OBRA!P398</f>
        <v>REHABILITACION DE LINEA DE DRENAJE SANITARIO, EN LA CALLE PRIVADA CARDENAL DE CARDENAL A CERRADA, EN SAN JUAN COSALA, EN EL MUNICIPIO DE JOCOTEPEC, JALISCO.</v>
      </c>
      <c r="H59" s="1598" t="s">
        <v>4747</v>
      </c>
      <c r="I59" s="3" t="str">
        <f>OBRA!Q398</f>
        <v>SAN JUAN COSALÁ</v>
      </c>
      <c r="J59" s="3" t="s">
        <v>2712</v>
      </c>
      <c r="K59" s="3" t="s">
        <v>2586</v>
      </c>
      <c r="L59" s="3" t="s">
        <v>4767</v>
      </c>
      <c r="M59" s="1602">
        <f>OBRA!AS398+OBRA!AT398</f>
        <v>131515.03</v>
      </c>
      <c r="N59" s="242">
        <f>GRAL!AF400</f>
        <v>80</v>
      </c>
      <c r="O59" s="242" t="str">
        <f>GRAL!AG400</f>
        <v>ML</v>
      </c>
      <c r="P59" s="2" t="s">
        <v>4984</v>
      </c>
      <c r="Q59" s="2"/>
    </row>
    <row r="60" spans="1:17" ht="90.75" customHeight="1">
      <c r="A60" s="1"/>
      <c r="B60" s="1600"/>
      <c r="C60" s="1" t="str">
        <f>OBRA!CB399</f>
        <v>2018-2021</v>
      </c>
      <c r="D60" s="1">
        <f>OBRA!J399</f>
        <v>2019</v>
      </c>
      <c r="E60" s="1598" t="str">
        <f>OBRA!O399</f>
        <v>ADJUDICACIÓN DIRECTA</v>
      </c>
      <c r="F60" s="1281" t="str">
        <f>OBRA!N399</f>
        <v>GMJ 017 C-OP/2019</v>
      </c>
      <c r="G60" s="3" t="str">
        <f>OBRA!P399</f>
        <v>"REHABILITACIÓN DE LÍNEA DE DRENAJE CON REPOSICIÓN DE SUPERFICIE DE RODAMIENTO EN LA CALLE NIÑOS HEROES ENTRE CALLES ITURBIDE Y VERANO", EN LA CABECERA MUNICIPAL DE JOCOTEPEC, JALISCO.</v>
      </c>
      <c r="H60" s="1598" t="s">
        <v>4755</v>
      </c>
      <c r="I60" s="3" t="str">
        <f>OBRA!Q399</f>
        <v>CABECERA MUNICIPAL</v>
      </c>
      <c r="J60" s="3" t="s">
        <v>4827</v>
      </c>
      <c r="K60" s="3" t="s">
        <v>4770</v>
      </c>
      <c r="L60" s="3" t="s">
        <v>2542</v>
      </c>
      <c r="M60" s="1602">
        <f>OBRA!AS399+OBRA!AT399</f>
        <v>997930.57</v>
      </c>
      <c r="N60" s="242">
        <f>GRAL!AF401</f>
        <v>193.9</v>
      </c>
      <c r="O60" s="242" t="str">
        <f>GRAL!AG401</f>
        <v>ML</v>
      </c>
      <c r="P60" s="601" t="s">
        <v>4986</v>
      </c>
      <c r="Q60" s="601" t="s">
        <v>4985</v>
      </c>
    </row>
    <row r="61" spans="1:17" ht="80.25" customHeight="1">
      <c r="A61" s="1"/>
      <c r="B61" s="1600"/>
      <c r="C61" s="1" t="str">
        <f>OBRA!CB400</f>
        <v>2018-2021</v>
      </c>
      <c r="D61" s="1">
        <f>OBRA!J400</f>
        <v>2019</v>
      </c>
      <c r="E61" s="1598" t="str">
        <f>OBRA!O400</f>
        <v>ADJUDICACIÓN DIRECTA</v>
      </c>
      <c r="F61" s="1281" t="str">
        <f>OBRA!N400</f>
        <v>GMJ 018 C-OP/2019</v>
      </c>
      <c r="G61" s="3" t="str">
        <f>OBRA!P400</f>
        <v>"REHABILITACIÓN DE RED DE AGUA POTABLE CON REPOSICIÓN DE SUPERFICIE DE RODAMIENTO EN LA CALLE NIÑOS HEROES ENTRE CALLES ITURBIDE Y VERANO", EN LA CABECERA MUNICIPAL DE JOCOTEPEC, JALISCO.</v>
      </c>
      <c r="H61" s="1598" t="s">
        <v>4754</v>
      </c>
      <c r="I61" s="3" t="str">
        <f>OBRA!Q400</f>
        <v>CABECERA MUNICIPAL</v>
      </c>
      <c r="J61" s="3" t="s">
        <v>4827</v>
      </c>
      <c r="K61" s="3" t="s">
        <v>4770</v>
      </c>
      <c r="L61" s="3" t="s">
        <v>2542</v>
      </c>
      <c r="M61" s="1602">
        <f>OBRA!AS400+OBRA!AT400</f>
        <v>911481</v>
      </c>
      <c r="N61" s="242">
        <f>GRAL!AF402</f>
        <v>203.26</v>
      </c>
      <c r="O61" s="242" t="str">
        <f>GRAL!AG402</f>
        <v>ML</v>
      </c>
      <c r="P61" s="601" t="s">
        <v>4987</v>
      </c>
      <c r="Q61" s="601" t="s">
        <v>4988</v>
      </c>
    </row>
    <row r="62" spans="1:17" ht="60">
      <c r="A62" s="1"/>
      <c r="B62" s="1600"/>
      <c r="C62" s="1" t="str">
        <f>OBRA!CB401</f>
        <v>2018-2021</v>
      </c>
      <c r="D62" s="1">
        <f>OBRA!J401</f>
        <v>2019</v>
      </c>
      <c r="E62" s="1598" t="str">
        <f>OBRA!O401</f>
        <v>ADJUDICACIÓN DIRECTA</v>
      </c>
      <c r="F62" s="1281" t="str">
        <f>OBRA!N401</f>
        <v>GMJ 019 C-OP/2019</v>
      </c>
      <c r="G62" s="3" t="str">
        <f>OBRA!P401</f>
        <v>"REHABILITACIÓN RED DE DRENAJE SANITARIO EN LA CALLE PRIVADA ZARAGOZA DE CALLE ZARAGOZA A CERRADA DELEGACIÓN DE SAN JUAN COSALA MUNICIPIO DE JOCOTEPEC, JALISCO".</v>
      </c>
      <c r="H62" s="1598" t="s">
        <v>4747</v>
      </c>
      <c r="I62" s="3" t="str">
        <f>OBRA!Q401</f>
        <v>SAN JUAN COSALÁ</v>
      </c>
      <c r="J62" s="3" t="s">
        <v>2714</v>
      </c>
      <c r="K62" s="3" t="s">
        <v>2535</v>
      </c>
      <c r="L62" s="3" t="s">
        <v>4767</v>
      </c>
      <c r="M62" s="1602">
        <f>OBRA!AS401+OBRA!AT401</f>
        <v>99707.9</v>
      </c>
      <c r="N62" s="242">
        <f>GRAL!AF403</f>
        <v>50</v>
      </c>
      <c r="O62" s="242" t="str">
        <f>GRAL!AG403</f>
        <v>ML</v>
      </c>
      <c r="P62" s="2" t="s">
        <v>4984</v>
      </c>
      <c r="Q62" s="2"/>
    </row>
    <row r="63" spans="1:17" ht="63" customHeight="1">
      <c r="A63" s="1"/>
      <c r="B63" s="1600"/>
      <c r="C63" s="1" t="str">
        <f>OBRA!CB402</f>
        <v>2018-2021</v>
      </c>
      <c r="D63" s="1">
        <f>OBRA!J402</f>
        <v>2019</v>
      </c>
      <c r="E63" s="1598" t="str">
        <f>OBRA!O402</f>
        <v>ADJUDICACIÓN DIRECTA</v>
      </c>
      <c r="F63" s="1281" t="str">
        <f>OBRA!N402</f>
        <v>GMJ 019 C-OP/2019</v>
      </c>
      <c r="G63" s="3" t="str">
        <f>OBRA!P402</f>
        <v>"REHABILITACIÓN DE RED DE AGUA POTABLE EN PRIVADA ZARAGOZA DE CALLE ZARAGOZA A CERRADA DELEGACIÓN DE SAN JUAN COSALA MUNICIPIO DE JOCOTEPEC, JALISCO".</v>
      </c>
      <c r="H63" s="1598" t="s">
        <v>4745</v>
      </c>
      <c r="I63" s="3" t="str">
        <f>OBRA!Q402</f>
        <v>SAN JUAN COSALÁ</v>
      </c>
      <c r="J63" s="3" t="s">
        <v>2714</v>
      </c>
      <c r="K63" s="3" t="s">
        <v>2535</v>
      </c>
      <c r="L63" s="3" t="s">
        <v>4767</v>
      </c>
      <c r="M63" s="1602">
        <f>OBRA!AS402+OBRA!AT402</f>
        <v>130875.44</v>
      </c>
      <c r="N63" s="242">
        <f>GRAL!AF404</f>
        <v>107.47</v>
      </c>
      <c r="O63" s="242" t="str">
        <f>GRAL!AG404</f>
        <v>ML</v>
      </c>
      <c r="P63" s="2"/>
      <c r="Q63" s="2"/>
    </row>
    <row r="64" spans="1:17" ht="45">
      <c r="A64" s="1"/>
      <c r="B64" s="1600"/>
      <c r="C64" s="1" t="str">
        <f>OBRA!CB403</f>
        <v>2018-2021</v>
      </c>
      <c r="D64" s="1">
        <f>OBRA!J403</f>
        <v>2019</v>
      </c>
      <c r="E64" s="1598" t="str">
        <f>OBRA!O403</f>
        <v>ADJUDICACIÓN DIRECTA</v>
      </c>
      <c r="F64" s="1281" t="str">
        <f>OBRA!N403</f>
        <v>GMJ 020 C-OP/2019</v>
      </c>
      <c r="G64" s="3" t="str">
        <f>OBRA!P403</f>
        <v>"CONSTRUCCIÓN DE RED DE AGUA POTABLE EN CALLE PRIVADA GUADALUPE VICTORIA DELEGACIÓN DE SAN JUAN COSALA MUNICIPIO DE JOCOTEPEC, JALISCO"</v>
      </c>
      <c r="H64" s="1598" t="s">
        <v>4745</v>
      </c>
      <c r="I64" s="3" t="str">
        <f>OBRA!Q403</f>
        <v>SAN JUAN COSALÁ</v>
      </c>
      <c r="J64" s="3" t="s">
        <v>2717</v>
      </c>
      <c r="K64" s="3" t="s">
        <v>4793</v>
      </c>
      <c r="L64" s="3" t="s">
        <v>4767</v>
      </c>
      <c r="M64" s="1602">
        <f>OBRA!AS403+OBRA!AT403</f>
        <v>104942</v>
      </c>
      <c r="N64" s="242">
        <f>GRAL!AF405</f>
        <v>119</v>
      </c>
      <c r="O64" s="242" t="str">
        <f>GRAL!AG405</f>
        <v>ML</v>
      </c>
      <c r="P64" s="2" t="s">
        <v>4981</v>
      </c>
      <c r="Q64" s="2"/>
    </row>
    <row r="65" spans="1:17" ht="45">
      <c r="A65" s="1"/>
      <c r="B65" s="1600"/>
      <c r="C65" s="1" t="str">
        <f>OBRA!CB404</f>
        <v>2018-2021</v>
      </c>
      <c r="D65" s="1">
        <f>OBRA!J404</f>
        <v>2019</v>
      </c>
      <c r="E65" s="1598" t="str">
        <f>OBRA!O404</f>
        <v>ADJUDICACIÓN DIRECTA</v>
      </c>
      <c r="F65" s="1281" t="str">
        <f>OBRA!N404</f>
        <v>GMJ 021 C-OP/2019</v>
      </c>
      <c r="G65" s="3" t="str">
        <f>OBRA!P404</f>
        <v>"CONSTRUCCIÓN DE LÍNEA DE DRENAJE SANITARIO EN CALLE PRIVADA GUADALUPE VICTORIA DELELGACIÓN DE SAN JUAN COSALA MUNICIPIO DE JOCOTEPEC, JALISCO".</v>
      </c>
      <c r="H65" s="1598" t="s">
        <v>4747</v>
      </c>
      <c r="I65" s="3" t="str">
        <f>OBRA!Q404</f>
        <v>SAN JUAN COSALÁ</v>
      </c>
      <c r="J65" s="3" t="s">
        <v>2717</v>
      </c>
      <c r="K65" s="3" t="s">
        <v>4793</v>
      </c>
      <c r="L65" s="3" t="s">
        <v>4767</v>
      </c>
      <c r="M65" s="1602">
        <f>OBRA!AS404+OBRA!AT404</f>
        <v>132810.69</v>
      </c>
      <c r="N65" s="242">
        <f>GRAL!AF406</f>
        <v>105</v>
      </c>
      <c r="O65" s="242" t="str">
        <f>GRAL!AG406</f>
        <v>ML</v>
      </c>
      <c r="P65" s="2" t="s">
        <v>4982</v>
      </c>
      <c r="Q65" s="2"/>
    </row>
    <row r="66" spans="1:17" ht="45" hidden="1">
      <c r="A66" s="1"/>
      <c r="B66" s="1"/>
      <c r="C66" s="1" t="str">
        <f>OBRA!CB405</f>
        <v>2018-2021</v>
      </c>
      <c r="D66" s="1">
        <f>OBRA!J405</f>
        <v>2019</v>
      </c>
      <c r="E66" s="1598" t="str">
        <f>OBRA!O405</f>
        <v>CANCELADA</v>
      </c>
      <c r="F66" s="1598" t="str">
        <f>OBRA!N405</f>
        <v>GMJ 022 C-OP/2019</v>
      </c>
      <c r="G66" s="3" t="str">
        <f>OBRA!P405</f>
        <v xml:space="preserve">"CONSTRUCCIÓN DE PLANTA DE TRATAMIENTO INCLUYENDO OBRA CIVIL Y EQUIPAMIENTO EN EL RASTRO MUNICIPAL", EN LA CABECERA MUNICIPAL DE JOCOTEPEC, JALISCO </v>
      </c>
      <c r="H66" s="1"/>
      <c r="I66" s="3">
        <f>OBRA!Q405</f>
        <v>0</v>
      </c>
      <c r="J66" s="3"/>
      <c r="K66" s="3"/>
      <c r="L66" s="3"/>
      <c r="M66" s="1602">
        <f>OBRA!AS405+OBRA!AT405</f>
        <v>0</v>
      </c>
      <c r="N66" s="1">
        <f>GRAL!AF407</f>
        <v>1</v>
      </c>
      <c r="O66" s="1" t="str">
        <f>GRAL!AG407</f>
        <v>LOTE</v>
      </c>
      <c r="P66" s="1"/>
      <c r="Q66" s="1"/>
    </row>
    <row r="67" spans="1:17" ht="45">
      <c r="A67" s="1"/>
      <c r="B67" s="1600"/>
      <c r="C67" s="1" t="str">
        <f>OBRA!CB406</f>
        <v>2018-2021</v>
      </c>
      <c r="D67" s="1">
        <f>OBRA!J406</f>
        <v>2019</v>
      </c>
      <c r="E67" s="1598" t="str">
        <f>OBRA!O406</f>
        <v>ADJUDICACIÓN DIRECTA</v>
      </c>
      <c r="F67" s="1281" t="str">
        <f>OBRA!N406</f>
        <v>GMJ 023 C-OP/2019</v>
      </c>
      <c r="G67" s="3" t="str">
        <f>OBRA!P406</f>
        <v>“CONSTRUCCIÓN DE ÁREA DE CORRALES MÓDULO 1 PRIMERA ETAPA EN EL RASTRO MUNICIPAL”, EN LA CABECERA MUNICIPAL, DE JOCOTEPEC, JALISCO.</v>
      </c>
      <c r="H67" s="1598" t="s">
        <v>4757</v>
      </c>
      <c r="I67" s="3" t="str">
        <f>OBRA!Q406</f>
        <v>CABECERA MUNICIPAL</v>
      </c>
      <c r="J67" s="3" t="s">
        <v>3143</v>
      </c>
      <c r="K67" s="3" t="s">
        <v>4776</v>
      </c>
      <c r="L67" s="3" t="s">
        <v>4777</v>
      </c>
      <c r="M67" s="1602">
        <f>OBRA!AS406+OBRA!AT406</f>
        <v>1393904.46</v>
      </c>
      <c r="N67" s="242">
        <f>GRAL!AF408</f>
        <v>731.62</v>
      </c>
      <c r="O67" s="242" t="str">
        <f>GRAL!AG408</f>
        <v>M2</v>
      </c>
      <c r="P67" s="2" t="s">
        <v>68</v>
      </c>
      <c r="Q67" s="2"/>
    </row>
    <row r="68" spans="1:17" ht="45">
      <c r="A68" s="1"/>
      <c r="B68" s="1600"/>
      <c r="C68" s="1" t="str">
        <f>OBRA!CB407</f>
        <v>2018-2021</v>
      </c>
      <c r="D68" s="1">
        <f>OBRA!J407</f>
        <v>2019</v>
      </c>
      <c r="E68" s="1598" t="str">
        <f>OBRA!O407</f>
        <v>ADJUDICACIÓN DIRECTA</v>
      </c>
      <c r="F68" s="1281" t="str">
        <f>OBRA!N407</f>
        <v>GMJ 024 C-OP/2019</v>
      </c>
      <c r="G68" s="3" t="str">
        <f>OBRA!P407</f>
        <v>“REHABILITACIÓN DE ÁREA DE MATANZA EN ESTRUCTURA Y TECHUMBRE PRIMERA ETAPA EN EL RASTRO MUNICIPAL”, EN LA CABECERA MUNICIPAL, DE JOCOTEPEC, JALISCO.</v>
      </c>
      <c r="H68" s="1598" t="s">
        <v>4757</v>
      </c>
      <c r="I68" s="3" t="str">
        <f>OBRA!Q407</f>
        <v>CABECERA MUNICIPAL</v>
      </c>
      <c r="J68" s="3" t="s">
        <v>3143</v>
      </c>
      <c r="K68" s="3" t="s">
        <v>4776</v>
      </c>
      <c r="L68" s="3" t="s">
        <v>4777</v>
      </c>
      <c r="M68" s="1602">
        <f>OBRA!AS407+OBRA!AT407</f>
        <v>1414229.1</v>
      </c>
      <c r="N68" s="242">
        <f>GRAL!AF409</f>
        <v>276.38</v>
      </c>
      <c r="O68" s="242" t="str">
        <f>GRAL!AG409</f>
        <v>M2</v>
      </c>
      <c r="P68" s="2" t="s">
        <v>68</v>
      </c>
      <c r="Q68" s="2"/>
    </row>
    <row r="69" spans="1:17" ht="45">
      <c r="A69" s="1"/>
      <c r="B69" s="1600"/>
      <c r="C69" s="1" t="str">
        <f>OBRA!CB408</f>
        <v>2018-2021</v>
      </c>
      <c r="D69" s="1">
        <f>OBRA!J408</f>
        <v>2019</v>
      </c>
      <c r="E69" s="1598" t="str">
        <f>OBRA!O408</f>
        <v>ADJUDICACIÓN DIRECTA</v>
      </c>
      <c r="F69" s="1281" t="str">
        <f>OBRA!N408</f>
        <v>GMJ 025 C-OP/2019</v>
      </c>
      <c r="G69" s="3" t="str">
        <f>OBRA!P408</f>
        <v>"REHABILITACIÓN DE RED DE DRENAJE SANITARIO EN CALLE OTOÑO ENTRE CALLE NIÑOS HEROES Y ZARAGOZA" EN LA CABECERA MUNICIPAL DE JOCOTEPEC, JALISCO</v>
      </c>
      <c r="H69" s="1598" t="s">
        <v>4747</v>
      </c>
      <c r="I69" s="3" t="str">
        <f>OBRA!Q408</f>
        <v>CABECERA MUNICIPAL</v>
      </c>
      <c r="J69" s="3" t="s">
        <v>2647</v>
      </c>
      <c r="K69" s="3" t="s">
        <v>4827</v>
      </c>
      <c r="L69" s="3" t="s">
        <v>2535</v>
      </c>
      <c r="M69" s="1602">
        <f>OBRA!AS408+OBRA!AT408</f>
        <v>185500.38</v>
      </c>
      <c r="N69" s="242">
        <f>GRAL!AF410</f>
        <v>131</v>
      </c>
      <c r="O69" s="242" t="str">
        <f>GRAL!AG410</f>
        <v>ML</v>
      </c>
      <c r="P69" s="2" t="s">
        <v>4982</v>
      </c>
      <c r="Q69" s="2"/>
    </row>
    <row r="70" spans="1:17" ht="45">
      <c r="A70" s="1"/>
      <c r="B70" s="1600"/>
      <c r="C70" s="1" t="str">
        <f>OBRA!CB409</f>
        <v>2018-2021</v>
      </c>
      <c r="D70" s="1">
        <f>OBRA!J409</f>
        <v>2019</v>
      </c>
      <c r="E70" s="1598" t="str">
        <f>OBRA!O409</f>
        <v>ADJUDICACIÓN DIRECTA</v>
      </c>
      <c r="F70" s="1281" t="str">
        <f>OBRA!N409</f>
        <v>GMJ 026 C-OP/2019</v>
      </c>
      <c r="G70" s="3" t="str">
        <f>OBRA!P409</f>
        <v>"REHABILITACIÓN DE RED DE AGUA POTABLE EN CALLE OTOÑO ENTRE CALLE NIÑOS HEROES Y ZARAGOZA" EN LA CABECERA MUNICIPAL DE JOCOTEPEC, JALISCO</v>
      </c>
      <c r="H70" s="1598" t="s">
        <v>4745</v>
      </c>
      <c r="I70" s="3" t="str">
        <f>OBRA!Q409</f>
        <v>CABECERA MUNICIPAL</v>
      </c>
      <c r="J70" s="3" t="s">
        <v>2647</v>
      </c>
      <c r="K70" s="3" t="s">
        <v>4827</v>
      </c>
      <c r="L70" s="3" t="s">
        <v>2535</v>
      </c>
      <c r="M70" s="1602">
        <f>OBRA!AS409+OBRA!AT409</f>
        <v>140274.29</v>
      </c>
      <c r="N70" s="242">
        <f>GRAL!AF411</f>
        <v>121.65</v>
      </c>
      <c r="O70" s="242" t="str">
        <f>GRAL!AG411</f>
        <v>ML</v>
      </c>
      <c r="P70" s="2" t="s">
        <v>4981</v>
      </c>
      <c r="Q70" s="2"/>
    </row>
    <row r="71" spans="1:17" ht="60" customHeight="1">
      <c r="A71" s="1"/>
      <c r="B71" s="1600"/>
      <c r="C71" s="1" t="str">
        <f>OBRA!CB410</f>
        <v>2018-2021</v>
      </c>
      <c r="D71" s="1">
        <f>OBRA!J410</f>
        <v>2019</v>
      </c>
      <c r="E71" s="1598" t="str">
        <f>OBRA!O410</f>
        <v>ADJUDICACIÓN DIRECTA</v>
      </c>
      <c r="F71" s="1281" t="str">
        <f>OBRA!N410</f>
        <v>GMJ 027 C-OP/2019</v>
      </c>
      <c r="G71" s="3" t="str">
        <f>OBRA!P410</f>
        <v>“CONSTRUCCIÓN DE EMPEDRADO AHOGADO EN  CEMENTO EN CALLE OTOÑO ENTRE CALLE NIÑOS HÉROES Y CALLE ZARAGOZA”  EN LA CABECERA MUNICIPAL DE JOCOTEPEC, JALISCO.</v>
      </c>
      <c r="H71" s="1598" t="s">
        <v>4752</v>
      </c>
      <c r="I71" s="3" t="str">
        <f>OBRA!Q410</f>
        <v>CABECERA MUNICIPAL</v>
      </c>
      <c r="J71" s="3" t="s">
        <v>2647</v>
      </c>
      <c r="K71" s="3" t="s">
        <v>4827</v>
      </c>
      <c r="L71" s="3" t="s">
        <v>2535</v>
      </c>
      <c r="M71" s="1602">
        <f>OBRA!AS410+OBRA!AT410</f>
        <v>826172.24</v>
      </c>
      <c r="N71" s="242">
        <f>GRAL!AF412</f>
        <v>1301.04</v>
      </c>
      <c r="O71" s="242" t="str">
        <f>GRAL!AG412</f>
        <v>M2</v>
      </c>
      <c r="P71" s="2"/>
      <c r="Q71" s="2"/>
    </row>
    <row r="72" spans="1:17" ht="64.5" customHeight="1">
      <c r="A72" s="1"/>
      <c r="B72" s="1600"/>
      <c r="C72" s="1" t="str">
        <f>OBRA!CB411</f>
        <v>2018-2021</v>
      </c>
      <c r="D72" s="1">
        <f>OBRA!J411</f>
        <v>2019</v>
      </c>
      <c r="E72" s="1598" t="str">
        <f>OBRA!O411</f>
        <v>ADJUDICACIÓN DIRECTA</v>
      </c>
      <c r="F72" s="1281" t="str">
        <f>OBRA!N411</f>
        <v>GMJ 028 C-OP/2019</v>
      </c>
      <c r="G72" s="3" t="str">
        <f>OBRA!P411</f>
        <v>“REHABILITACIÓN DE LÍNEA DE DRENAJE EN LA CALLE INVIERNO ENTRE CALLES FRANCISCO VILLA Y 20 DE NOVIEMBRE”  EN LA CABECERA MUNICIPAL DE JOCOTEPEC, JALISCO.</v>
      </c>
      <c r="H72" s="1598" t="s">
        <v>4747</v>
      </c>
      <c r="I72" s="3" t="str">
        <f>OBRA!Q411</f>
        <v>CABECERA MUNICIPAL</v>
      </c>
      <c r="J72" s="3" t="s">
        <v>2697</v>
      </c>
      <c r="K72" s="3" t="s">
        <v>3420</v>
      </c>
      <c r="L72" s="3" t="s">
        <v>2687</v>
      </c>
      <c r="M72" s="1602">
        <f>OBRA!AS411+OBRA!AT411</f>
        <v>295953.42</v>
      </c>
      <c r="N72" s="242">
        <f>GRAL!AF413</f>
        <v>156</v>
      </c>
      <c r="O72" s="242" t="str">
        <f>GRAL!AG413</f>
        <v>ML</v>
      </c>
      <c r="P72" s="2" t="s">
        <v>4982</v>
      </c>
      <c r="Q72" s="2"/>
    </row>
    <row r="73" spans="1:17" ht="63" customHeight="1">
      <c r="A73" s="1"/>
      <c r="B73" s="1600"/>
      <c r="C73" s="1" t="str">
        <f>OBRA!CB412</f>
        <v>2018-2021</v>
      </c>
      <c r="D73" s="1">
        <f>OBRA!J412</f>
        <v>2019</v>
      </c>
      <c r="E73" s="1598" t="str">
        <f>OBRA!O412</f>
        <v>ADJUDICACIÓN DIRECTA</v>
      </c>
      <c r="F73" s="1281" t="str">
        <f>OBRA!N412</f>
        <v>GMJ 029 C-OP/2019</v>
      </c>
      <c r="G73" s="3" t="str">
        <f>OBRA!P412</f>
        <v>“REHABILITACIÓN DE RED DE AGUA POTABLE EN CALLE INVIERNO ENTRE CALLES FRANCISCO VILLA Y 20 DE NOVIEMBRE”  EN LA CABECERA MUNICIPAL DE JOCOTEPEC, JALISCO.</v>
      </c>
      <c r="H73" s="1598" t="s">
        <v>4745</v>
      </c>
      <c r="I73" s="3" t="str">
        <f>OBRA!Q412</f>
        <v>CABECERA MUNICIPAL</v>
      </c>
      <c r="J73" s="3" t="s">
        <v>2697</v>
      </c>
      <c r="K73" s="3" t="s">
        <v>3420</v>
      </c>
      <c r="L73" s="3" t="s">
        <v>2687</v>
      </c>
      <c r="M73" s="1602">
        <f>OBRA!AS412+OBRA!AT412</f>
        <v>104872.2</v>
      </c>
      <c r="N73" s="242">
        <f>GRAL!AF414</f>
        <v>156</v>
      </c>
      <c r="O73" s="242" t="str">
        <f>GRAL!AG414</f>
        <v>ML</v>
      </c>
      <c r="P73" s="2"/>
      <c r="Q73" s="2"/>
    </row>
    <row r="74" spans="1:17" ht="60">
      <c r="A74" s="1"/>
      <c r="B74" s="1600"/>
      <c r="C74" s="1" t="str">
        <f>OBRA!CB413</f>
        <v>2018-2021</v>
      </c>
      <c r="D74" s="1">
        <f>OBRA!J413</f>
        <v>2019</v>
      </c>
      <c r="E74" s="1598" t="str">
        <f>OBRA!O413</f>
        <v>ADJUDICACIÓN DIRECTA</v>
      </c>
      <c r="F74" s="1281" t="str">
        <f>OBRA!N413</f>
        <v>GMJ 030 C-OP/2019</v>
      </c>
      <c r="G74" s="3" t="str">
        <f>OBRA!P413</f>
        <v>“FABRICACIÓN DE EMPEDRADO AHOGADO EN CEMENTO  EN CALLE INVIERNO ENTRE CALLES FRANCISCO VILLA Y 20 DE NOVIEMBRE” EN LA CABECERA MUNICIPAL DE JOCOTEPEC, JALISCO</v>
      </c>
      <c r="H74" s="1598" t="s">
        <v>4752</v>
      </c>
      <c r="I74" s="3" t="str">
        <f>OBRA!Q413</f>
        <v>CABECERA MUNICIPAL</v>
      </c>
      <c r="J74" s="3" t="s">
        <v>2697</v>
      </c>
      <c r="K74" s="3" t="s">
        <v>3420</v>
      </c>
      <c r="L74" s="3" t="s">
        <v>2687</v>
      </c>
      <c r="M74" s="1602">
        <f>OBRA!AS413+OBRA!AT413</f>
        <v>745742.71</v>
      </c>
      <c r="N74" s="242">
        <f>GRAL!AF415</f>
        <v>984</v>
      </c>
      <c r="O74" s="242" t="str">
        <f>GRAL!AG415</f>
        <v>M2</v>
      </c>
      <c r="P74" s="2" t="s">
        <v>68</v>
      </c>
      <c r="Q74" s="2"/>
    </row>
    <row r="75" spans="1:17" ht="60.75" customHeight="1">
      <c r="A75" s="1"/>
      <c r="B75" s="1600"/>
      <c r="C75" s="1" t="str">
        <f>OBRA!CB414</f>
        <v>2018-2021</v>
      </c>
      <c r="D75" s="1">
        <f>OBRA!J414</f>
        <v>2019</v>
      </c>
      <c r="E75" s="1598" t="str">
        <f>OBRA!O414</f>
        <v>ADJUDICACIÓN DIRECTA</v>
      </c>
      <c r="F75" s="1281" t="str">
        <f>OBRA!N414</f>
        <v>GMJ 031 C-OP/2019</v>
      </c>
      <c r="G75" s="3" t="str">
        <f>OBRA!P414</f>
        <v>"CONSTRUCCIÓN DE BANQUETAS EN CALLE MORELOS DELEGACIÓN DE CHANTEPEC MUNICIPIO DE JOCOTEPEC, JALISCO".</v>
      </c>
      <c r="H75" s="1598" t="s">
        <v>4748</v>
      </c>
      <c r="I75" s="3" t="str">
        <f>OBRA!Q414</f>
        <v>CHANTEPEC</v>
      </c>
      <c r="J75" s="3" t="s">
        <v>2488</v>
      </c>
      <c r="K75" s="683" t="s">
        <v>68</v>
      </c>
      <c r="L75" s="683" t="s">
        <v>68</v>
      </c>
      <c r="M75" s="1602">
        <f>OBRA!AS414+OBRA!AT414</f>
        <v>317393.01</v>
      </c>
      <c r="N75" s="242">
        <f>GRAL!AF416</f>
        <v>71.27</v>
      </c>
      <c r="O75" s="242" t="str">
        <f>GRAL!AG416</f>
        <v>M2</v>
      </c>
      <c r="P75" s="1281" t="s">
        <v>4976</v>
      </c>
      <c r="Q75" s="2"/>
    </row>
    <row r="76" spans="1:17" ht="22.5" hidden="1">
      <c r="A76" s="1"/>
      <c r="B76" s="1"/>
      <c r="C76" s="1" t="str">
        <f>OBRA!CB415</f>
        <v>2018-2021</v>
      </c>
      <c r="D76" s="1">
        <f>OBRA!J415</f>
        <v>2019</v>
      </c>
      <c r="E76" s="1598" t="str">
        <f>OBRA!O415</f>
        <v>CANCELADA</v>
      </c>
      <c r="F76" s="1598" t="str">
        <f>OBRA!N415</f>
        <v>GMJ 032 C-OP/2019</v>
      </c>
      <c r="G76" s="3">
        <f>OBRA!P415</f>
        <v>0</v>
      </c>
      <c r="H76" s="1"/>
      <c r="I76" s="3">
        <f>OBRA!Q415</f>
        <v>0</v>
      </c>
      <c r="J76" s="3"/>
      <c r="K76" s="3"/>
      <c r="L76" s="3"/>
      <c r="M76" s="1602">
        <f>OBRA!AS415+OBRA!AT415</f>
        <v>0</v>
      </c>
      <c r="N76" s="1">
        <f>GRAL!AF417</f>
        <v>1</v>
      </c>
      <c r="O76" s="1">
        <f>GRAL!AG417</f>
        <v>0</v>
      </c>
      <c r="P76" s="1"/>
      <c r="Q76" s="1"/>
    </row>
    <row r="77" spans="1:17" ht="22.5" hidden="1">
      <c r="A77" s="1"/>
      <c r="B77" s="1"/>
      <c r="C77" s="1" t="str">
        <f>OBRA!CB416</f>
        <v>2018-2021</v>
      </c>
      <c r="D77" s="1">
        <f>OBRA!J416</f>
        <v>2019</v>
      </c>
      <c r="E77" s="1598" t="str">
        <f>OBRA!O416</f>
        <v>CANCELADA</v>
      </c>
      <c r="F77" s="1598" t="str">
        <f>OBRA!N416</f>
        <v>GMJ 033 C-OP/2019</v>
      </c>
      <c r="G77" s="3">
        <f>OBRA!P416</f>
        <v>0</v>
      </c>
      <c r="H77" s="1"/>
      <c r="I77" s="3">
        <f>OBRA!Q416</f>
        <v>0</v>
      </c>
      <c r="J77" s="3"/>
      <c r="K77" s="3"/>
      <c r="L77" s="3"/>
      <c r="M77" s="1602">
        <f>OBRA!AS416+OBRA!AT416</f>
        <v>0</v>
      </c>
      <c r="N77" s="1">
        <f>GRAL!AF418</f>
        <v>1</v>
      </c>
      <c r="O77" s="1">
        <f>GRAL!AG418</f>
        <v>0</v>
      </c>
      <c r="P77" s="1"/>
      <c r="Q77" s="1"/>
    </row>
    <row r="78" spans="1:17" ht="63.75" customHeight="1">
      <c r="A78" s="1"/>
      <c r="B78" s="1600"/>
      <c r="C78" s="1" t="str">
        <f>OBRA!CB417</f>
        <v>2018-2021</v>
      </c>
      <c r="D78" s="1">
        <f>OBRA!J417</f>
        <v>2019</v>
      </c>
      <c r="E78" s="1598" t="str">
        <f>OBRA!O417</f>
        <v>ADJUDICACIÓN DIRECTA</v>
      </c>
      <c r="F78" s="1281" t="str">
        <f>OBRA!N417</f>
        <v>GMJ 034 C-OP/2019</v>
      </c>
      <c r="G78" s="3" t="str">
        <f>OBRA!P417</f>
        <v xml:space="preserve">"CONSTRUCCIÓN DE RED DE DRENAJE SANITARIO, 2DA. ETAPA EN PRIVADA ZARAGOZA DE CALLE ZARAGOZA A CERRADA DELEGACIÓN DE SAN JUAN COSALA MUNICIPIO DE JOCOTEPEC, JALISCO". </v>
      </c>
      <c r="H78" s="1598" t="s">
        <v>4747</v>
      </c>
      <c r="I78" s="3" t="str">
        <f>OBRA!Q417</f>
        <v>SAN JUAN COSALÁ</v>
      </c>
      <c r="J78" s="3" t="s">
        <v>2714</v>
      </c>
      <c r="K78" s="3" t="s">
        <v>2535</v>
      </c>
      <c r="L78" s="3" t="s">
        <v>4767</v>
      </c>
      <c r="M78" s="1602">
        <f>OBRA!AS417+OBRA!AT417</f>
        <v>82700.08</v>
      </c>
      <c r="N78" s="242">
        <f>GRAL!AF419</f>
        <v>55</v>
      </c>
      <c r="O78" s="242" t="str">
        <f>GRAL!AG419</f>
        <v>ML</v>
      </c>
      <c r="P78" s="2" t="s">
        <v>4984</v>
      </c>
      <c r="Q78" s="2"/>
    </row>
    <row r="79" spans="1:17" ht="45">
      <c r="A79" s="1"/>
      <c r="B79" s="1600"/>
      <c r="C79" s="1" t="str">
        <f>OBRA!CB418</f>
        <v>2018-2021</v>
      </c>
      <c r="D79" s="1">
        <f>OBRA!J418</f>
        <v>2019</v>
      </c>
      <c r="E79" s="1598" t="str">
        <f>OBRA!O418</f>
        <v>ADJUDICACIÓN DIRECTA</v>
      </c>
      <c r="F79" s="1281" t="str">
        <f>OBRA!N418</f>
        <v>GMJ 035 C-OP/2019</v>
      </c>
      <c r="G79" s="3" t="str">
        <f>OBRA!P418</f>
        <v>"REHABILITACIÓN DE LÍNEA DE DRENAJE EN CALLE VERANO ENTRE CALLES NIÑOS HÉROES Y LÓPEZ RAYÓN CABECERA MUNICIPAL DE JOCOTEPEC, JALISCO".</v>
      </c>
      <c r="H79" s="1598" t="s">
        <v>4747</v>
      </c>
      <c r="I79" s="3" t="str">
        <f>OBRA!Q418</f>
        <v>CABECERA MUNICIPAL</v>
      </c>
      <c r="J79" s="3" t="s">
        <v>2542</v>
      </c>
      <c r="K79" s="3" t="s">
        <v>4827</v>
      </c>
      <c r="L79" s="3" t="s">
        <v>4687</v>
      </c>
      <c r="M79" s="1602">
        <f>OBRA!AS418+OBRA!AT418</f>
        <v>117816.14</v>
      </c>
      <c r="N79" s="242">
        <f>GRAL!AF420</f>
        <v>42</v>
      </c>
      <c r="O79" s="242" t="str">
        <f>GRAL!AG420</f>
        <v>ML</v>
      </c>
      <c r="P79" s="2" t="s">
        <v>4982</v>
      </c>
      <c r="Q79" s="2"/>
    </row>
    <row r="80" spans="1:17" ht="68.25" customHeight="1">
      <c r="A80" s="1"/>
      <c r="B80" s="1600"/>
      <c r="C80" s="1" t="str">
        <f>OBRA!CB419</f>
        <v>2018-2021</v>
      </c>
      <c r="D80" s="1">
        <f>OBRA!J419</f>
        <v>2019</v>
      </c>
      <c r="E80" s="1598" t="str">
        <f>OBRA!O419</f>
        <v>ADJUDICACIÓN DIRECTA</v>
      </c>
      <c r="F80" s="1281" t="str">
        <f>OBRA!N419</f>
        <v>GMJ 036 C-OP/2019</v>
      </c>
      <c r="G80" s="3" t="str">
        <f>OBRA!P419</f>
        <v>"CONSTRUCCIÓN DE EMPEDRADO AHOGADO EN CEMENTO EN CALLE VERANO ENTRE NIÑOS HÉROES Y EMPEDRADO EXISTENTE CABECERA MUNICIPAL DE JOCOTEPEC, JALISCO".</v>
      </c>
      <c r="H80" s="1598" t="s">
        <v>4752</v>
      </c>
      <c r="I80" s="3" t="str">
        <f>OBRA!Q419</f>
        <v>CABECERA MUNICIPAL</v>
      </c>
      <c r="J80" s="3" t="s">
        <v>2542</v>
      </c>
      <c r="K80" s="3" t="s">
        <v>4827</v>
      </c>
      <c r="L80" s="3" t="s">
        <v>4778</v>
      </c>
      <c r="M80" s="1602">
        <f>OBRA!AS419+OBRA!AT419</f>
        <v>256679.4</v>
      </c>
      <c r="N80" s="242">
        <f>GRAL!AF421</f>
        <v>432</v>
      </c>
      <c r="O80" s="242" t="str">
        <f>GRAL!AG421</f>
        <v>M2</v>
      </c>
      <c r="P80" s="2" t="s">
        <v>68</v>
      </c>
      <c r="Q80" s="2"/>
    </row>
    <row r="81" spans="1:17" ht="22.5" hidden="1">
      <c r="A81" s="1"/>
      <c r="B81" s="1"/>
      <c r="C81" s="1">
        <f>OBRA!CB420</f>
        <v>0</v>
      </c>
      <c r="D81" s="1">
        <f>OBRA!J420</f>
        <v>2019</v>
      </c>
      <c r="E81" s="1598" t="str">
        <f>OBRA!O420</f>
        <v>CANCELADA</v>
      </c>
      <c r="F81" s="1598" t="str">
        <f>OBRA!N420</f>
        <v>GMJ 037 C-OP/2019</v>
      </c>
      <c r="G81" s="3">
        <f>OBRA!P420</f>
        <v>0</v>
      </c>
      <c r="H81" s="1"/>
      <c r="I81" s="3">
        <f>OBRA!Q420</f>
        <v>0</v>
      </c>
      <c r="J81" s="3"/>
      <c r="K81" s="3"/>
      <c r="L81" s="3"/>
      <c r="M81" s="1602">
        <f>OBRA!AS420+OBRA!AT420</f>
        <v>0</v>
      </c>
      <c r="N81" s="1">
        <f>GRAL!AF422</f>
        <v>0</v>
      </c>
      <c r="O81" s="1">
        <f>GRAL!AG422</f>
        <v>0</v>
      </c>
      <c r="P81" s="1"/>
      <c r="Q81" s="1"/>
    </row>
    <row r="82" spans="1:17" ht="53.25" customHeight="1">
      <c r="A82" s="1"/>
      <c r="B82" s="1600"/>
      <c r="C82" s="1" t="str">
        <f>OBRA!CB421</f>
        <v>2018-2021</v>
      </c>
      <c r="D82" s="1">
        <f>OBRA!J421</f>
        <v>2019</v>
      </c>
      <c r="E82" s="1598" t="str">
        <f>OBRA!O421</f>
        <v>ADJUDICACIÓN DIRECTA</v>
      </c>
      <c r="F82" s="1281" t="str">
        <f>OBRA!N421</f>
        <v>GMJ 038 C-OP/2019</v>
      </c>
      <c r="G82" s="3" t="str">
        <f>OBRA!P421</f>
        <v>"CONSTRUCCIÓN DE PUERTO INOCUO DE DESEMBARQUE (P.I.D.) EN LA AGENCIA DE NEXTIPAC MUNICIPIO DE JOCOTEPEC, JALISCO.</v>
      </c>
      <c r="H82" s="1598" t="s">
        <v>2206</v>
      </c>
      <c r="I82" s="3" t="str">
        <f>OBRA!Q421</f>
        <v>NEXTIPAC</v>
      </c>
      <c r="J82" s="683" t="s">
        <v>68</v>
      </c>
      <c r="K82" s="683" t="s">
        <v>68</v>
      </c>
      <c r="L82" s="683" t="s">
        <v>68</v>
      </c>
      <c r="M82" s="1602">
        <f>OBRA!AS421+OBRA!AT421</f>
        <v>875309.47</v>
      </c>
      <c r="N82" s="242">
        <f>GRAL!AF423</f>
        <v>95.9</v>
      </c>
      <c r="O82" s="242" t="str">
        <f>GRAL!AG423</f>
        <v>M2</v>
      </c>
      <c r="P82" s="2" t="s">
        <v>68</v>
      </c>
      <c r="Q82" s="2"/>
    </row>
    <row r="83" spans="1:17" ht="30" hidden="1">
      <c r="A83" s="1"/>
      <c r="B83" s="1"/>
      <c r="C83" s="1" t="str">
        <f>OBRA!CB422</f>
        <v>2018-2021</v>
      </c>
      <c r="D83" s="1">
        <f>OBRA!J422</f>
        <v>2020</v>
      </c>
      <c r="E83" s="1598" t="str">
        <f>OBRA!O422</f>
        <v>CONVENIO</v>
      </c>
      <c r="F83" s="1598" t="str">
        <f>OBRA!N422</f>
        <v>CEAJ-PERF-002/2020</v>
      </c>
      <c r="G83" s="3" t="str">
        <f>OBRA!P422</f>
        <v>CONVENIO PARA LA PERFORACIÓN DE UN POZO PROFUNDO PARA AGUA POTABLE</v>
      </c>
      <c r="H83" s="1"/>
      <c r="I83" s="3" t="str">
        <f>OBRA!Q422</f>
        <v>MUNICIPIO</v>
      </c>
      <c r="J83" s="3"/>
      <c r="K83" s="3"/>
      <c r="L83" s="3"/>
      <c r="M83" s="1602">
        <f>OBRA!AS422+OBRA!AT422</f>
        <v>0</v>
      </c>
      <c r="N83" s="1">
        <f>GRAL!AF424</f>
        <v>1</v>
      </c>
      <c r="O83" s="1" t="str">
        <f>GRAL!AG424</f>
        <v>POZO</v>
      </c>
      <c r="P83" s="1"/>
      <c r="Q83" s="1"/>
    </row>
    <row r="84" spans="1:17" ht="30" hidden="1">
      <c r="A84" s="1"/>
      <c r="B84" s="1"/>
      <c r="C84" s="1" t="str">
        <f>OBRA!CB423</f>
        <v>2018-2021</v>
      </c>
      <c r="D84" s="1">
        <f>OBRA!J423</f>
        <v>2020</v>
      </c>
      <c r="E84" s="1598" t="str">
        <f>OBRA!O423</f>
        <v>CONVENIO</v>
      </c>
      <c r="F84" s="1598" t="str">
        <f>OBRA!N423</f>
        <v>CULTURA 2020</v>
      </c>
      <c r="G84" s="3" t="str">
        <f>OBRA!P423</f>
        <v>REMOZAMIENTO Y MEJORAMIENTO  DE IMAGEN URBANA DEL TEMPLO DEL SEÑOR DEL MONTE</v>
      </c>
      <c r="H84" s="1"/>
      <c r="I84" s="3" t="str">
        <f>OBRA!Q423</f>
        <v>CABECERA MUNICIPAL</v>
      </c>
      <c r="J84" s="3"/>
      <c r="K84" s="3"/>
      <c r="L84" s="3"/>
      <c r="M84" s="1602">
        <f>OBRA!AS423+OBRA!AT423</f>
        <v>0</v>
      </c>
      <c r="N84" s="1">
        <f>GRAL!AF425</f>
        <v>2</v>
      </c>
      <c r="O84" s="1" t="str">
        <f>GRAL!AG425</f>
        <v>OBRAS</v>
      </c>
      <c r="P84" s="1"/>
      <c r="Q84" s="1"/>
    </row>
    <row r="85" spans="1:17" ht="60" hidden="1">
      <c r="A85" s="1"/>
      <c r="B85" s="1"/>
      <c r="C85" s="1" t="str">
        <f>OBRA!CB424</f>
        <v>2018-2021</v>
      </c>
      <c r="D85" s="1">
        <f>OBRA!J424</f>
        <v>2020</v>
      </c>
      <c r="E85" s="1598" t="str">
        <f>OBRA!O424</f>
        <v>CONVENIO</v>
      </c>
      <c r="F85" s="1598" t="str">
        <f>OBRA!N424</f>
        <v>FOCOCI 2020</v>
      </c>
      <c r="G85" s="3" t="str">
        <f>OBRA!P424</f>
        <v>CONSTRUCCIÓN Y EQUIPAMIENTO DE PLAZA PRINCIPAL EN CHANTEPEC, MUNICIPIO DE JOCOTEPEC, JALISCO / INTERVENCIÓN Y RESTAURACIÓN DE MERCADO MUNICIPAL MORELOS, MUNICIPO DE JOCOTEPEC, JALISCO.</v>
      </c>
      <c r="H85" s="1"/>
      <c r="I85" s="3" t="str">
        <f>OBRA!Q424</f>
        <v>CABECERA MUNICIPAL</v>
      </c>
      <c r="J85" s="3"/>
      <c r="K85" s="3"/>
      <c r="L85" s="3"/>
      <c r="M85" s="1602">
        <f>OBRA!AS424+OBRA!AT424</f>
        <v>0</v>
      </c>
      <c r="N85" s="1">
        <f>GRAL!AF426</f>
        <v>0</v>
      </c>
      <c r="O85" s="1">
        <f>GRAL!AG426</f>
        <v>0</v>
      </c>
      <c r="P85" s="1"/>
      <c r="Q85" s="1"/>
    </row>
    <row r="86" spans="1:17" ht="30" hidden="1">
      <c r="A86" s="1"/>
      <c r="B86" s="1"/>
      <c r="C86" s="1" t="str">
        <f>OBRA!CB425</f>
        <v>2018-2021</v>
      </c>
      <c r="D86" s="1">
        <f>OBRA!J425</f>
        <v>2020</v>
      </c>
      <c r="E86" s="1598" t="str">
        <f>OBRA!O425</f>
        <v>CONVENIO</v>
      </c>
      <c r="F86" s="1598" t="str">
        <f>OBRA!N425</f>
        <v>RASTRO DIGNO 2020</v>
      </c>
      <c r="G86" s="3" t="str">
        <f>OBRA!P425</f>
        <v>PROGRAMA PARA MEJORAMIENTO DE RASTROS "RASTRO DIGNO", EJERCICIO 2020</v>
      </c>
      <c r="H86" s="1"/>
      <c r="I86" s="3" t="str">
        <f>OBRA!Q425</f>
        <v>CABECERA MUNICIPAL</v>
      </c>
      <c r="J86" s="3"/>
      <c r="K86" s="3"/>
      <c r="L86" s="3"/>
      <c r="M86" s="1602">
        <f>OBRA!AS425+OBRA!AT425</f>
        <v>0</v>
      </c>
      <c r="N86" s="1">
        <f>GRAL!AF427</f>
        <v>2</v>
      </c>
      <c r="O86" s="1" t="str">
        <f>GRAL!AG427</f>
        <v>OBRAS</v>
      </c>
      <c r="P86" s="1"/>
      <c r="Q86" s="1"/>
    </row>
    <row r="87" spans="1:17" ht="30" hidden="1">
      <c r="A87" s="1"/>
      <c r="B87" s="1"/>
      <c r="C87" s="1" t="str">
        <f>OBRA!CB426</f>
        <v>2018-2021</v>
      </c>
      <c r="D87" s="1">
        <f>OBRA!J426</f>
        <v>2020</v>
      </c>
      <c r="E87" s="1598" t="str">
        <f>OBRA!O426</f>
        <v>CONVENIO</v>
      </c>
      <c r="F87" s="1598" t="str">
        <f>OBRA!N426</f>
        <v>SADER/DGIR/EMP/057/2020</v>
      </c>
      <c r="G87" s="3" t="str">
        <f>OBRA!P426</f>
        <v xml:space="preserve">PROGRAMA DE EMPEDRADOS PARA LA REACTIVACIÓN ECONÓMICA EN MUNICIPIOS </v>
      </c>
      <c r="H87" s="1"/>
      <c r="I87" s="3" t="str">
        <f>OBRA!Q426</f>
        <v>MUNICIPIO</v>
      </c>
      <c r="J87" s="3"/>
      <c r="K87" s="3"/>
      <c r="L87" s="3"/>
      <c r="M87" s="1602">
        <f>OBRA!AS426+OBRA!AT426</f>
        <v>0</v>
      </c>
      <c r="N87" s="1">
        <f>GRAL!AF428</f>
        <v>2</v>
      </c>
      <c r="O87" s="1" t="str">
        <f>GRAL!AG428</f>
        <v>OBRAS</v>
      </c>
      <c r="P87" s="1"/>
      <c r="Q87" s="1"/>
    </row>
    <row r="88" spans="1:17" ht="45">
      <c r="A88" s="1"/>
      <c r="B88" s="1600"/>
      <c r="C88" s="1" t="str">
        <f>OBRA!CB427</f>
        <v>2018-2021</v>
      </c>
      <c r="D88" s="1">
        <f>OBRA!J427</f>
        <v>2020</v>
      </c>
      <c r="E88" s="1598" t="str">
        <f>OBRA!O427</f>
        <v>ADMINISTRACIÓN DIRECTA</v>
      </c>
      <c r="F88" s="1281" t="str">
        <f>OBRA!N427</f>
        <v>DOP/AD/001/2020</v>
      </c>
      <c r="G88" s="3" t="str">
        <f>OBRA!P427</f>
        <v>"ADQUISICION DE MATERIALES PARA LA LINEA DE ALIMENTACION DEL DEPOSITO NUEVO , EN LA LOCALIDAD DE HUEJOTITAN, MUNICIPIO DE JOCOTEPEC, JALISCO"</v>
      </c>
      <c r="H88" s="1598" t="s">
        <v>4745</v>
      </c>
      <c r="I88" s="3" t="str">
        <f>OBRA!Q427</f>
        <v>HUEJOTITÁN</v>
      </c>
      <c r="J88" s="3" t="s">
        <v>4775</v>
      </c>
      <c r="K88" s="3" t="s">
        <v>68</v>
      </c>
      <c r="L88" s="3" t="s">
        <v>68</v>
      </c>
      <c r="M88" s="1602">
        <f>OBRA!AS427+OBRA!AT427</f>
        <v>148382.19</v>
      </c>
      <c r="N88" s="242">
        <f>GRAL!AF429</f>
        <v>2</v>
      </c>
      <c r="O88" s="242" t="str">
        <f>GRAL!AG429</f>
        <v>OBRAS</v>
      </c>
      <c r="P88" s="2" t="s">
        <v>68</v>
      </c>
      <c r="Q88" s="2"/>
    </row>
    <row r="89" spans="1:17" ht="51.75" customHeight="1">
      <c r="A89" s="1"/>
      <c r="B89" s="1600"/>
      <c r="C89" s="1" t="str">
        <f>OBRA!CB428</f>
        <v>2018-2021</v>
      </c>
      <c r="D89" s="1">
        <f>OBRA!J428</f>
        <v>2020</v>
      </c>
      <c r="E89" s="1598" t="str">
        <f>OBRA!O428</f>
        <v>ADMINISTRACIÓN DIRECTA</v>
      </c>
      <c r="F89" s="1281" t="str">
        <f>OBRA!N428</f>
        <v>DOP/AD/002/2020</v>
      </c>
      <c r="G89" s="3" t="str">
        <f>OBRA!P428</f>
        <v>"REHABILITACIÓN Y MANTENIMIENTO DE "LA CASA DE CULTURA SAN JUAN COSALA, DEL MUNICIPIO DE JOCOTEPEC, JALISCO.</v>
      </c>
      <c r="H89" s="1598" t="s">
        <v>4758</v>
      </c>
      <c r="I89" s="3" t="str">
        <f>OBRA!Q428</f>
        <v>SAN JUAN COSALÁ</v>
      </c>
      <c r="J89" s="3" t="s">
        <v>2586</v>
      </c>
      <c r="K89" s="3" t="s">
        <v>4766</v>
      </c>
      <c r="L89" s="3" t="s">
        <v>4779</v>
      </c>
      <c r="M89" s="1633">
        <f>OBRA!R428</f>
        <v>655000</v>
      </c>
      <c r="N89" s="242">
        <f>GRAL!AF430</f>
        <v>152</v>
      </c>
      <c r="O89" s="242" t="str">
        <f>GRAL!AG430</f>
        <v>ML</v>
      </c>
      <c r="P89" s="2" t="s">
        <v>68</v>
      </c>
      <c r="Q89" s="2"/>
    </row>
    <row r="90" spans="1:17" ht="62.25" customHeight="1">
      <c r="A90" s="1"/>
      <c r="B90" s="1600"/>
      <c r="C90" s="1" t="str">
        <f>OBRA!CB429</f>
        <v>2018-2021</v>
      </c>
      <c r="D90" s="1">
        <f>OBRA!J429</f>
        <v>2020</v>
      </c>
      <c r="E90" s="1598" t="str">
        <f>OBRA!O429</f>
        <v>ADMINISTRACIÓN DIRECTA</v>
      </c>
      <c r="F90" s="1281" t="str">
        <f>OBRA!N429</f>
        <v>DOP/AD/003/2020</v>
      </c>
      <c r="G90" s="3" t="str">
        <f>OBRA!P429</f>
        <v>"MATERIALES E INSUMOS NECESARIOS PARA LA PERFORACIÓN DE POZO PROFUNDO EN LA LOCALIDAD DE LAS TROJES, DEL MUNICIPIO DE JOCOTEPEC, JALISCO.</v>
      </c>
      <c r="H90" s="1598" t="s">
        <v>4745</v>
      </c>
      <c r="I90" s="3" t="str">
        <f>OBRA!Q429</f>
        <v>LAS TROJES</v>
      </c>
      <c r="J90" s="683" t="s">
        <v>2528</v>
      </c>
      <c r="K90" s="683" t="s">
        <v>4768</v>
      </c>
      <c r="L90" s="683" t="s">
        <v>2618</v>
      </c>
      <c r="M90" s="1633">
        <f>OBRA!R429</f>
        <v>962427.31</v>
      </c>
      <c r="N90" s="242">
        <f>GRAL!AF431</f>
        <v>343.85</v>
      </c>
      <c r="O90" s="242" t="str">
        <f>GRAL!AG431</f>
        <v>M2</v>
      </c>
      <c r="P90" s="2" t="s">
        <v>68</v>
      </c>
      <c r="Q90" s="2"/>
    </row>
    <row r="91" spans="1:17" ht="60">
      <c r="A91" s="1"/>
      <c r="B91" s="1600"/>
      <c r="C91" s="1" t="str">
        <f>OBRA!CB430</f>
        <v>2018-2021</v>
      </c>
      <c r="D91" s="1">
        <f>OBRA!J430</f>
        <v>2020</v>
      </c>
      <c r="E91" s="1598" t="str">
        <f>OBRA!O430</f>
        <v>ADMINISTRACIÓN DIRECTA</v>
      </c>
      <c r="F91" s="1281" t="str">
        <f>OBRA!N430</f>
        <v>DOP/AD/004/2020</v>
      </c>
      <c r="G91" s="3" t="str">
        <f>OBRA!P430</f>
        <v>FABRICACIÓN DE EMPEDRADO NORMAL CON HUELLAS DE CONCRETO EN CALLE LA PAZ ENTRE VICENTE GUERRERO E ITURBIDE" EN LA DELEGACIÓN DE SAN JUAN COSALA, DEL MUNICIPIO DE JOCOTEPEC, JALISCO.</v>
      </c>
      <c r="H91" s="1598" t="s">
        <v>4752</v>
      </c>
      <c r="I91" s="3" t="str">
        <f>OBRA!Q430</f>
        <v>SAN JUAN COSALÁ</v>
      </c>
      <c r="J91" s="3" t="s">
        <v>2636</v>
      </c>
      <c r="K91" s="3" t="s">
        <v>2528</v>
      </c>
      <c r="L91" s="3" t="s">
        <v>4770</v>
      </c>
      <c r="M91" s="1633">
        <f>OBRA!R430</f>
        <v>192779.35</v>
      </c>
      <c r="N91" s="242">
        <f>GRAL!AF432</f>
        <v>1</v>
      </c>
      <c r="O91" s="242" t="str">
        <f>GRAL!AG432</f>
        <v>POZO</v>
      </c>
      <c r="P91" s="2" t="s">
        <v>4944</v>
      </c>
      <c r="Q91" s="2"/>
    </row>
    <row r="92" spans="1:17" ht="45">
      <c r="A92" s="1"/>
      <c r="B92" s="1600"/>
      <c r="C92" s="1" t="str">
        <f>OBRA!CB431</f>
        <v>2018-2021</v>
      </c>
      <c r="D92" s="1">
        <f>OBRA!J431</f>
        <v>2020</v>
      </c>
      <c r="E92" s="1598" t="str">
        <f>OBRA!O431</f>
        <v>ADMINISTRACIÓN DIRECTA</v>
      </c>
      <c r="F92" s="1281" t="str">
        <f>OBRA!N431</f>
        <v>DOP/AD/005/2020</v>
      </c>
      <c r="G92" s="3" t="str">
        <f>OBRA!P431</f>
        <v>"ELABORACIÓN DE MURO PERIMETRAL, EN LA CASA DE CULTURA" UBICADA EN LA DELEGACIÓN DE SAN JUAN COSALA, DEL MUNICIPIO DE JOCOTEPEC, JALISCO.</v>
      </c>
      <c r="H92" s="1598" t="s">
        <v>4758</v>
      </c>
      <c r="I92" s="3" t="str">
        <f>OBRA!Q431</f>
        <v>SAN JUAN COSALÁ</v>
      </c>
      <c r="J92" s="3" t="s">
        <v>2586</v>
      </c>
      <c r="K92" s="3" t="s">
        <v>4766</v>
      </c>
      <c r="L92" s="3" t="s">
        <v>4779</v>
      </c>
      <c r="M92" s="1633">
        <f>OBRA!R431</f>
        <v>50000</v>
      </c>
      <c r="N92" s="242">
        <f>GRAL!AF433</f>
        <v>57</v>
      </c>
      <c r="O92" s="242" t="str">
        <f>GRAL!AG433</f>
        <v>ML</v>
      </c>
      <c r="P92" s="2" t="s">
        <v>68</v>
      </c>
      <c r="Q92" s="2"/>
    </row>
    <row r="93" spans="1:17" ht="60" customHeight="1">
      <c r="A93" s="1"/>
      <c r="B93" s="1600"/>
      <c r="C93" s="1" t="str">
        <f>OBRA!CB432</f>
        <v>2018-2021</v>
      </c>
      <c r="D93" s="1">
        <f>OBRA!J432</f>
        <v>2020</v>
      </c>
      <c r="E93" s="1598" t="str">
        <f>OBRA!O432</f>
        <v>ADMINISTRACIÓN DIRECTA</v>
      </c>
      <c r="F93" s="1281" t="str">
        <f>OBRA!N432</f>
        <v>DOP/AD/006/2020</v>
      </c>
      <c r="G93" s="3" t="str">
        <f>OBRA!P432</f>
        <v>SUMINISTRO Y COLOCACIÓN DE MACHUELO PRE FABRICADO EN LA CALLE LOS ÁNGELES ENTRE PRIVADA ALDAMA Y CERRADA”, EN LA CABECERA MUNICIPAL DE JOCOTEPEC, JALISCO</v>
      </c>
      <c r="H93" s="1598" t="s">
        <v>4752</v>
      </c>
      <c r="I93" s="3" t="str">
        <f>OBRA!Q432</f>
        <v>CABECERA MUNICIPAL</v>
      </c>
      <c r="J93" s="3" t="s">
        <v>4826</v>
      </c>
      <c r="K93" s="3" t="s">
        <v>4780</v>
      </c>
      <c r="L93" s="3" t="s">
        <v>4767</v>
      </c>
      <c r="M93" s="1602">
        <f>OBRA!AS432+OBRA!AT432</f>
        <v>38982.61</v>
      </c>
      <c r="N93" s="219">
        <f>GRAL!AF434</f>
        <v>0</v>
      </c>
      <c r="O93" s="219">
        <f>GRAL!AG434</f>
        <v>0</v>
      </c>
      <c r="P93" s="2" t="s">
        <v>68</v>
      </c>
      <c r="Q93" s="2"/>
    </row>
    <row r="94" spans="1:17" ht="65.25" customHeight="1">
      <c r="A94" s="1"/>
      <c r="B94" s="1600"/>
      <c r="C94" s="1" t="str">
        <f>OBRA!CB433</f>
        <v>2018-2021</v>
      </c>
      <c r="D94" s="1">
        <f>OBRA!J433</f>
        <v>2020</v>
      </c>
      <c r="E94" s="1598" t="str">
        <f>OBRA!O433</f>
        <v>ADMINISTRACIÓN DIRECTA</v>
      </c>
      <c r="F94" s="1281" t="str">
        <f>OBRA!N433</f>
        <v>DOP/AD/007/2020</v>
      </c>
      <c r="G94" s="3" t="str">
        <f>OBRA!P433</f>
        <v>CONSTRUCCIÓN DE EMPEDRADO ZAMPEADO EN VIALIDAD CALLE JUAREZ DE KM 0+000.00 AL KM 0+126.10, EN LA LOCALIDAD DE LAS TROJES DEL MUNICIPIO DE JOCOTEPEC, JALISCO.</v>
      </c>
      <c r="H94" s="1598" t="s">
        <v>4752</v>
      </c>
      <c r="I94" s="3" t="str">
        <f>OBRA!Q433</f>
        <v>LAS TROJES</v>
      </c>
      <c r="J94" s="3" t="s">
        <v>4825</v>
      </c>
      <c r="K94" s="3" t="s">
        <v>68</v>
      </c>
      <c r="L94" s="3" t="s">
        <v>68</v>
      </c>
      <c r="M94" s="1633">
        <f>OBRA!R433</f>
        <v>196881.44</v>
      </c>
      <c r="N94" s="242">
        <f>GRAL!AF435</f>
        <v>225</v>
      </c>
      <c r="O94" s="242" t="str">
        <f>GRAL!AG435</f>
        <v>ML</v>
      </c>
      <c r="P94" s="2" t="s">
        <v>4929</v>
      </c>
      <c r="Q94" s="2"/>
    </row>
    <row r="95" spans="1:17" ht="62.25" customHeight="1">
      <c r="A95" s="1"/>
      <c r="B95" s="1600" t="s">
        <v>1177</v>
      </c>
      <c r="C95" s="1" t="str">
        <f>OBRA!CB434</f>
        <v>2018-2021</v>
      </c>
      <c r="D95" s="1">
        <f>OBRA!J434</f>
        <v>2020</v>
      </c>
      <c r="E95" s="1598" t="str">
        <f>OBRA!O434</f>
        <v>ADMINISTRACIÓN DIRECTA</v>
      </c>
      <c r="F95" s="1281" t="str">
        <f>OBRA!N434</f>
        <v>DOP/AD/007-A/2020</v>
      </c>
      <c r="G95" s="3" t="str">
        <f>OBRA!P434</f>
        <v>CONSTRUCCIÓN DE EMPEDRADO ZAMPEADO EN VIALIDAD CALLE JUAREZ DE KM 0+000.00 AL KM 0+126.10, EN LA LOCALIDAD DE LAS TROJES DEL MUNICIPIO DE JOCOTEPEC, JALISCO</v>
      </c>
      <c r="H95" s="1598" t="s">
        <v>4752</v>
      </c>
      <c r="I95" s="3" t="str">
        <f>OBRA!Q434</f>
        <v>LAS TROJES</v>
      </c>
      <c r="J95" s="3" t="s">
        <v>4825</v>
      </c>
      <c r="K95" s="3" t="s">
        <v>68</v>
      </c>
      <c r="L95" s="3" t="s">
        <v>68</v>
      </c>
      <c r="M95" s="1633">
        <f>OBRA!R434</f>
        <v>283094.36</v>
      </c>
      <c r="N95" s="242">
        <f>GRAL!AF436</f>
        <v>807.4</v>
      </c>
      <c r="O95" s="242" t="str">
        <f>GRAL!AG436</f>
        <v>M2</v>
      </c>
      <c r="P95" s="2" t="s">
        <v>4929</v>
      </c>
      <c r="Q95" s="2"/>
    </row>
    <row r="96" spans="1:17" ht="30">
      <c r="A96" s="1"/>
      <c r="B96" s="1600"/>
      <c r="C96" s="1" t="str">
        <f>OBRA!CB435</f>
        <v>2018-2021</v>
      </c>
      <c r="D96" s="1">
        <f>OBRA!J435</f>
        <v>2020</v>
      </c>
      <c r="E96" s="1598" t="str">
        <f>OBRA!O435</f>
        <v>ADMINISTRACIÓN DIRECTA</v>
      </c>
      <c r="F96" s="1281" t="str">
        <f>OBRA!N435</f>
        <v>DOP/AD/008/2020</v>
      </c>
      <c r="G96" s="3" t="str">
        <f>OBRA!P435</f>
        <v>CONSTRUCCIÓN DE EMPEDRADO ZAMPEADO EN CALLES DE LA DELEGACIÓN DE HUEJOTITAN</v>
      </c>
      <c r="H96" s="1598" t="s">
        <v>4752</v>
      </c>
      <c r="I96" s="3" t="str">
        <f>OBRA!Q435</f>
        <v>HUEJOTITÁN</v>
      </c>
      <c r="J96" s="3" t="s">
        <v>4781</v>
      </c>
      <c r="K96" s="3" t="s">
        <v>68</v>
      </c>
      <c r="L96" s="3" t="s">
        <v>68</v>
      </c>
      <c r="M96" s="1633">
        <f>OBRA!R435</f>
        <v>1079624.5</v>
      </c>
      <c r="N96" s="242">
        <f>GRAL!AF437</f>
        <v>807.4</v>
      </c>
      <c r="O96" s="242" t="str">
        <f>GRAL!AG437</f>
        <v>M2</v>
      </c>
      <c r="P96" s="2" t="s">
        <v>4929</v>
      </c>
      <c r="Q96" s="2"/>
    </row>
    <row r="97" spans="1:17" ht="45" customHeight="1">
      <c r="A97" s="1"/>
      <c r="B97" s="1600" t="s">
        <v>1177</v>
      </c>
      <c r="C97" s="1" t="str">
        <f>OBRA!CB436</f>
        <v>2018-2021</v>
      </c>
      <c r="D97" s="1">
        <f>OBRA!J436</f>
        <v>2020</v>
      </c>
      <c r="E97" s="1598" t="str">
        <f>OBRA!O436</f>
        <v>ADMINISTRACIÓN DIRECTA</v>
      </c>
      <c r="F97" s="1281" t="str">
        <f>OBRA!N436</f>
        <v>DOP/AD/008-A/2020</v>
      </c>
      <c r="G97" s="3" t="str">
        <f>OBRA!P436</f>
        <v>CONSTRUCCIÓN DE EMPEDRADO ZAMPEADO, EN LA LOCALIDAD DE HUEJOTITAN DEL MUNICIPIO DE JOCOTEPEC, JALISCO.</v>
      </c>
      <c r="H97" s="1598" t="s">
        <v>4752</v>
      </c>
      <c r="I97" s="3" t="str">
        <f>OBRA!Q436</f>
        <v>HUEJOTITÁN</v>
      </c>
      <c r="J97" s="3" t="s">
        <v>4781</v>
      </c>
      <c r="K97" s="3" t="s">
        <v>68</v>
      </c>
      <c r="L97" s="3" t="s">
        <v>68</v>
      </c>
      <c r="M97" s="1633">
        <f>OBRA!R436</f>
        <v>327960.31</v>
      </c>
      <c r="N97" s="242">
        <f>GRAL!AF438</f>
        <v>4550</v>
      </c>
      <c r="O97" s="242" t="str">
        <f>GRAL!AG438</f>
        <v>M2</v>
      </c>
      <c r="P97" s="2" t="s">
        <v>4929</v>
      </c>
      <c r="Q97" s="2"/>
    </row>
    <row r="98" spans="1:17" ht="60">
      <c r="A98" s="1"/>
      <c r="B98" s="1600"/>
      <c r="C98" s="1" t="str">
        <f>OBRA!CB437</f>
        <v>2018-2021</v>
      </c>
      <c r="D98" s="1">
        <f>OBRA!J437</f>
        <v>2020</v>
      </c>
      <c r="E98" s="1598" t="str">
        <f>OBRA!O437</f>
        <v>ADMINISTRACIÓN DIRECTA</v>
      </c>
      <c r="F98" s="1281" t="str">
        <f>OBRA!N437</f>
        <v>DOP/AD/009/2020</v>
      </c>
      <c r="G98" s="3" t="str">
        <f>OBRA!P437</f>
        <v>CONSTRUCCIÓN DE EMPEDRADO ZAMPEADO EN VIALIDAD CALLE RAMON CORONA DEL 0+000 AL 0+101.50 ENTRE GALEANA Y FRANCISCO I MADERO,EN LA LOCALIDAD DE POTRERILLOS DEL MUNICIPIO DE JOCOTEPEC, JALISCO.</v>
      </c>
      <c r="H98" s="1598" t="s">
        <v>4752</v>
      </c>
      <c r="I98" s="3" t="str">
        <f>OBRA!Q437</f>
        <v>POTRERILLOS</v>
      </c>
      <c r="J98" s="3" t="s">
        <v>4731</v>
      </c>
      <c r="K98" s="3" t="s">
        <v>4782</v>
      </c>
      <c r="L98" s="3" t="s">
        <v>3425</v>
      </c>
      <c r="M98" s="1633">
        <f>OBRA!R437</f>
        <v>193929.96</v>
      </c>
      <c r="N98" s="242">
        <f>GRAL!AF439</f>
        <v>4550</v>
      </c>
      <c r="O98" s="242" t="str">
        <f>GRAL!AG439</f>
        <v>M2</v>
      </c>
      <c r="P98" s="2" t="s">
        <v>4929</v>
      </c>
      <c r="Q98" s="2"/>
    </row>
    <row r="99" spans="1:17" ht="60">
      <c r="A99" s="1"/>
      <c r="B99" s="1600"/>
      <c r="C99" s="1" t="str">
        <f>OBRA!CB438</f>
        <v>2018-2021</v>
      </c>
      <c r="D99" s="1">
        <f>OBRA!J438</f>
        <v>2020</v>
      </c>
      <c r="E99" s="1598" t="str">
        <f>OBRA!O438</f>
        <v>ADMINISTRACIÓN DIRECTA</v>
      </c>
      <c r="F99" s="1281" t="str">
        <f>OBRA!N438</f>
        <v>DOP/AD/009/2020</v>
      </c>
      <c r="G99" s="3" t="str">
        <f>OBRA!P438</f>
        <v>CONSTRUCCIÓN DE EMPEDRADO ZAMPEADO EN VIALIDAD FRANCISCO I MADERO DEL KM 0+000 AL 0+173.50 ENTRE BENITO JUAREZ Y CERRADA, EN LA LOCALIDAD DE POTRERILLOS DEL MUNICIPIO DE JOCOTEPEC, JALISCO.</v>
      </c>
      <c r="H99" s="1598" t="s">
        <v>4752</v>
      </c>
      <c r="I99" s="3" t="str">
        <f>OBRA!Q438</f>
        <v>POTRERILLOS</v>
      </c>
      <c r="J99" s="3" t="s">
        <v>3425</v>
      </c>
      <c r="K99" s="3" t="s">
        <v>4720</v>
      </c>
      <c r="L99" s="3" t="s">
        <v>4767</v>
      </c>
      <c r="M99" s="1633">
        <f>OBRA!R438</f>
        <v>331496.03999999998</v>
      </c>
      <c r="N99" s="242">
        <f>GRAL!AF440</f>
        <v>812</v>
      </c>
      <c r="O99" s="242" t="str">
        <f>GRAL!AG440</f>
        <v>M2</v>
      </c>
      <c r="P99" s="2" t="s">
        <v>4929</v>
      </c>
      <c r="Q99" s="2"/>
    </row>
    <row r="100" spans="1:17" ht="47.25" customHeight="1">
      <c r="A100" s="1"/>
      <c r="B100" s="1600" t="s">
        <v>1177</v>
      </c>
      <c r="C100" s="1" t="str">
        <f>OBRA!CB439</f>
        <v>2018-2021</v>
      </c>
      <c r="D100" s="1">
        <f>OBRA!J439</f>
        <v>2020</v>
      </c>
      <c r="E100" s="1598" t="str">
        <f>OBRA!O439</f>
        <v>ADMINISTRACIÓN DIRECTA</v>
      </c>
      <c r="F100" s="1281" t="str">
        <f>OBRA!N439</f>
        <v>DOP/AD/009-A/2020</v>
      </c>
      <c r="G100" s="3" t="str">
        <f>OBRA!P439</f>
        <v>CONSTRUCCIÓN DE EMPEDRADO ZAMPEADO, EN LA LOCALIDAD DE POTRERILLOS DEL MUNICIPIO DE JOCOTEPEC, JALISCO</v>
      </c>
      <c r="H100" s="1598" t="s">
        <v>4752</v>
      </c>
      <c r="I100" s="3" t="str">
        <f>OBRA!Q439</f>
        <v>POTRERILLOS</v>
      </c>
      <c r="J100" s="3" t="s">
        <v>4898</v>
      </c>
      <c r="K100" s="3" t="s">
        <v>68</v>
      </c>
      <c r="L100" s="3" t="s">
        <v>68</v>
      </c>
      <c r="M100" s="1633">
        <f>OBRA!R439</f>
        <v>174032.11</v>
      </c>
      <c r="N100" s="242">
        <f>GRAL!AF441</f>
        <v>1388</v>
      </c>
      <c r="O100" s="242" t="str">
        <f>GRAL!AG441</f>
        <v>M2</v>
      </c>
      <c r="P100" s="2" t="s">
        <v>4929</v>
      </c>
      <c r="Q100" s="2"/>
    </row>
    <row r="101" spans="1:17" ht="54.75" customHeight="1">
      <c r="A101" s="1"/>
      <c r="B101" s="1600"/>
      <c r="C101" s="1" t="str">
        <f>OBRA!CB440</f>
        <v>2018-2021</v>
      </c>
      <c r="D101" s="1">
        <f>OBRA!J440</f>
        <v>2020</v>
      </c>
      <c r="E101" s="1598" t="str">
        <f>OBRA!O440</f>
        <v>ADMINISTRACIÓN DIRECTA</v>
      </c>
      <c r="F101" s="1281" t="str">
        <f>OBRA!N440</f>
        <v>DOP/AD/010/2020</v>
      </c>
      <c r="G101" s="3" t="str">
        <f>OBRA!P440</f>
        <v>CONSTRUCCIÓN DE EMPEDRADO ZAMPEADO EN VIALIDAD AV. DEL TRABAJO DE KM 0+000.00 AL KM 0+215.00 (ENTRE VICENTE GUERRERO Y ALLENDE) SAN CRISTOBAL</v>
      </c>
      <c r="H101" s="1598" t="s">
        <v>4752</v>
      </c>
      <c r="I101" s="3" t="str">
        <f>OBRA!Q440</f>
        <v>SAN CRISTÓBAL ZAPOTITLÁN</v>
      </c>
      <c r="J101" s="3" t="s">
        <v>3419</v>
      </c>
      <c r="K101" s="3" t="s">
        <v>2528</v>
      </c>
      <c r="L101" s="3" t="s">
        <v>4642</v>
      </c>
      <c r="M101" s="1633">
        <f>OBRA!R440</f>
        <v>410787.6</v>
      </c>
      <c r="N101" s="242">
        <f>GRAL!AF442</f>
        <v>1388</v>
      </c>
      <c r="O101" s="242" t="str">
        <f>GRAL!AG442</f>
        <v>M2</v>
      </c>
      <c r="P101" s="2" t="s">
        <v>4929</v>
      </c>
      <c r="Q101" s="2"/>
    </row>
    <row r="102" spans="1:17" ht="87" customHeight="1">
      <c r="A102" s="1"/>
      <c r="B102" s="1600" t="s">
        <v>1177</v>
      </c>
      <c r="C102" s="1" t="str">
        <f>OBRA!CB441</f>
        <v>2018-2021</v>
      </c>
      <c r="D102" s="1">
        <f>OBRA!J441</f>
        <v>2020</v>
      </c>
      <c r="E102" s="1598" t="str">
        <f>OBRA!O441</f>
        <v>ADMINISTRACIÓN DIRECTA</v>
      </c>
      <c r="F102" s="1281" t="str">
        <f>OBRA!N441</f>
        <v>DOP/AD/010-A/2020</v>
      </c>
      <c r="G102" s="3" t="str">
        <f>OBRA!P441</f>
        <v>CONSTRUCCIÓN DE EMPEDRADO ZAMPEADO EN VIALIDAD AV. DEL TRABAJO DE KM 0+000.00 AL KM 0+215.00 (ENTRE VICENTE GUERRERO Y ALLENDE), EN LA LOCALIDAD DE SAN CRISTÓBAL ZAPOTITLÁN DEL MUNICIPIO DE JOCOTEPEC, JALISCO.</v>
      </c>
      <c r="H102" s="1598" t="s">
        <v>4752</v>
      </c>
      <c r="I102" s="3" t="str">
        <f>OBRA!Q441</f>
        <v>SAN CRISTÓBAL ZAPOTITLÁN</v>
      </c>
      <c r="J102" s="3" t="s">
        <v>3419</v>
      </c>
      <c r="K102" s="3" t="s">
        <v>2528</v>
      </c>
      <c r="L102" s="3" t="s">
        <v>4642</v>
      </c>
      <c r="M102" s="1633">
        <f>OBRA!R441</f>
        <v>149317.53</v>
      </c>
      <c r="N102" s="242">
        <f>GRAL!AF443</f>
        <v>1720</v>
      </c>
      <c r="O102" s="242" t="str">
        <f>GRAL!AG443</f>
        <v>M2</v>
      </c>
      <c r="P102" s="2" t="s">
        <v>4929</v>
      </c>
      <c r="Q102" s="2"/>
    </row>
    <row r="103" spans="1:17" ht="45">
      <c r="A103" s="1"/>
      <c r="B103" s="1600"/>
      <c r="C103" s="1" t="str">
        <f>OBRA!CB442</f>
        <v>2018-2021</v>
      </c>
      <c r="D103" s="1">
        <f>OBRA!J442</f>
        <v>2020</v>
      </c>
      <c r="E103" s="1598" t="str">
        <f>OBRA!O442</f>
        <v>ADMINISTRACIÓN DIRECTA</v>
      </c>
      <c r="F103" s="1281" t="str">
        <f>OBRA!N442</f>
        <v>DOP/AD/011/2020</v>
      </c>
      <c r="G103" s="3" t="str">
        <f>OBRA!P442</f>
        <v>CONSTRUCCIÓN DE EMPEDRADO ZAMPEADO EN CALLES DE LA AGENCIA DE EL SAUZ</v>
      </c>
      <c r="H103" s="1598" t="s">
        <v>4752</v>
      </c>
      <c r="I103" s="3" t="str">
        <f>OBRA!Q442</f>
        <v>EL SAÚZ</v>
      </c>
      <c r="J103" s="3" t="s">
        <v>4899</v>
      </c>
      <c r="K103" s="3" t="s">
        <v>68</v>
      </c>
      <c r="L103" s="3" t="s">
        <v>68</v>
      </c>
      <c r="M103" s="1633">
        <f>OBRA!R442</f>
        <v>781012.26</v>
      </c>
      <c r="N103" s="242">
        <f>GRAL!AF444</f>
        <v>1720</v>
      </c>
      <c r="O103" s="242" t="str">
        <f>GRAL!AG444</f>
        <v>M2</v>
      </c>
      <c r="P103" s="2" t="s">
        <v>4929</v>
      </c>
      <c r="Q103" s="2"/>
    </row>
    <row r="104" spans="1:17" ht="45">
      <c r="A104" s="1"/>
      <c r="B104" s="1600" t="s">
        <v>1177</v>
      </c>
      <c r="C104" s="1" t="str">
        <f>OBRA!CB443</f>
        <v>2018-2021</v>
      </c>
      <c r="D104" s="1">
        <f>OBRA!J443</f>
        <v>2020</v>
      </c>
      <c r="E104" s="1598" t="str">
        <f>OBRA!O443</f>
        <v>ADMINISTRACIÓN DIRECTA</v>
      </c>
      <c r="F104" s="1281" t="str">
        <f>OBRA!N443</f>
        <v>DOP/AD/011-A/2020</v>
      </c>
      <c r="G104" s="3" t="str">
        <f>OBRA!P443</f>
        <v>CONSTRUCCIÓN DE EMPEDRADO ZAMPEADO, EN LA AGENCIA DE EL SAUZ</v>
      </c>
      <c r="H104" s="1598" t="s">
        <v>4752</v>
      </c>
      <c r="I104" s="3" t="str">
        <f>OBRA!Q443</f>
        <v>EL SAÚZ</v>
      </c>
      <c r="J104" s="3" t="s">
        <v>4899</v>
      </c>
      <c r="K104" s="3" t="s">
        <v>68</v>
      </c>
      <c r="L104" s="3" t="s">
        <v>68</v>
      </c>
      <c r="M104" s="1633">
        <f>OBRA!R443</f>
        <v>289700.96999999997</v>
      </c>
      <c r="N104" s="242">
        <f>GRAL!AF445</f>
        <v>3181.05</v>
      </c>
      <c r="O104" s="242" t="str">
        <f>GRAL!AG445</f>
        <v>M2</v>
      </c>
      <c r="P104" s="2" t="s">
        <v>4929</v>
      </c>
      <c r="Q104" s="2"/>
    </row>
    <row r="105" spans="1:17" ht="59.25" customHeight="1">
      <c r="A105" s="1"/>
      <c r="B105" s="1600"/>
      <c r="C105" s="1" t="str">
        <f>OBRA!CB444</f>
        <v>2018-2021</v>
      </c>
      <c r="D105" s="1">
        <f>OBRA!J444</f>
        <v>2020</v>
      </c>
      <c r="E105" s="1598" t="str">
        <f>OBRA!O444</f>
        <v>ADMINISTRACIÓN DIRECTA</v>
      </c>
      <c r="F105" s="1281" t="str">
        <f>OBRA!N444</f>
        <v>DOP/AD/012/2020</v>
      </c>
      <c r="G105" s="3" t="str">
        <f>OBRA!P444</f>
        <v>CONSTRUCCIÓN DE EMPEDRADO ZAMPEADO EN VIALIDAD ANDADOR PEATONAL ENTRE SAN LUCIANO Y SAN LUCIANO DE ABAJO DE KM 0+000.00 AL KM 0+746.00, SAN LUCIANO</v>
      </c>
      <c r="H105" s="1598" t="s">
        <v>4752</v>
      </c>
      <c r="I105" s="3" t="str">
        <f>OBRA!Q444</f>
        <v>SAN LUCIANO</v>
      </c>
      <c r="J105" s="3" t="s">
        <v>4783</v>
      </c>
      <c r="K105" s="3" t="s">
        <v>68</v>
      </c>
      <c r="L105" s="3" t="s">
        <v>68</v>
      </c>
      <c r="M105" s="1633">
        <f>OBRA!R444</f>
        <v>448092.36</v>
      </c>
      <c r="N105" s="242">
        <f>GRAL!AF446</f>
        <v>3181.05</v>
      </c>
      <c r="O105" s="242" t="str">
        <f>GRAL!AG446</f>
        <v>M2</v>
      </c>
      <c r="P105" s="2" t="s">
        <v>4929</v>
      </c>
      <c r="Q105" s="2"/>
    </row>
    <row r="106" spans="1:17" ht="81.75" customHeight="1">
      <c r="A106" s="1"/>
      <c r="B106" s="1600" t="s">
        <v>1177</v>
      </c>
      <c r="C106" s="1" t="str">
        <f>OBRA!CB445</f>
        <v>2018-2021</v>
      </c>
      <c r="D106" s="1">
        <f>OBRA!J445</f>
        <v>2020</v>
      </c>
      <c r="E106" s="1598" t="str">
        <f>OBRA!O445</f>
        <v>ADMINISTRACIÓN DIRECTA</v>
      </c>
      <c r="F106" s="1281" t="str">
        <f>OBRA!N445</f>
        <v>DOP/AD/012-A/2020</v>
      </c>
      <c r="G106" s="3" t="str">
        <f>OBRA!P445</f>
        <v>CONSTRUCCIÓN DE EMPEDRADO ZAMPEADO EN VIALIDAD ANDADOR PEATONAL ENTRE SAN LUCIANO Y SAN LUCIANO DE ABAJO DE KM 0+000.00 AL KM 0+746.00, EN LA LOCALIDAD DE SAN LUCIANO DEL MUNICIPIO DE JOCOTEPEC, JALISCO.</v>
      </c>
      <c r="H106" s="1598" t="s">
        <v>4752</v>
      </c>
      <c r="I106" s="3" t="str">
        <f>OBRA!Q445</f>
        <v>SAN LUCIANO</v>
      </c>
      <c r="J106" s="3" t="s">
        <v>4783</v>
      </c>
      <c r="K106" s="3" t="s">
        <v>68</v>
      </c>
      <c r="L106" s="3" t="s">
        <v>68</v>
      </c>
      <c r="M106" s="1633">
        <f>OBRA!R445</f>
        <v>180637.7</v>
      </c>
      <c r="N106" s="242">
        <f>GRAL!AF447</f>
        <v>1492</v>
      </c>
      <c r="O106" s="242" t="str">
        <f>GRAL!AG447</f>
        <v>M2</v>
      </c>
      <c r="P106" s="2" t="s">
        <v>4929</v>
      </c>
      <c r="Q106" s="2"/>
    </row>
    <row r="107" spans="1:17" ht="84.75" customHeight="1">
      <c r="A107" s="1"/>
      <c r="B107" s="1600"/>
      <c r="C107" s="1" t="str">
        <f>OBRA!CB446</f>
        <v>2018-2021</v>
      </c>
      <c r="D107" s="1">
        <f>OBRA!J446</f>
        <v>2020</v>
      </c>
      <c r="E107" s="1598" t="str">
        <f>OBRA!O446</f>
        <v>ADMINISTRACIÓN DIRECTA</v>
      </c>
      <c r="F107" s="1281" t="str">
        <f>OBRA!N446</f>
        <v>DOP/AD/013/2020</v>
      </c>
      <c r="G107" s="3" t="str">
        <f>OBRA!P446</f>
        <v>CONSTRUCCIÓN DE EMPEDRADO ZAMPEADO, EN CALLES PRIMAVERA, REFUGIO SALAZAR IBARRA, PROF(A) CATALINA VALENCIA Y PBRO MARCOS CASTELLANOS, DEL FRACC. "EL CARRIZAL", EN LA CABECERA MUNICIPAL DE JOCOTEPEC JALISCO.</v>
      </c>
      <c r="H107" s="1598" t="s">
        <v>4752</v>
      </c>
      <c r="I107" s="3" t="str">
        <f>OBRA!Q446</f>
        <v>CABECERA MUNICIPAL</v>
      </c>
      <c r="J107" s="3" t="s">
        <v>4784</v>
      </c>
      <c r="K107" s="3" t="s">
        <v>68</v>
      </c>
      <c r="L107" s="3" t="s">
        <v>68</v>
      </c>
      <c r="M107" s="1633">
        <f>OBRA!R446</f>
        <v>846155.00000000012</v>
      </c>
      <c r="N107" s="242">
        <f>GRAL!AF448</f>
        <v>1492</v>
      </c>
      <c r="O107" s="242" t="str">
        <f>GRAL!AG448</f>
        <v>M2</v>
      </c>
      <c r="P107" s="2" t="s">
        <v>4929</v>
      </c>
      <c r="Q107" s="2"/>
    </row>
    <row r="108" spans="1:17" ht="51.75" customHeight="1">
      <c r="A108" s="1"/>
      <c r="B108" s="1600" t="s">
        <v>1177</v>
      </c>
      <c r="C108" s="1" t="str">
        <f>OBRA!CB447</f>
        <v>2018-2021</v>
      </c>
      <c r="D108" s="1">
        <f>OBRA!J447</f>
        <v>2020</v>
      </c>
      <c r="E108" s="1598" t="str">
        <f>OBRA!O447</f>
        <v>ADMINISTRACIÓN DIRECTA</v>
      </c>
      <c r="F108" s="1281" t="str">
        <f>OBRA!N447</f>
        <v>DOP/AD/013-A/2020</v>
      </c>
      <c r="G108" s="3" t="str">
        <f>OBRA!P447</f>
        <v>CONSTRUCCIÓN DE EMPEDRADO ZAMPEADO, EN FRACC. "EL CARRIZAL", EN LA CABECERA MUNICIPAL DE JOCOTEPEC JALISCO.</v>
      </c>
      <c r="H108" s="1598" t="s">
        <v>4752</v>
      </c>
      <c r="I108" s="3" t="str">
        <f>OBRA!Q447</f>
        <v>CABECERA MUNICIPAL</v>
      </c>
      <c r="J108" s="3" t="s">
        <v>4784</v>
      </c>
      <c r="K108" s="3" t="s">
        <v>68</v>
      </c>
      <c r="L108" s="3" t="s">
        <v>68</v>
      </c>
      <c r="M108" s="1633">
        <f>OBRA!R447</f>
        <v>219218.46</v>
      </c>
      <c r="N108" s="242">
        <f>GRAL!AF449</f>
        <v>3500</v>
      </c>
      <c r="O108" s="242" t="str">
        <f>GRAL!AG449</f>
        <v>M2</v>
      </c>
      <c r="P108" s="2" t="s">
        <v>4929</v>
      </c>
      <c r="Q108" s="2"/>
    </row>
    <row r="109" spans="1:17" ht="60">
      <c r="A109" s="1"/>
      <c r="B109" s="1600"/>
      <c r="C109" s="1" t="str">
        <f>OBRA!CB448</f>
        <v>2018-2021</v>
      </c>
      <c r="D109" s="1">
        <f>OBRA!J448</f>
        <v>2020</v>
      </c>
      <c r="E109" s="1598" t="str">
        <f>OBRA!O448</f>
        <v>ADMINISTRACIÓN DIRECTA</v>
      </c>
      <c r="F109" s="1281" t="str">
        <f>OBRA!N448</f>
        <v>DOP/AD/014/2020</v>
      </c>
      <c r="G109" s="3" t="str">
        <f>OBRA!P448</f>
        <v>CONSTRUCCIÓN DE EMPEDRADO ZAMPEADO EN VIALIDAD CALLE HIDALGO SUR DE KM 0+000.00 AL KM 0+170.00 (DE DONATO GUERRA A EMPEDRADO EXISTENTE) CABECERA MUNICIPAL DE JOCOTEPEC, JALISCO.</v>
      </c>
      <c r="H109" s="1598" t="s">
        <v>4752</v>
      </c>
      <c r="I109" s="3" t="str">
        <f>OBRA!Q448</f>
        <v>CABECERA MUNICIPAL</v>
      </c>
      <c r="J109" s="3" t="s">
        <v>2619</v>
      </c>
      <c r="K109" s="3" t="s">
        <v>4772</v>
      </c>
      <c r="L109" s="3" t="s">
        <v>4767</v>
      </c>
      <c r="M109" s="1633">
        <f>OBRA!R448</f>
        <v>367959.98</v>
      </c>
      <c r="N109" s="242">
        <f>GRAL!AF450</f>
        <v>3500</v>
      </c>
      <c r="O109" s="242" t="str">
        <f>GRAL!AG450</f>
        <v>M2</v>
      </c>
      <c r="P109" s="2" t="s">
        <v>4929</v>
      </c>
      <c r="Q109" s="2"/>
    </row>
    <row r="110" spans="1:17" ht="60">
      <c r="A110" s="1"/>
      <c r="B110" s="1600" t="s">
        <v>1177</v>
      </c>
      <c r="C110" s="1" t="str">
        <f>OBRA!CB449</f>
        <v>2018-2021</v>
      </c>
      <c r="D110" s="1">
        <f>OBRA!J449</f>
        <v>2020</v>
      </c>
      <c r="E110" s="1598" t="str">
        <f>OBRA!O449</f>
        <v>ADMINISTRACIÓN DIRECTA</v>
      </c>
      <c r="F110" s="1281" t="str">
        <f>OBRA!N449</f>
        <v>DOP/AD/014-A/2020</v>
      </c>
      <c r="G110" s="3" t="str">
        <f>OBRA!P449</f>
        <v>CONSTRUCCIÓN DE EMPEDRADO ZAMPEADO EN VIALIDAD CALLE HIDALGO SUR DE KM 0+000.00 AL KM 0+170.00 (DE DONATO GUERRA A EMPEDRADO EXISTENTE), EN LA CEBECERA MUNICIPAL DE JOCOTEPEC, JALISCO.</v>
      </c>
      <c r="H110" s="1598" t="s">
        <v>4752</v>
      </c>
      <c r="I110" s="3" t="str">
        <f>OBRA!Q449</f>
        <v>CABECERA MUNICIPAL</v>
      </c>
      <c r="J110" s="3" t="s">
        <v>2619</v>
      </c>
      <c r="K110" s="3" t="s">
        <v>4772</v>
      </c>
      <c r="L110" s="3" t="s">
        <v>4767</v>
      </c>
      <c r="M110" s="1633">
        <f>OBRA!R449</f>
        <v>134912.99</v>
      </c>
      <c r="N110" s="242">
        <f>GRAL!AF451</f>
        <v>1557.64</v>
      </c>
      <c r="O110" s="242" t="str">
        <f>GRAL!AG451</f>
        <v>M2</v>
      </c>
      <c r="P110" s="2" t="s">
        <v>4929</v>
      </c>
      <c r="Q110" s="2"/>
    </row>
    <row r="111" spans="1:17" ht="60">
      <c r="A111" s="1"/>
      <c r="B111" s="1600"/>
      <c r="C111" s="1" t="str">
        <f>OBRA!CB450</f>
        <v>2018-2021</v>
      </c>
      <c r="D111" s="1">
        <f>OBRA!J450</f>
        <v>2020</v>
      </c>
      <c r="E111" s="1598" t="str">
        <f>OBRA!O450</f>
        <v>ADMINISTRACIÓN DIRECTA</v>
      </c>
      <c r="F111" s="1281" t="str">
        <f>OBRA!N450</f>
        <v>DOP/AD/015/2020</v>
      </c>
      <c r="G111" s="3" t="str">
        <f>OBRA!P450</f>
        <v>CONSTRUCCIÓN DE EMPEDRADO ZAMPEADO EN CALLES MTRA MARGARITA MIRANDA RAMOS, EDUARDO SOLIS, GILBERTO PARRA PAZ Y MA DEL ROSARIO BERNAL, DEL FRACC. "LAS PALMAS" EN LA CABECERA MUNICIPAL DE JOCOTEPEC, JALISCO.</v>
      </c>
      <c r="H111" s="1598" t="s">
        <v>4752</v>
      </c>
      <c r="I111" s="3" t="str">
        <f>OBRA!Q450</f>
        <v>CABECERA MUNICIPAL</v>
      </c>
      <c r="J111" s="3" t="s">
        <v>4785</v>
      </c>
      <c r="K111" s="3" t="s">
        <v>68</v>
      </c>
      <c r="L111" s="3" t="s">
        <v>68</v>
      </c>
      <c r="M111" s="1633">
        <f>OBRA!R450</f>
        <v>856034.87000000011</v>
      </c>
      <c r="N111" s="242">
        <f>GRAL!AF452</f>
        <v>1557.64</v>
      </c>
      <c r="O111" s="242" t="str">
        <f>GRAL!AG452</f>
        <v>M2</v>
      </c>
      <c r="P111" s="2" t="s">
        <v>4929</v>
      </c>
      <c r="Q111" s="2"/>
    </row>
    <row r="112" spans="1:17" ht="60">
      <c r="A112" s="1"/>
      <c r="B112" s="1600"/>
      <c r="C112" s="1" t="str">
        <f>OBRA!CB451</f>
        <v>2018-2021</v>
      </c>
      <c r="D112" s="1">
        <f>OBRA!J451</f>
        <v>2020</v>
      </c>
      <c r="E112" s="1598" t="str">
        <f>OBRA!O451</f>
        <v>ADMINISTRACIÓN DIRECTA</v>
      </c>
      <c r="F112" s="1281" t="str">
        <f>OBRA!N451</f>
        <v>DOP/AD/015/2020</v>
      </c>
      <c r="G112" s="3" t="str">
        <f>OBRA!P451</f>
        <v>CONSTRUCCIÓN DE EMPEDRADO ZAMPEADO EN VIALIDAD CALLE CHAPULTEPEC DE KM 0+000 AL KM 0+395.65 (ENTRE 1RO DE MAYO Y CHURUBUSCO), EN LA CABECERA MUNICIPAL DE JOCOTEPEC, JALISCO.</v>
      </c>
      <c r="H112" s="1598" t="s">
        <v>4752</v>
      </c>
      <c r="I112" s="3" t="str">
        <f>OBRA!Q451</f>
        <v>CABECERA MUNICIPAL</v>
      </c>
      <c r="J112" s="3" t="s">
        <v>3143</v>
      </c>
      <c r="K112" s="3" t="s">
        <v>4786</v>
      </c>
      <c r="L112" s="3" t="s">
        <v>2511</v>
      </c>
      <c r="M112" s="1633">
        <f>OBRA!R451</f>
        <v>196467.44</v>
      </c>
      <c r="N112" s="242">
        <f>GRAL!AF453</f>
        <v>3576.5</v>
      </c>
      <c r="O112" s="242" t="str">
        <f>GRAL!AG453</f>
        <v>M2</v>
      </c>
      <c r="P112" s="2" t="s">
        <v>4929</v>
      </c>
      <c r="Q112" s="2"/>
    </row>
    <row r="113" spans="1:17" ht="50.25" customHeight="1">
      <c r="A113" s="1"/>
      <c r="B113" s="1600" t="s">
        <v>1177</v>
      </c>
      <c r="C113" s="1" t="str">
        <f>OBRA!CB452</f>
        <v>2018-2021</v>
      </c>
      <c r="D113" s="1">
        <f>OBRA!J452</f>
        <v>2020</v>
      </c>
      <c r="E113" s="1598" t="str">
        <f>OBRA!O452</f>
        <v>ADMINISTRACIÓN DIRECTA</v>
      </c>
      <c r="F113" s="1281" t="str">
        <f>OBRA!N452</f>
        <v>DOP/AD/015-A/2020</v>
      </c>
      <c r="G113" s="3" t="str">
        <f>OBRA!P452</f>
        <v>CONSTRUCCIÓN DE EMPEDRADO ZAMPEADO EN FRACC. "LAS PALMAS", EN LA CABECERA MUNICIPAL DE JOCOTEPEC, JALISCO.</v>
      </c>
      <c r="H113" s="1598" t="s">
        <v>4752</v>
      </c>
      <c r="I113" s="3" t="str">
        <f>OBRA!Q452</f>
        <v>CABECERA MUNICIPAL</v>
      </c>
      <c r="J113" s="3" t="s">
        <v>4900</v>
      </c>
      <c r="K113" s="3" t="s">
        <v>68</v>
      </c>
      <c r="L113" s="3" t="s">
        <v>68</v>
      </c>
      <c r="M113" s="1633">
        <f>OBRA!R452</f>
        <v>230070.08</v>
      </c>
      <c r="N113" s="242">
        <f>GRAL!AF454</f>
        <v>740.62</v>
      </c>
      <c r="O113" s="242" t="str">
        <f>GRAL!AG454</f>
        <v>M2</v>
      </c>
      <c r="P113" s="2" t="s">
        <v>4929</v>
      </c>
      <c r="Q113" s="2"/>
    </row>
    <row r="114" spans="1:17" ht="60" customHeight="1">
      <c r="A114" s="1"/>
      <c r="B114" s="1600"/>
      <c r="C114" s="1" t="str">
        <f>OBRA!CB453</f>
        <v>2018-2021</v>
      </c>
      <c r="D114" s="1">
        <f>OBRA!J453</f>
        <v>2020</v>
      </c>
      <c r="E114" s="1598" t="str">
        <f>OBRA!O453</f>
        <v>ADMINISTRACIÓN DIRECTA</v>
      </c>
      <c r="F114" s="1281" t="str">
        <f>OBRA!N453</f>
        <v>DOP/AD/016/2020</v>
      </c>
      <c r="G114" s="3" t="str">
        <f>OBRA!P453</f>
        <v>CONSTRUCCIÓN DE EMPEDRADO ZAMPEADO EN C. INVIERNO, C. LAZARO CARDENAS, C. GONZALEZ ORTEGA Y CHAPULTEPEC EN CABECERA MUNICIPAL DE JOCOTEPEC, JALISCO.</v>
      </c>
      <c r="H114" s="1598" t="s">
        <v>4752</v>
      </c>
      <c r="I114" s="3" t="str">
        <f>OBRA!Q453</f>
        <v>CABECERA MUNICIPAL</v>
      </c>
      <c r="J114" s="3" t="s">
        <v>4787</v>
      </c>
      <c r="K114" s="3" t="s">
        <v>68</v>
      </c>
      <c r="L114" s="3" t="s">
        <v>68</v>
      </c>
      <c r="M114" s="1633">
        <f>OBRA!R453</f>
        <v>1291558.55</v>
      </c>
      <c r="N114" s="242">
        <f>GRAL!AF455</f>
        <v>740.62</v>
      </c>
      <c r="O114" s="242" t="str">
        <f>GRAL!AG455</f>
        <v>M2</v>
      </c>
      <c r="P114" s="2" t="s">
        <v>4929</v>
      </c>
      <c r="Q114" s="2"/>
    </row>
    <row r="115" spans="1:17" ht="64.5" customHeight="1">
      <c r="A115" s="1"/>
      <c r="B115" s="1600" t="s">
        <v>1177</v>
      </c>
      <c r="C115" s="1" t="str">
        <f>OBRA!CB454</f>
        <v>2018-2021</v>
      </c>
      <c r="D115" s="1">
        <f>OBRA!J454</f>
        <v>2020</v>
      </c>
      <c r="E115" s="1598" t="str">
        <f>OBRA!O454</f>
        <v>ADMINISTRACIÓN DIRECTA</v>
      </c>
      <c r="F115" s="1281" t="str">
        <f>OBRA!N454</f>
        <v>DOP/AD/016-A/2020</v>
      </c>
      <c r="G115" s="3" t="str">
        <f>OBRA!P454</f>
        <v>CONSTRUCCIÓN DE EMPEDRADO ZAMPEADO EN C. INVIERNO, C. LAZARO CARDENAS, C. GONZALEZ ORTEGA Y CHAPULTEPEC EN CABECERA MUNICIPAL DE JOCOTEPEC, JALISCO.</v>
      </c>
      <c r="H115" s="1598" t="s">
        <v>4752</v>
      </c>
      <c r="I115" s="3" t="str">
        <f>OBRA!Q454</f>
        <v>CABECERA MUNICIPAL</v>
      </c>
      <c r="J115" s="3" t="s">
        <v>4787</v>
      </c>
      <c r="K115" s="3" t="s">
        <v>68</v>
      </c>
      <c r="L115" s="3" t="s">
        <v>68</v>
      </c>
      <c r="M115" s="1633">
        <f>OBRA!R454</f>
        <v>542961</v>
      </c>
      <c r="N115" s="242">
        <f>GRAL!AF456</f>
        <v>5527.87</v>
      </c>
      <c r="O115" s="242" t="str">
        <f>GRAL!AG456</f>
        <v>M2</v>
      </c>
      <c r="P115" s="2" t="s">
        <v>4929</v>
      </c>
      <c r="Q115" s="2"/>
    </row>
    <row r="116" spans="1:17" ht="60" hidden="1">
      <c r="A116" s="1"/>
      <c r="B116" s="1"/>
      <c r="C116" s="1" t="str">
        <f>OBRA!CB455</f>
        <v>2018-2021</v>
      </c>
      <c r="D116" s="1">
        <f>OBRA!J455</f>
        <v>2020</v>
      </c>
      <c r="E116" s="1598" t="str">
        <f>OBRA!O455</f>
        <v>SERVICIOS</v>
      </c>
      <c r="F116" s="1598" t="str">
        <f>OBRA!N455</f>
        <v>C.P.S.P. DOP 001/2020</v>
      </c>
      <c r="G116" s="3" t="str">
        <f>OBRA!P455</f>
        <v>REGISTRO ELECTRICO VERSIÓN MULTIPARAMETROS, PARA EL PROYECTO DE PERFORACIÓN DE POZO PROFUNDO, EN LA AGENCIA MUNICIPAL DE EL MOLINO, DEL MUNICIPIO DE JOCOTEPEC, JALISCO.</v>
      </c>
      <c r="H116" s="1"/>
      <c r="I116" s="3" t="str">
        <f>OBRA!Q455</f>
        <v>EL MOLINO</v>
      </c>
      <c r="J116" s="3"/>
      <c r="K116" s="3"/>
      <c r="L116" s="3"/>
      <c r="M116" s="1602">
        <f>OBRA!AS455+OBRA!AT455</f>
        <v>0</v>
      </c>
      <c r="N116" s="1">
        <f>GRAL!AF457</f>
        <v>5527.87</v>
      </c>
      <c r="O116" s="1" t="str">
        <f>GRAL!AG457</f>
        <v>M2</v>
      </c>
      <c r="P116" s="1"/>
      <c r="Q116" s="1"/>
    </row>
    <row r="117" spans="1:17" ht="165" hidden="1">
      <c r="A117" s="1"/>
      <c r="B117" s="1"/>
      <c r="C117" s="1" t="str">
        <f>OBRA!CB456</f>
        <v>2018-2021</v>
      </c>
      <c r="D117" s="1">
        <f>OBRA!J456</f>
        <v>2020</v>
      </c>
      <c r="E117" s="1598" t="str">
        <f>OBRA!O456</f>
        <v>SERVICIOS</v>
      </c>
      <c r="F117" s="1598" t="str">
        <f>OBRA!N456</f>
        <v>C.P.S.P. DOP 002/2020</v>
      </c>
      <c r="G117"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OBRA!Q456</f>
        <v>MUNICIPIO</v>
      </c>
      <c r="J117" s="3"/>
      <c r="K117" s="3"/>
      <c r="L117" s="3"/>
      <c r="M117" s="1602">
        <f>OBRA!AS456+OBRA!AT456</f>
        <v>0</v>
      </c>
      <c r="N117" s="1">
        <f>GRAL!AF458</f>
        <v>1</v>
      </c>
      <c r="O117" s="1" t="str">
        <f>GRAL!AG458</f>
        <v>POZO</v>
      </c>
      <c r="P117" s="1"/>
      <c r="Q117" s="1"/>
    </row>
    <row r="118" spans="1:17" ht="22.5" hidden="1">
      <c r="A118" s="1"/>
      <c r="B118" s="1"/>
      <c r="C118" s="1" t="str">
        <f>OBRA!CB457</f>
        <v>2018-2021</v>
      </c>
      <c r="D118" s="1">
        <f>OBRA!J457</f>
        <v>2020</v>
      </c>
      <c r="E118" s="1598" t="str">
        <f>OBRA!O457</f>
        <v>CANCELADA</v>
      </c>
      <c r="F118" s="1598" t="str">
        <f>OBRA!N457</f>
        <v>C.P.S.P. DOP 003/2020</v>
      </c>
      <c r="G118" s="3" t="str">
        <f>OBRA!P457</f>
        <v>CONTRATO CANCELADO</v>
      </c>
      <c r="H118" s="1"/>
      <c r="I118" s="3">
        <f>OBRA!Q457</f>
        <v>0</v>
      </c>
      <c r="J118" s="3"/>
      <c r="K118" s="3"/>
      <c r="L118" s="3"/>
      <c r="M118" s="1602">
        <f>OBRA!AS457+OBRA!AT457</f>
        <v>0</v>
      </c>
      <c r="N118" s="1">
        <f>GRAL!AF459</f>
        <v>240</v>
      </c>
      <c r="O118" s="1" t="str">
        <f>GRAL!AG459</f>
        <v>ML</v>
      </c>
      <c r="P118" s="1"/>
      <c r="Q118" s="1"/>
    </row>
    <row r="119" spans="1:17" ht="75" hidden="1">
      <c r="A119" s="1"/>
      <c r="B119" s="1"/>
      <c r="C119" s="1" t="str">
        <f>OBRA!CB458</f>
        <v>2018-2021</v>
      </c>
      <c r="D119" s="1">
        <f>OBRA!J458</f>
        <v>2020</v>
      </c>
      <c r="E119" s="1598" t="str">
        <f>OBRA!O458</f>
        <v>SERVICIOS</v>
      </c>
      <c r="F119" s="1598" t="str">
        <f>OBRA!N458</f>
        <v>C.P.S.P. DOP 004/2020</v>
      </c>
      <c r="G119" s="3" t="str">
        <f>OBRA!P458</f>
        <v>ESTUDIOS DE MECÁNICA DE SUELOS Y DE COMPACTACIÓN, CORRESPONDIENTE AL PROYECTO: "REHABILITACIÓN DE IMAGEN URBANA EN CALLE GUADALUPE VICTORIA SUR ENTRE VICENTE GUERRERO Y DONATO GUERRA", EN LA CABECERA MUNICIPAL DE JOCOTEPEC, JALISCO.</v>
      </c>
      <c r="H119" s="1"/>
      <c r="I119" s="3" t="str">
        <f>OBRA!Q458</f>
        <v>CABECERA MUNICIPAL</v>
      </c>
      <c r="J119" s="3"/>
      <c r="K119" s="3"/>
      <c r="L119" s="3"/>
      <c r="M119" s="1602">
        <f>OBRA!AS458+OBRA!AT458</f>
        <v>0</v>
      </c>
      <c r="N119" s="1">
        <f>GRAL!AF460</f>
        <v>1</v>
      </c>
      <c r="O119" s="1" t="str">
        <f>GRAL!AG460</f>
        <v>LOTE</v>
      </c>
      <c r="P119" s="1"/>
      <c r="Q119" s="1"/>
    </row>
    <row r="120" spans="1:17" ht="75" hidden="1">
      <c r="A120" s="1"/>
      <c r="B120" s="1"/>
      <c r="C120" s="1" t="str">
        <f>OBRA!CB459</f>
        <v>2018-2021</v>
      </c>
      <c r="D120" s="1">
        <f>OBRA!J459</f>
        <v>2020</v>
      </c>
      <c r="E120" s="1598" t="str">
        <f>OBRA!O459</f>
        <v>SERVICIOS</v>
      </c>
      <c r="F120" s="1598" t="str">
        <f>OBRA!N459</f>
        <v>C.P.S.P. DOP 005/2020</v>
      </c>
      <c r="G120" s="3" t="str">
        <f>OBRA!P459</f>
        <v>ESTUDIOS DE MECÁNICA DE SUELOS, COMPACTACIÓN Y CALCULO ESTRUCTURAL, CORRESPONDIENTE AL PROYECTO: "REHABILITACIÓN DE LA CANCHA UNIDAD DEPORTIVA ZARAGOZA 1ERA. ETAPA", EN LA CABECERA MUNICIPAL DE JOCOTEPEC, JALISCO.</v>
      </c>
      <c r="H120" s="1"/>
      <c r="I120" s="3" t="str">
        <f>OBRA!Q459</f>
        <v>CABECERA MUNICIPAL</v>
      </c>
      <c r="J120" s="3"/>
      <c r="K120" s="3"/>
      <c r="L120" s="3"/>
      <c r="M120" s="1602">
        <f>OBRA!AS459+OBRA!AT459</f>
        <v>0</v>
      </c>
      <c r="N120" s="1">
        <f>GRAL!AF461</f>
        <v>1</v>
      </c>
      <c r="O120" s="1" t="str">
        <f>GRAL!AG461</f>
        <v>LOTE</v>
      </c>
      <c r="P120" s="1"/>
      <c r="Q120" s="1"/>
    </row>
    <row r="121" spans="1:17" ht="60" hidden="1">
      <c r="A121" s="1"/>
      <c r="B121" s="1"/>
      <c r="C121" s="1" t="str">
        <f>OBRA!CB460</f>
        <v>2018-2021</v>
      </c>
      <c r="D121" s="1">
        <f>OBRA!J460</f>
        <v>2020</v>
      </c>
      <c r="E121" s="1598" t="str">
        <f>OBRA!O460</f>
        <v>SERVICIOS</v>
      </c>
      <c r="F121" s="1598" t="str">
        <f>OBRA!N460</f>
        <v>C.P.S.P. DOP 006/2020</v>
      </c>
      <c r="G121" s="3" t="str">
        <f>OBRA!P460</f>
        <v>ESTUDIOS DE MECÁNICA DE SUELOS Y COMPACTACIÓN, CORRESPONDIENTE AL PROYECTO: "REHABILITACIÓN DE CANCHA DE USOS MULTIPLES UBICADA EN EL MALECÓN", EN LA LOCALIDAD DE SAN JUAN COSALA, DEL MUNICIPIO DE JOCOTEPEC, JALISCO.</v>
      </c>
      <c r="H121" s="1"/>
      <c r="I121" s="3" t="str">
        <f>OBRA!Q460</f>
        <v>SAN JUAN COSALÁ</v>
      </c>
      <c r="J121" s="3"/>
      <c r="K121" s="3"/>
      <c r="L121" s="3"/>
      <c r="M121" s="1602">
        <f>OBRA!AS460+OBRA!AT460</f>
        <v>0</v>
      </c>
      <c r="N121" s="1">
        <f>GRAL!AF462</f>
        <v>1</v>
      </c>
      <c r="O121" s="1" t="str">
        <f>GRAL!AG462</f>
        <v>LOTE</v>
      </c>
      <c r="P121" s="1"/>
      <c r="Q121" s="1"/>
    </row>
    <row r="122" spans="1:17" ht="60" hidden="1">
      <c r="A122" s="1"/>
      <c r="B122" s="1"/>
      <c r="C122" s="1" t="str">
        <f>OBRA!CB461</f>
        <v>2018-2021</v>
      </c>
      <c r="D122" s="1">
        <f>OBRA!J461</f>
        <v>2020</v>
      </c>
      <c r="E122" s="1598" t="str">
        <f>OBRA!O461</f>
        <v>SERVICIOS</v>
      </c>
      <c r="F122" s="1598" t="str">
        <f>OBRA!N461</f>
        <v>C.P.S.P. DOP 007/2020</v>
      </c>
      <c r="G122" s="3" t="str">
        <f>OBRA!P461</f>
        <v>ESTUDIOS DE MECÁNICA DE SUELOS Y COMPACTACIÓN, CORRESPONDIENTE AL PROYECTO: "CONSTRUCCIÓN DE JARDÍN DE NIÑOS "MIGUEL HIDALGO", EN LA CABECERA MUNICIPAL DE JOCOTEPEC, JALISCO.</v>
      </c>
      <c r="H122" s="1"/>
      <c r="I122" s="3" t="str">
        <f>OBRA!Q461</f>
        <v>CABECERA MUNICIPAL</v>
      </c>
      <c r="J122" s="3"/>
      <c r="K122" s="3"/>
      <c r="L122" s="3"/>
      <c r="M122" s="1602">
        <f>OBRA!AS461+OBRA!AT461</f>
        <v>0</v>
      </c>
      <c r="N122" s="1">
        <f>GRAL!AF463</f>
        <v>1</v>
      </c>
      <c r="O122" s="1" t="str">
        <f>GRAL!AG463</f>
        <v>LOTE</v>
      </c>
      <c r="P122" s="1"/>
      <c r="Q122" s="1"/>
    </row>
    <row r="123" spans="1:17" ht="60" hidden="1">
      <c r="A123" s="1"/>
      <c r="B123" s="1"/>
      <c r="C123" s="1" t="str">
        <f>OBRA!CB462</f>
        <v>2018-2021</v>
      </c>
      <c r="D123" s="1">
        <f>OBRA!J462</f>
        <v>2020</v>
      </c>
      <c r="E123" s="1598" t="str">
        <f>OBRA!O462</f>
        <v>SERVICIOS</v>
      </c>
      <c r="F123" s="1598" t="str">
        <f>OBRA!N462</f>
        <v>C.P.S.P. DOP 008/2020</v>
      </c>
      <c r="G123" s="3" t="str">
        <f>OBRA!P462</f>
        <v>ESTUDIOS DE MECÁNICA DE SUELOS Y COMPACTACIÓN, CORRESPONDIENTE AL PROYECTO: "CONSTRUCCIÓN DE JARDÍN DE NIÑOS "ITZCOATL", EN LA LOCALIDAD DE NEXTIPAC. DEL MUNICIPIO DE JOCOTEPEC, JALISCO.</v>
      </c>
      <c r="H123" s="1"/>
      <c r="I123" s="3" t="str">
        <f>OBRA!Q462</f>
        <v>NEXTIPAC</v>
      </c>
      <c r="J123" s="3"/>
      <c r="K123" s="3"/>
      <c r="L123" s="3"/>
      <c r="M123" s="1602">
        <f>OBRA!AS462+OBRA!AT462</f>
        <v>0</v>
      </c>
      <c r="N123" s="1">
        <f>GRAL!AF464</f>
        <v>1</v>
      </c>
      <c r="O123" s="1" t="str">
        <f>GRAL!AG464</f>
        <v>LOTE</v>
      </c>
      <c r="P123" s="1"/>
      <c r="Q123" s="1"/>
    </row>
    <row r="124" spans="1:17" ht="60" hidden="1">
      <c r="A124" s="1"/>
      <c r="B124" s="1"/>
      <c r="C124" s="1" t="str">
        <f>OBRA!CB463</f>
        <v>2018-2021</v>
      </c>
      <c r="D124" s="1">
        <f>OBRA!J463</f>
        <v>2020</v>
      </c>
      <c r="E124" s="1598" t="str">
        <f>OBRA!O463</f>
        <v>SERVICIOS</v>
      </c>
      <c r="F124" s="1598" t="str">
        <f>OBRA!N463</f>
        <v>C.P.S.P. DOP 009/2020</v>
      </c>
      <c r="G124" s="3" t="str">
        <f>OBRA!P463</f>
        <v>REGISTRO ELECTRICO VERSIÓN MULTIPARAMETROS, PARA EL PROYECTO DE PERFORACIÓN DE: PERFORACIÓN DE POZO PROFUNDO, EN LA AGENCIA MUNICIPAL DE LAS TROJES, DEL MUNICIPIO DE JOCOTEPEC, JALISCO.</v>
      </c>
      <c r="H124" s="1"/>
      <c r="I124" s="3" t="str">
        <f>OBRA!Q463</f>
        <v>LAS TROJES</v>
      </c>
      <c r="J124" s="3"/>
      <c r="K124" s="3"/>
      <c r="L124" s="3"/>
      <c r="M124" s="1602">
        <f>OBRA!AS463+OBRA!AT463</f>
        <v>0</v>
      </c>
      <c r="N124" s="1">
        <f>GRAL!AF465</f>
        <v>1</v>
      </c>
      <c r="O124" s="1" t="str">
        <f>GRAL!AG465</f>
        <v>POZO</v>
      </c>
      <c r="P124" s="1"/>
      <c r="Q124" s="1"/>
    </row>
    <row r="125" spans="1:17" ht="75" hidden="1">
      <c r="A125" s="1"/>
      <c r="B125" s="1"/>
      <c r="C125" s="1" t="str">
        <f>OBRA!CB464</f>
        <v>2018-2021</v>
      </c>
      <c r="D125" s="1">
        <f>OBRA!J464</f>
        <v>2020</v>
      </c>
      <c r="E125" s="1598" t="str">
        <f>OBRA!O464</f>
        <v>SERVICIOS</v>
      </c>
      <c r="F125" s="1598" t="str">
        <f>OBRA!N464</f>
        <v>C.P.S.P. DOP 010/2020</v>
      </c>
      <c r="G125" s="3" t="str">
        <f>OBRA!P464</f>
        <v>"ESTUDIO DE MECANICA DE SUELOS Y PRUEBAS COMPACTACIÓN", CORRESPONDIENTE AL PROYECTO. "CONSTRUCCIÓN Y EQUIPAMIENTO DE LA PLAZA PRINCIPAL 1ERA ETAPA" DE LA DELEGACIÓN DE CHANTEPEC, DEL MUNICIPIO DE JOCOTEPEC, JALISCO.</v>
      </c>
      <c r="H125" s="1"/>
      <c r="I125" s="3" t="str">
        <f>OBRA!Q464</f>
        <v>CHANTEPEC</v>
      </c>
      <c r="J125" s="3"/>
      <c r="K125" s="3"/>
      <c r="L125" s="3"/>
      <c r="M125" s="1602">
        <f>OBRA!AS464+OBRA!AT464</f>
        <v>0</v>
      </c>
      <c r="N125" s="1">
        <f>GRAL!AF466</f>
        <v>1</v>
      </c>
      <c r="O125" s="1" t="str">
        <f>GRAL!AG466</f>
        <v>LOTE</v>
      </c>
      <c r="P125" s="1"/>
      <c r="Q125" s="1"/>
    </row>
    <row r="126" spans="1:17" ht="45" hidden="1">
      <c r="A126" s="1"/>
      <c r="B126" s="1"/>
      <c r="C126" s="1" t="str">
        <f>OBRA!CB465</f>
        <v>2018-2021</v>
      </c>
      <c r="D126" s="1">
        <f>OBRA!J465</f>
        <v>2020</v>
      </c>
      <c r="E126" s="1598" t="str">
        <f>OBRA!O465</f>
        <v>SERVICIOS</v>
      </c>
      <c r="F126" s="1598" t="str">
        <f>OBRA!N465</f>
        <v>C.P.S.P. DOP 011/2020</v>
      </c>
      <c r="G126" s="3" t="str">
        <f>OBRA!P465</f>
        <v>LEVANTAMIENTO TOPOGRÁFICO DE ÁREA DE DONACIÓN Y UBICACIÓN DEL DEPÓSITO PARA AGUA POTABLE EN LADO NORTE DE LA CABECERA MUNICIPAL DE JOCOTEPEC, JALISCO.</v>
      </c>
      <c r="H126" s="1"/>
      <c r="I126" s="3" t="str">
        <f>OBRA!Q465</f>
        <v>CABECERA MUNICIPAL</v>
      </c>
      <c r="J126" s="3"/>
      <c r="K126" s="3"/>
      <c r="L126" s="3"/>
      <c r="M126" s="1602">
        <f>OBRA!AS465+OBRA!AT465</f>
        <v>0</v>
      </c>
      <c r="N126" s="1">
        <f>GRAL!AF467</f>
        <v>1</v>
      </c>
      <c r="O126" s="1" t="str">
        <f>GRAL!AG467</f>
        <v>LOTE</v>
      </c>
      <c r="P126" s="1"/>
      <c r="Q126" s="1"/>
    </row>
    <row r="127" spans="1:17" ht="135" hidden="1">
      <c r="A127" s="1"/>
      <c r="B127" s="1"/>
      <c r="C127" s="1" t="str">
        <f>OBRA!CB466</f>
        <v>2018-2021</v>
      </c>
      <c r="D127" s="1">
        <f>OBRA!J466</f>
        <v>2020</v>
      </c>
      <c r="E127" s="1598" t="str">
        <f>OBRA!O466</f>
        <v>SERVICIOS</v>
      </c>
      <c r="F127" s="1598" t="str">
        <f>OBRA!N466</f>
        <v>C.P.S.P. DOP 012/2020</v>
      </c>
      <c r="G127"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OBRA!Q466</f>
        <v>MUNICIPIO</v>
      </c>
      <c r="J127" s="3"/>
      <c r="K127" s="3"/>
      <c r="L127" s="3"/>
      <c r="M127" s="1602">
        <f>OBRA!AS466+OBRA!AT466</f>
        <v>0</v>
      </c>
      <c r="N127" s="1">
        <f>GRAL!AF468</f>
        <v>1</v>
      </c>
      <c r="O127" s="1" t="str">
        <f>GRAL!AG468</f>
        <v>LOTE</v>
      </c>
      <c r="P127" s="1"/>
      <c r="Q127" s="1"/>
    </row>
    <row r="128" spans="1:17" ht="90" hidden="1">
      <c r="A128" s="1"/>
      <c r="B128" s="1"/>
      <c r="C128" s="1" t="str">
        <f>OBRA!CB467</f>
        <v>2018-2021</v>
      </c>
      <c r="D128" s="1">
        <f>OBRA!J467</f>
        <v>2020</v>
      </c>
      <c r="E128" s="1598" t="str">
        <f>OBRA!O467</f>
        <v>SERVICIOS</v>
      </c>
      <c r="F128" s="1598" t="str">
        <f>OBRA!N467</f>
        <v>C.P.S.P. DOP 013/2020</v>
      </c>
      <c r="G128"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OBRA!Q467</f>
        <v>MUNICIPIO</v>
      </c>
      <c r="J128" s="3"/>
      <c r="K128" s="3"/>
      <c r="L128" s="3"/>
      <c r="M128" s="1602">
        <f>OBRA!AS467+OBRA!AT467</f>
        <v>0</v>
      </c>
      <c r="N128" s="1">
        <f>GRAL!AF469</f>
        <v>1</v>
      </c>
      <c r="O128" s="1" t="str">
        <f>GRAL!AG469</f>
        <v>LOTE</v>
      </c>
      <c r="P128" s="1"/>
      <c r="Q128" s="1"/>
    </row>
    <row r="129" spans="1:17" ht="90" hidden="1">
      <c r="A129" s="1"/>
      <c r="B129" s="1"/>
      <c r="C129" s="1" t="str">
        <f>OBRA!CB468</f>
        <v>2018-2021</v>
      </c>
      <c r="D129" s="1">
        <f>OBRA!J468</f>
        <v>2020</v>
      </c>
      <c r="E129" s="1598" t="str">
        <f>OBRA!O468</f>
        <v>SERVICIOS</v>
      </c>
      <c r="F129" s="1598" t="str">
        <f>OBRA!N468</f>
        <v>C.P.S.P. DOP 014/2020</v>
      </c>
      <c r="G129"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OBRA!Q468</f>
        <v>SAN JUAN COSALÁ</v>
      </c>
      <c r="J129" s="3"/>
      <c r="K129" s="3"/>
      <c r="L129" s="3"/>
      <c r="M129" s="1602">
        <f>OBRA!AS468+OBRA!AT468</f>
        <v>0</v>
      </c>
      <c r="N129" s="1">
        <f>GRAL!AF470</f>
        <v>1</v>
      </c>
      <c r="O129" s="1" t="str">
        <f>GRAL!AG470</f>
        <v>LOTE</v>
      </c>
      <c r="P129" s="1"/>
      <c r="Q129" s="1"/>
    </row>
    <row r="130" spans="1:17" ht="105" hidden="1">
      <c r="A130" s="1"/>
      <c r="B130" s="1"/>
      <c r="C130" s="1" t="str">
        <f>OBRA!CB469</f>
        <v>2018-2021</v>
      </c>
      <c r="D130" s="1">
        <f>OBRA!J469</f>
        <v>2020</v>
      </c>
      <c r="E130" s="1598" t="str">
        <f>OBRA!O469</f>
        <v>SERVICIOS</v>
      </c>
      <c r="F130" s="1598" t="str">
        <f>OBRA!N469</f>
        <v>C.P.S.P. DOP 015/2020</v>
      </c>
      <c r="G130"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OBRA!Q469</f>
        <v>CABECERA MUNICIPAL</v>
      </c>
      <c r="J130" s="3"/>
      <c r="K130" s="3"/>
      <c r="L130" s="3"/>
      <c r="M130" s="1602">
        <f>OBRA!AS469+OBRA!AT469</f>
        <v>0</v>
      </c>
      <c r="N130" s="1">
        <f>GRAL!AF471</f>
        <v>1</v>
      </c>
      <c r="O130" s="1" t="str">
        <f>GRAL!AG471</f>
        <v>LOTE</v>
      </c>
      <c r="P130" s="1"/>
      <c r="Q130" s="1"/>
    </row>
    <row r="131" spans="1:17" ht="90" hidden="1">
      <c r="A131" s="1"/>
      <c r="B131" s="1"/>
      <c r="C131" s="1" t="str">
        <f>OBRA!CB470</f>
        <v>2018-2021</v>
      </c>
      <c r="D131" s="1">
        <f>OBRA!J470</f>
        <v>2020</v>
      </c>
      <c r="E131" s="1598" t="str">
        <f>OBRA!O470</f>
        <v>SERVICIOS</v>
      </c>
      <c r="F131" s="1598" t="str">
        <f>OBRA!N470</f>
        <v>C.P.S.P. DOP 016/2020</v>
      </c>
      <c r="G131"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OBRA!Q470</f>
        <v>CABECERA MUNICIPAL</v>
      </c>
      <c r="J131" s="3"/>
      <c r="K131" s="3"/>
      <c r="L131" s="3"/>
      <c r="M131" s="1602">
        <f>OBRA!AS470+OBRA!AT470</f>
        <v>0</v>
      </c>
      <c r="N131" s="1">
        <f>GRAL!AF472</f>
        <v>1</v>
      </c>
      <c r="O131" s="1" t="str">
        <f>GRAL!AG472</f>
        <v>LOTE</v>
      </c>
      <c r="P131" s="1"/>
      <c r="Q131" s="1"/>
    </row>
    <row r="132" spans="1:17" ht="45" hidden="1">
      <c r="A132" s="1"/>
      <c r="B132" s="1"/>
      <c r="C132" s="1" t="str">
        <f>OBRA!CB471</f>
        <v>2018-2021</v>
      </c>
      <c r="D132" s="1">
        <f>OBRA!J471</f>
        <v>2020</v>
      </c>
      <c r="E132" s="1598" t="str">
        <f>OBRA!O471</f>
        <v>SERVICIOS</v>
      </c>
      <c r="F132" s="1598" t="str">
        <f>OBRA!N471</f>
        <v>C.P.S.P. DOP 017/2020</v>
      </c>
      <c r="G132" s="3" t="str">
        <f>OBRA!P471</f>
        <v>LEVANTAMIENTOS TOPOGRÁFICOS DE ÁREA DE DONACIÓN Y UBICACIÓN DEL POZO DE AGUA POTABLE EN C. ALLENDE, EN LA CABECERA MUNICIPAL DE JOCOTEPEC, JALISCO.</v>
      </c>
      <c r="H132" s="1"/>
      <c r="I132" s="3" t="str">
        <f>OBRA!Q471</f>
        <v>CABECERA MUNICIPAL</v>
      </c>
      <c r="J132" s="3"/>
      <c r="K132" s="3"/>
      <c r="L132" s="3"/>
      <c r="M132" s="1602">
        <f>OBRA!AS471+OBRA!AT471</f>
        <v>0</v>
      </c>
      <c r="N132" s="1">
        <f>GRAL!AF473</f>
        <v>1</v>
      </c>
      <c r="O132" s="1" t="str">
        <f>GRAL!AG473</f>
        <v>LOTE</v>
      </c>
      <c r="P132" s="1"/>
      <c r="Q132" s="1"/>
    </row>
    <row r="133" spans="1:17" ht="45" hidden="1">
      <c r="A133" s="1"/>
      <c r="B133" s="1"/>
      <c r="C133" s="1" t="str">
        <f>OBRA!CB472</f>
        <v>2018-2021</v>
      </c>
      <c r="D133" s="1">
        <f>OBRA!J472</f>
        <v>2020</v>
      </c>
      <c r="E133" s="1598" t="str">
        <f>OBRA!O472</f>
        <v>SERVICIOS</v>
      </c>
      <c r="F133" s="1598" t="str">
        <f>OBRA!N472</f>
        <v>C.P.S.P. DOP 018/2020</v>
      </c>
      <c r="G133" s="3" t="str">
        <f>OBRA!P472</f>
        <v>LEVANTAMIENTO TOPOGRÁFICO DE ÁREA DE DONACIÓN PARA PROYECTO DEL SENDERO "ANDADOR PANORÁMICO" EN ZONA NORTE, EN LA CABECERA MUNICIPAL DE JOCOTEPEC, JALISCO.</v>
      </c>
      <c r="H133" s="1"/>
      <c r="I133" s="3" t="str">
        <f>OBRA!Q472</f>
        <v>CABECERA MUNICIPAL</v>
      </c>
      <c r="J133" s="3"/>
      <c r="K133" s="3"/>
      <c r="L133" s="3"/>
      <c r="M133" s="1602">
        <f>OBRA!AS472+OBRA!AT472</f>
        <v>0</v>
      </c>
      <c r="N133" s="1">
        <f>GRAL!AF474</f>
        <v>1</v>
      </c>
      <c r="O133" s="1" t="str">
        <f>GRAL!AG474</f>
        <v>LOTE</v>
      </c>
      <c r="P133" s="1"/>
      <c r="Q133" s="1"/>
    </row>
    <row r="134" spans="1:17" ht="60" hidden="1">
      <c r="A134" s="1"/>
      <c r="B134" s="1"/>
      <c r="C134" s="1" t="str">
        <f>OBRA!CB473</f>
        <v>2018-2021</v>
      </c>
      <c r="D134" s="1">
        <f>OBRA!J473</f>
        <v>2020</v>
      </c>
      <c r="E134" s="1598" t="str">
        <f>OBRA!O473</f>
        <v>SERVICIOS</v>
      </c>
      <c r="F134" s="1598" t="str">
        <f>OBRA!N473</f>
        <v>C.P.S.P. DOP 019/2020</v>
      </c>
      <c r="G134" s="3" t="str">
        <f>OBRA!P473</f>
        <v>LEVANTAMIENTO TOPOGRÁFICO DE ÁREA DE DONACIÓN DEL TERRENO PARA EL PROYECTO DE LA PLANTA DE RECICLADO, UBICADO EN EL CRUCERO A POTRERILLOS DEL MUNICIPIO DE JOCOTEPEC, JALISCO.</v>
      </c>
      <c r="H134" s="1"/>
      <c r="I134" s="3" t="str">
        <f>OBRA!Q473</f>
        <v>POTRERILLOS</v>
      </c>
      <c r="J134" s="3"/>
      <c r="K134" s="3"/>
      <c r="L134" s="3"/>
      <c r="M134" s="1602">
        <f>OBRA!AS473+OBRA!AT473</f>
        <v>0</v>
      </c>
      <c r="N134" s="1">
        <f>GRAL!AF475</f>
        <v>1</v>
      </c>
      <c r="O134" s="1" t="str">
        <f>GRAL!AG475</f>
        <v>LOTE</v>
      </c>
      <c r="P134" s="1"/>
      <c r="Q134" s="1"/>
    </row>
    <row r="135" spans="1:17" ht="60" hidden="1">
      <c r="A135" s="1"/>
      <c r="B135" s="1"/>
      <c r="C135" s="1" t="str">
        <f>OBRA!CB474</f>
        <v>2018-2021</v>
      </c>
      <c r="D135" s="1">
        <f>OBRA!J474</f>
        <v>2020</v>
      </c>
      <c r="E135" s="1598" t="str">
        <f>OBRA!O474</f>
        <v>SERVICIOS</v>
      </c>
      <c r="F135" s="1598" t="str">
        <f>OBRA!N474</f>
        <v>C.P.S.P. DOP 020/2020</v>
      </c>
      <c r="G135" s="3" t="str">
        <f>OBRA!P474</f>
        <v>LEVANTAMIENTO TOPORÁFICO DE ÁREA DE DONACIÓN DEL TERRENO PARA EL CAMPAMENTO DE LA GUARDIA NACIONAL, UBICADO EN EL EJIDO DE HUEJOTITÁN EN CRUCERO A POTRERILLOS, DEL MUNICIPIO DE JOCOTEPEC, JALISCO,</v>
      </c>
      <c r="H135" s="1"/>
      <c r="I135" s="3" t="str">
        <f>OBRA!Q474</f>
        <v>-</v>
      </c>
      <c r="J135" s="3"/>
      <c r="K135" s="3"/>
      <c r="L135" s="3"/>
      <c r="M135" s="1602">
        <f>OBRA!AS474+OBRA!AT474</f>
        <v>0</v>
      </c>
      <c r="N135" s="1">
        <f>GRAL!AF476</f>
        <v>1</v>
      </c>
      <c r="O135" s="1" t="str">
        <f>GRAL!AG476</f>
        <v>LOTE</v>
      </c>
      <c r="P135" s="1"/>
      <c r="Q135" s="1"/>
    </row>
    <row r="136" spans="1:17" ht="45" hidden="1">
      <c r="A136" s="1"/>
      <c r="B136" s="1"/>
      <c r="C136" s="1" t="str">
        <f>OBRA!CB475</f>
        <v>2018-2021</v>
      </c>
      <c r="D136" s="1">
        <f>OBRA!J475</f>
        <v>2020</v>
      </c>
      <c r="E136" s="1598" t="str">
        <f>OBRA!O475</f>
        <v>SERVICIOS</v>
      </c>
      <c r="F136" s="1598" t="str">
        <f>OBRA!N475</f>
        <v>C.P.S.P. DOP 021/2020</v>
      </c>
      <c r="G136" s="3" t="str">
        <f>OBRA!P475</f>
        <v>LEVANTAMIENTO TOGRÁFICO DE ÁREA Y LÍMITES DE PROPIEDAD DE LA CALLE HIDALGO NORTE DE CALLE ALDAMA A FILÓSOFOS, EN LA CABECERA MUNICIPAL DE JOCOTEPEC, JALISCO.</v>
      </c>
      <c r="H136" s="1"/>
      <c r="I136" s="3" t="str">
        <f>OBRA!Q475</f>
        <v>CABECERA MUNICIPAL</v>
      </c>
      <c r="J136" s="3"/>
      <c r="K136" s="3"/>
      <c r="L136" s="3"/>
      <c r="M136" s="1602">
        <f>OBRA!AS475+OBRA!AT475</f>
        <v>0</v>
      </c>
      <c r="N136" s="1">
        <f>GRAL!AF477</f>
        <v>1</v>
      </c>
      <c r="O136" s="1" t="str">
        <f>GRAL!AG477</f>
        <v>LOTE</v>
      </c>
      <c r="P136" s="1"/>
      <c r="Q136" s="1"/>
    </row>
    <row r="137" spans="1:17" ht="60" hidden="1">
      <c r="A137" s="1"/>
      <c r="B137" s="1"/>
      <c r="C137" s="1" t="str">
        <f>OBRA!CB476</f>
        <v>2018-2021</v>
      </c>
      <c r="D137" s="1">
        <f>OBRA!J476</f>
        <v>2020</v>
      </c>
      <c r="E137" s="1598" t="str">
        <f>OBRA!O476</f>
        <v>SERVICIOS</v>
      </c>
      <c r="F137" s="1598" t="str">
        <f>OBRA!N476</f>
        <v>C.P.S.P. DOP 022/2020</v>
      </c>
      <c r="G137" s="3" t="str">
        <f>OBRA!P476</f>
        <v>LEVANTAMIENTO TOPOGRÁFICO DEL PREDIO Y CONSTRUCCIÓN EXISTENTE PARA EL PROYECTO DE LA REMODELACIÓN DEL RASTRO MUNICIPAL UBICADO EN CALLE CHAPULTEPEC PTE, S/N, EN LA CABECERA MUNICIPAL DE JOCOTEPEC, JALISCO.</v>
      </c>
      <c r="H137" s="1"/>
      <c r="I137" s="3" t="str">
        <f>OBRA!Q476</f>
        <v>CABECERA MUNICIPAL</v>
      </c>
      <c r="J137" s="3"/>
      <c r="K137" s="3"/>
      <c r="L137" s="3"/>
      <c r="M137" s="1602">
        <f>OBRA!AS476+OBRA!AT476</f>
        <v>0</v>
      </c>
      <c r="N137" s="1">
        <f>GRAL!AF478</f>
        <v>1</v>
      </c>
      <c r="O137" s="1" t="str">
        <f>GRAL!AG478</f>
        <v>LOTE</v>
      </c>
      <c r="P137" s="1"/>
      <c r="Q137" s="1"/>
    </row>
    <row r="138" spans="1:17" ht="60" hidden="1">
      <c r="A138" s="1"/>
      <c r="B138" s="1"/>
      <c r="C138" s="1" t="str">
        <f>OBRA!CB477</f>
        <v>2018-2021</v>
      </c>
      <c r="D138" s="1">
        <f>OBRA!J477</f>
        <v>2020</v>
      </c>
      <c r="E138" s="1598" t="str">
        <f>OBRA!O477</f>
        <v>SERVICIOS</v>
      </c>
      <c r="F138" s="1598" t="str">
        <f>OBRA!N477</f>
        <v>C.P.S.P. DOP 023/2020</v>
      </c>
      <c r="G138" s="3" t="str">
        <f>OBRA!P477</f>
        <v>LEVANTAMIENTO TOPOGRÁFICO EN ÁREA DE DONACIÓN DEL TERRENO PARA LA UBICACIÓN DEL DEPÓSITO NUEVO DE AGUA POTABLE, EN LA DELEGACIÓN DE SAN CRISTOBAL ZAPOTITLÁN, DEL MUNICIPIO DE JOCOTEPEC, JALISCO.</v>
      </c>
      <c r="H138" s="1"/>
      <c r="I138" s="3" t="str">
        <f>OBRA!Q477</f>
        <v>SAN CRISTÓBAL ZAPOTITLÁN</v>
      </c>
      <c r="J138" s="3"/>
      <c r="K138" s="3"/>
      <c r="L138" s="3"/>
      <c r="M138" s="1602">
        <f>OBRA!AS477+OBRA!AT477</f>
        <v>0</v>
      </c>
      <c r="N138" s="1">
        <f>GRAL!AF479</f>
        <v>1</v>
      </c>
      <c r="O138" s="1" t="str">
        <f>GRAL!AG479</f>
        <v>LOTE</v>
      </c>
      <c r="P138" s="1"/>
      <c r="Q138" s="1"/>
    </row>
    <row r="139" spans="1:17" ht="60" hidden="1">
      <c r="A139" s="1"/>
      <c r="B139" s="1"/>
      <c r="C139" s="1" t="str">
        <f>OBRA!CB478</f>
        <v>2018-2021</v>
      </c>
      <c r="D139" s="1">
        <f>OBRA!J478</f>
        <v>2020</v>
      </c>
      <c r="E139" s="1598" t="str">
        <f>OBRA!O478</f>
        <v>SERVICIOS</v>
      </c>
      <c r="F139" s="1598" t="str">
        <f>OBRA!N478</f>
        <v>C.P.S.P. DOP 024/2020</v>
      </c>
      <c r="G139" s="3" t="str">
        <f>OBRA!P478</f>
        <v>LEVANTAMIENTO TOPOGRÁFICO DE PREDIO Y CONSTRUCCIÓN EXISTENTE EN CASA DE CULTURA UBICADO EN CALLE CARDENAL, EN LA DELEGACIÓN DE SAN JUAN COSALÁ, DEL MUNICIPIO DE JOCOTEPEC, JALISCO.</v>
      </c>
      <c r="H139" s="1"/>
      <c r="I139" s="3" t="str">
        <f>OBRA!Q478</f>
        <v>SAN JUAN COSALÁ</v>
      </c>
      <c r="J139" s="3"/>
      <c r="K139" s="3"/>
      <c r="L139" s="3"/>
      <c r="M139" s="1602">
        <f>OBRA!AS478+OBRA!AT478</f>
        <v>0</v>
      </c>
      <c r="N139" s="1">
        <f>GRAL!AF480</f>
        <v>1</v>
      </c>
      <c r="O139" s="1" t="str">
        <f>GRAL!AG480</f>
        <v>LOTE</v>
      </c>
      <c r="P139" s="1"/>
      <c r="Q139" s="1"/>
    </row>
    <row r="140" spans="1:17" ht="60" hidden="1">
      <c r="A140" s="1"/>
      <c r="B140" s="1"/>
      <c r="C140" s="1" t="str">
        <f>OBRA!CB479</f>
        <v>2018-2021</v>
      </c>
      <c r="D140" s="1">
        <f>OBRA!J479</f>
        <v>2020</v>
      </c>
      <c r="E140" s="1598" t="str">
        <f>OBRA!O479</f>
        <v>SERVICIOS</v>
      </c>
      <c r="F140" s="1598" t="str">
        <f>OBRA!N479</f>
        <v>C.P.S.P. DOP 025/2020</v>
      </c>
      <c r="G140" s="3" t="str">
        <f>OBRA!P479</f>
        <v>LEVANTAMIENTO TOPOGRÁFICO EN CALLES Y UBICACIÓN DE ÁREAS CONCESIONADAS PARA PUESTOS DEL TIANGUIS NAVIDEÑO (ZONA CENTRO), EN LA CABECERA MUNICIPAL DE JOCOTEPEC, JALISCO.</v>
      </c>
      <c r="H140" s="1"/>
      <c r="I140" s="3" t="str">
        <f>OBRA!Q479</f>
        <v>CABECERA MUNICIPAL</v>
      </c>
      <c r="J140" s="3"/>
      <c r="K140" s="3"/>
      <c r="L140" s="3"/>
      <c r="M140" s="1602">
        <f>OBRA!AS479+OBRA!AT479</f>
        <v>0</v>
      </c>
      <c r="N140" s="1">
        <f>GRAL!AF481</f>
        <v>1</v>
      </c>
      <c r="O140" s="1" t="str">
        <f>GRAL!AG481</f>
        <v>LOTE</v>
      </c>
      <c r="P140" s="1"/>
      <c r="Q140" s="1"/>
    </row>
    <row r="141" spans="1:17" ht="60" hidden="1">
      <c r="A141" s="1"/>
      <c r="B141" s="1"/>
      <c r="C141" s="1" t="str">
        <f>OBRA!CB480</f>
        <v>2018-2021</v>
      </c>
      <c r="D141" s="1">
        <f>OBRA!J480</f>
        <v>2020</v>
      </c>
      <c r="E141" s="1598" t="str">
        <f>OBRA!O480</f>
        <v>SERVICIOS</v>
      </c>
      <c r="F141" s="1598" t="str">
        <f>OBRA!N480</f>
        <v>C.P.S.P. DOP 026/2020</v>
      </c>
      <c r="G141" s="3" t="str">
        <f>OBRA!P480</f>
        <v>LEVANTAMIENTO TOPOGRÁFICO EN ÁREAS DE DONACIÓN DEL TERRENO PARA LA UBICACIÓN DEL POZO DE AGUA POTABLE, EN LA LOCALIDAD DE EL MOLINO, MUNICIPIO DE JOCOTEPEC, JALISCO.</v>
      </c>
      <c r="H141" s="1"/>
      <c r="I141" s="3" t="str">
        <f>OBRA!Q480</f>
        <v>EL MOLINO</v>
      </c>
      <c r="J141" s="3"/>
      <c r="K141" s="3"/>
      <c r="L141" s="3"/>
      <c r="M141" s="1602">
        <f>OBRA!AS480+OBRA!AT480</f>
        <v>0</v>
      </c>
      <c r="N141" s="1">
        <f>GRAL!AF482</f>
        <v>1</v>
      </c>
      <c r="O141" s="1" t="str">
        <f>GRAL!AG482</f>
        <v>LOTE</v>
      </c>
      <c r="P141" s="1"/>
      <c r="Q141" s="1"/>
    </row>
    <row r="142" spans="1:17" ht="60" hidden="1">
      <c r="A142" s="1"/>
      <c r="B142" s="1"/>
      <c r="C142" s="1" t="str">
        <f>OBRA!CB481</f>
        <v>2018-2021</v>
      </c>
      <c r="D142" s="1">
        <f>OBRA!J481</f>
        <v>2020</v>
      </c>
      <c r="E142" s="1598" t="str">
        <f>OBRA!O481</f>
        <v>SERVICIOS</v>
      </c>
      <c r="F142" s="1598" t="str">
        <f>OBRA!N481</f>
        <v>C.P.S.P. DOP 027/2020</v>
      </c>
      <c r="G142" s="3" t="str">
        <f>OBRA!P481</f>
        <v>LEVANTAMIENTO TOPOGRÁFICO DE ÁREA DE DONACIÓN DEL TERRENO PARA EL DEPÓSITO DE AGUA POTABLE, EN LA DELGACIÓN DE HUEJOTITÁN, DEL MUNICIPIO DE JOCOTEPEC, JALISCO.</v>
      </c>
      <c r="H142" s="1"/>
      <c r="I142" s="3" t="str">
        <f>OBRA!Q481</f>
        <v>HUEJOTITÁN</v>
      </c>
      <c r="J142" s="3"/>
      <c r="K142" s="3"/>
      <c r="L142" s="3"/>
      <c r="M142" s="1602">
        <f>OBRA!AS481+OBRA!AT481</f>
        <v>0</v>
      </c>
      <c r="N142" s="1">
        <f>GRAL!AF483</f>
        <v>1</v>
      </c>
      <c r="O142" s="1" t="str">
        <f>GRAL!AG483</f>
        <v>LOTE</v>
      </c>
      <c r="P142" s="1"/>
      <c r="Q142" s="1"/>
    </row>
    <row r="143" spans="1:17" ht="60" hidden="1">
      <c r="A143" s="1"/>
      <c r="B143" s="1"/>
      <c r="C143" s="1" t="str">
        <f>OBRA!CB482</f>
        <v>2018-2021</v>
      </c>
      <c r="D143" s="1">
        <f>OBRA!J482</f>
        <v>2020</v>
      </c>
      <c r="E143" s="1598" t="str">
        <f>OBRA!O482</f>
        <v>SERVICIOS</v>
      </c>
      <c r="F143" s="1598" t="str">
        <f>OBRA!N482</f>
        <v>C.P.S.P. DOP 028/2020</v>
      </c>
      <c r="G143" s="3" t="str">
        <f>OBRA!P482</f>
        <v>LEVANAMIENTO TOPOGRÁFICO DE ÁREAS Y LÍMITES DE PROPIEDAD DEL CAMINO PROLONGACIÓN CALLE MATAMOROS DE DONATO QUERRA HASTA INGRESO AL FRACCIONAMIENTO ROCA AZUL, EN LA CABECERA MUNICIPAL DE JOCOTEPEC, JALISCO.</v>
      </c>
      <c r="H143" s="1"/>
      <c r="I143" s="3" t="str">
        <f>OBRA!Q482</f>
        <v>CABECERA MUNICIPAL</v>
      </c>
      <c r="J143" s="3"/>
      <c r="K143" s="3"/>
      <c r="L143" s="3"/>
      <c r="M143" s="1602">
        <f>OBRA!AS482+OBRA!AT482</f>
        <v>0</v>
      </c>
      <c r="N143" s="1">
        <f>GRAL!AF484</f>
        <v>1</v>
      </c>
      <c r="O143" s="1" t="str">
        <f>GRAL!AG484</f>
        <v>LOTE</v>
      </c>
      <c r="P143" s="1"/>
      <c r="Q143" s="1"/>
    </row>
    <row r="144" spans="1:17" ht="22.5" hidden="1">
      <c r="A144" s="1"/>
      <c r="B144" s="1"/>
      <c r="C144" s="1" t="str">
        <f>OBRA!CB483</f>
        <v>2018-2021</v>
      </c>
      <c r="D144" s="1">
        <f>OBRA!J483</f>
        <v>2020</v>
      </c>
      <c r="E144" s="1598" t="str">
        <f>OBRA!O483</f>
        <v>CANCELADA</v>
      </c>
      <c r="F144" s="1598" t="str">
        <f>OBRA!N483</f>
        <v>C.P.S.P. DOP 029/2020</v>
      </c>
      <c r="G144" s="3" t="str">
        <f>OBRA!P483</f>
        <v>CONTRATO CANCELADO</v>
      </c>
      <c r="H144" s="1"/>
      <c r="I144" s="3">
        <f>OBRA!Q483</f>
        <v>0</v>
      </c>
      <c r="J144" s="3"/>
      <c r="K144" s="3"/>
      <c r="L144" s="3"/>
      <c r="M144" s="1602">
        <f>OBRA!AS483+OBRA!AT483</f>
        <v>0</v>
      </c>
      <c r="N144" s="1">
        <f>GRAL!AF485</f>
        <v>0</v>
      </c>
      <c r="O144" s="1">
        <f>GRAL!AG485</f>
        <v>0</v>
      </c>
      <c r="P144" s="1"/>
      <c r="Q144" s="1"/>
    </row>
    <row r="145" spans="1:17" ht="45" hidden="1">
      <c r="A145" s="1"/>
      <c r="B145" s="1"/>
      <c r="C145" s="1" t="str">
        <f>OBRA!CB484</f>
        <v>2018-2021</v>
      </c>
      <c r="D145" s="1">
        <f>OBRA!J484</f>
        <v>2020</v>
      </c>
      <c r="E145" s="1598" t="str">
        <f>OBRA!O484</f>
        <v>SERVICIOS</v>
      </c>
      <c r="F145" s="1598" t="str">
        <f>OBRA!N484</f>
        <v>C.P.S.P. DOP 030/2020</v>
      </c>
      <c r="G145" s="3" t="str">
        <f>OBRA!P484</f>
        <v>LEVANTAMIENTO TOPOGRÁFICO DE ÁREA DEL PREDIO DEL VERTEDERO MUNICIPAL, UBICADO EN EL EJIDO DE LA LOMA DEL MUNICIPIO DE JOCOTEPEC, JALISCO.</v>
      </c>
      <c r="H145" s="1"/>
      <c r="I145" s="3" t="str">
        <f>OBRA!Q484</f>
        <v>LA LOMA</v>
      </c>
      <c r="J145" s="3"/>
      <c r="K145" s="3"/>
      <c r="L145" s="3"/>
      <c r="M145" s="1602">
        <f>OBRA!AS484+OBRA!AT484</f>
        <v>0</v>
      </c>
      <c r="N145" s="1">
        <f>GRAL!AF486</f>
        <v>0</v>
      </c>
      <c r="O145" s="1" t="str">
        <f>GRAL!AG486</f>
        <v>MES</v>
      </c>
      <c r="P145" s="1"/>
      <c r="Q145" s="1"/>
    </row>
    <row r="146" spans="1:17" ht="60" hidden="1">
      <c r="A146" s="1"/>
      <c r="B146" s="1"/>
      <c r="C146" s="1" t="str">
        <f>OBRA!CB485</f>
        <v>2018-2021</v>
      </c>
      <c r="D146" s="1">
        <f>OBRA!J485</f>
        <v>2020</v>
      </c>
      <c r="E146" s="1598" t="str">
        <f>OBRA!O485</f>
        <v>SERVICIOS</v>
      </c>
      <c r="F146" s="1598" t="str">
        <f>OBRA!N485</f>
        <v>C.P.S.P. DOP 031/2020</v>
      </c>
      <c r="G146" s="3" t="str">
        <f>OBRA!P485</f>
        <v>LEVANTAMIENTO TOPOGRÁFICO DE ÁREA Y LÍMITES DE PROPIEDAD EN CALLE 5 DE MAYO ENTRE AV. DE LA CRUZ Y AV. DEL PARQUE, EN LA DELEGACIÓN DE HUEJOTITÁN DEL MUNICIPIO DE JOCOTEPEC, JALISCO.</v>
      </c>
      <c r="H146" s="1"/>
      <c r="I146" s="3" t="str">
        <f>OBRA!Q485</f>
        <v>HUEJOTITÁN</v>
      </c>
      <c r="J146" s="3"/>
      <c r="K146" s="3"/>
      <c r="L146" s="3"/>
      <c r="M146" s="1602">
        <f>OBRA!AS485+OBRA!AT485</f>
        <v>0</v>
      </c>
      <c r="N146" s="1">
        <f>GRAL!AF487</f>
        <v>0</v>
      </c>
      <c r="O146" s="1" t="str">
        <f>GRAL!AG487</f>
        <v>MES</v>
      </c>
      <c r="P146" s="1"/>
      <c r="Q146" s="1"/>
    </row>
    <row r="147" spans="1:17" ht="60" hidden="1">
      <c r="A147" s="1"/>
      <c r="B147" s="1"/>
      <c r="C147" s="1" t="str">
        <f>OBRA!CB486</f>
        <v>2018-2021</v>
      </c>
      <c r="D147" s="1">
        <f>OBRA!J486</f>
        <v>2020</v>
      </c>
      <c r="E147" s="1598" t="str">
        <f>OBRA!O486</f>
        <v>SERVICIOS</v>
      </c>
      <c r="F147" s="1598" t="str">
        <f>OBRA!N486</f>
        <v>C.P.S.P. DOP 032/2020</v>
      </c>
      <c r="G147" s="3" t="str">
        <f>OBRA!P486</f>
        <v>LEVANTAMIENTO TOPOGRÁFICO DE PREDIO Y ÁREA DE UNIDAD DEPORTIVA SUR PARA EL PROYECTO "POLIDEPORTIVO" UBICADO EN CALLE DONATO GUERRA, EN LA CABECERA MUNICIPAL DE JOCOTEPEC, JALISCO.</v>
      </c>
      <c r="H147" s="1"/>
      <c r="I147" s="3" t="str">
        <f>OBRA!Q486</f>
        <v>CABECERA MUNICIPAL</v>
      </c>
      <c r="J147" s="3"/>
      <c r="K147" s="3"/>
      <c r="L147" s="3"/>
      <c r="M147" s="1602">
        <f>OBRA!AS486+OBRA!AT486</f>
        <v>0</v>
      </c>
      <c r="N147" s="1">
        <f>GRAL!AF488</f>
        <v>0</v>
      </c>
      <c r="O147" s="1">
        <f>GRAL!AG488</f>
        <v>0</v>
      </c>
      <c r="P147" s="1"/>
      <c r="Q147" s="1"/>
    </row>
    <row r="148" spans="1:17" ht="45" hidden="1">
      <c r="A148" s="1"/>
      <c r="B148" s="1"/>
      <c r="C148" s="1" t="str">
        <f>OBRA!CB487</f>
        <v>2018-2021</v>
      </c>
      <c r="D148" s="1">
        <f>OBRA!J487</f>
        <v>2020</v>
      </c>
      <c r="E148" s="1598" t="str">
        <f>OBRA!O487</f>
        <v>SERVICIOS</v>
      </c>
      <c r="F148" s="1598" t="str">
        <f>OBRA!N487</f>
        <v>C.P.S.P. DOP 033/2020</v>
      </c>
      <c r="G148" s="3" t="str">
        <f>OBRA!P487</f>
        <v>LEVANTAMIENTO TOPOGRÁFICO DE ÁREAS Y LÍMITES DE PROPIEDAD DE LA CALLE HIDALGO SUR DE CALLE DONATO GUERRA AL ARROYO, EN LA CABECERA MUNICIPAL DE JOCOTEPEC, JALISCO.</v>
      </c>
      <c r="H148" s="1"/>
      <c r="I148" s="3" t="str">
        <f>OBRA!Q487</f>
        <v>CABECERA MUNICIPAL</v>
      </c>
      <c r="J148" s="3"/>
      <c r="K148" s="3"/>
      <c r="L148" s="3"/>
      <c r="M148" s="1602">
        <f>OBRA!AS487+OBRA!AT487</f>
        <v>0</v>
      </c>
      <c r="N148" s="1">
        <f>GRAL!AF489</f>
        <v>0</v>
      </c>
      <c r="O148" s="1" t="str">
        <f>GRAL!AG489</f>
        <v>HORA</v>
      </c>
      <c r="P148" s="1"/>
      <c r="Q148" s="1"/>
    </row>
    <row r="149" spans="1:17" ht="45">
      <c r="A149" s="1"/>
      <c r="B149" s="1600"/>
      <c r="C149" s="1" t="str">
        <f>OBRA!CB488</f>
        <v>2018-2021</v>
      </c>
      <c r="D149" s="1">
        <f>OBRA!J488</f>
        <v>2020</v>
      </c>
      <c r="E149" s="1598" t="str">
        <f>OBRA!O488</f>
        <v>ADJUDICACIÓN DIRECTA</v>
      </c>
      <c r="F149" s="1281" t="str">
        <f>OBRA!N488</f>
        <v>GMJ 001C- OP/2020</v>
      </c>
      <c r="G149" s="3" t="str">
        <f>OBRA!P488</f>
        <v>CONSTRUCCIÓN DE LÍNEAS DE DRENAJE SANITARIO Y DRENAJE PLUVIAL EN LA CALLE RODRIGO DE TRIANA" EN LA CABECERA MUNICIPAL DE JOCOTEPEC, JALISCO".</v>
      </c>
      <c r="H149" s="1598" t="s">
        <v>4747</v>
      </c>
      <c r="I149" s="3" t="str">
        <f>OBRA!Q488</f>
        <v>CABECERA MUNICIPAL</v>
      </c>
      <c r="J149" s="3" t="s">
        <v>4083</v>
      </c>
      <c r="K149" s="3" t="s">
        <v>4805</v>
      </c>
      <c r="L149" s="3" t="s">
        <v>4767</v>
      </c>
      <c r="M149" s="1602">
        <f>OBRA!AS488+OBRA!AT488</f>
        <v>156609.66</v>
      </c>
      <c r="N149" s="242">
        <f>GRAL!AF490</f>
        <v>78.099999999999994</v>
      </c>
      <c r="O149" s="242" t="str">
        <f>GRAL!AG490</f>
        <v>ML</v>
      </c>
      <c r="P149" s="1281" t="s">
        <v>4945</v>
      </c>
      <c r="Q149" s="2" t="s">
        <v>4946</v>
      </c>
    </row>
    <row r="150" spans="1:17" ht="60">
      <c r="A150" s="1"/>
      <c r="B150" s="1600"/>
      <c r="C150" s="1" t="str">
        <f>OBRA!CB489</f>
        <v>2018-2021</v>
      </c>
      <c r="D150" s="1">
        <f>OBRA!J489</f>
        <v>2020</v>
      </c>
      <c r="E150" s="1598" t="str">
        <f>OBRA!O489</f>
        <v>ADJUDICACIÓN DIRECTA</v>
      </c>
      <c r="F150" s="1281" t="str">
        <f>OBRA!N489</f>
        <v>GMJ 002C- OP/2020</v>
      </c>
      <c r="G150" s="3" t="str">
        <f>OBRA!P489</f>
        <v>"CONSTRUCCIÓN DE EMPEDRADO NORMAL CON HUELLAS DE ADOQUÍN EN CALLE CUAUHTÉMOC 3ERA. ETAPA DE CARCAMO A 160 ML AL ORIENTE" EN LA DELEGACIÓN DE CHANTEPEC, MUNICIPIO DE JOCOTEPEC, JALISCO.</v>
      </c>
      <c r="H150" s="1598" t="s">
        <v>4752</v>
      </c>
      <c r="I150" s="3" t="str">
        <f>OBRA!Q489</f>
        <v>CHANTEPEC</v>
      </c>
      <c r="J150" s="3" t="s">
        <v>4774</v>
      </c>
      <c r="K150" s="3" t="s">
        <v>68</v>
      </c>
      <c r="L150" s="3" t="s">
        <v>68</v>
      </c>
      <c r="M150" s="1602">
        <f>OBRA!AS489+OBRA!AT489</f>
        <v>685944.29</v>
      </c>
      <c r="N150" s="242">
        <f>GRAL!AF491</f>
        <v>992</v>
      </c>
      <c r="O150" s="242" t="str">
        <f>GRAL!AG491</f>
        <v>M2</v>
      </c>
      <c r="P150" s="1281" t="s">
        <v>4947</v>
      </c>
      <c r="Q150" s="2"/>
    </row>
    <row r="151" spans="1:17" ht="63" customHeight="1">
      <c r="A151" s="1"/>
      <c r="B151" s="1600"/>
      <c r="C151" s="1" t="str">
        <f>OBRA!CB490</f>
        <v>2018-2021</v>
      </c>
      <c r="D151" s="1">
        <f>OBRA!J490</f>
        <v>2020</v>
      </c>
      <c r="E151" s="1598" t="str">
        <f>OBRA!O490</f>
        <v>ADJUDICACIÓN DIRECTA</v>
      </c>
      <c r="F151" s="1281" t="str">
        <f>OBRA!N490</f>
        <v>GMJ 003C- OP/2020</v>
      </c>
      <c r="G151" s="3" t="str">
        <f>OBRA!P490</f>
        <v>"CONSTRUCCIÓN DE EMPEDRADO NORMAL CON HUELLAS DE CONCRETO EN CALLE LIBERTAD DE RICO A CRISTÓBAL COLÓN" EN LA LOCALIDAD DE NEXTIPAC, MUNICIPIO DE JOCOTEPEC, JALISCO</v>
      </c>
      <c r="H151" s="1598" t="s">
        <v>4752</v>
      </c>
      <c r="I151" s="3" t="str">
        <f>OBRA!Q490</f>
        <v>NEXTIPAC</v>
      </c>
      <c r="J151" s="3" t="s">
        <v>3146</v>
      </c>
      <c r="K151" s="3" t="s">
        <v>4788</v>
      </c>
      <c r="L151" s="3" t="s">
        <v>4789</v>
      </c>
      <c r="M151" s="1602">
        <f>OBRA!AS490+OBRA!AT490</f>
        <v>255753.06</v>
      </c>
      <c r="N151" s="242">
        <f>GRAL!AF492</f>
        <v>317.99</v>
      </c>
      <c r="O151" s="242" t="str">
        <f>GRAL!AG492</f>
        <v>M2</v>
      </c>
      <c r="P151" s="1281" t="s">
        <v>4948</v>
      </c>
      <c r="Q151" s="2"/>
    </row>
    <row r="152" spans="1:17" ht="105" customHeight="1">
      <c r="A152" s="1"/>
      <c r="B152" s="1600"/>
      <c r="C152" s="1" t="str">
        <f>OBRA!CB491</f>
        <v>2018-2021</v>
      </c>
      <c r="D152" s="1">
        <f>OBRA!J491</f>
        <v>2020</v>
      </c>
      <c r="E152" s="1598" t="str">
        <f>OBRA!O491</f>
        <v>ADJUDICACIÓN DIRECTA</v>
      </c>
      <c r="F152" s="1281" t="str">
        <f>OBRA!N491</f>
        <v>GMJ 004C- OP/2020</v>
      </c>
      <c r="G152" s="3" t="str">
        <f>OBRA!P491</f>
        <v>"CONSTRUCCIÓN DE EMPEDRADO AHOGADO EN CEMENTO CON HUELLAS DE CONCRETO EN CALLE PADRE ADALBERTO MACIAS" EN LA CABECERA MUNICIPAL DE JOCOTEPEC, JALISCO.</v>
      </c>
      <c r="H152" s="1598" t="s">
        <v>4752</v>
      </c>
      <c r="I152" s="3" t="str">
        <f>OBRA!Q491</f>
        <v>CABECERA MUNICIPAL</v>
      </c>
      <c r="J152" s="3" t="s">
        <v>4828</v>
      </c>
      <c r="K152" s="3" t="s">
        <v>4800</v>
      </c>
      <c r="L152" s="683" t="s">
        <v>68</v>
      </c>
      <c r="M152" s="1602">
        <f>OBRA!AS491+OBRA!AT491</f>
        <v>966143.58</v>
      </c>
      <c r="N152" s="242">
        <f>GRAL!AF493</f>
        <v>1261.4000000000001</v>
      </c>
      <c r="O152" s="242" t="str">
        <f>GRAL!AG493</f>
        <v>M2</v>
      </c>
      <c r="P152" s="1281" t="s">
        <v>4949</v>
      </c>
      <c r="Q152" s="2"/>
    </row>
    <row r="153" spans="1:17" ht="68.25" customHeight="1">
      <c r="A153" s="1"/>
      <c r="B153" s="1600"/>
      <c r="C153" s="1" t="str">
        <f>OBRA!CB492</f>
        <v>2018-2021</v>
      </c>
      <c r="D153" s="1">
        <f>OBRA!J492</f>
        <v>2020</v>
      </c>
      <c r="E153" s="1598" t="str">
        <f>OBRA!O492</f>
        <v>ADJUDICACIÓN DIRECTA</v>
      </c>
      <c r="F153" s="1281" t="str">
        <f>OBRA!N492</f>
        <v>GMJ 005C- OP/2020</v>
      </c>
      <c r="G153" s="3" t="str">
        <f>OBRA!P492</f>
        <v>"CONSTRUCCIÓN DE LÍNEA DE DRENAJE SANITARIO EN CALLE LIBERTAD DE RICO A CRISTOBAL COLON" EN LA LOCALIDAD DE NEXTIPAC, MUNICIPIO DE JOCOTEPEC, JALISCO.</v>
      </c>
      <c r="H153" s="1598" t="s">
        <v>4747</v>
      </c>
      <c r="I153" s="3" t="str">
        <f>OBRA!Q492</f>
        <v>NEXTIPAC</v>
      </c>
      <c r="J153" s="3" t="s">
        <v>3146</v>
      </c>
      <c r="K153" s="3" t="s">
        <v>4788</v>
      </c>
      <c r="L153" s="3" t="s">
        <v>4789</v>
      </c>
      <c r="M153" s="1602">
        <f>OBRA!AS492+OBRA!AT492</f>
        <v>133293.67000000001</v>
      </c>
      <c r="N153" s="242">
        <f>GRAL!AF494</f>
        <v>74.2</v>
      </c>
      <c r="O153" s="242" t="str">
        <f>GRAL!AG494</f>
        <v>ML</v>
      </c>
      <c r="P153" s="2" t="s">
        <v>4950</v>
      </c>
      <c r="Q153" s="2"/>
    </row>
    <row r="154" spans="1:17" ht="120" customHeight="1">
      <c r="A154" s="1"/>
      <c r="B154" s="1600"/>
      <c r="C154" s="1" t="str">
        <f>OBRA!CB493</f>
        <v>2018-2021</v>
      </c>
      <c r="D154" s="1">
        <f>OBRA!J493</f>
        <v>2020</v>
      </c>
      <c r="E154" s="1598" t="str">
        <f>OBRA!O493</f>
        <v>ADJUDICACIÓN DIRECTA</v>
      </c>
      <c r="F154" s="1281" t="str">
        <f>OBRA!N493</f>
        <v>GMJ 006C- OP/2020</v>
      </c>
      <c r="G154" s="3" t="str">
        <f>OBRA!P493</f>
        <v>REHABILITACIÓN DE REDES HIDROSANITARIAS Y SUPERFICIE DE RODAMIENTO EN LA CALLE NICÓLAS BRAVO ENTRE CALLE ALDAMA Y CALLE LOS ANGELES" DE LA CABECERA MUNICIPAL, DE JOCOTEPEC, JALISCO.</v>
      </c>
      <c r="H154" s="1598" t="s">
        <v>4756</v>
      </c>
      <c r="I154" s="3" t="str">
        <f>OBRA!Q493</f>
        <v>CABECERA MUNICIPAL</v>
      </c>
      <c r="J154" s="3" t="s">
        <v>4790</v>
      </c>
      <c r="K154" s="3" t="s">
        <v>4768</v>
      </c>
      <c r="L154" s="3" t="s">
        <v>4830</v>
      </c>
      <c r="M154" s="1602">
        <f>OBRA!AS493+OBRA!AT493</f>
        <v>961549.42</v>
      </c>
      <c r="N154" s="242">
        <f>GRAL!AF495</f>
        <v>878.94</v>
      </c>
      <c r="O154" s="242" t="str">
        <f>GRAL!AG495</f>
        <v>M2</v>
      </c>
      <c r="P154" s="601" t="s">
        <v>4952</v>
      </c>
      <c r="Q154" s="1281" t="s">
        <v>4951</v>
      </c>
    </row>
    <row r="155" spans="1:17" ht="111" customHeight="1">
      <c r="A155" s="1"/>
      <c r="B155" s="1600"/>
      <c r="C155" s="1" t="str">
        <f>OBRA!CB494</f>
        <v>2018-2021</v>
      </c>
      <c r="D155" s="1">
        <f>OBRA!J494</f>
        <v>2020</v>
      </c>
      <c r="E155" s="1598" t="str">
        <f>OBRA!O494</f>
        <v>ADJUDICACIÓN DIRECTA</v>
      </c>
      <c r="F155" s="1281" t="str">
        <f>OBRA!N494</f>
        <v>GMJ 007C- OP/2020</v>
      </c>
      <c r="G155" s="3" t="str">
        <f>OBRA!P494</f>
        <v>"REHABILITACIÓN DE REDES HIDROSANITARIAS Y FABRICACIÓN DE SUPERFICIE DE RODAMIENTO EN PRIV. NICOLAS BRAVO ENTRE NICÓLAS BRAVO A CERRADA" DE LA CABECERA MUNICIPAL, DE JOCOTEPEC, JALISCO.</v>
      </c>
      <c r="H155" s="1598" t="s">
        <v>4756</v>
      </c>
      <c r="I155" s="3" t="str">
        <f>OBRA!Q494</f>
        <v>CABECERA MUNICIPAL</v>
      </c>
      <c r="J155" s="3" t="s">
        <v>4791</v>
      </c>
      <c r="K155" s="3" t="s">
        <v>4790</v>
      </c>
      <c r="L155" s="3" t="s">
        <v>4767</v>
      </c>
      <c r="M155" s="1602">
        <f>OBRA!AS494+OBRA!AT494</f>
        <v>340712.1</v>
      </c>
      <c r="N155" s="242">
        <f>GRAL!AF496</f>
        <v>227.5</v>
      </c>
      <c r="O155" s="242" t="str">
        <f>GRAL!AG496</f>
        <v>M2</v>
      </c>
      <c r="P155" s="601" t="s">
        <v>4953</v>
      </c>
      <c r="Q155" s="1281" t="s">
        <v>4954</v>
      </c>
    </row>
    <row r="156" spans="1:17" ht="60">
      <c r="A156" s="1"/>
      <c r="B156" s="1600"/>
      <c r="C156" s="1" t="str">
        <f>OBRA!CB495</f>
        <v>2018-2021</v>
      </c>
      <c r="D156" s="1">
        <f>OBRA!J495</f>
        <v>2020</v>
      </c>
      <c r="E156" s="1598" t="str">
        <f>OBRA!O495</f>
        <v>ADJUDICACIÓN DIRECTA</v>
      </c>
      <c r="F156" s="1281" t="str">
        <f>OBRA!N495</f>
        <v>GMJ 008C- OP/2020</v>
      </c>
      <c r="G156" s="3" t="str">
        <f>OBRA!P495</f>
        <v>"CONSTRUCCÓN DE EMPEDRADO AHOGADO EN CEMENTO EN CALLE HUASOYO ENTRE CALLE PROLONGACIÓN MORELOS Y CALLE RIVERA DEL LAGO" EN LA DELEGACIÓN DE CHANTEPEC, DEL MUNICIPIO DE JOCOTEPEC, JALISCO.</v>
      </c>
      <c r="H156" s="1598" t="s">
        <v>4752</v>
      </c>
      <c r="I156" s="3" t="str">
        <f>OBRA!Q495</f>
        <v>CHANTEPEC</v>
      </c>
      <c r="J156" s="3" t="s">
        <v>4792</v>
      </c>
      <c r="K156" s="3" t="s">
        <v>4697</v>
      </c>
      <c r="L156" s="3" t="s">
        <v>2566</v>
      </c>
      <c r="M156" s="1602">
        <f>OBRA!AS495+OBRA!AT495</f>
        <v>665921</v>
      </c>
      <c r="N156" s="242">
        <f>GRAL!AF497</f>
        <v>851.72</v>
      </c>
      <c r="O156" s="242" t="str">
        <f>GRAL!AG497</f>
        <v>M2</v>
      </c>
      <c r="P156" s="2" t="s">
        <v>4902</v>
      </c>
      <c r="Q156" s="2"/>
    </row>
    <row r="157" spans="1:17" ht="68.25" customHeight="1">
      <c r="A157" s="1"/>
      <c r="B157" s="1600"/>
      <c r="C157" s="1" t="str">
        <f>OBRA!CB496</f>
        <v>2018-2021</v>
      </c>
      <c r="D157" s="1">
        <f>OBRA!J496</f>
        <v>2020</v>
      </c>
      <c r="E157" s="1598" t="str">
        <f>OBRA!O496</f>
        <v>ADJUDICACIÓN DIRECTA</v>
      </c>
      <c r="F157" s="1281" t="str">
        <f>OBRA!N496</f>
        <v>GMJ 009C- OP/2020</v>
      </c>
      <c r="G157" s="3" t="str">
        <f>OBRA!P496</f>
        <v>"CONSTRUCCIÓN DE EMPEDRADO NORMAL EN AVENIDA DE LOS MAESTROS DE CALLE ALLENDE A CALLE GUADALUPE VICTORIA" DE LA CABECERA MUNICIPAL, DE JOCOTEPEC, JALISCO</v>
      </c>
      <c r="H157" s="1598" t="s">
        <v>4752</v>
      </c>
      <c r="I157" s="3" t="str">
        <f>OBRA!Q496</f>
        <v>CABECERA MUNICIPAL</v>
      </c>
      <c r="J157" s="3" t="s">
        <v>4660</v>
      </c>
      <c r="K157" s="3" t="s">
        <v>4642</v>
      </c>
      <c r="L157" s="3" t="s">
        <v>4793</v>
      </c>
      <c r="M157" s="1602">
        <f>OBRA!AS496+OBRA!AT496</f>
        <v>316487.46000000002</v>
      </c>
      <c r="N157" s="242">
        <f>GRAL!AF498</f>
        <v>488.63</v>
      </c>
      <c r="O157" s="242" t="str">
        <f>GRAL!AG498</f>
        <v>M2</v>
      </c>
      <c r="P157" s="2" t="s">
        <v>68</v>
      </c>
      <c r="Q157" s="2"/>
    </row>
    <row r="158" spans="1:17" ht="65.25" customHeight="1">
      <c r="A158" s="1"/>
      <c r="B158" s="1600"/>
      <c r="C158" s="1" t="str">
        <f>OBRA!CB497</f>
        <v>2018-2021</v>
      </c>
      <c r="D158" s="1">
        <f>OBRA!J497</f>
        <v>2020</v>
      </c>
      <c r="E158" s="1598" t="str">
        <f>OBRA!O497</f>
        <v>ADJUDICACIÓN DIRECTA</v>
      </c>
      <c r="F158" s="1281" t="str">
        <f>OBRA!N497</f>
        <v>GMJ 010C- OP/2020</v>
      </c>
      <c r="G158" s="3" t="str">
        <f>OBRA!P497</f>
        <v>"CONSTRUCCIÓN DE EMPEDRADO NORMAL CON HUELLAS DE ADOQUÍN EN CALLE CUAUHTÉMOC 4TA. ETAPA" EN LA DELEGACIÓN DE CHANTEPEC, MUNICIPIO DE JOCOTEPEC, JALISCO.</v>
      </c>
      <c r="H158" s="1598" t="s">
        <v>4752</v>
      </c>
      <c r="I158" s="3" t="str">
        <f>OBRA!Q497</f>
        <v>CHANTEPEC</v>
      </c>
      <c r="J158" s="3" t="s">
        <v>4774</v>
      </c>
      <c r="K158" s="683" t="s">
        <v>68</v>
      </c>
      <c r="L158" s="683" t="s">
        <v>68</v>
      </c>
      <c r="M158" s="1602">
        <f>OBRA!AS497+OBRA!AT497</f>
        <v>233601.31</v>
      </c>
      <c r="N158" s="242">
        <f>GRAL!AF499</f>
        <v>322.39999999999998</v>
      </c>
      <c r="O158" s="242" t="str">
        <f>GRAL!AG499</f>
        <v>M2</v>
      </c>
      <c r="P158" s="2" t="s">
        <v>68</v>
      </c>
      <c r="Q158" s="2"/>
    </row>
    <row r="159" spans="1:17" ht="64.5" customHeight="1">
      <c r="A159" s="1"/>
      <c r="B159" s="1600"/>
      <c r="C159" s="1" t="str">
        <f>OBRA!CB498</f>
        <v>2018-2021</v>
      </c>
      <c r="D159" s="1">
        <f>OBRA!J498</f>
        <v>2020</v>
      </c>
      <c r="E159" s="1598" t="str">
        <f>OBRA!O498</f>
        <v>ADJUDICACIÓN DIRECTA</v>
      </c>
      <c r="F159" s="1281" t="str">
        <f>OBRA!N498</f>
        <v>GMJ 011C- OP/2020</v>
      </c>
      <c r="G159" s="3" t="str">
        <f>OBRA!P498</f>
        <v>"CONSTRUCCIÓN DE EMPEDRADO NORMAL CON HUELLAS DE ADOQUÍN EN CALLE CUAUHTÉMOC 5TA. ETAPA" EN LA DELEGACIÓN DE CHANTEPEC, MUNICIPIO DE JOCOTEPEC, JALISCO.</v>
      </c>
      <c r="H159" s="1598" t="s">
        <v>4752</v>
      </c>
      <c r="I159" s="3" t="str">
        <f>OBRA!Q498</f>
        <v>CHANTEPEC</v>
      </c>
      <c r="J159" s="3" t="s">
        <v>4774</v>
      </c>
      <c r="K159" s="683" t="s">
        <v>68</v>
      </c>
      <c r="L159" s="683" t="s">
        <v>68</v>
      </c>
      <c r="M159" s="1602">
        <f>OBRA!AS498+OBRA!AT498</f>
        <v>401181.07</v>
      </c>
      <c r="N159" s="242">
        <f>GRAL!AF500</f>
        <v>558</v>
      </c>
      <c r="O159" s="242" t="str">
        <f>GRAL!AG500</f>
        <v>M2</v>
      </c>
      <c r="P159" s="2" t="s">
        <v>68</v>
      </c>
      <c r="Q159" s="2"/>
    </row>
    <row r="160" spans="1:17" ht="84">
      <c r="A160" s="1"/>
      <c r="B160" s="1600"/>
      <c r="C160" s="1" t="str">
        <f>OBRA!CB499</f>
        <v>2018-2021</v>
      </c>
      <c r="D160" s="1">
        <f>OBRA!J499</f>
        <v>2020</v>
      </c>
      <c r="E160" s="1598" t="str">
        <f>OBRA!O499</f>
        <v>ADJUDICACIÓN DIRECTA</v>
      </c>
      <c r="F160" s="1281" t="str">
        <f>OBRA!N499</f>
        <v>GMJ 012C- OP/2020</v>
      </c>
      <c r="G160" s="3" t="str">
        <f>OBRA!P499</f>
        <v>"CONSTRUCCIÓN DE REDES HIDROSANITARIAS Y SUPERFICIE DE RODAMIENTO EN LA CALLE LOS ANGELES ENTRE PRIVADA ALDAMA Y CERRADA" DE LA CABECERA MUNICIPAL, DE JOCOTEPEC, JALISCO.</v>
      </c>
      <c r="H160" s="1598" t="s">
        <v>4756</v>
      </c>
      <c r="I160" s="3" t="str">
        <f>OBRA!Q499</f>
        <v>CABECERA MUNICIPAL</v>
      </c>
      <c r="J160" s="3" t="s">
        <v>4826</v>
      </c>
      <c r="K160" s="3" t="s">
        <v>4780</v>
      </c>
      <c r="L160" s="3" t="s">
        <v>4767</v>
      </c>
      <c r="M160" s="1602">
        <f>OBRA!AS499+OBRA!AT499</f>
        <v>1281375.1299999999</v>
      </c>
      <c r="N160" s="242">
        <f>GRAL!AF501</f>
        <v>1240</v>
      </c>
      <c r="O160" s="242" t="str">
        <f>GRAL!AG501</f>
        <v>M2</v>
      </c>
      <c r="P160" s="601" t="s">
        <v>4955</v>
      </c>
      <c r="Q160" s="1281" t="s">
        <v>4956</v>
      </c>
    </row>
    <row r="161" spans="1:17" ht="118.5" customHeight="1">
      <c r="A161" s="1"/>
      <c r="B161" s="1600"/>
      <c r="C161" s="1" t="str">
        <f>OBRA!CB500</f>
        <v>2018-2021</v>
      </c>
      <c r="D161" s="1">
        <f>OBRA!J500</f>
        <v>2020</v>
      </c>
      <c r="E161" s="1598" t="str">
        <f>OBRA!O500</f>
        <v>ADJUDICACIÓN DIRECTA</v>
      </c>
      <c r="F161" s="1281" t="str">
        <f>OBRA!N500</f>
        <v>GMJ 013C- OP/2020</v>
      </c>
      <c r="G161" s="3" t="str">
        <f>OBRA!P500</f>
        <v>"CONSTRUCCIÓN DE REDES HIDROSANITARIAS Y CONSTRUCCIÒN DE EMPEDRADO NORMAL CON HUELLAS DE CONCRETO EN CALLE PRIVADA VERANO DE CALLE VERANO A CERRADA" DE LA CABECERA MUNICIPAL, DE JOCOTEPEC, JALISCO.</v>
      </c>
      <c r="H161" s="1598" t="s">
        <v>4756</v>
      </c>
      <c r="I161" s="3" t="str">
        <f>OBRA!Q500</f>
        <v>CABECERA MUNICIPAL</v>
      </c>
      <c r="J161" s="3" t="s">
        <v>4778</v>
      </c>
      <c r="K161" s="3" t="s">
        <v>2542</v>
      </c>
      <c r="L161" s="3" t="s">
        <v>4767</v>
      </c>
      <c r="M161" s="1602">
        <f>OBRA!AS500+OBRA!AT500</f>
        <v>320004.51</v>
      </c>
      <c r="N161" s="242">
        <f>GRAL!AF502</f>
        <v>235.2</v>
      </c>
      <c r="O161" s="242" t="str">
        <f>GRAL!AG502</f>
        <v>M2</v>
      </c>
      <c r="P161" s="601" t="s">
        <v>4957</v>
      </c>
      <c r="Q161" s="1281" t="s">
        <v>4958</v>
      </c>
    </row>
    <row r="162" spans="1:17" ht="121.5" customHeight="1">
      <c r="A162" s="1"/>
      <c r="B162" s="1600"/>
      <c r="C162" s="1" t="str">
        <f>OBRA!CB501</f>
        <v>2018-2021</v>
      </c>
      <c r="D162" s="1">
        <f>OBRA!J501</f>
        <v>2020</v>
      </c>
      <c r="E162" s="1598" t="str">
        <f>OBRA!O501</f>
        <v>ADJUDICACIÓN DIRECTA</v>
      </c>
      <c r="F162" s="1281" t="str">
        <f>OBRA!N501</f>
        <v>GMJ 014C- OP/2020</v>
      </c>
      <c r="G162" s="3" t="str">
        <f>OBRA!P501</f>
        <v>"CONSTRUCCIÓN DE RED DE DRENAJE Y CONSTRUCCIÓN DE RED DE AGUA POTABLE EN CALLE GUADALUPE VICTORIA ENTRE AVENIDA DE LOS MAESTROS Y FILOSOFOS" DE LA CABECERA MUNICIPAL, DE JOCOTEPEC, JALISCO.</v>
      </c>
      <c r="H162" s="1598" t="s">
        <v>4753</v>
      </c>
      <c r="I162" s="3" t="str">
        <f>OBRA!Q501</f>
        <v>CABECERA MUNICIPAL</v>
      </c>
      <c r="J162" s="3" t="s">
        <v>4793</v>
      </c>
      <c r="K162" s="3" t="s">
        <v>4660</v>
      </c>
      <c r="L162" s="3" t="s">
        <v>4769</v>
      </c>
      <c r="M162" s="1602">
        <f>OBRA!AS501+OBRA!AT501</f>
        <v>230567.7</v>
      </c>
      <c r="N162" s="242">
        <f>GRAL!AF503</f>
        <v>142.23000000000002</v>
      </c>
      <c r="O162" s="242" t="str">
        <f>GRAL!AG503</f>
        <v>ML</v>
      </c>
      <c r="P162" s="601" t="s">
        <v>4960</v>
      </c>
      <c r="Q162" s="1281" t="s">
        <v>4959</v>
      </c>
    </row>
    <row r="163" spans="1:17" ht="60">
      <c r="A163" s="1"/>
      <c r="B163" s="1600"/>
      <c r="C163" s="1" t="str">
        <f>OBRA!CB502</f>
        <v>2018-2021</v>
      </c>
      <c r="D163" s="1">
        <f>OBRA!J502</f>
        <v>2020</v>
      </c>
      <c r="E163" s="1598" t="str">
        <f>OBRA!O502</f>
        <v>ADJUDICACIÓN DIRECTA</v>
      </c>
      <c r="F163" s="1281" t="str">
        <f>OBRA!N502</f>
        <v>GMJ 015C- OP/2020</v>
      </c>
      <c r="G163" s="3" t="str">
        <f>OBRA!P502</f>
        <v>"CONSTRUCCIÓN DE LÍNEA DE DRENAJE SANITARIO Y LINEA DE AGUA POTABLE EN CALLE GUADALUPE VICTORIA ENTRE FILOSOFOS Y CIENTIFICOS" DE LA CABECERA MUNICIPAL, DE JOCOTEPEC, JALISCO.</v>
      </c>
      <c r="H163" s="1598" t="s">
        <v>4753</v>
      </c>
      <c r="I163" s="3" t="str">
        <f>OBRA!Q502</f>
        <v>CABECERA MUNICIPAL</v>
      </c>
      <c r="J163" s="3" t="s">
        <v>4793</v>
      </c>
      <c r="K163" s="3" t="s">
        <v>4769</v>
      </c>
      <c r="L163" s="3" t="s">
        <v>4809</v>
      </c>
      <c r="M163" s="1602">
        <f>OBRA!AS502+OBRA!AT502</f>
        <v>251704.57</v>
      </c>
      <c r="N163" s="242">
        <f>GRAL!AF504</f>
        <v>142.18</v>
      </c>
      <c r="O163" s="242" t="str">
        <f>GRAL!AG504</f>
        <v>ML</v>
      </c>
      <c r="P163" s="601" t="s">
        <v>4960</v>
      </c>
      <c r="Q163" s="1281" t="s">
        <v>4961</v>
      </c>
    </row>
    <row r="164" spans="1:17" ht="60">
      <c r="A164" s="1"/>
      <c r="B164" s="1600"/>
      <c r="C164" s="1" t="str">
        <f>OBRA!CB503</f>
        <v>2018-2021</v>
      </c>
      <c r="D164" s="1">
        <f>OBRA!J503</f>
        <v>2020</v>
      </c>
      <c r="E164" s="1598" t="str">
        <f>OBRA!O503</f>
        <v>ADJUDICACIÓN DIRECTA</v>
      </c>
      <c r="F164" s="1281" t="str">
        <f>OBRA!N503</f>
        <v>GMJ 016C- OP/2020</v>
      </c>
      <c r="G164" s="3" t="str">
        <f>OBRA!P503</f>
        <v>"COLOCACIÓN DE EMPEDRADO AHOGADO EN CEMENTO CALLE JAVIER MINA ENTRE CALLE SIN NOMBRE Y ALLENDE" EN LA LOCALIDAD DE EL MOLINO DEL MUNICIPIO DE JOCOTEPEC, JALISCO.</v>
      </c>
      <c r="H164" s="1598" t="s">
        <v>4752</v>
      </c>
      <c r="I164" s="3" t="str">
        <f>OBRA!Q503</f>
        <v>EL MOLINO</v>
      </c>
      <c r="J164" s="3" t="s">
        <v>4704</v>
      </c>
      <c r="K164" s="3" t="s">
        <v>4794</v>
      </c>
      <c r="L164" s="3" t="s">
        <v>4642</v>
      </c>
      <c r="M164" s="1602">
        <f>OBRA!AS503+OBRA!AT503</f>
        <v>301450.13</v>
      </c>
      <c r="N164" s="242">
        <f>GRAL!AF505</f>
        <v>660</v>
      </c>
      <c r="O164" s="242" t="str">
        <f>GRAL!AG505</f>
        <v>M2</v>
      </c>
      <c r="P164" s="2" t="s">
        <v>68</v>
      </c>
      <c r="Q164" s="2"/>
    </row>
    <row r="165" spans="1:17" ht="60">
      <c r="A165" s="1"/>
      <c r="B165" s="1600"/>
      <c r="C165" s="1" t="str">
        <f>OBRA!CB504</f>
        <v>2018-2021</v>
      </c>
      <c r="D165" s="1">
        <f>OBRA!J504</f>
        <v>2020</v>
      </c>
      <c r="E165" s="1598" t="str">
        <f>OBRA!O504</f>
        <v>ADJUDICACIÓN DIRECTA</v>
      </c>
      <c r="F165" s="1281" t="str">
        <f>OBRA!N504</f>
        <v>GMJ 017C- OP/2020</v>
      </c>
      <c r="G165" s="3" t="str">
        <f>OBRA!P504</f>
        <v>"CONSTRUCCION DE EMPEDRADO AHOGADO EN CEMENTO EN CALLE MATAMOROS DE JAVIER MINA Y CALLE SIN NOMBRE" DE LA LOCALIDAD DE EL MOLINO, DEL MUNICIPIO DE JOCOTEPEC, JALISCO.</v>
      </c>
      <c r="H165" s="1598" t="s">
        <v>4752</v>
      </c>
      <c r="I165" s="3" t="str">
        <f>OBRA!Q504</f>
        <v>EL MOLINO</v>
      </c>
      <c r="J165" s="3" t="s">
        <v>4648</v>
      </c>
      <c r="K165" s="3" t="s">
        <v>4704</v>
      </c>
      <c r="L165" s="3" t="s">
        <v>4794</v>
      </c>
      <c r="M165" s="1602">
        <f>OBRA!AS504+OBRA!AT504</f>
        <v>423219.71</v>
      </c>
      <c r="N165" s="242">
        <f>GRAL!AF506</f>
        <v>927.6</v>
      </c>
      <c r="O165" s="242" t="str">
        <f>GRAL!AG506</f>
        <v>M2</v>
      </c>
      <c r="P165" s="2" t="s">
        <v>68</v>
      </c>
      <c r="Q165" s="2"/>
    </row>
    <row r="166" spans="1:17" ht="45">
      <c r="A166" s="1"/>
      <c r="B166" s="1600"/>
      <c r="C166" s="1" t="str">
        <f>OBRA!CB505</f>
        <v>2018-2021</v>
      </c>
      <c r="D166" s="1">
        <f>OBRA!J505</f>
        <v>2020</v>
      </c>
      <c r="E166" s="1598" t="str">
        <f>OBRA!O505</f>
        <v>ADJUDICACIÓN DIRECTA</v>
      </c>
      <c r="F166" s="1281" t="str">
        <f>OBRA!N505</f>
        <v>GMJ 018C- OP/2020</v>
      </c>
      <c r="G166" s="3" t="str">
        <f>OBRA!P505</f>
        <v>"EQUIPAMIENTO DE POZO PROFUNDO DE AGUA POTABLE" EN LA AGENCIA MINICIPAL DE CHANTEPEC, DEL MUNICIPIO DE JOCOTEPEC, JALISCO.</v>
      </c>
      <c r="H166" s="1598" t="s">
        <v>4751</v>
      </c>
      <c r="I166" s="3" t="str">
        <f>OBRA!Q505</f>
        <v>CHANTEPEC</v>
      </c>
      <c r="J166" s="3" t="s">
        <v>4020</v>
      </c>
      <c r="K166" s="3" t="s">
        <v>4766</v>
      </c>
      <c r="L166" s="3" t="s">
        <v>4697</v>
      </c>
      <c r="M166" s="1602">
        <f>OBRA!AS505+OBRA!AT505</f>
        <v>174784.71</v>
      </c>
      <c r="N166" s="242">
        <f>GRAL!AF507</f>
        <v>1</v>
      </c>
      <c r="O166" s="242" t="str">
        <f>GRAL!AG507</f>
        <v>POZO</v>
      </c>
      <c r="P166" s="2" t="s">
        <v>68</v>
      </c>
      <c r="Q166" s="2"/>
    </row>
    <row r="167" spans="1:17" ht="52.5" customHeight="1">
      <c r="A167" s="1"/>
      <c r="B167" s="1600"/>
      <c r="C167" s="1" t="str">
        <f>OBRA!CB506</f>
        <v>2018-2021</v>
      </c>
      <c r="D167" s="1">
        <f>OBRA!J506</f>
        <v>2020</v>
      </c>
      <c r="E167" s="1598" t="str">
        <f>OBRA!O506</f>
        <v>ADJUDICACIÓN DIRECTA</v>
      </c>
      <c r="F167" s="1281" t="str">
        <f>OBRA!N506</f>
        <v>GMJ 019C- OP/2020</v>
      </c>
      <c r="G167" s="3" t="str">
        <f>OBRA!P506</f>
        <v>"REHABILITACIÓN DE POZO PROFUNDO DE AGUA POTABLE EN LA AGENCIA DE NEXTIPAC", DEL MUNICIPIO DE JOCOTEPEC, JALISCO.</v>
      </c>
      <c r="H167" s="1598" t="s">
        <v>4751</v>
      </c>
      <c r="I167" s="3" t="str">
        <f>OBRA!Q506</f>
        <v>NEXTIPAC</v>
      </c>
      <c r="J167" s="3" t="s">
        <v>2488</v>
      </c>
      <c r="K167" s="3" t="s">
        <v>4805</v>
      </c>
      <c r="L167" s="3" t="s">
        <v>68</v>
      </c>
      <c r="M167" s="1633">
        <f>OBRA!R506</f>
        <v>165908.29999999999</v>
      </c>
      <c r="N167" s="242">
        <f>GRAL!AF508</f>
        <v>250</v>
      </c>
      <c r="O167" s="242" t="str">
        <f>GRAL!AG508</f>
        <v>ML</v>
      </c>
      <c r="P167" s="2" t="s">
        <v>68</v>
      </c>
      <c r="Q167" s="2"/>
    </row>
    <row r="168" spans="1:17" ht="22.5" hidden="1">
      <c r="A168" s="1"/>
      <c r="B168" s="1"/>
      <c r="C168" s="1" t="str">
        <f>OBRA!CB507</f>
        <v>2018-2021</v>
      </c>
      <c r="D168" s="1">
        <f>OBRA!J507</f>
        <v>2020</v>
      </c>
      <c r="E168" s="1598" t="str">
        <f>OBRA!O507</f>
        <v>CANCELADA</v>
      </c>
      <c r="F168" s="1598" t="str">
        <f>OBRA!N507</f>
        <v>GMJ 020C- OP/2020</v>
      </c>
      <c r="G168" s="3" t="str">
        <f>OBRA!P507</f>
        <v>CONTRATO CANCELADO</v>
      </c>
      <c r="H168" s="1"/>
      <c r="I168" s="3">
        <f>OBRA!Q507</f>
        <v>0</v>
      </c>
      <c r="J168" s="3"/>
      <c r="K168" s="3"/>
      <c r="L168" s="3"/>
      <c r="M168" s="1602">
        <f>OBRA!AS507+OBRA!AT507</f>
        <v>0</v>
      </c>
      <c r="N168" s="1">
        <f>GRAL!AF509</f>
        <v>0</v>
      </c>
      <c r="O168" s="1">
        <f>GRAL!AG509</f>
        <v>0</v>
      </c>
      <c r="P168" s="1"/>
      <c r="Q168" s="1"/>
    </row>
    <row r="169" spans="1:17" ht="75">
      <c r="A169" s="1"/>
      <c r="B169" s="1600"/>
      <c r="C169" s="1" t="str">
        <f>OBRA!CB508</f>
        <v>2018-2021</v>
      </c>
      <c r="D169" s="1">
        <f>OBRA!J508</f>
        <v>2020</v>
      </c>
      <c r="E169" s="1598" t="str">
        <f>OBRA!O508</f>
        <v>ADJUDICACIÓN DIRECTA</v>
      </c>
      <c r="F169" s="1281" t="str">
        <f>OBRA!N508</f>
        <v>GMJ 021C- OP/2020</v>
      </c>
      <c r="G169" s="3" t="str">
        <f>OBRA!P508</f>
        <v>"CONSTRUCCIÓN DE EMPEDRADO NORMAL CON HUELLAS DE CONCRETO EN CALLE EMILIANO ZAPATA ENTRE PIPILA Y CALLE CERRADA" DE LA LOCALIDAD DE ZAPOTITÁN DE HIDALGO, EL MUNICIPIO DE JOCOTEPEC, JALISCO.</v>
      </c>
      <c r="H169" s="1598" t="s">
        <v>4752</v>
      </c>
      <c r="I169" s="3" t="str">
        <f>OBRA!Q508</f>
        <v>ZAPOTITÁN DE HIDALGO</v>
      </c>
      <c r="J169" s="3" t="s">
        <v>2606</v>
      </c>
      <c r="K169" s="3" t="s">
        <v>3155</v>
      </c>
      <c r="L169" s="3" t="s">
        <v>4767</v>
      </c>
      <c r="M169" s="1602">
        <f>OBRA!AS508+OBRA!AT508</f>
        <v>773314.41</v>
      </c>
      <c r="N169" s="242">
        <f>GRAL!AF510</f>
        <v>1022.62</v>
      </c>
      <c r="O169" s="242" t="str">
        <f>GRAL!AG510</f>
        <v>M2</v>
      </c>
      <c r="P169" s="2" t="s">
        <v>4962</v>
      </c>
      <c r="Q169" s="2"/>
    </row>
    <row r="170" spans="1:17" ht="109.5" customHeight="1">
      <c r="A170" s="1"/>
      <c r="B170" s="1600"/>
      <c r="C170" s="1" t="str">
        <f>OBRA!CB509</f>
        <v>2018-2021</v>
      </c>
      <c r="D170" s="1">
        <f>OBRA!J509</f>
        <v>2020</v>
      </c>
      <c r="E170" s="1598" t="str">
        <f>OBRA!O509</f>
        <v>ADJUDICACIÓN DIRECTA</v>
      </c>
      <c r="F170" s="1281" t="str">
        <f>OBRA!N509</f>
        <v>GMJ 022C- OP/2020</v>
      </c>
      <c r="G170"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598" t="s">
        <v>4756</v>
      </c>
      <c r="I170" s="3" t="str">
        <f>OBRA!Q509</f>
        <v>ZAPOTITÁN DE HIDALGO</v>
      </c>
      <c r="J170" s="3" t="s">
        <v>3155</v>
      </c>
      <c r="K170" s="3" t="s">
        <v>2606</v>
      </c>
      <c r="L170" s="3" t="s">
        <v>3420</v>
      </c>
      <c r="M170" s="1602">
        <f>OBRA!AS509+OBRA!AT509</f>
        <v>947197.91</v>
      </c>
      <c r="N170" s="242">
        <f>GRAL!AF511</f>
        <v>682.64</v>
      </c>
      <c r="O170" s="242" t="str">
        <f>GRAL!AG511</f>
        <v>M2</v>
      </c>
      <c r="P170" s="601" t="s">
        <v>4955</v>
      </c>
      <c r="Q170" s="1281" t="s">
        <v>4963</v>
      </c>
    </row>
    <row r="171" spans="1:17" ht="45">
      <c r="A171" s="1"/>
      <c r="B171" s="1600"/>
      <c r="C171" s="1" t="str">
        <f>OBRA!CB510</f>
        <v>2018-2021</v>
      </c>
      <c r="D171" s="1">
        <f>OBRA!J510</f>
        <v>2020</v>
      </c>
      <c r="E171" s="1598" t="str">
        <f>OBRA!O510</f>
        <v>ADJUDICACIÓN DIRECTA</v>
      </c>
      <c r="F171" s="1281" t="str">
        <f>OBRA!N510</f>
        <v>GMJ 023C- OP/2020</v>
      </c>
      <c r="G171" s="3" t="str">
        <f>OBRA!P510</f>
        <v xml:space="preserve">"REHABILITACIÓN DE POZO PROFUNDO DE AGUA POTABLE EN CALLE JOSE SANTANA", EN LA CABECERA MUNICIPAL DE JOCOTEPEC, JALISCO </v>
      </c>
      <c r="H171" s="1598" t="s">
        <v>4751</v>
      </c>
      <c r="I171" s="3" t="str">
        <f>OBRA!Q510</f>
        <v>CABECERA MUNICIPAL</v>
      </c>
      <c r="J171" s="3" t="s">
        <v>4795</v>
      </c>
      <c r="K171" s="3" t="s">
        <v>4901</v>
      </c>
      <c r="L171" s="3" t="s">
        <v>2535</v>
      </c>
      <c r="M171" s="1602">
        <f>OBRA!AS510+OBRA!AT510</f>
        <v>189588.55</v>
      </c>
      <c r="N171" s="242">
        <f>GRAL!AF512</f>
        <v>1</v>
      </c>
      <c r="O171" s="242" t="str">
        <f>GRAL!AG512</f>
        <v>POZO</v>
      </c>
      <c r="P171" s="2" t="s">
        <v>68</v>
      </c>
      <c r="Q171" s="2"/>
    </row>
    <row r="172" spans="1:17" ht="99.75" customHeight="1">
      <c r="A172" s="1"/>
      <c r="B172" s="1600"/>
      <c r="C172" s="1" t="str">
        <f>OBRA!CB511</f>
        <v>2018-2021</v>
      </c>
      <c r="D172" s="1">
        <f>OBRA!J511</f>
        <v>2020</v>
      </c>
      <c r="E172" s="1598" t="str">
        <f>OBRA!O511</f>
        <v>ADJUDICACIÓN DIRECTA</v>
      </c>
      <c r="F172" s="1281" t="str">
        <f>OBRA!N511</f>
        <v>GMJ 024C- OP/2020</v>
      </c>
      <c r="G172" s="3" t="str">
        <f>OBRA!P511</f>
        <v>"REHABILITACIÓN DE RED DE DRENAJE SANITARIO CON REPOSICIÓN DE SUPERFICIE DE RODAMIENTO EN CALLE XÓCHITL 2DA ETAPA DEL CADENAMIENTO 00+200 A LA CALLE CUAUHTÉMOC EN LA DELEGACIÓN DE CHANTEPEC, MUNICIPIO DE JOCOTEPEC, JALISCO.</v>
      </c>
      <c r="H172" s="1598" t="s">
        <v>4755</v>
      </c>
      <c r="I172" s="3" t="str">
        <f>OBRA!Q511</f>
        <v>CHANTEPEC</v>
      </c>
      <c r="J172" s="3" t="s">
        <v>4796</v>
      </c>
      <c r="K172" s="3" t="s">
        <v>4774</v>
      </c>
      <c r="L172" s="3" t="s">
        <v>4766</v>
      </c>
      <c r="M172" s="1602">
        <f>OBRA!AS511+OBRA!AT511</f>
        <v>961943.47</v>
      </c>
      <c r="N172" s="242">
        <f>GRAL!AF513</f>
        <v>210</v>
      </c>
      <c r="O172" s="242" t="str">
        <f>GRAL!AG513</f>
        <v>ML</v>
      </c>
      <c r="P172" s="601" t="s">
        <v>4965</v>
      </c>
      <c r="Q172" s="1281" t="s">
        <v>4964</v>
      </c>
    </row>
    <row r="173" spans="1:17" ht="127.5" customHeight="1">
      <c r="A173" s="1"/>
      <c r="B173" s="1600"/>
      <c r="C173" s="1" t="str">
        <f>OBRA!CB512</f>
        <v>2018-2021</v>
      </c>
      <c r="D173" s="1">
        <f>OBRA!J512</f>
        <v>2020</v>
      </c>
      <c r="E173" s="1598" t="str">
        <f>OBRA!O512</f>
        <v>ADJUDICACIÓN DIRECTA</v>
      </c>
      <c r="F173" s="1281" t="str">
        <f>OBRA!N512</f>
        <v>GMJ 025C- OP/2020</v>
      </c>
      <c r="G173"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598" t="s">
        <v>4754</v>
      </c>
      <c r="I173" s="3" t="str">
        <f>OBRA!Q512</f>
        <v>CHANTEPEC</v>
      </c>
      <c r="J173" s="3" t="s">
        <v>4796</v>
      </c>
      <c r="K173" s="3" t="s">
        <v>4774</v>
      </c>
      <c r="L173" s="3" t="s">
        <v>4767</v>
      </c>
      <c r="M173" s="1602">
        <f>OBRA!AS512+OBRA!AT512</f>
        <v>976127.66</v>
      </c>
      <c r="N173" s="242">
        <f>GRAL!AF514</f>
        <v>218</v>
      </c>
      <c r="O173" s="242" t="str">
        <f>GRAL!AG514</f>
        <v>ML</v>
      </c>
      <c r="P173" s="601" t="s">
        <v>4966</v>
      </c>
      <c r="Q173" s="1281" t="s">
        <v>4967</v>
      </c>
    </row>
    <row r="174" spans="1:17" ht="110.25" customHeight="1">
      <c r="A174" s="1"/>
      <c r="B174" s="1600"/>
      <c r="C174" s="1" t="str">
        <f>OBRA!CB513</f>
        <v>2018-2021</v>
      </c>
      <c r="D174" s="1">
        <f>OBRA!J513</f>
        <v>2020</v>
      </c>
      <c r="E174" s="1598" t="str">
        <f>OBRA!O513</f>
        <v>ADJUDICACIÓN DIRECTA</v>
      </c>
      <c r="F174" s="1281" t="str">
        <f>OBRA!N513</f>
        <v>GMJ 026C- OP/2020</v>
      </c>
      <c r="G174" s="3" t="str">
        <f>OBRA!P513</f>
        <v>"REHABILITACIÓN DE BANQUETAS Y SUPERFICIE DE RODAMIENTO EN INGRESO PRINCIPAL EN CALLE XÓCHITL DE CARRETERA JOCOTEPEC-CHAPALA A LA CALLE CUAUHTÉMOC" EN LA DELEGACIÓN DE CHANTEPEC, MUNICIPIO DE JOCOTEPEC, JALISCO.</v>
      </c>
      <c r="H174" s="1598" t="s">
        <v>4752</v>
      </c>
      <c r="I174" s="3" t="str">
        <f>OBRA!Q513</f>
        <v>CHANTEPEC</v>
      </c>
      <c r="J174" s="3" t="s">
        <v>4796</v>
      </c>
      <c r="K174" s="3" t="s">
        <v>4766</v>
      </c>
      <c r="L174" s="3" t="s">
        <v>4774</v>
      </c>
      <c r="M174" s="1602">
        <f>OBRA!AS513+OBRA!AT513</f>
        <v>822451.21</v>
      </c>
      <c r="N174" s="242">
        <f>GRAL!AF515</f>
        <v>524.09</v>
      </c>
      <c r="O174" s="242" t="str">
        <f>GRAL!AG515</f>
        <v>M2</v>
      </c>
      <c r="P174" s="2" t="s">
        <v>4968</v>
      </c>
      <c r="Q174" s="1281" t="s">
        <v>4969</v>
      </c>
    </row>
    <row r="175" spans="1:17" ht="49.5" customHeight="1">
      <c r="A175" s="1"/>
      <c r="B175" s="1600"/>
      <c r="C175" s="1" t="str">
        <f>OBRA!CB514</f>
        <v>2018-2021</v>
      </c>
      <c r="D175" s="1">
        <f>OBRA!J514</f>
        <v>2020</v>
      </c>
      <c r="E175" s="1598" t="str">
        <f>OBRA!O514</f>
        <v>CONCURSO SIMPLIFICADO SUMARIO</v>
      </c>
      <c r="F175" s="1281" t="str">
        <f>OBRA!N514</f>
        <v>GMJ 027C- OP/2020</v>
      </c>
      <c r="G175" s="3" t="str">
        <f>OBRA!P514</f>
        <v>"CONSTRUCCIÓN DE POZO PROFUNDO EN CALLE ALLENDE NORTE" EN LA CABECERA MUNICIPAL DE JOCOTEPEC, JALISCO</v>
      </c>
      <c r="H175" s="1598" t="s">
        <v>4751</v>
      </c>
      <c r="I175" s="3" t="str">
        <f>OBRA!Q514</f>
        <v>CABECERA MUNICIPAL</v>
      </c>
      <c r="J175" s="3" t="s">
        <v>4642</v>
      </c>
      <c r="K175" s="3" t="s">
        <v>4769</v>
      </c>
      <c r="L175" s="3" t="s">
        <v>4809</v>
      </c>
      <c r="M175" s="1602">
        <f>OBRA!AS514+OBRA!AT514</f>
        <v>2631734.15</v>
      </c>
      <c r="N175" s="242">
        <f>GRAL!AF516</f>
        <v>250</v>
      </c>
      <c r="O175" s="242" t="str">
        <f>GRAL!AG516</f>
        <v>ML</v>
      </c>
      <c r="P175" s="2" t="s">
        <v>68</v>
      </c>
      <c r="Q175" s="2"/>
    </row>
    <row r="176" spans="1:17" ht="33.75">
      <c r="A176" s="1"/>
      <c r="B176" s="1600"/>
      <c r="C176" s="1" t="str">
        <f>OBRA!CB515</f>
        <v>2018-2021</v>
      </c>
      <c r="D176" s="1">
        <f>OBRA!J515</f>
        <v>2020</v>
      </c>
      <c r="E176" s="1598" t="str">
        <f>OBRA!O515</f>
        <v>CONCURSO SIMPLIFICADO SUMARIO</v>
      </c>
      <c r="F176" s="1281" t="str">
        <f>OBRA!N515</f>
        <v>FOCOCI-OP-CSS-028/2020</v>
      </c>
      <c r="G176" s="3" t="str">
        <f>OBRA!P515</f>
        <v>CONSTRUCCIÓN Y EQUIPAMIENTO DE PLAZA PRINCIPAL EN CHANTEPEC, MUNICIPIO DE JOCOTEPEC, JALISCO.</v>
      </c>
      <c r="H176" s="1598" t="s">
        <v>4749</v>
      </c>
      <c r="I176" s="3" t="str">
        <f>OBRA!Q515</f>
        <v>CHANTEPEC</v>
      </c>
      <c r="J176" s="3" t="s">
        <v>4796</v>
      </c>
      <c r="K176" s="3" t="s">
        <v>4774</v>
      </c>
      <c r="L176" s="3" t="s">
        <v>4766</v>
      </c>
      <c r="M176" s="1602">
        <f>OBRA!AS515+OBRA!AT515</f>
        <v>8270576.8799999999</v>
      </c>
      <c r="N176" s="242">
        <f>GRAL!AF517</f>
        <v>8536.41</v>
      </c>
      <c r="O176" s="242" t="str">
        <f>GRAL!AG517</f>
        <v>M2</v>
      </c>
      <c r="P176" s="2" t="s">
        <v>68</v>
      </c>
      <c r="Q176" s="2"/>
    </row>
    <row r="177" spans="1:17" ht="45">
      <c r="A177" s="1"/>
      <c r="B177" s="1600"/>
      <c r="C177" s="1" t="str">
        <f>OBRA!CB516</f>
        <v>2018-2021</v>
      </c>
      <c r="D177" s="1">
        <f>OBRA!J516</f>
        <v>2020</v>
      </c>
      <c r="E177" s="1598" t="str">
        <f>OBRA!O516</f>
        <v>CONCURSO SIMPLIFICADO SUMARIO</v>
      </c>
      <c r="F177" s="1281" t="str">
        <f>OBRA!N516</f>
        <v>FOCOCI-OP-CSS-029/2020</v>
      </c>
      <c r="G177" s="3" t="str">
        <f>OBRA!P516</f>
        <v>CONSTRUCCIÓN Y EQUIPAMIENTO DE PLAZA PRINCIPAL EN CHANTEPEC MUNICIPIO DE JOCOTEPEC, JALISCO". (CONSTRUCCIÓN DE EDIFICIO ADMINISTRATIVO)</v>
      </c>
      <c r="H177" s="1598" t="s">
        <v>4758</v>
      </c>
      <c r="I177" s="3" t="str">
        <f>OBRA!Q516</f>
        <v>CHANTEPEC</v>
      </c>
      <c r="J177" s="3" t="s">
        <v>4796</v>
      </c>
      <c r="K177" s="3" t="s">
        <v>4774</v>
      </c>
      <c r="L177" s="3" t="s">
        <v>4766</v>
      </c>
      <c r="M177" s="1602">
        <f>OBRA!AS516+OBRA!AT516</f>
        <v>1729413.01</v>
      </c>
      <c r="N177" s="242">
        <f>GRAL!AF518</f>
        <v>185.76</v>
      </c>
      <c r="O177" s="242" t="str">
        <f>GRAL!AG518</f>
        <v>M2</v>
      </c>
      <c r="P177" s="2" t="s">
        <v>68</v>
      </c>
      <c r="Q177" s="2"/>
    </row>
    <row r="178" spans="1:17" ht="45">
      <c r="A178" s="1"/>
      <c r="B178" s="1600"/>
      <c r="C178" s="1" t="str">
        <f>OBRA!CB517</f>
        <v>2018-2021</v>
      </c>
      <c r="D178" s="1">
        <f>OBRA!J517</f>
        <v>2020</v>
      </c>
      <c r="E178" s="1598" t="str">
        <f>OBRA!O517</f>
        <v>CONCURSO SIMPLIFICADO SUMARIO</v>
      </c>
      <c r="F178" s="1281" t="str">
        <f>OBRA!N517</f>
        <v>FOCOCI-OP-CSS-030/2020</v>
      </c>
      <c r="G178" s="3" t="str">
        <f>OBRA!P517</f>
        <v>OBRA CIVIL "INTERVENCIÓN Y RESTAURACIÓN DE MERCADO MUNICIPAL MORELOS”, UBICADO EN CALLE MORELOS EN LA CABECERA MUNICIPAL DE JOCOTEPEC, JALISCO.</v>
      </c>
      <c r="H178" s="1598" t="s">
        <v>4758</v>
      </c>
      <c r="I178" s="3" t="str">
        <f>OBRA!Q517</f>
        <v>CABECERA MUNICIPAL</v>
      </c>
      <c r="J178" s="3" t="s">
        <v>2488</v>
      </c>
      <c r="K178" s="3" t="s">
        <v>4829</v>
      </c>
      <c r="L178" s="3" t="s">
        <v>68</v>
      </c>
      <c r="M178" s="1602">
        <f>OBRA!AS517+OBRA!AT517</f>
        <v>5170423.96</v>
      </c>
      <c r="N178" s="242">
        <f>GRAL!AF519</f>
        <v>2007.25</v>
      </c>
      <c r="O178" s="242" t="str">
        <f>GRAL!AG519</f>
        <v>M2</v>
      </c>
      <c r="P178" s="2" t="s">
        <v>68</v>
      </c>
      <c r="Q178" s="2"/>
    </row>
    <row r="179" spans="1:17" ht="45">
      <c r="A179" s="1"/>
      <c r="B179" s="1600"/>
      <c r="C179" s="1" t="str">
        <f>OBRA!CB518</f>
        <v>2018-2021</v>
      </c>
      <c r="D179" s="1">
        <f>OBRA!J518</f>
        <v>2020</v>
      </c>
      <c r="E179" s="1598" t="str">
        <f>OBRA!O518</f>
        <v>CONCURSO SIMPLIFICADO SUMARIO</v>
      </c>
      <c r="F179" s="1281" t="str">
        <f>OBRA!N518</f>
        <v>FOCOCI-OP-CSS-031/2020</v>
      </c>
      <c r="G179" s="3" t="str">
        <f>OBRA!P518</f>
        <v>"INTERVENCIÓN Y RESTAURACIÓN DE MERCADO MUNICIPAL MORELOS”, UBICADO EN CALLE MORELOS EN LA CABECERA MUNICIPAL DE JOCOTEPEC, JALISCO</v>
      </c>
      <c r="H179" s="1598" t="s">
        <v>4758</v>
      </c>
      <c r="I179" s="3" t="str">
        <f>OBRA!Q518</f>
        <v>CABECERA MUNICIPAL</v>
      </c>
      <c r="J179" s="3" t="s">
        <v>2488</v>
      </c>
      <c r="K179" s="3" t="s">
        <v>4829</v>
      </c>
      <c r="L179" s="3" t="s">
        <v>68</v>
      </c>
      <c r="M179" s="1602">
        <f>OBRA!AS518+OBRA!AT518</f>
        <v>4629475.5599999996</v>
      </c>
      <c r="N179" s="242">
        <f>GRAL!AF520</f>
        <v>2007.25</v>
      </c>
      <c r="O179" s="242" t="str">
        <f>GRAL!AG520</f>
        <v>M2</v>
      </c>
      <c r="P179" s="2" t="s">
        <v>68</v>
      </c>
      <c r="Q179" s="2"/>
    </row>
    <row r="180" spans="1:17" ht="45">
      <c r="A180" s="1"/>
      <c r="B180" s="1600"/>
      <c r="C180" s="1" t="str">
        <f>OBRA!CB519</f>
        <v>2018-2021</v>
      </c>
      <c r="D180" s="1">
        <f>OBRA!J519</f>
        <v>2020</v>
      </c>
      <c r="E180" s="1598" t="str">
        <f>OBRA!O519</f>
        <v>ADJUDICACIÓN DIRECTA</v>
      </c>
      <c r="F180" s="1281" t="str">
        <f>OBRA!N519</f>
        <v>GMJ 032C- OP/2020</v>
      </c>
      <c r="G180" s="3" t="str">
        <f>OBRA!P519</f>
        <v>"CONSTRUCCIÓN DE LÍNEA DE DRENAJE SANITARIO EN PRIVADA RAÚL RAMÍREZ", EN LA LOCALIDAD DE SAN JUAN COSALA DEL MUNICIPIO DE JOCOTEPEC, JALISCO.</v>
      </c>
      <c r="H180" s="1598" t="s">
        <v>4747</v>
      </c>
      <c r="I180" s="3" t="str">
        <f>OBRA!Q519</f>
        <v>SAN JUAN COSALÁ</v>
      </c>
      <c r="J180" s="3" t="s">
        <v>4797</v>
      </c>
      <c r="K180" s="3" t="s">
        <v>4798</v>
      </c>
      <c r="L180" s="3" t="s">
        <v>4767</v>
      </c>
      <c r="M180" s="1602">
        <f>OBRA!AS519+OBRA!AT519</f>
        <v>287771.57</v>
      </c>
      <c r="N180" s="242">
        <f>GRAL!AF521</f>
        <v>172.45</v>
      </c>
      <c r="O180" s="242" t="str">
        <f>GRAL!AG521</f>
        <v>ML</v>
      </c>
      <c r="P180" s="2" t="s">
        <v>4970</v>
      </c>
      <c r="Q180" s="2"/>
    </row>
    <row r="181" spans="1:17" ht="45">
      <c r="A181" s="1"/>
      <c r="B181" s="1600"/>
      <c r="C181" s="1" t="str">
        <f>OBRA!CB520</f>
        <v>2018-2021</v>
      </c>
      <c r="D181" s="1">
        <f>OBRA!J520</f>
        <v>2020</v>
      </c>
      <c r="E181" s="1598" t="str">
        <f>OBRA!O520</f>
        <v>ADJUDICACIÓN DIRECTA</v>
      </c>
      <c r="F181" s="1281" t="str">
        <f>OBRA!N520</f>
        <v>GMJ 033C- OP/2020</v>
      </c>
      <c r="G181" s="3" t="str">
        <f>OBRA!P520</f>
        <v>"REMOZAMIENTO Y MEJORAMIENTO DE IMAGEN URBANA EN EL TEMPLO DEL SEÑOR DEL MONTE” EN LA CABECERA MUNICIPAL DE JOCOTEPEC, JALISCO</v>
      </c>
      <c r="H181" s="1598" t="s">
        <v>4749</v>
      </c>
      <c r="I181" s="3" t="str">
        <f>OBRA!Q520</f>
        <v>CABECERA MUNICIPAL</v>
      </c>
      <c r="J181" s="3" t="s">
        <v>2619</v>
      </c>
      <c r="K181" s="3" t="s">
        <v>4799</v>
      </c>
      <c r="L181" s="3" t="s">
        <v>68</v>
      </c>
      <c r="M181" s="1602">
        <f>OBRA!AS520+OBRA!AT520</f>
        <v>1600000</v>
      </c>
      <c r="N181" s="242">
        <f>GRAL!AF522</f>
        <v>2832.99</v>
      </c>
      <c r="O181" s="242" t="str">
        <f>GRAL!AG522</f>
        <v>M2</v>
      </c>
      <c r="P181" s="2" t="s">
        <v>68</v>
      </c>
      <c r="Q181" s="2"/>
    </row>
    <row r="182" spans="1:17" ht="60.75" customHeight="1">
      <c r="A182" s="1"/>
      <c r="B182" s="1600"/>
      <c r="C182" s="1" t="str">
        <f>OBRA!CB521</f>
        <v>2018-2021</v>
      </c>
      <c r="D182" s="1">
        <f>OBRA!J521</f>
        <v>2020</v>
      </c>
      <c r="E182" s="1598" t="str">
        <f>OBRA!O521</f>
        <v>ADJUDICACIÓN DIRECTA</v>
      </c>
      <c r="F182" s="1281" t="str">
        <f>OBRA!N521</f>
        <v>GMJ 034C- OP/2020</v>
      </c>
      <c r="G182" s="3" t="str">
        <f>OBRA!P521</f>
        <v>"REHABILITACIÓN DE LÍNEAS HIDROSANITARIAS En CALLE CHAPULTEPEC ENTRE VICENTE GUERRERO Y CARRETERA FEDERAL Nº 15 ”, EN LA CABECERA MUNICIPAL DE JOCOTEPEC, JALISCO.</v>
      </c>
      <c r="H182" s="1598" t="s">
        <v>4753</v>
      </c>
      <c r="I182" s="3" t="str">
        <f>OBRA!Q521</f>
        <v>CABECERA MUNICIPAL</v>
      </c>
      <c r="J182" s="3" t="s">
        <v>3143</v>
      </c>
      <c r="K182" s="3" t="s">
        <v>2528</v>
      </c>
      <c r="L182" s="3" t="s">
        <v>4766</v>
      </c>
      <c r="M182" s="1602">
        <f>OBRA!AS521+OBRA!AT521</f>
        <v>911242.76</v>
      </c>
      <c r="N182" s="242">
        <f>GRAL!AF523</f>
        <v>598.44000000000005</v>
      </c>
      <c r="O182" s="242" t="str">
        <f>GRAL!AG523</f>
        <v>ML</v>
      </c>
      <c r="P182" s="601" t="s">
        <v>4972</v>
      </c>
      <c r="Q182" s="1281" t="s">
        <v>4971</v>
      </c>
    </row>
    <row r="183" spans="1:17" ht="45.75" customHeight="1">
      <c r="A183" s="1"/>
      <c r="B183" s="1600"/>
      <c r="C183" s="1" t="str">
        <f>OBRA!CB522</f>
        <v>2018-2021</v>
      </c>
      <c r="D183" s="1">
        <f>OBRA!J522</f>
        <v>2020</v>
      </c>
      <c r="E183" s="1598" t="str">
        <f>OBRA!O522</f>
        <v>ADJUDICACIÓN DIRECTA</v>
      </c>
      <c r="F183" s="1281" t="str">
        <f>OBRA!N522</f>
        <v>GMJ 035C- OP/2020</v>
      </c>
      <c r="G183" s="3" t="str">
        <f>OBRA!P522</f>
        <v>OBRA CIVIL "REHABILITACIÓN DEL RASTRO MUNICIPAL 2DA ETAPA", DE LA CABECERA MUNICIPAL DE JOCOTEPEC, JALISCO.</v>
      </c>
      <c r="H183" s="1598" t="s">
        <v>4757</v>
      </c>
      <c r="I183" s="3" t="str">
        <f>OBRA!Q522</f>
        <v>CABECERA MUNICIPAL</v>
      </c>
      <c r="J183" s="3" t="s">
        <v>3143</v>
      </c>
      <c r="K183" s="3" t="s">
        <v>2528</v>
      </c>
      <c r="L183" s="3" t="s">
        <v>4800</v>
      </c>
      <c r="M183" s="1633">
        <f>OBRA!R522</f>
        <v>537866.98</v>
      </c>
      <c r="N183" s="242">
        <f>GRAL!AF524</f>
        <v>0</v>
      </c>
      <c r="O183" s="242" t="str">
        <f>GRAL!AG524</f>
        <v>M2</v>
      </c>
      <c r="P183" s="2" t="s">
        <v>68</v>
      </c>
      <c r="Q183" s="2"/>
    </row>
    <row r="184" spans="1:17" ht="22.5" hidden="1">
      <c r="A184" s="1"/>
      <c r="B184" s="1"/>
      <c r="C184" s="1" t="str">
        <f>OBRA!CB523</f>
        <v>2018-2021</v>
      </c>
      <c r="D184" s="1">
        <f>OBRA!J523</f>
        <v>2020</v>
      </c>
      <c r="E184" s="1598" t="str">
        <f>OBRA!O523</f>
        <v>CANCELADA</v>
      </c>
      <c r="F184" s="1598" t="str">
        <f>OBRA!N523</f>
        <v>GMJ 036C- OP/2020</v>
      </c>
      <c r="G184" s="3" t="str">
        <f>OBRA!P523</f>
        <v>CONTRATO CANCELADO</v>
      </c>
      <c r="H184" s="1"/>
      <c r="I184" s="3">
        <f>OBRA!Q523</f>
        <v>0</v>
      </c>
      <c r="J184" s="3"/>
      <c r="K184" s="3"/>
      <c r="L184" s="3"/>
      <c r="M184" s="1602">
        <f>OBRA!AS523+OBRA!AT523</f>
        <v>0</v>
      </c>
      <c r="N184" s="1">
        <f>GRAL!AF525</f>
        <v>0</v>
      </c>
      <c r="O184" s="1">
        <f>GRAL!AG525</f>
        <v>0</v>
      </c>
      <c r="P184" s="1"/>
      <c r="Q184" s="1"/>
    </row>
    <row r="185" spans="1:17" ht="47.25" customHeight="1">
      <c r="A185" s="1"/>
      <c r="B185" s="1600"/>
      <c r="C185" s="1" t="str">
        <f>OBRA!CB524</f>
        <v>2018-2021</v>
      </c>
      <c r="D185" s="1">
        <f>OBRA!J524</f>
        <v>2020</v>
      </c>
      <c r="E185" s="1598" t="str">
        <f>OBRA!O524</f>
        <v>ADJUDICACIÓN DIRECTA</v>
      </c>
      <c r="F185" s="1281" t="str">
        <f>OBRA!N524</f>
        <v>GMJ 037C- OP/2020</v>
      </c>
      <c r="G185" s="3" t="str">
        <f>OBRA!P524</f>
        <v>"CONSTRUCCIÓN DE BANQUETAS EN UNIDAD DEPORTIVA ZARAGOZA” EN LA CABECERA MUNICIPAL DE JOCOTEPEC, JALISCO.</v>
      </c>
      <c r="H185" s="1598" t="s">
        <v>4748</v>
      </c>
      <c r="I185" s="3" t="str">
        <f>OBRA!Q524</f>
        <v>CABECERA MUNICIPAL</v>
      </c>
      <c r="J185" s="3" t="s">
        <v>2697</v>
      </c>
      <c r="K185" s="3" t="s">
        <v>4683</v>
      </c>
      <c r="L185" s="3" t="s">
        <v>2535</v>
      </c>
      <c r="M185" s="1602">
        <f>OBRA!AS524+OBRA!AT524</f>
        <v>229496.26</v>
      </c>
      <c r="N185" s="242">
        <f>GRAL!AF526</f>
        <v>251.6</v>
      </c>
      <c r="O185" s="242" t="str">
        <f>GRAL!AG526</f>
        <v>M2</v>
      </c>
      <c r="P185" s="2" t="s">
        <v>4973</v>
      </c>
      <c r="Q185" s="2"/>
    </row>
    <row r="186" spans="1:17" ht="75">
      <c r="A186" s="1"/>
      <c r="B186" s="1600"/>
      <c r="C186" s="1" t="str">
        <f>OBRA!CB525</f>
        <v>2018-2021</v>
      </c>
      <c r="D186" s="1">
        <f>OBRA!J525</f>
        <v>2020</v>
      </c>
      <c r="E186" s="1598" t="str">
        <f>OBRA!O525</f>
        <v>ADJUDICACIÓN DIRECTA</v>
      </c>
      <c r="F186" s="1281" t="str">
        <f>OBRA!N525</f>
        <v>GMJ 038C- OP/2020</v>
      </c>
      <c r="G186" s="3" t="str">
        <f>OBRA!P525</f>
        <v>"CONSTRUCCIÓN DE DEPÓSITO DE AGUA, LINEA DE LLENADO Y DISTRIBUCCIÓN DE AGUA POTABLE EN CUARTEL DE LA GUARDIA NACIONAL", PARA ABASTECER ZONA 6 EN CRUCERO A LA DELEGACIÓN DE POTRERILLOS DEL MUNICIPIO DE JOCOTEPEC, JALISCO.</v>
      </c>
      <c r="H186" s="1598" t="s">
        <v>4745</v>
      </c>
      <c r="I186" s="3" t="str">
        <f>OBRA!Q525</f>
        <v>POTRERILLOS</v>
      </c>
      <c r="J186" s="3" t="s">
        <v>4644</v>
      </c>
      <c r="K186" s="3" t="s">
        <v>68</v>
      </c>
      <c r="L186" s="3" t="s">
        <v>68</v>
      </c>
      <c r="M186" s="1633">
        <f>OBRA!R525</f>
        <v>868714.16</v>
      </c>
      <c r="N186" s="242">
        <f>GRAL!AF527</f>
        <v>462.05</v>
      </c>
      <c r="O186" s="242" t="str">
        <f>GRAL!AG527</f>
        <v>M2</v>
      </c>
      <c r="P186" s="2" t="s">
        <v>68</v>
      </c>
      <c r="Q186" s="2"/>
    </row>
    <row r="187" spans="1:17" ht="90" hidden="1">
      <c r="A187" s="1"/>
      <c r="B187" s="1"/>
      <c r="C187" s="1" t="str">
        <f>OBRA!CB526</f>
        <v>2018-2021</v>
      </c>
      <c r="D187" s="1">
        <f>OBRA!J526</f>
        <v>2021</v>
      </c>
      <c r="E187" s="1598" t="str">
        <f>OBRA!O526</f>
        <v>CONVENIO</v>
      </c>
      <c r="F187" s="1598" t="str">
        <f>OBRA!N526</f>
        <v>CONV/FOCOCI/004-2021</v>
      </c>
      <c r="G187"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OBRA!Q526</f>
        <v>MUNICIPIO</v>
      </c>
      <c r="J187" s="3"/>
      <c r="K187" s="3"/>
      <c r="L187" s="3"/>
      <c r="M187" s="1602">
        <f>OBRA!AS526+OBRA!AT526</f>
        <v>0</v>
      </c>
      <c r="N187" s="1" t="str">
        <f>GRAL!AF528</f>
        <v>-</v>
      </c>
      <c r="O187" s="1" t="str">
        <f>GRAL!AG528</f>
        <v>-</v>
      </c>
      <c r="P187" s="1"/>
      <c r="Q187" s="1"/>
    </row>
    <row r="188" spans="1:17" ht="45" hidden="1">
      <c r="A188" s="1"/>
      <c r="B188" s="1"/>
      <c r="C188" s="1" t="str">
        <f>OBRA!CB527</f>
        <v>2018-2021</v>
      </c>
      <c r="D188" s="1">
        <f>OBRA!J527</f>
        <v>2021</v>
      </c>
      <c r="E188" s="1598" t="str">
        <f>OBRA!O527</f>
        <v>CANCELADA</v>
      </c>
      <c r="F188" s="1598" t="str">
        <f>OBRA!N527</f>
        <v>DOP/AD/001/2021</v>
      </c>
      <c r="G188" s="3" t="str">
        <f>OBRA!P527</f>
        <v>"CONSTRUCCIÓN DE PUENTE PEATONAL EN CALLE LIBERTAD Y CALLE 5 DE MAYO" EN LA DELEGACIÓN DE ZAPOTITÁN DE HIDALGO, DEL MUNICIPIO DE JOCOTEPEC, JALISCO.</v>
      </c>
      <c r="H188" s="1"/>
      <c r="I188" s="3">
        <f>OBRA!Q527</f>
        <v>0</v>
      </c>
      <c r="J188" s="3"/>
      <c r="K188" s="3"/>
      <c r="L188" s="3"/>
      <c r="M188" s="1602">
        <f>OBRA!AS527+OBRA!AT527</f>
        <v>0</v>
      </c>
      <c r="N188" s="1">
        <f>GRAL!AF529</f>
        <v>0</v>
      </c>
      <c r="O188" s="1">
        <f>GRAL!AG529</f>
        <v>0</v>
      </c>
      <c r="P188" s="1"/>
      <c r="Q188" s="1"/>
    </row>
    <row r="189" spans="1:17" ht="80.25" customHeight="1">
      <c r="A189" s="1"/>
      <c r="B189" s="1600"/>
      <c r="C189" s="1" t="str">
        <f>OBRA!CB528</f>
        <v>2018-2021</v>
      </c>
      <c r="D189" s="1">
        <f>OBRA!J528</f>
        <v>2021</v>
      </c>
      <c r="E189" s="1598" t="str">
        <f>OBRA!O528</f>
        <v>ADMINISTRACIÓN DIRECTA</v>
      </c>
      <c r="F189" s="1281" t="str">
        <f>OBRA!N528</f>
        <v>DOP/AD/002/2021</v>
      </c>
      <c r="G189" s="3" t="str">
        <f>OBRA!P528</f>
        <v>"SUMINISTRO Y COLOCACIÓN DE TECHUMBRE EN CANCHA DE USOS MULTIPLES" UBICADA EN CALLES PEDRO MORENO Y MORELOS, ABASOLO Y 16 DE SEPTIEMBRE, EN LA DELEGACIÓN DE ZAPOTITÁN DE HIDALGO, DEL MUNICIPIO DE JOCOTEPEC, JALISCO.</v>
      </c>
      <c r="H189" s="1598" t="s">
        <v>4749</v>
      </c>
      <c r="I189" s="3" t="str">
        <f>OBRA!Q528</f>
        <v>ZAPOTITÁN DE HIDALGO</v>
      </c>
      <c r="J189" s="3" t="s">
        <v>4893</v>
      </c>
      <c r="K189" s="3" t="s">
        <v>68</v>
      </c>
      <c r="L189" s="3" t="s">
        <v>68</v>
      </c>
      <c r="M189" s="1602">
        <f>OBRA!AS528+OBRA!AT528</f>
        <v>693456.15999999992</v>
      </c>
      <c r="N189" s="242">
        <f>GRAL!AF530</f>
        <v>567.16999999999996</v>
      </c>
      <c r="O189" s="242" t="str">
        <f>GRAL!AG530</f>
        <v>M2</v>
      </c>
      <c r="P189" s="2" t="s">
        <v>4923</v>
      </c>
      <c r="Q189" s="2"/>
    </row>
    <row r="190" spans="1:17" ht="75">
      <c r="A190" s="1"/>
      <c r="B190" s="1600"/>
      <c r="C190" s="1" t="str">
        <f>OBRA!CB529</f>
        <v>2018-2021</v>
      </c>
      <c r="D190" s="1">
        <f>OBRA!J529</f>
        <v>2021</v>
      </c>
      <c r="E190" s="1598" t="str">
        <f>OBRA!O529</f>
        <v>ADMINISTRACIÓN DIRECTA</v>
      </c>
      <c r="F190" s="1281" t="str">
        <f>OBRA!N529</f>
        <v>DOP/AD/003/2021</v>
      </c>
      <c r="G190" s="3" t="str">
        <f>OBRA!P529</f>
        <v>"REHABILITACIÓN DE LÍNEA DE AGUA POTABLE EN CALLE MORELOS DE CALLE RICO A CALLE RIVERA DEL LAGO Y REHABILITACIÓN DE LÍNEA DE DRENAJE SANITARIO EN CALLE MORELOS DE CALLE RICO HASTA MALECÓN", EN LA CABECERA MUNICIPAL DE JOCOTEPEC, JALISCO, (NEXTIPAC).</v>
      </c>
      <c r="H190" s="1598" t="s">
        <v>4753</v>
      </c>
      <c r="I190" s="3" t="str">
        <f>OBRA!Q529</f>
        <v>CABECERA MUNICIPAL</v>
      </c>
      <c r="J190" s="3" t="s">
        <v>2488</v>
      </c>
      <c r="K190" s="3" t="s">
        <v>4788</v>
      </c>
      <c r="L190" s="3" t="s">
        <v>2566</v>
      </c>
      <c r="M190" s="1633">
        <f>OBRA!R529</f>
        <v>174639.07</v>
      </c>
      <c r="N190" s="242">
        <f>GRAL!AF531</f>
        <v>48.83</v>
      </c>
      <c r="O190" s="242" t="str">
        <f>GRAL!AG531</f>
        <v>ML</v>
      </c>
      <c r="P190" s="2" t="s">
        <v>4924</v>
      </c>
      <c r="Q190" s="2"/>
    </row>
    <row r="191" spans="1:17" ht="45">
      <c r="A191" s="1"/>
      <c r="B191" s="1600"/>
      <c r="C191" s="1" t="str">
        <f>OBRA!CB530</f>
        <v>2018-2021</v>
      </c>
      <c r="D191" s="1">
        <f>OBRA!J530</f>
        <v>2021</v>
      </c>
      <c r="E191" s="1598" t="str">
        <f>OBRA!O530</f>
        <v>ADMINISTRACIÓN DIRECTA</v>
      </c>
      <c r="F191" s="1281" t="str">
        <f>OBRA!N530</f>
        <v>DOP/AD/004/2021</v>
      </c>
      <c r="G191" s="3" t="str">
        <f>OBRA!P530</f>
        <v>"REHABILITACIÓN DE PISOS EN AULAS DE LA ESCUELA PRIMARIA JOSE SANTANA", EN LA CABECERA MUNICIPAL DE JOCOTEPEC, JALISCO.</v>
      </c>
      <c r="H191" s="1598" t="s">
        <v>4759</v>
      </c>
      <c r="I191" s="3" t="str">
        <f>OBRA!Q530</f>
        <v>CABECERA MUNICIPAL</v>
      </c>
      <c r="J191" s="3" t="s">
        <v>4801</v>
      </c>
      <c r="K191" s="3" t="s">
        <v>68</v>
      </c>
      <c r="L191" s="3" t="s">
        <v>68</v>
      </c>
      <c r="M191" s="1633">
        <f>OBRA!R530</f>
        <v>27000</v>
      </c>
      <c r="N191" s="242">
        <f>GRAL!AF532</f>
        <v>0</v>
      </c>
      <c r="O191" s="242" t="str">
        <f>GRAL!AG532</f>
        <v>M2</v>
      </c>
      <c r="P191" s="2" t="s">
        <v>68</v>
      </c>
      <c r="Q191" s="2"/>
    </row>
    <row r="192" spans="1:17" ht="60">
      <c r="A192" s="1"/>
      <c r="B192" s="1600"/>
      <c r="C192" s="1" t="str">
        <f>OBRA!CB531</f>
        <v>2018-2021</v>
      </c>
      <c r="D192" s="1">
        <f>OBRA!J531</f>
        <v>2021</v>
      </c>
      <c r="E192" s="1598" t="str">
        <f>OBRA!O531</f>
        <v>ADMINISTRACIÓN DIRECTA</v>
      </c>
      <c r="F192" s="1281" t="str">
        <f>OBRA!N531</f>
        <v>DOP/AD/005/2021</v>
      </c>
      <c r="G192" s="3" t="str">
        <f>OBRA!P531</f>
        <v>"MANO DE OBRA PARA LA REACTIVACIÓN DE LÍNEAS HIDROSANITARIAS EN CALLE JUÁREZ, CALLE 30 DE SEPTIEMBRE Y C. 5 DE MAYO", EN LA DELEGACIÓN DE HUEJOTITÁN, DEL MUNICIPIO DE JOCOTEPEC, JALISCO.</v>
      </c>
      <c r="H192" s="1598" t="s">
        <v>4753</v>
      </c>
      <c r="I192" s="3" t="str">
        <f>OBRA!Q531</f>
        <v>HUEJOTITÁN</v>
      </c>
      <c r="J192" s="3" t="s">
        <v>4802</v>
      </c>
      <c r="K192" s="3" t="s">
        <v>68</v>
      </c>
      <c r="L192" s="3" t="s">
        <v>68</v>
      </c>
      <c r="M192" s="1633">
        <f>OBRA!R531</f>
        <v>266000</v>
      </c>
      <c r="N192" s="242">
        <f>GRAL!AF533</f>
        <v>652</v>
      </c>
      <c r="O192" s="242" t="str">
        <f>GRAL!AG533</f>
        <v>ML</v>
      </c>
      <c r="P192" s="2" t="s">
        <v>4925</v>
      </c>
      <c r="Q192" s="2"/>
    </row>
    <row r="193" spans="1:17" hidden="1">
      <c r="A193" s="1"/>
      <c r="B193" s="1"/>
      <c r="C193" s="1" t="str">
        <f>OBRA!CB532</f>
        <v>2018-2021</v>
      </c>
      <c r="D193" s="1">
        <f>OBRA!J532</f>
        <v>2021</v>
      </c>
      <c r="E193" s="1598" t="str">
        <f>OBRA!O532</f>
        <v>CANCELADA</v>
      </c>
      <c r="F193" s="1598" t="str">
        <f>OBRA!N532</f>
        <v>DOP/AD/006/2021</v>
      </c>
      <c r="G193" s="3">
        <f>OBRA!P532</f>
        <v>0</v>
      </c>
      <c r="H193" s="1"/>
      <c r="I193" s="3">
        <f>OBRA!Q532</f>
        <v>0</v>
      </c>
      <c r="J193" s="3"/>
      <c r="K193" s="3"/>
      <c r="L193" s="3"/>
      <c r="M193" s="1602">
        <f>OBRA!AS532+OBRA!AT532</f>
        <v>0</v>
      </c>
      <c r="N193" s="1">
        <f>GRAL!AF534</f>
        <v>0</v>
      </c>
      <c r="O193" s="1">
        <f>GRAL!AG534</f>
        <v>0</v>
      </c>
      <c r="P193" s="1"/>
      <c r="Q193" s="1"/>
    </row>
    <row r="194" spans="1:17" ht="45" hidden="1">
      <c r="A194" s="1"/>
      <c r="B194" s="1"/>
      <c r="C194" s="1" t="str">
        <f>OBRA!CB533</f>
        <v>2018-2021</v>
      </c>
      <c r="D194" s="1">
        <f>OBRA!J533</f>
        <v>2021</v>
      </c>
      <c r="E194" s="1598" t="str">
        <f>OBRA!O533</f>
        <v>CANCELADA</v>
      </c>
      <c r="F194" s="1598" t="str">
        <f>OBRA!N533</f>
        <v>DOP/AD/007/2021</v>
      </c>
      <c r="G194" s="3" t="str">
        <f>OBRA!P533</f>
        <v xml:space="preserve">“MANO DE OBRA PARA LA REHABILITACIÓN DE LÍNEA DRENAJE EN CALLE LIBERTAD EN LA DELEGACIÓN DE POTRERILLOS”, DEL MUNICIPIO DE JOCOTEPEC, JALISCO. </v>
      </c>
      <c r="H194" s="1"/>
      <c r="I194" s="3">
        <f>OBRA!Q533</f>
        <v>0</v>
      </c>
      <c r="J194" s="3"/>
      <c r="K194" s="3"/>
      <c r="L194" s="3"/>
      <c r="M194" s="1602">
        <f>OBRA!AS533+OBRA!AT533</f>
        <v>0</v>
      </c>
      <c r="N194" s="1">
        <f>GRAL!AF535</f>
        <v>0</v>
      </c>
      <c r="O194" s="1">
        <f>GRAL!AG535</f>
        <v>0</v>
      </c>
      <c r="P194" s="1"/>
      <c r="Q194" s="1"/>
    </row>
    <row r="195" spans="1:17" ht="60">
      <c r="A195" s="1"/>
      <c r="B195" s="1600"/>
      <c r="C195" s="1" t="str">
        <f>OBRA!CB534</f>
        <v>2018-2021</v>
      </c>
      <c r="D195" s="1">
        <f>OBRA!J534</f>
        <v>2021</v>
      </c>
      <c r="E195" s="1598" t="str">
        <f>OBRA!O534</f>
        <v>ADMINISTRACIÓN DIRECTA</v>
      </c>
      <c r="F195" s="1281" t="str">
        <f>OBRA!N534</f>
        <v>DOP/AD/008/2021</v>
      </c>
      <c r="G195" s="3" t="str">
        <f>OBRA!P534</f>
        <v>"CONSTRUCCIÓN DE DRENAJE SANITARIO EN PRIVADA FRANCISCO VILLA DE LA CALLE 1RO DE MAYO A CERRADA" EN LA DELEGACIÓN DE LA LOMA, EN EL MUNICIPIO DE JOCOTEPEC, JALISCO.</v>
      </c>
      <c r="H195" s="1598" t="s">
        <v>4747</v>
      </c>
      <c r="I195" s="3" t="str">
        <f>OBRA!Q534</f>
        <v>LA LOMA</v>
      </c>
      <c r="J195" s="3" t="s">
        <v>4654</v>
      </c>
      <c r="K195" s="3" t="s">
        <v>4786</v>
      </c>
      <c r="L195" s="3" t="s">
        <v>4767</v>
      </c>
      <c r="M195" s="1633">
        <f>OBRA!R534</f>
        <v>113778.58</v>
      </c>
      <c r="N195" s="242">
        <f>GRAL!AF536</f>
        <v>62</v>
      </c>
      <c r="O195" s="242" t="str">
        <f>GRAL!AG536</f>
        <v>ML</v>
      </c>
      <c r="P195" s="2" t="s">
        <v>4926</v>
      </c>
      <c r="Q195" s="2"/>
    </row>
    <row r="196" spans="1:17" ht="60" hidden="1">
      <c r="A196" s="1"/>
      <c r="B196" s="1"/>
      <c r="C196" s="1" t="str">
        <f>OBRA!CB535</f>
        <v>2018-2021</v>
      </c>
      <c r="D196" s="1">
        <f>OBRA!J535</f>
        <v>2021</v>
      </c>
      <c r="E196" s="1598" t="str">
        <f>OBRA!O535</f>
        <v>CANCELADA</v>
      </c>
      <c r="F196" s="1598" t="str">
        <f>OBRA!N535</f>
        <v>DOP/AD/009/2021</v>
      </c>
      <c r="G196" s="3" t="str">
        <f>OBRA!P535</f>
        <v>“CONSTRUCCIÓN DE LÍNEA DE AGUA POTABLE EN PRIV. FRANCISCO VILLA DE LA CALLE 1RO DE MAYO A CERRADA”, EN LA DELEGACIÓN DE LA LOMA, EN EL MUNICIPIO DE JOCOTEPEC, JALISCO.</v>
      </c>
      <c r="H196" s="1"/>
      <c r="I196" s="3">
        <f>OBRA!Q535</f>
        <v>0</v>
      </c>
      <c r="J196" s="3"/>
      <c r="K196" s="3"/>
      <c r="L196" s="3"/>
      <c r="M196" s="1602">
        <f>OBRA!AS535+OBRA!AT535</f>
        <v>0</v>
      </c>
      <c r="N196" s="1">
        <f>GRAL!AF537</f>
        <v>0</v>
      </c>
      <c r="O196" s="1">
        <f>GRAL!AG537</f>
        <v>0</v>
      </c>
      <c r="P196" s="1"/>
      <c r="Q196" s="1"/>
    </row>
    <row r="197" spans="1:17" hidden="1">
      <c r="A197" s="1"/>
      <c r="B197" s="1"/>
      <c r="C197" s="1" t="str">
        <f>OBRA!CB536</f>
        <v>2018-2021</v>
      </c>
      <c r="D197" s="1">
        <f>OBRA!J536</f>
        <v>2021</v>
      </c>
      <c r="E197" s="1598" t="str">
        <f>OBRA!O536</f>
        <v>CANCELADA</v>
      </c>
      <c r="F197" s="1598" t="str">
        <f>OBRA!N536</f>
        <v>DOP/AD/010/2021</v>
      </c>
      <c r="G197" s="3">
        <f>OBRA!P536</f>
        <v>0</v>
      </c>
      <c r="H197" s="1"/>
      <c r="I197" s="3">
        <f>OBRA!Q536</f>
        <v>0</v>
      </c>
      <c r="J197" s="3"/>
      <c r="K197" s="3"/>
      <c r="L197" s="3"/>
      <c r="M197" s="1602">
        <f>OBRA!AS536+OBRA!AT536</f>
        <v>0</v>
      </c>
      <c r="N197" s="1">
        <f>GRAL!AF538</f>
        <v>0</v>
      </c>
      <c r="O197" s="1">
        <f>GRAL!AG538</f>
        <v>0</v>
      </c>
      <c r="P197" s="1"/>
      <c r="Q197" s="1"/>
    </row>
    <row r="198" spans="1:17" ht="117" customHeight="1">
      <c r="A198" s="1"/>
      <c r="B198" s="1600"/>
      <c r="C198" s="1" t="str">
        <f>OBRA!CB537</f>
        <v>2018-2021</v>
      </c>
      <c r="D198" s="1">
        <f>OBRA!J537</f>
        <v>2021</v>
      </c>
      <c r="E198" s="1598" t="str">
        <f>OBRA!O537</f>
        <v>ADMINISTRACIÓN DIRECTA</v>
      </c>
      <c r="F198" s="1281" t="str">
        <f>OBRA!N537</f>
        <v>DOP/AD/011/2021</v>
      </c>
      <c r="G198"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598" t="s">
        <v>4749</v>
      </c>
      <c r="I198" s="3" t="str">
        <f>OBRA!Q537</f>
        <v>CABECERA MUNICIPAL</v>
      </c>
      <c r="J198" s="3" t="s">
        <v>2619</v>
      </c>
      <c r="K198" s="3" t="s">
        <v>4799</v>
      </c>
      <c r="L198" s="3" t="s">
        <v>68</v>
      </c>
      <c r="M198" s="1633">
        <f>OBRA!R537</f>
        <v>271040</v>
      </c>
      <c r="N198" s="242">
        <f>GRAL!AF539</f>
        <v>536.30999999999995</v>
      </c>
      <c r="O198" s="242" t="str">
        <f>GRAL!AG539</f>
        <v>M2</v>
      </c>
      <c r="P198" s="2" t="s">
        <v>4927</v>
      </c>
      <c r="Q198" s="2"/>
    </row>
    <row r="199" spans="1:17" ht="30" hidden="1">
      <c r="A199" s="1"/>
      <c r="B199" s="1"/>
      <c r="C199" s="1" t="str">
        <f>OBRA!CB538</f>
        <v>2018-2021</v>
      </c>
      <c r="D199" s="1">
        <f>OBRA!J538</f>
        <v>2021</v>
      </c>
      <c r="E199" s="1598" t="str">
        <f>OBRA!O538</f>
        <v>CANCELADA</v>
      </c>
      <c r="F199" s="1598" t="str">
        <f>OBRA!N538</f>
        <v>DOP/AD/012/2021</v>
      </c>
      <c r="G199" s="3" t="str">
        <f>OBRA!P538</f>
        <v>“COMPLEMENTO DE OBRA CIVIL EN EL RASTRO MUNICIPAL”, DE LA CABECERA MUNICIPAL DE JOCOTEPEC, JALISCO.</v>
      </c>
      <c r="H199" s="1"/>
      <c r="I199" s="3">
        <f>OBRA!Q538</f>
        <v>0</v>
      </c>
      <c r="J199" s="3"/>
      <c r="K199" s="3"/>
      <c r="L199" s="3"/>
      <c r="M199" s="1602">
        <f>OBRA!AS538+OBRA!AT538</f>
        <v>0</v>
      </c>
      <c r="N199" s="1">
        <f>GRAL!AF540</f>
        <v>0</v>
      </c>
      <c r="O199" s="1">
        <f>GRAL!AG540</f>
        <v>0</v>
      </c>
      <c r="P199" s="1"/>
      <c r="Q199" s="1"/>
    </row>
    <row r="200" spans="1:17" ht="75">
      <c r="A200" s="1"/>
      <c r="B200" s="1600"/>
      <c r="C200" s="1" t="str">
        <f>OBRA!CB539</f>
        <v>2018-2021</v>
      </c>
      <c r="D200" s="1">
        <f>OBRA!J539</f>
        <v>2021</v>
      </c>
      <c r="E200" s="1598" t="str">
        <f>OBRA!O539</f>
        <v>ADMINISTRACIÓN DIRECTA</v>
      </c>
      <c r="F200" s="1281" t="str">
        <f>OBRA!N539</f>
        <v>DOP/AD/013/2021</v>
      </c>
      <c r="G200" s="3" t="str">
        <f>OBRA!P539</f>
        <v>“MANTENIMIENTO, REPARACIÓN DE SUPERFICIE DE RODAMIENTO EN EMPEDRADO ZAMPEADO (GRIETA SUPERFICIAL Y ESTRUCTURAL), CONSTRUCCIÓN DE MACHUELO EN C. PADRE ADALBERTO MACIAS”, EN LA CABECERA MUNICIPAL DE JOCOTEPEC, JALISCO.</v>
      </c>
      <c r="H200" s="1598" t="s">
        <v>4752</v>
      </c>
      <c r="I200" s="3" t="str">
        <f>OBRA!Q539</f>
        <v>CABECERA MUNICIPAL</v>
      </c>
      <c r="J200" s="3" t="s">
        <v>4828</v>
      </c>
      <c r="K200" s="3" t="s">
        <v>4800</v>
      </c>
      <c r="L200" s="683" t="s">
        <v>68</v>
      </c>
      <c r="M200" s="1633">
        <f>OBRA!R539</f>
        <v>168528.09</v>
      </c>
      <c r="N200" s="242">
        <f>GRAL!AF541</f>
        <v>561.4</v>
      </c>
      <c r="O200" s="242" t="str">
        <f>GRAL!AG541</f>
        <v>M2</v>
      </c>
      <c r="P200" s="1281" t="s">
        <v>4928</v>
      </c>
      <c r="Q200" s="2"/>
    </row>
    <row r="201" spans="1:17" ht="45">
      <c r="A201" s="1"/>
      <c r="B201" s="1600"/>
      <c r="C201" s="1" t="str">
        <f>OBRA!CB540</f>
        <v>2018-2021</v>
      </c>
      <c r="D201" s="1">
        <f>OBRA!J540</f>
        <v>2021</v>
      </c>
      <c r="E201" s="1598" t="str">
        <f>OBRA!O540</f>
        <v>ADMINISTRACIÓN DIRECTA</v>
      </c>
      <c r="F201" s="1281" t="str">
        <f>OBRA!N540</f>
        <v>DOP/AD/014/2021</v>
      </c>
      <c r="G201" s="3" t="str">
        <f>OBRA!P540</f>
        <v>CONSTRUCCIÓN DE EMPEDRADO ZAMPEADO EN VIALIDAD CALLE GUAYABITOS, EN LA LOCALIDAD DE CHANTEPEC, DEL MUNICIPIO DE JOCOTEPEC, JALISCO.</v>
      </c>
      <c r="H201" s="1598" t="s">
        <v>4752</v>
      </c>
      <c r="I201" s="3" t="str">
        <f>OBRA!Q540</f>
        <v>CHANTEPEC</v>
      </c>
      <c r="J201" s="3" t="s">
        <v>4073</v>
      </c>
      <c r="K201" s="3" t="s">
        <v>2566</v>
      </c>
      <c r="L201" s="3" t="s">
        <v>4697</v>
      </c>
      <c r="M201" s="1633">
        <f>OBRA!R540</f>
        <v>80674.649999999994</v>
      </c>
      <c r="N201" s="242">
        <f>GRAL!AF542</f>
        <v>231</v>
      </c>
      <c r="O201" s="242" t="str">
        <f>GRAL!AG542</f>
        <v>M2</v>
      </c>
      <c r="P201" s="2" t="s">
        <v>4929</v>
      </c>
      <c r="Q201" s="2"/>
    </row>
    <row r="202" spans="1:17" ht="42" customHeight="1">
      <c r="A202" s="1"/>
      <c r="B202" s="1600"/>
      <c r="C202" s="1" t="str">
        <f>OBRA!CB541</f>
        <v>2018-2021</v>
      </c>
      <c r="D202" s="1">
        <f>OBRA!J541</f>
        <v>2021</v>
      </c>
      <c r="E202" s="1598" t="str">
        <f>OBRA!O541</f>
        <v>ADMINISTRACIÓN DIRECTA</v>
      </c>
      <c r="F202" s="1281" t="str">
        <f>OBRA!N541</f>
        <v>DOP/AD/015/2021</v>
      </c>
      <c r="G202" s="3" t="str">
        <f>OBRA!P541</f>
        <v>CONSTRUCCIÓN DE EMPEDRADO ZAMPEADO EN LA LOCALIDAD DE LA LOMA</v>
      </c>
      <c r="H202" s="1598" t="s">
        <v>4752</v>
      </c>
      <c r="I202" s="3" t="str">
        <f>OBRA!Q541</f>
        <v>LA LOMA</v>
      </c>
      <c r="J202" s="3" t="s">
        <v>4894</v>
      </c>
      <c r="K202" s="3" t="s">
        <v>68</v>
      </c>
      <c r="L202" s="3" t="s">
        <v>68</v>
      </c>
      <c r="M202" s="1633">
        <f>OBRA!R541</f>
        <v>966321.38</v>
      </c>
      <c r="N202" s="242">
        <f>GRAL!AF543</f>
        <v>2672.24</v>
      </c>
      <c r="O202" s="242" t="str">
        <f>GRAL!AG543</f>
        <v>M2</v>
      </c>
      <c r="P202" s="2" t="s">
        <v>4929</v>
      </c>
      <c r="Q202" s="2"/>
    </row>
    <row r="203" spans="1:17" ht="56.25" customHeight="1">
      <c r="A203" s="1"/>
      <c r="B203" s="1600"/>
      <c r="C203" s="1" t="str">
        <f>OBRA!CB542</f>
        <v>2018-2021</v>
      </c>
      <c r="D203" s="1">
        <f>OBRA!J542</f>
        <v>2021</v>
      </c>
      <c r="E203" s="1598" t="str">
        <f>OBRA!O542</f>
        <v>ADMINISTRACIÓN DIRECTA</v>
      </c>
      <c r="F203" s="1281" t="str">
        <f>OBRA!N542</f>
        <v>DOP/AD/016/2021</v>
      </c>
      <c r="G203" s="3" t="str">
        <f>OBRA!P542</f>
        <v>CONSTRUCCIÓN DE EMPEDRADO ZAMPEADO EN LA LOCALIDAD DE LA SAN JUAN COSALA</v>
      </c>
      <c r="H203" s="1598" t="s">
        <v>4752</v>
      </c>
      <c r="I203" s="3" t="str">
        <f>OBRA!Q542</f>
        <v>SAN JUAN COSALÁ</v>
      </c>
      <c r="J203" s="3" t="s">
        <v>4895</v>
      </c>
      <c r="K203" s="3" t="s">
        <v>68</v>
      </c>
      <c r="L203" s="3" t="s">
        <v>68</v>
      </c>
      <c r="M203" s="1633">
        <f>OBRA!R542</f>
        <v>831652.39</v>
      </c>
      <c r="N203" s="242">
        <f>GRAL!AF544</f>
        <v>2278.63</v>
      </c>
      <c r="O203" s="242" t="str">
        <f>GRAL!AG544</f>
        <v>M2</v>
      </c>
      <c r="P203" s="2" t="s">
        <v>4929</v>
      </c>
      <c r="Q203" s="2"/>
    </row>
    <row r="204" spans="1:17" ht="30">
      <c r="A204" s="1"/>
      <c r="B204" s="1600"/>
      <c r="C204" s="1" t="str">
        <f>OBRA!CB543</f>
        <v>2018-2021</v>
      </c>
      <c r="D204" s="1">
        <f>OBRA!J543</f>
        <v>2021</v>
      </c>
      <c r="E204" s="1598" t="str">
        <f>OBRA!O543</f>
        <v>ADMINISTRACIÓN DIRECTA</v>
      </c>
      <c r="F204" s="1281" t="str">
        <f>OBRA!N543</f>
        <v>DOP/AD/017/2021</v>
      </c>
      <c r="G204" s="3" t="str">
        <f>OBRA!P543</f>
        <v>CONSTRUCCIÓN DE EMPEDRADO ZAMPEADO EN LA LOCALIDAD DE LA NEXTIPAC</v>
      </c>
      <c r="H204" s="1598" t="s">
        <v>4752</v>
      </c>
      <c r="I204" s="3" t="str">
        <f>OBRA!Q543</f>
        <v>NEXTIPAC</v>
      </c>
      <c r="J204" s="3" t="s">
        <v>4896</v>
      </c>
      <c r="K204" s="3" t="s">
        <v>68</v>
      </c>
      <c r="L204" s="3" t="s">
        <v>68</v>
      </c>
      <c r="M204" s="1633">
        <f>OBRA!R543</f>
        <v>1965177.84</v>
      </c>
      <c r="N204" s="242">
        <f>GRAL!AF545</f>
        <v>5565.6399999999994</v>
      </c>
      <c r="O204" s="242" t="str">
        <f>GRAL!AG545</f>
        <v>M2</v>
      </c>
      <c r="P204" s="2" t="s">
        <v>4929</v>
      </c>
      <c r="Q204" s="2"/>
    </row>
    <row r="205" spans="1:17" ht="81.75" customHeight="1">
      <c r="A205" s="1"/>
      <c r="B205" s="1600"/>
      <c r="C205" s="1" t="str">
        <f>OBRA!CB544</f>
        <v>2018-2021</v>
      </c>
      <c r="D205" s="1">
        <f>OBRA!J544</f>
        <v>2021</v>
      </c>
      <c r="E205" s="1598" t="str">
        <f>OBRA!O544</f>
        <v>ADMINISTRACIÓN DIRECTA</v>
      </c>
      <c r="F205" s="1281" t="str">
        <f>OBRA!N544</f>
        <v>DOP/AD/018/2021</v>
      </c>
      <c r="G205" s="3" t="str">
        <f>OBRA!P544</f>
        <v>CONSTRUCCIÓN DE EMPEDRADO ZAMPEADO EN VIALIDAD CALLE FERNANDO MONTES DE OCA DE KM  0+000.00 AL KM 0+254.71 (ENTRE CALLE VICENTE SUAREZ Y CALLE SIN, EN LA LOCALIDAD DE EL MOLINO, DEL MUNICIPIO DE JOCOTEPEC, JALISCO.</v>
      </c>
      <c r="H205" s="1598" t="s">
        <v>4752</v>
      </c>
      <c r="I205" s="3" t="str">
        <f>OBRA!Q544</f>
        <v>EL MOLINO</v>
      </c>
      <c r="J205" s="3" t="s">
        <v>4076</v>
      </c>
      <c r="K205" s="3" t="s">
        <v>4803</v>
      </c>
      <c r="L205" s="3" t="s">
        <v>4794</v>
      </c>
      <c r="M205" s="1633">
        <f>OBRA!R544</f>
        <v>643795.13</v>
      </c>
      <c r="N205" s="242">
        <f>GRAL!AF546</f>
        <v>1782.99</v>
      </c>
      <c r="O205" s="242" t="str">
        <f>GRAL!AG546</f>
        <v>M2</v>
      </c>
      <c r="P205" s="2" t="s">
        <v>4929</v>
      </c>
      <c r="Q205" s="2"/>
    </row>
    <row r="206" spans="1:17" ht="78" customHeight="1">
      <c r="A206" s="1"/>
      <c r="B206" s="1600"/>
      <c r="C206" s="1" t="str">
        <f>OBRA!CB545</f>
        <v>2018-2021</v>
      </c>
      <c r="D206" s="1">
        <f>OBRA!J545</f>
        <v>2021</v>
      </c>
      <c r="E206" s="1598" t="str">
        <f>OBRA!O545</f>
        <v>ADMINISTRACIÓN DIRECTA</v>
      </c>
      <c r="F206" s="1281" t="str">
        <f>OBRA!N545</f>
        <v>DOP/AD/019/2021</v>
      </c>
      <c r="G206" s="3" t="str">
        <f>OBRA!P545</f>
        <v>CONSTRUCCIÓN DE EMPEDRADO ZAMPEADO EN VIALIDAD CALLE LIBERTAD DE KM 0+000.00 AL KM 0+221.00 (ENTRE BENITO JUAREZ A ESMERALDA), EN LA LOCALIDAD DE POTRERILLOS DEL MUNICIPIO DE JOCOTEPEC, JALISCO.</v>
      </c>
      <c r="H206" s="1598" t="s">
        <v>4752</v>
      </c>
      <c r="I206" s="3" t="str">
        <f>OBRA!Q545</f>
        <v>POTRERILLOS</v>
      </c>
      <c r="J206" s="3" t="s">
        <v>3146</v>
      </c>
      <c r="K206" s="3" t="s">
        <v>4720</v>
      </c>
      <c r="L206" s="3" t="s">
        <v>4804</v>
      </c>
      <c r="M206" s="1633">
        <f>OBRA!R545</f>
        <v>512378.61</v>
      </c>
      <c r="N206" s="242">
        <f>GRAL!AF547</f>
        <v>1361.3</v>
      </c>
      <c r="O206" s="242" t="str">
        <f>GRAL!AG547</f>
        <v>M2</v>
      </c>
      <c r="P206" s="2" t="s">
        <v>4929</v>
      </c>
      <c r="Q206" s="2"/>
    </row>
    <row r="207" spans="1:17" hidden="1">
      <c r="A207" s="1"/>
      <c r="B207" s="1"/>
      <c r="C207" s="1" t="str">
        <f>OBRA!CB546</f>
        <v>2018-2021</v>
      </c>
      <c r="D207" s="1">
        <f>OBRA!J546</f>
        <v>2021</v>
      </c>
      <c r="E207" s="1598" t="str">
        <f>OBRA!O546</f>
        <v>CANCELADA</v>
      </c>
      <c r="F207" s="1598" t="str">
        <f>OBRA!N546</f>
        <v>DOP/AD/020/2021</v>
      </c>
      <c r="G207" s="3">
        <f>OBRA!P546</f>
        <v>0</v>
      </c>
      <c r="H207" s="1"/>
      <c r="I207" s="3">
        <f>OBRA!Q546</f>
        <v>0</v>
      </c>
      <c r="J207" s="3"/>
      <c r="K207" s="3"/>
      <c r="L207" s="3"/>
      <c r="M207" s="1602">
        <f>OBRA!AS546+OBRA!AT546</f>
        <v>0</v>
      </c>
      <c r="N207" s="1">
        <f>GRAL!AF548</f>
        <v>0</v>
      </c>
      <c r="O207" s="1">
        <f>GRAL!AG548</f>
        <v>0</v>
      </c>
      <c r="P207" s="1"/>
      <c r="Q207" s="1"/>
    </row>
    <row r="208" spans="1:17" ht="45" hidden="1">
      <c r="A208" s="1"/>
      <c r="B208" s="1"/>
      <c r="C208" s="1" t="str">
        <f>OBRA!CB547</f>
        <v>2018-2021</v>
      </c>
      <c r="D208" s="1">
        <f>OBRA!J547</f>
        <v>2021</v>
      </c>
      <c r="E208" s="1598" t="str">
        <f>OBRA!O547</f>
        <v>ARRENDAMIENTO</v>
      </c>
      <c r="F208" s="1598" t="str">
        <f>OBRA!N547</f>
        <v>C- OP 001/2021</v>
      </c>
      <c r="G208" s="3" t="str">
        <f>OBRA!P547</f>
        <v>RENTA DE CAMIÓN DE VOLTEO MARCA FREIGHTLINER DE 14 M3, PARA SER UTILIZADO EN EL MÓDULO DE MAQUINARÍA DEL MUNICIPIO DE JOCOTEPEC, JALISCO.</v>
      </c>
      <c r="H208" s="1"/>
      <c r="I208" s="3" t="str">
        <f>OBRA!Q547</f>
        <v>MUNICIPIO</v>
      </c>
      <c r="J208" s="3"/>
      <c r="K208" s="3"/>
      <c r="L208" s="3"/>
      <c r="M208" s="1602">
        <f>OBRA!AS547+OBRA!AT547</f>
        <v>0</v>
      </c>
      <c r="N208" s="1">
        <f>GRAL!AF549</f>
        <v>1</v>
      </c>
      <c r="O208" s="1" t="str">
        <f>GRAL!AG549</f>
        <v>MAQ</v>
      </c>
      <c r="P208" s="1"/>
      <c r="Q208" s="1"/>
    </row>
    <row r="209" spans="1:17" ht="45" hidden="1">
      <c r="A209" s="1"/>
      <c r="B209" s="1"/>
      <c r="C209" s="1" t="str">
        <f>OBRA!CB548</f>
        <v>2018-2021</v>
      </c>
      <c r="D209" s="1">
        <f>OBRA!J548</f>
        <v>2021</v>
      </c>
      <c r="E209" s="1598" t="str">
        <f>OBRA!O548</f>
        <v>ARRENDAMIENTO</v>
      </c>
      <c r="F209" s="1598" t="str">
        <f>OBRA!N548</f>
        <v>C- OP 002/2021</v>
      </c>
      <c r="G209" s="3" t="str">
        <f>OBRA!P548</f>
        <v>RENTA DE RETROEXCAVADORA MARCA JOHN DEERE MOD 310SJ, PARA SER UTILIZADA EN LIMPIEZA DE CALLES DEL PROGRAMA SADER 2021 DEL MUNICIPIO DE JOCOTEPEC, JALISCO.</v>
      </c>
      <c r="H209" s="1"/>
      <c r="I209" s="3" t="str">
        <f>OBRA!Q548</f>
        <v>MUNICIPIO</v>
      </c>
      <c r="J209" s="3"/>
      <c r="K209" s="3"/>
      <c r="L209" s="3"/>
      <c r="M209" s="1602">
        <f>OBRA!AS548+OBRA!AT548</f>
        <v>0</v>
      </c>
      <c r="N209" s="1">
        <f>GRAL!AF550</f>
        <v>1</v>
      </c>
      <c r="O209" s="1" t="str">
        <f>GRAL!AG550</f>
        <v>MAQ</v>
      </c>
      <c r="P209" s="1"/>
      <c r="Q209" s="1"/>
    </row>
    <row r="210" spans="1:17" ht="22.5" hidden="1">
      <c r="A210" s="1"/>
      <c r="B210" s="1600"/>
      <c r="C210" s="1" t="str">
        <f>OBRA!CB549</f>
        <v>2018-2021</v>
      </c>
      <c r="D210" s="1">
        <f>OBRA!J549</f>
        <v>2021</v>
      </c>
      <c r="E210" s="1598" t="str">
        <f>OBRA!O549</f>
        <v>ARRENDAMIENTO (CANCELADO)</v>
      </c>
      <c r="F210" s="1598" t="str">
        <f>OBRA!N549</f>
        <v>C- OP 003/2021</v>
      </c>
      <c r="G210" s="3">
        <f>OBRA!P549</f>
        <v>0</v>
      </c>
      <c r="H210" s="1598"/>
      <c r="I210" s="3">
        <f>OBRA!Q549</f>
        <v>0</v>
      </c>
      <c r="J210" s="541"/>
      <c r="K210" s="541"/>
      <c r="L210" s="541"/>
      <c r="M210" s="1602">
        <f>OBRA!AS549+OBRA!AT549</f>
        <v>0</v>
      </c>
      <c r="N210" s="1">
        <f>GRAL!AF551</f>
        <v>0</v>
      </c>
      <c r="O210" s="1">
        <f>GRAL!AG551</f>
        <v>0</v>
      </c>
      <c r="P210" s="1"/>
      <c r="Q210" s="1"/>
    </row>
    <row r="211" spans="1:17" ht="75" hidden="1">
      <c r="A211" s="1"/>
      <c r="B211" s="1"/>
      <c r="C211" s="1" t="str">
        <f>OBRA!CB550</f>
        <v>2018-2021</v>
      </c>
      <c r="D211" s="1">
        <f>OBRA!J550</f>
        <v>2021</v>
      </c>
      <c r="E211" s="1598" t="str">
        <f>OBRA!O550</f>
        <v>ARRENDAMIENTO</v>
      </c>
      <c r="F211" s="1598" t="str">
        <f>OBRA!N550</f>
        <v>C- OP 004/2021</v>
      </c>
      <c r="G211" s="3" t="str">
        <f>OBRA!P550</f>
        <v>RENTA DE RETROEXCAVADORA CATERPILAR 416E PARA SER UTILIZADA EN LA OBRA: REHABILITACIÓN DE LÍNEAS HIDROSANITARIAS EN CALLE JUÁREZ, CALLE 30 DE SEPTIEMBRE Y C. 5 DE MAYO" EN LA DELEGACIÓN DE HUEJOTITÁN, DEL MUNICIPIO DE JOCOTEPEC, JALISCO.</v>
      </c>
      <c r="H211" s="1"/>
      <c r="I211" s="3" t="str">
        <f>OBRA!Q550</f>
        <v>HUEJOTITÁN</v>
      </c>
      <c r="J211" s="3"/>
      <c r="K211" s="3"/>
      <c r="L211" s="3"/>
      <c r="M211" s="1602">
        <f>OBRA!AS550+OBRA!AT550</f>
        <v>0</v>
      </c>
      <c r="N211" s="1">
        <f>GRAL!AF552</f>
        <v>1</v>
      </c>
      <c r="O211" s="1" t="str">
        <f>GRAL!AG552</f>
        <v>MAQ</v>
      </c>
      <c r="P211" s="1"/>
      <c r="Q211" s="1"/>
    </row>
    <row r="212" spans="1:17" ht="60" hidden="1">
      <c r="A212" s="1"/>
      <c r="B212" s="1"/>
      <c r="C212" s="1" t="str">
        <f>OBRA!CB551</f>
        <v>2018-2021</v>
      </c>
      <c r="D212" s="1">
        <f>OBRA!J551</f>
        <v>2021</v>
      </c>
      <c r="E212" s="1598" t="str">
        <f>OBRA!O551</f>
        <v>ARRENDAMIENTO</v>
      </c>
      <c r="F212" s="1598" t="str">
        <f>OBRA!N551</f>
        <v>C- OP 005/2021</v>
      </c>
      <c r="G212" s="3" t="str">
        <f>OBRA!P551</f>
        <v>RENTA DE CAMIÓN DE 14 M3, PARA SER UTILIZADO EN LA OBRA: REHABILITACIÓN DE LÍNEAS HIDROSANITARIAS EN CALLE JUÁREZ, CALLE 30 DE SEPTIEMBRE Y C. 5 DE MAYO" EN LA DELEGACIÓN DE HUEJOTITÁN, DEL MUNICIPIO DE JOCOTEPEC, JALISCO.</v>
      </c>
      <c r="H212" s="1"/>
      <c r="I212" s="3" t="str">
        <f>OBRA!Q551</f>
        <v>HUEJOTITÁN</v>
      </c>
      <c r="J212" s="3"/>
      <c r="K212" s="3"/>
      <c r="L212" s="3"/>
      <c r="M212" s="1602">
        <f>OBRA!AS551+OBRA!AT551</f>
        <v>0</v>
      </c>
      <c r="N212" s="1">
        <f>GRAL!AF553</f>
        <v>1</v>
      </c>
      <c r="O212" s="1" t="str">
        <f>GRAL!AG553</f>
        <v>MAQ</v>
      </c>
      <c r="P212" s="1"/>
      <c r="Q212" s="1"/>
    </row>
    <row r="213" spans="1:17" ht="60" hidden="1">
      <c r="A213" s="1"/>
      <c r="B213" s="1"/>
      <c r="C213" s="1" t="str">
        <f>OBRA!CB552</f>
        <v>2018-2021</v>
      </c>
      <c r="D213" s="1">
        <f>OBRA!J552</f>
        <v>2021</v>
      </c>
      <c r="E213" s="1598" t="str">
        <f>OBRA!O552</f>
        <v>ARRENDAMIENTO</v>
      </c>
      <c r="F213" s="1598" t="str">
        <f>OBRA!N552</f>
        <v>C- OP 006/2021</v>
      </c>
      <c r="G213" s="3" t="str">
        <f>OBRA!P552</f>
        <v>RENTA DE CAMIÓN TIPO PIPA MARCA DINA MOD. 1982 CON CAPACIDAD DE 8,000 LITROS PARA ACARRERO DE AGUA, PARA SER UTILIZADA EN LAS OBRAS DEL PROGRAMA SADER 2020 EN EL MUNICIPIO.</v>
      </c>
      <c r="H213" s="1"/>
      <c r="I213" s="3" t="str">
        <f>OBRA!Q552</f>
        <v>MUNICIPIO</v>
      </c>
      <c r="J213" s="3"/>
      <c r="K213" s="3"/>
      <c r="L213" s="3"/>
      <c r="M213" s="1602">
        <f>OBRA!AS552+OBRA!AT552</f>
        <v>0</v>
      </c>
      <c r="N213" s="1">
        <f>GRAL!AF554</f>
        <v>1</v>
      </c>
      <c r="O213" s="1" t="str">
        <f>GRAL!AG554</f>
        <v>MAQ</v>
      </c>
      <c r="P213" s="1"/>
      <c r="Q213" s="1"/>
    </row>
    <row r="214" spans="1:17" ht="60" hidden="1">
      <c r="A214" s="1"/>
      <c r="B214" s="1"/>
      <c r="C214" s="1" t="str">
        <f>OBRA!CB553</f>
        <v>2018-2021</v>
      </c>
      <c r="D214" s="1">
        <f>OBRA!J553</f>
        <v>2021</v>
      </c>
      <c r="E214" s="1598" t="str">
        <f>OBRA!O553</f>
        <v>ARRENDAMIENTO</v>
      </c>
      <c r="F214" s="1598" t="str">
        <f>OBRA!N553</f>
        <v>C- OP 007/2021</v>
      </c>
      <c r="G214" s="3" t="str">
        <f>OBRA!P553</f>
        <v>RENTA DE CAMIÓN TIPO PIPA MARCA DINA MOD. 1982 CON CAPACIDAD DE 8,000 LITROS PARA ACARRERO DE AGUA, PARA SER UTILIZADA EN LAS OBRAS DEL PROGRAMA SADER 2020 EN EL MUNICIPIO.</v>
      </c>
      <c r="H214" s="1"/>
      <c r="I214" s="3" t="str">
        <f>OBRA!Q553</f>
        <v>MUNICIPIO</v>
      </c>
      <c r="J214" s="3"/>
      <c r="K214" s="3"/>
      <c r="L214" s="3"/>
      <c r="M214" s="1602">
        <f>OBRA!AS553+OBRA!AT553</f>
        <v>0</v>
      </c>
      <c r="N214" s="1">
        <f>GRAL!AF555</f>
        <v>1</v>
      </c>
      <c r="O214" s="1" t="str">
        <f>GRAL!AG555</f>
        <v>MAQ</v>
      </c>
      <c r="P214" s="1"/>
      <c r="Q214" s="1"/>
    </row>
    <row r="215" spans="1:17" ht="75" hidden="1">
      <c r="A215" s="1"/>
      <c r="B215" s="1"/>
      <c r="C215" s="1" t="str">
        <f>OBRA!CB554</f>
        <v>2018-2021</v>
      </c>
      <c r="D215" s="1">
        <f>OBRA!J554</f>
        <v>2021</v>
      </c>
      <c r="E215" s="1598" t="str">
        <f>OBRA!O554</f>
        <v>ARRENDAMIENTO</v>
      </c>
      <c r="F215" s="1598" t="str">
        <f>OBRA!N554</f>
        <v>C- OP 008/2021</v>
      </c>
      <c r="G215" s="3" t="str">
        <f>OBRA!P554</f>
        <v>RENTA DE CAMIÓN DE VOLTEO MARCA FREIGHTLINER DE 7 M3, PARA SER UTILIZADO EN LA CONSTRUCCIÓN DE DRENAJE SANITARIO EN PRIVADA FRANCISCO VILLA DE LA CALLE 1RO DE MAYO A CERRADA, EN LA LOCALIDAD DE LA LOMA, DEL MUNICIPIO DE JOCOTEPEC, JALISCO.</v>
      </c>
      <c r="H215" s="1"/>
      <c r="I215" s="3" t="str">
        <f>OBRA!Q554</f>
        <v>LA LOMA</v>
      </c>
      <c r="J215" s="3"/>
      <c r="K215" s="3"/>
      <c r="L215" s="3"/>
      <c r="M215" s="1602">
        <f>OBRA!AS554+OBRA!AT554</f>
        <v>0</v>
      </c>
      <c r="N215" s="1">
        <f>GRAL!AF556</f>
        <v>1</v>
      </c>
      <c r="O215" s="1" t="str">
        <f>GRAL!AG556</f>
        <v>MAQ</v>
      </c>
      <c r="P215" s="1"/>
      <c r="Q215" s="1"/>
    </row>
    <row r="216" spans="1:17" ht="75" hidden="1">
      <c r="A216" s="1"/>
      <c r="B216" s="1"/>
      <c r="C216" s="1" t="str">
        <f>OBRA!CB555</f>
        <v>2018-2021</v>
      </c>
      <c r="D216" s="1">
        <f>OBRA!J555</f>
        <v>2021</v>
      </c>
      <c r="E216" s="1598" t="str">
        <f>OBRA!O555</f>
        <v>ARRENDAMIENTO</v>
      </c>
      <c r="F216" s="1598" t="str">
        <f>OBRA!N555</f>
        <v>C- OP 009/2021</v>
      </c>
      <c r="G216" s="3" t="str">
        <f>OBRA!P555</f>
        <v>RENTA DE RETROEXCAVADORA CATERPILAR 416E PARA SER UTILIZADA EN LA CONSTRUCCIÓN DE DRENAJE SANITARIO EN PRIVADA FRANCISCO VILLA DE LA CALLE 1RO DE MAYO A CERRADA, EN LA LOCALIDAD DE LA LOMA, DEL MUNICIPIO DE JOCOTEPEC, JALISCO.</v>
      </c>
      <c r="H216" s="1"/>
      <c r="I216" s="3" t="str">
        <f>OBRA!Q555</f>
        <v>LA LOMA</v>
      </c>
      <c r="J216" s="3"/>
      <c r="K216" s="3"/>
      <c r="L216" s="3"/>
      <c r="M216" s="1602">
        <f>OBRA!AS555+OBRA!AT555</f>
        <v>0</v>
      </c>
      <c r="N216" s="1">
        <f>GRAL!AF557</f>
        <v>1</v>
      </c>
      <c r="O216" s="1" t="str">
        <f>GRAL!AG557</f>
        <v>MAQ</v>
      </c>
      <c r="P216" s="1"/>
      <c r="Q216" s="1"/>
    </row>
    <row r="217" spans="1:17" ht="60" hidden="1">
      <c r="A217" s="1"/>
      <c r="B217" s="1"/>
      <c r="C217" s="1" t="str">
        <f>OBRA!CB556</f>
        <v>2018-2021</v>
      </c>
      <c r="D217" s="1">
        <f>OBRA!J556</f>
        <v>2021</v>
      </c>
      <c r="E217" s="1598" t="str">
        <f>OBRA!O556</f>
        <v>SERVICIOS</v>
      </c>
      <c r="F217" s="1598" t="str">
        <f>OBRA!N556</f>
        <v>C.P.S.P. D.O.P. 001/2021</v>
      </c>
      <c r="G217" s="3" t="str">
        <f>OBRA!P556</f>
        <v>ESTUDIO GEOHIDROLÓGICO-GEOFÍSICOS PARA LOCALIZACIÓN Y/O PERFORACIÓN DE POZO PARA AGUA POTABLE UBICADO EN CALLE MORELOS EN LA AGENCIA DE NEXTIPAC, DEL MUNICIPIO DE JOCOTEPEC, JALISCO.</v>
      </c>
      <c r="H217" s="1"/>
      <c r="I217" s="3" t="str">
        <f>OBRA!Q556</f>
        <v>NEXTIPAC</v>
      </c>
      <c r="J217" s="3"/>
      <c r="K217" s="3"/>
      <c r="L217" s="3"/>
      <c r="M217" s="1602">
        <f>OBRA!AS556+OBRA!AT556</f>
        <v>0</v>
      </c>
      <c r="N217" s="1">
        <f>GRAL!AF558</f>
        <v>1</v>
      </c>
      <c r="O217" s="1" t="str">
        <f>GRAL!AG558</f>
        <v>ESTUDIO</v>
      </c>
      <c r="P217" s="1"/>
      <c r="Q217" s="1"/>
    </row>
    <row r="218" spans="1:17" ht="22.5" hidden="1">
      <c r="A218" s="1"/>
      <c r="B218" s="1"/>
      <c r="C218" s="1" t="str">
        <f>OBRA!CB557</f>
        <v>2018-2021</v>
      </c>
      <c r="D218" s="1">
        <f>OBRA!J557</f>
        <v>2021</v>
      </c>
      <c r="E218" s="1598" t="str">
        <f>OBRA!O557</f>
        <v>SERVICIOS (CANCELADO)</v>
      </c>
      <c r="F218" s="1598" t="str">
        <f>OBRA!N557</f>
        <v>C.P.S.P. D.O.P. 002/2021</v>
      </c>
      <c r="G218" s="3">
        <f>OBRA!P557</f>
        <v>0</v>
      </c>
      <c r="H218" s="1"/>
      <c r="I218" s="3">
        <f>OBRA!Q557</f>
        <v>0</v>
      </c>
      <c r="J218" s="3"/>
      <c r="K218" s="3"/>
      <c r="L218" s="3"/>
      <c r="M218" s="1602">
        <f>OBRA!AS557+OBRA!AT557</f>
        <v>0</v>
      </c>
      <c r="N218" s="1">
        <f>GRAL!AF559</f>
        <v>0</v>
      </c>
      <c r="O218" s="1">
        <f>GRAL!AG559</f>
        <v>0</v>
      </c>
      <c r="P218" s="1"/>
      <c r="Q218" s="1"/>
    </row>
    <row r="219" spans="1:17" ht="60" hidden="1">
      <c r="A219" s="1"/>
      <c r="B219" s="1"/>
      <c r="C219" s="1" t="str">
        <f>OBRA!CB558</f>
        <v>2018-2021</v>
      </c>
      <c r="D219" s="1">
        <f>OBRA!J558</f>
        <v>2021</v>
      </c>
      <c r="E219" s="1598" t="str">
        <f>OBRA!O558</f>
        <v>SERVICIOS</v>
      </c>
      <c r="F219" s="1598" t="str">
        <f>OBRA!N558</f>
        <v>C.P.S.P. D.O.P. 003/2021</v>
      </c>
      <c r="G219" s="3" t="str">
        <f>OBRA!P558</f>
        <v>GESTIÓN DE: "LICENCIA DEL PERMISO PARA REMOZAMIENTO Y MEJORAMIENTO DE IMAGEN URBANA EN EL TEMPLO DEL SEÑOR DEL MONTE", EN LA CABECERA MUNICIPAL DE JOCOTEPEC, JALISCO.</v>
      </c>
      <c r="H219" s="1"/>
      <c r="I219" s="3" t="str">
        <f>OBRA!Q558</f>
        <v>CABECERA MUNICIPAL</v>
      </c>
      <c r="J219" s="3"/>
      <c r="K219" s="3"/>
      <c r="L219" s="3"/>
      <c r="M219" s="1602">
        <f>OBRA!AS558+OBRA!AT558</f>
        <v>0</v>
      </c>
      <c r="N219" s="1">
        <f>GRAL!AF560</f>
        <v>1</v>
      </c>
      <c r="O219" s="1" t="str">
        <f>GRAL!AG560</f>
        <v>LOTE</v>
      </c>
      <c r="P219" s="1"/>
      <c r="Q219" s="1"/>
    </row>
    <row r="220" spans="1:17" ht="22.5" hidden="1">
      <c r="A220" s="1"/>
      <c r="B220" s="1"/>
      <c r="C220" s="1" t="str">
        <f>OBRA!CB559</f>
        <v>2018-2021</v>
      </c>
      <c r="D220" s="1">
        <f>OBRA!J559</f>
        <v>2021</v>
      </c>
      <c r="E220" s="1598" t="str">
        <f>OBRA!O559</f>
        <v>SERVICIOS (CANCELADO)</v>
      </c>
      <c r="F220" s="1598" t="str">
        <f>OBRA!N559</f>
        <v>C.P.S.P. D.O.P. 004/2021</v>
      </c>
      <c r="G220" s="3">
        <f>OBRA!P559</f>
        <v>0</v>
      </c>
      <c r="H220" s="1"/>
      <c r="I220" s="3">
        <f>OBRA!Q559</f>
        <v>0</v>
      </c>
      <c r="J220" s="3"/>
      <c r="K220" s="3"/>
      <c r="L220" s="3"/>
      <c r="M220" s="1602">
        <f>OBRA!AS559+OBRA!AT559</f>
        <v>0</v>
      </c>
      <c r="N220" s="1">
        <f>GRAL!AF561</f>
        <v>0</v>
      </c>
      <c r="O220" s="1">
        <f>GRAL!AG561</f>
        <v>0</v>
      </c>
      <c r="P220" s="1"/>
      <c r="Q220" s="1"/>
    </row>
    <row r="221" spans="1:17" ht="105" hidden="1">
      <c r="A221" s="1"/>
      <c r="B221" s="1"/>
      <c r="C221" s="1" t="str">
        <f>OBRA!CB560</f>
        <v>2018-2021</v>
      </c>
      <c r="D221" s="1">
        <f>OBRA!J560</f>
        <v>2021</v>
      </c>
      <c r="E221" s="1598" t="str">
        <f>OBRA!O560</f>
        <v>SERVICIOS</v>
      </c>
      <c r="F221" s="1598" t="str">
        <f>OBRA!N560</f>
        <v>C.P.S.P. D.O.P. 005/2021</v>
      </c>
      <c r="G221"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OBRA!Q560</f>
        <v>LA LOMA</v>
      </c>
      <c r="J221" s="3"/>
      <c r="K221" s="3"/>
      <c r="L221" s="3"/>
      <c r="M221" s="1602">
        <f>OBRA!AS560+OBRA!AT560</f>
        <v>0</v>
      </c>
      <c r="N221" s="1">
        <f>GRAL!AF562</f>
        <v>1</v>
      </c>
      <c r="O221" s="1" t="str">
        <f>GRAL!AG562</f>
        <v>LOTE</v>
      </c>
      <c r="P221" s="1"/>
      <c r="Q221" s="1"/>
    </row>
    <row r="222" spans="1:17" ht="22.5" hidden="1">
      <c r="A222" s="1"/>
      <c r="B222" s="1"/>
      <c r="C222" s="1" t="str">
        <f>OBRA!CB561</f>
        <v>2018-2021</v>
      </c>
      <c r="D222" s="1">
        <f>OBRA!J561</f>
        <v>2021</v>
      </c>
      <c r="E222" s="1598" t="str">
        <f>OBRA!O561</f>
        <v>SERVICIOS (CANCELADO)</v>
      </c>
      <c r="F222" s="1598" t="str">
        <f>OBRA!N561</f>
        <v>C.P.S.P. D.O.P. 006/2021</v>
      </c>
      <c r="G222" s="3">
        <f>OBRA!P561</f>
        <v>0</v>
      </c>
      <c r="H222" s="1"/>
      <c r="I222" s="3">
        <f>OBRA!Q561</f>
        <v>0</v>
      </c>
      <c r="J222" s="3"/>
      <c r="K222" s="3"/>
      <c r="L222" s="3"/>
      <c r="M222" s="1602">
        <f>OBRA!AS561+OBRA!AT561</f>
        <v>0</v>
      </c>
      <c r="N222" s="1">
        <f>GRAL!AF563</f>
        <v>0</v>
      </c>
      <c r="O222" s="1">
        <f>GRAL!AG563</f>
        <v>0</v>
      </c>
      <c r="P222" s="1"/>
      <c r="Q222" s="1"/>
    </row>
    <row r="223" spans="1:17" ht="90" hidden="1">
      <c r="A223" s="1"/>
      <c r="B223" s="1"/>
      <c r="C223" s="1" t="str">
        <f>OBRA!CB562</f>
        <v>2018-2021</v>
      </c>
      <c r="D223" s="1">
        <f>OBRA!J562</f>
        <v>2021</v>
      </c>
      <c r="E223" s="1598" t="str">
        <f>OBRA!O562</f>
        <v>SERVICIOS</v>
      </c>
      <c r="F223" s="1598" t="str">
        <f>OBRA!N562</f>
        <v>C.P.S.P. D.O.P. 007/2021</v>
      </c>
      <c r="G223"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OBRA!Q562</f>
        <v>CABECERA MUNICIPAL</v>
      </c>
      <c r="J223" s="3"/>
      <c r="K223" s="3"/>
      <c r="L223" s="3"/>
      <c r="M223" s="1602">
        <f>OBRA!AS562+OBRA!AT562</f>
        <v>0</v>
      </c>
      <c r="N223" s="1">
        <f>GRAL!AF564</f>
        <v>1</v>
      </c>
      <c r="O223" s="1" t="str">
        <f>GRAL!AG564</f>
        <v>ESTUDIO</v>
      </c>
      <c r="P223" s="1"/>
      <c r="Q223" s="1"/>
    </row>
    <row r="224" spans="1:17" ht="165" hidden="1">
      <c r="A224" s="1"/>
      <c r="B224" s="1"/>
      <c r="C224" s="1" t="str">
        <f>OBRA!CB563</f>
        <v>2018-2021</v>
      </c>
      <c r="D224" s="1">
        <f>OBRA!J563</f>
        <v>2021</v>
      </c>
      <c r="E224" s="1598" t="str">
        <f>OBRA!O563</f>
        <v>SERVICIOS</v>
      </c>
      <c r="F224" s="1598" t="str">
        <f>OBRA!N563</f>
        <v>C.P.S.P. D.O.P. 008/2021</v>
      </c>
      <c r="G224"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OBRA!Q563</f>
        <v>CABECERA MUNICIPAL</v>
      </c>
      <c r="J224" s="3"/>
      <c r="K224" s="3"/>
      <c r="L224" s="3"/>
      <c r="M224" s="1602">
        <f>OBRA!AS563+OBRA!AT563</f>
        <v>0</v>
      </c>
      <c r="N224" s="1">
        <f>GRAL!AF565</f>
        <v>1</v>
      </c>
      <c r="O224" s="1" t="str">
        <f>GRAL!AG565</f>
        <v>LOTE</v>
      </c>
      <c r="P224" s="1"/>
      <c r="Q224" s="1"/>
    </row>
    <row r="225" spans="1:17" ht="90" hidden="1">
      <c r="A225" s="1"/>
      <c r="B225" s="1"/>
      <c r="C225" s="1" t="str">
        <f>OBRA!CB564</f>
        <v>2018-2021</v>
      </c>
      <c r="D225" s="1">
        <f>OBRA!J564</f>
        <v>2021</v>
      </c>
      <c r="E225" s="1598" t="str">
        <f>OBRA!O564</f>
        <v>SERVICIOS</v>
      </c>
      <c r="F225" s="1598" t="str">
        <f>OBRA!N564</f>
        <v>C.P.S.P. D.O.P. 009/2021</v>
      </c>
      <c r="G225"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OBRA!Q564</f>
        <v>MUNICIPIO</v>
      </c>
      <c r="J225" s="3"/>
      <c r="K225" s="3"/>
      <c r="L225" s="3"/>
      <c r="M225" s="1602">
        <f>OBRA!AS564+OBRA!AT564</f>
        <v>0</v>
      </c>
      <c r="N225" s="1">
        <f>GRAL!AF566</f>
        <v>15</v>
      </c>
      <c r="O225" s="1" t="str">
        <f>GRAL!AG566</f>
        <v>LEV-TOP</v>
      </c>
      <c r="P225" s="1"/>
      <c r="Q225" s="1"/>
    </row>
    <row r="226" spans="1:17" ht="57.75" customHeight="1">
      <c r="A226" s="1"/>
      <c r="B226" s="1600"/>
      <c r="C226" s="1" t="str">
        <f>OBRA!CB565</f>
        <v>2018-2021</v>
      </c>
      <c r="D226" s="1">
        <f>OBRA!J565</f>
        <v>2021</v>
      </c>
      <c r="E226" s="1598" t="str">
        <f>OBRA!O565</f>
        <v>ADJUDICACIÓN DIRECTA</v>
      </c>
      <c r="F226" s="1281" t="str">
        <f>OBRA!N565</f>
        <v>GMJ 001C- OP/2021</v>
      </c>
      <c r="G226" s="3" t="str">
        <f>OBRA!P565</f>
        <v>"PERFORACIÓN DE POZO PROFUNDO "MORELOS" A 250 ML", EN LA AGENCIA MUNICIPAL DE NEXTIPAC, DEL MUNICIPIO DE JOCOTEPEC, JALISCO.</v>
      </c>
      <c r="H226" s="1598" t="s">
        <v>4751</v>
      </c>
      <c r="I226" s="3" t="str">
        <f>OBRA!Q565</f>
        <v>NEXTIPAC</v>
      </c>
      <c r="J226" s="3" t="s">
        <v>2488</v>
      </c>
      <c r="K226" s="3" t="s">
        <v>4805</v>
      </c>
      <c r="L226" s="3" t="s">
        <v>68</v>
      </c>
      <c r="M226" s="1602">
        <f>OBRA!AS565+OBRA!AT565</f>
        <v>1293027.17</v>
      </c>
      <c r="N226" s="242">
        <f>GRAL!AF567</f>
        <v>250</v>
      </c>
      <c r="O226" s="242" t="str">
        <f>GRAL!AG567</f>
        <v>ML</v>
      </c>
      <c r="P226" s="2" t="s">
        <v>68</v>
      </c>
      <c r="Q226" s="2"/>
    </row>
    <row r="227" spans="1:17" ht="132" customHeight="1">
      <c r="A227" s="1"/>
      <c r="B227" s="1600"/>
      <c r="C227" s="1" t="str">
        <f>OBRA!CB566</f>
        <v>2018-2021</v>
      </c>
      <c r="D227" s="1">
        <f>OBRA!J566</f>
        <v>2021</v>
      </c>
      <c r="E227" s="1598" t="str">
        <f>OBRA!O566</f>
        <v>CONCURSO SIMPLIFICADO SUMARIO</v>
      </c>
      <c r="F227" s="1281" t="str">
        <f>OBRA!N566</f>
        <v>GMJ 002C- OP/2021</v>
      </c>
      <c r="G227" s="3" t="str">
        <f>OBRA!P566</f>
        <v>"REHABILITACIÓN DE LÍNEAS HIDROSANITARÍAS CON REPOSICIÓN DE SUPERFICIE DE RODAMIENTO EN CALLE MORELOS DE CALLE NICOLÁS BRAVO A CALLE GONZÁLEZ ORTEGA" EN LA CABECERA MUNICIPAL DE JOCOTEPEC, JALISCO, (NEXTIPAC).</v>
      </c>
      <c r="H227" s="1598" t="s">
        <v>4756</v>
      </c>
      <c r="I227" s="3" t="str">
        <f>OBRA!Q566</f>
        <v>NEXTIPAC</v>
      </c>
      <c r="J227" s="3" t="s">
        <v>2488</v>
      </c>
      <c r="K227" s="3" t="s">
        <v>4790</v>
      </c>
      <c r="L227" s="3" t="s">
        <v>4805</v>
      </c>
      <c r="M227" s="1602">
        <f>OBRA!AS566+OBRA!AT566</f>
        <v>2507056.77</v>
      </c>
      <c r="N227" s="242">
        <f>GRAL!AF568</f>
        <v>788.8</v>
      </c>
      <c r="O227" s="242" t="str">
        <f>GRAL!AG568</f>
        <v>M2</v>
      </c>
      <c r="P227" s="601" t="s">
        <v>4930</v>
      </c>
      <c r="Q227" s="1281" t="s">
        <v>4933</v>
      </c>
    </row>
    <row r="228" spans="1:17" ht="45" hidden="1">
      <c r="A228" s="1"/>
      <c r="B228" s="1"/>
      <c r="C228" s="1" t="str">
        <f>OBRA!CB567</f>
        <v>2018-2021</v>
      </c>
      <c r="D228" s="1">
        <f>OBRA!J567</f>
        <v>2021</v>
      </c>
      <c r="E228" s="1598" t="str">
        <f>OBRA!O567</f>
        <v>CANCELADA</v>
      </c>
      <c r="F228" s="1598" t="str">
        <f>OBRA!N567</f>
        <v>GMJ 003C- OP/2021</v>
      </c>
      <c r="G228" s="3" t="str">
        <f>OBRA!P567</f>
        <v>"IMAGEN URBANA EN CALLE MORELOS DE CALLE NICOLÁS BRAVO A PRIVADA GONZÁLEZ ORTEGA", EN LA CABECERA MUNICIPAL DE JOCOTEPEC, JALISCO, (NEXTIPAC).</v>
      </c>
      <c r="H228" s="1"/>
      <c r="I228" s="3">
        <f>OBRA!Q567</f>
        <v>0</v>
      </c>
      <c r="J228" s="3"/>
      <c r="K228" s="3"/>
      <c r="L228" s="3"/>
      <c r="M228" s="1602">
        <f>OBRA!AS567+OBRA!AT567</f>
        <v>0</v>
      </c>
      <c r="N228" s="1">
        <f>GRAL!AF569</f>
        <v>0</v>
      </c>
      <c r="O228" s="1" t="str">
        <f>GRAL!AG569</f>
        <v>M2</v>
      </c>
      <c r="P228" s="1"/>
      <c r="Q228" s="1"/>
    </row>
    <row r="229" spans="1:17" ht="145.5" customHeight="1">
      <c r="A229" s="1"/>
      <c r="B229" s="1600"/>
      <c r="C229" s="1" t="str">
        <f>OBRA!CB568</f>
        <v>2018-2021</v>
      </c>
      <c r="D229" s="1">
        <f>OBRA!J568</f>
        <v>2021</v>
      </c>
      <c r="E229" s="1598" t="str">
        <f>OBRA!O568</f>
        <v>CONCURSO SIMPLIFICADO SUMARIO</v>
      </c>
      <c r="F229" s="1281" t="str">
        <f>OBRA!N568</f>
        <v>GMJ 004C- OP/2021</v>
      </c>
      <c r="G229" s="3" t="str">
        <f>OBRA!P568</f>
        <v>"REHABILITACIÓN DE LÍNEAS HDROSANITARIAS CON REPOSICIÓN DE SUPERFICIE DE RODAMIENTO EN CALLE MORELOS DE CALLE GONZÁLEZ ORTEGA A CALLE CRISTOBAL COLÓN, EN LA CABECERA MUNICIPAL DE JOCOTEPEC, JALISCO (NEXTIPAC).</v>
      </c>
      <c r="H229" s="1598" t="s">
        <v>4756</v>
      </c>
      <c r="I229" s="3" t="str">
        <f>OBRA!Q568</f>
        <v>NEXTIPAC</v>
      </c>
      <c r="J229" s="3" t="s">
        <v>2488</v>
      </c>
      <c r="K229" s="3" t="s">
        <v>4805</v>
      </c>
      <c r="L229" s="3" t="s">
        <v>4789</v>
      </c>
      <c r="M229" s="1602">
        <f>OBRA!AS568+OBRA!AT568</f>
        <v>8221897.79</v>
      </c>
      <c r="N229" s="242">
        <f>GRAL!AF570</f>
        <v>2431.5300000000002</v>
      </c>
      <c r="O229" s="242" t="str">
        <f>GRAL!AG570</f>
        <v>M2</v>
      </c>
      <c r="P229" s="601" t="s">
        <v>4932</v>
      </c>
      <c r="Q229" s="1281" t="s">
        <v>4934</v>
      </c>
    </row>
    <row r="230" spans="1:17" ht="69.75" customHeight="1">
      <c r="A230" s="1"/>
      <c r="B230" s="1600"/>
      <c r="C230" s="1" t="str">
        <f>OBRA!CB569</f>
        <v>2018-2021</v>
      </c>
      <c r="D230" s="1">
        <f>OBRA!J569</f>
        <v>2021</v>
      </c>
      <c r="E230" s="1598" t="str">
        <f>OBRA!O569</f>
        <v>ADJUDICACIÓN DIRECTA</v>
      </c>
      <c r="F230" s="1281" t="str">
        <f>OBRA!N569</f>
        <v>GMJ 005C- OP/2021</v>
      </c>
      <c r="G230" s="3" t="str">
        <f>OBRA!P569</f>
        <v>"IMAGEN URBANA EN CALLE MORELOS ENTRE CALLE GONZÁLEZ ORTEGA A CRISTOBAL COLÓN" EN LA CABECERA MUNICIPAL DE JOCOTEPEC, JALISCO, (NEXTIPAC).</v>
      </c>
      <c r="H230" s="1598" t="s">
        <v>4749</v>
      </c>
      <c r="I230" s="3" t="str">
        <f>OBRA!Q569</f>
        <v>NEXTIPAC</v>
      </c>
      <c r="J230" s="3" t="s">
        <v>2488</v>
      </c>
      <c r="K230" s="3" t="s">
        <v>4805</v>
      </c>
      <c r="L230" s="3" t="s">
        <v>4789</v>
      </c>
      <c r="M230" s="1602">
        <f>OBRA!AS569+OBRA!AT569</f>
        <v>434553.82</v>
      </c>
      <c r="N230" s="242">
        <f>GRAL!AF571</f>
        <v>12445.58</v>
      </c>
      <c r="O230" s="242" t="str">
        <f>GRAL!AG571</f>
        <v>M2</v>
      </c>
      <c r="P230" s="388" t="s">
        <v>68</v>
      </c>
      <c r="Q230" s="2"/>
    </row>
    <row r="231" spans="1:17" ht="135.75" customHeight="1">
      <c r="A231" s="1"/>
      <c r="B231" s="1600"/>
      <c r="C231" s="1" t="str">
        <f>OBRA!CB570</f>
        <v>2018-2021</v>
      </c>
      <c r="D231" s="1">
        <f>OBRA!J570</f>
        <v>2021</v>
      </c>
      <c r="E231" s="1598" t="str">
        <f>OBRA!O570</f>
        <v>ADJUDICACIÓN DIRECTA</v>
      </c>
      <c r="F231" s="1281" t="str">
        <f>OBRA!N570</f>
        <v>GMJ 006C- OP/2021</v>
      </c>
      <c r="G231" s="3" t="str">
        <f>OBRA!P570</f>
        <v>"REHABILITACIÓN DE LÍNEAS HIDROSANITARIAS CON REPOSICIÓN DE SUPERFICIE DE RODAMIENTO EN CALLE MORELOS ENTRE CALLE CRISTOBAL COLÓN A CALLE RICO" EN LA CABECERA MUNICIPAL DE JOCOTEPEC, JALISCO, (NEXTIPAC).</v>
      </c>
      <c r="H231" s="1598" t="s">
        <v>4756</v>
      </c>
      <c r="I231" s="3" t="str">
        <f>OBRA!Q570</f>
        <v>CABECERA MUNICIPAL</v>
      </c>
      <c r="J231" s="3" t="s">
        <v>2488</v>
      </c>
      <c r="K231" s="3" t="s">
        <v>4789</v>
      </c>
      <c r="L231" s="3" t="s">
        <v>4788</v>
      </c>
      <c r="M231" s="1602">
        <f>OBRA!AS570+OBRA!AT570</f>
        <v>1239899.07</v>
      </c>
      <c r="N231" s="242">
        <f>GRAL!AF572</f>
        <v>740</v>
      </c>
      <c r="O231" s="242" t="str">
        <f>GRAL!AG572</f>
        <v>M2</v>
      </c>
      <c r="P231" s="601" t="s">
        <v>4930</v>
      </c>
      <c r="Q231" s="1281" t="s">
        <v>4935</v>
      </c>
    </row>
    <row r="232" spans="1:17" ht="45" hidden="1">
      <c r="A232" s="1"/>
      <c r="B232" s="1"/>
      <c r="C232" s="1" t="str">
        <f>OBRA!CB571</f>
        <v>2018-2021</v>
      </c>
      <c r="D232" s="1">
        <f>OBRA!J571</f>
        <v>2021</v>
      </c>
      <c r="E232" s="1598" t="str">
        <f>OBRA!O571</f>
        <v>CANCELADA</v>
      </c>
      <c r="F232" s="1598" t="str">
        <f>OBRA!N571</f>
        <v>GMJ 007C- OP/2021</v>
      </c>
      <c r="G232" s="3" t="str">
        <f>OBRA!P571</f>
        <v>"IMAGEN URBANA EN CALLE MORELOS DE CALLE CRISTOBAL COLÓN A CALLE RICO" EN LA CABECERA MUNICIPAL DE JOCOTEPEC, JALISCO, (NEXTIPAC).</v>
      </c>
      <c r="H232" s="1"/>
      <c r="I232" s="3">
        <f>OBRA!Q571</f>
        <v>0</v>
      </c>
      <c r="J232" s="3"/>
      <c r="K232" s="3"/>
      <c r="L232" s="3"/>
      <c r="M232" s="1602">
        <f>OBRA!AS571+OBRA!AT571</f>
        <v>0</v>
      </c>
      <c r="N232" s="1">
        <f>GRAL!AF573</f>
        <v>0</v>
      </c>
      <c r="O232" s="1" t="str">
        <f>GRAL!AG573</f>
        <v>M2</v>
      </c>
      <c r="P232" s="1"/>
      <c r="Q232" s="1"/>
    </row>
    <row r="233" spans="1:17" ht="75">
      <c r="A233" s="1"/>
      <c r="B233" s="1600"/>
      <c r="C233" s="1" t="str">
        <f>OBRA!CB572</f>
        <v>2018-2021</v>
      </c>
      <c r="D233" s="1">
        <f>OBRA!J572</f>
        <v>2021</v>
      </c>
      <c r="E233" s="1598" t="str">
        <f>OBRA!O572</f>
        <v>ADJUDICACIÓN DIRECTA</v>
      </c>
      <c r="F233" s="1281" t="str">
        <f>OBRA!N572</f>
        <v>GMJ 008C- OP/2021</v>
      </c>
      <c r="G233" s="3" t="str">
        <f>OBRA!P572</f>
        <v>"REHABILITACIÓN DE LÍNEA DE AGUA POTABLE EN CALLE MORELOS DE CALLE RICO A CALLE RIVERA DEL LAGO Y REHABILITACIÓN DE LÍNEA DE DRENAJE SANITARIO EN CALLE MORELOS DE CALLE RICO HASTA MALECÓN", EN LA CABECERA MUNICIPAL DE JOCOTEPEC, JALISCO, (NEXTIPAC).</v>
      </c>
      <c r="H233" s="1598" t="s">
        <v>4745</v>
      </c>
      <c r="I233" s="3" t="str">
        <f>OBRA!Q572</f>
        <v>CABECERA MUNICIPAL</v>
      </c>
      <c r="J233" s="3" t="s">
        <v>2488</v>
      </c>
      <c r="K233" s="3" t="s">
        <v>4788</v>
      </c>
      <c r="L233" s="3" t="s">
        <v>2566</v>
      </c>
      <c r="M233" s="1602">
        <f>OBRA!AS572+OBRA!AT572</f>
        <v>1116853.6100000001</v>
      </c>
      <c r="N233" s="242">
        <f>GRAL!AF574</f>
        <v>2593.23</v>
      </c>
      <c r="O233" s="242" t="str">
        <f>GRAL!AG574</f>
        <v>M2</v>
      </c>
      <c r="P233" s="601" t="s">
        <v>4931</v>
      </c>
      <c r="Q233" s="2" t="s">
        <v>4936</v>
      </c>
    </row>
    <row r="234" spans="1:17" ht="75">
      <c r="A234" s="1"/>
      <c r="B234" s="1600"/>
      <c r="C234" s="1" t="str">
        <f>OBRA!CB573</f>
        <v>2018-2021</v>
      </c>
      <c r="D234" s="1">
        <f>OBRA!J573</f>
        <v>2021</v>
      </c>
      <c r="E234" s="1598" t="str">
        <f>OBRA!O573</f>
        <v>CONCURSO SIMPLIFICADO SUMARIO</v>
      </c>
      <c r="F234" s="1281" t="str">
        <f>OBRA!N573</f>
        <v>GMJ 009C- OP/2021</v>
      </c>
      <c r="G234" s="3" t="str">
        <f>OBRA!P573</f>
        <v>"INTERVENCIÓN Y ACONDICIONAMIENTO DE TERRACERIAS, REHABILITACIÓN DE BANQUETAS E IMAGEN URBANA EN CALLE MORELOS DE CALLE RICO A MALECÓN DE KM 0+000 AL KM 0+379.50", EN LA CABECERA MUNICIPAL DE JOCOTEPEC, JALISCO (NEXTIPAC)</v>
      </c>
      <c r="H234" s="1598" t="s">
        <v>4752</v>
      </c>
      <c r="I234" s="3" t="str">
        <f>OBRA!Q573</f>
        <v>NEXTIPAC</v>
      </c>
      <c r="J234" s="3" t="s">
        <v>2488</v>
      </c>
      <c r="K234" s="3" t="s">
        <v>4788</v>
      </c>
      <c r="L234" s="3" t="s">
        <v>4806</v>
      </c>
      <c r="M234" s="1602">
        <f>OBRA!AS573+OBRA!AT573</f>
        <v>1480943.65</v>
      </c>
      <c r="N234" s="242">
        <f>GRAL!AF575</f>
        <v>2523.9299999999998</v>
      </c>
      <c r="O234" s="242" t="str">
        <f>GRAL!AG575</f>
        <v>M2</v>
      </c>
      <c r="P234" s="2" t="s">
        <v>68</v>
      </c>
      <c r="Q234" s="2"/>
    </row>
    <row r="235" spans="1:17" ht="160.5" customHeight="1">
      <c r="A235" s="1"/>
      <c r="B235" s="1600"/>
      <c r="C235" s="1" t="str">
        <f>OBRA!CB574</f>
        <v>2018-2021</v>
      </c>
      <c r="D235" s="1">
        <f>OBRA!J574</f>
        <v>2021</v>
      </c>
      <c r="E235" s="1598" t="str">
        <f>OBRA!O574</f>
        <v>CONCURSO SIMPLIFICADO SUMARIO</v>
      </c>
      <c r="F235" s="1281" t="str">
        <f>OBRA!N574</f>
        <v>FOCOCI-OP-CSS-010/2021</v>
      </c>
      <c r="G235" s="3" t="str">
        <f>OBRA!P574</f>
        <v>"PAVIMENTACIÓN CON EMPEDRADO AHOGADO EN CONCRETO HIDRÁULICO Y SUSTITUCIÓN DE REDES HIDROSANITARIAS EN CALLE LÁZARO CÁRDENAS", EN LA CABECERA MUNICIPAL DE JOCOTEPEC, JALISCO</v>
      </c>
      <c r="H235" s="1598" t="s">
        <v>4752</v>
      </c>
      <c r="I235" s="3" t="str">
        <f>OBRA!Q574</f>
        <v>CABECERA MUNICIPAL</v>
      </c>
      <c r="J235" s="3" t="s">
        <v>4683</v>
      </c>
      <c r="K235" s="3" t="s">
        <v>4807</v>
      </c>
      <c r="L235" s="541" t="s">
        <v>2542</v>
      </c>
      <c r="M235" s="1602">
        <f>OBRA!AS574+OBRA!AT574</f>
        <v>5000000</v>
      </c>
      <c r="N235" s="242">
        <f>GRAL!AF576</f>
        <v>3357.6</v>
      </c>
      <c r="O235" s="242" t="str">
        <f>GRAL!AG576</f>
        <v>M2</v>
      </c>
      <c r="P235" s="601" t="s">
        <v>4937</v>
      </c>
      <c r="Q235" s="1281" t="s">
        <v>4938</v>
      </c>
    </row>
    <row r="236" spans="1:17" ht="45">
      <c r="A236" s="1"/>
      <c r="B236" s="1600"/>
      <c r="C236" s="1" t="str">
        <f>OBRA!CB575</f>
        <v>2018-2021</v>
      </c>
      <c r="D236" s="1">
        <f>OBRA!J575</f>
        <v>2021</v>
      </c>
      <c r="E236" s="1598" t="str">
        <f>OBRA!O575</f>
        <v>CONCURSO SIMPLIFICADO SUMARIO</v>
      </c>
      <c r="F236" s="1281" t="str">
        <f>OBRA!N575</f>
        <v>FOCOCI-OP-CSS-011/2021</v>
      </c>
      <c r="G236" s="3" t="str">
        <f>OBRA!P575</f>
        <v>"REHABILITACIÓN DE INGRESO A ZAPOTITÁN DE HIDALGO DE LA CARRETERA FEDERAL AL PUENTE EN EL MUNICIPIO DE JOCOTEPEC, JALISCO".</v>
      </c>
      <c r="H236" s="1598" t="s">
        <v>4760</v>
      </c>
      <c r="I236" s="3" t="str">
        <f>OBRA!Q575</f>
        <v>ZAPOTITÁN DE HIDALGO</v>
      </c>
      <c r="J236" s="3" t="s">
        <v>3419</v>
      </c>
      <c r="K236" s="3" t="s">
        <v>4766</v>
      </c>
      <c r="L236" s="3" t="s">
        <v>4808</v>
      </c>
      <c r="M236" s="1602">
        <f>OBRA!AS575+OBRA!AT575</f>
        <v>4000000</v>
      </c>
      <c r="N236" s="242">
        <f>GRAL!AF577</f>
        <v>17929</v>
      </c>
      <c r="O236" s="242" t="str">
        <f>GRAL!AG577</f>
        <v>M2</v>
      </c>
      <c r="P236" s="2" t="s">
        <v>68</v>
      </c>
      <c r="Q236" s="2"/>
    </row>
    <row r="237" spans="1:17" ht="45" hidden="1">
      <c r="A237" s="1"/>
      <c r="B237" s="1"/>
      <c r="C237" s="1" t="str">
        <f>OBRA!CB576</f>
        <v>2018-2021</v>
      </c>
      <c r="D237" s="1">
        <f>OBRA!J576</f>
        <v>2021</v>
      </c>
      <c r="E237" s="1598" t="str">
        <f>OBRA!O576</f>
        <v>CANCELADA</v>
      </c>
      <c r="F237" s="1598" t="str">
        <f>OBRA!N576</f>
        <v>GMJ 012C- OP/2021</v>
      </c>
      <c r="G237" s="3" t="str">
        <f>OBRA!P576</f>
        <v>"REHABILITACIÓN DE POZO PROFUNDO UBICADO EN EL ATRIO DEL TEMPLO DEL SEÑOR DEL MONTE, EN LA CABECERA MUNICIPAL DE JOCOTEPEC, JALISCO.</v>
      </c>
      <c r="H237" s="1"/>
      <c r="I237" s="3">
        <f>OBRA!Q576</f>
        <v>0</v>
      </c>
      <c r="J237" s="3"/>
      <c r="K237" s="3"/>
      <c r="L237" s="3"/>
      <c r="M237" s="1602">
        <f>OBRA!AS576+OBRA!AT576</f>
        <v>0</v>
      </c>
      <c r="N237" s="1">
        <f>GRAL!AF578</f>
        <v>0</v>
      </c>
      <c r="O237" s="1">
        <f>GRAL!AG578</f>
        <v>0</v>
      </c>
      <c r="P237" s="1"/>
      <c r="Q237" s="1"/>
    </row>
    <row r="238" spans="1:17" ht="75">
      <c r="A238" s="1"/>
      <c r="B238" s="1600"/>
      <c r="C238" s="1" t="str">
        <f>OBRA!CB577</f>
        <v>2018-2021</v>
      </c>
      <c r="D238" s="1">
        <f>OBRA!J577</f>
        <v>2021</v>
      </c>
      <c r="E238" s="1598" t="str">
        <f>OBRA!O577</f>
        <v>ADJUDICACIÓN DIRECTA</v>
      </c>
      <c r="F238" s="1281" t="str">
        <f>OBRA!N577</f>
        <v>GMJ 013C- OP/2021</v>
      </c>
      <c r="G238"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598" t="s">
        <v>4760</v>
      </c>
      <c r="I238" s="3" t="str">
        <f>OBRA!Q577</f>
        <v>ZAPOTITÁN DE HIDALGO</v>
      </c>
      <c r="J238" s="683" t="s">
        <v>4098</v>
      </c>
      <c r="K238" s="3" t="s">
        <v>68</v>
      </c>
      <c r="L238" s="3" t="s">
        <v>68</v>
      </c>
      <c r="M238" s="1602">
        <f>OBRA!AS577+OBRA!AT577</f>
        <v>725739.42</v>
      </c>
      <c r="N238" s="242">
        <f>GRAL!AF579</f>
        <v>1768</v>
      </c>
      <c r="O238" s="242" t="str">
        <f>GRAL!AG579</f>
        <v>M2</v>
      </c>
      <c r="P238" s="2" t="s">
        <v>68</v>
      </c>
      <c r="Q238" s="2"/>
    </row>
    <row r="239" spans="1:17" ht="90">
      <c r="A239" s="1"/>
      <c r="B239" s="1600"/>
      <c r="C239" s="1" t="str">
        <f>OBRA!CB578</f>
        <v>2018-2021</v>
      </c>
      <c r="D239" s="1">
        <f>OBRA!J578</f>
        <v>2021</v>
      </c>
      <c r="E239" s="1598" t="str">
        <f>OBRA!O578</f>
        <v>ADJUDICACIÓN DIRECTA</v>
      </c>
      <c r="F239" s="1281" t="str">
        <f>OBRA!N578</f>
        <v>GMJ 014C- OP/2021</v>
      </c>
      <c r="G239"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598" t="s">
        <v>4760</v>
      </c>
      <c r="I239" s="3" t="str">
        <f>OBRA!Q578</f>
        <v>ZAPOTITÁN DE HIDALGO</v>
      </c>
      <c r="J239" s="683" t="s">
        <v>4098</v>
      </c>
      <c r="K239" s="3" t="s">
        <v>68</v>
      </c>
      <c r="L239" s="3" t="s">
        <v>68</v>
      </c>
      <c r="M239" s="1602">
        <f>OBRA!AS578+OBRA!AT578</f>
        <v>940185.83</v>
      </c>
      <c r="N239" s="242">
        <f>GRAL!AF580</f>
        <v>18185.669999999998</v>
      </c>
      <c r="O239" s="242" t="str">
        <f>GRAL!AG580</f>
        <v>M2</v>
      </c>
      <c r="P239" s="2" t="s">
        <v>68</v>
      </c>
      <c r="Q239" s="2"/>
    </row>
    <row r="240" spans="1:17" ht="47.25" customHeight="1">
      <c r="A240" s="1"/>
      <c r="B240" s="1600"/>
      <c r="C240" s="1" t="str">
        <f>OBRA!CB579</f>
        <v>2018-2021</v>
      </c>
      <c r="D240" s="1">
        <f>OBRA!J579</f>
        <v>2021</v>
      </c>
      <c r="E240" s="1598" t="str">
        <f>OBRA!O579</f>
        <v>ADJUDICACIÓN DIRECTA</v>
      </c>
      <c r="F240" s="1281" t="str">
        <f>OBRA!N579</f>
        <v>GMJ 015C- OP/2021</v>
      </c>
      <c r="G240" s="3" t="str">
        <f>OBRA!P579</f>
        <v>"EQUIPAMIENTO DE POZO MORELOS" EN LA AGENCIA MINICIPAL DE NEXTIPAC, DEL MUNICIPIO DE JOCOTEPEC, JALISCO.</v>
      </c>
      <c r="H240" s="1598" t="s">
        <v>4751</v>
      </c>
      <c r="I240" s="3" t="str">
        <f>OBRA!Q579</f>
        <v>NEXTIPAC</v>
      </c>
      <c r="J240" s="3" t="s">
        <v>2488</v>
      </c>
      <c r="K240" s="3" t="s">
        <v>4805</v>
      </c>
      <c r="L240" s="3" t="s">
        <v>68</v>
      </c>
      <c r="M240" s="1602">
        <f>OBRA!AS579+OBRA!AT579</f>
        <v>347784.24</v>
      </c>
      <c r="N240" s="242">
        <f>GRAL!AF581</f>
        <v>1</v>
      </c>
      <c r="O240" s="242" t="str">
        <f>GRAL!AG581</f>
        <v>POZO</v>
      </c>
      <c r="P240" s="2" t="s">
        <v>68</v>
      </c>
      <c r="Q240" s="2"/>
    </row>
    <row r="241" spans="1:17" ht="45">
      <c r="A241" s="1"/>
      <c r="B241" s="1600"/>
      <c r="C241" s="1" t="str">
        <f>OBRA!CB580</f>
        <v>2018-2021</v>
      </c>
      <c r="D241" s="1">
        <f>OBRA!J580</f>
        <v>2021</v>
      </c>
      <c r="E241" s="1598" t="str">
        <f>OBRA!O580</f>
        <v>ADJUDICACIÓN DIRECTA</v>
      </c>
      <c r="F241" s="1281" t="str">
        <f>OBRA!N580</f>
        <v>GMJ 016C- OP/2021</v>
      </c>
      <c r="G241" s="3" t="str">
        <f>OBRA!P580</f>
        <v>"PROYECTO DE ELECTRIFICACIÓN Y EQUIPAMIENTO 1ERA ETAPA DE POZO PROFUNDO ALLENDE", UBICADO EN LA CABECERA MUNICIPAL DE JOCOTEPEC, JALISCO</v>
      </c>
      <c r="H241" s="1598" t="s">
        <v>4751</v>
      </c>
      <c r="I241" s="3" t="str">
        <f>OBRA!Q580</f>
        <v>CABECERA MUNICIPAL</v>
      </c>
      <c r="J241" s="3" t="s">
        <v>4642</v>
      </c>
      <c r="K241" s="3" t="s">
        <v>4769</v>
      </c>
      <c r="L241" s="3" t="s">
        <v>4809</v>
      </c>
      <c r="M241" s="1602">
        <f>OBRA!AS580+OBRA!AT580</f>
        <v>1083547.77</v>
      </c>
      <c r="N241" s="242">
        <f>GRAL!AF582</f>
        <v>1</v>
      </c>
      <c r="O241" s="242" t="str">
        <f>GRAL!AG582</f>
        <v>POZO</v>
      </c>
      <c r="P241" s="2" t="s">
        <v>68</v>
      </c>
      <c r="Q241" s="2"/>
    </row>
    <row r="242" spans="1:17" ht="48" customHeight="1">
      <c r="A242" s="1"/>
      <c r="B242" s="1600"/>
      <c r="C242" s="1" t="str">
        <f>OBRA!CB581</f>
        <v>2018-2021</v>
      </c>
      <c r="D242" s="1">
        <f>OBRA!J581</f>
        <v>2021</v>
      </c>
      <c r="E242" s="1598" t="str">
        <f>OBRA!O581</f>
        <v>ADJUDICACIÓN DIRECTA</v>
      </c>
      <c r="F242" s="1281" t="str">
        <f>OBRA!N581</f>
        <v>GMJ 017C- OP/2021</v>
      </c>
      <c r="G242" s="3" t="str">
        <f>OBRA!P581</f>
        <v>"PROYECTO DE ELÉCTRICO DEL RASTRO MUNICIPAL, ETAPA 1,  EN LA CABECERA MUNICIPAL DE JOCOTEPEC, JALISCO</v>
      </c>
      <c r="H242" s="1598" t="s">
        <v>4757</v>
      </c>
      <c r="I242" s="3" t="str">
        <f>OBRA!Q581</f>
        <v>CABECERA MUNICIPAL</v>
      </c>
      <c r="J242" s="3" t="s">
        <v>4774</v>
      </c>
      <c r="K242" s="3" t="s">
        <v>2528</v>
      </c>
      <c r="L242" s="3" t="s">
        <v>4800</v>
      </c>
      <c r="M242" s="1602">
        <f>OBRA!AS581+OBRA!AT581</f>
        <v>793793.33</v>
      </c>
      <c r="N242" s="242">
        <f>GRAL!AF583</f>
        <v>1</v>
      </c>
      <c r="O242" s="242" t="str">
        <f>GRAL!AG583</f>
        <v>LOTE</v>
      </c>
      <c r="P242" s="2" t="s">
        <v>68</v>
      </c>
      <c r="Q242" s="2"/>
    </row>
    <row r="243" spans="1:17" ht="60">
      <c r="A243" s="1"/>
      <c r="B243" s="1600"/>
      <c r="C243" s="1" t="str">
        <f>OBRA!CB582</f>
        <v>2018-2021</v>
      </c>
      <c r="D243" s="1">
        <f>OBRA!J582</f>
        <v>2021</v>
      </c>
      <c r="E243" s="1598" t="str">
        <f>OBRA!O582</f>
        <v>ADJUDICACIÓN DIRECTA</v>
      </c>
      <c r="F243" s="1281" t="str">
        <f>OBRA!N582</f>
        <v>GMJ 018C- OP/2021</v>
      </c>
      <c r="G243" s="3" t="str">
        <f>OBRA!P582</f>
        <v>“ACONDICIONAMIENTO DE TERRACERIAS, REHABILITACIÓN DE BANQUETAS E IMAGEN URBANA EN CALLE MORELOS DE CALLE RICO A MALECÓN DE KM 0+143.00 AL KM 0+379.50”, EN LA CABECERA MUNICIPAL DE JOCOTEPEC, JALISCO (NEXTIPAC)</v>
      </c>
      <c r="H243" s="1598" t="s">
        <v>4748</v>
      </c>
      <c r="I243" s="3" t="str">
        <f>OBRA!Q582</f>
        <v>CABECERA MUNICIPAL</v>
      </c>
      <c r="J243" s="3" t="s">
        <v>2488</v>
      </c>
      <c r="K243" s="3" t="s">
        <v>4788</v>
      </c>
      <c r="L243" s="3" t="s">
        <v>4806</v>
      </c>
      <c r="M243" s="1633">
        <f>OBRA!R582</f>
        <v>1137012.22</v>
      </c>
      <c r="N243" s="242">
        <f>GRAL!AF584</f>
        <v>1661</v>
      </c>
      <c r="O243" s="242" t="str">
        <f>GRAL!AG584</f>
        <v>M2</v>
      </c>
      <c r="P243" s="2" t="s">
        <v>68</v>
      </c>
      <c r="Q243" s="2"/>
    </row>
    <row r="244" spans="1:17" ht="45">
      <c r="A244" s="1"/>
      <c r="B244" s="1600"/>
      <c r="C244" s="1" t="str">
        <f>OBRA!CB583</f>
        <v>2021-2024</v>
      </c>
      <c r="D244" s="1">
        <f>OBRA!J583</f>
        <v>2021</v>
      </c>
      <c r="E244" s="1598" t="str">
        <f>OBRA!O583</f>
        <v>ADMINISTRACIÓN DIRECTA</v>
      </c>
      <c r="F244" s="1281" t="str">
        <f>OBRA!N583</f>
        <v>DOP/AD/001/2021</v>
      </c>
      <c r="G244" s="3" t="str">
        <f>OBRA!P583</f>
        <v>CONSTRUCCIÓN DE AULA EN CASA DE LA CULTURA (PARA USO DE ARCHIVO MUERTO)" EN LA CABECERA MUNICIPAL DE JOCOTEPEC, JALISCO.</v>
      </c>
      <c r="H244" s="1598" t="s">
        <v>4758</v>
      </c>
      <c r="I244" s="3" t="str">
        <f>OBRA!Q583</f>
        <v>CABECERA MUNICIPAL</v>
      </c>
      <c r="J244" s="3" t="s">
        <v>2500</v>
      </c>
      <c r="K244" s="3" t="s">
        <v>68</v>
      </c>
      <c r="L244" s="3" t="s">
        <v>68</v>
      </c>
      <c r="M244" s="1633">
        <f>OBRA!R583</f>
        <v>100000</v>
      </c>
      <c r="N244" s="242">
        <f>GRAL!AF585</f>
        <v>84</v>
      </c>
      <c r="O244" s="242" t="str">
        <f>GRAL!AG585</f>
        <v>M2</v>
      </c>
      <c r="P244" s="2" t="s">
        <v>68</v>
      </c>
      <c r="Q244" s="2"/>
    </row>
    <row r="245" spans="1:17" ht="45">
      <c r="A245" s="1"/>
      <c r="B245" s="1600"/>
      <c r="C245" s="1" t="str">
        <f>OBRA!CB584</f>
        <v>2021-2024</v>
      </c>
      <c r="D245" s="1">
        <f>OBRA!J584</f>
        <v>2021</v>
      </c>
      <c r="E245" s="1598" t="str">
        <f>OBRA!O584</f>
        <v>ADMINISTRACIÓN DIRECTA</v>
      </c>
      <c r="F245" s="1281" t="str">
        <f>OBRA!N584</f>
        <v>DOP/AD/002/2021</v>
      </c>
      <c r="G245" s="3" t="str">
        <f>OBRA!P584</f>
        <v>"REHABILITACIÓN DE INMUEBLE PARA OFICINAS ADMINISTRATIVAS, ANTES ESCUELA PAULINO NAVARRO", EN LA CABECERA MUNICIPAL DE JOCOTEPEC, JALISCO.</v>
      </c>
      <c r="H245" s="1598" t="s">
        <v>4758</v>
      </c>
      <c r="I245" s="3" t="str">
        <f>OBRA!Q584</f>
        <v>CABECERA MUNICIPAL</v>
      </c>
      <c r="J245" s="3" t="s">
        <v>4810</v>
      </c>
      <c r="K245" s="3" t="s">
        <v>68</v>
      </c>
      <c r="L245" s="3" t="s">
        <v>68</v>
      </c>
      <c r="M245" s="1633">
        <f>OBRA!R584</f>
        <v>400000</v>
      </c>
      <c r="N245" s="242">
        <f>GRAL!AF586</f>
        <v>0</v>
      </c>
      <c r="O245" s="242" t="str">
        <f>GRAL!AG586</f>
        <v>M2</v>
      </c>
      <c r="P245" s="2" t="s">
        <v>68</v>
      </c>
      <c r="Q245" s="2"/>
    </row>
    <row r="246" spans="1:17" ht="45" hidden="1">
      <c r="A246" s="1"/>
      <c r="B246" s="1"/>
      <c r="C246" s="1" t="str">
        <f>OBRA!CB585</f>
        <v>2021-2024</v>
      </c>
      <c r="D246" s="1">
        <f>OBRA!J585</f>
        <v>2021</v>
      </c>
      <c r="E246" s="1598" t="str">
        <f>OBRA!O585</f>
        <v>SERVICIOS</v>
      </c>
      <c r="F246" s="1598" t="str">
        <f>OBRA!N585</f>
        <v>C.P.S.P. D.O.P. 001/2021</v>
      </c>
      <c r="G246" s="3" t="str">
        <f>OBRA!P585</f>
        <v>ESTUDIO DE MECÁNICA DE SUELOS Y EL ESTUDIO DE CÁLCULO ESTRUCTURAL EN LA ESCUELA JOSÉ SANTANA, EN LA CABECERA MUNICIPAL DE JOCOTEPEC, JALISCO.</v>
      </c>
      <c r="H246" s="1"/>
      <c r="I246" s="3" t="str">
        <f>OBRA!Q585</f>
        <v>CABECERA MUNICIPAL</v>
      </c>
      <c r="J246" s="3"/>
      <c r="K246" s="3"/>
      <c r="L246" s="3"/>
      <c r="M246" s="1602">
        <f>OBRA!AS585+OBRA!AT585</f>
        <v>0</v>
      </c>
      <c r="N246" s="1">
        <f>GRAL!AF587</f>
        <v>1</v>
      </c>
      <c r="O246" s="1" t="str">
        <f>GRAL!AG587</f>
        <v>ESTUDIO</v>
      </c>
      <c r="P246" s="1"/>
      <c r="Q246" s="1"/>
    </row>
    <row r="247" spans="1:17" ht="45" hidden="1">
      <c r="A247" s="1"/>
      <c r="B247" s="1"/>
      <c r="C247" s="1" t="str">
        <f>OBRA!CB586</f>
        <v>2021-2024</v>
      </c>
      <c r="D247" s="1">
        <f>OBRA!J586</f>
        <v>2021</v>
      </c>
      <c r="E247" s="1598" t="str">
        <f>OBRA!O586</f>
        <v>SERVICIOS</v>
      </c>
      <c r="F247" s="1598" t="str">
        <f>OBRA!N586</f>
        <v>C.P.S.P. D.O.P. 002/2021</v>
      </c>
      <c r="G247" s="3" t="str">
        <f>OBRA!P586</f>
        <v>DESLINDE DE PREDIO UBICADO EN CARRETERA JOCOTEPEC-CHAPALA, ESQUINA CALLE CRISTOBAL COLÓN, EN LA LOCALIDAD DE NEXTIPAC, DEL MUNICIPIO DE JOCOTEPEC. JALISCO.</v>
      </c>
      <c r="H247" s="1"/>
      <c r="I247" s="3" t="str">
        <f>OBRA!Q586</f>
        <v>NEXTIPAC</v>
      </c>
      <c r="J247" s="3"/>
      <c r="K247" s="3"/>
      <c r="L247" s="3"/>
      <c r="M247" s="1602">
        <f>OBRA!AS586+OBRA!AT586</f>
        <v>0</v>
      </c>
      <c r="N247" s="1">
        <f>GRAL!AF588</f>
        <v>1</v>
      </c>
      <c r="O247" s="1" t="str">
        <f>GRAL!AG588</f>
        <v>LOTE</v>
      </c>
      <c r="P247" s="1"/>
      <c r="Q247" s="1"/>
    </row>
    <row r="248" spans="1:17" ht="120" hidden="1">
      <c r="A248" s="1"/>
      <c r="B248" s="1"/>
      <c r="C248" s="1" t="str">
        <f>OBRA!CB587</f>
        <v>2021-2024</v>
      </c>
      <c r="D248" s="1">
        <f>OBRA!J587</f>
        <v>2021</v>
      </c>
      <c r="E248" s="1598" t="str">
        <f>OBRA!O587</f>
        <v>SERVICIOS</v>
      </c>
      <c r="F248" s="1598" t="str">
        <f>OBRA!N587</f>
        <v>C.P.S.P. D.O.P. 003/2021</v>
      </c>
      <c r="G248"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OBRA!Q587</f>
        <v>CABECERA MUNICIPAL</v>
      </c>
      <c r="J248" s="3"/>
      <c r="K248" s="3"/>
      <c r="L248" s="3"/>
      <c r="M248" s="1602">
        <f>OBRA!AS587+OBRA!AT587</f>
        <v>0</v>
      </c>
      <c r="N248" s="1">
        <f>GRAL!AF589</f>
        <v>1</v>
      </c>
      <c r="O248" s="1" t="str">
        <f>GRAL!AG589</f>
        <v>LEV-TOP</v>
      </c>
      <c r="P248" s="1"/>
      <c r="Q248" s="1"/>
    </row>
    <row r="249" spans="1:17" ht="60" hidden="1">
      <c r="A249" s="1"/>
      <c r="B249" s="1"/>
      <c r="C249" s="1" t="str">
        <f>OBRA!CB588</f>
        <v>2021-2024</v>
      </c>
      <c r="D249" s="1">
        <f>OBRA!J588</f>
        <v>2021</v>
      </c>
      <c r="E249" s="1598" t="str">
        <f>OBRA!O588</f>
        <v>SERVICIOS</v>
      </c>
      <c r="F249" s="1598" t="str">
        <f>OBRA!N588</f>
        <v>C.P.S.P. D.O.P. 004/2021</v>
      </c>
      <c r="G249" s="3" t="str">
        <f>OBRA!P588</f>
        <v>"LOS ANTEPROYECTOS Y PROYECTOS EJECUTIVOS DE LAS LÍNEAS POR BOPMBEO Y POR GRAVEDAD DEL POZO ALLENDE AL TANQUE DE ALMACENAMIENTO, EN LA CABECERA MUNICIPAL DE JOCOTEPEC, JALISCO.</v>
      </c>
      <c r="H249" s="1"/>
      <c r="I249" s="3" t="str">
        <f>OBRA!Q588</f>
        <v>CABECERA MUNICIPAL</v>
      </c>
      <c r="J249" s="3"/>
      <c r="K249" s="3"/>
      <c r="L249" s="3"/>
      <c r="M249" s="1602">
        <f>OBRA!AS588+OBRA!AT588</f>
        <v>0</v>
      </c>
      <c r="N249" s="1">
        <f>GRAL!AF590</f>
        <v>1</v>
      </c>
      <c r="O249" s="1" t="str">
        <f>GRAL!AG590</f>
        <v>LOTE</v>
      </c>
      <c r="P249" s="1"/>
      <c r="Q249" s="1"/>
    </row>
    <row r="250" spans="1:17" ht="22.5" hidden="1">
      <c r="A250" s="1"/>
      <c r="B250" s="1"/>
      <c r="C250" s="1" t="str">
        <f>OBRA!CB589</f>
        <v>2021-2024</v>
      </c>
      <c r="D250" s="1">
        <f>OBRA!J589</f>
        <v>2021</v>
      </c>
      <c r="E250" s="1598" t="str">
        <f>OBRA!O589</f>
        <v>CANCELADA</v>
      </c>
      <c r="F250" s="1598" t="str">
        <f>OBRA!N589</f>
        <v>GMJ 001C- OP/2021</v>
      </c>
      <c r="G250" s="3">
        <f>OBRA!P589</f>
        <v>0</v>
      </c>
      <c r="H250" s="1"/>
      <c r="I250" s="3">
        <f>OBRA!Q589</f>
        <v>0</v>
      </c>
      <c r="J250" s="3"/>
      <c r="K250" s="3"/>
      <c r="L250" s="3"/>
      <c r="M250" s="1602">
        <f>OBRA!AS589+OBRA!AT589</f>
        <v>0</v>
      </c>
      <c r="N250" s="1">
        <f>GRAL!AF591</f>
        <v>0</v>
      </c>
      <c r="O250" s="1">
        <f>GRAL!AG591</f>
        <v>0</v>
      </c>
      <c r="P250" s="1"/>
      <c r="Q250" s="1"/>
    </row>
    <row r="251" spans="1:17" ht="45">
      <c r="A251" s="1"/>
      <c r="B251" s="1600"/>
      <c r="C251" s="1" t="str">
        <f>OBRA!CB590</f>
        <v>2021-2024</v>
      </c>
      <c r="D251" s="1">
        <f>OBRA!J590</f>
        <v>2021</v>
      </c>
      <c r="E251" s="1598" t="str">
        <f>OBRA!O590</f>
        <v>ADJUDICACIÓN DIRECTA</v>
      </c>
      <c r="F251" s="1281" t="str">
        <f>OBRA!N590</f>
        <v>GMJ 002C- OP/2021</v>
      </c>
      <c r="G251" s="3" t="str">
        <f>OBRA!P590</f>
        <v>"REHABILITACIÓN DE LÍNEA DE AGUA POTABLE Y LÍNEA DRENAJE EN CALLE LIBERTAD" EN LA DELEGACIÓN DE POTRERILLOS, DEL MUNICIPIO DE JOCOTEPEC, JALISCO.</v>
      </c>
      <c r="H251" s="1598" t="s">
        <v>4753</v>
      </c>
      <c r="I251" s="3" t="str">
        <f>OBRA!Q590</f>
        <v>POTRERILLOS</v>
      </c>
      <c r="J251" s="3" t="s">
        <v>3146</v>
      </c>
      <c r="K251" s="3" t="s">
        <v>4720</v>
      </c>
      <c r="L251" s="3" t="s">
        <v>4804</v>
      </c>
      <c r="M251" s="1633">
        <f>OBRA!R590</f>
        <v>715198.43</v>
      </c>
      <c r="N251" s="242">
        <f>GRAL!AF592</f>
        <v>216</v>
      </c>
      <c r="O251" s="242" t="str">
        <f>GRAL!AG592</f>
        <v>ML</v>
      </c>
      <c r="P251" s="510"/>
      <c r="Q251" s="2"/>
    </row>
    <row r="252" spans="1:17" ht="102" customHeight="1">
      <c r="A252" s="1"/>
      <c r="B252" s="1600"/>
      <c r="C252" s="1" t="str">
        <f>OBRA!CB591</f>
        <v>2021-2024</v>
      </c>
      <c r="D252" s="1">
        <f>OBRA!J591</f>
        <v>2021</v>
      </c>
      <c r="E252" s="1598" t="str">
        <f>OBRA!O591</f>
        <v>ADJUDICACIÓN DIRECTA</v>
      </c>
      <c r="F252" s="1281" t="str">
        <f>OBRA!N591</f>
        <v>GMJ 003C- OP/2021</v>
      </c>
      <c r="G252" s="3" t="str">
        <f>OBRA!P591</f>
        <v>"REHABILITACIÓN DE LÍNEA DE AGUA POTABLE EN CALLE GUADALUPE VICTORIA ENTRE CARRETERA Y C. LA PAZ, Y EN C. LA PAZ DE CALLE GUADALUPE VICTORIA AL CADENAMIENTO 0+516.00"EN LA DELEGACIÓN DE SAN JUAN COSALÁ, DEL MUNICIPIO DE JOCOTEPEC, JALISCO.</v>
      </c>
      <c r="H252" s="1598" t="s">
        <v>4745</v>
      </c>
      <c r="I252" s="3" t="str">
        <f>OBRA!Q591</f>
        <v>SAN JUAN COSALÁ</v>
      </c>
      <c r="J252" s="3" t="s">
        <v>4811</v>
      </c>
      <c r="K252" s="3" t="s">
        <v>68</v>
      </c>
      <c r="L252" s="3" t="s">
        <v>68</v>
      </c>
      <c r="M252" s="1602">
        <f>OBRA!AS591+OBRA!AT591</f>
        <v>347130.34</v>
      </c>
      <c r="N252" s="242">
        <f>GRAL!AF593</f>
        <v>436</v>
      </c>
      <c r="O252" s="242" t="str">
        <f>GRAL!AG593</f>
        <v>ML</v>
      </c>
      <c r="P252" s="2" t="s">
        <v>4939</v>
      </c>
      <c r="Q252" s="2"/>
    </row>
    <row r="253" spans="1:17" ht="95.25" customHeight="1">
      <c r="A253" s="1"/>
      <c r="B253" s="1600"/>
      <c r="C253" s="1" t="str">
        <f>OBRA!CB592</f>
        <v>2021-2024</v>
      </c>
      <c r="D253" s="1">
        <f>OBRA!J592</f>
        <v>2021</v>
      </c>
      <c r="E253" s="1598" t="str">
        <f>OBRA!O592</f>
        <v>ADJUDICACIÓN DIRECTA</v>
      </c>
      <c r="F253" s="1281" t="str">
        <f>OBRA!N592</f>
        <v>GMJ 004C- OP/2021</v>
      </c>
      <c r="G253"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598" t="s">
        <v>4747</v>
      </c>
      <c r="I253" s="3" t="str">
        <f>OBRA!Q592</f>
        <v>SAN JUAN COSALÁ</v>
      </c>
      <c r="J253" s="3" t="s">
        <v>4811</v>
      </c>
      <c r="K253" s="3" t="s">
        <v>68</v>
      </c>
      <c r="L253" s="3" t="s">
        <v>68</v>
      </c>
      <c r="M253" s="1602">
        <f>OBRA!AS592+OBRA!AT592</f>
        <v>791064.19</v>
      </c>
      <c r="N253" s="242">
        <f>GRAL!AF594</f>
        <v>510.53</v>
      </c>
      <c r="O253" s="242" t="str">
        <f>GRAL!AG594</f>
        <v>ML</v>
      </c>
      <c r="P253" s="2" t="s">
        <v>4940</v>
      </c>
      <c r="Q253" s="2"/>
    </row>
    <row r="254" spans="1:17" ht="63.75" customHeight="1">
      <c r="A254" s="1"/>
      <c r="B254" s="1600"/>
      <c r="C254" s="1" t="str">
        <f>OBRA!CB593</f>
        <v>2021-2024</v>
      </c>
      <c r="D254" s="1">
        <f>OBRA!J593</f>
        <v>2021</v>
      </c>
      <c r="E254" s="1598" t="str">
        <f>OBRA!O593</f>
        <v>ADJUDICACIÓN DIRECTA</v>
      </c>
      <c r="F254" s="1281" t="str">
        <f>OBRA!N593</f>
        <v>GMJ 005C- OP/2021</v>
      </c>
      <c r="G254" s="3" t="str">
        <f>OBRA!P593</f>
        <v>"CONSTRUCCIÓN DE BANQUETAS EN CALLE LAZARO CÁRDENAS ENTRE C. VERANO Y C. INVIERNO" EN LA CABECERA MUNICIPAL DE JOCOTEPEC, JALISCO.</v>
      </c>
      <c r="H254" s="1598" t="s">
        <v>4748</v>
      </c>
      <c r="I254" s="3" t="str">
        <f>OBRA!Q593</f>
        <v>CABECERA MUNICIPAL</v>
      </c>
      <c r="J254" s="3" t="s">
        <v>4683</v>
      </c>
      <c r="K254" s="3" t="s">
        <v>2542</v>
      </c>
      <c r="L254" s="3" t="s">
        <v>2697</v>
      </c>
      <c r="M254" s="1602">
        <f>OBRA!AS593+OBRA!AT593</f>
        <v>100144.26</v>
      </c>
      <c r="N254" s="242">
        <f>GRAL!AF595</f>
        <v>155.30000000000001</v>
      </c>
      <c r="O254" s="242" t="str">
        <f>GRAL!AG595</f>
        <v>M2</v>
      </c>
      <c r="P254" s="2" t="s">
        <v>4941</v>
      </c>
      <c r="Q254" s="2"/>
    </row>
    <row r="255" spans="1:17" ht="76.5" customHeight="1">
      <c r="A255" s="1"/>
      <c r="B255" s="1600"/>
      <c r="C255" s="1" t="str">
        <f>OBRA!CB594</f>
        <v>2021-2024</v>
      </c>
      <c r="D255" s="1">
        <f>OBRA!J594</f>
        <v>2021</v>
      </c>
      <c r="E255" s="1598" t="str">
        <f>OBRA!O594</f>
        <v>ADJUDICACIÓN DIRECTA</v>
      </c>
      <c r="F255" s="1281" t="str">
        <f>OBRA!N594</f>
        <v>GMJ 006C- OP/2021</v>
      </c>
      <c r="G255" s="3" t="str">
        <f>OBRA!P594</f>
        <v>"REHABILITACIÓN DE LÍNEA ALIMENTADORA DE AGUA POTABLE DE 6" EN C. LA PAZ ENTRE C. HIDALGO Y C. TACUBA" EN LA DELEGACIÓN DE SAN JUAN COSALÁ, DEL MUNICIPIO DE JOCOTEPEC, JALISCO.</v>
      </c>
      <c r="H255" s="1598" t="s">
        <v>4745</v>
      </c>
      <c r="I255" s="3" t="str">
        <f>OBRA!Q594</f>
        <v>SAN JUAN COSALÁ</v>
      </c>
      <c r="J255" s="3" t="s">
        <v>2636</v>
      </c>
      <c r="K255" s="3" t="s">
        <v>2619</v>
      </c>
      <c r="L255" s="3" t="s">
        <v>4771</v>
      </c>
      <c r="M255" s="1602">
        <f>OBRA!AS594+OBRA!AT594</f>
        <v>252763.45</v>
      </c>
      <c r="N255" s="242">
        <f>GRAL!AF596</f>
        <v>160</v>
      </c>
      <c r="O255" s="242" t="str">
        <f>GRAL!AG596</f>
        <v>ML</v>
      </c>
      <c r="P255" s="2" t="s">
        <v>4942</v>
      </c>
      <c r="Q255" s="2"/>
    </row>
    <row r="256" spans="1:17" ht="71.25" customHeight="1">
      <c r="A256" s="1"/>
      <c r="B256" s="1600"/>
      <c r="C256" s="1" t="str">
        <f>OBRA!CB595</f>
        <v>2021-2024</v>
      </c>
      <c r="D256" s="1">
        <f>OBRA!J595</f>
        <v>2021</v>
      </c>
      <c r="E256" s="1598" t="str">
        <f>OBRA!O595</f>
        <v>ADJUDICACIÓN DIRECTA</v>
      </c>
      <c r="F256" s="1281" t="str">
        <f>OBRA!N595</f>
        <v>GMJ 007C- OP/2021</v>
      </c>
      <c r="G256" s="3" t="str">
        <f>OBRA!P595</f>
        <v>"REHABILITACIÓN DE LÍNEA DE AGUA POTABLE EN LA CALLE RIVERA DEL LAGO ENTRE CALLE MORELOS Y LA CALLE GUAYABITOS" EN LA DELEGACIÓN DE CHANTEPEC, DEL MUNICIPIO DE JOCOTEPEC, JALISCO</v>
      </c>
      <c r="H256" s="1598" t="s">
        <v>4745</v>
      </c>
      <c r="I256" s="3" t="str">
        <f>OBRA!Q595</f>
        <v>CHANTEPEC</v>
      </c>
      <c r="J256" s="3" t="s">
        <v>2566</v>
      </c>
      <c r="K256" s="3" t="s">
        <v>2488</v>
      </c>
      <c r="L256" s="3" t="s">
        <v>4073</v>
      </c>
      <c r="M256" s="1602">
        <f>OBRA!AS595+OBRA!AT595</f>
        <v>347130.35</v>
      </c>
      <c r="N256" s="242">
        <f>GRAL!AF597</f>
        <v>324.42</v>
      </c>
      <c r="O256" s="242" t="str">
        <f>GRAL!AG597</f>
        <v>ML</v>
      </c>
      <c r="P256" s="2" t="s">
        <v>4943</v>
      </c>
      <c r="Q256" s="2"/>
    </row>
    <row r="257" spans="1:17" ht="45" customHeight="1">
      <c r="A257" s="1"/>
      <c r="B257" s="1600"/>
      <c r="C257" s="1" t="str">
        <f>OBRA!CB596</f>
        <v>2021-2024</v>
      </c>
      <c r="D257" s="1">
        <f>OBRA!J596</f>
        <v>2022</v>
      </c>
      <c r="E257" s="1598" t="str">
        <f>OBRA!O596</f>
        <v>ADMINISTRACIÓN DIRECTA</v>
      </c>
      <c r="F257" s="1281" t="str">
        <f>OBRA!N596</f>
        <v>DOP/AD/001/2022</v>
      </c>
      <c r="G257" s="3" t="str">
        <f>OBRA!P596</f>
        <v>CUARTO DE EMERGENCIA PARA MUJERES EN SITUACIÓN DE VIOLENCIA EXTREMA…</v>
      </c>
      <c r="H257" s="1598" t="s">
        <v>4758</v>
      </c>
      <c r="I257" s="3" t="str">
        <f>OBRA!Q596</f>
        <v>-</v>
      </c>
      <c r="J257" s="3" t="s">
        <v>68</v>
      </c>
      <c r="K257" s="3" t="s">
        <v>68</v>
      </c>
      <c r="L257" s="3" t="s">
        <v>68</v>
      </c>
      <c r="M257" s="1633">
        <f>OBRA!R596</f>
        <v>70000</v>
      </c>
      <c r="N257" s="242">
        <f>GRAL!AF598</f>
        <v>0</v>
      </c>
      <c r="O257" s="242" t="str">
        <f>GRAL!AG598</f>
        <v>M2</v>
      </c>
      <c r="P257" s="2" t="s">
        <v>68</v>
      </c>
      <c r="Q257" s="1139"/>
    </row>
    <row r="258" spans="1:17" ht="63" customHeight="1">
      <c r="A258" s="1"/>
      <c r="B258" s="1600"/>
      <c r="C258" s="1" t="str">
        <f>OBRA!CB597</f>
        <v>2021-2024</v>
      </c>
      <c r="D258" s="1">
        <f>OBRA!J597</f>
        <v>2022</v>
      </c>
      <c r="E258" s="1598" t="str">
        <f>OBRA!O597</f>
        <v>ADMINISTRACIÓN DIRECTA</v>
      </c>
      <c r="F258" s="1281" t="str">
        <f>OBRA!N597</f>
        <v>DOP/AD/002/2022</v>
      </c>
      <c r="G258" s="3" t="str">
        <f>OBRA!P597</f>
        <v>"CONSTRUCCIÓN DE BANQUETAS EN EL PUENTE 20 DE NOVIEMBRE", EN LA LOCALIDAD DE ZAPOTITÁN DE HIDALGO, DEL MUNICIPIO DE JOCOTEPEC, JALISCO.</v>
      </c>
      <c r="H258" s="1598" t="s">
        <v>4748</v>
      </c>
      <c r="I258" s="3" t="str">
        <f>OBRA!Q597</f>
        <v>ZAPOTITÁN DE HIDALGO</v>
      </c>
      <c r="J258" s="3" t="s">
        <v>2687</v>
      </c>
      <c r="K258" s="3" t="s">
        <v>4812</v>
      </c>
      <c r="L258" s="3" t="s">
        <v>68</v>
      </c>
      <c r="M258" s="1633">
        <f>OBRA!R597</f>
        <v>60152.28</v>
      </c>
      <c r="N258" s="242">
        <f>GRAL!AF599</f>
        <v>70.05</v>
      </c>
      <c r="O258" s="242" t="str">
        <f>GRAL!AG599</f>
        <v>M2</v>
      </c>
      <c r="P258" s="2" t="s">
        <v>4903</v>
      </c>
      <c r="Q258" s="1139"/>
    </row>
    <row r="259" spans="1:17" ht="86.25" customHeight="1">
      <c r="A259" s="1"/>
      <c r="B259" s="1600"/>
      <c r="C259" s="1" t="str">
        <f>OBRA!CB598</f>
        <v>2021-2024</v>
      </c>
      <c r="D259" s="1">
        <f>OBRA!J598</f>
        <v>2022</v>
      </c>
      <c r="E259" s="1598" t="str">
        <f>OBRA!O598</f>
        <v>ADMINISTRACIÓN DIRECTA</v>
      </c>
      <c r="F259" s="1281" t="str">
        <f>OBRA!N598</f>
        <v>DOP/AD/003/2022</v>
      </c>
      <c r="G259" s="3" t="str">
        <f>OBRA!P598</f>
        <v>“CONSTRUCCIÓN DEL TECHO DE LA SALA DE JUNTAS DEL PUNTO INOCUO DE DESEMBARQUE UBICADO DENTRO DE LAS INSTALACIONES DE LA COOPERATIVA”, EN LA LOCALIDAD DE SAN JUAN COSALÁ, DEL MUNICIPIO DE JOCOTEPEC, JALISCO</v>
      </c>
      <c r="H259" s="1598" t="s">
        <v>4758</v>
      </c>
      <c r="I259" s="3" t="str">
        <f>OBRA!Q598</f>
        <v>SAN JUAN COSALÁ</v>
      </c>
      <c r="J259" s="3" t="s">
        <v>4888</v>
      </c>
      <c r="K259" s="3" t="s">
        <v>2535</v>
      </c>
      <c r="L259" s="3" t="s">
        <v>4767</v>
      </c>
      <c r="M259" s="1633">
        <f>OBRA!R598</f>
        <v>81200</v>
      </c>
      <c r="N259" s="242">
        <f>GRAL!AF600</f>
        <v>67</v>
      </c>
      <c r="O259" s="242" t="str">
        <f>GRAL!AG600</f>
        <v>M2</v>
      </c>
      <c r="P259" s="2" t="s">
        <v>68</v>
      </c>
      <c r="Q259" s="1139"/>
    </row>
    <row r="260" spans="1:17" ht="60">
      <c r="A260" s="1"/>
      <c r="B260" s="1600"/>
      <c r="C260" s="1" t="str">
        <f>OBRA!CB599</f>
        <v>2021-2024</v>
      </c>
      <c r="D260" s="1">
        <f>OBRA!J599</f>
        <v>2022</v>
      </c>
      <c r="E260" s="1598" t="str">
        <f>OBRA!O599</f>
        <v>ADMINISTRACIÓN DIRECTA</v>
      </c>
      <c r="F260" s="1281" t="str">
        <f>OBRA!N599</f>
        <v>DOP/AD/001-A/2022</v>
      </c>
      <c r="G260" s="3" t="str">
        <f>OBRA!P599</f>
        <v>"REHABILITACIÓN DE EXTENSIÓN DE RED DE AGUA POTABLE DE 4" EN CALLE PROL. MORELOS ENTRE CALLE RIBERA DEL LAGO Y CALLE CHUECA" EN LA LOCALIDAD DE NEXTIPAC, DEL MUNICIPIO DE JOCOTEPEC, JALISCO.</v>
      </c>
      <c r="H260" s="1598" t="s">
        <v>4745</v>
      </c>
      <c r="I260" s="3" t="str">
        <f>OBRA!Q599</f>
        <v>NEXTIPAC</v>
      </c>
      <c r="J260" s="3" t="s">
        <v>4697</v>
      </c>
      <c r="K260" s="3" t="s">
        <v>4710</v>
      </c>
      <c r="L260" s="3" t="s">
        <v>4020</v>
      </c>
      <c r="M260" s="1633">
        <f>OBRA!R599</f>
        <v>330190.86</v>
      </c>
      <c r="N260" s="1634">
        <f>GRAL!AF601</f>
        <v>666</v>
      </c>
      <c r="O260" s="1634" t="str">
        <f>GRAL!AG601</f>
        <v>ML</v>
      </c>
      <c r="P260" s="2" t="s">
        <v>68</v>
      </c>
      <c r="Q260" s="1139"/>
    </row>
    <row r="261" spans="1:17" ht="63" customHeight="1">
      <c r="A261" s="1"/>
      <c r="B261" s="1600"/>
      <c r="C261" s="1" t="str">
        <f>OBRA!CB600</f>
        <v>2021-2024</v>
      </c>
      <c r="D261" s="1">
        <f>OBRA!J600</f>
        <v>2022</v>
      </c>
      <c r="E261" s="1598" t="str">
        <f>OBRA!O600</f>
        <v>ADMINISTRACIÓN DIRECTA</v>
      </c>
      <c r="F261" s="1281" t="str">
        <f>OBRA!N600</f>
        <v>DOP/AD/005/2022</v>
      </c>
      <c r="G261" s="3" t="str">
        <f>OBRA!P600</f>
        <v>"CONSTRUCCIÓN DE SUPERFICIE DE RODAMIENTO EN CALLE 12 DE OCTUBRE", EN LA LOCALIDAD DE SAN PEDRO TESISTÁN, DEL MUNICIPIO DE JOCOTEPEC, JALISCO</v>
      </c>
      <c r="H261" s="1598" t="s">
        <v>4752</v>
      </c>
      <c r="I261" s="3" t="str">
        <f>OBRA!Q600</f>
        <v>SAN PEDRO TESISTÁN</v>
      </c>
      <c r="J261" s="3" t="s">
        <v>2609</v>
      </c>
      <c r="K261" s="3" t="s">
        <v>4766</v>
      </c>
      <c r="L261" s="3" t="s">
        <v>68</v>
      </c>
      <c r="M261" s="1633">
        <f>OBRA!R600</f>
        <v>86073.66</v>
      </c>
      <c r="N261" s="219">
        <f>GRAL!AF602</f>
        <v>134</v>
      </c>
      <c r="O261" s="1" t="str">
        <f>GRAL!AG602</f>
        <v>M2</v>
      </c>
      <c r="P261" s="2" t="s">
        <v>4902</v>
      </c>
      <c r="Q261" s="1139"/>
    </row>
    <row r="262" spans="1:17" ht="61.5" customHeight="1">
      <c r="A262" s="1"/>
      <c r="B262" s="1600"/>
      <c r="C262" s="1" t="str">
        <f>OBRA!CB601</f>
        <v>2021-2024</v>
      </c>
      <c r="D262" s="1">
        <f>OBRA!J601</f>
        <v>2022</v>
      </c>
      <c r="E262" s="1598" t="str">
        <f>OBRA!O601</f>
        <v>ADMINISTRACIÓN DIRECTA</v>
      </c>
      <c r="F262" s="1281" t="str">
        <f>OBRA!N601</f>
        <v>DOP/AD/006/2022</v>
      </c>
      <c r="G262" s="3" t="str">
        <f>OBRA!P601</f>
        <v>"CONSTRUCCIÓN DE SUPERFICIE DE RODAMIENTO EN CALLE LIBERTAD", EN LA LOCALIDAD DE SAN PEDRO TESISTÁN, DEL MUNICIPIO DE JOCOTEPEC, JALISCO</v>
      </c>
      <c r="H262" s="1598" t="s">
        <v>4752</v>
      </c>
      <c r="I262" s="3" t="str">
        <f>OBRA!Q601</f>
        <v>SAN PEDRO TESISTÁN</v>
      </c>
      <c r="J262" s="3" t="s">
        <v>3146</v>
      </c>
      <c r="K262" s="3" t="s">
        <v>4766</v>
      </c>
      <c r="L262" s="3" t="s">
        <v>68</v>
      </c>
      <c r="M262" s="1633">
        <f>OBRA!R601</f>
        <v>109829.72</v>
      </c>
      <c r="N262" s="219">
        <f>GRAL!AF603</f>
        <v>210.5</v>
      </c>
      <c r="O262" s="1" t="str">
        <f>GRAL!AG603</f>
        <v>M2</v>
      </c>
      <c r="P262" s="2" t="s">
        <v>4902</v>
      </c>
      <c r="Q262" s="1139"/>
    </row>
    <row r="263" spans="1:17" ht="30" hidden="1">
      <c r="A263" s="1"/>
      <c r="B263" s="1600"/>
      <c r="C263" s="1" t="str">
        <f>OBRA!CB602</f>
        <v>2021-2024</v>
      </c>
      <c r="D263" s="1">
        <f>OBRA!J602</f>
        <v>2022</v>
      </c>
      <c r="E263" s="1598" t="str">
        <f>OBRA!O602</f>
        <v>MANTENIMIENTOS</v>
      </c>
      <c r="F263" s="1281" t="str">
        <f>OBRA!N602</f>
        <v>MANTENIMIENTOS</v>
      </c>
      <c r="G263" s="3" t="str">
        <f>OBRA!P602</f>
        <v>REMODELACIÓN DE PRESIDENCIA</v>
      </c>
      <c r="H263" s="1598"/>
      <c r="I263" s="3" t="str">
        <f>OBRA!Q602</f>
        <v>CABECERA MUNICIPAL</v>
      </c>
      <c r="J263" s="3"/>
      <c r="K263" s="3"/>
      <c r="L263" s="3"/>
      <c r="M263" s="1633">
        <f>OBRA!R602</f>
        <v>0</v>
      </c>
      <c r="N263" s="1634">
        <f>GRAL!AF604</f>
        <v>0</v>
      </c>
      <c r="O263" s="1634">
        <f>GRAL!AG604</f>
        <v>0</v>
      </c>
      <c r="P263" s="2" t="s">
        <v>68</v>
      </c>
      <c r="Q263" s="1139"/>
    </row>
    <row r="264" spans="1:17" ht="30">
      <c r="A264" s="1"/>
      <c r="B264" s="1600"/>
      <c r="C264" s="1" t="str">
        <f>OBRA!CB603</f>
        <v>2021-2024</v>
      </c>
      <c r="D264" s="1">
        <f>OBRA!J603</f>
        <v>2022</v>
      </c>
      <c r="E264" s="1598" t="str">
        <f>OBRA!O603</f>
        <v>ADMINISTRACIÓN DIRECTA</v>
      </c>
      <c r="F264" s="1281" t="str">
        <f>OBRA!N603</f>
        <v>DOP/AD/007/2022</v>
      </c>
      <c r="G264" s="3" t="str">
        <f>OBRA!P603</f>
        <v>“CONSTRUCCIÓN DE BAÑOS PÚBLICOS”, EN LA LOCALIDAD DE EL MOLINO, DEL MUNICIPIO DE JOCOTEPEC, JALISCO</v>
      </c>
      <c r="H264" s="1598" t="s">
        <v>5408</v>
      </c>
      <c r="I264" s="3" t="str">
        <f>OBRA!Q603</f>
        <v>EL MOLINO</v>
      </c>
      <c r="J264" s="3" t="s">
        <v>2619</v>
      </c>
      <c r="K264" s="3" t="s">
        <v>5411</v>
      </c>
      <c r="L264" s="3" t="s">
        <v>5412</v>
      </c>
      <c r="M264" s="1633">
        <f>OBRA!R603</f>
        <v>297707.86</v>
      </c>
      <c r="N264" s="1634">
        <f>GRAL!AF605</f>
        <v>20.82</v>
      </c>
      <c r="O264" s="1634" t="str">
        <f>GRAL!AG605</f>
        <v>M2</v>
      </c>
      <c r="P264" s="2" t="s">
        <v>68</v>
      </c>
      <c r="Q264" s="1139"/>
    </row>
    <row r="265" spans="1:17" ht="30" hidden="1">
      <c r="A265" s="1"/>
      <c r="B265" s="1600"/>
      <c r="C265" s="1" t="str">
        <f>OBRA!CB604</f>
        <v>2021-2024</v>
      </c>
      <c r="D265" s="1">
        <f>OBRA!J604</f>
        <v>2022</v>
      </c>
      <c r="E265" s="1598" t="str">
        <f>OBRA!O604</f>
        <v>ADMINISTRACIÓN DIRECTA</v>
      </c>
      <c r="F265" s="1281" t="str">
        <f>OBRA!N604</f>
        <v>DOP/AD/001-B/2022</v>
      </c>
      <c r="G265" s="3" t="str">
        <f>OBRA!P604</f>
        <v>"REMODELACIÓN DE PRESIDENCIA (2DA ETAPA)", EN LA CABECERA MUNICIPAL DE JOCOTEPEC.</v>
      </c>
      <c r="H265" s="1598"/>
      <c r="I265" s="3" t="str">
        <f>OBRA!Q604</f>
        <v>CABECERA MUNICIPAL</v>
      </c>
      <c r="J265" s="3"/>
      <c r="K265" s="3"/>
      <c r="L265" s="3"/>
      <c r="M265" s="1633">
        <f>OBRA!R604</f>
        <v>800000</v>
      </c>
      <c r="N265" s="1634">
        <f>GRAL!AF606</f>
        <v>0</v>
      </c>
      <c r="O265" s="1634">
        <f>GRAL!AG606</f>
        <v>0</v>
      </c>
      <c r="P265" s="2" t="s">
        <v>68</v>
      </c>
      <c r="Q265" s="1139"/>
    </row>
    <row r="266" spans="1:17" ht="25.5" hidden="1">
      <c r="A266" s="1"/>
      <c r="B266" s="1600"/>
      <c r="C266" s="1" t="str">
        <f>OBRA!CB605</f>
        <v>2021-2024</v>
      </c>
      <c r="D266" s="1">
        <f>OBRA!J605</f>
        <v>2022</v>
      </c>
      <c r="E266" s="1598" t="str">
        <f>OBRA!O605</f>
        <v>CANCELADA</v>
      </c>
      <c r="F266" s="1281" t="str">
        <f>OBRA!N605</f>
        <v>DOP/AD/010/2022</v>
      </c>
      <c r="G266" s="3" t="str">
        <f>OBRA!P605</f>
        <v>-</v>
      </c>
      <c r="H266" s="1598"/>
      <c r="I266" s="3">
        <f>OBRA!Q605</f>
        <v>0</v>
      </c>
      <c r="J266" s="3"/>
      <c r="K266" s="3"/>
      <c r="L266" s="3"/>
      <c r="M266" s="1633" t="str">
        <f>OBRA!R605</f>
        <v>|</v>
      </c>
      <c r="N266" s="1634">
        <f>GRAL!AF607</f>
        <v>0</v>
      </c>
      <c r="O266" s="1634">
        <f>GRAL!AG607</f>
        <v>0</v>
      </c>
      <c r="P266" s="2" t="s">
        <v>68</v>
      </c>
      <c r="Q266" s="1139"/>
    </row>
    <row r="267" spans="1:17" ht="120" hidden="1">
      <c r="A267" s="1"/>
      <c r="B267" s="1"/>
      <c r="C267" s="1" t="str">
        <f>OBRA!CB606</f>
        <v>2021-2024</v>
      </c>
      <c r="D267" s="1">
        <f>OBRA!J606</f>
        <v>2022</v>
      </c>
      <c r="E267" s="1598" t="str">
        <f>OBRA!O606</f>
        <v xml:space="preserve">SERVICIOS </v>
      </c>
      <c r="F267" s="1598" t="str">
        <f>OBRA!N606</f>
        <v>CPSP DOP 001/2022</v>
      </c>
      <c r="G267" s="3" t="str">
        <f>OBRA!P606</f>
        <v>ESTUDIO GEOHIDROLÓGICO-GEOFÍSICOS PARA LOCALIZACIÓN Y/O PERFORACIÓN DE POZO PARA AGUA POTABLE (SAN JUAN COSALA, SAN PEDRO TESISTÁN, POTRERILLOS Y SAN LUCIANO), DEL MUNICIPIO DE JOCOTEPEC, JALISCO.</v>
      </c>
      <c r="H267" s="1"/>
      <c r="I267" s="3" t="str">
        <f>OBRA!Q606</f>
        <v>MPIO: SAN JUAN COSALA, SAN PEDRO TESISTÁN, POTRERILLOS Y SAN LUCIANO</v>
      </c>
      <c r="J267" s="3"/>
      <c r="K267" s="3"/>
      <c r="L267" s="3"/>
      <c r="M267" s="1602">
        <f>OBRA!AS606+OBRA!AT606</f>
        <v>0</v>
      </c>
      <c r="N267" s="1">
        <f>GRAL!AF608</f>
        <v>4</v>
      </c>
      <c r="O267" s="1" t="str">
        <f>GRAL!AG608</f>
        <v>ESTUDIO</v>
      </c>
      <c r="P267" s="1"/>
      <c r="Q267" s="1"/>
    </row>
    <row r="268" spans="1:17" ht="120" hidden="1">
      <c r="A268" s="1"/>
      <c r="B268" s="1"/>
      <c r="C268" s="1" t="str">
        <f>OBRA!CB607</f>
        <v>2021-2024</v>
      </c>
      <c r="D268" s="1">
        <f>OBRA!J607</f>
        <v>2022</v>
      </c>
      <c r="E268" s="1598" t="str">
        <f>OBRA!O607</f>
        <v>SERVICIOS (CANCELADO)</v>
      </c>
      <c r="F268" s="1598" t="str">
        <f>OBRA!N607</f>
        <v>CPSP DOP 002/2022</v>
      </c>
      <c r="G268" s="3" t="str">
        <f>OBRA!P607</f>
        <v>LOCALIZACIÓN DE AGUA EN PREDIOS PARA POSIBLE PERFORACIÓN DE POZO PROFUNDO POR MEDIO DE LA TÉCNICA DE RADIESTESIA EN LAS LOCALIDADES DE SAN JUAN COSALA, SAN PEDRO TESISTÁN. POTRERILLOS Y SAN LUCIANO EN EL MUNICIPIO DE JOCOTEPEC, JALISCO.</v>
      </c>
      <c r="H268" s="1"/>
      <c r="I268" s="3" t="str">
        <f>OBRA!Q607</f>
        <v>MPIO: SAN JUAN COSALA, SAN PEDRO TESISTÁN, POTRERILLOS Y SAN LUCIANO</v>
      </c>
      <c r="J268" s="3"/>
      <c r="K268" s="3"/>
      <c r="L268" s="3"/>
      <c r="M268" s="1602">
        <f>OBRA!AS607+OBRA!AT607</f>
        <v>0</v>
      </c>
      <c r="N268" s="1">
        <f>GRAL!AF609</f>
        <v>0</v>
      </c>
      <c r="O268" s="1">
        <f>GRAL!AG609</f>
        <v>0</v>
      </c>
      <c r="P268" s="1"/>
      <c r="Q268" s="1"/>
    </row>
    <row r="269" spans="1:17" ht="120" hidden="1">
      <c r="A269" s="1"/>
      <c r="B269" s="1"/>
      <c r="C269" s="1" t="str">
        <f>OBRA!CB608</f>
        <v>2021-2024</v>
      </c>
      <c r="D269" s="1">
        <f>OBRA!J608</f>
        <v>2022</v>
      </c>
      <c r="E269" s="1598" t="str">
        <f>OBRA!O608</f>
        <v xml:space="preserve">SERVICIOS </v>
      </c>
      <c r="F269" s="1598" t="str">
        <f>OBRA!N608</f>
        <v>CPSP DOP 003/2022</v>
      </c>
      <c r="G269"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OBRA!Q608</f>
        <v>CABECERA MUNICIPAL</v>
      </c>
      <c r="J269" s="3"/>
      <c r="K269" s="3"/>
      <c r="L269" s="3"/>
      <c r="M269" s="1602">
        <f>OBRA!AS608+OBRA!AT608</f>
        <v>0</v>
      </c>
      <c r="N269" s="1">
        <f>GRAL!AF610</f>
        <v>9</v>
      </c>
      <c r="O269" s="1" t="str">
        <f>GRAL!AG610</f>
        <v>PIEZAS</v>
      </c>
      <c r="P269" s="1"/>
      <c r="Q269" s="1"/>
    </row>
    <row r="270" spans="1:17" ht="60" hidden="1">
      <c r="A270" s="1"/>
      <c r="B270" s="1"/>
      <c r="C270" s="1" t="str">
        <f>OBRA!CB609</f>
        <v>2021-2024</v>
      </c>
      <c r="D270" s="1">
        <f>OBRA!J609</f>
        <v>2022</v>
      </c>
      <c r="E270" s="1598" t="str">
        <f>OBRA!O609</f>
        <v xml:space="preserve">SERVICIOS </v>
      </c>
      <c r="F270" s="1598" t="str">
        <f>OBRA!N609</f>
        <v>CPSP DOP 004/2022</v>
      </c>
      <c r="G270" s="3" t="str">
        <f>OBRA!P609</f>
        <v>LEVANTAMIENTO TOPOGRÁFICO: EN FRACCIONAMIENTO MAGISTERIAL EN ÁREA DE ARROYO Y CALLE MAGISTERIAL PARA PROYECTO DEL COLECTOR DE AGUA PLUVIAL, EN LA CABECERA MUNICIPAL DE JOCOTEPEC, JALISCO.</v>
      </c>
      <c r="H270" s="1"/>
      <c r="I270" s="3" t="str">
        <f>OBRA!Q609</f>
        <v>CABECERA MUNICIPAL</v>
      </c>
      <c r="J270" s="3"/>
      <c r="K270" s="3"/>
      <c r="L270" s="3"/>
      <c r="M270" s="1602">
        <f>OBRA!AS609+OBRA!AT609</f>
        <v>0</v>
      </c>
      <c r="N270" s="1">
        <f>GRAL!AF611</f>
        <v>1</v>
      </c>
      <c r="O270" s="1" t="str">
        <f>GRAL!AG611</f>
        <v>LEV-TOP</v>
      </c>
      <c r="P270" s="1"/>
      <c r="Q270" s="1"/>
    </row>
    <row r="271" spans="1:17" ht="22.5" hidden="1">
      <c r="A271" s="1"/>
      <c r="B271" s="1"/>
      <c r="C271" s="1" t="str">
        <f>OBRA!CB610</f>
        <v>2021-2024</v>
      </c>
      <c r="D271" s="1">
        <f>OBRA!J610</f>
        <v>2022</v>
      </c>
      <c r="E271" s="1598" t="str">
        <f>OBRA!O610</f>
        <v>CANCELADA</v>
      </c>
      <c r="F271" s="1598" t="str">
        <f>OBRA!N610</f>
        <v>CPSP DOP 005/2022</v>
      </c>
      <c r="G271" s="3" t="str">
        <f>OBRA!P610</f>
        <v>-</v>
      </c>
      <c r="H271" s="1"/>
      <c r="I271" s="3">
        <f>OBRA!Q610</f>
        <v>0</v>
      </c>
      <c r="J271" s="3"/>
      <c r="K271" s="3"/>
      <c r="L271" s="3"/>
      <c r="M271" s="1602">
        <f>OBRA!AS610+OBRA!AT610</f>
        <v>0</v>
      </c>
      <c r="N271" s="1">
        <f>GRAL!AF612</f>
        <v>0</v>
      </c>
      <c r="O271" s="1">
        <f>GRAL!AG612</f>
        <v>0</v>
      </c>
      <c r="P271" s="1"/>
      <c r="Q271" s="1"/>
    </row>
    <row r="272" spans="1:17" ht="45" hidden="1">
      <c r="A272" s="1"/>
      <c r="B272" s="1"/>
      <c r="C272" s="1" t="str">
        <f>OBRA!CB611</f>
        <v>2021-2024</v>
      </c>
      <c r="D272" s="1">
        <f>OBRA!J611</f>
        <v>2022</v>
      </c>
      <c r="E272" s="1598" t="str">
        <f>OBRA!O611</f>
        <v xml:space="preserve">SERVICIOS </v>
      </c>
      <c r="F272" s="1598" t="str">
        <f>OBRA!N611</f>
        <v>CPSP DOP 006/2022</v>
      </c>
      <c r="G272" s="3" t="str">
        <f>OBRA!P611</f>
        <v>LEVANTAMIENTO TOPOGRAFICO: PARA EL PROYECTO DE LÍNEAS DE LLENADO Y ABASTECIMIENTO DEL POZO ALLENDE AL TANQUE ELEVADO, ZONA NORTE DE LA CABECERA DE JOCOTEPEC, JALISCO.</v>
      </c>
      <c r="H272" s="1"/>
      <c r="I272" s="3" t="str">
        <f>OBRA!Q611</f>
        <v>CABECERA MUNICIPAL</v>
      </c>
      <c r="J272" s="3"/>
      <c r="K272" s="3"/>
      <c r="L272" s="3"/>
      <c r="M272" s="1602">
        <f>OBRA!AS611+OBRA!AT611</f>
        <v>0</v>
      </c>
      <c r="N272" s="1">
        <f>GRAL!AF613</f>
        <v>1</v>
      </c>
      <c r="O272" s="1" t="str">
        <f>GRAL!AG613</f>
        <v>LEV-TOP</v>
      </c>
      <c r="P272" s="1"/>
      <c r="Q272" s="1"/>
    </row>
    <row r="273" spans="1:17" ht="22.5" hidden="1">
      <c r="A273" s="1"/>
      <c r="B273" s="1"/>
      <c r="C273" s="1" t="str">
        <f>OBRA!CB612</f>
        <v>2021-2024</v>
      </c>
      <c r="D273" s="1">
        <f>OBRA!J612</f>
        <v>2022</v>
      </c>
      <c r="E273" s="1598" t="str">
        <f>OBRA!O612</f>
        <v>CANCELADA</v>
      </c>
      <c r="F273" s="1598" t="str">
        <f>OBRA!N612</f>
        <v>CPSP DOP 007/2022</v>
      </c>
      <c r="G273" s="3" t="str">
        <f>OBRA!P612</f>
        <v>-</v>
      </c>
      <c r="H273" s="1"/>
      <c r="I273" s="3">
        <f>OBRA!Q612</f>
        <v>0</v>
      </c>
      <c r="J273" s="3"/>
      <c r="K273" s="3"/>
      <c r="L273" s="3"/>
      <c r="M273" s="1602">
        <f>OBRA!AS612+OBRA!AT612</f>
        <v>0</v>
      </c>
      <c r="N273" s="1">
        <f>GRAL!AF614</f>
        <v>0</v>
      </c>
      <c r="O273" s="1">
        <f>GRAL!AG614</f>
        <v>0</v>
      </c>
      <c r="P273" s="1"/>
      <c r="Q273" s="1"/>
    </row>
    <row r="274" spans="1:17" ht="45" hidden="1">
      <c r="A274" s="1"/>
      <c r="B274" s="1"/>
      <c r="C274" s="1" t="str">
        <f>OBRA!CB613</f>
        <v>2021-2024</v>
      </c>
      <c r="D274" s="1">
        <f>OBRA!J613</f>
        <v>2022</v>
      </c>
      <c r="E274" s="1598" t="str">
        <f>OBRA!O613</f>
        <v xml:space="preserve">SERVICIOS </v>
      </c>
      <c r="F274" s="1598" t="str">
        <f>OBRA!N613</f>
        <v>CPSP DOP 008/2022</v>
      </c>
      <c r="G274" s="3" t="str">
        <f>OBRA!P613</f>
        <v>LEVANTAMIENTO TOPOGRAFICO: PARA EL PROYECTO DE LA REMODELACIÓN DE LA PLAZA PRINCIPAL DE LA LOCALIDAD DE SAN JUAN COSALA, DEL MUNICIPIO DE JOCOTEPEC, JALISCO.</v>
      </c>
      <c r="H274" s="1"/>
      <c r="I274" s="3" t="str">
        <f>OBRA!Q613</f>
        <v>SAN JUAN COSALÁ</v>
      </c>
      <c r="J274" s="3"/>
      <c r="K274" s="3"/>
      <c r="L274" s="3"/>
      <c r="M274" s="1602">
        <f>OBRA!AS613+OBRA!AT613</f>
        <v>0</v>
      </c>
      <c r="N274" s="1">
        <f>GRAL!AF615</f>
        <v>1</v>
      </c>
      <c r="O274" s="1" t="str">
        <f>GRAL!AG615</f>
        <v>LEV-TOP</v>
      </c>
      <c r="P274" s="1"/>
      <c r="Q274" s="1"/>
    </row>
    <row r="275" spans="1:17" ht="60" hidden="1">
      <c r="A275" s="1"/>
      <c r="B275" s="1"/>
      <c r="C275" s="1" t="str">
        <f>OBRA!CB614</f>
        <v>2021-2024</v>
      </c>
      <c r="D275" s="1">
        <f>OBRA!J614</f>
        <v>2022</v>
      </c>
      <c r="E275" s="1598" t="str">
        <f>OBRA!O614</f>
        <v xml:space="preserve">SERVICIOS </v>
      </c>
      <c r="F275" s="1598" t="str">
        <f>OBRA!N614</f>
        <v>CPSP DOP 009/2022</v>
      </c>
      <c r="G275" s="3" t="str">
        <f>OBRA!P614</f>
        <v>SERVICIO DE LABORATORIO, SONDEOS CON EQUIPOS DE PENETRACIÓN ESTÁNDAR PARA LA CONSTRUCCIÓN DE PUENTE PEATONAL EN LA CALLE ALLENDE, DE LA LOCALIDAD DE ZAPOTITÁN DE HIDALGO, DEL MUNICIPIO DE JOCOTEPEC, JALISCO.</v>
      </c>
      <c r="H275" s="1"/>
      <c r="I275" s="3" t="str">
        <f>OBRA!Q614</f>
        <v>ZAPOTITÁN DE HIDALGO</v>
      </c>
      <c r="J275" s="3"/>
      <c r="K275" s="3"/>
      <c r="L275" s="3"/>
      <c r="M275" s="1602">
        <f>OBRA!AS614+OBRA!AT614</f>
        <v>0</v>
      </c>
      <c r="N275" s="1">
        <f>GRAL!AF616</f>
        <v>1</v>
      </c>
      <c r="O275" s="1" t="str">
        <f>GRAL!AG616</f>
        <v>LOTE</v>
      </c>
      <c r="P275" s="1"/>
      <c r="Q275" s="1"/>
    </row>
    <row r="276" spans="1:17" ht="60" hidden="1">
      <c r="A276" s="1"/>
      <c r="B276" s="1"/>
      <c r="C276" s="1" t="str">
        <f>OBRA!CB615</f>
        <v>2021-2024</v>
      </c>
      <c r="D276" s="1">
        <f>OBRA!J615</f>
        <v>2022</v>
      </c>
      <c r="E276" s="1598" t="str">
        <f>OBRA!O615</f>
        <v xml:space="preserve">SERVICIOS </v>
      </c>
      <c r="F276" s="1598" t="str">
        <f>OBRA!N615</f>
        <v>CPSP DOP 010/2022</v>
      </c>
      <c r="G276" s="3" t="str">
        <f>OBRA!P615</f>
        <v>LOCALIZACIÓN DE AGUA EN PREDIOS PARA POSIBLE PERFORACIÓN DE POZO PROFUNDO POR MEDIO DE LA TÉCNICA DE RADIESTESIA EN LA LOCALIDAD DE CHANTEPEC, EN EL MUNICIPIO DE JOCOTEPEC, JALISCO.</v>
      </c>
      <c r="H276" s="1"/>
      <c r="I276" s="3" t="str">
        <f>OBRA!Q615</f>
        <v>CHANTEPEC</v>
      </c>
      <c r="J276" s="3"/>
      <c r="K276" s="3"/>
      <c r="L276" s="3"/>
      <c r="M276" s="1602">
        <f>OBRA!AS615+OBRA!AT615</f>
        <v>0</v>
      </c>
      <c r="N276" s="1">
        <f>GRAL!AF617</f>
        <v>1</v>
      </c>
      <c r="O276" s="1" t="str">
        <f>GRAL!AG617</f>
        <v>LOTE</v>
      </c>
      <c r="P276" s="1"/>
      <c r="Q276" s="1"/>
    </row>
    <row r="277" spans="1:17" ht="60" hidden="1">
      <c r="A277" s="1"/>
      <c r="B277" s="1"/>
      <c r="C277" s="1" t="str">
        <f>OBRA!CB616</f>
        <v>2021-2024</v>
      </c>
      <c r="D277" s="1">
        <f>OBRA!J616</f>
        <v>2022</v>
      </c>
      <c r="E277" s="1598" t="str">
        <f>OBRA!O616</f>
        <v xml:space="preserve">SERVICIOS </v>
      </c>
      <c r="F277" s="1598" t="str">
        <f>OBRA!N616</f>
        <v>CPSP DOP 011/2022</v>
      </c>
      <c r="G277" s="3" t="str">
        <f>OBRA!P616</f>
        <v>ESTUDIO GEOHIDROLÓGICO-GEOFÍSICO Y PROSPECCIÓN GEOFÍSICA CON FINES DE LOCALIZAR AGUA SUBTERRANEA EN LA LOCALIDAD DE CHANTEPEC, DEL MUNICIPIO DE JOCOTEPEC, JALISCO.</v>
      </c>
      <c r="H277" s="1"/>
      <c r="I277" s="3" t="str">
        <f>OBRA!Q616</f>
        <v>CHANTEPEC</v>
      </c>
      <c r="J277" s="3"/>
      <c r="K277" s="3"/>
      <c r="L277" s="3"/>
      <c r="M277" s="1602">
        <f>OBRA!AS616+OBRA!AT616</f>
        <v>0</v>
      </c>
      <c r="N277" s="1">
        <f>GRAL!AF618</f>
        <v>1</v>
      </c>
      <c r="O277" s="1" t="str">
        <f>GRAL!AG618</f>
        <v>ESTUDIO</v>
      </c>
      <c r="P277" s="1"/>
      <c r="Q277" s="1"/>
    </row>
    <row r="278" spans="1:17" ht="75" hidden="1">
      <c r="A278" s="1"/>
      <c r="B278" s="1"/>
      <c r="C278" s="1" t="str">
        <f>OBRA!CB617</f>
        <v>2021-2024</v>
      </c>
      <c r="D278" s="1">
        <f>OBRA!J617</f>
        <v>2022</v>
      </c>
      <c r="E278" s="1598" t="str">
        <f>OBRA!O617</f>
        <v xml:space="preserve">SERVICIOS </v>
      </c>
      <c r="F278" s="1598" t="str">
        <f>OBRA!N617</f>
        <v>CPSP DOP 012/2022</v>
      </c>
      <c r="G278" s="3" t="str">
        <f>OBRA!P617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OBRA!Q617</f>
        <v>CABECERA MUNICIPAL</v>
      </c>
      <c r="J278" s="3"/>
      <c r="K278" s="3"/>
      <c r="L278" s="3"/>
      <c r="M278" s="1602">
        <f>OBRA!AS617+OBRA!AT617</f>
        <v>0</v>
      </c>
      <c r="N278" s="1">
        <f>GRAL!AF619</f>
        <v>9</v>
      </c>
      <c r="O278" s="1" t="str">
        <f>GRAL!AG619</f>
        <v>ESTUDIO</v>
      </c>
      <c r="P278" s="1"/>
      <c r="Q278" s="1"/>
    </row>
    <row r="279" spans="1:17" ht="105" hidden="1">
      <c r="A279" s="1"/>
      <c r="B279" s="1"/>
      <c r="C279" s="1" t="str">
        <f>OBRA!CB618</f>
        <v>2021-2024</v>
      </c>
      <c r="D279" s="1">
        <f>OBRA!J618</f>
        <v>2022</v>
      </c>
      <c r="E279" s="1598" t="str">
        <f>OBRA!O618</f>
        <v xml:space="preserve">SERVICIOS </v>
      </c>
      <c r="F279" s="1598" t="str">
        <f>OBRA!N618</f>
        <v>CPSP DOP 013/2022</v>
      </c>
      <c r="G279"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OBRA!Q618</f>
        <v>HUEJOTITÁN</v>
      </c>
      <c r="J279" s="3"/>
      <c r="K279" s="3"/>
      <c r="L279" s="3"/>
      <c r="M279" s="1602">
        <f>OBRA!AS618+OBRA!AT618</f>
        <v>0</v>
      </c>
      <c r="N279" s="1">
        <f>GRAL!AF620</f>
        <v>1</v>
      </c>
      <c r="O279" s="1" t="str">
        <f>GRAL!AG620</f>
        <v>ESTUDIO</v>
      </c>
      <c r="P279" s="1"/>
      <c r="Q279" s="1"/>
    </row>
    <row r="280" spans="1:17" ht="75" hidden="1">
      <c r="A280" s="1"/>
      <c r="B280" s="1"/>
      <c r="C280" s="1" t="str">
        <f>OBRA!CB619</f>
        <v>2021-2024</v>
      </c>
      <c r="D280" s="1">
        <f>OBRA!J619</f>
        <v>2022</v>
      </c>
      <c r="E280" s="1598" t="str">
        <f>OBRA!O619</f>
        <v xml:space="preserve">SERVICIOS </v>
      </c>
      <c r="F280" s="1598" t="str">
        <f>OBRA!N619</f>
        <v>CPSP DOP 014/2022</v>
      </c>
      <c r="G280" s="3" t="str">
        <f>OBRA!P619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OBRA!Q619</f>
        <v>CHANTEPEC</v>
      </c>
      <c r="J280" s="3"/>
      <c r="K280" s="3"/>
      <c r="L280" s="3"/>
      <c r="M280" s="1602">
        <f>OBRA!AS619+OBRA!AT619</f>
        <v>0</v>
      </c>
      <c r="N280" s="1">
        <f>GRAL!AF621</f>
        <v>1</v>
      </c>
      <c r="O280" s="1" t="str">
        <f>GRAL!AG621</f>
        <v>LOTE</v>
      </c>
      <c r="P280" s="1"/>
      <c r="Q280" s="1"/>
    </row>
    <row r="281" spans="1:17" ht="22.5" hidden="1">
      <c r="A281" s="1"/>
      <c r="B281" s="1"/>
      <c r="C281" s="1" t="str">
        <f>OBRA!CB620</f>
        <v>2021-2024</v>
      </c>
      <c r="D281" s="1">
        <f>OBRA!J620</f>
        <v>2022</v>
      </c>
      <c r="E281" s="1598" t="str">
        <f>OBRA!O620</f>
        <v>CANCELADA</v>
      </c>
      <c r="F281" s="1598" t="str">
        <f>OBRA!N620</f>
        <v>CPSP DOP 015/2022</v>
      </c>
      <c r="G281" s="3" t="str">
        <f>OBRA!P620</f>
        <v>-</v>
      </c>
      <c r="H281" s="1"/>
      <c r="I281" s="3">
        <f>OBRA!Q620</f>
        <v>0</v>
      </c>
      <c r="J281" s="3"/>
      <c r="K281" s="3"/>
      <c r="L281" s="3"/>
      <c r="M281" s="1602">
        <f>OBRA!AS620+OBRA!AT620</f>
        <v>0</v>
      </c>
      <c r="N281" s="1">
        <f>GRAL!AF622</f>
        <v>0</v>
      </c>
      <c r="O281" s="1">
        <f>GRAL!AG622</f>
        <v>0</v>
      </c>
      <c r="P281" s="1"/>
      <c r="Q281" s="1"/>
    </row>
    <row r="282" spans="1:17" ht="22.5" hidden="1">
      <c r="A282" s="1"/>
      <c r="B282" s="1"/>
      <c r="C282" s="1" t="str">
        <f>OBRA!CB621</f>
        <v>2021-2024</v>
      </c>
      <c r="D282" s="1">
        <f>OBRA!J621</f>
        <v>2022</v>
      </c>
      <c r="E282" s="1598" t="str">
        <f>OBRA!O621</f>
        <v>CANCELADA</v>
      </c>
      <c r="F282" s="1598" t="str">
        <f>OBRA!N621</f>
        <v>CPSP DOP 016/2022</v>
      </c>
      <c r="G282" s="3" t="str">
        <f>OBRA!P621</f>
        <v>-</v>
      </c>
      <c r="H282" s="1"/>
      <c r="I282" s="3">
        <f>OBRA!Q621</f>
        <v>0</v>
      </c>
      <c r="J282" s="3"/>
      <c r="K282" s="3"/>
      <c r="L282" s="3"/>
      <c r="M282" s="1602">
        <f>OBRA!AS621+OBRA!AT621</f>
        <v>0</v>
      </c>
      <c r="N282" s="1">
        <f>GRAL!AF623</f>
        <v>0</v>
      </c>
      <c r="O282" s="1">
        <f>GRAL!AG623</f>
        <v>0</v>
      </c>
      <c r="P282" s="1"/>
      <c r="Q282" s="1"/>
    </row>
    <row r="283" spans="1:17" ht="22.5" hidden="1">
      <c r="A283" s="1"/>
      <c r="B283" s="1"/>
      <c r="C283" s="1" t="str">
        <f>OBRA!CB622</f>
        <v>2021-2024</v>
      </c>
      <c r="D283" s="1">
        <f>OBRA!J622</f>
        <v>2022</v>
      </c>
      <c r="E283" s="1598" t="str">
        <f>OBRA!O622</f>
        <v>CANCELADA</v>
      </c>
      <c r="F283" s="1598" t="str">
        <f>OBRA!N622</f>
        <v>CPSP DOP 017/2022</v>
      </c>
      <c r="G283" s="3" t="str">
        <f>OBRA!P622</f>
        <v>-</v>
      </c>
      <c r="H283" s="1"/>
      <c r="I283" s="3">
        <f>OBRA!Q622</f>
        <v>0</v>
      </c>
      <c r="J283" s="3"/>
      <c r="K283" s="3"/>
      <c r="L283" s="3"/>
      <c r="M283" s="1602">
        <f>OBRA!AS622+OBRA!AT622</f>
        <v>0</v>
      </c>
      <c r="N283" s="1">
        <f>GRAL!AF624</f>
        <v>0</v>
      </c>
      <c r="O283" s="1">
        <f>GRAL!AG624</f>
        <v>0</v>
      </c>
      <c r="P283" s="1"/>
      <c r="Q283" s="1"/>
    </row>
    <row r="284" spans="1:17" ht="22.5" hidden="1">
      <c r="A284" s="1"/>
      <c r="B284" s="1"/>
      <c r="C284" s="1" t="str">
        <f>OBRA!CB623</f>
        <v>2021-2024</v>
      </c>
      <c r="D284" s="1">
        <f>OBRA!J623</f>
        <v>2022</v>
      </c>
      <c r="E284" s="1598" t="str">
        <f>OBRA!O623</f>
        <v>CANCELADA</v>
      </c>
      <c r="F284" s="1598" t="str">
        <f>OBRA!N623</f>
        <v>CPSP DOP 018/2022</v>
      </c>
      <c r="G284" s="3" t="str">
        <f>OBRA!P623</f>
        <v>-</v>
      </c>
      <c r="H284" s="1"/>
      <c r="I284" s="3">
        <f>OBRA!Q623</f>
        <v>0</v>
      </c>
      <c r="J284" s="3"/>
      <c r="K284" s="3"/>
      <c r="L284" s="3"/>
      <c r="M284" s="1602">
        <f>OBRA!AS623+OBRA!AT623</f>
        <v>0</v>
      </c>
      <c r="N284" s="1">
        <f>GRAL!AF625</f>
        <v>0</v>
      </c>
      <c r="O284" s="1">
        <f>GRAL!AG625</f>
        <v>0</v>
      </c>
      <c r="P284" s="1"/>
      <c r="Q284" s="1"/>
    </row>
    <row r="285" spans="1:17" ht="22.5" hidden="1">
      <c r="A285" s="1"/>
      <c r="B285" s="1"/>
      <c r="C285" s="1" t="str">
        <f>OBRA!CB624</f>
        <v>2021-2024</v>
      </c>
      <c r="D285" s="1">
        <f>OBRA!J624</f>
        <v>2022</v>
      </c>
      <c r="E285" s="1598" t="str">
        <f>OBRA!O624</f>
        <v>CANCELADA</v>
      </c>
      <c r="F285" s="1598" t="str">
        <f>OBRA!N624</f>
        <v>CPSP DOP 019/2022</v>
      </c>
      <c r="G285" s="3" t="str">
        <f>OBRA!P624</f>
        <v>-</v>
      </c>
      <c r="H285" s="1"/>
      <c r="I285" s="3">
        <f>OBRA!Q624</f>
        <v>0</v>
      </c>
      <c r="J285" s="3"/>
      <c r="K285" s="3"/>
      <c r="L285" s="3"/>
      <c r="M285" s="1602">
        <f>OBRA!AS624+OBRA!AT624</f>
        <v>0</v>
      </c>
      <c r="N285" s="1">
        <f>GRAL!AF626</f>
        <v>0</v>
      </c>
      <c r="O285" s="1">
        <f>GRAL!AG626</f>
        <v>0</v>
      </c>
      <c r="P285" s="1"/>
      <c r="Q285" s="1"/>
    </row>
    <row r="286" spans="1:17" ht="22.5" hidden="1">
      <c r="A286" s="1"/>
      <c r="B286" s="1"/>
      <c r="C286" s="1" t="str">
        <f>OBRA!CB625</f>
        <v>2021-2024</v>
      </c>
      <c r="D286" s="1">
        <f>OBRA!J625</f>
        <v>2022</v>
      </c>
      <c r="E286" s="1598" t="str">
        <f>OBRA!O625</f>
        <v>CANCELADA</v>
      </c>
      <c r="F286" s="1598" t="str">
        <f>OBRA!N625</f>
        <v>CPSP DOP 020/2022</v>
      </c>
      <c r="G286" s="3" t="str">
        <f>OBRA!P625</f>
        <v>-</v>
      </c>
      <c r="H286" s="1"/>
      <c r="I286" s="3">
        <f>OBRA!Q625</f>
        <v>0</v>
      </c>
      <c r="J286" s="3"/>
      <c r="K286" s="3"/>
      <c r="L286" s="3"/>
      <c r="M286" s="1602">
        <f>OBRA!AS625+OBRA!AT625</f>
        <v>0</v>
      </c>
      <c r="N286" s="1">
        <f>GRAL!AF627</f>
        <v>0</v>
      </c>
      <c r="O286" s="1">
        <f>GRAL!AG627</f>
        <v>0</v>
      </c>
      <c r="P286" s="1"/>
      <c r="Q286" s="1"/>
    </row>
    <row r="287" spans="1:17" ht="75" hidden="1">
      <c r="A287" s="1"/>
      <c r="B287" s="1"/>
      <c r="C287" s="1" t="str">
        <f>OBRA!CB626</f>
        <v>2021-2024</v>
      </c>
      <c r="D287" s="1">
        <f>OBRA!J626</f>
        <v>2022</v>
      </c>
      <c r="E287" s="1598" t="str">
        <f>OBRA!O626</f>
        <v>ARRENDAMIENTO</v>
      </c>
      <c r="F287" s="1598" t="str">
        <f>OBRA!N626</f>
        <v>C- OP 001/2022</v>
      </c>
      <c r="G287" s="3" t="str">
        <f>OBRA!P626</f>
        <v>RENTA DE CAMIÓN TIPO PIPA MARCA DODGE RAM 6500 MOD. 1996 PLACAS JM57075, CON CAPACIDAD DE 10,000 LITROS PARA ACARREOS DE AGUA, PARA SER UTILIZADA EN LAS OBRAS DEL PROGRAMA SADER 2021 EN LA LOCALIDAD DE LA LOMA, MUNICIPIO DE JOCOTEPEC, JALISCO.</v>
      </c>
      <c r="H287" s="1"/>
      <c r="I287" s="3" t="str">
        <f>OBRA!Q626</f>
        <v>LA LOMA</v>
      </c>
      <c r="J287" s="3"/>
      <c r="K287" s="3"/>
      <c r="L287" s="3"/>
      <c r="M287" s="1602">
        <f>OBRA!AS626+OBRA!AT626</f>
        <v>0</v>
      </c>
      <c r="N287" s="1">
        <f>GRAL!AF628</f>
        <v>1</v>
      </c>
      <c r="O287" s="1" t="str">
        <f>GRAL!AG628</f>
        <v>MAQ</v>
      </c>
      <c r="P287" s="1"/>
      <c r="Q287" s="1"/>
    </row>
    <row r="288" spans="1:17" ht="75" hidden="1">
      <c r="A288" s="1"/>
      <c r="B288" s="1"/>
      <c r="C288" s="1" t="str">
        <f>OBRA!CB627</f>
        <v>2021-2024</v>
      </c>
      <c r="D288" s="1">
        <f>OBRA!J627</f>
        <v>2022</v>
      </c>
      <c r="E288" s="1598" t="str">
        <f>OBRA!O627</f>
        <v>ARRENDAMIENTO</v>
      </c>
      <c r="F288" s="1598" t="str">
        <f>OBRA!N627</f>
        <v>C- OP 002/2022</v>
      </c>
      <c r="G288" s="3" t="str">
        <f>OBRA!P627</f>
        <v>RENTA DE RETROEXCAVADORA MARCA JCB MOD. 2000 SERIE 4214E PARA SER UTILIZADA EN LAS OBRAS DEL PROGRAMA: EMPEDRADOS PARA LA REACTIVACIÓN ECONÓMICA EN MUNICIPIOS SADER 2021 EN EL MUNICIPIO DE JOCOTEPEC, JALISCO.</v>
      </c>
      <c r="H288" s="1"/>
      <c r="I288" s="3" t="str">
        <f>OBRA!Q627</f>
        <v>JOCOTEPEC</v>
      </c>
      <c r="J288" s="3"/>
      <c r="K288" s="3"/>
      <c r="L288" s="3"/>
      <c r="M288" s="1602">
        <f>OBRA!AS627+OBRA!AT627</f>
        <v>0</v>
      </c>
      <c r="N288" s="1">
        <f>GRAL!AF629</f>
        <v>1</v>
      </c>
      <c r="O288" s="1" t="str">
        <f>GRAL!AG629</f>
        <v>MAQ</v>
      </c>
      <c r="P288" s="1"/>
      <c r="Q288" s="1"/>
    </row>
    <row r="289" spans="1:17" ht="75" hidden="1">
      <c r="A289" s="1"/>
      <c r="B289" s="1"/>
      <c r="C289" s="1" t="str">
        <f>OBRA!CB628</f>
        <v>2021-2024</v>
      </c>
      <c r="D289" s="1">
        <f>OBRA!J628</f>
        <v>2022</v>
      </c>
      <c r="E289" s="1598" t="str">
        <f>OBRA!O628</f>
        <v>ARRENDAMIENTO</v>
      </c>
      <c r="F289" s="1598" t="str">
        <f>OBRA!N628</f>
        <v>C- OP 003/2022</v>
      </c>
      <c r="G289" s="3" t="str">
        <f>OBRA!P628</f>
        <v>RENTA DE CAMIÓN TIPO PIPA MARCA DODGE RAM 6500 MOD. 1996 PLACAS JM57075, CON CAPACIDAD DE 10,000 LITROS PARA ACARREOS DE AGUA, PARA SER UTILIZADA EN LAS OBRAS DEL PROGRAMA SADER 2021 EN LA LOCALIDAD DE LA LOMA, MUNICIPIO DE JOCOTEPEC, JALISCO.</v>
      </c>
      <c r="H289" s="1"/>
      <c r="I289" s="3" t="str">
        <f>OBRA!Q628</f>
        <v>LA LOMA</v>
      </c>
      <c r="J289" s="3"/>
      <c r="K289" s="3"/>
      <c r="L289" s="3"/>
      <c r="M289" s="1602">
        <f>OBRA!AS628+OBRA!AT628</f>
        <v>0</v>
      </c>
      <c r="N289" s="1">
        <f>GRAL!AF630</f>
        <v>1</v>
      </c>
      <c r="O289" s="1" t="str">
        <f>GRAL!AG630</f>
        <v>MAQ</v>
      </c>
      <c r="P289" s="1"/>
      <c r="Q289" s="1"/>
    </row>
    <row r="290" spans="1:17" ht="75" hidden="1">
      <c r="A290" s="1"/>
      <c r="B290" s="1"/>
      <c r="C290" s="1" t="str">
        <f>OBRA!CB629</f>
        <v>2021-2024</v>
      </c>
      <c r="D290" s="1">
        <f>OBRA!J629</f>
        <v>2022</v>
      </c>
      <c r="E290" s="1598" t="str">
        <f>OBRA!O629</f>
        <v>ARRENDAMIENTO</v>
      </c>
      <c r="F290" s="1598" t="str">
        <f>OBRA!N629</f>
        <v>C- OP 004/2022</v>
      </c>
      <c r="G290" s="3" t="str">
        <f>OBRA!P629</f>
        <v>RENTA DE COMPACTADOR MCA CARTEPILLAR MOD CS-563 E, PARA SER UTILIZADA EN LAS OBRAS: REHABILITACIÓN DE LÍNEAS HIDROSANITARIAS EN CALLE 5 DE FEBRERO Y CALLE 1RO DE MAYO EN LA AGENCIA DE LA LOMA, DEL MUNICIPIO DE JOCOTEPEC, JALISCO.</v>
      </c>
      <c r="H290" s="1"/>
      <c r="I290" s="3" t="str">
        <f>OBRA!Q629</f>
        <v>LA LOMA</v>
      </c>
      <c r="J290" s="3"/>
      <c r="K290" s="3"/>
      <c r="L290" s="3"/>
      <c r="M290" s="1602">
        <f>OBRA!AS629+OBRA!AT629</f>
        <v>0</v>
      </c>
      <c r="N290" s="1">
        <f>GRAL!AF631</f>
        <v>1</v>
      </c>
      <c r="O290" s="1" t="str">
        <f>GRAL!AG631</f>
        <v>MAQ</v>
      </c>
      <c r="P290" s="1"/>
      <c r="Q290" s="1"/>
    </row>
    <row r="291" spans="1:17" ht="75" hidden="1">
      <c r="A291" s="1"/>
      <c r="B291" s="1"/>
      <c r="C291" s="1" t="str">
        <f>OBRA!CB630</f>
        <v>2021-2024</v>
      </c>
      <c r="D291" s="1">
        <f>OBRA!J630</f>
        <v>2022</v>
      </c>
      <c r="E291" s="1598" t="str">
        <f>OBRA!O630</f>
        <v>ARRENDAMIENTO</v>
      </c>
      <c r="F291" s="1598" t="str">
        <f>OBRA!N630</f>
        <v>C- OP 005/2022</v>
      </c>
      <c r="G291" s="3" t="str">
        <f>OBRA!P630</f>
        <v>RENTA DE MOTONIVELADORA CARTEPILLAR 160 H, PARA SER UTILIZADA EN LAS OBRAS; REHABILITACIÓN DE LÍNEAS HIDROSANITARIAS EN CALLE 5 DE FEBRERO, CALLE 1RO DE MAYO Y CALLE CHAPULTEPEC, EN LA AGENCIA DE LA LOMA, DEL MUNICIPIO DE JOCOTEPEC, JALISCO.</v>
      </c>
      <c r="H291" s="1"/>
      <c r="I291" s="3" t="str">
        <f>OBRA!Q630</f>
        <v>LA LOMA</v>
      </c>
      <c r="J291" s="3"/>
      <c r="K291" s="3"/>
      <c r="L291" s="3"/>
      <c r="M291" s="1602">
        <f>OBRA!AS630+OBRA!AT630</f>
        <v>0</v>
      </c>
      <c r="N291" s="1">
        <f>GRAL!AF632</f>
        <v>1</v>
      </c>
      <c r="O291" s="1" t="str">
        <f>GRAL!AG632</f>
        <v>MAQ</v>
      </c>
      <c r="P291" s="1"/>
      <c r="Q291" s="1"/>
    </row>
    <row r="292" spans="1:17" ht="75" hidden="1">
      <c r="A292" s="1"/>
      <c r="B292" s="1"/>
      <c r="C292" s="1" t="str">
        <f>OBRA!CB631</f>
        <v>2021-2024</v>
      </c>
      <c r="D292" s="1">
        <f>OBRA!J631</f>
        <v>2022</v>
      </c>
      <c r="E292" s="1598" t="str">
        <f>OBRA!O631</f>
        <v>ARRENDAMIENTO</v>
      </c>
      <c r="F292" s="1598" t="str">
        <f>OBRA!N631</f>
        <v>C- OP 006/2022</v>
      </c>
      <c r="G292"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OBRA!Q631</f>
        <v>NEXTIPAC</v>
      </c>
      <c r="J292" s="3"/>
      <c r="K292" s="3"/>
      <c r="L292" s="3"/>
      <c r="M292" s="1602">
        <f>OBRA!AS631+OBRA!AT631</f>
        <v>0</v>
      </c>
      <c r="N292" s="1">
        <f>GRAL!AF633</f>
        <v>1</v>
      </c>
      <c r="O292" s="1" t="str">
        <f>GRAL!AG633</f>
        <v>MAQ</v>
      </c>
      <c r="P292" s="1"/>
      <c r="Q292" s="1"/>
    </row>
    <row r="293" spans="1:17" ht="75" hidden="1">
      <c r="A293" s="1"/>
      <c r="B293" s="1"/>
      <c r="C293" s="1" t="str">
        <f>OBRA!CB632</f>
        <v>2021-2024</v>
      </c>
      <c r="D293" s="1">
        <f>OBRA!J632</f>
        <v>2022</v>
      </c>
      <c r="E293" s="1598" t="str">
        <f>OBRA!O632</f>
        <v>ARRENDAMIENTO</v>
      </c>
      <c r="F293" s="1598" t="str">
        <f>OBRA!N632</f>
        <v>C- OP 007/2022</v>
      </c>
      <c r="G293"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OBRA!Q632</f>
        <v>NEXTIPAC</v>
      </c>
      <c r="J293" s="3"/>
      <c r="K293" s="3"/>
      <c r="L293" s="3"/>
      <c r="M293" s="1602">
        <f>OBRA!AS632+OBRA!AT632</f>
        <v>0</v>
      </c>
      <c r="N293" s="1">
        <f>GRAL!AF634</f>
        <v>1</v>
      </c>
      <c r="O293" s="1" t="str">
        <f>GRAL!AG634</f>
        <v>MAQ</v>
      </c>
      <c r="P293" s="1"/>
      <c r="Q293" s="1"/>
    </row>
    <row r="294" spans="1:17" ht="75" hidden="1">
      <c r="A294" s="1"/>
      <c r="B294" s="1"/>
      <c r="C294" s="1" t="str">
        <f>OBRA!CB633</f>
        <v>2021-2024</v>
      </c>
      <c r="D294" s="1">
        <f>OBRA!J633</f>
        <v>2022</v>
      </c>
      <c r="E294" s="1598" t="str">
        <f>OBRA!O633</f>
        <v>ARRENDAMIENTO</v>
      </c>
      <c r="F294" s="1598" t="str">
        <f>OBRA!N633</f>
        <v>C- OP 008/2022</v>
      </c>
      <c r="G294" s="3" t="str">
        <f>OBRA!P633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OBRA!Q633</f>
        <v>NEXTIPAC</v>
      </c>
      <c r="J294" s="3"/>
      <c r="K294" s="3"/>
      <c r="L294" s="3"/>
      <c r="M294" s="1602">
        <f>OBRA!AS633+OBRA!AT633</f>
        <v>0</v>
      </c>
      <c r="N294" s="1">
        <f>GRAL!AF635</f>
        <v>1</v>
      </c>
      <c r="O294" s="1" t="str">
        <f>GRAL!AG635</f>
        <v>MAQ</v>
      </c>
      <c r="P294" s="1"/>
      <c r="Q294" s="1"/>
    </row>
    <row r="295" spans="1:17" hidden="1">
      <c r="A295" s="1"/>
      <c r="B295" s="1"/>
      <c r="C295" s="1" t="str">
        <f>OBRA!CB634</f>
        <v>2021-2024</v>
      </c>
      <c r="D295" s="1">
        <f>OBRA!J634</f>
        <v>2022</v>
      </c>
      <c r="E295" s="1598" t="str">
        <f>OBRA!O634</f>
        <v>CANCELADA</v>
      </c>
      <c r="F295" s="1598" t="str">
        <f>OBRA!N634</f>
        <v>C- OP 009/2022</v>
      </c>
      <c r="G295" s="3" t="str">
        <f>OBRA!P634</f>
        <v>-</v>
      </c>
      <c r="H295" s="1"/>
      <c r="I295" s="3">
        <f>OBRA!Q634</f>
        <v>0</v>
      </c>
      <c r="J295" s="3"/>
      <c r="K295" s="3"/>
      <c r="L295" s="3"/>
      <c r="M295" s="1602">
        <f>OBRA!AS634+OBRA!AT634</f>
        <v>0</v>
      </c>
      <c r="N295" s="1">
        <f>GRAL!AF636</f>
        <v>0</v>
      </c>
      <c r="O295" s="1">
        <f>GRAL!AG636</f>
        <v>0</v>
      </c>
      <c r="P295" s="1"/>
      <c r="Q295" s="1"/>
    </row>
    <row r="296" spans="1:17" hidden="1">
      <c r="A296" s="1"/>
      <c r="B296" s="1"/>
      <c r="C296" s="1" t="str">
        <f>OBRA!CB635</f>
        <v>2021-2024</v>
      </c>
      <c r="D296" s="1">
        <f>OBRA!J635</f>
        <v>2022</v>
      </c>
      <c r="E296" s="1598" t="str">
        <f>OBRA!O635</f>
        <v>CANCELADA</v>
      </c>
      <c r="F296" s="1598" t="str">
        <f>OBRA!N635</f>
        <v>C- OP 010/2022</v>
      </c>
      <c r="G296" s="3" t="str">
        <f>OBRA!P635</f>
        <v>-</v>
      </c>
      <c r="H296" s="1"/>
      <c r="I296" s="3">
        <f>OBRA!Q635</f>
        <v>0</v>
      </c>
      <c r="J296" s="3"/>
      <c r="K296" s="3"/>
      <c r="L296" s="3"/>
      <c r="M296" s="1602">
        <f>OBRA!AS635+OBRA!AT635</f>
        <v>0</v>
      </c>
      <c r="N296" s="1">
        <f>GRAL!AF637</f>
        <v>0</v>
      </c>
      <c r="O296" s="1">
        <f>GRAL!AG637</f>
        <v>0</v>
      </c>
      <c r="P296" s="1"/>
      <c r="Q296" s="1"/>
    </row>
    <row r="297" spans="1:17" ht="71.25" customHeight="1">
      <c r="A297" s="1"/>
      <c r="B297" s="1600"/>
      <c r="C297" s="1" t="str">
        <f>OBRA!CB636</f>
        <v>2021-2024</v>
      </c>
      <c r="D297" s="1">
        <f>OBRA!J636</f>
        <v>2022</v>
      </c>
      <c r="E297" s="1598" t="str">
        <f>OBRA!O636</f>
        <v>ADJUDICACIÓN DIRECTA</v>
      </c>
      <c r="F297" s="1281" t="str">
        <f>OBRA!N636</f>
        <v>GMJ 001 C-OP/2022</v>
      </c>
      <c r="G297" s="3" t="str">
        <f>OBRA!P636</f>
        <v>"REHABILITACIÓN DE RED DE AGUA POTABLE EN CALLE PRIVADA FRANCISCO VILLA ENTRE CALLE PRIMERO DE MAYO A CERRADA", EN LA LOCALIDAD DE LA LOMA, DEL MUNICIPIO DE JOCOTEPEC, JALISCO.</v>
      </c>
      <c r="H297" s="1598" t="s">
        <v>4745</v>
      </c>
      <c r="I297" s="3" t="str">
        <f>OBRA!Q636</f>
        <v>LA LOMA</v>
      </c>
      <c r="J297" s="3" t="s">
        <v>4654</v>
      </c>
      <c r="K297" s="3" t="s">
        <v>4786</v>
      </c>
      <c r="L297" s="3" t="s">
        <v>4767</v>
      </c>
      <c r="M297" s="1633">
        <f>OBRA!R636</f>
        <v>98067.87</v>
      </c>
      <c r="N297" s="1">
        <f>GRAL!AF638</f>
        <v>92</v>
      </c>
      <c r="O297" s="1" t="str">
        <f>GRAL!AG638</f>
        <v>ML</v>
      </c>
      <c r="P297" s="2" t="s">
        <v>4904</v>
      </c>
      <c r="Q297" s="1139"/>
    </row>
    <row r="298" spans="1:17" ht="80.25" customHeight="1">
      <c r="A298" s="1"/>
      <c r="B298" s="1600"/>
      <c r="C298" s="1" t="str">
        <f>OBRA!CB637</f>
        <v>2021-2024</v>
      </c>
      <c r="D298" s="1">
        <f>OBRA!J637</f>
        <v>2022</v>
      </c>
      <c r="E298" s="1598" t="str">
        <f>OBRA!O637</f>
        <v>ADJUDICACIÓN DIRECTA</v>
      </c>
      <c r="F298" s="1281" t="str">
        <f>OBRA!N637</f>
        <v>GMJ 002 C-OP/2022</v>
      </c>
      <c r="G298" s="3" t="str">
        <f>OBRA!P637</f>
        <v>"REHABILITACIÓN DE LÍNEA DE DRENAJE, EN CALLE 1RO DE MAYO ENTRE CALLE CHAPULTEPEC Y CALLE 05 DE FEBRERO", EN LA AGENCIA DE LA LOMA, MUNICIPIO DE JOCOTEPEC, JALISCO.</v>
      </c>
      <c r="H298" s="1598" t="s">
        <v>4747</v>
      </c>
      <c r="I298" s="3" t="str">
        <f>OBRA!Q637</f>
        <v>LA LOMA</v>
      </c>
      <c r="J298" s="3" t="s">
        <v>4813</v>
      </c>
      <c r="K298" s="3" t="s">
        <v>3143</v>
      </c>
      <c r="L298" s="3" t="s">
        <v>4075</v>
      </c>
      <c r="M298" s="1633">
        <f>OBRA!R637</f>
        <v>160513.82999999999</v>
      </c>
      <c r="N298" s="1">
        <f>GRAL!AF639</f>
        <v>97</v>
      </c>
      <c r="O298" s="1" t="str">
        <f>GRAL!AG639</f>
        <v>ML</v>
      </c>
      <c r="P298" s="2" t="s">
        <v>4905</v>
      </c>
      <c r="Q298" s="1139"/>
    </row>
    <row r="299" spans="1:17" ht="85.5" customHeight="1">
      <c r="A299" s="1"/>
      <c r="B299" s="1600"/>
      <c r="C299" s="1" t="str">
        <f>OBRA!CB638</f>
        <v>2021-2024</v>
      </c>
      <c r="D299" s="1">
        <f>OBRA!J638</f>
        <v>2022</v>
      </c>
      <c r="E299" s="1598" t="str">
        <f>OBRA!O638</f>
        <v>ADJUDICACIÓN DIRECTA</v>
      </c>
      <c r="F299" s="1281" t="str">
        <f>OBRA!N638</f>
        <v>GMJ 003 C-OP/2022</v>
      </c>
      <c r="G299" s="3" t="str">
        <f>OBRA!P638</f>
        <v>"REHABILITACIÓN DE DRENAJE SANITARIO DE 10" EN CALLE 14 DE FEBRERO Y/O CALLE 5 DE FEBRERO ENTRE CALLE 1RO DE MAYO Y CALLE 5 DE MAYO", EN LA AGENCIA DE LA LOMA, MUNICIPIO DE JOCOTEPEC, JALISCO.</v>
      </c>
      <c r="H299" s="1598" t="s">
        <v>4747</v>
      </c>
      <c r="I299" s="3" t="str">
        <f>OBRA!Q638</f>
        <v>LA LOMA</v>
      </c>
      <c r="J299" s="3" t="s">
        <v>4815</v>
      </c>
      <c r="K299" s="3" t="s">
        <v>4786</v>
      </c>
      <c r="L299" s="3" t="s">
        <v>2682</v>
      </c>
      <c r="M299" s="1633">
        <f>OBRA!R638</f>
        <v>236056.39</v>
      </c>
      <c r="N299" s="1">
        <f>GRAL!AF640</f>
        <v>151.55000000000001</v>
      </c>
      <c r="O299" s="1" t="str">
        <f>GRAL!AG640</f>
        <v>ML</v>
      </c>
      <c r="P299" s="2" t="s">
        <v>4906</v>
      </c>
      <c r="Q299" s="1139"/>
    </row>
    <row r="300" spans="1:17" ht="161.25" customHeight="1">
      <c r="A300" s="1"/>
      <c r="B300" s="1600"/>
      <c r="C300" s="1" t="str">
        <f>OBRA!CB639</f>
        <v>2021-2024</v>
      </c>
      <c r="D300" s="1">
        <f>OBRA!J639</f>
        <v>2022</v>
      </c>
      <c r="E300" s="1598" t="str">
        <f>OBRA!O639</f>
        <v>ADJUDICACIÓN DIRECTA</v>
      </c>
      <c r="F300" s="1281" t="str">
        <f>OBRA!N639</f>
        <v>GMJ 004 C-OP/2022</v>
      </c>
      <c r="G300"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598" t="s">
        <v>4751</v>
      </c>
      <c r="I300" s="3" t="str">
        <f>OBRA!Q639</f>
        <v>SAN CRISTÓBAL ZAPOTITLÁN</v>
      </c>
      <c r="J300" s="3" t="s">
        <v>2714</v>
      </c>
      <c r="K300" s="3" t="s">
        <v>2535</v>
      </c>
      <c r="L300" s="3" t="s">
        <v>4767</v>
      </c>
      <c r="M300" s="1633">
        <f>OBRA!R639</f>
        <v>2031883.8</v>
      </c>
      <c r="N300" s="1">
        <f>GRAL!AF641</f>
        <v>1</v>
      </c>
      <c r="O300" s="1" t="str">
        <f>GRAL!AG641</f>
        <v>POZO</v>
      </c>
      <c r="P300" s="2" t="s">
        <v>68</v>
      </c>
      <c r="Q300" s="1139"/>
    </row>
    <row r="301" spans="1:17" ht="76.5" customHeight="1">
      <c r="A301" s="1"/>
      <c r="B301" s="1600"/>
      <c r="C301" s="1" t="str">
        <f>OBRA!CB640</f>
        <v>2021-2024</v>
      </c>
      <c r="D301" s="1">
        <f>OBRA!J640</f>
        <v>2022</v>
      </c>
      <c r="E301" s="1598" t="str">
        <f>OBRA!O640</f>
        <v>ADJUDICACIÓN DIRECTA</v>
      </c>
      <c r="F301" s="1281" t="str">
        <f>OBRA!N640</f>
        <v>GMJ 005 C-OP/2022</v>
      </c>
      <c r="G301" s="3" t="str">
        <f>OBRA!P640</f>
        <v>"REHABILITACIÓN DE RED DE DRENAJE EN LA CALLE MORELOS ENTRE RIVERA DEL LAGO Y MALECÓN", EN LA LOCALIDAD DE NEXTIPAC, DEL MUNICIPIO DE JOCOTEPEC, JALISCO.</v>
      </c>
      <c r="H301" s="1598" t="s">
        <v>4747</v>
      </c>
      <c r="I301" s="3" t="str">
        <f>OBRA!Q640</f>
        <v>NEXTIPAC</v>
      </c>
      <c r="J301" s="3" t="s">
        <v>2488</v>
      </c>
      <c r="K301" s="3" t="s">
        <v>2566</v>
      </c>
      <c r="L301" s="3" t="s">
        <v>4806</v>
      </c>
      <c r="M301" s="1633">
        <f>OBRA!R640</f>
        <v>793754.52</v>
      </c>
      <c r="N301" s="1">
        <f>GRAL!AF642</f>
        <v>129</v>
      </c>
      <c r="O301" s="1" t="str">
        <f>GRAL!AG642</f>
        <v>ML</v>
      </c>
      <c r="P301" s="1281" t="s">
        <v>4907</v>
      </c>
      <c r="Q301" s="1139"/>
    </row>
    <row r="302" spans="1:17" ht="83.25" customHeight="1">
      <c r="A302" s="1"/>
      <c r="B302" s="1600"/>
      <c r="C302" s="1" t="str">
        <f>OBRA!CB641</f>
        <v>2021-2024</v>
      </c>
      <c r="D302" s="1">
        <f>OBRA!J641</f>
        <v>2022</v>
      </c>
      <c r="E302" s="1598" t="str">
        <f>OBRA!O641</f>
        <v>ADJUDICACIÓN DIRECTA</v>
      </c>
      <c r="F302" s="1281" t="str">
        <f>OBRA!N641</f>
        <v>GMJ 006 C-OP/2022</v>
      </c>
      <c r="G302" s="3" t="str">
        <f>OBRA!P641</f>
        <v>"REHABILITACIÓN DE ANDADOR, MURO DE CONTECIÓN Y ALUMBRADO PÚBLICO EN ANDADOR MORELOS ENTRE C. RIVERA DEL LAGO Y MALECÓN", EN LA LOCALIDAD DE NEXTIPAC, DEL MUNICIPIO DE JOCTEPEC, JALISCO.</v>
      </c>
      <c r="H302" s="1598" t="s">
        <v>4761</v>
      </c>
      <c r="I302" s="3" t="str">
        <f>OBRA!Q641</f>
        <v>NEXTIPAC</v>
      </c>
      <c r="J302" s="3" t="s">
        <v>2488</v>
      </c>
      <c r="K302" s="3" t="s">
        <v>2566</v>
      </c>
      <c r="L302" s="3" t="s">
        <v>4806</v>
      </c>
      <c r="M302" s="1633">
        <f>OBRA!R641</f>
        <v>579637.71</v>
      </c>
      <c r="N302" s="1">
        <v>7</v>
      </c>
      <c r="O302" s="1562" t="s">
        <v>1841</v>
      </c>
      <c r="P302" s="2" t="s">
        <v>4912</v>
      </c>
      <c r="Q302" s="1139" t="s">
        <v>4913</v>
      </c>
    </row>
    <row r="303" spans="1:17" ht="116.25" customHeight="1">
      <c r="A303" s="1"/>
      <c r="B303" s="1600"/>
      <c r="C303" s="1" t="str">
        <f>OBRA!CB642</f>
        <v>2021-2024</v>
      </c>
      <c r="D303" s="1">
        <f>OBRA!J642</f>
        <v>2022</v>
      </c>
      <c r="E303" s="1598" t="str">
        <f>OBRA!O642</f>
        <v>ADJUDICACIÓN DIRECTA</v>
      </c>
      <c r="F303" s="1281" t="str">
        <f>OBRA!N642</f>
        <v>GMJ 007 C-OP/2022</v>
      </c>
      <c r="G303" s="3" t="str">
        <f>OBRA!P642</f>
        <v>“CONSTRUCCIÓN DE DRENAJE SANITARIO, AGUA POTABLE Y SUPERFICIE DE RODAMIENTO EN PRIVADA GALEANA”, EN LA LOCALIDAD DE SAN JUAN COSALÁ, DEL MUNICIPIO DE JOCOTEPEC,JALISCO.</v>
      </c>
      <c r="H303" s="1598" t="s">
        <v>4756</v>
      </c>
      <c r="I303" s="3" t="str">
        <f>OBRA!Q642</f>
        <v>SAN JUAN COSALÁ</v>
      </c>
      <c r="J303" s="3" t="s">
        <v>4816</v>
      </c>
      <c r="K303" s="3" t="s">
        <v>4782</v>
      </c>
      <c r="L303" s="3" t="s">
        <v>4767</v>
      </c>
      <c r="M303" s="1633">
        <f>OBRA!R642</f>
        <v>627108.43000000005</v>
      </c>
      <c r="N303" s="1">
        <f>GRAL!AF644</f>
        <v>300.95</v>
      </c>
      <c r="O303" s="1" t="str">
        <f>GRAL!AG644</f>
        <v>M2</v>
      </c>
      <c r="P303" s="1281" t="s">
        <v>4909</v>
      </c>
      <c r="Q303" s="1139" t="s">
        <v>4910</v>
      </c>
    </row>
    <row r="304" spans="1:17" ht="86.25" customHeight="1">
      <c r="A304" s="1"/>
      <c r="B304" s="1600"/>
      <c r="C304" s="1" t="str">
        <f>OBRA!CB643</f>
        <v>2021-2024</v>
      </c>
      <c r="D304" s="1">
        <f>OBRA!J643</f>
        <v>2022</v>
      </c>
      <c r="E304" s="1598" t="str">
        <f>OBRA!O643</f>
        <v>ADJUDICACIÓN DIRECTA</v>
      </c>
      <c r="F304" s="1281" t="str">
        <f>OBRA!N643</f>
        <v>GMJ 008 C-OP/2022</v>
      </c>
      <c r="G304" s="3" t="str">
        <f>OBRA!P643</f>
        <v>“REHABILITACIÓN DE LÍNEA DE DRENAJE SANITARIO  CON TUBERÍA DE 8” Y CONSTRUCCIÓN DE ANDADOR PEATONAL EN ARROYO CAMICHINES”, EN LA LOCALIDAD DE SAN JUAN COSALÁ, DEL MUNICIPIO DE JOCOTEPEC,JALISCO.</v>
      </c>
      <c r="H304" s="1598" t="s">
        <v>4747</v>
      </c>
      <c r="I304" s="3" t="str">
        <f>OBRA!Q643</f>
        <v>SAN JUAN COSALÁ</v>
      </c>
      <c r="J304" s="3" t="s">
        <v>4817</v>
      </c>
      <c r="K304" s="3" t="s">
        <v>4889</v>
      </c>
      <c r="L304" s="3" t="s">
        <v>4890</v>
      </c>
      <c r="M304" s="1633">
        <f>OBRA!R643</f>
        <v>168470.35</v>
      </c>
      <c r="N304" s="1">
        <f>GRAL!AF645</f>
        <v>120</v>
      </c>
      <c r="O304" s="1" t="str">
        <f>GRAL!AG645</f>
        <v>ML</v>
      </c>
      <c r="P304" s="2" t="s">
        <v>4911</v>
      </c>
      <c r="Q304" s="1139"/>
    </row>
    <row r="305" spans="1:17" ht="74.25" customHeight="1">
      <c r="A305" s="1"/>
      <c r="B305" s="1600"/>
      <c r="C305" s="1" t="str">
        <f>OBRA!CB644</f>
        <v>2021-2024</v>
      </c>
      <c r="D305" s="1">
        <f>OBRA!J644</f>
        <v>2022</v>
      </c>
      <c r="E305" s="1598" t="str">
        <f>OBRA!O644</f>
        <v>ADJUDICACIÓN DIRECTA</v>
      </c>
      <c r="F305" s="1281" t="str">
        <f>OBRA!N644</f>
        <v>GMJ 009 C-OP/2022</v>
      </c>
      <c r="G305" s="3" t="str">
        <f>OBRA!P644</f>
        <v>“PROYECTO, SUMINISTRO E INSTALACIÓN DE ALUMBRADO PÚBLICO EN CALLE PROLONGACIÓN MORELOS”, EN LA LOCALIDAD DE CHANTEPEC, DEL MUNICIPIO DE JOCOTEPEC, JALISCO</v>
      </c>
      <c r="H305" s="1598" t="s">
        <v>4761</v>
      </c>
      <c r="I305" s="3" t="str">
        <f>OBRA!Q644</f>
        <v>CHANTEPEC</v>
      </c>
      <c r="J305" s="3" t="s">
        <v>4697</v>
      </c>
      <c r="K305" s="3" t="s">
        <v>4792</v>
      </c>
      <c r="L305" s="3" t="s">
        <v>4796</v>
      </c>
      <c r="M305" s="1633">
        <f>OBRA!R644</f>
        <v>809084.8</v>
      </c>
      <c r="N305" s="1">
        <v>28</v>
      </c>
      <c r="O305" s="1562" t="s">
        <v>1757</v>
      </c>
      <c r="P305" s="2" t="s">
        <v>4908</v>
      </c>
      <c r="Q305" s="1139"/>
    </row>
    <row r="306" spans="1:17" ht="87" customHeight="1">
      <c r="A306" s="1"/>
      <c r="B306" s="1600"/>
      <c r="C306" s="1" t="str">
        <f>OBRA!CB645</f>
        <v>2021-2024</v>
      </c>
      <c r="D306" s="1">
        <f>OBRA!J645</f>
        <v>2022</v>
      </c>
      <c r="E306" s="1598" t="str">
        <f>OBRA!O645</f>
        <v>ADJUDICACIÓN DIRECTA</v>
      </c>
      <c r="F306" s="1281" t="str">
        <f>OBRA!N645</f>
        <v>GMJ 010 C-OP/2022</v>
      </c>
      <c r="G306" s="3" t="str">
        <f>OBRA!P645</f>
        <v>"PROYECTO DE CONSTRUCCIÓN DE TECHADO TIPO LONARIA EN AREA DE IMPARTICIÓN DE EDUCACIÓN FÍSICA EN LA ESCUELA CAM (CENTRO DE ATENCIÓN MULTIPLE GALLAUDET)" EN LA CABECERA MUNICIPAL DE JOCOTEPEC, JALISCO</v>
      </c>
      <c r="H306" s="1598" t="s">
        <v>4759</v>
      </c>
      <c r="I306" s="3" t="str">
        <f>OBRA!Q645</f>
        <v>CABECERA MUNICIPAL</v>
      </c>
      <c r="J306" s="3" t="s">
        <v>4818</v>
      </c>
      <c r="K306" s="3" t="s">
        <v>68</v>
      </c>
      <c r="L306" s="3" t="s">
        <v>68</v>
      </c>
      <c r="M306" s="1633">
        <f>OBRA!R645</f>
        <v>1697255.04</v>
      </c>
      <c r="N306" s="1">
        <f>GRAL!AF647</f>
        <v>286.43</v>
      </c>
      <c r="O306" s="1" t="str">
        <f>GRAL!AG647</f>
        <v>M2</v>
      </c>
      <c r="P306" s="1281" t="s">
        <v>4914</v>
      </c>
      <c r="Q306" s="1139"/>
    </row>
    <row r="307" spans="1:17" ht="87" customHeight="1">
      <c r="A307" s="1"/>
      <c r="B307" s="1600"/>
      <c r="C307" s="1" t="str">
        <f>OBRA!CB646</f>
        <v>2021-2024</v>
      </c>
      <c r="D307" s="1">
        <f>OBRA!J646</f>
        <v>2022</v>
      </c>
      <c r="E307" s="1598" t="str">
        <f>OBRA!O646</f>
        <v>ADJUDICACIÓN DIRECTA</v>
      </c>
      <c r="F307" s="1281" t="str">
        <f>OBRA!N646</f>
        <v>GMJ 011 C-OP/2022</v>
      </c>
      <c r="G307" s="3" t="str">
        <f>OBRA!P646</f>
        <v>"ELEVACIÓN DE NAVE EN RASTRO MUNICIPAL COMO COMPLEMENTO DE LA OBRA; SUMINISTRO E INSTALACIÓN DE EQUIPAMIENTO PARA RASTRO MUNICIPAL", EN LA CABECERA MUNICIPAL DE JOCOTEPEC, JALISCO</v>
      </c>
      <c r="H307" s="1598" t="s">
        <v>4757</v>
      </c>
      <c r="I307" s="3" t="str">
        <f>OBRA!Q646</f>
        <v>CABECERA MUNICIPAL</v>
      </c>
      <c r="J307" s="3" t="s">
        <v>4774</v>
      </c>
      <c r="K307" s="3" t="s">
        <v>2528</v>
      </c>
      <c r="L307" s="3" t="s">
        <v>4800</v>
      </c>
      <c r="M307" s="1633">
        <f>OBRA!R646</f>
        <v>1343062.53</v>
      </c>
      <c r="N307" s="219">
        <f>GRAL!AF648</f>
        <v>0</v>
      </c>
      <c r="O307" s="219" t="s">
        <v>1451</v>
      </c>
      <c r="P307" s="2" t="s">
        <v>68</v>
      </c>
      <c r="Q307" s="1139"/>
    </row>
    <row r="308" spans="1:17" ht="58.5" customHeight="1">
      <c r="A308" s="1"/>
      <c r="B308" s="1600"/>
      <c r="C308" s="1" t="str">
        <f>OBRA!CB647</f>
        <v>2021-2024</v>
      </c>
      <c r="D308" s="1">
        <f>OBRA!J647</f>
        <v>2022</v>
      </c>
      <c r="E308" s="1598" t="str">
        <f>OBRA!O647</f>
        <v>ADJUDICACIÓN DIRECTA</v>
      </c>
      <c r="F308" s="1281" t="str">
        <f>OBRA!N647</f>
        <v>GMJ 012 C-OP/2022</v>
      </c>
      <c r="G308" s="3" t="str">
        <f>OBRA!P647</f>
        <v>"REPARACIÓN DE BANQUETA PERIMETRAL EN LA PLAZA PRINCIPAL" DE LA CABECERA MUNICPAL DE JOCOTEPEC, JALISCO.</v>
      </c>
      <c r="H308" s="1598" t="s">
        <v>4748</v>
      </c>
      <c r="I308" s="3" t="str">
        <f>OBRA!Q647</f>
        <v>CABECERA MUNICIPAL</v>
      </c>
      <c r="J308" s="3" t="s">
        <v>4799</v>
      </c>
      <c r="K308" s="3" t="s">
        <v>4642</v>
      </c>
      <c r="L308" s="3" t="s">
        <v>68</v>
      </c>
      <c r="M308" s="1633">
        <f>OBRA!R647</f>
        <v>85733.34</v>
      </c>
      <c r="N308" s="1">
        <f>GRAL!AF649</f>
        <v>100.4</v>
      </c>
      <c r="O308" s="1" t="str">
        <f>GRAL!AG649</f>
        <v>M2</v>
      </c>
      <c r="P308" s="2" t="s">
        <v>4915</v>
      </c>
      <c r="Q308" s="1139"/>
    </row>
    <row r="309" spans="1:17" ht="132.75" customHeight="1">
      <c r="A309" s="1"/>
      <c r="B309" s="1600"/>
      <c r="C309" s="1" t="str">
        <f>OBRA!CB648</f>
        <v>2021-2024</v>
      </c>
      <c r="D309" s="1">
        <f>OBRA!J648</f>
        <v>2022</v>
      </c>
      <c r="E309" s="1598" t="str">
        <f>OBRA!O648</f>
        <v>CONCURSO SIMPLIFICADO SUMARIO</v>
      </c>
      <c r="F309" s="1281" t="str">
        <f>OBRA!N648</f>
        <v>FAIS-RAMO/33-OP-CSS-013/2022</v>
      </c>
      <c r="G309"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598" t="s">
        <v>4756</v>
      </c>
      <c r="I309" s="3" t="str">
        <f>OBRA!Q648</f>
        <v>CABECERA MUNICIPAL</v>
      </c>
      <c r="J309" s="3" t="s">
        <v>4793</v>
      </c>
      <c r="K309" s="3" t="s">
        <v>2528</v>
      </c>
      <c r="L309" s="3" t="s">
        <v>4772</v>
      </c>
      <c r="M309" s="1633">
        <f>OBRA!R648</f>
        <v>4165845.27</v>
      </c>
      <c r="N309" s="1">
        <f>GRAL!AF650</f>
        <v>2211.6</v>
      </c>
      <c r="O309" s="1" t="str">
        <f>GRAL!AG650</f>
        <v>M2</v>
      </c>
      <c r="P309" s="1281" t="s">
        <v>4916</v>
      </c>
      <c r="Q309" s="1139" t="s">
        <v>4917</v>
      </c>
    </row>
    <row r="310" spans="1:17" ht="102" customHeight="1">
      <c r="A310" s="1"/>
      <c r="B310" s="1600"/>
      <c r="C310" s="1" t="str">
        <f>OBRA!CB649</f>
        <v>2021-2024</v>
      </c>
      <c r="D310" s="1">
        <f>OBRA!J649</f>
        <v>2022</v>
      </c>
      <c r="E310" s="1598" t="str">
        <f>OBRA!O649</f>
        <v>CONCURSO SIMPLIFICADO SUMARIO</v>
      </c>
      <c r="F310" s="1281" t="str">
        <f>OBRA!N649</f>
        <v>FAIS-RAMO/33-OP-CSS-014/2022</v>
      </c>
      <c r="G310" s="3" t="str">
        <f>OBRA!P649</f>
        <v>"PERFORACIÓN, EQUIPAMIENTO, ELECTRIFICACIÓN, TREN DE DESCARGA, CASETA DE CLORACIÓN, CERCADO PERIMETRAL Y PUESTA EN MARCHA DEL POZO DE AGUA EN CALLE JUAN PABLO II, EN LA LOCALIDAD DE SAN JUAN COSALÁ, MUNICIPIO DE JOCOTEPEC,  JALISCO.</v>
      </c>
      <c r="H310" s="1598" t="s">
        <v>4751</v>
      </c>
      <c r="I310" s="3" t="str">
        <f>OBRA!Q649</f>
        <v>SAN JUAN COSALÁ</v>
      </c>
      <c r="J310" s="3" t="s">
        <v>4822</v>
      </c>
      <c r="K310" s="3" t="s">
        <v>2586</v>
      </c>
      <c r="L310" s="3" t="s">
        <v>4812</v>
      </c>
      <c r="M310" s="1633">
        <f>OBRA!R649</f>
        <v>4216204.78</v>
      </c>
      <c r="N310" s="1">
        <v>280</v>
      </c>
      <c r="O310" s="1" t="str">
        <f>GRAL!AG651</f>
        <v>ML</v>
      </c>
      <c r="P310" s="2" t="s">
        <v>68</v>
      </c>
      <c r="Q310" s="1139" t="s">
        <v>68</v>
      </c>
    </row>
    <row r="311" spans="1:17" ht="87" customHeight="1">
      <c r="A311" s="1"/>
      <c r="B311" s="1600"/>
      <c r="C311" s="1" t="str">
        <f>OBRA!CB650</f>
        <v>2021-2024</v>
      </c>
      <c r="D311" s="1">
        <f>OBRA!J650</f>
        <v>2022</v>
      </c>
      <c r="E311" s="1598" t="str">
        <f>OBRA!O650</f>
        <v>CONCURSO SIMPLIFICADO SUMARIO</v>
      </c>
      <c r="F311" s="1281" t="str">
        <f>OBRA!N650</f>
        <v>PROGRAMA CUENTA CORRIENTE-OP-CSS-015/2022</v>
      </c>
      <c r="G311" s="3" t="str">
        <f>OBRA!P650</f>
        <v>"PERFORACIÓN, EQUIPAMIENTO, ELECTRIFICACIÓN, TREN DE DESCARGA, CASETA DE CLORACIÓN, CERCADO PERIMETRAL Y PUESTA EN MARCHA DEL POZO DE AGUA EN LA LOCALIDAD DE CHANTEPEC, MUNICIPIO DE JOCOTEPEC, JALISCO.</v>
      </c>
      <c r="H311" s="1598" t="s">
        <v>4751</v>
      </c>
      <c r="I311" s="3" t="str">
        <f>OBRA!Q650</f>
        <v>CHANTEPEC</v>
      </c>
      <c r="J311" s="3" t="s">
        <v>2633</v>
      </c>
      <c r="K311" s="3" t="s">
        <v>4819</v>
      </c>
      <c r="L311" s="3" t="s">
        <v>4774</v>
      </c>
      <c r="M311" s="1633">
        <f>OBRA!R650</f>
        <v>3845696.93</v>
      </c>
      <c r="N311" s="1">
        <f>GRAL!AF652</f>
        <v>350</v>
      </c>
      <c r="O311" s="1" t="str">
        <f>GRAL!AG652</f>
        <v>ML</v>
      </c>
      <c r="P311" s="2" t="s">
        <v>68</v>
      </c>
      <c r="Q311" s="1139" t="s">
        <v>68</v>
      </c>
    </row>
    <row r="312" spans="1:17" ht="73.5" customHeight="1">
      <c r="A312" s="1"/>
      <c r="B312" s="1600"/>
      <c r="C312" s="1" t="str">
        <f>OBRA!CB651</f>
        <v>2021-2024</v>
      </c>
      <c r="D312" s="1">
        <f>OBRA!J651</f>
        <v>2022</v>
      </c>
      <c r="E312" s="1598" t="str">
        <f>OBRA!O651</f>
        <v>ADJUDICACIÓN DIRECTA</v>
      </c>
      <c r="F312" s="1281" t="str">
        <f>OBRA!N651</f>
        <v>GMJ 016 C-OP/2022</v>
      </c>
      <c r="G312" s="3" t="str">
        <f>OBRA!P651</f>
        <v>"REHABILITACIÓN DE REDES HIDROSANITARIAS DE CALLE RIVERA DEL LAGO DE CALLE GUAYABITOS A 130 ML A LA CALLE CHUECA", EN LA LOCALIDAD DE NEXTIPAC, DEL MUNICIPIO DE JOCOTEPEC, JALISCO.</v>
      </c>
      <c r="H312" s="1598" t="s">
        <v>4753</v>
      </c>
      <c r="I312" s="3" t="str">
        <f>OBRA!Q651</f>
        <v>NEXTIPAC</v>
      </c>
      <c r="J312" s="3" t="s">
        <v>2566</v>
      </c>
      <c r="K312" s="3" t="s">
        <v>4073</v>
      </c>
      <c r="L312" s="3" t="s">
        <v>4020</v>
      </c>
      <c r="M312" s="1633">
        <f>OBRA!R651</f>
        <v>645484.5</v>
      </c>
      <c r="N312" s="1">
        <f>GRAL!AF653</f>
        <v>135.13</v>
      </c>
      <c r="O312" s="1" t="str">
        <f>GRAL!AG653</f>
        <v>ML</v>
      </c>
      <c r="P312" s="2" t="s">
        <v>4918</v>
      </c>
      <c r="Q312" s="1139"/>
    </row>
    <row r="313" spans="1:17" ht="123" customHeight="1">
      <c r="A313" s="1"/>
      <c r="B313" s="1600"/>
      <c r="C313" s="1" t="str">
        <f>OBRA!CB652</f>
        <v>2021-2024</v>
      </c>
      <c r="D313" s="1">
        <f>OBRA!J652</f>
        <v>2022</v>
      </c>
      <c r="E313" s="1598" t="str">
        <f>OBRA!O652</f>
        <v>CONCURSO SIMPLIFICADO SUMARIO</v>
      </c>
      <c r="F313" s="1281" t="str">
        <f>OBRA!N652</f>
        <v>FAIS-RAMO/33-OP-CSS-017/2022</v>
      </c>
      <c r="G313" s="3" t="str">
        <f>OBRA!P652</f>
        <v>REHABILITACIÓN DE REDES HIDROSANITARIAS Y SUPERFICIE DE RODAMIENTO DE LA CALLE INDEPENDENCIA NORTE ENTRE CALLE ITURBIDE Y CALLE ALDAMA", EN LA CABECERA MUNICIPAL DE JOCOTEPEC, JALISCO.</v>
      </c>
      <c r="H313" s="1598" t="s">
        <v>4756</v>
      </c>
      <c r="I313" s="3" t="str">
        <f>OBRA!Q652</f>
        <v>CABECERA MUNICIPAL</v>
      </c>
      <c r="J313" s="3" t="s">
        <v>2600</v>
      </c>
      <c r="K313" s="3" t="s">
        <v>4770</v>
      </c>
      <c r="L313" s="3" t="s">
        <v>4820</v>
      </c>
      <c r="M313" s="1633">
        <f>OBRA!R652</f>
        <v>2479806.63</v>
      </c>
      <c r="N313" s="1">
        <f>GRAL!AF654</f>
        <v>1770.97</v>
      </c>
      <c r="O313" s="1" t="str">
        <f>GRAL!AG654</f>
        <v>M2</v>
      </c>
      <c r="P313" s="1281" t="s">
        <v>4919</v>
      </c>
      <c r="Q313" s="1139" t="s">
        <v>4920</v>
      </c>
    </row>
    <row r="314" spans="1:17" ht="108.75" customHeight="1">
      <c r="A314" s="1"/>
      <c r="B314" s="1600"/>
      <c r="C314" s="1" t="str">
        <f>OBRA!CB653</f>
        <v>2021-2024</v>
      </c>
      <c r="D314" s="1">
        <f>OBRA!J653</f>
        <v>2022</v>
      </c>
      <c r="E314" s="1598" t="str">
        <f>OBRA!O653</f>
        <v>CONCURSO SIMPLIFICADO SUMARIO</v>
      </c>
      <c r="F314" s="1281" t="str">
        <f>OBRA!N653</f>
        <v>FAIS-RAMO/33-OP-CSS-018/2022</v>
      </c>
      <c r="G314"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598" t="s">
        <v>4756</v>
      </c>
      <c r="I314" s="3" t="str">
        <f>OBRA!Q653</f>
        <v>CABECERA MUNICIPAL</v>
      </c>
      <c r="J314" s="3" t="s">
        <v>4821</v>
      </c>
      <c r="K314" s="3" t="s">
        <v>4891</v>
      </c>
      <c r="L314" s="3" t="s">
        <v>4892</v>
      </c>
      <c r="M314" s="1633">
        <f>OBRA!R653</f>
        <v>2218847.77</v>
      </c>
      <c r="N314" s="1">
        <f>GRAL!AF655</f>
        <v>1566.71</v>
      </c>
      <c r="O314" s="1" t="str">
        <f>GRAL!AG655</f>
        <v>M2</v>
      </c>
      <c r="P314" s="1281" t="s">
        <v>4921</v>
      </c>
      <c r="Q314" s="1139" t="s">
        <v>4922</v>
      </c>
    </row>
    <row r="315" spans="1:17" ht="63" customHeight="1">
      <c r="A315" s="1"/>
      <c r="B315" s="1600"/>
      <c r="C315" s="1" t="str">
        <f>OBRA!CB654</f>
        <v>2021-2024</v>
      </c>
      <c r="D315" s="1">
        <f>OBRA!J654</f>
        <v>2022</v>
      </c>
      <c r="E315" s="1598" t="str">
        <f>OBRA!O654</f>
        <v>ADJUDICACIÓN DIRECTA</v>
      </c>
      <c r="F315" s="1281" t="str">
        <f>OBRA!N654</f>
        <v>GMJ 019 C-OP/2022</v>
      </c>
      <c r="G315" s="3" t="str">
        <f>OBRA!P654</f>
        <v>“CONSTRUCCIÓN DE REDES HIDROSANITARÍAS EN CALLE PRIV. JUAN PABLO II”, EN LA LOCALIDAD DE SAN JUAN COSALÁ, DEL MUNICIPIO DE JOCOTEPEC, JALISCO</v>
      </c>
      <c r="H315" s="1598" t="s">
        <v>4753</v>
      </c>
      <c r="I315" s="3" t="str">
        <f>OBRA!Q654</f>
        <v>SAN JUAN COSALÁ</v>
      </c>
      <c r="J315" s="3" t="s">
        <v>4822</v>
      </c>
      <c r="K315" s="3" t="s">
        <v>2586</v>
      </c>
      <c r="L315" s="3" t="s">
        <v>4812</v>
      </c>
      <c r="M315" s="1633">
        <f>OBRA!R654</f>
        <v>762057.5</v>
      </c>
      <c r="N315" s="219">
        <f>GRAL!AF656</f>
        <v>290.17</v>
      </c>
      <c r="O315" s="1" t="str">
        <f>GRAL!AG656</f>
        <v>ML</v>
      </c>
      <c r="P315" s="510"/>
      <c r="Q315" s="1638"/>
    </row>
    <row r="316" spans="1:17" ht="22.5" hidden="1">
      <c r="A316" s="1"/>
      <c r="B316" s="1"/>
      <c r="C316" s="1" t="str">
        <f>OBRA!CB655</f>
        <v>2021-2024</v>
      </c>
      <c r="D316" s="1">
        <f>OBRA!J655</f>
        <v>2022</v>
      </c>
      <c r="E316" s="1598" t="str">
        <f>OBRA!O655</f>
        <v>CANCELADA</v>
      </c>
      <c r="F316" s="1598" t="str">
        <f>OBRA!N655</f>
        <v>GMJ 020 C-OP/2022</v>
      </c>
      <c r="G316" s="3">
        <f>OBRA!P655</f>
        <v>0</v>
      </c>
      <c r="H316" s="1"/>
      <c r="I316" s="3">
        <f>OBRA!Q655</f>
        <v>0</v>
      </c>
      <c r="J316" s="3"/>
      <c r="K316" s="3"/>
      <c r="L316" s="3"/>
      <c r="M316" s="1602">
        <f>OBRA!AS655+OBRA!AT655</f>
        <v>0</v>
      </c>
      <c r="N316" s="1">
        <f>GRAL!AF657</f>
        <v>0</v>
      </c>
      <c r="O316" s="1">
        <f>GRAL!AG657</f>
        <v>0</v>
      </c>
      <c r="P316" s="1"/>
      <c r="Q316" s="1"/>
    </row>
    <row r="317" spans="1:17" ht="60" hidden="1">
      <c r="A317" s="1"/>
      <c r="B317" s="1"/>
      <c r="C317" s="1" t="str">
        <f>OBRA!CB656</f>
        <v>2021-2024</v>
      </c>
      <c r="D317" s="1">
        <f>OBRA!J656</f>
        <v>2022</v>
      </c>
      <c r="E317" s="1598" t="str">
        <f>OBRA!O656</f>
        <v>CONVENIO</v>
      </c>
      <c r="F317" s="1598" t="str">
        <f>OBRA!N656</f>
        <v>CEA-FISE-003/2022</v>
      </c>
      <c r="G317" s="3" t="str">
        <f>OBRA!P656</f>
        <v xml:space="preserve">CONSTRUCCIÓN DE LÍNEA DE CONDUCCIÓN DE AGUA POTABLE DEL POZO ALLENDE AL TANQUE EXISTENTE Y LÍNEA DE DE CONEXIÓN A RED DE DISTRIBUCCIÓN DE AGUA POTABLE, EN LA CABECERA MUNICIPAL DE JOCOTEPEC, JALISCO". </v>
      </c>
      <c r="H317" s="1"/>
      <c r="I317" s="3" t="str">
        <f>OBRA!Q656</f>
        <v>CABECERA MUNICIPAL</v>
      </c>
      <c r="J317" s="3"/>
      <c r="K317" s="3"/>
      <c r="L317" s="3"/>
      <c r="M317" s="1602">
        <f>OBRA!AS656+OBRA!AT656</f>
        <v>0</v>
      </c>
      <c r="N317" s="1">
        <f>GRAL!AF658</f>
        <v>0</v>
      </c>
      <c r="O317" s="1">
        <f>GRAL!AG658</f>
        <v>0</v>
      </c>
      <c r="P317" s="1"/>
      <c r="Q317" s="1"/>
    </row>
    <row r="318" spans="1:17" ht="60" hidden="1">
      <c r="A318" s="1"/>
      <c r="B318" s="1"/>
      <c r="C318" s="1" t="str">
        <f>OBRA!CB657</f>
        <v>2021-2024</v>
      </c>
      <c r="D318" s="1">
        <f>OBRA!J657</f>
        <v>2022</v>
      </c>
      <c r="E318" s="1598" t="str">
        <f>OBRA!O657</f>
        <v>CONVENIO</v>
      </c>
      <c r="F318" s="1598" t="str">
        <f>OBRA!N657</f>
        <v>CEA-FISE-004/2022</v>
      </c>
      <c r="G318" s="3" t="str">
        <f>OBRA!P657</f>
        <v>CONSTRUCCIÓN DE COLECTOR PRINCIPAL Y CARCAMO DE BOMBEO, ENTRE CALLE VICENTE GUERRERO Y PLANTA DE TRATAMIENTO DE LA LOCALIDAD DE SAN CRISTÓBAL ZAPOTITLÁN, MUNICIPIO DE JOCOTEPEC, JALISCO.</v>
      </c>
      <c r="H318" s="1"/>
      <c r="I318" s="3" t="str">
        <f>OBRA!Q657</f>
        <v>SAN CRISTÓBAL ZAPOTITLÁN</v>
      </c>
      <c r="J318" s="3"/>
      <c r="K318" s="3"/>
      <c r="L318" s="3"/>
      <c r="M318" s="1602">
        <f>OBRA!AS657+OBRA!AT657</f>
        <v>0</v>
      </c>
      <c r="N318" s="1">
        <f>GRAL!AF659</f>
        <v>0</v>
      </c>
      <c r="O318" s="1">
        <f>GRAL!AG659</f>
        <v>0</v>
      </c>
      <c r="P318" s="1"/>
      <c r="Q318" s="1"/>
    </row>
    <row r="319" spans="1:17" ht="45" hidden="1">
      <c r="A319" s="1"/>
      <c r="B319" s="1"/>
      <c r="C319" s="1" t="str">
        <f>OBRA!CB658</f>
        <v>2021-2024</v>
      </c>
      <c r="D319" s="1">
        <f>OBRA!J658</f>
        <v>2023</v>
      </c>
      <c r="E319" s="1598" t="str">
        <f>OBRA!O658</f>
        <v>CONVENIO</v>
      </c>
      <c r="F319" s="1598" t="str">
        <f>OBRA!N658</f>
        <v>CONV/FOCOCI/014/2023</v>
      </c>
      <c r="G319" s="3" t="str">
        <f>OBRA!P658</f>
        <v>PAVIMENTACIÓN CON EMPEDRADO ZAMPEADO, EN CALLE LA PAZ EN LA DELEGACIÓN DE SAN JUAN COSALÁ, MUNICIPIO DE JOCOTPEC, JALISCO</v>
      </c>
      <c r="H319" s="1"/>
      <c r="I319" s="3" t="str">
        <f>OBRA!Q658</f>
        <v>SAN JUAN COSALÁ</v>
      </c>
      <c r="J319" s="3"/>
      <c r="K319" s="3"/>
      <c r="L319" s="3"/>
      <c r="M319" s="1602">
        <f>OBRA!AS658+OBRA!AT658</f>
        <v>0</v>
      </c>
      <c r="N319" s="1">
        <f>GRAL!AF660</f>
        <v>0</v>
      </c>
      <c r="O319" s="1">
        <f>GRAL!AG660</f>
        <v>0</v>
      </c>
      <c r="P319" s="1"/>
      <c r="Q319" s="1"/>
    </row>
    <row r="320" spans="1:17" ht="45" hidden="1">
      <c r="A320" s="1"/>
      <c r="B320" s="1"/>
      <c r="C320" s="1" t="str">
        <f>OBRA!CB659</f>
        <v>2021-2024</v>
      </c>
      <c r="D320" s="1">
        <f>OBRA!J659</f>
        <v>2023</v>
      </c>
      <c r="E320" s="1598" t="str">
        <f>OBRA!O659</f>
        <v>CONVENIO</v>
      </c>
      <c r="F320" s="1598" t="str">
        <f>OBRA!N659</f>
        <v>CEA-IHAP-FISE-021/2023</v>
      </c>
      <c r="G320" s="3" t="str">
        <f>OBRA!P659</f>
        <v>PERFORACIÓN DE POZO PROFUNDO PARA LA EXTRACCIÓN DE AGUA POTABLE, UBICADO EN LA LOCALIDAD DE SAN JUAN COSALÁ MUNICIPIO DE JOCOTEPEC, JALISCO.</v>
      </c>
      <c r="H320" s="1"/>
      <c r="I320" s="3" t="str">
        <f>OBRA!Q659</f>
        <v>SAN JUAN COSALÁ</v>
      </c>
      <c r="J320" s="3"/>
      <c r="K320" s="3"/>
      <c r="L320" s="3"/>
      <c r="M320" s="1602">
        <f>OBRA!AS659+OBRA!AT659</f>
        <v>0</v>
      </c>
      <c r="N320" s="1">
        <f>GRAL!AF661</f>
        <v>0</v>
      </c>
      <c r="O320" s="1">
        <f>GRAL!AG661</f>
        <v>0</v>
      </c>
      <c r="P320" s="1"/>
      <c r="Q320" s="1"/>
    </row>
    <row r="321" spans="1:17" ht="45" hidden="1">
      <c r="A321" s="1"/>
      <c r="B321" s="1"/>
      <c r="C321" s="1" t="str">
        <f>OBRA!CB660</f>
        <v>2021-2024</v>
      </c>
      <c r="D321" s="1">
        <f>OBRA!J660</f>
        <v>2023</v>
      </c>
      <c r="E321" s="1598" t="str">
        <f>OBRA!O660</f>
        <v>CONVENIO</v>
      </c>
      <c r="F321" s="1598" t="str">
        <f>OBRA!N660</f>
        <v>CEA-IHAP-FISE-022/2023</v>
      </c>
      <c r="G321" s="3" t="str">
        <f>OBRA!P660</f>
        <v>PERFORACIÓN DE POZO PROFUNDO PARA LA EXTRACCIÓN DE AGUA POTABLE, UBICADO EN LA CABECERA MUNICIPAL DE JOCOTEPEC, JALISCO.</v>
      </c>
      <c r="H321" s="1"/>
      <c r="I321" s="3" t="str">
        <f>OBRA!Q660</f>
        <v>CABECERA MUNICIPAL</v>
      </c>
      <c r="J321" s="3"/>
      <c r="K321" s="3"/>
      <c r="L321" s="3"/>
      <c r="M321" s="1602">
        <f>OBRA!AS660+OBRA!AT660</f>
        <v>0</v>
      </c>
      <c r="N321" s="1">
        <f>GRAL!AF662</f>
        <v>0</v>
      </c>
      <c r="O321" s="1">
        <f>GRAL!AG662</f>
        <v>0</v>
      </c>
      <c r="P321" s="1"/>
      <c r="Q321" s="1"/>
    </row>
    <row r="322" spans="1:17" ht="75" hidden="1">
      <c r="A322" s="1"/>
      <c r="B322" s="1"/>
      <c r="C322" s="1" t="str">
        <f>OBRA!CB661</f>
        <v>2021-2024</v>
      </c>
      <c r="D322" s="1">
        <f>OBRA!J661</f>
        <v>2023</v>
      </c>
      <c r="E322" s="1598" t="str">
        <f>OBRA!O661</f>
        <v>SERVICIOS</v>
      </c>
      <c r="F322" s="1598" t="str">
        <f>OBRA!N661</f>
        <v>C.P.S.P. DOP 001/2023</v>
      </c>
      <c r="G322"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OBRA!Q661</f>
        <v>SAN JUAN COSALÁ</v>
      </c>
      <c r="J322" s="3"/>
      <c r="K322" s="3"/>
      <c r="L322" s="3"/>
      <c r="M322" s="1602">
        <f>OBRA!AS661+OBRA!AT661</f>
        <v>0</v>
      </c>
      <c r="N322" s="1">
        <f>GRAL!AF663</f>
        <v>1</v>
      </c>
      <c r="O322" s="1" t="str">
        <f>GRAL!AG663</f>
        <v>ESTUDIO</v>
      </c>
      <c r="P322" s="1"/>
      <c r="Q322" s="1"/>
    </row>
    <row r="323" spans="1:17" ht="75" hidden="1">
      <c r="A323" s="1"/>
      <c r="B323" s="1"/>
      <c r="C323" s="1" t="str">
        <f>OBRA!CB662</f>
        <v>2021-2024</v>
      </c>
      <c r="D323" s="1">
        <f>OBRA!J662</f>
        <v>2023</v>
      </c>
      <c r="E323" s="1598" t="str">
        <f>OBRA!O662</f>
        <v>SERVICIOS</v>
      </c>
      <c r="F323" s="1598" t="str">
        <f>OBRA!N662</f>
        <v>C.P.S.P. DOP 002/2023</v>
      </c>
      <c r="G323" s="3" t="str">
        <f>OBRA!P662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OBRA!Q662</f>
        <v>SAN PEDRO TESISTÁN</v>
      </c>
      <c r="J323" s="3"/>
      <c r="K323" s="3"/>
      <c r="L323" s="3"/>
      <c r="M323" s="1602">
        <f>OBRA!AS662+OBRA!AT662</f>
        <v>0</v>
      </c>
      <c r="N323" s="1">
        <f>GRAL!AF664</f>
        <v>1</v>
      </c>
      <c r="O323" s="1" t="str">
        <f>GRAL!AG664</f>
        <v>ESTUDIO</v>
      </c>
      <c r="P323" s="1"/>
      <c r="Q323" s="1"/>
    </row>
    <row r="324" spans="1:17" ht="75" hidden="1">
      <c r="A324" s="1"/>
      <c r="B324" s="1"/>
      <c r="C324" s="1" t="str">
        <f>OBRA!CB663</f>
        <v>2021-2024</v>
      </c>
      <c r="D324" s="1">
        <f>OBRA!J663</f>
        <v>2023</v>
      </c>
      <c r="E324" s="1598" t="str">
        <f>OBRA!O663</f>
        <v>SERVICIOS</v>
      </c>
      <c r="F324" s="1598" t="str">
        <f>OBRA!N663</f>
        <v>C.P.S.P. DOP 003/2023</v>
      </c>
      <c r="G324" s="3" t="str">
        <f>OBRA!P663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OBRA!Q663</f>
        <v>SAN PEDRO TESISTÁN</v>
      </c>
      <c r="J324" s="3"/>
      <c r="K324" s="3"/>
      <c r="L324" s="3"/>
      <c r="M324" s="1602">
        <f>OBRA!AS663+OBRA!AT663</f>
        <v>0</v>
      </c>
      <c r="N324" s="1">
        <f>GRAL!AF665</f>
        <v>1</v>
      </c>
      <c r="O324" s="1" t="str">
        <f>GRAL!AG665</f>
        <v>ESTUDIO</v>
      </c>
      <c r="P324" s="1"/>
      <c r="Q324" s="1"/>
    </row>
    <row r="325" spans="1:17" ht="60" hidden="1">
      <c r="A325" s="1"/>
      <c r="B325" s="1"/>
      <c r="C325" s="1" t="str">
        <f>OBRA!CB664</f>
        <v>2021-2024</v>
      </c>
      <c r="D325" s="1">
        <f>OBRA!J664</f>
        <v>2023</v>
      </c>
      <c r="E325" s="1598" t="str">
        <f>OBRA!O664</f>
        <v>SERVICIOS</v>
      </c>
      <c r="F325" s="1598" t="str">
        <f>OBRA!N664</f>
        <v>C.P.S.P. DOP 004/2023</v>
      </c>
      <c r="G325" s="3" t="str">
        <f>OBRA!P664</f>
        <v>CONTRATACIÓN PARA LA REALIZACIÓN DEL SIGUIENTE LEVANTAMIENTO TOPOGRÁFICO: PARA EL PROYECTO; REHABILITACIÓN DE UNIDAD DEPORTIVA DONATO GUERRA SUR, EN LA CABECERA MUNICIPAL DE JOCOTEPEC, JALISCO.</v>
      </c>
      <c r="H325" s="1"/>
      <c r="I325" s="3" t="str">
        <f>OBRA!Q664</f>
        <v>CABECERA MUNICIPAL</v>
      </c>
      <c r="J325" s="3"/>
      <c r="K325" s="3"/>
      <c r="L325" s="3"/>
      <c r="M325" s="1602">
        <f>OBRA!AS664+OBRA!AT664</f>
        <v>0</v>
      </c>
      <c r="N325" s="1">
        <f>GRAL!AF666</f>
        <v>1</v>
      </c>
      <c r="O325" s="1" t="str">
        <f>GRAL!AG666</f>
        <v>LEV-TOP</v>
      </c>
      <c r="P325" s="1"/>
      <c r="Q325" s="1"/>
    </row>
    <row r="326" spans="1:17" ht="60" hidden="1">
      <c r="A326" s="1"/>
      <c r="B326" s="1"/>
      <c r="C326" s="1" t="str">
        <f>OBRA!CB665</f>
        <v>2021-2024</v>
      </c>
      <c r="D326" s="1">
        <f>OBRA!J665</f>
        <v>2023</v>
      </c>
      <c r="E326" s="1598" t="str">
        <f>OBRA!O665</f>
        <v>SERVICIOS</v>
      </c>
      <c r="F326" s="1598" t="str">
        <f>OBRA!N665</f>
        <v>C.P.S.P. DOP 005/2023</v>
      </c>
      <c r="G326" s="3" t="str">
        <f>OBRA!P665</f>
        <v>CONTRATACIÓN PARA LA REALIZACIÓN DEL SIGUIENTE LEVANTAMIENTO TOPOGRÁFICO: PARA EL PROYECTO; REHABILITACIÓN DE UNIDAD DEPORTIVA ZARAGOZA NORTE, EN LA CABECERA MUNICIPAL DE JOCOTEPEC, JALISCO.</v>
      </c>
      <c r="H326" s="1"/>
      <c r="I326" s="3" t="str">
        <f>OBRA!Q665</f>
        <v>CABECERA MUNICIPAL</v>
      </c>
      <c r="J326" s="3"/>
      <c r="K326" s="3"/>
      <c r="L326" s="3"/>
      <c r="M326" s="1602">
        <f>OBRA!AS665+OBRA!AT665</f>
        <v>0</v>
      </c>
      <c r="N326" s="1">
        <f>GRAL!AF667</f>
        <v>1</v>
      </c>
      <c r="O326" s="1" t="str">
        <f>GRAL!AG667</f>
        <v>LEV-TOP</v>
      </c>
      <c r="P326" s="1"/>
      <c r="Q326" s="1"/>
    </row>
    <row r="327" spans="1:17" ht="75" hidden="1">
      <c r="A327" s="1"/>
      <c r="B327" s="1"/>
      <c r="C327" s="1" t="str">
        <f>OBRA!CB666</f>
        <v>2021-2024</v>
      </c>
      <c r="D327" s="1">
        <f>OBRA!J666</f>
        <v>2023</v>
      </c>
      <c r="E327" s="1598" t="str">
        <f>OBRA!O666</f>
        <v>SERVICIOS</v>
      </c>
      <c r="F327" s="1598" t="str">
        <f>OBRA!N666</f>
        <v>C.P.S.P. DOP 006/2023</v>
      </c>
      <c r="G327" s="3" t="str">
        <f>OBRA!P666</f>
        <v>CONTRACIÓN DEL SERVICIO PARA: LOCALIZACIÓN DE AGUA EN PREDIO PARA SU POSIBLE PERFORACIÓN DE POZO PROFUNDO POR MEDIO DE LA TÉCNICA DE RADIESTESIA UBICADO EN CALLE FLAMINGOS, EN LA LOCALIDAD DE NEXTIPAC, DEL MUNICIPIO DE JOCOTEPEC, JALISCO.</v>
      </c>
      <c r="H327" s="1"/>
      <c r="I327" s="3" t="str">
        <f>OBRA!Q666</f>
        <v>NEXTIPAC</v>
      </c>
      <c r="J327" s="3"/>
      <c r="K327" s="3"/>
      <c r="L327" s="3"/>
      <c r="M327" s="1602">
        <f>OBRA!AS666+OBRA!AT666</f>
        <v>0</v>
      </c>
      <c r="N327" s="1">
        <f>GRAL!AF668</f>
        <v>1</v>
      </c>
      <c r="O327" s="1" t="str">
        <f>GRAL!AG668</f>
        <v>LOTE</v>
      </c>
      <c r="P327" s="1"/>
      <c r="Q327" s="1"/>
    </row>
    <row r="328" spans="1:17" ht="75" hidden="1">
      <c r="A328" s="1"/>
      <c r="B328" s="1"/>
      <c r="C328" s="1" t="str">
        <f>OBRA!CB667</f>
        <v>2021-2024</v>
      </c>
      <c r="D328" s="1">
        <f>OBRA!J667</f>
        <v>2023</v>
      </c>
      <c r="E328" s="1598" t="str">
        <f>OBRA!O667</f>
        <v>SERVICIOS</v>
      </c>
      <c r="F328" s="1598" t="str">
        <f>OBRA!N667</f>
        <v>C.P.S.P. DOP 007/2023</v>
      </c>
      <c r="G328" s="3" t="str">
        <f>OBRA!P667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OBRA!Q667</f>
        <v>SAN JUAN COSALÁ</v>
      </c>
      <c r="J328" s="3"/>
      <c r="K328" s="3"/>
      <c r="L328" s="3"/>
      <c r="M328" s="1602">
        <f>OBRA!AS667+OBRA!AT667</f>
        <v>0</v>
      </c>
      <c r="N328" s="1">
        <f>GRAL!AF669</f>
        <v>1</v>
      </c>
      <c r="O328" s="1" t="str">
        <f>GRAL!AG669</f>
        <v>LOTE</v>
      </c>
      <c r="P328" s="1"/>
      <c r="Q328" s="1"/>
    </row>
    <row r="329" spans="1:17" ht="105" hidden="1">
      <c r="A329" s="1"/>
      <c r="B329" s="1"/>
      <c r="C329" s="1" t="str">
        <f>OBRA!CB668</f>
        <v>2021-2024</v>
      </c>
      <c r="D329" s="1">
        <f>OBRA!J668</f>
        <v>2023</v>
      </c>
      <c r="E329" s="1598" t="str">
        <f>OBRA!O668</f>
        <v>SERVICIOS</v>
      </c>
      <c r="F329" s="1598" t="str">
        <f>OBRA!N668</f>
        <v>C.P.S.P. DOP 008/2023</v>
      </c>
      <c r="G329"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OBRA!Q668</f>
        <v>CABECERA MUNICIPAL</v>
      </c>
      <c r="J329" s="3"/>
      <c r="K329" s="3"/>
      <c r="L329" s="3"/>
      <c r="M329" s="1602">
        <f>OBRA!AS668+OBRA!AT668</f>
        <v>0</v>
      </c>
      <c r="N329" s="1">
        <f>GRAL!AF670</f>
        <v>1</v>
      </c>
      <c r="O329" s="1" t="str">
        <f>GRAL!AG670</f>
        <v>ESTUDIO</v>
      </c>
      <c r="P329" s="1"/>
      <c r="Q329" s="1"/>
    </row>
    <row r="330" spans="1:17" ht="120" hidden="1">
      <c r="A330" s="1"/>
      <c r="B330" s="1"/>
      <c r="C330" s="1" t="str">
        <f>OBRA!CB669</f>
        <v>2021-2024</v>
      </c>
      <c r="D330" s="1">
        <f>OBRA!J669</f>
        <v>2023</v>
      </c>
      <c r="E330" s="1598" t="str">
        <f>OBRA!O669</f>
        <v>SERVICIOS</v>
      </c>
      <c r="F330" s="1598" t="str">
        <f>OBRA!N669</f>
        <v>C.P.S.P. DOP 009/2023</v>
      </c>
      <c r="G330"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OBRA!Q669</f>
        <v>SAN JUAN COSALÁ</v>
      </c>
      <c r="J330" s="3"/>
      <c r="K330" s="3"/>
      <c r="L330" s="3"/>
      <c r="M330" s="1602">
        <f>OBRA!AS669+OBRA!AT669</f>
        <v>0</v>
      </c>
      <c r="N330" s="1">
        <f>GRAL!AF671</f>
        <v>1</v>
      </c>
      <c r="O330" s="1" t="str">
        <f>GRAL!AG671</f>
        <v>ESTUDIO</v>
      </c>
      <c r="P330" s="1"/>
      <c r="Q330" s="1"/>
    </row>
    <row r="331" spans="1:17" ht="105" hidden="1">
      <c r="A331" s="1"/>
      <c r="B331" s="1"/>
      <c r="C331" s="1" t="str">
        <f>OBRA!CB670</f>
        <v>2021-2024</v>
      </c>
      <c r="D331" s="1">
        <f>OBRA!J670</f>
        <v>2023</v>
      </c>
      <c r="E331" s="1598" t="str">
        <f>OBRA!O670</f>
        <v>SERVICIOS</v>
      </c>
      <c r="F331" s="1598" t="str">
        <f>OBRA!N670</f>
        <v>C.P.S.P. DOP 010/2023</v>
      </c>
      <c r="G331"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OBRA!Q670</f>
        <v>SAN JUAN COSALÁ</v>
      </c>
      <c r="J331" s="3"/>
      <c r="K331" s="3"/>
      <c r="L331" s="3"/>
      <c r="M331" s="1602">
        <f>OBRA!AS670+OBRA!AT670</f>
        <v>0</v>
      </c>
      <c r="N331" s="1">
        <f>GRAL!AF672</f>
        <v>1</v>
      </c>
      <c r="O331" s="1" t="str">
        <f>GRAL!AG672</f>
        <v>ESTUDIO</v>
      </c>
      <c r="P331" s="1"/>
      <c r="Q331" s="1"/>
    </row>
    <row r="332" spans="1:17" hidden="1">
      <c r="A332" s="1"/>
      <c r="B332" s="1"/>
      <c r="C332" s="1" t="e">
        <f>OBRA!#REF!</f>
        <v>#REF!</v>
      </c>
      <c r="D332" s="1" t="e">
        <f>OBRA!#REF!</f>
        <v>#REF!</v>
      </c>
      <c r="E332" s="1598" t="e">
        <f>OBRA!#REF!</f>
        <v>#REF!</v>
      </c>
      <c r="F332" s="1598" t="e">
        <f>OBRA!#REF!</f>
        <v>#REF!</v>
      </c>
      <c r="G332" s="3" t="e">
        <f>OBRA!#REF!</f>
        <v>#REF!</v>
      </c>
      <c r="H332" s="1"/>
      <c r="I332" s="3" t="e">
        <f>OBRA!#REF!</f>
        <v>#REF!</v>
      </c>
      <c r="J332" s="3"/>
      <c r="K332" s="3"/>
      <c r="L332" s="3"/>
      <c r="M332" s="1602" t="e">
        <f>OBRA!#REF!+OBRA!#REF!</f>
        <v>#REF!</v>
      </c>
      <c r="N332" s="1" t="e">
        <f>GRAL!#REF!</f>
        <v>#REF!</v>
      </c>
      <c r="O332" s="1" t="e">
        <f>GRAL!#REF!</f>
        <v>#REF!</v>
      </c>
      <c r="P332" s="1"/>
      <c r="Q332" s="1"/>
    </row>
    <row r="333" spans="1:17" hidden="1">
      <c r="A333" s="1"/>
      <c r="B333" s="1"/>
      <c r="C333" s="1" t="e">
        <f>OBRA!#REF!</f>
        <v>#REF!</v>
      </c>
      <c r="D333" s="1" t="e">
        <f>OBRA!#REF!</f>
        <v>#REF!</v>
      </c>
      <c r="E333" s="1598" t="e">
        <f>OBRA!#REF!</f>
        <v>#REF!</v>
      </c>
      <c r="F333" s="1598" t="e">
        <f>OBRA!#REF!</f>
        <v>#REF!</v>
      </c>
      <c r="G333" s="3" t="e">
        <f>OBRA!#REF!</f>
        <v>#REF!</v>
      </c>
      <c r="H333" s="1"/>
      <c r="I333" s="3" t="e">
        <f>OBRA!#REF!</f>
        <v>#REF!</v>
      </c>
      <c r="J333" s="3"/>
      <c r="K333" s="3"/>
      <c r="L333" s="3"/>
      <c r="M333" s="1602" t="e">
        <f>OBRA!#REF!+OBRA!#REF!</f>
        <v>#REF!</v>
      </c>
      <c r="N333" s="1" t="e">
        <f>GRAL!#REF!</f>
        <v>#REF!</v>
      </c>
      <c r="O333" s="1" t="e">
        <f>GRAL!#REF!</f>
        <v>#REF!</v>
      </c>
      <c r="P333" s="1"/>
      <c r="Q333" s="1"/>
    </row>
    <row r="334" spans="1:17" hidden="1">
      <c r="A334" s="1"/>
      <c r="B334" s="1"/>
      <c r="C334" s="1" t="e">
        <f>OBRA!#REF!</f>
        <v>#REF!</v>
      </c>
      <c r="D334" s="1" t="e">
        <f>OBRA!#REF!</f>
        <v>#REF!</v>
      </c>
      <c r="E334" s="1598" t="e">
        <f>OBRA!#REF!</f>
        <v>#REF!</v>
      </c>
      <c r="F334" s="1598" t="e">
        <f>OBRA!#REF!</f>
        <v>#REF!</v>
      </c>
      <c r="G334" s="3" t="e">
        <f>OBRA!#REF!</f>
        <v>#REF!</v>
      </c>
      <c r="H334" s="1"/>
      <c r="I334" s="3" t="e">
        <f>OBRA!#REF!</f>
        <v>#REF!</v>
      </c>
      <c r="J334" s="3"/>
      <c r="K334" s="3"/>
      <c r="L334" s="3"/>
      <c r="M334" s="1602" t="e">
        <f>OBRA!#REF!+OBRA!#REF!</f>
        <v>#REF!</v>
      </c>
      <c r="N334" s="1" t="e">
        <f>GRAL!#REF!</f>
        <v>#REF!</v>
      </c>
      <c r="O334" s="1" t="e">
        <f>GRAL!#REF!</f>
        <v>#REF!</v>
      </c>
      <c r="P334" s="1"/>
      <c r="Q334" s="1"/>
    </row>
    <row r="335" spans="1:17" hidden="1">
      <c r="A335" s="1"/>
      <c r="B335" s="1"/>
      <c r="C335" s="1" t="e">
        <f>OBRA!#REF!</f>
        <v>#REF!</v>
      </c>
      <c r="D335" s="1" t="e">
        <f>OBRA!#REF!</f>
        <v>#REF!</v>
      </c>
      <c r="E335" s="1598" t="e">
        <f>OBRA!#REF!</f>
        <v>#REF!</v>
      </c>
      <c r="F335" s="1598" t="e">
        <f>OBRA!#REF!</f>
        <v>#REF!</v>
      </c>
      <c r="G335" s="3" t="e">
        <f>OBRA!#REF!</f>
        <v>#REF!</v>
      </c>
      <c r="H335" s="1"/>
      <c r="I335" s="3" t="e">
        <f>OBRA!#REF!</f>
        <v>#REF!</v>
      </c>
      <c r="J335" s="3"/>
      <c r="K335" s="3"/>
      <c r="L335" s="3"/>
      <c r="M335" s="1602" t="e">
        <f>OBRA!#REF!+OBRA!#REF!</f>
        <v>#REF!</v>
      </c>
      <c r="N335" s="1" t="e">
        <f>GRAL!#REF!</f>
        <v>#REF!</v>
      </c>
      <c r="O335" s="1" t="e">
        <f>GRAL!#REF!</f>
        <v>#REF!</v>
      </c>
      <c r="P335" s="1"/>
      <c r="Q335" s="1"/>
    </row>
    <row r="336" spans="1:17" hidden="1">
      <c r="A336" s="1"/>
      <c r="B336" s="1"/>
      <c r="C336" s="1" t="e">
        <f>OBRA!#REF!</f>
        <v>#REF!</v>
      </c>
      <c r="D336" s="1" t="e">
        <f>OBRA!#REF!</f>
        <v>#REF!</v>
      </c>
      <c r="E336" s="1598" t="e">
        <f>OBRA!#REF!</f>
        <v>#REF!</v>
      </c>
      <c r="F336" s="1598" t="e">
        <f>OBRA!#REF!</f>
        <v>#REF!</v>
      </c>
      <c r="G336" s="3" t="e">
        <f>OBRA!#REF!</f>
        <v>#REF!</v>
      </c>
      <c r="H336" s="1"/>
      <c r="I336" s="3" t="e">
        <f>OBRA!#REF!</f>
        <v>#REF!</v>
      </c>
      <c r="J336" s="3"/>
      <c r="K336" s="3"/>
      <c r="L336" s="3"/>
      <c r="M336" s="1602" t="e">
        <f>OBRA!#REF!+OBRA!#REF!</f>
        <v>#REF!</v>
      </c>
      <c r="N336" s="1" t="e">
        <f>GRAL!#REF!</f>
        <v>#REF!</v>
      </c>
      <c r="O336" s="1" t="e">
        <f>GRAL!#REF!</f>
        <v>#REF!</v>
      </c>
      <c r="P336" s="1"/>
      <c r="Q336" s="1"/>
    </row>
    <row r="337" spans="1:17" hidden="1">
      <c r="A337" s="1"/>
      <c r="B337" s="1"/>
      <c r="C337" s="1" t="e">
        <f>OBRA!#REF!</f>
        <v>#REF!</v>
      </c>
      <c r="D337" s="1" t="e">
        <f>OBRA!#REF!</f>
        <v>#REF!</v>
      </c>
      <c r="E337" s="1598" t="e">
        <f>OBRA!#REF!</f>
        <v>#REF!</v>
      </c>
      <c r="F337" s="1598" t="e">
        <f>OBRA!#REF!</f>
        <v>#REF!</v>
      </c>
      <c r="G337" s="3" t="e">
        <f>OBRA!#REF!</f>
        <v>#REF!</v>
      </c>
      <c r="H337" s="1"/>
      <c r="I337" s="3" t="e">
        <f>OBRA!#REF!</f>
        <v>#REF!</v>
      </c>
      <c r="J337" s="3"/>
      <c r="K337" s="3"/>
      <c r="L337" s="3"/>
      <c r="M337" s="1602" t="e">
        <f>OBRA!#REF!+OBRA!#REF!</f>
        <v>#REF!</v>
      </c>
      <c r="N337" s="1" t="e">
        <f>GRAL!#REF!</f>
        <v>#REF!</v>
      </c>
      <c r="O337" s="1" t="e">
        <f>GRAL!#REF!</f>
        <v>#REF!</v>
      </c>
      <c r="P337" s="1"/>
      <c r="Q337" s="1"/>
    </row>
    <row r="338" spans="1:17" ht="90" hidden="1">
      <c r="A338" s="1"/>
      <c r="B338" s="1"/>
      <c r="C338" s="1" t="str">
        <f>OBRA!CB698</f>
        <v>2021-2024</v>
      </c>
      <c r="D338" s="1">
        <f>OBRA!J698</f>
        <v>2023</v>
      </c>
      <c r="E338" s="1598" t="str">
        <f>OBRA!O698</f>
        <v>SERVICIOS</v>
      </c>
      <c r="F338" s="1598" t="str">
        <f>OBRA!N698</f>
        <v>C.P.S.P. DOP 039/2023</v>
      </c>
      <c r="G338"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OBRA!Q698</f>
        <v>CABECERA MUNICIPAL</v>
      </c>
      <c r="J338" s="3"/>
      <c r="K338" s="3"/>
      <c r="L338" s="3"/>
      <c r="M338" s="1602">
        <f>OBRA!AS698+OBRA!AT698</f>
        <v>0</v>
      </c>
      <c r="N338" s="1">
        <f>GRAL!AF700</f>
        <v>1</v>
      </c>
      <c r="O338" s="1" t="str">
        <f>GRAL!AG700</f>
        <v>ESTUDIO</v>
      </c>
      <c r="P338" s="1"/>
      <c r="Q338" s="1"/>
    </row>
    <row r="339" spans="1:17" ht="60" hidden="1">
      <c r="A339" s="1"/>
      <c r="B339" s="1"/>
      <c r="C339" s="1" t="str">
        <f>OBRA!CB701</f>
        <v>2021-2024</v>
      </c>
      <c r="D339" s="1">
        <f>OBRA!J701</f>
        <v>2023</v>
      </c>
      <c r="E339" s="1598" t="str">
        <f>OBRA!O701</f>
        <v>ARRENDAMIENTO</v>
      </c>
      <c r="F339" s="1598" t="str">
        <f>OBRA!N701</f>
        <v>C- OP 001/2023</v>
      </c>
      <c r="G339" s="3" t="str">
        <f>OBRA!P701</f>
        <v>RENTA DE UNA RETROEXCAVADORA JHON DEERE 310SJ 4X4, PARA SER UTILIZADAEN DIVERSOS MANTENIMIENTOS REQUERIDOS POR LA DIRECCIÓN DE OBRAS PÚBLICAS DEL GOBIERNO MUNICIPAL DE JOCOTEPEC, JALISCO.</v>
      </c>
      <c r="H339" s="1"/>
      <c r="I339" s="3" t="str">
        <f>OBRA!Q701</f>
        <v>MUNICIPIO</v>
      </c>
      <c r="J339" s="3"/>
      <c r="K339" s="3"/>
      <c r="L339" s="3"/>
      <c r="M339" s="1602">
        <f>OBRA!AS701+OBRA!AT701</f>
        <v>0</v>
      </c>
      <c r="N339" s="1">
        <f>GRAL!AF703</f>
        <v>1</v>
      </c>
      <c r="O339" s="1" t="str">
        <f>GRAL!AG703</f>
        <v>MAQ</v>
      </c>
      <c r="P339" s="1"/>
      <c r="Q339" s="1"/>
    </row>
    <row r="340" spans="1:17" ht="60" hidden="1">
      <c r="A340" s="1"/>
      <c r="B340" s="1"/>
      <c r="C340" s="1" t="str">
        <f>OBRA!CB702</f>
        <v>2021-2024</v>
      </c>
      <c r="D340" s="1">
        <f>OBRA!J702</f>
        <v>2023</v>
      </c>
      <c r="E340" s="1598" t="str">
        <f>OBRA!O702</f>
        <v>ARRENDAMIENTO</v>
      </c>
      <c r="F340" s="1598" t="str">
        <f>OBRA!N702</f>
        <v>C- OP 001A/2023</v>
      </c>
      <c r="G340" s="3" t="str">
        <f>OBRA!P702</f>
        <v>RENTA DE UN CAMIÓN (VOLTEO 7 M3) DODGE, MODELO 1989 CON PLACAS JL-0889, PARA SER UTILIZADO EN LAS OBRAS: MANTENIMIENTOS VARIOS EN LAS AGENCIAS, DELEGACIONES Y CABECERA MUNICIPAL DEL MUNICIPIO DE JOCOTEPEC, JALISCO.</v>
      </c>
      <c r="H340" s="1"/>
      <c r="I340" s="3" t="str">
        <f>OBRA!Q702</f>
        <v>MUNICIPIO</v>
      </c>
      <c r="J340" s="3"/>
      <c r="K340" s="3"/>
      <c r="L340" s="3"/>
      <c r="M340" s="1602">
        <f>OBRA!AS702+OBRA!AT702</f>
        <v>0</v>
      </c>
      <c r="N340" s="1">
        <f>GRAL!AF704</f>
        <v>1</v>
      </c>
      <c r="O340" s="1" t="str">
        <f>GRAL!AG704</f>
        <v>MAQ</v>
      </c>
      <c r="P340" s="1"/>
      <c r="Q340" s="1"/>
    </row>
    <row r="341" spans="1:17" ht="75" hidden="1">
      <c r="A341" s="1"/>
      <c r="B341" s="1"/>
      <c r="C341" s="1" t="str">
        <f>OBRA!CB703</f>
        <v>2021-2024</v>
      </c>
      <c r="D341" s="1">
        <f>OBRA!J703</f>
        <v>2023</v>
      </c>
      <c r="E341" s="1598" t="str">
        <f>OBRA!O703</f>
        <v>ARRENDAMIENTO</v>
      </c>
      <c r="F341" s="1598" t="str">
        <f>OBRA!N703</f>
        <v>C- OP 002/2023</v>
      </c>
      <c r="G341" s="3" t="str">
        <f>OBRA!P703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OBRA!Q703</f>
        <v>MUNICIPIO</v>
      </c>
      <c r="J341" s="3"/>
      <c r="K341" s="3"/>
      <c r="L341" s="3"/>
      <c r="M341" s="1602">
        <f>OBRA!AS703+OBRA!AT703</f>
        <v>0</v>
      </c>
      <c r="N341" s="1">
        <f>GRAL!AF705</f>
        <v>1</v>
      </c>
      <c r="O341" s="1" t="str">
        <f>GRAL!AG705</f>
        <v>MAQ</v>
      </c>
      <c r="P341" s="1"/>
      <c r="Q341" s="1"/>
    </row>
    <row r="342" spans="1:17" ht="60" hidden="1">
      <c r="A342" s="1"/>
      <c r="B342" s="1"/>
      <c r="C342" s="1" t="str">
        <f>OBRA!CB704</f>
        <v>2021-2024</v>
      </c>
      <c r="D342" s="1">
        <f>OBRA!J704</f>
        <v>2023</v>
      </c>
      <c r="E342" s="1598" t="str">
        <f>OBRA!O704</f>
        <v>ARRENDAMIENTO</v>
      </c>
      <c r="F342" s="1598" t="str">
        <f>OBRA!N704</f>
        <v>C- OP 003/2023</v>
      </c>
      <c r="G342" s="3" t="str">
        <f>OBRA!P704</f>
        <v>RENTA DE UNA RETROEXCAVADORA JHON DEERE 310SJ 4X4, PARA SER UTILIZADA EN DIVERSOS MANTENIMIENTOS REQUERIDOS POR LA DIRECCIÓN DE OBRAS PÚBLICAS DEL GOBIERNO MUNICIPAL DE JOCOTEPEC, JALISCO.</v>
      </c>
      <c r="H342" s="1"/>
      <c r="I342" s="3" t="str">
        <f>OBRA!Q704</f>
        <v>MUNICIPIO</v>
      </c>
      <c r="J342" s="3"/>
      <c r="K342" s="3"/>
      <c r="L342" s="3"/>
      <c r="M342" s="1602">
        <f>OBRA!AS704+OBRA!AT704</f>
        <v>0</v>
      </c>
      <c r="N342" s="1">
        <f>GRAL!AF706</f>
        <v>1</v>
      </c>
      <c r="O342" s="1" t="str">
        <f>GRAL!AG706</f>
        <v>MAQ</v>
      </c>
      <c r="P342" s="1"/>
      <c r="Q342" s="1"/>
    </row>
    <row r="343" spans="1:17" ht="67.5" customHeight="1">
      <c r="A343" s="1"/>
      <c r="B343" s="1"/>
      <c r="C343" s="1" t="str">
        <f>OBRA!CB718</f>
        <v>2021-2024</v>
      </c>
      <c r="D343" s="1">
        <f>OBRA!J718</f>
        <v>2023</v>
      </c>
      <c r="E343" s="1598" t="str">
        <f>OBRA!O718</f>
        <v>ARRENDAMIENTO</v>
      </c>
      <c r="F343" s="1598" t="str">
        <f>OBRA!N718</f>
        <v>C- OP 015/2023</v>
      </c>
      <c r="G343" s="3" t="str">
        <f>OBRA!P718</f>
        <v>RENTA DE UNA RETROEXCAVADORA JHON DEERE 310SJ 4X4, PARA SER UTILIZADA EN DIVERSOS MANTENIMIENTOS REQUERIDOS POR LA DIRECCIÓN DE OBRAS PÚBLICAS DEL GOBIERNO MUNICIPAL DE JOCOTEPEC, JALISCO.</v>
      </c>
      <c r="H343" s="1598" t="s">
        <v>4753</v>
      </c>
      <c r="I343" s="3" t="str">
        <f>OBRA!Q718</f>
        <v>MUNICIPIO</v>
      </c>
      <c r="J343" s="3" t="s">
        <v>5409</v>
      </c>
      <c r="K343" s="3" t="s">
        <v>4829</v>
      </c>
      <c r="L343" s="3" t="s">
        <v>2619</v>
      </c>
      <c r="M343" s="1602">
        <f>OBRA!AS718+OBRA!AT718</f>
        <v>0</v>
      </c>
      <c r="N343" s="1">
        <f>GRAL!AF720</f>
        <v>1</v>
      </c>
      <c r="O343" s="1" t="str">
        <f>GRAL!AG720</f>
        <v>MAQ</v>
      </c>
      <c r="P343" s="1"/>
      <c r="Q343" s="2"/>
    </row>
    <row r="344" spans="1:17" ht="105" hidden="1">
      <c r="A344" s="1"/>
      <c r="B344" s="1"/>
      <c r="C344" s="1" t="str">
        <f>OBRA!CB719</f>
        <v>2021-2024</v>
      </c>
      <c r="D344" s="1">
        <f>OBRA!J719</f>
        <v>2023</v>
      </c>
      <c r="E344" s="1598" t="str">
        <f>OBRA!O719</f>
        <v>ARRENDAMIENTO</v>
      </c>
      <c r="F344" s="1598" t="str">
        <f>OBRA!N719</f>
        <v>C- OP 016/2023</v>
      </c>
      <c r="G34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OBRA!Q719</f>
        <v>EL MOLINO</v>
      </c>
      <c r="J344" s="3"/>
      <c r="K344" s="3"/>
      <c r="L344" s="3"/>
      <c r="M344" s="1602">
        <f>OBRA!AS719+OBRA!AT719</f>
        <v>0</v>
      </c>
      <c r="N344" s="1">
        <f>GRAL!AF721</f>
        <v>2</v>
      </c>
      <c r="O344" s="1" t="str">
        <f>GRAL!AG721</f>
        <v>MAQ</v>
      </c>
      <c r="P344" s="1"/>
      <c r="Q344" s="1"/>
    </row>
    <row r="345" spans="1:17" ht="60" hidden="1">
      <c r="A345" s="1"/>
      <c r="B345" s="1"/>
      <c r="C345" s="1" t="str">
        <f>OBRA!CB720</f>
        <v>2021-2024</v>
      </c>
      <c r="D345" s="1">
        <f>OBRA!J720</f>
        <v>2023</v>
      </c>
      <c r="E345" s="1598" t="str">
        <f>OBRA!O720</f>
        <v>ARRENDAMIENTO</v>
      </c>
      <c r="F345" s="1598" t="str">
        <f>OBRA!N720</f>
        <v>C- OP 017/2023</v>
      </c>
      <c r="G345" s="3" t="str">
        <f>OBRA!P720</f>
        <v>RENTA DE UNA RETROEXCAVADORA CATERPILLAR 416E 4X4 DE 77HP, PARA SER UTITLIZADO PARA LA CONSTRUCCIÓN DE BASE PARA COLOCACIÓN DE LETRAS MONUMENTALES EN LAS TROJES, MUNICIPIO DE JOCOTEPEC, JALISCO</v>
      </c>
      <c r="H345" s="1"/>
      <c r="I345" s="3" t="str">
        <f>OBRA!Q720</f>
        <v>LAS TROJES</v>
      </c>
      <c r="J345" s="3"/>
      <c r="K345" s="3"/>
      <c r="L345" s="3"/>
      <c r="M345" s="1602">
        <f>OBRA!AS720+OBRA!AT720</f>
        <v>0</v>
      </c>
      <c r="N345" s="1">
        <f>GRAL!AF722</f>
        <v>1</v>
      </c>
      <c r="O345" s="1" t="str">
        <f>GRAL!AG722</f>
        <v>MAQ</v>
      </c>
      <c r="P345" s="1"/>
      <c r="Q345" s="1"/>
    </row>
    <row r="346" spans="1:17" ht="60" hidden="1">
      <c r="A346" s="1"/>
      <c r="B346" s="1"/>
      <c r="C346" s="1" t="str">
        <f>OBRA!CB721</f>
        <v>2021-2024</v>
      </c>
      <c r="D346" s="1">
        <f>OBRA!J721</f>
        <v>2023</v>
      </c>
      <c r="E346" s="1598" t="str">
        <f>OBRA!O721</f>
        <v>ARRENDAMIENTO</v>
      </c>
      <c r="F346" s="1598" t="str">
        <f>OBRA!N721</f>
        <v>C- OP 018/2023</v>
      </c>
      <c r="G346" s="3" t="str">
        <f>OBRA!P721</f>
        <v>RENTA DE UNA RETROEXCAVADORA JHON DEERE 310SJ 4X4, PARA SER UTILIZADA EN DIVERSOS MANTENIMIENTOS REQUERIDOS POR LA DIRECCIÓN DE OBRAS PÚBLICAS DEL GOBIERNO MUNICIPAL DE JOCOTEPEC, JALISCO.</v>
      </c>
      <c r="H346" s="1"/>
      <c r="I346" s="3" t="str">
        <f>OBRA!Q721</f>
        <v>MUNICIPIO</v>
      </c>
      <c r="J346" s="3"/>
      <c r="K346" s="3"/>
      <c r="L346" s="3"/>
      <c r="M346" s="1602">
        <f>OBRA!AS721+OBRA!AT721</f>
        <v>0</v>
      </c>
      <c r="N346" s="1">
        <f>GRAL!AF723</f>
        <v>1</v>
      </c>
      <c r="O346" s="1" t="str">
        <f>GRAL!AG723</f>
        <v>MAQ</v>
      </c>
      <c r="P346" s="1"/>
      <c r="Q346" s="1"/>
    </row>
    <row r="347" spans="1:17" ht="60" hidden="1">
      <c r="A347" s="1"/>
      <c r="B347" s="1"/>
      <c r="C347" s="1" t="str">
        <f>OBRA!CB722</f>
        <v>2021-2024</v>
      </c>
      <c r="D347" s="1">
        <f>OBRA!J722</f>
        <v>2023</v>
      </c>
      <c r="E347" s="1598" t="str">
        <f>OBRA!O722</f>
        <v>ARRENDAMIENTO</v>
      </c>
      <c r="F347" s="1598" t="str">
        <f>OBRA!N722</f>
        <v>C- OP 019/2023</v>
      </c>
      <c r="G347" s="3" t="str">
        <f>OBRA!P722</f>
        <v>RENTA DE UNA RETROEXCAVADORA CATERPILLAR SERIE 416E, PARA LOS TRABAJOS DE NIVELACIÓN DE TERRENO EN POZO DE AGUA CAMICHINES EN CALLE FRANCISCO VILLA, CABECERA MUNICIPAL DE JOCOTEPEC, JALISCO.</v>
      </c>
      <c r="H347" s="1"/>
      <c r="I347" s="3" t="str">
        <f>OBRA!Q722</f>
        <v>CABECERA MUNICIPAL</v>
      </c>
      <c r="J347" s="3"/>
      <c r="K347" s="3"/>
      <c r="L347" s="3"/>
      <c r="M347" s="1602">
        <f>OBRA!AS722+OBRA!AT722</f>
        <v>0</v>
      </c>
      <c r="N347" s="1">
        <f>GRAL!AF724</f>
        <v>1</v>
      </c>
      <c r="O347" s="1" t="str">
        <f>GRAL!AG724</f>
        <v>MAQ</v>
      </c>
      <c r="P347" s="1"/>
      <c r="Q347" s="1"/>
    </row>
    <row r="348" spans="1:17" ht="75" hidden="1">
      <c r="A348" s="1"/>
      <c r="B348" s="1"/>
      <c r="C348" s="1" t="str">
        <f>OBRA!CB723</f>
        <v>2021-2024</v>
      </c>
      <c r="D348" s="1">
        <f>OBRA!J723</f>
        <v>2023</v>
      </c>
      <c r="E348" s="1598" t="str">
        <f>OBRA!O723</f>
        <v>ARRENDAMIENTO</v>
      </c>
      <c r="F348" s="1598" t="str">
        <f>OBRA!N723</f>
        <v>C- OP 020/2023</v>
      </c>
      <c r="G348" s="3" t="str">
        <f>OBRA!P723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OBRA!Q723</f>
        <v>CHANTEPEC</v>
      </c>
      <c r="J348" s="3"/>
      <c r="K348" s="3"/>
      <c r="L348" s="3"/>
      <c r="M348" s="1602">
        <f>OBRA!AS723+OBRA!AT723</f>
        <v>0</v>
      </c>
      <c r="N348" s="1">
        <f>GRAL!AF725</f>
        <v>1</v>
      </c>
      <c r="O348" s="1" t="str">
        <f>GRAL!AG725</f>
        <v>MAQ</v>
      </c>
      <c r="P348" s="1"/>
      <c r="Q348" s="1"/>
    </row>
    <row r="349" spans="1:17" ht="75" hidden="1">
      <c r="A349" s="1"/>
      <c r="B349" s="1"/>
      <c r="C349" s="1" t="str">
        <f>OBRA!CB724</f>
        <v>2021-2024</v>
      </c>
      <c r="D349" s="1">
        <f>OBRA!J724</f>
        <v>2023</v>
      </c>
      <c r="E349" s="1598" t="str">
        <f>OBRA!O724</f>
        <v>ARRENDAMIENTO</v>
      </c>
      <c r="F349" s="1598" t="str">
        <f>OBRA!N724</f>
        <v>C- OP 021/2023</v>
      </c>
      <c r="G34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OBRA!Q724</f>
        <v>CHANTEPEC</v>
      </c>
      <c r="J349" s="3"/>
      <c r="K349" s="3"/>
      <c r="L349" s="3"/>
      <c r="M349" s="1602">
        <f>OBRA!AS724+OBRA!AT724</f>
        <v>0</v>
      </c>
      <c r="N349" s="1">
        <f>GRAL!AF726</f>
        <v>1</v>
      </c>
      <c r="O349" s="1" t="str">
        <f>GRAL!AG726</f>
        <v>MAQ</v>
      </c>
      <c r="P349" s="1"/>
      <c r="Q349" s="1"/>
    </row>
    <row r="350" spans="1:17" ht="75" hidden="1">
      <c r="A350" s="1"/>
      <c r="B350" s="1"/>
      <c r="C350" s="1" t="str">
        <f>OBRA!CB725</f>
        <v>2021-2024</v>
      </c>
      <c r="D350" s="1">
        <f>OBRA!J725</f>
        <v>2023</v>
      </c>
      <c r="E350" s="1598" t="str">
        <f>OBRA!O725</f>
        <v>ARRENDAMIENTO</v>
      </c>
      <c r="F350" s="1598" t="str">
        <f>OBRA!N725</f>
        <v>C- OP 022/2023</v>
      </c>
      <c r="G350" s="3" t="str">
        <f>OBRA!P725</f>
        <v>RENTA DE UNA BAILARINA COMPACTADORA WACKER, PARA LA OBRA "REHABILITACIÓN DE REDES HIDROSANITARIAS Y COLECTOR DE CALLE RIVERA DEL LAGO ENTRE CALLE GUAYABITOS Y CALLE CHUECA", EN LA LOCALIDAD DE CHANTEPEC, MUNICIPIO DE JOCOTEPEC, JALISCO.</v>
      </c>
      <c r="H350" s="1"/>
      <c r="I350" s="3" t="str">
        <f>OBRA!Q725</f>
        <v>CHANTEPEC</v>
      </c>
      <c r="J350" s="3"/>
      <c r="K350" s="3"/>
      <c r="L350" s="3"/>
      <c r="M350" s="1602">
        <f>OBRA!AS725+OBRA!AT725</f>
        <v>0</v>
      </c>
      <c r="N350" s="1">
        <f>GRAL!AF727</f>
        <v>1</v>
      </c>
      <c r="O350" s="1" t="str">
        <f>GRAL!AG727</f>
        <v>EQUIPO</v>
      </c>
      <c r="P350" s="1"/>
      <c r="Q350" s="1"/>
    </row>
    <row r="351" spans="1:17" ht="75" hidden="1">
      <c r="A351" s="1"/>
      <c r="B351" s="1"/>
      <c r="C351" s="1" t="str">
        <f>OBRA!CB726</f>
        <v>2021-2024</v>
      </c>
      <c r="D351" s="1">
        <f>OBRA!J726</f>
        <v>2023</v>
      </c>
      <c r="E351" s="1598" t="str">
        <f>OBRA!O726</f>
        <v>ARRENDAMIENTO</v>
      </c>
      <c r="F351" s="1598" t="str">
        <f>OBRA!N726</f>
        <v>C- OP 023/2023</v>
      </c>
      <c r="G351" s="3" t="str">
        <f>OBRA!P726</f>
        <v>RENTA DE MOTOBOMBA MARCA HONDA, PARA LA OBRA "REHABILITACIÓN DE REDES HIDROSANITARIAS Y COLECTOR DE CALLE RIVERA DEL LAGO ENTRE CALLE GUAYABITOS Y CALLE CHUECA", EN LA LOCALIDAD DE CHANTEPEC, MUNICIPIO DE JOCOTEPEC, JALISCO.</v>
      </c>
      <c r="H351" s="1"/>
      <c r="I351" s="3" t="str">
        <f>OBRA!Q726</f>
        <v>CHANTEPEC</v>
      </c>
      <c r="J351" s="3"/>
      <c r="K351" s="3"/>
      <c r="L351" s="3"/>
      <c r="M351" s="1602">
        <f>OBRA!AS726+OBRA!AT726</f>
        <v>0</v>
      </c>
      <c r="N351" s="1">
        <f>GRAL!AF728</f>
        <v>1</v>
      </c>
      <c r="O351" s="1" t="str">
        <f>GRAL!AG728</f>
        <v>EQUIPO</v>
      </c>
      <c r="P351" s="1"/>
      <c r="Q351" s="1"/>
    </row>
    <row r="352" spans="1:17" ht="22.5" hidden="1">
      <c r="A352" s="1"/>
      <c r="B352" s="1"/>
      <c r="C352" s="1" t="str">
        <f>OBRA!CB727</f>
        <v>2021-2024</v>
      </c>
      <c r="D352" s="1">
        <f>OBRA!J727</f>
        <v>2023</v>
      </c>
      <c r="E352" s="1598" t="str">
        <f>OBRA!O727</f>
        <v>CANCELADA</v>
      </c>
      <c r="F352" s="1598" t="str">
        <f>OBRA!N727</f>
        <v>C.P.S.P. DOP 037/2023</v>
      </c>
      <c r="G352" s="3" t="str">
        <f>OBRA!P727</f>
        <v>-</v>
      </c>
      <c r="H352" s="1"/>
      <c r="I352" s="3" t="str">
        <f>OBRA!Q727</f>
        <v>-</v>
      </c>
      <c r="J352" s="3"/>
      <c r="K352" s="3"/>
      <c r="L352" s="3"/>
      <c r="M352" s="1602">
        <f>OBRA!AS727+OBRA!AT727</f>
        <v>0</v>
      </c>
      <c r="N352" s="1">
        <f>GRAL!AF729</f>
        <v>0</v>
      </c>
      <c r="O352" s="1">
        <f>GRAL!AG729</f>
        <v>0</v>
      </c>
      <c r="P352" s="1"/>
      <c r="Q352" s="1"/>
    </row>
    <row r="353" spans="1:17" ht="45">
      <c r="A353" s="1"/>
      <c r="B353" s="1"/>
      <c r="C353" s="1" t="str">
        <f>OBRA!CB728</f>
        <v>2021-2024</v>
      </c>
      <c r="D353" s="1">
        <f>OBRA!J728</f>
        <v>2023</v>
      </c>
      <c r="E353" s="1598" t="str">
        <f>OBRA!O728</f>
        <v>ADMINISTRACIÓN DIRECTA</v>
      </c>
      <c r="F353" s="1598" t="str">
        <f>OBRA!N728</f>
        <v>DOP/AD/001/2023</v>
      </c>
      <c r="G353" s="3" t="str">
        <f>OBRA!P728</f>
        <v>"CONSTRUCCIÓN DE REDES HIDROSANITARIAS EN CALLE FILÓSOFOS ENTRE CALLE JOSEFA ORTÍZ DE DOMINGUEZ E HIDALGO", EN LA CABECERA MUNICIPAL DE JOCOTEPEC, JALISCO</v>
      </c>
      <c r="H353" s="1598" t="s">
        <v>4753</v>
      </c>
      <c r="I353" s="3" t="str">
        <f>OBRA!Q728</f>
        <v>CABECERA MUNICIPAL</v>
      </c>
      <c r="J353" s="3" t="s">
        <v>5410</v>
      </c>
      <c r="K353" s="3" t="s">
        <v>4768</v>
      </c>
      <c r="L353" s="3" t="s">
        <v>4769</v>
      </c>
      <c r="M353" s="1602">
        <f>OBRA!AS728+OBRA!AT728</f>
        <v>300805.58</v>
      </c>
      <c r="N353" s="1">
        <f>GRAL!AF730</f>
        <v>148.92000000000002</v>
      </c>
      <c r="O353" s="1" t="str">
        <f>GRAL!AG730</f>
        <v>ML</v>
      </c>
      <c r="P353" s="1"/>
      <c r="Q353" s="2" t="s">
        <v>5415</v>
      </c>
    </row>
    <row r="354" spans="1:17" ht="45">
      <c r="A354" s="1"/>
      <c r="B354" s="1"/>
      <c r="C354" s="1" t="str">
        <f>OBRA!CB729</f>
        <v>2021-2024</v>
      </c>
      <c r="D354" s="1">
        <f>OBRA!J729</f>
        <v>2023</v>
      </c>
      <c r="E354" s="1598" t="str">
        <f>OBRA!O729</f>
        <v>ADMINISTRACIÓN DIRECTA</v>
      </c>
      <c r="F354" s="1598" t="str">
        <f>OBRA!N729</f>
        <v>DOP/AD/002/2023</v>
      </c>
      <c r="G354" s="3" t="str">
        <f>OBRA!P729</f>
        <v>"BACHEO SUPERFICIAL AISLADO EN CALLE INDEPENDENCIA NORTE ENTRE C. MORELOS Y C. DEGOLLADO", EN LA CABECERA MUNICIPAL DE JOCOTEPEC, JALISCO.</v>
      </c>
      <c r="H354" s="1598" t="s">
        <v>4752</v>
      </c>
      <c r="I354" s="3" t="str">
        <f>OBRA!Q729</f>
        <v>CABECERA MUNICIPAL</v>
      </c>
      <c r="J354" s="3" t="s">
        <v>5410</v>
      </c>
      <c r="K354" s="3" t="s">
        <v>4768</v>
      </c>
      <c r="L354" s="3" t="s">
        <v>4769</v>
      </c>
      <c r="M354" s="1602">
        <f>OBRA!AS729+OBRA!AT729</f>
        <v>27472.5</v>
      </c>
      <c r="N354" s="1">
        <f>GRAL!AF731</f>
        <v>6.4</v>
      </c>
      <c r="O354" s="1" t="str">
        <f>GRAL!AG731</f>
        <v>M2</v>
      </c>
      <c r="P354" s="1"/>
      <c r="Q354" s="2"/>
    </row>
    <row r="355" spans="1:17" ht="60">
      <c r="A355" s="1"/>
      <c r="B355" s="1"/>
      <c r="C355" s="1" t="str">
        <f>OBRA!CB730</f>
        <v>2021-2024</v>
      </c>
      <c r="D355" s="1">
        <f>OBRA!J730</f>
        <v>2023</v>
      </c>
      <c r="E355" s="1598" t="str">
        <f>OBRA!O730</f>
        <v>ADMINISTRACIÓN DIRECTA</v>
      </c>
      <c r="F355" s="1598" t="str">
        <f>OBRA!N730</f>
        <v>DOP/AD/003/2023</v>
      </c>
      <c r="G355" s="3" t="str">
        <f>OBRA!P730</f>
        <v>REHABILITACIÓN DE REDES HIDROSANITARIAS Y COLECTOR DE CALLE RIVERA DEL LAGO ENTRE CALLE GUAYABITOS Y CALLE CHUECA", EN LA LOCALIDAD DE CHANTEPEC, MUNICIPIO DE JOCOTEPEC, JALISCO.</v>
      </c>
      <c r="H355" s="1598" t="s">
        <v>4756</v>
      </c>
      <c r="I355" s="3" t="str">
        <f>OBRA!Q730</f>
        <v>CHANTEPEC</v>
      </c>
      <c r="J355" s="3" t="s">
        <v>5410</v>
      </c>
      <c r="K355" s="3" t="s">
        <v>4769</v>
      </c>
      <c r="L355" s="3" t="s">
        <v>2496</v>
      </c>
      <c r="M355" s="1602">
        <f>OBRA!AS730+OBRA!AT730</f>
        <v>336906.02</v>
      </c>
      <c r="N355" s="1">
        <f>GRAL!AF732</f>
        <v>154.22</v>
      </c>
      <c r="O355" s="1" t="str">
        <f>GRAL!AG732</f>
        <v>ML</v>
      </c>
      <c r="P355" s="1"/>
      <c r="Q355" s="2"/>
    </row>
    <row r="356" spans="1:17" ht="30">
      <c r="A356" s="1"/>
      <c r="B356" s="1"/>
      <c r="C356" s="1" t="str">
        <f>OBRA!CB731</f>
        <v>2021-2024</v>
      </c>
      <c r="D356" s="1">
        <f>OBRA!J731</f>
        <v>2023</v>
      </c>
      <c r="E356" s="1598" t="str">
        <f>OBRA!O731</f>
        <v>ADMINISTRACIÓN DIRECTA</v>
      </c>
      <c r="F356" s="1598" t="str">
        <f>OBRA!N731</f>
        <v>DOP/AD/004/2023</v>
      </c>
      <c r="G356" s="3" t="str">
        <f>OBRA!P731</f>
        <v>"IMPERMEABILIZACIÓN DE CUPULAS EN EL TEMPLO DEL SR. DEL MONTE", EN LA CABECERA MUNICIPAL DE JOCOTEPEC, JALISCO.</v>
      </c>
      <c r="H356" s="1598" t="s">
        <v>4751</v>
      </c>
      <c r="I356" s="3" t="str">
        <f>OBRA!Q731</f>
        <v>CABECERA MUNICIPAL</v>
      </c>
      <c r="J356" s="3" t="s">
        <v>2633</v>
      </c>
      <c r="K356" s="3" t="s">
        <v>4774</v>
      </c>
      <c r="L356" s="3" t="s">
        <v>4897</v>
      </c>
      <c r="M356" s="1602">
        <f>OBRA!AS731+OBRA!AT731</f>
        <v>68064.55</v>
      </c>
      <c r="N356" s="1">
        <f>GRAL!AF733</f>
        <v>126</v>
      </c>
      <c r="O356" s="1" t="str">
        <f>GRAL!AG733</f>
        <v>M2</v>
      </c>
      <c r="P356" s="1"/>
      <c r="Q356" s="2" t="s">
        <v>5413</v>
      </c>
    </row>
    <row r="357" spans="1:17" ht="60">
      <c r="A357" s="1"/>
      <c r="B357" s="1"/>
      <c r="C357" s="1" t="str">
        <f>OBRA!CB732</f>
        <v>2021-2024</v>
      </c>
      <c r="D357" s="1">
        <f>OBRA!J732</f>
        <v>2023</v>
      </c>
      <c r="E357" s="1598" t="str">
        <f>OBRA!O732</f>
        <v>ADMINISTRACIÓN DIRECTA</v>
      </c>
      <c r="F357" s="1598" t="str">
        <f>OBRA!N732</f>
        <v>DOP/AD/005/2023</v>
      </c>
      <c r="G357" s="3" t="str">
        <f>OBRA!P732</f>
        <v>"BACHEO SUPERFICIAL AISLADO DE MEZCLA ASFÁLTICA EN LA CALLE MORELOS ENTRE CALLE NIÑOS HÉROES YCALLE ZARAGOZA EN EL BARRIO LA CALABAZA" DE LA CABECERA MUNICIPAL DE JOCOTEPEC, MUNICIPIO DE JOCOTEPEC, JALISCO.</v>
      </c>
      <c r="H357" s="1598" t="s">
        <v>4751</v>
      </c>
      <c r="I357" s="3" t="str">
        <f>OBRA!Q732</f>
        <v>CABECERA MUNICIPAL</v>
      </c>
      <c r="J357" s="3" t="s">
        <v>2633</v>
      </c>
      <c r="K357" s="3" t="s">
        <v>4774</v>
      </c>
      <c r="L357" s="3" t="s">
        <v>4897</v>
      </c>
      <c r="M357" s="1602">
        <f>OBRA!AS732+OBRA!AT732</f>
        <v>94407.21</v>
      </c>
      <c r="N357" s="1">
        <f>GRAL!AF734</f>
        <v>238.5</v>
      </c>
      <c r="O357" s="1" t="str">
        <f>GRAL!AG734</f>
        <v>M2</v>
      </c>
      <c r="P357" s="1"/>
      <c r="Q357" s="2" t="s">
        <v>5414</v>
      </c>
    </row>
    <row r="358" spans="1:17" ht="90.75" customHeight="1">
      <c r="A358" s="1"/>
      <c r="B358" s="1"/>
      <c r="C358" s="1" t="str">
        <f>OBRA!CB733</f>
        <v>2021-2024</v>
      </c>
      <c r="D358" s="1">
        <f>OBRA!J733</f>
        <v>2023</v>
      </c>
      <c r="E358" s="1598" t="str">
        <f>OBRA!O733</f>
        <v>ADMINISTRACIÓN DIRECTA</v>
      </c>
      <c r="F358" s="1598" t="str">
        <f>OBRA!N733</f>
        <v>DOP/AD/006/2023</v>
      </c>
      <c r="G358" s="3" t="str">
        <f>OBRA!P733</f>
        <v>"EXTENSIÓN DE RED DE AGUA POTABLE DE 4" DE DIAMETRO EN LA CALLE CHUECA" EN LA LOCALIDAD DE CHANTEPEC, MUNICIPIO DE JOCOTEPEC, JALISCO.</v>
      </c>
      <c r="H358" s="1598" t="s">
        <v>4758</v>
      </c>
      <c r="I358" s="3" t="str">
        <f>OBRA!Q733</f>
        <v>CHANTEPEC</v>
      </c>
      <c r="J358" s="3" t="s">
        <v>5317</v>
      </c>
      <c r="K358" s="3"/>
      <c r="L358" s="3"/>
      <c r="M358" s="1602">
        <f>OBRA!AS733+OBRA!AT733</f>
        <v>280385.88</v>
      </c>
      <c r="N358" s="1">
        <f>GRAL!AF735</f>
        <v>0</v>
      </c>
      <c r="O358" s="1" t="str">
        <f>GRAL!AG735</f>
        <v>ML</v>
      </c>
      <c r="P358" s="1"/>
      <c r="Q358" s="2"/>
    </row>
    <row r="359" spans="1:17" ht="30">
      <c r="A359" s="1"/>
      <c r="B359" s="1"/>
      <c r="C359" s="1" t="str">
        <f>OBRA!CB734</f>
        <v>2021-2024</v>
      </c>
      <c r="D359" s="1">
        <f>OBRA!J734</f>
        <v>2023</v>
      </c>
      <c r="E359" s="1598" t="str">
        <f>OBRA!O734</f>
        <v>CANCELADA</v>
      </c>
      <c r="F359" s="1598" t="str">
        <f>OBRA!N734</f>
        <v>DOP/AD/007/2023</v>
      </c>
      <c r="G359" s="3" t="str">
        <f>OBRA!P734</f>
        <v>-</v>
      </c>
      <c r="H359" s="1598" t="s">
        <v>4745</v>
      </c>
      <c r="I359" s="3" t="str">
        <f>OBRA!Q734</f>
        <v>-</v>
      </c>
      <c r="J359" s="3" t="s">
        <v>5410</v>
      </c>
      <c r="K359" s="3" t="s">
        <v>5416</v>
      </c>
      <c r="L359" s="3" t="s">
        <v>5417</v>
      </c>
      <c r="M359" s="1602">
        <f>OBRA!AS734+OBRA!AT734</f>
        <v>0</v>
      </c>
      <c r="N359" s="1">
        <f>GRAL!AF736</f>
        <v>0</v>
      </c>
      <c r="O359" s="1">
        <f>GRAL!AG736</f>
        <v>0</v>
      </c>
      <c r="P359" s="1"/>
      <c r="Q359" s="2"/>
    </row>
    <row r="360" spans="1:17" hidden="1">
      <c r="A360" s="1"/>
      <c r="B360" s="1"/>
      <c r="C360" s="1"/>
      <c r="D360" s="1"/>
      <c r="E360" s="1"/>
      <c r="F360" s="1"/>
      <c r="G360" s="1599"/>
      <c r="H360" s="1"/>
      <c r="I360" s="1599"/>
      <c r="J360" s="1599"/>
      <c r="K360" s="1599"/>
      <c r="L360" s="1599"/>
      <c r="M360" s="1599"/>
      <c r="N360" s="1"/>
      <c r="O360" s="1"/>
      <c r="P360" s="1"/>
      <c r="Q360" s="1"/>
    </row>
    <row r="361" spans="1:17" hidden="1">
      <c r="A361" s="1"/>
      <c r="B361" s="1"/>
      <c r="C361" s="1"/>
      <c r="D361" s="1"/>
      <c r="E361" s="1"/>
      <c r="F361" s="1"/>
      <c r="G361" s="1599"/>
      <c r="H361" s="1"/>
      <c r="I361" s="1599"/>
      <c r="J361" s="1599"/>
      <c r="K361" s="1599"/>
      <c r="L361" s="1599"/>
      <c r="M361" s="1599"/>
      <c r="N361" s="1"/>
      <c r="O361" s="1"/>
      <c r="P361" s="1"/>
      <c r="Q361" s="1"/>
    </row>
    <row r="362" spans="1:17" hidden="1">
      <c r="A362" s="1"/>
      <c r="B362" s="1"/>
      <c r="C362" s="1"/>
      <c r="D362" s="1"/>
      <c r="E362" s="1"/>
      <c r="F362" s="1"/>
      <c r="G362" s="1599"/>
      <c r="H362" s="1"/>
      <c r="I362" s="1599"/>
      <c r="J362" s="1599"/>
      <c r="K362" s="1599"/>
      <c r="L362" s="1599"/>
      <c r="M362" s="1599"/>
      <c r="N362" s="1"/>
      <c r="O362" s="1"/>
      <c r="P362" s="1"/>
      <c r="Q362" s="1"/>
    </row>
    <row r="363" spans="1:17" hidden="1">
      <c r="A363" s="1"/>
      <c r="B363" s="1"/>
      <c r="C363" s="1"/>
      <c r="D363" s="1"/>
      <c r="E363" s="1"/>
      <c r="F363" s="1"/>
      <c r="G363" s="1599"/>
      <c r="H363" s="1"/>
      <c r="I363" s="1599"/>
      <c r="J363" s="1599"/>
      <c r="K363" s="1599"/>
      <c r="L363" s="1599"/>
      <c r="M363" s="1599"/>
      <c r="N363" s="1"/>
      <c r="O363" s="1"/>
      <c r="P363" s="1"/>
      <c r="Q363" s="1"/>
    </row>
    <row r="364" spans="1:17" hidden="1">
      <c r="A364" s="1"/>
      <c r="B364" s="1"/>
      <c r="C364" s="1"/>
      <c r="D364" s="1"/>
      <c r="E364" s="1"/>
      <c r="F364" s="1"/>
      <c r="G364" s="1599"/>
      <c r="H364" s="1"/>
      <c r="I364" s="1599"/>
      <c r="J364" s="1599"/>
      <c r="K364" s="1599"/>
      <c r="L364" s="1599"/>
      <c r="M364" s="1599"/>
      <c r="N364" s="1"/>
      <c r="O364" s="1"/>
      <c r="P364" s="1"/>
      <c r="Q364" s="1"/>
    </row>
    <row r="365" spans="1:17" hidden="1">
      <c r="A365" s="1"/>
      <c r="B365" s="1"/>
      <c r="C365" s="1"/>
      <c r="D365" s="1"/>
      <c r="E365" s="1"/>
      <c r="F365" s="1"/>
      <c r="G365" s="1599"/>
      <c r="H365" s="1"/>
      <c r="I365" s="1599"/>
      <c r="J365" s="1599"/>
      <c r="K365" s="1599"/>
      <c r="L365" s="1599"/>
      <c r="M365" s="1599"/>
      <c r="N365" s="1"/>
      <c r="O365" s="1"/>
      <c r="P365" s="1"/>
      <c r="Q365" s="1"/>
    </row>
    <row r="366" spans="1:17" hidden="1">
      <c r="A366" s="1"/>
      <c r="B366" s="1"/>
      <c r="C366" s="1"/>
      <c r="D366" s="1"/>
      <c r="E366" s="1"/>
      <c r="F366" s="1"/>
      <c r="G366" s="1599"/>
      <c r="H366" s="1"/>
      <c r="I366" s="1599"/>
      <c r="J366" s="1599"/>
      <c r="K366" s="1599"/>
      <c r="L366" s="1599"/>
      <c r="M366" s="1599"/>
      <c r="N366" s="1"/>
      <c r="O366" s="1"/>
      <c r="P366" s="1"/>
      <c r="Q366" s="1"/>
    </row>
    <row r="367" spans="1:17" hidden="1">
      <c r="A367" s="1"/>
      <c r="B367" s="1"/>
      <c r="C367" s="1"/>
      <c r="D367" s="1"/>
      <c r="E367" s="1"/>
      <c r="F367" s="1"/>
      <c r="G367" s="1599"/>
      <c r="H367" s="1"/>
      <c r="I367" s="1599"/>
      <c r="J367" s="1599"/>
      <c r="K367" s="1599"/>
      <c r="L367" s="1599"/>
      <c r="M367" s="1599"/>
      <c r="N367" s="1"/>
      <c r="O367" s="1"/>
      <c r="P367" s="1"/>
      <c r="Q367" s="1"/>
    </row>
    <row r="368" spans="1:17" hidden="1">
      <c r="A368" s="1"/>
      <c r="B368" s="1"/>
      <c r="C368" s="1"/>
      <c r="D368" s="1"/>
      <c r="E368" s="1"/>
      <c r="F368" s="1"/>
      <c r="G368" s="1599"/>
      <c r="H368" s="1"/>
      <c r="I368" s="1599"/>
      <c r="J368" s="1599"/>
      <c r="K368" s="1599"/>
      <c r="L368" s="1599"/>
      <c r="M368" s="1599"/>
      <c r="N368" s="1"/>
      <c r="O368" s="1"/>
      <c r="P368" s="1"/>
      <c r="Q368" s="1"/>
    </row>
    <row r="369" spans="1:17" hidden="1">
      <c r="A369" s="1"/>
      <c r="B369" s="1"/>
      <c r="C369" s="1"/>
      <c r="D369" s="1"/>
      <c r="E369" s="1"/>
      <c r="F369" s="1"/>
      <c r="G369" s="1599"/>
      <c r="H369" s="1"/>
      <c r="I369" s="1599"/>
      <c r="J369" s="1599"/>
      <c r="K369" s="1599"/>
      <c r="L369" s="1599"/>
      <c r="M369" s="1599"/>
      <c r="N369" s="1"/>
      <c r="O369" s="1"/>
      <c r="P369" s="1"/>
      <c r="Q369" s="1"/>
    </row>
    <row r="370" spans="1:17" hidden="1">
      <c r="A370" s="1"/>
      <c r="B370" s="1"/>
      <c r="C370" s="1"/>
      <c r="D370" s="1"/>
      <c r="E370" s="1"/>
      <c r="F370" s="1"/>
      <c r="G370" s="1599"/>
      <c r="H370" s="1"/>
      <c r="I370" s="1599"/>
      <c r="J370" s="1599"/>
      <c r="K370" s="1599"/>
      <c r="L370" s="1599"/>
      <c r="M370" s="1599"/>
      <c r="N370" s="1"/>
      <c r="O370" s="1"/>
      <c r="P370" s="1"/>
      <c r="Q370" s="1"/>
    </row>
    <row r="371" spans="1:17" hidden="1">
      <c r="A371" s="1"/>
      <c r="B371" s="1"/>
      <c r="C371" s="1"/>
      <c r="D371" s="1"/>
      <c r="E371" s="1"/>
      <c r="F371" s="1"/>
      <c r="G371" s="1599"/>
      <c r="H371" s="1"/>
      <c r="I371" s="1599"/>
      <c r="J371" s="1599"/>
      <c r="K371" s="1599"/>
      <c r="L371" s="1599"/>
      <c r="M371" s="1599"/>
      <c r="N371" s="1"/>
      <c r="O371" s="1"/>
      <c r="P371" s="1"/>
      <c r="Q371" s="1"/>
    </row>
    <row r="372" spans="1:17" hidden="1">
      <c r="A372" s="1"/>
      <c r="B372" s="1"/>
      <c r="C372" s="1"/>
      <c r="D372" s="1"/>
      <c r="E372" s="1"/>
      <c r="F372" s="1"/>
      <c r="G372" s="1599"/>
      <c r="H372" s="1"/>
      <c r="I372" s="1599"/>
      <c r="J372" s="1599"/>
      <c r="K372" s="1599"/>
      <c r="L372" s="1599"/>
      <c r="M372" s="1599"/>
      <c r="N372" s="1"/>
      <c r="O372" s="1"/>
      <c r="P372" s="1"/>
      <c r="Q372" s="1"/>
    </row>
    <row r="373" spans="1:17" hidden="1">
      <c r="A373" s="1"/>
      <c r="B373" s="1"/>
      <c r="C373" s="1"/>
      <c r="D373" s="1"/>
      <c r="E373" s="1"/>
      <c r="F373" s="1"/>
      <c r="G373" s="1599"/>
      <c r="H373" s="1"/>
      <c r="I373" s="1599"/>
      <c r="J373" s="1599"/>
      <c r="K373" s="1599"/>
      <c r="L373" s="1599"/>
      <c r="M373" s="1599"/>
      <c r="N373" s="1"/>
      <c r="O373" s="1"/>
      <c r="P373" s="1"/>
      <c r="Q373" s="1"/>
    </row>
    <row r="374" spans="1:17" hidden="1">
      <c r="A374" s="1"/>
      <c r="B374" s="1"/>
      <c r="C374" s="1"/>
      <c r="D374" s="1"/>
      <c r="E374" s="1"/>
      <c r="F374" s="1"/>
      <c r="G374" s="1599"/>
      <c r="H374" s="1"/>
      <c r="I374" s="1599"/>
      <c r="J374" s="1599"/>
      <c r="K374" s="1599"/>
      <c r="L374" s="1599"/>
      <c r="M374" s="1599"/>
      <c r="N374" s="1"/>
      <c r="O374" s="1"/>
      <c r="P374" s="1"/>
      <c r="Q374" s="1"/>
    </row>
    <row r="375" spans="1:17" hidden="1">
      <c r="A375" s="1"/>
      <c r="B375" s="1"/>
      <c r="C375" s="1"/>
      <c r="D375" s="1"/>
      <c r="E375" s="1"/>
      <c r="F375" s="1"/>
      <c r="G375" s="1599"/>
      <c r="H375" s="1"/>
      <c r="I375" s="1599"/>
      <c r="J375" s="1599"/>
      <c r="K375" s="1599"/>
      <c r="L375" s="1599"/>
      <c r="M375" s="1599"/>
      <c r="N375" s="1"/>
      <c r="O375" s="1"/>
      <c r="P375" s="1"/>
      <c r="Q375" s="1"/>
    </row>
    <row r="376" spans="1:17" hidden="1">
      <c r="A376" s="1"/>
      <c r="B376" s="1"/>
      <c r="C376" s="1"/>
      <c r="D376" s="1"/>
      <c r="E376" s="1"/>
      <c r="F376" s="1"/>
      <c r="G376" s="1599"/>
      <c r="H376" s="1"/>
      <c r="I376" s="1599"/>
      <c r="J376" s="1599"/>
      <c r="K376" s="1599"/>
      <c r="L376" s="1599"/>
      <c r="M376" s="1599"/>
      <c r="N376" s="1"/>
      <c r="O376" s="1"/>
      <c r="P376" s="1"/>
      <c r="Q376" s="1"/>
    </row>
    <row r="377" spans="1:17" hidden="1">
      <c r="A377" s="1"/>
      <c r="B377" s="1"/>
      <c r="C377" s="1"/>
      <c r="D377" s="1"/>
      <c r="E377" s="1"/>
      <c r="F377" s="1"/>
      <c r="G377" s="1599"/>
      <c r="H377" s="1"/>
      <c r="I377" s="1599"/>
      <c r="J377" s="1599"/>
      <c r="K377" s="1599"/>
      <c r="L377" s="1599"/>
      <c r="M377" s="1599"/>
      <c r="N377" s="1"/>
      <c r="O377" s="1"/>
      <c r="P377" s="1"/>
      <c r="Q377" s="1"/>
    </row>
    <row r="378" spans="1:17" hidden="1">
      <c r="A378" s="1"/>
      <c r="B378" s="1"/>
      <c r="C378" s="1"/>
      <c r="D378" s="1"/>
      <c r="E378" s="1"/>
      <c r="F378" s="1"/>
      <c r="G378" s="1599"/>
      <c r="H378" s="1"/>
      <c r="I378" s="1599"/>
      <c r="J378" s="1599"/>
      <c r="K378" s="1599"/>
      <c r="L378" s="1599"/>
      <c r="M378" s="1599"/>
      <c r="N378" s="1"/>
      <c r="O378" s="1"/>
      <c r="P378" s="1"/>
      <c r="Q378" s="1"/>
    </row>
    <row r="379" spans="1:17" hidden="1">
      <c r="A379" s="1"/>
      <c r="B379" s="1"/>
      <c r="C379" s="1"/>
      <c r="D379" s="1"/>
      <c r="E379" s="1"/>
      <c r="F379" s="1"/>
      <c r="G379" s="1599"/>
      <c r="H379" s="1"/>
      <c r="I379" s="1599"/>
      <c r="J379" s="1599"/>
      <c r="K379" s="1599"/>
      <c r="L379" s="1599"/>
      <c r="M379" s="1599"/>
      <c r="N379" s="1"/>
      <c r="O379" s="1"/>
      <c r="P379" s="1"/>
      <c r="Q379" s="1"/>
    </row>
    <row r="380" spans="1:17" hidden="1">
      <c r="A380" s="1"/>
      <c r="B380" s="1"/>
      <c r="C380" s="1"/>
      <c r="D380" s="1"/>
      <c r="E380" s="1"/>
      <c r="F380" s="1"/>
      <c r="G380" s="1599"/>
      <c r="H380" s="1"/>
      <c r="I380" s="1599"/>
      <c r="J380" s="1599"/>
      <c r="K380" s="1599"/>
      <c r="L380" s="1599"/>
      <c r="M380" s="1599"/>
      <c r="N380" s="1"/>
      <c r="O380" s="1"/>
      <c r="P380" s="1"/>
      <c r="Q380" s="1"/>
    </row>
    <row r="381" spans="1:17" hidden="1">
      <c r="A381" s="1"/>
      <c r="B381" s="1"/>
      <c r="C381" s="1"/>
      <c r="D381" s="1"/>
      <c r="E381" s="1"/>
      <c r="F381" s="1"/>
      <c r="G381" s="1599"/>
      <c r="H381" s="1"/>
      <c r="I381" s="1599"/>
      <c r="J381" s="1599"/>
      <c r="K381" s="1599"/>
      <c r="L381" s="1599"/>
      <c r="M381" s="1599"/>
      <c r="N381" s="1"/>
      <c r="O381" s="1"/>
      <c r="P381" s="1"/>
      <c r="Q381" s="1"/>
    </row>
    <row r="382" spans="1:17" hidden="1">
      <c r="A382" s="1"/>
      <c r="B382" s="1"/>
      <c r="C382" s="1"/>
      <c r="D382" s="1"/>
      <c r="E382" s="1"/>
      <c r="F382" s="1"/>
      <c r="G382" s="1599"/>
      <c r="H382" s="1"/>
      <c r="I382" s="1599"/>
      <c r="J382" s="1599"/>
      <c r="K382" s="1599"/>
      <c r="L382" s="1599"/>
      <c r="M382" s="1599"/>
      <c r="N382" s="1"/>
      <c r="O382" s="1"/>
      <c r="P382" s="1"/>
      <c r="Q382" s="1"/>
    </row>
    <row r="383" spans="1:17" hidden="1">
      <c r="A383" s="1"/>
      <c r="B383" s="1"/>
      <c r="C383" s="1"/>
      <c r="D383" s="1"/>
      <c r="E383" s="1"/>
      <c r="F383" s="1"/>
      <c r="G383" s="1599"/>
      <c r="H383" s="1"/>
      <c r="I383" s="1599"/>
      <c r="J383" s="1599"/>
      <c r="K383" s="1599"/>
      <c r="L383" s="1599"/>
      <c r="M383" s="1599"/>
      <c r="N383" s="1"/>
      <c r="O383" s="1"/>
      <c r="P383" s="1"/>
      <c r="Q383" s="1"/>
    </row>
    <row r="384" spans="1:17" hidden="1">
      <c r="A384" s="1"/>
      <c r="B384" s="1"/>
      <c r="C384" s="1"/>
      <c r="D384" s="1"/>
      <c r="E384" s="1"/>
      <c r="F384" s="1"/>
      <c r="G384" s="1599"/>
      <c r="H384" s="1"/>
      <c r="I384" s="1599"/>
      <c r="J384" s="1599"/>
      <c r="K384" s="1599"/>
      <c r="L384" s="1599"/>
      <c r="M384" s="1599"/>
      <c r="N384" s="1"/>
      <c r="O384" s="1"/>
      <c r="P384" s="1"/>
      <c r="Q384" s="1"/>
    </row>
    <row r="385" spans="1:17" hidden="1">
      <c r="A385" s="1"/>
      <c r="B385" s="1"/>
      <c r="C385" s="1"/>
      <c r="D385" s="1"/>
      <c r="E385" s="1"/>
      <c r="F385" s="1"/>
      <c r="G385" s="1599"/>
      <c r="H385" s="1"/>
      <c r="I385" s="1599"/>
      <c r="J385" s="1599"/>
      <c r="K385" s="1599"/>
      <c r="L385" s="1599"/>
      <c r="M385" s="1599"/>
      <c r="N385" s="1"/>
      <c r="O385" s="1"/>
      <c r="P385" s="1"/>
      <c r="Q385" s="1"/>
    </row>
    <row r="386" spans="1:17" hidden="1">
      <c r="A386" s="1"/>
      <c r="B386" s="1"/>
      <c r="C386" s="1"/>
      <c r="D386" s="1"/>
      <c r="E386" s="1"/>
      <c r="F386" s="1"/>
      <c r="G386" s="1599"/>
      <c r="H386" s="1"/>
      <c r="I386" s="1599"/>
      <c r="J386" s="1599"/>
      <c r="K386" s="1599"/>
      <c r="L386" s="1599"/>
      <c r="M386" s="1599"/>
      <c r="N386" s="1"/>
      <c r="O386" s="1"/>
      <c r="P386" s="1"/>
      <c r="Q386" s="1"/>
    </row>
    <row r="387" spans="1:17" hidden="1">
      <c r="A387" s="1"/>
      <c r="B387" s="1"/>
      <c r="C387" s="1"/>
      <c r="D387" s="1"/>
      <c r="E387" s="1"/>
      <c r="F387" s="1"/>
      <c r="G387" s="1599"/>
      <c r="H387" s="1"/>
      <c r="I387" s="1599"/>
      <c r="J387" s="1599"/>
      <c r="K387" s="1599"/>
      <c r="L387" s="1599"/>
      <c r="M387" s="1599"/>
      <c r="N387" s="1"/>
      <c r="O387" s="1"/>
      <c r="P387" s="1"/>
      <c r="Q387" s="1"/>
    </row>
    <row r="388" spans="1:17" hidden="1">
      <c r="A388" s="1"/>
      <c r="B388" s="1"/>
      <c r="C388" s="1"/>
      <c r="D388" s="1"/>
      <c r="E388" s="1"/>
      <c r="F388" s="1"/>
      <c r="G388" s="1"/>
      <c r="H388" s="1"/>
      <c r="I388" s="1599"/>
      <c r="J388" s="1599"/>
      <c r="K388" s="1599"/>
      <c r="L388" s="1599"/>
      <c r="M388" s="1599"/>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5"/>
  <sheetViews>
    <sheetView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035" t="s">
        <v>2183</v>
      </c>
      <c r="B1" s="2035"/>
      <c r="C1" s="2035"/>
      <c r="D1" s="2035"/>
      <c r="E1" s="2035"/>
      <c r="F1" s="2035"/>
      <c r="G1" s="2035"/>
      <c r="H1" s="2035"/>
      <c r="I1" s="2035"/>
      <c r="J1" s="2035"/>
      <c r="K1" s="2035"/>
      <c r="L1" s="2035"/>
      <c r="M1" s="2035"/>
      <c r="N1" s="2035"/>
      <c r="O1" s="2035"/>
      <c r="P1" s="2035"/>
      <c r="Q1" s="2035"/>
      <c r="R1" s="2035"/>
      <c r="S1" s="2035"/>
      <c r="T1" s="1038"/>
      <c r="U1" s="1038"/>
      <c r="V1" s="1038"/>
      <c r="W1" s="1038"/>
      <c r="X1" s="1038"/>
      <c r="Y1" s="1038"/>
      <c r="Z1" s="1038"/>
      <c r="AA1" s="1038"/>
      <c r="AB1" s="1038"/>
      <c r="AC1" s="1038"/>
      <c r="AD1" s="1038"/>
      <c r="AE1" s="1038"/>
    </row>
    <row r="2" spans="1:31" ht="23.25" customHeight="1" thickBot="1">
      <c r="A2" s="2036" t="str">
        <f>GRAL!A2:AS2</f>
        <v>DEL 01 DE ENERO 2021 A FECHA ACTUAL</v>
      </c>
      <c r="B2" s="2036"/>
      <c r="C2" s="2036"/>
      <c r="D2" s="2036"/>
      <c r="E2" s="2036"/>
      <c r="F2" s="2036"/>
      <c r="G2" s="2036"/>
      <c r="H2" s="2036"/>
      <c r="I2" s="2036"/>
      <c r="J2" s="2036"/>
      <c r="K2" s="2036"/>
      <c r="L2" s="2036"/>
      <c r="M2" s="2036"/>
      <c r="N2" s="2036"/>
      <c r="O2" s="2036"/>
      <c r="P2" s="2036"/>
      <c r="Q2" s="2036"/>
      <c r="R2" s="2036"/>
      <c r="S2" s="2036"/>
      <c r="T2" s="766"/>
      <c r="U2" s="766"/>
      <c r="V2" s="766"/>
      <c r="W2" s="766"/>
      <c r="X2" s="766"/>
      <c r="Y2" s="766"/>
      <c r="Z2" s="766"/>
      <c r="AA2" s="766"/>
      <c r="AB2" s="766"/>
      <c r="AC2" s="766"/>
      <c r="AD2" s="1114"/>
      <c r="AE2" s="766"/>
    </row>
    <row r="3" spans="1:31" ht="33" customHeight="1" thickTop="1" thickBot="1">
      <c r="A3" s="133"/>
      <c r="B3" s="133"/>
      <c r="C3" s="39"/>
      <c r="D3" s="431"/>
      <c r="E3" s="431"/>
      <c r="F3" s="143"/>
      <c r="G3" s="143"/>
      <c r="H3" s="143"/>
      <c r="I3" s="143"/>
      <c r="J3" s="1958" t="s">
        <v>4</v>
      </c>
      <c r="K3" s="1959"/>
      <c r="L3" s="2037" t="s">
        <v>2</v>
      </c>
      <c r="M3" s="2038"/>
      <c r="N3" s="2038"/>
      <c r="O3" s="2038"/>
      <c r="P3" s="2038"/>
      <c r="Q3" s="2038"/>
      <c r="R3" s="2038"/>
      <c r="S3" s="2039"/>
      <c r="T3" s="1341"/>
      <c r="U3" s="360"/>
      <c r="V3" s="367"/>
      <c r="W3" s="362"/>
      <c r="X3" s="982"/>
      <c r="Y3" s="2032" t="s">
        <v>2184</v>
      </c>
      <c r="Z3" s="2032"/>
      <c r="AA3" s="2033"/>
      <c r="AB3" s="2033"/>
      <c r="AC3" s="2034"/>
      <c r="AD3" s="1283"/>
      <c r="AE3" s="1282"/>
    </row>
    <row r="4" spans="1:31" ht="26.1" customHeight="1">
      <c r="A4" s="137"/>
      <c r="B4" s="137"/>
      <c r="C4" s="287"/>
      <c r="D4" s="1448"/>
      <c r="E4" s="489"/>
      <c r="F4" s="488"/>
      <c r="G4" s="435" t="s">
        <v>2185</v>
      </c>
      <c r="H4" s="351" t="s">
        <v>2186</v>
      </c>
      <c r="I4" s="351" t="s">
        <v>2187</v>
      </c>
      <c r="J4" s="285" t="s">
        <v>2188</v>
      </c>
      <c r="K4" s="140"/>
      <c r="L4" s="138" t="s">
        <v>2189</v>
      </c>
      <c r="M4" s="139"/>
      <c r="N4" s="139"/>
      <c r="O4" s="139"/>
      <c r="P4" s="139" t="s">
        <v>2190</v>
      </c>
      <c r="Q4" s="139" t="s">
        <v>2191</v>
      </c>
      <c r="R4" s="139"/>
      <c r="S4" s="357" t="s">
        <v>2192</v>
      </c>
      <c r="T4" s="1342" t="s">
        <v>3814</v>
      </c>
      <c r="U4" s="356" t="s">
        <v>2193</v>
      </c>
      <c r="V4" s="443" t="s">
        <v>2194</v>
      </c>
      <c r="W4" s="363" t="s">
        <v>2195</v>
      </c>
      <c r="X4" s="983"/>
      <c r="Y4" s="312"/>
      <c r="Z4" s="314"/>
      <c r="AA4" s="316"/>
      <c r="AB4" s="314"/>
      <c r="AC4" s="314"/>
      <c r="AD4" s="1284"/>
      <c r="AE4" s="517"/>
    </row>
    <row r="5" spans="1:31" ht="66" customHeight="1" thickBot="1">
      <c r="A5" s="134" t="s">
        <v>1420</v>
      </c>
      <c r="B5" s="286" t="s">
        <v>1409</v>
      </c>
      <c r="C5" s="286" t="s">
        <v>19</v>
      </c>
      <c r="D5" s="1449" t="s">
        <v>59</v>
      </c>
      <c r="E5" s="490" t="s">
        <v>2196</v>
      </c>
      <c r="F5" s="598" t="s">
        <v>467</v>
      </c>
      <c r="G5" s="145" t="s">
        <v>2197</v>
      </c>
      <c r="H5" s="355" t="s">
        <v>2198</v>
      </c>
      <c r="I5" s="434" t="s">
        <v>2199</v>
      </c>
      <c r="J5" s="41" t="s">
        <v>28</v>
      </c>
      <c r="K5" s="44" t="s">
        <v>29</v>
      </c>
      <c r="L5" s="41" t="s">
        <v>21</v>
      </c>
      <c r="M5" s="42" t="s">
        <v>22</v>
      </c>
      <c r="N5" s="43" t="s">
        <v>23</v>
      </c>
      <c r="O5" s="428" t="s">
        <v>2200</v>
      </c>
      <c r="P5" s="43" t="s">
        <v>25</v>
      </c>
      <c r="Q5" s="43" t="s">
        <v>24</v>
      </c>
      <c r="R5" s="43" t="s">
        <v>26</v>
      </c>
      <c r="S5" s="44" t="s">
        <v>27</v>
      </c>
      <c r="T5" s="1343" t="s">
        <v>3813</v>
      </c>
      <c r="U5" s="359" t="s">
        <v>2201</v>
      </c>
      <c r="V5" s="41" t="s">
        <v>63</v>
      </c>
      <c r="W5" s="364" t="s">
        <v>2202</v>
      </c>
      <c r="X5" s="984" t="s">
        <v>2203</v>
      </c>
      <c r="Y5" s="111" t="s">
        <v>2204</v>
      </c>
      <c r="Z5" s="111" t="s">
        <v>25</v>
      </c>
      <c r="AA5" s="43" t="s">
        <v>2954</v>
      </c>
      <c r="AB5" s="111" t="s">
        <v>6564</v>
      </c>
      <c r="AC5" s="315" t="s">
        <v>57</v>
      </c>
      <c r="AD5" s="1285" t="s">
        <v>3663</v>
      </c>
      <c r="AE5" s="518" t="s">
        <v>1426</v>
      </c>
    </row>
    <row r="6" spans="1:31" s="729" customFormat="1" ht="15" hidden="1" customHeight="1" thickTop="1">
      <c r="A6" s="709"/>
      <c r="B6" s="709"/>
      <c r="C6" s="710"/>
      <c r="D6" s="730"/>
      <c r="E6" s="711"/>
      <c r="F6" s="712"/>
      <c r="G6" s="713"/>
      <c r="H6" s="714"/>
      <c r="I6" s="714"/>
      <c r="J6" s="715"/>
      <c r="K6" s="711"/>
      <c r="L6" s="716"/>
      <c r="M6" s="717"/>
      <c r="N6" s="718"/>
      <c r="O6" s="719"/>
      <c r="P6" s="718"/>
      <c r="Q6" s="718"/>
      <c r="R6" s="718"/>
      <c r="S6" s="720"/>
      <c r="T6" s="723"/>
      <c r="U6" s="721"/>
      <c r="V6" s="709"/>
      <c r="W6" s="722"/>
      <c r="X6" s="985"/>
      <c r="Y6" s="724"/>
      <c r="Z6" s="724"/>
      <c r="AA6" s="725"/>
      <c r="AB6" s="724"/>
      <c r="AC6" s="726"/>
      <c r="AD6" s="1280"/>
      <c r="AE6" s="727"/>
    </row>
    <row r="7" spans="1:31" ht="60.75" hidden="1" customHeight="1" thickTop="1">
      <c r="A7" s="22" t="s">
        <v>2206</v>
      </c>
      <c r="B7" s="809" t="str">
        <f>GRAL!B8</f>
        <v>2012-2015</v>
      </c>
      <c r="C7" s="16">
        <f>OBRA!J6</f>
        <v>2013</v>
      </c>
      <c r="D7" s="1415"/>
      <c r="E7" s="17" t="str">
        <f>OBRA!M6</f>
        <v>FONDEREG</v>
      </c>
      <c r="F7" s="274"/>
      <c r="G7" s="471"/>
      <c r="H7" s="591"/>
      <c r="I7" s="352"/>
      <c r="J7" s="208" t="str">
        <f>OBRA!W6</f>
        <v>C. URIEL PALOS CUEVAS</v>
      </c>
      <c r="K7" s="231" t="str">
        <f>OBRA!X6</f>
        <v>C. DANIEL RODRIGUEZ VALENZUELA</v>
      </c>
      <c r="L7" s="19" t="str">
        <f>OBRA!N6</f>
        <v>GMJ 015C OP/2013</v>
      </c>
      <c r="M7" s="2" t="str">
        <f>OBRA!O6</f>
        <v>INVITACIÓN</v>
      </c>
      <c r="N7" s="3" t="str">
        <f>OBRA!P6</f>
        <v>RED DE AGUA POTABLE, DRENAJE Y EMPEDRADO EN CEMENTO, EN PROLONGACIÓN MORELOS, EN LA LOCALIDAD DE CHANTEPEC</v>
      </c>
      <c r="O7" s="3"/>
      <c r="P7" s="6">
        <f>OBRA!S6</f>
        <v>41501</v>
      </c>
      <c r="Q7" s="4">
        <f>OBRA!R6</f>
        <v>2564102.67</v>
      </c>
      <c r="R7" s="5">
        <f>OBRA!T6</f>
        <v>41518</v>
      </c>
      <c r="S7" s="11">
        <f>OBRA!U6</f>
        <v>41608</v>
      </c>
      <c r="T7" s="224"/>
      <c r="U7" s="224" t="s">
        <v>1428</v>
      </c>
      <c r="V7" s="368"/>
      <c r="W7" s="365"/>
      <c r="X7" s="278">
        <f>OBRA!AR6</f>
        <v>0</v>
      </c>
      <c r="Y7" s="313"/>
      <c r="Z7" s="313"/>
      <c r="AA7" s="193"/>
      <c r="AB7" s="313"/>
      <c r="AC7" s="317">
        <f>OBRA!BW6</f>
        <v>0</v>
      </c>
      <c r="AD7" s="352"/>
      <c r="AE7" s="352"/>
    </row>
    <row r="8" spans="1:31" s="299" customFormat="1" ht="75.75" hidden="1" customHeight="1">
      <c r="A8" s="305" t="s">
        <v>2206</v>
      </c>
      <c r="B8" s="853" t="str">
        <f>GRAL!B9</f>
        <v>2012-2015</v>
      </c>
      <c r="C8" s="288">
        <f>OBRA!J7</f>
        <v>2013</v>
      </c>
      <c r="D8" s="782"/>
      <c r="E8" s="306" t="str">
        <f>OBRA!M7</f>
        <v>RAMO 33</v>
      </c>
      <c r="F8" s="487" t="s">
        <v>1428</v>
      </c>
      <c r="G8" s="353"/>
      <c r="H8" s="429"/>
      <c r="I8" s="353"/>
      <c r="J8" s="307" t="str">
        <f>OBRA!W7</f>
        <v>CONSTRUCTORA TGV, S.A. DE C.V.</v>
      </c>
      <c r="K8" s="304" t="str">
        <f>OBRA!X7</f>
        <v>C. DANIEL RODRIGUEZ VALENZUELA</v>
      </c>
      <c r="L8" s="290" t="str">
        <f>OBRA!N7</f>
        <v>GMJ 022C OP/2013</v>
      </c>
      <c r="M8" s="291" t="str">
        <f>OBRA!O7</f>
        <v>ADJUDICACIÓN DIRECTA</v>
      </c>
      <c r="N8" s="292" t="str">
        <f>OBRA!P7</f>
        <v>REHABILITACIÓN DE UNIDAD DEPORTIVA, UBICADA EN ESQUINA DE AVENIDA DEL PARQUE Y CALLE ARTE EN LA DELEGACIÓN DE HUEJOTITAN</v>
      </c>
      <c r="O8" s="292"/>
      <c r="P8" s="294">
        <f>OBRA!S7</f>
        <v>41610</v>
      </c>
      <c r="Q8" s="293">
        <f>OBRA!R7</f>
        <v>666000</v>
      </c>
      <c r="R8" s="295">
        <f>OBRA!T7</f>
        <v>41612</v>
      </c>
      <c r="S8" s="296">
        <f>OBRA!U7</f>
        <v>41638</v>
      </c>
      <c r="T8" s="854"/>
      <c r="U8" s="854" t="s">
        <v>1428</v>
      </c>
      <c r="V8" s="369"/>
      <c r="W8" s="366"/>
      <c r="X8" s="805">
        <f>OBRA!AR7</f>
        <v>0</v>
      </c>
      <c r="Y8" s="310"/>
      <c r="Z8" s="310"/>
      <c r="AA8" s="295"/>
      <c r="AB8" s="1854"/>
      <c r="AC8" s="384">
        <f>OBRA!BW7</f>
        <v>0</v>
      </c>
      <c r="AD8" s="353"/>
      <c r="AE8" s="353"/>
    </row>
    <row r="9" spans="1:31" s="299" customFormat="1" ht="60.75" hidden="1" customHeight="1">
      <c r="A9" s="305" t="s">
        <v>2206</v>
      </c>
      <c r="B9" s="853" t="str">
        <f>GRAL!B10</f>
        <v>2012-2015</v>
      </c>
      <c r="C9" s="288">
        <f>OBRA!J8</f>
        <v>2013</v>
      </c>
      <c r="D9" s="782"/>
      <c r="E9" s="306" t="str">
        <f>OBRA!M8</f>
        <v>RAMO 33</v>
      </c>
      <c r="F9" s="487" t="s">
        <v>1428</v>
      </c>
      <c r="G9" s="353"/>
      <c r="H9" s="429"/>
      <c r="I9" s="353"/>
      <c r="J9" s="307" t="str">
        <f>OBRA!W8</f>
        <v>CONSTRUCTORA TGV, S.A. DE C.V.</v>
      </c>
      <c r="K9" s="304" t="str">
        <f>OBRA!X8</f>
        <v>C. DANIEL RODRIGUEZ VALENZUELA</v>
      </c>
      <c r="L9" s="290" t="str">
        <f>OBRA!N8</f>
        <v>GMJ 023C OP/2013</v>
      </c>
      <c r="M9" s="291" t="str">
        <f>OBRA!O8</f>
        <v>ADJUDICACIÓN DIRECTA</v>
      </c>
      <c r="N9" s="292" t="str">
        <f>OBRA!P8</f>
        <v>CONSTRUCCIÓN DE MODULOS DE BAÑOS JUNTO A LA UNIDAD DEPORTIVA, EN LA AGENCIA MUNICIPAL DE EL MOLINO</v>
      </c>
      <c r="O9" s="292"/>
      <c r="P9" s="294">
        <f>OBRA!S8</f>
        <v>41610</v>
      </c>
      <c r="Q9" s="293">
        <f>OBRA!R8</f>
        <v>160000</v>
      </c>
      <c r="R9" s="295">
        <f>OBRA!T8</f>
        <v>41617</v>
      </c>
      <c r="S9" s="296">
        <f>OBRA!U8</f>
        <v>41638</v>
      </c>
      <c r="T9" s="854"/>
      <c r="U9" s="854" t="s">
        <v>1428</v>
      </c>
      <c r="V9" s="369"/>
      <c r="W9" s="366"/>
      <c r="X9" s="805">
        <f>OBRA!AR8</f>
        <v>0</v>
      </c>
      <c r="Y9" s="310"/>
      <c r="Z9" s="310"/>
      <c r="AA9" s="295"/>
      <c r="AB9" s="1854"/>
      <c r="AC9" s="384">
        <f>OBRA!BW8</f>
        <v>0</v>
      </c>
      <c r="AD9" s="353"/>
      <c r="AE9" s="353"/>
    </row>
    <row r="10" spans="1:31" ht="60.75" hidden="1" customHeight="1">
      <c r="A10" s="22" t="s">
        <v>2206</v>
      </c>
      <c r="B10" s="809" t="str">
        <f>GRAL!B11</f>
        <v>2012-2015</v>
      </c>
      <c r="C10" s="16">
        <f>OBRA!J9</f>
        <v>2013</v>
      </c>
      <c r="D10" s="1415"/>
      <c r="E10" s="17" t="str">
        <f>OBRA!M9</f>
        <v>RAMO 33</v>
      </c>
      <c r="F10" s="487" t="s">
        <v>1428</v>
      </c>
      <c r="G10" s="352"/>
      <c r="H10" s="1"/>
      <c r="I10" s="352"/>
      <c r="J10" s="208" t="str">
        <f>OBRA!W9</f>
        <v>-</v>
      </c>
      <c r="K10" s="231">
        <f>OBRA!X9</f>
        <v>0</v>
      </c>
      <c r="L10" s="19" t="str">
        <f>OBRA!N9</f>
        <v>DOP/AD/011/2013</v>
      </c>
      <c r="M10" s="2" t="str">
        <f>OBRA!O9</f>
        <v>ADMINISTRACIÓN DIRECTA</v>
      </c>
      <c r="N10" s="3" t="str">
        <f>OBRA!P9</f>
        <v>BACHEO DE EMPEDRADO NORMAL EN CALLES: ALLENE, PORFIRIO DIAZ Y MATAMOROS, EN SAN CRISTOBAL ZAPOTITLAN</v>
      </c>
      <c r="O10" s="3"/>
      <c r="P10" s="87" t="s">
        <v>68</v>
      </c>
      <c r="Q10" s="4">
        <f>OBRA!R9</f>
        <v>0</v>
      </c>
      <c r="R10" s="88" t="s">
        <v>68</v>
      </c>
      <c r="S10" s="89" t="s">
        <v>68</v>
      </c>
      <c r="T10" s="101"/>
      <c r="U10" s="226" t="s">
        <v>1428</v>
      </c>
      <c r="V10" s="370"/>
      <c r="W10" s="91"/>
      <c r="X10" s="278">
        <f>OBRA!AR9</f>
        <v>0</v>
      </c>
      <c r="Y10" s="311"/>
      <c r="Z10" s="311"/>
      <c r="AA10" s="88"/>
      <c r="AB10" s="1855"/>
      <c r="AC10" s="317">
        <f>OBRA!BW9</f>
        <v>0</v>
      </c>
      <c r="AD10" s="352"/>
      <c r="AE10" s="352"/>
    </row>
    <row r="11" spans="1:31" ht="60.75" hidden="1" customHeight="1">
      <c r="A11" s="22" t="s">
        <v>2206</v>
      </c>
      <c r="B11" s="809" t="str">
        <f>GRAL!B12</f>
        <v>2012-2015</v>
      </c>
      <c r="C11" s="16">
        <f>OBRA!J10</f>
        <v>2013</v>
      </c>
      <c r="D11" s="1415"/>
      <c r="E11" s="17" t="str">
        <f>OBRA!M10</f>
        <v>RAMO 33</v>
      </c>
      <c r="F11" s="487" t="s">
        <v>1428</v>
      </c>
      <c r="G11" s="352"/>
      <c r="H11" s="1"/>
      <c r="I11" s="352"/>
      <c r="J11" s="208" t="str">
        <f>OBRA!W10</f>
        <v>-</v>
      </c>
      <c r="K11" s="231">
        <f>OBRA!X10</f>
        <v>0</v>
      </c>
      <c r="L11" s="19" t="str">
        <f>OBRA!N10</f>
        <v>DOP/AD/010/2013</v>
      </c>
      <c r="M11" s="2" t="str">
        <f>OBRA!O10</f>
        <v>ADMINISTRACIÓN DIRECTA</v>
      </c>
      <c r="N11" s="3" t="str">
        <f>OBRA!P10</f>
        <v>COLOCACIÓN DE CARPETA ASFALTICA EN C. ZARAGOZA Y C. RAMÓN CORONA, EN LA LOCALIDAD DE SAN CRISTOBAL ZAPOTITLAN</v>
      </c>
      <c r="O11" s="3"/>
      <c r="P11" s="6">
        <f>OBRA!S10</f>
        <v>41479</v>
      </c>
      <c r="Q11" s="4">
        <f>OBRA!R10</f>
        <v>234538.12</v>
      </c>
      <c r="R11" s="5">
        <f>OBRA!T10</f>
        <v>41479</v>
      </c>
      <c r="S11" s="11">
        <f>OBRA!U10</f>
        <v>41486</v>
      </c>
      <c r="T11" s="52"/>
      <c r="U11" s="226" t="s">
        <v>1428</v>
      </c>
      <c r="V11" s="105"/>
      <c r="W11" s="53"/>
      <c r="X11" s="278">
        <f>OBRA!AR10</f>
        <v>0</v>
      </c>
      <c r="Y11" s="309"/>
      <c r="Z11" s="309"/>
      <c r="AA11" s="5"/>
      <c r="AB11" s="313"/>
      <c r="AC11" s="317">
        <f>OBRA!BW10</f>
        <v>0</v>
      </c>
      <c r="AD11" s="352"/>
      <c r="AE11" s="352"/>
    </row>
    <row r="12" spans="1:31" ht="60.75" hidden="1" customHeight="1">
      <c r="A12" s="22" t="s">
        <v>2206</v>
      </c>
      <c r="B12" s="809" t="str">
        <f>GRAL!B13</f>
        <v>2012-2015</v>
      </c>
      <c r="C12" s="16">
        <f>OBRA!J11</f>
        <v>2013</v>
      </c>
      <c r="D12" s="1415"/>
      <c r="E12" s="17" t="str">
        <f>OBRA!M11</f>
        <v>RAMO 33</v>
      </c>
      <c r="F12" s="487" t="s">
        <v>1428</v>
      </c>
      <c r="G12" s="352"/>
      <c r="H12" s="1"/>
      <c r="I12" s="352"/>
      <c r="J12" s="208" t="str">
        <f>OBRA!W11</f>
        <v>-</v>
      </c>
      <c r="K12" s="231">
        <f>OBRA!X11</f>
        <v>0</v>
      </c>
      <c r="L12" s="19" t="str">
        <f>OBRA!N11</f>
        <v>DOP/AD/007/2013</v>
      </c>
      <c r="M12" s="2" t="str">
        <f>OBRA!O11</f>
        <v>ADMINISTRACIÓN DIRECTA</v>
      </c>
      <c r="N12" s="3" t="str">
        <f>OBRA!P11</f>
        <v>EMPEDRADO AHOGADO EN CEMENTO EN C. GALEANA DE ZARGOZA AL NORTE, EN LA LOCALIDAD DE SAN JUAN COSALA</v>
      </c>
      <c r="O12" s="3"/>
      <c r="P12" s="6">
        <f>OBRA!S11</f>
        <v>41484</v>
      </c>
      <c r="Q12" s="4">
        <f>OBRA!R11</f>
        <v>270189.96000000002</v>
      </c>
      <c r="R12" s="5">
        <f>OBRA!T11</f>
        <v>41479</v>
      </c>
      <c r="S12" s="11">
        <f>OBRA!U11</f>
        <v>41510</v>
      </c>
      <c r="T12" s="52"/>
      <c r="U12" s="226" t="s">
        <v>1428</v>
      </c>
      <c r="V12" s="105"/>
      <c r="W12" s="53"/>
      <c r="X12" s="278">
        <f>OBRA!AR11</f>
        <v>0</v>
      </c>
      <c r="Y12" s="309"/>
      <c r="Z12" s="309"/>
      <c r="AA12" s="5"/>
      <c r="AB12" s="313"/>
      <c r="AC12" s="317">
        <f>OBRA!BW11</f>
        <v>0</v>
      </c>
      <c r="AD12" s="352"/>
      <c r="AE12" s="352"/>
    </row>
    <row r="13" spans="1:31" ht="60.75" hidden="1" customHeight="1">
      <c r="A13" s="22" t="s">
        <v>2206</v>
      </c>
      <c r="B13" s="809" t="str">
        <f>GRAL!B14</f>
        <v>2012-2015</v>
      </c>
      <c r="C13" s="16">
        <f>OBRA!J12</f>
        <v>2013</v>
      </c>
      <c r="D13" s="1415"/>
      <c r="E13" s="17" t="str">
        <f>OBRA!M12</f>
        <v>RAMO 33</v>
      </c>
      <c r="F13" s="486" t="s">
        <v>1428</v>
      </c>
      <c r="G13" s="352"/>
      <c r="H13" s="1"/>
      <c r="I13" s="352"/>
      <c r="J13" s="208" t="str">
        <f>OBRA!W12</f>
        <v>-</v>
      </c>
      <c r="K13" s="231">
        <f>OBRA!X12</f>
        <v>0</v>
      </c>
      <c r="L13" s="19" t="str">
        <f>OBRA!N12</f>
        <v>DOP/AD/006/2013</v>
      </c>
      <c r="M13" s="2" t="str">
        <f>OBRA!O12</f>
        <v>ADMINISTRACIÓN DIRECTA</v>
      </c>
      <c r="N13" s="3" t="str">
        <f>OBRA!P12</f>
        <v>EMPEDRADO AHOGADO EN CEMENTO, MURO Y BANQUETA CALLEJON ALLENDE EN LA LOCALIDAD DE CHANTEPEC</v>
      </c>
      <c r="O13" s="3"/>
      <c r="P13" s="6">
        <f>OBRA!S12</f>
        <v>41479</v>
      </c>
      <c r="Q13" s="4">
        <f>OBRA!R12</f>
        <v>297377.52</v>
      </c>
      <c r="R13" s="5">
        <f>OBRA!T12</f>
        <v>41479</v>
      </c>
      <c r="S13" s="11">
        <f>OBRA!U12</f>
        <v>41501</v>
      </c>
      <c r="T13" s="52"/>
      <c r="U13" s="226" t="s">
        <v>1428</v>
      </c>
      <c r="V13" s="105"/>
      <c r="W13" s="53"/>
      <c r="X13" s="278">
        <f>OBRA!AR12</f>
        <v>0</v>
      </c>
      <c r="Y13" s="309"/>
      <c r="Z13" s="309"/>
      <c r="AA13" s="5"/>
      <c r="AB13" s="313"/>
      <c r="AC13" s="317">
        <f>OBRA!BW12</f>
        <v>0</v>
      </c>
      <c r="AD13" s="352"/>
      <c r="AE13" s="352"/>
    </row>
    <row r="14" spans="1:31" ht="45.75" hidden="1" customHeight="1">
      <c r="A14" s="22" t="s">
        <v>2206</v>
      </c>
      <c r="B14" s="809" t="str">
        <f>GRAL!B15</f>
        <v>2012-2015</v>
      </c>
      <c r="C14" s="16">
        <f>OBRA!J13</f>
        <v>2013</v>
      </c>
      <c r="D14" s="1415"/>
      <c r="E14" s="17" t="str">
        <f>OBRA!M13</f>
        <v>RAMO 33</v>
      </c>
      <c r="F14" s="487" t="s">
        <v>1428</v>
      </c>
      <c r="G14" s="352"/>
      <c r="H14" s="1"/>
      <c r="I14" s="352"/>
      <c r="J14" s="208" t="str">
        <f>OBRA!W13</f>
        <v>-</v>
      </c>
      <c r="K14" s="231">
        <f>OBRA!X13</f>
        <v>0</v>
      </c>
      <c r="L14" s="19" t="str">
        <f>OBRA!N13</f>
        <v>DOP/AD/018/2013</v>
      </c>
      <c r="M14" s="2" t="str">
        <f>OBRA!O13</f>
        <v>ADMINISTRACIÓN DIRECTA</v>
      </c>
      <c r="N14" s="3" t="str">
        <f>OBRA!P13</f>
        <v>EMPEDRADO NORMAL EN C. VICENTE GUERRERO, EN LA DELEGACIÓN DE ZAPOTITAN DE HIDALGO</v>
      </c>
      <c r="O14" s="3"/>
      <c r="P14" s="6">
        <f>OBRA!S13</f>
        <v>41502</v>
      </c>
      <c r="Q14" s="4">
        <f>OBRA!R13</f>
        <v>371000</v>
      </c>
      <c r="R14" s="5">
        <f>OBRA!T13</f>
        <v>41507</v>
      </c>
      <c r="S14" s="11">
        <f>OBRA!U13</f>
        <v>41538</v>
      </c>
      <c r="T14" s="52"/>
      <c r="U14" s="226" t="s">
        <v>1428</v>
      </c>
      <c r="V14" s="105"/>
      <c r="W14" s="53"/>
      <c r="X14" s="278">
        <f>OBRA!AR13</f>
        <v>0</v>
      </c>
      <c r="Y14" s="309"/>
      <c r="Z14" s="309"/>
      <c r="AA14" s="5"/>
      <c r="AB14" s="313"/>
      <c r="AC14" s="317">
        <f>OBRA!BW13</f>
        <v>0</v>
      </c>
      <c r="AD14" s="352"/>
      <c r="AE14" s="352"/>
    </row>
    <row r="15" spans="1:31" ht="60.75" hidden="1" customHeight="1">
      <c r="A15" s="22" t="s">
        <v>2206</v>
      </c>
      <c r="B15" s="809" t="str">
        <f>GRAL!B16</f>
        <v>2012-2015</v>
      </c>
      <c r="C15" s="16">
        <f>OBRA!J14</f>
        <v>2013</v>
      </c>
      <c r="D15" s="1415"/>
      <c r="E15" s="17" t="str">
        <f>OBRA!M14</f>
        <v>RAMO 33</v>
      </c>
      <c r="F15" s="487" t="s">
        <v>1428</v>
      </c>
      <c r="G15" s="352"/>
      <c r="H15" s="1"/>
      <c r="I15" s="352"/>
      <c r="J15" s="208" t="str">
        <f>OBRA!W14</f>
        <v>-</v>
      </c>
      <c r="K15" s="231">
        <f>OBRA!X14</f>
        <v>0</v>
      </c>
      <c r="L15" s="19" t="str">
        <f>OBRA!N14</f>
        <v>DOP/AD/016/2013</v>
      </c>
      <c r="M15" s="2" t="str">
        <f>OBRA!O14</f>
        <v>ADMINISTRACIÓN DIRECTA</v>
      </c>
      <c r="N15" s="3" t="str">
        <f>OBRA!P14</f>
        <v>EMPEDRADO NORMAL CON PIEDRA BRAZA EN C. JUAREZ ENTRE INGRESO Y PLAZA, EN LA DELEGACIÓN DE EL SAUZ</v>
      </c>
      <c r="O15" s="3"/>
      <c r="P15" s="6">
        <f>OBRA!S14</f>
        <v>41479</v>
      </c>
      <c r="Q15" s="4">
        <f>OBRA!R14</f>
        <v>355866.93</v>
      </c>
      <c r="R15" s="5">
        <f>OBRA!T14</f>
        <v>41479</v>
      </c>
      <c r="S15" s="11">
        <f>OBRA!U14</f>
        <v>41493</v>
      </c>
      <c r="T15" s="52"/>
      <c r="U15" s="226" t="s">
        <v>1428</v>
      </c>
      <c r="V15" s="105"/>
      <c r="W15" s="53"/>
      <c r="X15" s="278">
        <f>OBRA!AR14</f>
        <v>0</v>
      </c>
      <c r="Y15" s="309"/>
      <c r="Z15" s="309"/>
      <c r="AA15" s="5"/>
      <c r="AB15" s="313"/>
      <c r="AC15" s="317">
        <f>OBRA!BW14</f>
        <v>0</v>
      </c>
      <c r="AD15" s="352"/>
      <c r="AE15" s="352"/>
    </row>
    <row r="16" spans="1:31" ht="45.75" hidden="1" customHeight="1">
      <c r="A16" s="22" t="s">
        <v>2206</v>
      </c>
      <c r="B16" s="809" t="str">
        <f>GRAL!B17</f>
        <v>2012-2015</v>
      </c>
      <c r="C16" s="16">
        <f>OBRA!J15</f>
        <v>2013</v>
      </c>
      <c r="D16" s="1415"/>
      <c r="E16" s="17" t="str">
        <f>OBRA!M15</f>
        <v>RAMO 33</v>
      </c>
      <c r="F16" s="487" t="s">
        <v>1428</v>
      </c>
      <c r="G16" s="352"/>
      <c r="H16" s="1"/>
      <c r="I16" s="352"/>
      <c r="J16" s="208" t="str">
        <f>OBRA!W15</f>
        <v>-</v>
      </c>
      <c r="K16" s="231">
        <f>OBRA!X15</f>
        <v>0</v>
      </c>
      <c r="L16" s="19" t="str">
        <f>OBRA!N15</f>
        <v>DOP/AD/015/2013</v>
      </c>
      <c r="M16" s="2" t="str">
        <f>OBRA!O15</f>
        <v>ADMINISTRACIÓN DIRECTA</v>
      </c>
      <c r="N16" s="3" t="str">
        <f>OBRA!P15</f>
        <v>COLECTOR DE ALEJAMIENTO DE AGUAS RESIDUALES EN LA AGENCIA MUNICIPAL DE EL MOLINO</v>
      </c>
      <c r="O16" s="3"/>
      <c r="P16" s="6">
        <f>OBRA!S15</f>
        <v>41488</v>
      </c>
      <c r="Q16" s="4">
        <f>OBRA!R15</f>
        <v>73286.47</v>
      </c>
      <c r="R16" s="5">
        <f>OBRA!T15</f>
        <v>41507</v>
      </c>
      <c r="S16" s="11">
        <f>OBRA!U15</f>
        <v>41538</v>
      </c>
      <c r="T16" s="52"/>
      <c r="U16" s="226" t="s">
        <v>1428</v>
      </c>
      <c r="V16" s="105"/>
      <c r="W16" s="53"/>
      <c r="X16" s="278">
        <f>OBRA!AR15</f>
        <v>0</v>
      </c>
      <c r="Y16" s="309"/>
      <c r="Z16" s="309"/>
      <c r="AA16" s="5"/>
      <c r="AB16" s="313"/>
      <c r="AC16" s="317">
        <f>OBRA!BW15</f>
        <v>0</v>
      </c>
      <c r="AD16" s="352"/>
      <c r="AE16" s="352"/>
    </row>
    <row r="17" spans="1:31" ht="30.75" hidden="1" customHeight="1">
      <c r="A17" s="22" t="s">
        <v>2206</v>
      </c>
      <c r="B17" s="809" t="str">
        <f>GRAL!B18</f>
        <v>2012-2015</v>
      </c>
      <c r="C17" s="16">
        <f>OBRA!J16</f>
        <v>2013</v>
      </c>
      <c r="D17" s="1415"/>
      <c r="E17" s="17" t="str">
        <f>OBRA!M16</f>
        <v>RAMO 33</v>
      </c>
      <c r="F17" s="487" t="s">
        <v>1428</v>
      </c>
      <c r="G17" s="352"/>
      <c r="H17" s="1"/>
      <c r="I17" s="352"/>
      <c r="J17" s="208" t="str">
        <f>OBRA!W16</f>
        <v>-</v>
      </c>
      <c r="K17" s="231">
        <f>OBRA!X16</f>
        <v>0</v>
      </c>
      <c r="L17" s="19" t="str">
        <f>OBRA!N16</f>
        <v>DOP/AD/014/2013</v>
      </c>
      <c r="M17" s="2" t="str">
        <f>OBRA!O16</f>
        <v>ADMINISTRACIÓN DIRECTA</v>
      </c>
      <c r="N17" s="3" t="str">
        <f>OBRA!P16</f>
        <v>EMPEDRADO NORMAL C. 16 DE SEPTIEMBRE LA LOMA</v>
      </c>
      <c r="O17" s="3"/>
      <c r="P17" s="6">
        <f>OBRA!S16</f>
        <v>41488</v>
      </c>
      <c r="Q17" s="4">
        <f>OBRA!R16</f>
        <v>172000</v>
      </c>
      <c r="R17" s="5">
        <f>OBRA!T16</f>
        <v>41493</v>
      </c>
      <c r="S17" s="11">
        <f>OBRA!U16</f>
        <v>41506</v>
      </c>
      <c r="T17" s="52"/>
      <c r="U17" s="226" t="s">
        <v>1428</v>
      </c>
      <c r="V17" s="105"/>
      <c r="W17" s="53"/>
      <c r="X17" s="278">
        <f>OBRA!AR16</f>
        <v>0</v>
      </c>
      <c r="Y17" s="309"/>
      <c r="Z17" s="309"/>
      <c r="AA17" s="5"/>
      <c r="AB17" s="313"/>
      <c r="AC17" s="317">
        <f>OBRA!BW16</f>
        <v>0</v>
      </c>
      <c r="AD17" s="352"/>
      <c r="AE17" s="352"/>
    </row>
    <row r="18" spans="1:31" ht="75.75" hidden="1" customHeight="1">
      <c r="A18" s="22" t="s">
        <v>2206</v>
      </c>
      <c r="B18" s="809" t="str">
        <f>GRAL!B19</f>
        <v>2012-2015</v>
      </c>
      <c r="C18" s="16">
        <f>OBRA!J17</f>
        <v>2013</v>
      </c>
      <c r="D18" s="1415"/>
      <c r="E18" s="17" t="str">
        <f>OBRA!M17</f>
        <v>RAMO 33</v>
      </c>
      <c r="F18" s="487" t="s">
        <v>1428</v>
      </c>
      <c r="G18" s="352"/>
      <c r="H18" s="1"/>
      <c r="I18" s="352"/>
      <c r="J18" s="208" t="str">
        <f>OBRA!W17</f>
        <v>EQUIPO MANTENIMIENTO Y PLANEACION ELECTRICA S.A. DE C.V.</v>
      </c>
      <c r="K18" s="231" t="str">
        <f>OBRA!X17</f>
        <v>C. DANIEL RODRIGUEZ VALENZUELA</v>
      </c>
      <c r="L18" s="19" t="str">
        <f>OBRA!N17</f>
        <v>GMJ 017C OP/2013</v>
      </c>
      <c r="M18" s="2" t="str">
        <f>OBRA!O17</f>
        <v>INVITACIÓN</v>
      </c>
      <c r="N18" s="3" t="str">
        <f>OBRA!P17</f>
        <v>ELECTRIFICACIÓN Y EQUIPAMIENTO DE POZO PROFUNDO, EN EL FRACCIONAMIENTO UBICADO EN LA ZONO OESTE DE LA MAGISTERIAL CABECERA MUNICIPAL</v>
      </c>
      <c r="O18" s="3"/>
      <c r="P18" s="6">
        <f>OBRA!S17</f>
        <v>41516</v>
      </c>
      <c r="Q18" s="4">
        <f>OBRA!R17</f>
        <v>1084867.96</v>
      </c>
      <c r="R18" s="5">
        <f>OBRA!T17</f>
        <v>41553</v>
      </c>
      <c r="S18" s="11">
        <f>OBRA!U17</f>
        <v>41623</v>
      </c>
      <c r="T18" s="52"/>
      <c r="U18" s="226" t="s">
        <v>1428</v>
      </c>
      <c r="V18" s="105"/>
      <c r="W18" s="53"/>
      <c r="X18" s="278">
        <f>OBRA!AR17</f>
        <v>0</v>
      </c>
      <c r="Y18" s="309"/>
      <c r="Z18" s="309"/>
      <c r="AA18" s="5"/>
      <c r="AB18" s="313"/>
      <c r="AC18" s="317">
        <f>OBRA!BW17</f>
        <v>0</v>
      </c>
      <c r="AD18" s="352"/>
      <c r="AE18" s="352"/>
    </row>
    <row r="19" spans="1:31" s="299" customFormat="1" ht="45.75" hidden="1" customHeight="1">
      <c r="A19" s="305" t="s">
        <v>2206</v>
      </c>
      <c r="B19" s="853" t="str">
        <f>GRAL!B20</f>
        <v>2012-2015</v>
      </c>
      <c r="C19" s="288">
        <f>OBRA!J18</f>
        <v>2013</v>
      </c>
      <c r="D19" s="782"/>
      <c r="E19" s="306" t="str">
        <f>OBRA!M18</f>
        <v>RAMO 33</v>
      </c>
      <c r="F19" s="487" t="s">
        <v>1428</v>
      </c>
      <c r="G19" s="353"/>
      <c r="H19" s="429"/>
      <c r="I19" s="353"/>
      <c r="J19" s="307" t="str">
        <f>OBRA!W18</f>
        <v>C. JOSE LUIS VILLALPANDO GARCIA</v>
      </c>
      <c r="K19" s="304" t="str">
        <f>OBRA!X18</f>
        <v>ING. RIGOBERTO OLMEDO RAMOS</v>
      </c>
      <c r="L19" s="290" t="str">
        <f>OBRA!N18</f>
        <v>GMJ 018C OP/2013</v>
      </c>
      <c r="M19" s="291" t="str">
        <f>OBRA!O18</f>
        <v>ADJUDICACIÓN DIRECTA</v>
      </c>
      <c r="N19" s="292" t="str">
        <f>OBRA!P18</f>
        <v>ELECTRIFICACIÓN EN BARRIO DEL RICON EN LA AGENCIA MUNICIPAL DE LAS TROJES</v>
      </c>
      <c r="O19" s="292"/>
      <c r="P19" s="294">
        <f>OBRA!S18</f>
        <v>41501</v>
      </c>
      <c r="Q19" s="293">
        <f>OBRA!R18</f>
        <v>223854.45</v>
      </c>
      <c r="R19" s="295">
        <f>OBRA!T18</f>
        <v>41505</v>
      </c>
      <c r="S19" s="296">
        <f>OBRA!U18</f>
        <v>41547</v>
      </c>
      <c r="T19" s="854"/>
      <c r="U19" s="854" t="s">
        <v>1428</v>
      </c>
      <c r="V19" s="369"/>
      <c r="W19" s="366"/>
      <c r="X19" s="805">
        <f>OBRA!AR18</f>
        <v>0</v>
      </c>
      <c r="Y19" s="310"/>
      <c r="Z19" s="310"/>
      <c r="AA19" s="295"/>
      <c r="AB19" s="1854"/>
      <c r="AC19" s="384">
        <f>OBRA!BW18</f>
        <v>0</v>
      </c>
      <c r="AD19" s="353"/>
      <c r="AE19" s="353"/>
    </row>
    <row r="20" spans="1:31" s="299" customFormat="1" ht="45.75" hidden="1" customHeight="1">
      <c r="A20" s="305" t="s">
        <v>2206</v>
      </c>
      <c r="B20" s="853" t="str">
        <f>GRAL!B21</f>
        <v>2012-2015</v>
      </c>
      <c r="C20" s="288">
        <f>OBRA!J19</f>
        <v>2013</v>
      </c>
      <c r="D20" s="782"/>
      <c r="E20" s="306" t="str">
        <f>OBRA!M19</f>
        <v>RAMO 33</v>
      </c>
      <c r="F20" s="487" t="s">
        <v>1428</v>
      </c>
      <c r="G20" s="353"/>
      <c r="H20" s="429"/>
      <c r="I20" s="353"/>
      <c r="J20" s="307" t="str">
        <f>OBRA!W19</f>
        <v>C. JOSE LUIS VILLALPANDO GARCIA</v>
      </c>
      <c r="K20" s="304" t="str">
        <f>OBRA!X19</f>
        <v>ING. RIGOBERTO OLMEDO RAMOS</v>
      </c>
      <c r="L20" s="290" t="str">
        <f>OBRA!N19</f>
        <v>GMJ 013C OP/2013</v>
      </c>
      <c r="M20" s="291" t="str">
        <f>OBRA!O19</f>
        <v>ADJUDICACIÓN DIRECTA</v>
      </c>
      <c r="N20" s="292" t="str">
        <f>OBRA!P19</f>
        <v>ELECTRIFICACIÓN EN C. CUAHUTEMOC, EN LA AGENCIA MUNICIPAL DE LAS TROJES</v>
      </c>
      <c r="O20" s="292"/>
      <c r="P20" s="294">
        <f>OBRA!S19</f>
        <v>41501</v>
      </c>
      <c r="Q20" s="293">
        <f>OBRA!R19</f>
        <v>318371.84999999998</v>
      </c>
      <c r="R20" s="295">
        <f>OBRA!T19</f>
        <v>41519</v>
      </c>
      <c r="S20" s="296">
        <f>OBRA!U19</f>
        <v>41573</v>
      </c>
      <c r="T20" s="854"/>
      <c r="U20" s="854" t="s">
        <v>1428</v>
      </c>
      <c r="V20" s="369"/>
      <c r="W20" s="366"/>
      <c r="X20" s="805">
        <f>OBRA!AR19</f>
        <v>0</v>
      </c>
      <c r="Y20" s="310"/>
      <c r="Z20" s="310"/>
      <c r="AA20" s="295"/>
      <c r="AB20" s="1854"/>
      <c r="AC20" s="384">
        <f>OBRA!BW19</f>
        <v>0</v>
      </c>
      <c r="AD20" s="353"/>
      <c r="AE20" s="353"/>
    </row>
    <row r="21" spans="1:31" ht="30.75" hidden="1" customHeight="1">
      <c r="A21" s="22" t="s">
        <v>2206</v>
      </c>
      <c r="B21" s="809" t="str">
        <f>GRAL!B22</f>
        <v>2012-2015</v>
      </c>
      <c r="C21" s="16">
        <f>OBRA!J20</f>
        <v>2013</v>
      </c>
      <c r="D21" s="1415"/>
      <c r="E21" s="17" t="str">
        <f>OBRA!M20</f>
        <v>RAMO 33</v>
      </c>
      <c r="F21" s="487" t="s">
        <v>1428</v>
      </c>
      <c r="G21" s="352"/>
      <c r="H21" s="1"/>
      <c r="I21" s="352"/>
      <c r="J21" s="208" t="str">
        <f>OBRA!W20</f>
        <v>-</v>
      </c>
      <c r="K21" s="231">
        <f>OBRA!X20</f>
        <v>0</v>
      </c>
      <c r="L21" s="19" t="str">
        <f>OBRA!N20</f>
        <v>DOP/AD/028/2013</v>
      </c>
      <c r="M21" s="2" t="str">
        <f>OBRA!O20</f>
        <v>ADMINISTRACIÓN DIRECTA</v>
      </c>
      <c r="N21" s="3" t="str">
        <f>OBRA!P20</f>
        <v>CONST. MURO PERIMETRAL FRACC. MAGISTERIAL CABECERA MUNICIPAL</v>
      </c>
      <c r="O21" s="3"/>
      <c r="P21" s="6">
        <f>OBRA!S20</f>
        <v>41596</v>
      </c>
      <c r="Q21" s="4">
        <f>OBRA!R20</f>
        <v>65000</v>
      </c>
      <c r="R21" s="5">
        <f>OBRA!T20</f>
        <v>41589</v>
      </c>
      <c r="S21" s="11">
        <f>OBRA!U20</f>
        <v>41638</v>
      </c>
      <c r="T21" s="52"/>
      <c r="U21" s="226" t="s">
        <v>1428</v>
      </c>
      <c r="V21" s="105"/>
      <c r="W21" s="53"/>
      <c r="X21" s="278">
        <f>OBRA!AR20</f>
        <v>0</v>
      </c>
      <c r="Y21" s="309"/>
      <c r="Z21" s="309"/>
      <c r="AA21" s="5"/>
      <c r="AB21" s="313"/>
      <c r="AC21" s="317">
        <f>OBRA!BW20</f>
        <v>0</v>
      </c>
      <c r="AD21" s="352"/>
      <c r="AE21" s="352"/>
    </row>
    <row r="22" spans="1:31" ht="45.75" hidden="1" customHeight="1">
      <c r="A22" s="22" t="s">
        <v>2206</v>
      </c>
      <c r="B22" s="809" t="str">
        <f>GRAL!B23</f>
        <v>2012-2015</v>
      </c>
      <c r="C22" s="16">
        <f>OBRA!J21</f>
        <v>2013</v>
      </c>
      <c r="D22" s="1415"/>
      <c r="E22" s="17" t="str">
        <f>OBRA!M21</f>
        <v>RAMO 33</v>
      </c>
      <c r="F22" s="487" t="s">
        <v>1428</v>
      </c>
      <c r="G22" s="352"/>
      <c r="H22" s="1"/>
      <c r="I22" s="352"/>
      <c r="J22" s="208" t="str">
        <f>OBRA!W21</f>
        <v>-</v>
      </c>
      <c r="K22" s="231">
        <f>OBRA!X21</f>
        <v>0</v>
      </c>
      <c r="L22" s="19" t="str">
        <f>OBRA!N21</f>
        <v>OP/AD/027/2013</v>
      </c>
      <c r="M22" s="2" t="str">
        <f>OBRA!O21</f>
        <v>ADMINISTRACIÓN DIRECTA</v>
      </c>
      <c r="N22" s="3" t="str">
        <f>OBRA!P21</f>
        <v>CASETA DE CONTROL Y CLORACION DEL POZO FRACC. MAGISTERIAL CABECERA MUNICIPAL</v>
      </c>
      <c r="O22" s="3"/>
      <c r="P22" s="87" t="s">
        <v>68</v>
      </c>
      <c r="Q22" s="4" t="str">
        <f>OBRA!R21</f>
        <v>FALTA</v>
      </c>
      <c r="R22" s="88" t="s">
        <v>68</v>
      </c>
      <c r="S22" s="89" t="s">
        <v>68</v>
      </c>
      <c r="T22" s="101"/>
      <c r="U22" s="226" t="s">
        <v>1428</v>
      </c>
      <c r="V22" s="370"/>
      <c r="W22" s="91"/>
      <c r="X22" s="278">
        <f>OBRA!AR21</f>
        <v>0</v>
      </c>
      <c r="Y22" s="311"/>
      <c r="Z22" s="311"/>
      <c r="AA22" s="88"/>
      <c r="AB22" s="1855"/>
      <c r="AC22" s="317">
        <f>OBRA!BW21</f>
        <v>0</v>
      </c>
      <c r="AD22" s="352"/>
      <c r="AE22" s="352"/>
    </row>
    <row r="23" spans="1:31" s="299" customFormat="1" ht="60.75" hidden="1" customHeight="1">
      <c r="A23" s="305" t="s">
        <v>2206</v>
      </c>
      <c r="B23" s="853" t="str">
        <f>GRAL!B24</f>
        <v>2012-2015</v>
      </c>
      <c r="C23" s="288">
        <f>OBRA!J22</f>
        <v>2013</v>
      </c>
      <c r="D23" s="782"/>
      <c r="E23" s="306" t="str">
        <f>OBRA!M22</f>
        <v>RAMO 33</v>
      </c>
      <c r="F23" s="487" t="s">
        <v>1428</v>
      </c>
      <c r="G23" s="353"/>
      <c r="H23" s="429"/>
      <c r="I23" s="353"/>
      <c r="J23" s="307" t="str">
        <f>OBRA!W22</f>
        <v>C. JUAN MANUEL PALOS VACA</v>
      </c>
      <c r="K23" s="304" t="str">
        <f>OBRA!X22</f>
        <v>ING. ISER RANGEL REVILLA</v>
      </c>
      <c r="L23" s="290" t="str">
        <f>OBRA!N22</f>
        <v>GMJ 020C OP/2013</v>
      </c>
      <c r="M23" s="291" t="str">
        <f>OBRA!O22</f>
        <v>ADJUDICACIÓN DIRECTA</v>
      </c>
      <c r="N23" s="292" t="str">
        <f>OBRA!P22</f>
        <v xml:space="preserve">RENOVACION DE RED DE DRENAJE EN LA CALLE RAMON CORONA ENTRE MORELOS Y LOPEZ COTILLA EN LA DELEGACION DE POTRERILLOS </v>
      </c>
      <c r="O23" s="292"/>
      <c r="P23" s="294">
        <f>OBRA!S22</f>
        <v>41547</v>
      </c>
      <c r="Q23" s="293">
        <f>OBRA!R22</f>
        <v>99364.64</v>
      </c>
      <c r="R23" s="295">
        <f>OBRA!T22</f>
        <v>41548</v>
      </c>
      <c r="S23" s="296">
        <f>OBRA!U22</f>
        <v>41580</v>
      </c>
      <c r="T23" s="854"/>
      <c r="U23" s="854" t="s">
        <v>1428</v>
      </c>
      <c r="V23" s="369"/>
      <c r="W23" s="366"/>
      <c r="X23" s="805">
        <f>OBRA!AR22</f>
        <v>0</v>
      </c>
      <c r="Y23" s="310"/>
      <c r="Z23" s="310"/>
      <c r="AA23" s="295"/>
      <c r="AB23" s="1854"/>
      <c r="AC23" s="384">
        <f>OBRA!BW22</f>
        <v>0</v>
      </c>
      <c r="AD23" s="353"/>
      <c r="AE23" s="353"/>
    </row>
    <row r="24" spans="1:31" s="299" customFormat="1" ht="75.75" hidden="1" customHeight="1">
      <c r="A24" s="305" t="s">
        <v>2206</v>
      </c>
      <c r="B24" s="853" t="str">
        <f>GRAL!B25</f>
        <v>2012-2015</v>
      </c>
      <c r="C24" s="288">
        <f>OBRA!J23</f>
        <v>2013</v>
      </c>
      <c r="D24" s="782"/>
      <c r="E24" s="306" t="str">
        <f>OBRA!M23</f>
        <v>RAMO 33</v>
      </c>
      <c r="F24" s="487" t="s">
        <v>1428</v>
      </c>
      <c r="G24" s="353"/>
      <c r="H24" s="429"/>
      <c r="I24" s="353"/>
      <c r="J24" s="307" t="str">
        <f>OBRA!W23</f>
        <v>C. JUAN MANUEL PALOS VACA</v>
      </c>
      <c r="K24" s="304" t="str">
        <f>OBRA!X23</f>
        <v>ING. ISER RANGEL REVILLA</v>
      </c>
      <c r="L24" s="290" t="str">
        <f>OBRA!N23</f>
        <v>GMJ 019C OP/2013</v>
      </c>
      <c r="M24" s="291" t="str">
        <f>OBRA!O23</f>
        <v>ADJUDICACIÓN DIRECTA</v>
      </c>
      <c r="N24" s="292" t="str">
        <f>OBRA!P23</f>
        <v xml:space="preserve">PAVIMENTO DE EMPEDRADO AHOGADO EN CEMENTO EN LA CALLE RAMON CORONA ENTRE MORELOS Y LOPEZ COTILLAEN LA DELEGACION DE POTRERILLOS </v>
      </c>
      <c r="O24" s="292"/>
      <c r="P24" s="294">
        <f>OBRA!S23</f>
        <v>41547</v>
      </c>
      <c r="Q24" s="293">
        <f>OBRA!R23</f>
        <v>363453.99</v>
      </c>
      <c r="R24" s="295">
        <f>OBRA!T23</f>
        <v>41548</v>
      </c>
      <c r="S24" s="296">
        <f>OBRA!U23</f>
        <v>41580</v>
      </c>
      <c r="T24" s="854"/>
      <c r="U24" s="854" t="s">
        <v>1428</v>
      </c>
      <c r="V24" s="369"/>
      <c r="W24" s="366"/>
      <c r="X24" s="805">
        <f>OBRA!AR23</f>
        <v>0</v>
      </c>
      <c r="Y24" s="310"/>
      <c r="Z24" s="310"/>
      <c r="AA24" s="295"/>
      <c r="AB24" s="1854"/>
      <c r="AC24" s="384">
        <f>OBRA!BW23</f>
        <v>0</v>
      </c>
      <c r="AD24" s="353"/>
      <c r="AE24" s="353"/>
    </row>
    <row r="25" spans="1:31" ht="45.75" hidden="1" customHeight="1">
      <c r="A25" s="22" t="s">
        <v>2206</v>
      </c>
      <c r="B25" s="809" t="str">
        <f>GRAL!B26</f>
        <v>2012-2015</v>
      </c>
      <c r="C25" s="16">
        <f>OBRA!J24</f>
        <v>2013</v>
      </c>
      <c r="D25" s="1415"/>
      <c r="E25" s="17" t="str">
        <f>OBRA!M24</f>
        <v>RAMO 33</v>
      </c>
      <c r="F25" s="486" t="s">
        <v>1428</v>
      </c>
      <c r="G25" s="352"/>
      <c r="H25" s="1"/>
      <c r="I25" s="352"/>
      <c r="J25" s="208" t="str">
        <f>OBRA!W24</f>
        <v>-</v>
      </c>
      <c r="K25" s="231">
        <f>OBRA!X24</f>
        <v>0</v>
      </c>
      <c r="L25" s="19" t="str">
        <f>OBRA!N24</f>
        <v>DOP/AD/022/2013</v>
      </c>
      <c r="M25" s="2" t="str">
        <f>OBRA!O24</f>
        <v>ADMINISTRACIÓN DIRECTA</v>
      </c>
      <c r="N25" s="3" t="str">
        <f>OBRA!P24</f>
        <v>COLOCACION DE ADOQUIN EN CALLE JUAREZ Y 5 DE MAYO, EN LA LOCALIDAD DE SAN PEDRO TESISTAN</v>
      </c>
      <c r="O25" s="3"/>
      <c r="P25" s="6">
        <f>OBRA!S24</f>
        <v>41599</v>
      </c>
      <c r="Q25" s="4">
        <f>OBRA!R24</f>
        <v>339164.5</v>
      </c>
      <c r="R25" s="5">
        <f>OBRA!T24</f>
        <v>41600</v>
      </c>
      <c r="S25" s="11">
        <f>OBRA!U24</f>
        <v>41623</v>
      </c>
      <c r="T25" s="52"/>
      <c r="U25" s="226" t="s">
        <v>1428</v>
      </c>
      <c r="V25" s="105"/>
      <c r="W25" s="53"/>
      <c r="X25" s="278">
        <f>OBRA!AR24</f>
        <v>0</v>
      </c>
      <c r="Y25" s="309"/>
      <c r="Z25" s="309"/>
      <c r="AA25" s="5"/>
      <c r="AB25" s="313"/>
      <c r="AC25" s="317">
        <f>OBRA!BW24</f>
        <v>0</v>
      </c>
      <c r="AD25" s="352"/>
      <c r="AE25" s="352"/>
    </row>
    <row r="26" spans="1:31" ht="45.75" hidden="1" customHeight="1">
      <c r="A26" s="22" t="s">
        <v>2206</v>
      </c>
      <c r="B26" s="809" t="str">
        <f>GRAL!B27</f>
        <v>2012-2015</v>
      </c>
      <c r="C26" s="16">
        <f>OBRA!J25</f>
        <v>2013</v>
      </c>
      <c r="D26" s="1415"/>
      <c r="E26" s="17" t="str">
        <f>OBRA!M25</f>
        <v>RAMO 33</v>
      </c>
      <c r="F26" s="487" t="s">
        <v>1428</v>
      </c>
      <c r="G26" s="352"/>
      <c r="H26" s="1"/>
      <c r="I26" s="352"/>
      <c r="J26" s="208" t="str">
        <f>OBRA!W25</f>
        <v>-</v>
      </c>
      <c r="K26" s="231">
        <f>OBRA!X25</f>
        <v>0</v>
      </c>
      <c r="L26" s="19" t="str">
        <f>OBRA!N25</f>
        <v>DOP/AD/023/2013</v>
      </c>
      <c r="M26" s="2" t="str">
        <f>OBRA!O25</f>
        <v>ADMINISTRACIÓN DIRECTA</v>
      </c>
      <c r="N26" s="3" t="str">
        <f>OBRA!P25</f>
        <v>RENOVACION DE AGUA POTABLE, EN C. 16 DE SEPTIEMBRE EN LA AGENCIA MUNICIPAL DE NEXTIPAC</v>
      </c>
      <c r="O26" s="3"/>
      <c r="P26" s="6">
        <f>OBRA!S25</f>
        <v>41593</v>
      </c>
      <c r="Q26" s="4">
        <f>OBRA!R25</f>
        <v>108190</v>
      </c>
      <c r="R26" s="5">
        <f>OBRA!T25</f>
        <v>41596</v>
      </c>
      <c r="S26" s="11">
        <f>OBRA!U25</f>
        <v>41610</v>
      </c>
      <c r="T26" s="52"/>
      <c r="U26" s="226" t="s">
        <v>1428</v>
      </c>
      <c r="V26" s="105"/>
      <c r="W26" s="53"/>
      <c r="X26" s="278">
        <f>OBRA!AR25</f>
        <v>0</v>
      </c>
      <c r="Y26" s="309"/>
      <c r="Z26" s="309"/>
      <c r="AA26" s="5"/>
      <c r="AB26" s="313"/>
      <c r="AC26" s="317">
        <f>OBRA!BW25</f>
        <v>0</v>
      </c>
      <c r="AD26" s="352"/>
      <c r="AE26" s="352"/>
    </row>
    <row r="27" spans="1:31" ht="45.75" hidden="1" customHeight="1">
      <c r="A27" s="22" t="s">
        <v>2206</v>
      </c>
      <c r="B27" s="809" t="str">
        <f>GRAL!B28</f>
        <v>2012-2015</v>
      </c>
      <c r="C27" s="16">
        <f>OBRA!J26</f>
        <v>2013</v>
      </c>
      <c r="D27" s="1415"/>
      <c r="E27" s="17" t="str">
        <f>OBRA!M26</f>
        <v>RAMO 33</v>
      </c>
      <c r="F27" s="487" t="s">
        <v>1428</v>
      </c>
      <c r="G27" s="352"/>
      <c r="H27" s="1"/>
      <c r="I27" s="352"/>
      <c r="J27" s="208" t="str">
        <f>OBRA!W26</f>
        <v>-</v>
      </c>
      <c r="K27" s="231">
        <f>OBRA!X26</f>
        <v>0</v>
      </c>
      <c r="L27" s="19" t="str">
        <f>OBRA!N26</f>
        <v>DOP/AD/017/2013</v>
      </c>
      <c r="M27" s="2" t="str">
        <f>OBRA!O26</f>
        <v>ADMINISTRACIÓN DIRECTA</v>
      </c>
      <c r="N27" s="3" t="str">
        <f>OBRA!P26</f>
        <v>RENOVACION DE RED DE DRENAJE, EN C. 16 DE SEPTIEMBRE EN LA AGENCIA MUNICIPAL DE NEXTIPAC</v>
      </c>
      <c r="O27" s="3"/>
      <c r="P27" s="6">
        <f>OBRA!S26</f>
        <v>41593</v>
      </c>
      <c r="Q27" s="4">
        <f>OBRA!R26</f>
        <v>120948.09</v>
      </c>
      <c r="R27" s="5">
        <f>OBRA!T26</f>
        <v>41596</v>
      </c>
      <c r="S27" s="11">
        <f>OBRA!U26</f>
        <v>41610</v>
      </c>
      <c r="T27" s="52"/>
      <c r="U27" s="226" t="s">
        <v>1428</v>
      </c>
      <c r="V27" s="105"/>
      <c r="W27" s="53"/>
      <c r="X27" s="278">
        <f>OBRA!AR26</f>
        <v>0</v>
      </c>
      <c r="Y27" s="309"/>
      <c r="Z27" s="309"/>
      <c r="AA27" s="5"/>
      <c r="AB27" s="313"/>
      <c r="AC27" s="317">
        <f>OBRA!BW26</f>
        <v>0</v>
      </c>
      <c r="AD27" s="352"/>
      <c r="AE27" s="352"/>
    </row>
    <row r="28" spans="1:31" ht="75.75" hidden="1" customHeight="1">
      <c r="A28" s="22" t="s">
        <v>2206</v>
      </c>
      <c r="B28" s="809" t="str">
        <f>GRAL!B29</f>
        <v>2012-2015</v>
      </c>
      <c r="C28" s="16">
        <f>OBRA!J27</f>
        <v>2013</v>
      </c>
      <c r="D28" s="1415"/>
      <c r="E28" s="17" t="str">
        <f>OBRA!M27</f>
        <v>RAMO 33</v>
      </c>
      <c r="F28" s="487" t="s">
        <v>1428</v>
      </c>
      <c r="G28" s="352"/>
      <c r="H28" s="1"/>
      <c r="I28" s="352"/>
      <c r="J28" s="208" t="str">
        <f>OBRA!W27</f>
        <v>-</v>
      </c>
      <c r="K28" s="231">
        <f>OBRA!X27</f>
        <v>0</v>
      </c>
      <c r="L28" s="19" t="str">
        <f>OBRA!N27</f>
        <v>DOP/AD/021/2013</v>
      </c>
      <c r="M28" s="2" t="str">
        <f>OBRA!O27</f>
        <v>ADMINISTRACIÓN DIRECTA</v>
      </c>
      <c r="N28" s="3" t="str">
        <f>OBRA!P27</f>
        <v>REEMPEDRADO NORMALEN CALLE LAZARO CARDENAS ENTRE C. PERO MORENO Y C. 16 DE SEPTIEMPRE, EN LA LOCALIDAD DE ZAPOTITAN DE HIDALGO</v>
      </c>
      <c r="O28" s="3"/>
      <c r="P28" s="6">
        <f>OBRA!S27</f>
        <v>41588</v>
      </c>
      <c r="Q28" s="4">
        <f>OBRA!R27</f>
        <v>150310.03</v>
      </c>
      <c r="R28" s="5">
        <f>OBRA!T27</f>
        <v>41589</v>
      </c>
      <c r="S28" s="11">
        <f>OBRA!U27</f>
        <v>41608</v>
      </c>
      <c r="T28" s="52"/>
      <c r="U28" s="226" t="s">
        <v>1428</v>
      </c>
      <c r="V28" s="105"/>
      <c r="W28" s="53"/>
      <c r="X28" s="278">
        <f>OBRA!AR27</f>
        <v>0</v>
      </c>
      <c r="Y28" s="309"/>
      <c r="Z28" s="309"/>
      <c r="AA28" s="5"/>
      <c r="AB28" s="313"/>
      <c r="AC28" s="317">
        <f>OBRA!BW27</f>
        <v>0</v>
      </c>
      <c r="AD28" s="352"/>
      <c r="AE28" s="352"/>
    </row>
    <row r="29" spans="1:31" ht="45.75" hidden="1" customHeight="1">
      <c r="A29" s="22" t="s">
        <v>2206</v>
      </c>
      <c r="B29" s="809" t="str">
        <f>GRAL!B30</f>
        <v>2012-2015</v>
      </c>
      <c r="C29" s="16">
        <f>OBRA!J28</f>
        <v>2013</v>
      </c>
      <c r="D29" s="1415"/>
      <c r="E29" s="17" t="str">
        <f>OBRA!M28</f>
        <v>RAMO 33</v>
      </c>
      <c r="F29" s="487" t="s">
        <v>1428</v>
      </c>
      <c r="G29" s="352"/>
      <c r="H29" s="1"/>
      <c r="I29" s="352"/>
      <c r="J29" s="208" t="str">
        <f>OBRA!W28</f>
        <v>-</v>
      </c>
      <c r="K29" s="231">
        <f>OBRA!X28</f>
        <v>0</v>
      </c>
      <c r="L29" s="19" t="str">
        <f>OBRA!N28</f>
        <v>DOP/AD/019/2013</v>
      </c>
      <c r="M29" s="2" t="str">
        <f>OBRA!O28</f>
        <v>ADMINISTRACIÓN DIRECTA</v>
      </c>
      <c r="N29" s="3" t="str">
        <f>OBRA!P28</f>
        <v>REMODELACION DE DELEGACION EN LA POBLACION DE SAN PEDRO TESISTAN</v>
      </c>
      <c r="O29" s="3"/>
      <c r="P29" s="6">
        <f>OBRA!S28</f>
        <v>41502</v>
      </c>
      <c r="Q29" s="4">
        <f>OBRA!R28</f>
        <v>93916.43</v>
      </c>
      <c r="R29" s="5">
        <f>OBRA!T28</f>
        <v>41507</v>
      </c>
      <c r="S29" s="11">
        <f>OBRA!U28</f>
        <v>41545</v>
      </c>
      <c r="T29" s="52"/>
      <c r="U29" s="226" t="s">
        <v>1428</v>
      </c>
      <c r="V29" s="105"/>
      <c r="W29" s="53"/>
      <c r="X29" s="278">
        <f>OBRA!AR28</f>
        <v>0</v>
      </c>
      <c r="Y29" s="309"/>
      <c r="Z29" s="309"/>
      <c r="AA29" s="5"/>
      <c r="AB29" s="313"/>
      <c r="AC29" s="317">
        <f>OBRA!BW28</f>
        <v>0</v>
      </c>
      <c r="AD29" s="352"/>
      <c r="AE29" s="352"/>
    </row>
    <row r="30" spans="1:31" ht="60.75" hidden="1" customHeight="1">
      <c r="A30" s="22" t="s">
        <v>2206</v>
      </c>
      <c r="B30" s="809" t="str">
        <f>GRAL!B31</f>
        <v>2012-2015</v>
      </c>
      <c r="C30" s="16">
        <f>OBRA!J29</f>
        <v>2013</v>
      </c>
      <c r="D30" s="1415"/>
      <c r="E30" s="17" t="str">
        <f>OBRA!M29</f>
        <v>RAMO 33</v>
      </c>
      <c r="F30" s="487" t="s">
        <v>1428</v>
      </c>
      <c r="G30" s="352"/>
      <c r="H30" s="1"/>
      <c r="I30" s="352"/>
      <c r="J30" s="208" t="str">
        <f>OBRA!W29</f>
        <v>-</v>
      </c>
      <c r="K30" s="231">
        <f>OBRA!X29</f>
        <v>0</v>
      </c>
      <c r="L30" s="19" t="str">
        <f>OBRA!N29</f>
        <v>DOP/AD/024/2013</v>
      </c>
      <c r="M30" s="2" t="str">
        <f>OBRA!O29</f>
        <v>ADMINISTRACIÓN DIRECTA</v>
      </c>
      <c r="N30" s="3" t="str">
        <f>OBRA!P29</f>
        <v>EMPEDRADO AHOGADO EN CEMENTO EN LA CALLE DONATO GUERRA DE CHURUBUSCO HASTA ARROYO EN LA AGENCIA MUNICIPAL DE; LA LOMA</v>
      </c>
      <c r="O30" s="3"/>
      <c r="P30" s="6">
        <f>OBRA!S29</f>
        <v>41614</v>
      </c>
      <c r="Q30" s="4">
        <f>OBRA!R29</f>
        <v>300000</v>
      </c>
      <c r="R30" s="5">
        <f>OBRA!T29</f>
        <v>41617</v>
      </c>
      <c r="S30" s="11">
        <f>OBRA!U29</f>
        <v>41638</v>
      </c>
      <c r="T30" s="52"/>
      <c r="U30" s="226" t="s">
        <v>1428</v>
      </c>
      <c r="V30" s="105"/>
      <c r="W30" s="53"/>
      <c r="X30" s="278">
        <f>OBRA!AR29</f>
        <v>0</v>
      </c>
      <c r="Y30" s="309"/>
      <c r="Z30" s="309"/>
      <c r="AA30" s="5"/>
      <c r="AB30" s="313"/>
      <c r="AC30" s="317">
        <f>OBRA!BW29</f>
        <v>0</v>
      </c>
      <c r="AD30" s="352"/>
      <c r="AE30" s="352"/>
    </row>
    <row r="31" spans="1:31" ht="75.75" hidden="1" customHeight="1">
      <c r="A31" s="22" t="s">
        <v>2206</v>
      </c>
      <c r="B31" s="809" t="str">
        <f>GRAL!B32</f>
        <v>2012-2015</v>
      </c>
      <c r="C31" s="16">
        <f>OBRA!J30</f>
        <v>2013</v>
      </c>
      <c r="D31" s="1415"/>
      <c r="E31" s="17" t="str">
        <f>OBRA!M30</f>
        <v>RAMO 33</v>
      </c>
      <c r="F31" s="487" t="s">
        <v>1428</v>
      </c>
      <c r="G31" s="352"/>
      <c r="H31" s="1"/>
      <c r="I31" s="352"/>
      <c r="J31" s="208" t="str">
        <f>OBRA!W30</f>
        <v>-</v>
      </c>
      <c r="K31" s="231">
        <f>OBRA!X30</f>
        <v>0</v>
      </c>
      <c r="L31" s="19" t="str">
        <f>OBRA!N30</f>
        <v>DOP/AD/026/2013</v>
      </c>
      <c r="M31" s="2" t="str">
        <f>OBRA!O30</f>
        <v>ADMINISTRACIÓN DIRECTA</v>
      </c>
      <c r="N31" s="3" t="str">
        <f>OBRA!P30</f>
        <v>CONSTRUCCION DE RED DE AGUA POTABLE EN LA CALLE DONATO GUERRA DE CHURUBUSCO HASTA ARROYO, EN LA AGENCIA MUNICIPAL DE; LA LOMA</v>
      </c>
      <c r="O31" s="3"/>
      <c r="P31" s="6">
        <f>OBRA!S30</f>
        <v>41614</v>
      </c>
      <c r="Q31" s="4">
        <f>OBRA!R30</f>
        <v>51673.18</v>
      </c>
      <c r="R31" s="5">
        <f>OBRA!T30</f>
        <v>41617</v>
      </c>
      <c r="S31" s="11">
        <f>OBRA!U30</f>
        <v>41638</v>
      </c>
      <c r="T31" s="52"/>
      <c r="U31" s="226" t="s">
        <v>1428</v>
      </c>
      <c r="V31" s="105"/>
      <c r="W31" s="53"/>
      <c r="X31" s="278">
        <f>OBRA!AR30</f>
        <v>0</v>
      </c>
      <c r="Y31" s="309"/>
      <c r="Z31" s="309"/>
      <c r="AA31" s="5"/>
      <c r="AB31" s="313"/>
      <c r="AC31" s="317">
        <f>OBRA!BW30</f>
        <v>0</v>
      </c>
      <c r="AD31" s="352"/>
      <c r="AE31" s="352"/>
    </row>
    <row r="32" spans="1:31" ht="60.75" hidden="1" customHeight="1">
      <c r="A32" s="22" t="s">
        <v>2206</v>
      </c>
      <c r="B32" s="809" t="str">
        <f>GRAL!B33</f>
        <v>2012-2015</v>
      </c>
      <c r="C32" s="16">
        <f>OBRA!J31</f>
        <v>2013</v>
      </c>
      <c r="D32" s="1415"/>
      <c r="E32" s="17" t="str">
        <f>OBRA!M31</f>
        <v>RAMO 33</v>
      </c>
      <c r="F32" s="487" t="s">
        <v>1428</v>
      </c>
      <c r="G32" s="352"/>
      <c r="H32" s="1"/>
      <c r="I32" s="352"/>
      <c r="J32" s="208" t="str">
        <f>OBRA!W31</f>
        <v>-</v>
      </c>
      <c r="K32" s="231">
        <f>OBRA!X31</f>
        <v>0</v>
      </c>
      <c r="L32" s="19" t="str">
        <f>OBRA!N31</f>
        <v>DOP/AD/025/2013</v>
      </c>
      <c r="M32" s="2" t="str">
        <f>OBRA!O31</f>
        <v>ADMINISTRACIÓN DIRECTA</v>
      </c>
      <c r="N32" s="3" t="str">
        <f>OBRA!P31</f>
        <v>CONSTRUCCION DE DRENAJE, EN LA C. DONATO GUERRA DE CHURUBUSCO HASTA EL ARROYO EN LA AGENCIA MUNICIPAL DE LA LOMA</v>
      </c>
      <c r="O32" s="3"/>
      <c r="P32" s="6">
        <f>OBRA!S31</f>
        <v>41614</v>
      </c>
      <c r="Q32" s="4">
        <f>OBRA!R31</f>
        <v>63457.87</v>
      </c>
      <c r="R32" s="5">
        <f>OBRA!T31</f>
        <v>41617</v>
      </c>
      <c r="S32" s="11">
        <f>OBRA!U31</f>
        <v>41638</v>
      </c>
      <c r="T32" s="52"/>
      <c r="U32" s="226" t="s">
        <v>1428</v>
      </c>
      <c r="V32" s="105"/>
      <c r="W32" s="53"/>
      <c r="X32" s="278">
        <f>OBRA!AR31</f>
        <v>0</v>
      </c>
      <c r="Y32" s="309"/>
      <c r="Z32" s="309"/>
      <c r="AA32" s="5"/>
      <c r="AB32" s="313"/>
      <c r="AC32" s="317">
        <f>OBRA!BW31</f>
        <v>0</v>
      </c>
      <c r="AD32" s="352"/>
      <c r="AE32" s="352"/>
    </row>
    <row r="33" spans="1:31" ht="45.75" hidden="1" customHeight="1">
      <c r="A33" s="22" t="s">
        <v>2206</v>
      </c>
      <c r="B33" s="809" t="str">
        <f>GRAL!B34</f>
        <v>2012-2015</v>
      </c>
      <c r="C33" s="16">
        <f>OBRA!J32</f>
        <v>2013</v>
      </c>
      <c r="D33" s="1415"/>
      <c r="E33" s="17" t="str">
        <f>OBRA!M32</f>
        <v>RAMO 33</v>
      </c>
      <c r="F33" s="486" t="s">
        <v>1428</v>
      </c>
      <c r="G33" s="352"/>
      <c r="H33" s="1"/>
      <c r="I33" s="352"/>
      <c r="J33" s="208" t="str">
        <f>OBRA!W32</f>
        <v>-</v>
      </c>
      <c r="K33" s="231">
        <f>OBRA!X32</f>
        <v>0</v>
      </c>
      <c r="L33" s="19" t="str">
        <f>OBRA!N32</f>
        <v>DOP/AD/008/2013</v>
      </c>
      <c r="M33" s="2" t="str">
        <f>OBRA!O32</f>
        <v>ADMINISTRACIÓN DIRECTA</v>
      </c>
      <c r="N33" s="3" t="str">
        <f>OBRA!P32</f>
        <v>EMPEDRADO NORMAL, EN C. 16 DE SEPTIEMBRE EN LA AGENCIA MUNICIPAL DE NEXTIPAC</v>
      </c>
      <c r="O33" s="3"/>
      <c r="P33" s="6">
        <f>OBRA!S32</f>
        <v>41600</v>
      </c>
      <c r="Q33" s="4">
        <f>OBRA!R32</f>
        <v>387451.67</v>
      </c>
      <c r="R33" s="5">
        <f>OBRA!T32</f>
        <v>41603</v>
      </c>
      <c r="S33" s="11">
        <f>OBRA!U32</f>
        <v>41608</v>
      </c>
      <c r="T33" s="52"/>
      <c r="U33" s="226" t="s">
        <v>1428</v>
      </c>
      <c r="V33" s="105"/>
      <c r="W33" s="53"/>
      <c r="X33" s="278">
        <f>OBRA!AR32</f>
        <v>0</v>
      </c>
      <c r="Y33" s="309"/>
      <c r="Z33" s="309"/>
      <c r="AA33" s="5"/>
      <c r="AB33" s="313"/>
      <c r="AC33" s="317">
        <f>OBRA!BW32</f>
        <v>0</v>
      </c>
      <c r="AD33" s="352"/>
      <c r="AE33" s="352"/>
    </row>
    <row r="34" spans="1:31" s="299" customFormat="1" ht="60.75" hidden="1" customHeight="1">
      <c r="A34" s="305" t="s">
        <v>2206</v>
      </c>
      <c r="B34" s="853" t="str">
        <f>GRAL!B35</f>
        <v>2012-2015</v>
      </c>
      <c r="C34" s="288">
        <f>OBRA!J33</f>
        <v>2013</v>
      </c>
      <c r="D34" s="782"/>
      <c r="E34" s="306" t="str">
        <f>OBRA!M33</f>
        <v>Resc Esp Pub</v>
      </c>
      <c r="F34" s="487"/>
      <c r="G34" s="353"/>
      <c r="H34" s="429"/>
      <c r="I34" s="353"/>
      <c r="J34" s="307" t="str">
        <f>OBRA!W33</f>
        <v>KARLAY S.A. DE S.V.</v>
      </c>
      <c r="K34" s="304" t="str">
        <f>OBRA!X33</f>
        <v>C. DANIEL RODRIGUEZ VALENZUELA</v>
      </c>
      <c r="L34" s="290" t="str">
        <f>OBRA!N33</f>
        <v>GMJ 021C OP/2013</v>
      </c>
      <c r="M34" s="291" t="str">
        <f>OBRA!O33</f>
        <v>ADJUDICACIÓN DIRECTA</v>
      </c>
      <c r="N34" s="292" t="str">
        <f>OBRA!P33</f>
        <v>RESCATE DE LA UNIDAD DEPORTIVA ZARAGOZA, EN LA CABECERA MUNICIPAL, DEL MUNICIPIO DE JOCOTEPEC, JALISCO</v>
      </c>
      <c r="O34" s="292"/>
      <c r="P34" s="294">
        <f>OBRA!S33</f>
        <v>41547</v>
      </c>
      <c r="Q34" s="293">
        <f>OBRA!R33</f>
        <v>1299999</v>
      </c>
      <c r="R34" s="295">
        <f>OBRA!T33</f>
        <v>41547</v>
      </c>
      <c r="S34" s="296">
        <f>OBRA!U33</f>
        <v>41608</v>
      </c>
      <c r="T34" s="854"/>
      <c r="U34" s="854" t="s">
        <v>1428</v>
      </c>
      <c r="V34" s="369"/>
      <c r="W34" s="366"/>
      <c r="X34" s="805">
        <f>OBRA!AR33</f>
        <v>0</v>
      </c>
      <c r="Y34" s="310"/>
      <c r="Z34" s="310"/>
      <c r="AA34" s="295"/>
      <c r="AB34" s="1854"/>
      <c r="AC34" s="384">
        <f>OBRA!BW33</f>
        <v>0</v>
      </c>
      <c r="AD34" s="353"/>
      <c r="AE34" s="353"/>
    </row>
    <row r="35" spans="1:31" ht="75.75" hidden="1" customHeight="1">
      <c r="A35" s="22" t="s">
        <v>2206</v>
      </c>
      <c r="B35" s="809" t="str">
        <f>GRAL!B36</f>
        <v>2012-2015</v>
      </c>
      <c r="C35" s="16">
        <f>OBRA!J34</f>
        <v>2013</v>
      </c>
      <c r="D35" s="1415"/>
      <c r="E35" s="17" t="str">
        <f>OBRA!M34</f>
        <v>3X1 PARA MIGRANTES</v>
      </c>
      <c r="F35" s="478"/>
      <c r="G35" s="352"/>
      <c r="H35" s="1"/>
      <c r="I35" s="352"/>
      <c r="J35" s="208" t="str">
        <f>OBRA!W34</f>
        <v>-</v>
      </c>
      <c r="K35" s="231">
        <f>OBRA!X34</f>
        <v>0</v>
      </c>
      <c r="L35" s="19" t="str">
        <f>OBRA!N34</f>
        <v>DOP/AD/030/2013</v>
      </c>
      <c r="M35" s="2" t="str">
        <f>OBRA!O34</f>
        <v>ADMINISTRACIÓN DIRECTA</v>
      </c>
      <c r="N35" s="3" t="str">
        <f>OBRA!P34</f>
        <v>REHABILITACIÓN DE RED DE AGUA POTBLE EN C. VICENTE GUERRERO, DE CARR. FED. #15 HASTA ZONA FEDERAL (LAGO) EN LA DELEGACIÓN DE SAN PEDRO TESISTAN</v>
      </c>
      <c r="O35" s="3"/>
      <c r="P35" s="6">
        <f>OBRA!S34</f>
        <v>41617</v>
      </c>
      <c r="Q35" s="4">
        <f>OBRA!R34</f>
        <v>125188</v>
      </c>
      <c r="R35" s="5">
        <f>OBRA!T34</f>
        <v>41612</v>
      </c>
      <c r="S35" s="11">
        <f>OBRA!U34</f>
        <v>41638</v>
      </c>
      <c r="T35" s="52"/>
      <c r="U35" s="226" t="s">
        <v>1428</v>
      </c>
      <c r="V35" s="105"/>
      <c r="W35" s="53"/>
      <c r="X35" s="278">
        <f>OBRA!AR34</f>
        <v>0</v>
      </c>
      <c r="Y35" s="309"/>
      <c r="Z35" s="309"/>
      <c r="AA35" s="5"/>
      <c r="AB35" s="313"/>
      <c r="AC35" s="317">
        <f>OBRA!BW34</f>
        <v>0</v>
      </c>
      <c r="AD35" s="352"/>
      <c r="AE35" s="352"/>
    </row>
    <row r="36" spans="1:31" ht="75.75" hidden="1" customHeight="1">
      <c r="A36" s="22" t="s">
        <v>2206</v>
      </c>
      <c r="B36" s="809" t="str">
        <f>GRAL!B37</f>
        <v>2012-2015</v>
      </c>
      <c r="C36" s="16">
        <f>OBRA!J35</f>
        <v>2013</v>
      </c>
      <c r="D36" s="1415"/>
      <c r="E36" s="17" t="str">
        <f>OBRA!M35</f>
        <v>CUENTA CORRIENTE</v>
      </c>
      <c r="F36" s="478" t="s">
        <v>1428</v>
      </c>
      <c r="G36" s="352"/>
      <c r="H36" s="1"/>
      <c r="I36" s="352"/>
      <c r="J36" s="208" t="str">
        <f>OBRA!W35</f>
        <v>-</v>
      </c>
      <c r="K36" s="231">
        <f>OBRA!X35</f>
        <v>0</v>
      </c>
      <c r="L36" s="19" t="str">
        <f>OBRA!N35</f>
        <v>DOP/AD/001/2013</v>
      </c>
      <c r="M36" s="2" t="str">
        <f>OBRA!O35</f>
        <v>ADMINISTRACIÓN DIRECTA</v>
      </c>
      <c r="N36" s="3" t="str">
        <f>OBRA!P35</f>
        <v>REHABILITACIÓN DE RED DE AGUA POTABLE EN C.  FRANCISCO I. MADERO ENTRE ITURBIDE Y VICENTE GUERRERO EN L LOCALIDAD DE; SAN JUAN COSALA</v>
      </c>
      <c r="O36" s="3"/>
      <c r="P36" s="6">
        <f>OBRA!S35</f>
        <v>41447</v>
      </c>
      <c r="Q36" s="4">
        <f>OBRA!R35</f>
        <v>75847.88</v>
      </c>
      <c r="R36" s="5">
        <f>OBRA!T35</f>
        <v>41447</v>
      </c>
      <c r="S36" s="11">
        <f>OBRA!U35</f>
        <v>41460</v>
      </c>
      <c r="T36" s="52"/>
      <c r="U36" s="226" t="s">
        <v>1428</v>
      </c>
      <c r="V36" s="105"/>
      <c r="W36" s="53"/>
      <c r="X36" s="278">
        <f>OBRA!AR35</f>
        <v>0</v>
      </c>
      <c r="Y36" s="309"/>
      <c r="Z36" s="309"/>
      <c r="AA36" s="5"/>
      <c r="AB36" s="313"/>
      <c r="AC36" s="317">
        <f>OBRA!BW35</f>
        <v>0</v>
      </c>
      <c r="AD36" s="352"/>
      <c r="AE36" s="352"/>
    </row>
    <row r="37" spans="1:31" ht="75.75" hidden="1" customHeight="1">
      <c r="A37" s="22" t="s">
        <v>2206</v>
      </c>
      <c r="B37" s="809" t="str">
        <f>GRAL!B38</f>
        <v>2012-2015</v>
      </c>
      <c r="C37" s="16">
        <f>OBRA!J36</f>
        <v>2013</v>
      </c>
      <c r="D37" s="1415"/>
      <c r="E37" s="17" t="str">
        <f>OBRA!M36</f>
        <v>CUENTA CORRIENTE</v>
      </c>
      <c r="F37" s="478" t="s">
        <v>1428</v>
      </c>
      <c r="G37" s="352"/>
      <c r="H37" s="1"/>
      <c r="I37" s="352"/>
      <c r="J37" s="208" t="str">
        <f>OBRA!W36</f>
        <v>-</v>
      </c>
      <c r="K37" s="231">
        <f>OBRA!X36</f>
        <v>0</v>
      </c>
      <c r="L37" s="19" t="str">
        <f>OBRA!N36</f>
        <v>DOP/AD/002/2013</v>
      </c>
      <c r="M37" s="2" t="str">
        <f>OBRA!O36</f>
        <v>ADMINISTRACIÓN DIRECTA</v>
      </c>
      <c r="N37" s="3" t="str">
        <f>OBRA!P36</f>
        <v>BACHEO DE EMPEDRADO NORMAL EN ZANJA EN  C. FRANCISCO I. MADERO ENTRE ITURBIDE Y VICENTE GUERRERO EN LA LOCALIDAD DE SAN JUAN COSALA</v>
      </c>
      <c r="O37" s="3"/>
      <c r="P37" s="6">
        <f>OBRA!S36</f>
        <v>41446</v>
      </c>
      <c r="Q37" s="4">
        <f>OBRA!R36</f>
        <v>38585.949999999997</v>
      </c>
      <c r="R37" s="5">
        <f>OBRA!T36</f>
        <v>41446</v>
      </c>
      <c r="S37" s="11">
        <f>OBRA!U36</f>
        <v>41453</v>
      </c>
      <c r="T37" s="52"/>
      <c r="U37" s="226" t="s">
        <v>1428</v>
      </c>
      <c r="V37" s="105"/>
      <c r="W37" s="53"/>
      <c r="X37" s="278">
        <f>OBRA!AR36</f>
        <v>0</v>
      </c>
      <c r="Y37" s="309"/>
      <c r="Z37" s="309"/>
      <c r="AA37" s="5"/>
      <c r="AB37" s="313"/>
      <c r="AC37" s="317">
        <f>OBRA!BW36</f>
        <v>0</v>
      </c>
      <c r="AD37" s="352"/>
      <c r="AE37" s="352"/>
    </row>
    <row r="38" spans="1:31" ht="45.75" hidden="1" customHeight="1">
      <c r="A38" s="22" t="s">
        <v>2206</v>
      </c>
      <c r="B38" s="809" t="str">
        <f>GRAL!B39</f>
        <v>2012-2015</v>
      </c>
      <c r="C38" s="16">
        <f>OBRA!J37</f>
        <v>2013</v>
      </c>
      <c r="D38" s="1415"/>
      <c r="E38" s="17" t="str">
        <f>OBRA!M37</f>
        <v>CUENTA CORRIENTE</v>
      </c>
      <c r="F38" s="478" t="s">
        <v>1428</v>
      </c>
      <c r="G38" s="352"/>
      <c r="H38" s="1"/>
      <c r="I38" s="352"/>
      <c r="J38" s="208" t="str">
        <f>OBRA!W37</f>
        <v>-</v>
      </c>
      <c r="K38" s="231">
        <f>OBRA!X37</f>
        <v>0</v>
      </c>
      <c r="L38" s="19" t="str">
        <f>OBRA!N37</f>
        <v>DOP/AD/003/2013</v>
      </c>
      <c r="M38" s="2" t="str">
        <f>OBRA!O37</f>
        <v>ADMINISTRACIÓN DIRECTA</v>
      </c>
      <c r="N38" s="3" t="str">
        <f>OBRA!P37</f>
        <v>EMPEDRADO AHOGADO EN PRIVADA MATAMOROS EN L LOCALIDAD DE SAN JUAN COSALA</v>
      </c>
      <c r="O38" s="3"/>
      <c r="P38" s="6">
        <f>OBRA!S37</f>
        <v>41446</v>
      </c>
      <c r="Q38" s="4">
        <f>OBRA!R37</f>
        <v>396797.76</v>
      </c>
      <c r="R38" s="5">
        <f>OBRA!T37</f>
        <v>41446</v>
      </c>
      <c r="S38" s="11">
        <f>OBRA!U37</f>
        <v>41460</v>
      </c>
      <c r="T38" s="52"/>
      <c r="U38" s="226" t="s">
        <v>1428</v>
      </c>
      <c r="V38" s="105"/>
      <c r="W38" s="53"/>
      <c r="X38" s="278">
        <f>OBRA!AR37</f>
        <v>0</v>
      </c>
      <c r="Y38" s="309"/>
      <c r="Z38" s="309"/>
      <c r="AA38" s="5"/>
      <c r="AB38" s="313"/>
      <c r="AC38" s="317">
        <f>OBRA!BW37</f>
        <v>0</v>
      </c>
      <c r="AD38" s="352"/>
      <c r="AE38" s="352"/>
    </row>
    <row r="39" spans="1:31" ht="45.75" hidden="1" customHeight="1">
      <c r="A39" s="22" t="s">
        <v>2206</v>
      </c>
      <c r="B39" s="809" t="str">
        <f>GRAL!B40</f>
        <v>2012-2015</v>
      </c>
      <c r="C39" s="16">
        <f>OBRA!J38</f>
        <v>2013</v>
      </c>
      <c r="D39" s="1415"/>
      <c r="E39" s="17" t="str">
        <f>OBRA!M38</f>
        <v>CUENTA CORRIENTE</v>
      </c>
      <c r="F39" s="478" t="s">
        <v>1428</v>
      </c>
      <c r="G39" s="352"/>
      <c r="H39" s="1"/>
      <c r="I39" s="352"/>
      <c r="J39" s="208" t="str">
        <f>OBRA!W38</f>
        <v>-</v>
      </c>
      <c r="K39" s="231">
        <f>OBRA!X38</f>
        <v>0</v>
      </c>
      <c r="L39" s="19" t="str">
        <f>OBRA!N38</f>
        <v>DOP/AD/004/2013</v>
      </c>
      <c r="M39" s="2" t="str">
        <f>OBRA!O38</f>
        <v>ADMINISTRACIÓN DIRECTA</v>
      </c>
      <c r="N39" s="3" t="str">
        <f>OBRA!P38</f>
        <v>DESASOLVES PREVENTIVOS PARA EVITAR INUNDCIONES EN CBECERA Y SUS LOCALIDADES</v>
      </c>
      <c r="O39" s="3"/>
      <c r="P39" s="6">
        <f>OBRA!S38</f>
        <v>41449</v>
      </c>
      <c r="Q39" s="4">
        <f>OBRA!R38</f>
        <v>300000</v>
      </c>
      <c r="R39" s="5">
        <f>OBRA!T38</f>
        <v>41449</v>
      </c>
      <c r="S39" s="11">
        <f>OBRA!U38</f>
        <v>41517</v>
      </c>
      <c r="T39" s="52"/>
      <c r="U39" s="226" t="s">
        <v>1428</v>
      </c>
      <c r="V39" s="105"/>
      <c r="W39" s="53"/>
      <c r="X39" s="278">
        <f>OBRA!AR38</f>
        <v>0</v>
      </c>
      <c r="Y39" s="309"/>
      <c r="Z39" s="309"/>
      <c r="AA39" s="5"/>
      <c r="AB39" s="313"/>
      <c r="AC39" s="317">
        <f>OBRA!BW38</f>
        <v>0</v>
      </c>
      <c r="AD39" s="352"/>
      <c r="AE39" s="352"/>
    </row>
    <row r="40" spans="1:31" ht="45.75" hidden="1" customHeight="1">
      <c r="A40" s="22" t="s">
        <v>2206</v>
      </c>
      <c r="B40" s="809" t="str">
        <f>GRAL!B41</f>
        <v>2012-2015</v>
      </c>
      <c r="C40" s="16">
        <f>OBRA!J39</f>
        <v>2013</v>
      </c>
      <c r="D40" s="1415"/>
      <c r="E40" s="17" t="str">
        <f>OBRA!M39</f>
        <v>CUENTA CORRIENTE</v>
      </c>
      <c r="F40" s="478" t="s">
        <v>1428</v>
      </c>
      <c r="G40" s="352"/>
      <c r="H40" s="1"/>
      <c r="I40" s="352"/>
      <c r="J40" s="208" t="str">
        <f>OBRA!W39</f>
        <v>-</v>
      </c>
      <c r="K40" s="231">
        <f>OBRA!X39</f>
        <v>0</v>
      </c>
      <c r="L40" s="19" t="str">
        <f>OBRA!N39</f>
        <v>DOP/AD/012/2013</v>
      </c>
      <c r="M40" s="2" t="str">
        <f>OBRA!O39</f>
        <v>ADMINISTRACIÓN DIRECTA</v>
      </c>
      <c r="N40" s="3" t="str">
        <f>OBRA!P39</f>
        <v>REMODELACION DE FACHADA EN ZONA CENTRO 1ª ETAPA, EN LA  CABECERA MUNICIPAL</v>
      </c>
      <c r="O40" s="3"/>
      <c r="P40" s="87" t="s">
        <v>68</v>
      </c>
      <c r="Q40" s="4">
        <f>OBRA!R39</f>
        <v>0</v>
      </c>
      <c r="R40" s="88" t="s">
        <v>68</v>
      </c>
      <c r="S40" s="89" t="s">
        <v>68</v>
      </c>
      <c r="T40" s="101"/>
      <c r="U40" s="226" t="s">
        <v>1428</v>
      </c>
      <c r="V40" s="370"/>
      <c r="W40" s="91"/>
      <c r="X40" s="278">
        <f>OBRA!AR39</f>
        <v>0</v>
      </c>
      <c r="Y40" s="311"/>
      <c r="Z40" s="311"/>
      <c r="AA40" s="88"/>
      <c r="AB40" s="1855"/>
      <c r="AC40" s="317">
        <f>OBRA!BW39</f>
        <v>0</v>
      </c>
      <c r="AD40" s="352"/>
      <c r="AE40" s="352"/>
    </row>
    <row r="41" spans="1:31" ht="30.75" hidden="1" customHeight="1">
      <c r="A41" s="22" t="s">
        <v>2206</v>
      </c>
      <c r="B41" s="809" t="str">
        <f>GRAL!B42</f>
        <v>2012-2015</v>
      </c>
      <c r="C41" s="16">
        <f>OBRA!J40</f>
        <v>2013</v>
      </c>
      <c r="D41" s="1415"/>
      <c r="E41" s="17" t="str">
        <f>OBRA!M40</f>
        <v>CUENTA CORRIENTE</v>
      </c>
      <c r="F41" s="478" t="s">
        <v>1428</v>
      </c>
      <c r="G41" s="352"/>
      <c r="H41" s="1"/>
      <c r="I41" s="352"/>
      <c r="J41" s="208" t="str">
        <f>OBRA!W40</f>
        <v>-</v>
      </c>
      <c r="K41" s="231">
        <f>OBRA!X40</f>
        <v>0</v>
      </c>
      <c r="L41" s="19" t="str">
        <f>OBRA!N40</f>
        <v>DOP/AD/013/2013</v>
      </c>
      <c r="M41" s="2" t="str">
        <f>OBRA!O40</f>
        <v>ADMINISTRACIÓN DIRECTA</v>
      </c>
      <c r="N41" s="3" t="str">
        <f>OBRA!P40</f>
        <v>CONST. DE LOCAL COMERCIAL MALECON CABECERA MUNICIPAL</v>
      </c>
      <c r="O41" s="3"/>
      <c r="P41" s="6">
        <f>OBRA!S40</f>
        <v>41463</v>
      </c>
      <c r="Q41" s="4">
        <f>OBRA!R40</f>
        <v>60000</v>
      </c>
      <c r="R41" s="5">
        <f>OBRA!T40</f>
        <v>41433</v>
      </c>
      <c r="S41" s="11">
        <f>OBRA!U40</f>
        <v>41501</v>
      </c>
      <c r="T41" s="52"/>
      <c r="U41" s="226" t="s">
        <v>1428</v>
      </c>
      <c r="V41" s="105"/>
      <c r="W41" s="53"/>
      <c r="X41" s="278">
        <f>OBRA!AR40</f>
        <v>0</v>
      </c>
      <c r="Y41" s="309"/>
      <c r="Z41" s="309"/>
      <c r="AA41" s="5"/>
      <c r="AB41" s="313"/>
      <c r="AC41" s="317">
        <f>OBRA!BW40</f>
        <v>0</v>
      </c>
      <c r="AD41" s="352"/>
      <c r="AE41" s="352"/>
    </row>
    <row r="42" spans="1:31" ht="30.75" hidden="1" customHeight="1">
      <c r="A42" s="22" t="s">
        <v>2206</v>
      </c>
      <c r="B42" s="809" t="str">
        <f>GRAL!B43</f>
        <v>2012-2015</v>
      </c>
      <c r="C42" s="16">
        <f>OBRA!J41</f>
        <v>2013</v>
      </c>
      <c r="D42" s="1415"/>
      <c r="E42" s="17" t="str">
        <f>OBRA!M41</f>
        <v>CUENTA CORRIENTE</v>
      </c>
      <c r="F42" s="478" t="s">
        <v>1428</v>
      </c>
      <c r="G42" s="352"/>
      <c r="H42" s="1"/>
      <c r="I42" s="352"/>
      <c r="J42" s="208" t="str">
        <f>OBRA!W41</f>
        <v>-</v>
      </c>
      <c r="K42" s="231">
        <f>OBRA!X41</f>
        <v>0</v>
      </c>
      <c r="L42" s="19" t="str">
        <f>OBRA!N41</f>
        <v>DOP/AD/028/2013</v>
      </c>
      <c r="M42" s="2" t="str">
        <f>OBRA!O41</f>
        <v>ADMINISTRACIÓN DIRECTA</v>
      </c>
      <c r="N42" s="3" t="str">
        <f>OBRA!P41</f>
        <v>CONST. MURO PERIMETRAL FRACC. MAGISTERIAL CABECERA MUNICIPAL</v>
      </c>
      <c r="O42" s="3"/>
      <c r="P42" s="6">
        <f>OBRA!S41</f>
        <v>41596</v>
      </c>
      <c r="Q42" s="4">
        <f>OBRA!R41</f>
        <v>65000</v>
      </c>
      <c r="R42" s="5">
        <f>OBRA!T41</f>
        <v>41589</v>
      </c>
      <c r="S42" s="11">
        <f>OBRA!U41</f>
        <v>41638</v>
      </c>
      <c r="T42" s="52"/>
      <c r="U42" s="226" t="s">
        <v>1428</v>
      </c>
      <c r="V42" s="105"/>
      <c r="W42" s="53"/>
      <c r="X42" s="278">
        <f>OBRA!AR41</f>
        <v>0</v>
      </c>
      <c r="Y42" s="309"/>
      <c r="Z42" s="309"/>
      <c r="AA42" s="5"/>
      <c r="AB42" s="313"/>
      <c r="AC42" s="317">
        <f>OBRA!BW41</f>
        <v>0</v>
      </c>
      <c r="AD42" s="352"/>
      <c r="AE42" s="352"/>
    </row>
    <row r="43" spans="1:31" ht="45.75" hidden="1" customHeight="1">
      <c r="A43" s="22" t="s">
        <v>2206</v>
      </c>
      <c r="B43" s="809" t="str">
        <f>GRAL!B44</f>
        <v>2012-2015</v>
      </c>
      <c r="C43" s="16">
        <f>OBRA!J42</f>
        <v>2013</v>
      </c>
      <c r="D43" s="1415"/>
      <c r="E43" s="17" t="str">
        <f>OBRA!M42</f>
        <v>CUENTA CORRIENTE</v>
      </c>
      <c r="F43" s="478" t="s">
        <v>1428</v>
      </c>
      <c r="G43" s="352"/>
      <c r="H43" s="1"/>
      <c r="I43" s="352"/>
      <c r="J43" s="208" t="str">
        <f>OBRA!W42</f>
        <v>BRAILOGA CONSTRUCTORES S.A. DE C.V.</v>
      </c>
      <c r="K43" s="231" t="str">
        <f>OBRA!X42</f>
        <v>ING. RIGOBERTO OLMEDO RAMOS</v>
      </c>
      <c r="L43" s="19" t="str">
        <f>OBRA!N42</f>
        <v>GMJ 001C OP/2013</v>
      </c>
      <c r="M43" s="2" t="str">
        <f>OBRA!O42</f>
        <v>INVITACIÓN</v>
      </c>
      <c r="N43" s="3" t="str">
        <f>OBRA!P42</f>
        <v>TERMINACION DEL CENTRO DE SALUD, EN LA POBLACION LAS TROJES</v>
      </c>
      <c r="O43" s="3"/>
      <c r="P43" s="6">
        <f>OBRA!S42</f>
        <v>41278</v>
      </c>
      <c r="Q43" s="4">
        <f>OBRA!R42</f>
        <v>977397.28</v>
      </c>
      <c r="R43" s="5">
        <f>OBRA!T42</f>
        <v>41316</v>
      </c>
      <c r="S43" s="11">
        <f>OBRA!U42</f>
        <v>41394</v>
      </c>
      <c r="T43" s="52"/>
      <c r="U43" s="226" t="s">
        <v>1428</v>
      </c>
      <c r="V43" s="105"/>
      <c r="W43" s="53"/>
      <c r="X43" s="278">
        <f>OBRA!AR42</f>
        <v>0</v>
      </c>
      <c r="Y43" s="309"/>
      <c r="Z43" s="309"/>
      <c r="AA43" s="5"/>
      <c r="AB43" s="313"/>
      <c r="AC43" s="317">
        <f>OBRA!BW42</f>
        <v>0</v>
      </c>
      <c r="AD43" s="352"/>
      <c r="AE43" s="352"/>
    </row>
    <row r="44" spans="1:31" s="299" customFormat="1" ht="75.75" hidden="1" customHeight="1">
      <c r="A44" s="305" t="s">
        <v>2206</v>
      </c>
      <c r="B44" s="853" t="str">
        <f>GRAL!B45</f>
        <v>2012-2015</v>
      </c>
      <c r="C44" s="288">
        <f>OBRA!J43</f>
        <v>2013</v>
      </c>
      <c r="D44" s="782"/>
      <c r="E44" s="306" t="str">
        <f>OBRA!M43</f>
        <v>CUENTA CORRIENTE</v>
      </c>
      <c r="F44" s="486" t="s">
        <v>1428</v>
      </c>
      <c r="G44" s="353"/>
      <c r="H44" s="429"/>
      <c r="I44" s="353"/>
      <c r="J44" s="307" t="str">
        <f>OBRA!W43</f>
        <v>BRAILOGA CONSTRUCTORES S.A. DE C.V.</v>
      </c>
      <c r="K44" s="304" t="str">
        <f>OBRA!X43</f>
        <v>ING. LUIS JOEL HUERTA LOMA</v>
      </c>
      <c r="L44" s="290" t="str">
        <f>OBRA!N43</f>
        <v>GMJ 003C OP/2013</v>
      </c>
      <c r="M44" s="291" t="str">
        <f>OBRA!O43</f>
        <v>ADJUDICACIÓN DIRECTA</v>
      </c>
      <c r="N44" s="292" t="str">
        <f>OBRA!P43</f>
        <v>ELABORACION DE TOPES EN CARRETERA A CHAPALA Y BACHEO EN ASFALTO C. MORELOS ENTRE INDEPENDENCIA Y ALLENDE EN LA POBLACION DE LA CABECERA</v>
      </c>
      <c r="O44" s="292"/>
      <c r="P44" s="294">
        <f>OBRA!S43</f>
        <v>41278</v>
      </c>
      <c r="Q44" s="293">
        <f>OBRA!R43</f>
        <v>253692.08</v>
      </c>
      <c r="R44" s="295">
        <f>OBRA!T43</f>
        <v>41281</v>
      </c>
      <c r="S44" s="296">
        <f>OBRA!U43</f>
        <v>41286</v>
      </c>
      <c r="T44" s="854"/>
      <c r="U44" s="854" t="s">
        <v>1428</v>
      </c>
      <c r="V44" s="369"/>
      <c r="W44" s="366"/>
      <c r="X44" s="805">
        <f>OBRA!AR43</f>
        <v>0</v>
      </c>
      <c r="Y44" s="310"/>
      <c r="Z44" s="310"/>
      <c r="AA44" s="295"/>
      <c r="AB44" s="1854"/>
      <c r="AC44" s="384">
        <f>OBRA!BW43</f>
        <v>0</v>
      </c>
      <c r="AD44" s="353"/>
      <c r="AE44" s="353"/>
    </row>
    <row r="45" spans="1:31" s="299" customFormat="1" ht="45.75" hidden="1" customHeight="1">
      <c r="A45" s="305" t="s">
        <v>2206</v>
      </c>
      <c r="B45" s="853" t="str">
        <f>GRAL!B46</f>
        <v>2012-2015</v>
      </c>
      <c r="C45" s="288">
        <f>OBRA!J44</f>
        <v>2013</v>
      </c>
      <c r="D45" s="782"/>
      <c r="E45" s="306" t="str">
        <f>OBRA!M44</f>
        <v>CUENTA CORRIENTE</v>
      </c>
      <c r="F45" s="487" t="s">
        <v>1428</v>
      </c>
      <c r="G45" s="353"/>
      <c r="H45" s="429"/>
      <c r="I45" s="353"/>
      <c r="J45" s="307" t="str">
        <f>OBRA!W44</f>
        <v>BRAILOGA CONSTRUCTORES S.A. DE C.V.</v>
      </c>
      <c r="K45" s="304" t="str">
        <f>OBRA!X44</f>
        <v>ING. LUIS JOEL HUERTA LOMA</v>
      </c>
      <c r="L45" s="290" t="str">
        <f>OBRA!N44</f>
        <v>GMJ 004C OP/2013</v>
      </c>
      <c r="M45" s="291" t="str">
        <f>OBRA!O44</f>
        <v>ADJUDICACIÓN DIRECTA</v>
      </c>
      <c r="N45" s="292" t="str">
        <f>OBRA!P44</f>
        <v>BACHEO EN ASFALTO EN C. MORELOS ENTRE ALLENDE Y PEDRO MORENO EN LA POBLACION DE LA CABECERA</v>
      </c>
      <c r="O45" s="292"/>
      <c r="P45" s="294">
        <f>OBRA!S44</f>
        <v>41278</v>
      </c>
      <c r="Q45" s="293">
        <f>OBRA!R44</f>
        <v>213963.7</v>
      </c>
      <c r="R45" s="295">
        <f>OBRA!T44</f>
        <v>41281</v>
      </c>
      <c r="S45" s="296">
        <f>OBRA!U44</f>
        <v>41286</v>
      </c>
      <c r="T45" s="854"/>
      <c r="U45" s="854" t="s">
        <v>1428</v>
      </c>
      <c r="V45" s="369"/>
      <c r="W45" s="366"/>
      <c r="X45" s="805">
        <f>OBRA!AR44</f>
        <v>0</v>
      </c>
      <c r="Y45" s="310"/>
      <c r="Z45" s="310"/>
      <c r="AA45" s="295"/>
      <c r="AB45" s="1854"/>
      <c r="AC45" s="384">
        <f>OBRA!BW44</f>
        <v>0</v>
      </c>
      <c r="AD45" s="353"/>
      <c r="AE45" s="353"/>
    </row>
    <row r="46" spans="1:31" s="299" customFormat="1" ht="210.75" hidden="1" customHeight="1">
      <c r="A46" s="305" t="s">
        <v>2206</v>
      </c>
      <c r="B46" s="853" t="str">
        <f>GRAL!B47</f>
        <v>2012-2015</v>
      </c>
      <c r="C46" s="288">
        <f>OBRA!J45</f>
        <v>2013</v>
      </c>
      <c r="D46" s="782"/>
      <c r="E46" s="306" t="str">
        <f>OBRA!M45</f>
        <v>CUENTA CORRIENTE</v>
      </c>
      <c r="F46" s="487" t="s">
        <v>1428</v>
      </c>
      <c r="G46" s="353"/>
      <c r="H46" s="429"/>
      <c r="I46" s="353"/>
      <c r="J46" s="307" t="str">
        <f>OBRA!W45</f>
        <v>C. JOSÉ MIGUEL GARCIA VALLE</v>
      </c>
      <c r="K46" s="304" t="str">
        <f>OBRA!X45</f>
        <v>ING. ISER RANGEL REVILLA</v>
      </c>
      <c r="L46" s="290" t="str">
        <f>OBRA!N45</f>
        <v>GMJ 005C OP/2013</v>
      </c>
      <c r="M46" s="291" t="str">
        <f>OBRA!O45</f>
        <v>ADJUDICACIÓN DIRECTA</v>
      </c>
      <c r="N46" s="292"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2"/>
      <c r="P46" s="294">
        <f>OBRA!S45</f>
        <v>41324</v>
      </c>
      <c r="Q46" s="293">
        <f>OBRA!R45</f>
        <v>318104.90999999997</v>
      </c>
      <c r="R46" s="295">
        <f>OBRA!T45</f>
        <v>41324</v>
      </c>
      <c r="S46" s="296">
        <f>OBRA!U45</f>
        <v>41344</v>
      </c>
      <c r="T46" s="854"/>
      <c r="U46" s="854" t="s">
        <v>1428</v>
      </c>
      <c r="V46" s="369"/>
      <c r="W46" s="366"/>
      <c r="X46" s="805">
        <f>OBRA!AR45</f>
        <v>0</v>
      </c>
      <c r="Y46" s="310"/>
      <c r="Z46" s="310"/>
      <c r="AA46" s="295"/>
      <c r="AB46" s="1854"/>
      <c r="AC46" s="384">
        <f>OBRA!BW45</f>
        <v>0</v>
      </c>
      <c r="AD46" s="353"/>
      <c r="AE46" s="353"/>
    </row>
    <row r="47" spans="1:31" ht="75.75" hidden="1" customHeight="1">
      <c r="A47" s="22" t="s">
        <v>2206</v>
      </c>
      <c r="B47" s="809" t="str">
        <f>GRAL!B48</f>
        <v>2012-2015</v>
      </c>
      <c r="C47" s="16">
        <f>OBRA!J46</f>
        <v>2013</v>
      </c>
      <c r="D47" s="1415"/>
      <c r="E47" s="17" t="str">
        <f>OBRA!M46</f>
        <v>CUENTA CORRIENTE</v>
      </c>
      <c r="F47" s="478" t="s">
        <v>1428</v>
      </c>
      <c r="G47" s="352"/>
      <c r="H47" s="1"/>
      <c r="I47" s="352"/>
      <c r="J47" s="208" t="str">
        <f>OBRA!W46</f>
        <v>BRAILOGA CONSTRUCTORES S.A. DE C.V.</v>
      </c>
      <c r="K47" s="231" t="str">
        <f>OBRA!X46</f>
        <v>ING. LUIS JOEL HUERTA LOMA</v>
      </c>
      <c r="L47" s="19" t="str">
        <f>OBRA!N46</f>
        <v>GMJ 006C OP/2013</v>
      </c>
      <c r="M47" s="2" t="str">
        <f>OBRA!O46</f>
        <v>INVITACIÓN</v>
      </c>
      <c r="N47" s="3" t="str">
        <f>OBRA!P46</f>
        <v>COLOCACIÓN DE CARPETA ASFALTICA EN AV. DEL TRABAJO (EN EL INGRESO PRINCIPAL A LA LOCLIDAD) EN LA POBLCIÓN DE ZAPOTITAN DE HIDALGO</v>
      </c>
      <c r="O47" s="3"/>
      <c r="P47" s="6">
        <f>OBRA!S46</f>
        <v>41327</v>
      </c>
      <c r="Q47" s="4">
        <f>OBRA!R46</f>
        <v>1807551.01</v>
      </c>
      <c r="R47" s="5">
        <f>OBRA!T46</f>
        <v>41328</v>
      </c>
      <c r="S47" s="11">
        <f>OBRA!U46</f>
        <v>41337</v>
      </c>
      <c r="T47" s="52"/>
      <c r="U47" s="226" t="s">
        <v>1428</v>
      </c>
      <c r="V47" s="105"/>
      <c r="W47" s="53"/>
      <c r="X47" s="278">
        <f>OBRA!AR46</f>
        <v>0</v>
      </c>
      <c r="Y47" s="309"/>
      <c r="Z47" s="309"/>
      <c r="AA47" s="5"/>
      <c r="AB47" s="313"/>
      <c r="AC47" s="317">
        <f>OBRA!BW46</f>
        <v>0</v>
      </c>
      <c r="AD47" s="352"/>
      <c r="AE47" s="352"/>
    </row>
    <row r="48" spans="1:31" s="299" customFormat="1" ht="75.75" hidden="1" customHeight="1">
      <c r="A48" s="305" t="s">
        <v>2206</v>
      </c>
      <c r="B48" s="853" t="str">
        <f>GRAL!B49</f>
        <v>2012-2015</v>
      </c>
      <c r="C48" s="288">
        <f>OBRA!J47</f>
        <v>2013</v>
      </c>
      <c r="D48" s="782"/>
      <c r="E48" s="306" t="str">
        <f>OBRA!M47</f>
        <v>CUENTA CORRIENTE</v>
      </c>
      <c r="F48" s="486" t="s">
        <v>1428</v>
      </c>
      <c r="G48" s="353"/>
      <c r="H48" s="429"/>
      <c r="I48" s="353"/>
      <c r="J48" s="307" t="str">
        <f>OBRA!W47</f>
        <v>C. JOSÉ MIGUEL GARCIA VALLE</v>
      </c>
      <c r="K48" s="304" t="str">
        <f>OBRA!X47</f>
        <v>ING. ISER RANGEL REVILLA</v>
      </c>
      <c r="L48" s="290" t="str">
        <f>OBRA!N47</f>
        <v>GMJ 007C OP/2013</v>
      </c>
      <c r="M48" s="291" t="str">
        <f>OBRA!O47</f>
        <v>ADJUDICACIÓN DIRECTA</v>
      </c>
      <c r="N48" s="292" t="str">
        <f>OBRA!P47</f>
        <v>BACHEO CON ASFALTO EN C. XOCHILT ENTRE CARRETERA CHAPALA-JOCOTEPEC Y CALLE CUAHUTEMOC, EN LA POBLACION CHANTEPEC EN EL MUNICIPIO DE JOCOTEPEC, JALISCO</v>
      </c>
      <c r="O48" s="292"/>
      <c r="P48" s="294">
        <f>OBRA!S47</f>
        <v>41353</v>
      </c>
      <c r="Q48" s="293">
        <f>OBRA!R47</f>
        <v>224365</v>
      </c>
      <c r="R48" s="295">
        <f>OBRA!T47</f>
        <v>41358</v>
      </c>
      <c r="S48" s="296">
        <f>OBRA!U47</f>
        <v>41378</v>
      </c>
      <c r="T48" s="854"/>
      <c r="U48" s="854" t="s">
        <v>1428</v>
      </c>
      <c r="V48" s="369"/>
      <c r="W48" s="366"/>
      <c r="X48" s="805">
        <f>OBRA!AR47</f>
        <v>0</v>
      </c>
      <c r="Y48" s="310"/>
      <c r="Z48" s="310"/>
      <c r="AA48" s="295"/>
      <c r="AB48" s="1854"/>
      <c r="AC48" s="384">
        <f>OBRA!BW47</f>
        <v>0</v>
      </c>
      <c r="AD48" s="353"/>
      <c r="AE48" s="353"/>
    </row>
    <row r="49" spans="1:31" ht="60.75" hidden="1" customHeight="1">
      <c r="A49" s="22" t="s">
        <v>2206</v>
      </c>
      <c r="B49" s="809" t="str">
        <f>GRAL!B50</f>
        <v>2012-2015</v>
      </c>
      <c r="C49" s="16">
        <f>OBRA!J48</f>
        <v>2013</v>
      </c>
      <c r="D49" s="1415"/>
      <c r="E49" s="17" t="str">
        <f>OBRA!M48</f>
        <v>FOPEDEM</v>
      </c>
      <c r="F49" s="478"/>
      <c r="G49" s="352"/>
      <c r="H49" s="1"/>
      <c r="I49" s="352"/>
      <c r="J49" s="208" t="str">
        <f>OBRA!W48</f>
        <v>C. MIGUEL RAFAEL RODRIGUEZ ALLENDE</v>
      </c>
      <c r="K49" s="231" t="str">
        <f>OBRA!X48</f>
        <v>ARQ. JAIME CONDE GOMEZ</v>
      </c>
      <c r="L49" s="19" t="str">
        <f>OBRA!N48</f>
        <v>GMJ 008C OP/2013</v>
      </c>
      <c r="M49" s="2" t="str">
        <f>OBRA!O48</f>
        <v>INVITACIÓN</v>
      </c>
      <c r="N49" s="3" t="str">
        <f>OBRA!P48</f>
        <v>COLOCACIÓN DE CARPETA ASFALTICA C. ZARAGOZA ENTRE VICENTE GUERRERO Y JOSE SANTANA, EN LA CABECERA MUNICIPAL</v>
      </c>
      <c r="O49" s="3"/>
      <c r="P49" s="6">
        <f>OBRA!S48</f>
        <v>41407</v>
      </c>
      <c r="Q49" s="4">
        <f>OBRA!R48</f>
        <v>1998053.6</v>
      </c>
      <c r="R49" s="5">
        <f>OBRA!T48</f>
        <v>41407</v>
      </c>
      <c r="S49" s="11">
        <f>OBRA!U48</f>
        <v>41468</v>
      </c>
      <c r="T49" s="52"/>
      <c r="U49" s="226" t="s">
        <v>1428</v>
      </c>
      <c r="V49" s="105"/>
      <c r="W49" s="53"/>
      <c r="X49" s="278">
        <f>OBRA!AR48</f>
        <v>0</v>
      </c>
      <c r="Y49" s="309"/>
      <c r="Z49" s="309"/>
      <c r="AA49" s="5"/>
      <c r="AB49" s="313"/>
      <c r="AC49" s="317">
        <f>OBRA!BW48</f>
        <v>0</v>
      </c>
      <c r="AD49" s="352"/>
      <c r="AE49" s="352"/>
    </row>
    <row r="50" spans="1:31" s="299" customFormat="1" ht="240.75" hidden="1" customHeight="1">
      <c r="A50" s="305" t="s">
        <v>2206</v>
      </c>
      <c r="B50" s="853" t="str">
        <f>GRAL!B51</f>
        <v>2012-2015</v>
      </c>
      <c r="C50" s="288">
        <f>OBRA!J49</f>
        <v>2013</v>
      </c>
      <c r="D50" s="782"/>
      <c r="E50" s="306" t="str">
        <f>OBRA!M49</f>
        <v>CUENTA CORRIENTE</v>
      </c>
      <c r="F50" s="487" t="s">
        <v>1428</v>
      </c>
      <c r="G50" s="353"/>
      <c r="H50" s="429"/>
      <c r="I50" s="353"/>
      <c r="J50" s="307" t="str">
        <f>OBRA!W49</f>
        <v>C. JOSÉ MIGUEL GARCIA VALLE</v>
      </c>
      <c r="K50" s="304" t="str">
        <f>OBRA!X49</f>
        <v>ING. LUIS JOEL HUERTA LOMA</v>
      </c>
      <c r="L50" s="290" t="str">
        <f>OBRA!N49</f>
        <v>GMJ 009C OP/2013</v>
      </c>
      <c r="M50" s="291" t="str">
        <f>OBRA!O49</f>
        <v>ADJUDICACIÓN DIRECTA</v>
      </c>
      <c r="N50" s="292"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2"/>
      <c r="P50" s="294">
        <f>OBRA!S49</f>
        <v>41402</v>
      </c>
      <c r="Q50" s="293">
        <f>OBRA!R49</f>
        <v>572707.94999999995</v>
      </c>
      <c r="R50" s="295">
        <f>OBRA!T49</f>
        <v>41404</v>
      </c>
      <c r="S50" s="296">
        <f>OBRA!U49</f>
        <v>41424</v>
      </c>
      <c r="T50" s="854"/>
      <c r="U50" s="854" t="s">
        <v>1428</v>
      </c>
      <c r="V50" s="369"/>
      <c r="W50" s="366"/>
      <c r="X50" s="805">
        <f>OBRA!AR49</f>
        <v>0</v>
      </c>
      <c r="Y50" s="310"/>
      <c r="Z50" s="310"/>
      <c r="AA50" s="295"/>
      <c r="AB50" s="1854"/>
      <c r="AC50" s="384">
        <f>OBRA!BW49</f>
        <v>0</v>
      </c>
      <c r="AD50" s="353"/>
      <c r="AE50" s="353"/>
    </row>
    <row r="51" spans="1:31" ht="60.75" hidden="1" customHeight="1">
      <c r="A51" s="22" t="s">
        <v>2206</v>
      </c>
      <c r="B51" s="809" t="str">
        <f>GRAL!B52</f>
        <v>2012-2015</v>
      </c>
      <c r="C51" s="16">
        <f>OBRA!J50</f>
        <v>2013</v>
      </c>
      <c r="D51" s="1415"/>
      <c r="E51" s="17" t="str">
        <f>OBRA!M50</f>
        <v>CUENTA CORRIENTE</v>
      </c>
      <c r="F51" s="487" t="s">
        <v>1428</v>
      </c>
      <c r="G51" s="352"/>
      <c r="H51" s="1"/>
      <c r="I51" s="352"/>
      <c r="J51" s="208" t="str">
        <f>OBRA!W50</f>
        <v>RAMPER DRILLINGS S.A. DE C.V.</v>
      </c>
      <c r="K51" s="231" t="str">
        <f>OBRA!X50</f>
        <v>C. DANIEL RODRIGUEZ VALENZUELA</v>
      </c>
      <c r="L51" s="19" t="str">
        <f>OBRA!N50</f>
        <v>GMJ 010C OP/2013</v>
      </c>
      <c r="M51" s="2" t="str">
        <f>OBRA!O50</f>
        <v>INVITACIÓN</v>
      </c>
      <c r="N51" s="3" t="str">
        <f>OBRA!P50</f>
        <v>PERFORACION Y ADEME DE POZO PROFUNDO EN EL FRACCIONMIENTO MAGISTERIAL UBICDO EN L ZONA OESTE DE LA CABECERA MUNICIPAL</v>
      </c>
      <c r="O51" s="3"/>
      <c r="P51" s="6">
        <f>OBRA!S50</f>
        <v>41428</v>
      </c>
      <c r="Q51" s="4">
        <f>OBRA!R50</f>
        <v>1398728</v>
      </c>
      <c r="R51" s="5">
        <f>OBRA!T50</f>
        <v>41436</v>
      </c>
      <c r="S51" s="11">
        <f>OBRA!U50</f>
        <v>41466</v>
      </c>
      <c r="T51" s="52"/>
      <c r="U51" s="226" t="s">
        <v>1428</v>
      </c>
      <c r="V51" s="105"/>
      <c r="W51" s="53"/>
      <c r="X51" s="278">
        <f>OBRA!AR50</f>
        <v>0</v>
      </c>
      <c r="Y51" s="309"/>
      <c r="Z51" s="309"/>
      <c r="AA51" s="5"/>
      <c r="AB51" s="313"/>
      <c r="AC51" s="317">
        <f>OBRA!BW50</f>
        <v>0</v>
      </c>
      <c r="AD51" s="352"/>
      <c r="AE51" s="352"/>
    </row>
    <row r="52" spans="1:31" s="299" customFormat="1" ht="45.75" hidden="1" customHeight="1">
      <c r="A52" s="305" t="s">
        <v>2206</v>
      </c>
      <c r="B52" s="853" t="str">
        <f>GRAL!B53</f>
        <v>2012-2015</v>
      </c>
      <c r="C52" s="288">
        <f>OBRA!J51</f>
        <v>2013</v>
      </c>
      <c r="D52" s="782"/>
      <c r="E52" s="306" t="str">
        <f>OBRA!M51</f>
        <v>CUENTA CORRIENTE</v>
      </c>
      <c r="F52" s="486" t="s">
        <v>1428</v>
      </c>
      <c r="G52" s="353"/>
      <c r="H52" s="429"/>
      <c r="I52" s="353"/>
      <c r="J52" s="307" t="str">
        <f>OBRA!W51</f>
        <v>C. URIEL PALOS CUEVAS</v>
      </c>
      <c r="K52" s="304" t="str">
        <f>OBRA!X51</f>
        <v>C. DANIEL RODRIGUEZ VALENZUELA</v>
      </c>
      <c r="L52" s="290" t="str">
        <f>OBRA!N51</f>
        <v>GMJ 011C OP/2013</v>
      </c>
      <c r="M52" s="291" t="str">
        <f>OBRA!O51</f>
        <v>ADJUDICACIÓN DIRECTA</v>
      </c>
      <c r="N52" s="292" t="str">
        <f>OBRA!P51</f>
        <v>EMPEDRADO AHOGADO EN CEMENTO PRIVADA FRANCISCO I. MADERO, EN LA DELEGACION SAN JUAN COSALA</v>
      </c>
      <c r="O52" s="292"/>
      <c r="P52" s="294">
        <f>OBRA!S51</f>
        <v>41404</v>
      </c>
      <c r="Q52" s="293">
        <f>OBRA!R51</f>
        <v>97904</v>
      </c>
      <c r="R52" s="295">
        <f>OBRA!T51</f>
        <v>41407</v>
      </c>
      <c r="S52" s="296">
        <f>OBRA!U51</f>
        <v>41412</v>
      </c>
      <c r="T52" s="854"/>
      <c r="U52" s="854" t="s">
        <v>1428</v>
      </c>
      <c r="V52" s="369"/>
      <c r="W52" s="366"/>
      <c r="X52" s="805">
        <f>OBRA!AR51</f>
        <v>0</v>
      </c>
      <c r="Y52" s="310"/>
      <c r="Z52" s="310"/>
      <c r="AA52" s="295"/>
      <c r="AB52" s="1854"/>
      <c r="AC52" s="384">
        <f>OBRA!BW51</f>
        <v>0</v>
      </c>
      <c r="AD52" s="353"/>
      <c r="AE52" s="353"/>
    </row>
    <row r="53" spans="1:31" s="299" customFormat="1" ht="60.75" hidden="1" customHeight="1">
      <c r="A53" s="305" t="s">
        <v>2206</v>
      </c>
      <c r="B53" s="853" t="str">
        <f>GRAL!B54</f>
        <v>2012-2015</v>
      </c>
      <c r="C53" s="288">
        <f>OBRA!J52</f>
        <v>2013</v>
      </c>
      <c r="D53" s="782"/>
      <c r="E53" s="306" t="str">
        <f>OBRA!M52</f>
        <v>CUENTA CORRIENTE</v>
      </c>
      <c r="F53" s="487" t="s">
        <v>1428</v>
      </c>
      <c r="G53" s="353"/>
      <c r="H53" s="429"/>
      <c r="I53" s="353"/>
      <c r="J53" s="307" t="str">
        <f>OBRA!W52</f>
        <v>C. MIGUEL RAFAEL RODRIGUEZ ALLENDE</v>
      </c>
      <c r="K53" s="304" t="str">
        <f>OBRA!X52</f>
        <v>ARQ. JAIME CONDE GOMEZ</v>
      </c>
      <c r="L53" s="290" t="str">
        <f>OBRA!N52</f>
        <v>GMJ 012C OP/2013</v>
      </c>
      <c r="M53" s="291" t="str">
        <f>OBRA!O52</f>
        <v>ADJUDICACIÓN DIRECTA</v>
      </c>
      <c r="N53" s="292" t="str">
        <f>OBRA!P52</f>
        <v>COLOCACIÓN DE CARPETA ASFALTICA EN C. JUAREZ ENTRE C. ZARAAGOZA Y C. NIÑOS HEROES, EN LA CABECERA MUNICIPAL</v>
      </c>
      <c r="O53" s="292"/>
      <c r="P53" s="294">
        <f>OBRA!S52</f>
        <v>41435</v>
      </c>
      <c r="Q53" s="293">
        <f>OBRA!R52</f>
        <v>427449.56</v>
      </c>
      <c r="R53" s="295">
        <f>OBRA!T52</f>
        <v>41435</v>
      </c>
      <c r="S53" s="296">
        <f>OBRA!U52</f>
        <v>41453</v>
      </c>
      <c r="T53" s="854"/>
      <c r="U53" s="854" t="s">
        <v>1428</v>
      </c>
      <c r="V53" s="369"/>
      <c r="W53" s="366"/>
      <c r="X53" s="805">
        <f>OBRA!AR52</f>
        <v>0</v>
      </c>
      <c r="Y53" s="310"/>
      <c r="Z53" s="310"/>
      <c r="AA53" s="295"/>
      <c r="AB53" s="1854"/>
      <c r="AC53" s="384">
        <f>OBRA!BW52</f>
        <v>0</v>
      </c>
      <c r="AD53" s="353"/>
      <c r="AE53" s="353"/>
    </row>
    <row r="54" spans="1:31" s="299" customFormat="1" ht="270.75" hidden="1" customHeight="1">
      <c r="A54" s="305" t="s">
        <v>2206</v>
      </c>
      <c r="B54" s="853" t="str">
        <f>GRAL!B55</f>
        <v>2012-2015</v>
      </c>
      <c r="C54" s="288">
        <f>OBRA!J53</f>
        <v>2013</v>
      </c>
      <c r="D54" s="782"/>
      <c r="E54" s="306" t="str">
        <f>OBRA!M53</f>
        <v>CUENTA CORRIENTE</v>
      </c>
      <c r="F54" s="487" t="s">
        <v>1428</v>
      </c>
      <c r="G54" s="353"/>
      <c r="H54" s="429"/>
      <c r="I54" s="353"/>
      <c r="J54" s="307" t="str">
        <f>OBRA!W53</f>
        <v>BRAILOGA CONSTRUCTORES S.A. DE C.V.</v>
      </c>
      <c r="K54" s="304" t="str">
        <f>OBRA!X53</f>
        <v>ING. ISER RANGEL REVILLA</v>
      </c>
      <c r="L54" s="290" t="str">
        <f>OBRA!N53</f>
        <v>GMJ 016C OP/2013</v>
      </c>
      <c r="M54" s="291" t="str">
        <f>OBRA!O53</f>
        <v>ADJUDICACIÓN DIRECTA</v>
      </c>
      <c r="N54" s="292"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2"/>
      <c r="P54" s="294">
        <f>OBRA!S53</f>
        <v>41516</v>
      </c>
      <c r="Q54" s="293">
        <f>OBRA!R53</f>
        <v>418619.7</v>
      </c>
      <c r="R54" s="295">
        <f>OBRA!T53</f>
        <v>41519</v>
      </c>
      <c r="S54" s="296">
        <f>OBRA!U53</f>
        <v>41530</v>
      </c>
      <c r="T54" s="854"/>
      <c r="U54" s="854" t="s">
        <v>1428</v>
      </c>
      <c r="V54" s="369"/>
      <c r="W54" s="366"/>
      <c r="X54" s="805">
        <f>OBRA!AR53</f>
        <v>0</v>
      </c>
      <c r="Y54" s="310"/>
      <c r="Z54" s="310"/>
      <c r="AA54" s="295"/>
      <c r="AB54" s="1854"/>
      <c r="AC54" s="384">
        <f>OBRA!BW53</f>
        <v>0</v>
      </c>
      <c r="AD54" s="353"/>
      <c r="AE54" s="353"/>
    </row>
    <row r="55" spans="1:31" ht="60.75" hidden="1" customHeight="1">
      <c r="A55" s="22" t="s">
        <v>2206</v>
      </c>
      <c r="B55" s="809" t="str">
        <f>GRAL!B56</f>
        <v>2012-2015</v>
      </c>
      <c r="C55" s="16">
        <f>OBRA!J54</f>
        <v>2013</v>
      </c>
      <c r="D55" s="1415"/>
      <c r="E55" s="17" t="str">
        <f>OBRA!M54</f>
        <v>CUENTA CORRIENTE</v>
      </c>
      <c r="F55" s="487" t="s">
        <v>1428</v>
      </c>
      <c r="G55" s="352"/>
      <c r="H55" s="1"/>
      <c r="I55" s="352"/>
      <c r="J55" s="208" t="str">
        <f>OBRA!W54</f>
        <v>-</v>
      </c>
      <c r="K55" s="231">
        <f>OBRA!X54</f>
        <v>0</v>
      </c>
      <c r="L55" s="19" t="str">
        <f>OBRA!N54</f>
        <v>DOP/AD/020/2013</v>
      </c>
      <c r="M55" s="2" t="str">
        <f>OBRA!O54</f>
        <v>ADMINISTRACIÓN DIRECTA</v>
      </c>
      <c r="N55" s="3" t="str">
        <f>OBRA!P54</f>
        <v>"DESASOLVES PREVENTIVOS PARA EVITAR INUNDACIONES" EN LA CABECERA Y SUS LOCALIDADES 2ª ETAPA</v>
      </c>
      <c r="O55" s="3"/>
      <c r="P55" s="6">
        <f>OBRA!S54</f>
        <v>41465</v>
      </c>
      <c r="Q55" s="4">
        <f>OBRA!R54</f>
        <v>100000</v>
      </c>
      <c r="R55" s="5">
        <f>OBRA!T54</f>
        <v>41465</v>
      </c>
      <c r="S55" s="11">
        <f>OBRA!U54</f>
        <v>41479</v>
      </c>
      <c r="T55" s="52"/>
      <c r="U55" s="226" t="s">
        <v>1428</v>
      </c>
      <c r="V55" s="105"/>
      <c r="W55" s="53"/>
      <c r="X55" s="278">
        <f>OBRA!AR54</f>
        <v>0</v>
      </c>
      <c r="Y55" s="309"/>
      <c r="Z55" s="309"/>
      <c r="AA55" s="5"/>
      <c r="AB55" s="313"/>
      <c r="AC55" s="317">
        <f>OBRA!BW54</f>
        <v>0</v>
      </c>
      <c r="AD55" s="352"/>
      <c r="AE55" s="352"/>
    </row>
    <row r="56" spans="1:31" ht="75.75" hidden="1" customHeight="1">
      <c r="A56" s="22" t="s">
        <v>2206</v>
      </c>
      <c r="B56" s="809" t="str">
        <f>GRAL!B57</f>
        <v>2012-2015</v>
      </c>
      <c r="C56" s="16">
        <f>OBRA!J55</f>
        <v>2013</v>
      </c>
      <c r="D56" s="1415"/>
      <c r="E56" s="17" t="str">
        <f>OBRA!M55</f>
        <v>3X1 PARA MIGRANTES</v>
      </c>
      <c r="F56" s="13"/>
      <c r="G56" s="352"/>
      <c r="H56" s="1"/>
      <c r="I56" s="352"/>
      <c r="J56" s="208" t="str">
        <f>OBRA!W55</f>
        <v>-</v>
      </c>
      <c r="K56" s="231">
        <f>OBRA!X55</f>
        <v>0</v>
      </c>
      <c r="L56" s="19" t="str">
        <f>OBRA!N55</f>
        <v>DOP/AD/029/2013</v>
      </c>
      <c r="M56" s="2" t="str">
        <f>OBRA!O55</f>
        <v>ADMINISTRACIÓN DIRECTA</v>
      </c>
      <c r="N56" s="3" t="str">
        <f>OBRA!P55</f>
        <v>REHABILITACIÓN DE RED DE DRENAJE EN C. VICENTE GUERRERO, DE CARR. FED. #15 HASTA ZONA FEDERAL (LAGO) EN LA DELEGACIÓN DE SAN PEDRO TESISTAN</v>
      </c>
      <c r="O56" s="3"/>
      <c r="P56" s="6">
        <f>OBRA!S55</f>
        <v>41617</v>
      </c>
      <c r="Q56" s="4">
        <f>OBRA!R55</f>
        <v>280952</v>
      </c>
      <c r="R56" s="5">
        <f>OBRA!T55</f>
        <v>41612</v>
      </c>
      <c r="S56" s="11">
        <f>OBRA!U55</f>
        <v>41635</v>
      </c>
      <c r="T56" s="52"/>
      <c r="U56" s="226" t="s">
        <v>1428</v>
      </c>
      <c r="V56" s="105"/>
      <c r="W56" s="53"/>
      <c r="X56" s="278">
        <f>OBRA!AR55</f>
        <v>0</v>
      </c>
      <c r="Y56" s="309"/>
      <c r="Z56" s="309"/>
      <c r="AA56" s="5"/>
      <c r="AB56" s="313"/>
      <c r="AC56" s="317">
        <f>OBRA!BW55</f>
        <v>0</v>
      </c>
      <c r="AD56" s="352"/>
      <c r="AE56" s="352"/>
    </row>
    <row r="57" spans="1:31" ht="105.75" hidden="1" customHeight="1">
      <c r="A57" s="22" t="s">
        <v>2206</v>
      </c>
      <c r="B57" s="809" t="str">
        <f>GRAL!B58</f>
        <v>2012-2015</v>
      </c>
      <c r="C57" s="16">
        <f>OBRA!J56</f>
        <v>2013</v>
      </c>
      <c r="D57" s="1415"/>
      <c r="E57" s="17" t="str">
        <f>OBRA!M56</f>
        <v>3X1 PARA MIGRANTES</v>
      </c>
      <c r="F57" s="478"/>
      <c r="G57" s="352"/>
      <c r="H57" s="1"/>
      <c r="I57" s="352"/>
      <c r="J57" s="208" t="str">
        <f>OBRA!W56</f>
        <v>-</v>
      </c>
      <c r="K57" s="231">
        <f>OBRA!X56</f>
        <v>0</v>
      </c>
      <c r="L57" s="19" t="str">
        <f>OBRA!N56</f>
        <v>DOP/AD/031/2013</v>
      </c>
      <c r="M57" s="2" t="str">
        <f>OBRA!O56</f>
        <v>ADMINISTRACIÓN DIRECTA</v>
      </c>
      <c r="N57" s="3" t="str">
        <f>OBRA!P56</f>
        <v>REHABILITACIÓN DE SUPERFICIE DE RODAMIENTO CON EMPEDRDO AHOGADO EN CEMENTO EN C. VICENTE GUERRERO, DE CARR. FED. #15 HASTA ZONA FEDERAL (LAGO) EN LA DELEGACIÓN DE SAN PEDRO TESISTAN</v>
      </c>
      <c r="O57" s="3"/>
      <c r="P57" s="6">
        <f>OBRA!S56</f>
        <v>41617</v>
      </c>
      <c r="Q57" s="4">
        <f>OBRA!R56</f>
        <v>670884</v>
      </c>
      <c r="R57" s="5">
        <f>OBRA!T56</f>
        <v>41612</v>
      </c>
      <c r="S57" s="11">
        <f>OBRA!U56</f>
        <v>41638</v>
      </c>
      <c r="T57" s="52"/>
      <c r="U57" s="226" t="s">
        <v>1428</v>
      </c>
      <c r="V57" s="105"/>
      <c r="W57" s="53"/>
      <c r="X57" s="278">
        <f>OBRA!AR56</f>
        <v>0</v>
      </c>
      <c r="Y57" s="309"/>
      <c r="Z57" s="309"/>
      <c r="AA57" s="5"/>
      <c r="AB57" s="313"/>
      <c r="AC57" s="317">
        <f>OBRA!BW56</f>
        <v>0</v>
      </c>
      <c r="AD57" s="352"/>
      <c r="AE57" s="352"/>
    </row>
    <row r="58" spans="1:31" s="299" customFormat="1" ht="75.75" hidden="1" customHeight="1">
      <c r="A58" s="305" t="s">
        <v>2206</v>
      </c>
      <c r="B58" s="853" t="str">
        <f>GRAL!B59</f>
        <v>2012-2015</v>
      </c>
      <c r="C58" s="288">
        <f>OBRA!J57</f>
        <v>2013</v>
      </c>
      <c r="D58" s="782"/>
      <c r="E58" s="306" t="str">
        <f>OBRA!M57</f>
        <v>FISE</v>
      </c>
      <c r="F58" s="487"/>
      <c r="G58" s="353"/>
      <c r="H58" s="429"/>
      <c r="I58" s="353"/>
      <c r="J58" s="307" t="str">
        <f>OBRA!W57</f>
        <v>EQUIPO MANTENIMIENTO Y PLANEACION ELECTRICA S.A. DE C.V.</v>
      </c>
      <c r="K58" s="304">
        <f>OBRA!X57</f>
        <v>0</v>
      </c>
      <c r="L58" s="290" t="str">
        <f>OBRA!N57</f>
        <v>GMJ 024 OP/2013</v>
      </c>
      <c r="M58" s="291" t="str">
        <f>OBRA!O57</f>
        <v>ADJUDICACIÓN DIRECTA</v>
      </c>
      <c r="N58" s="292" t="str">
        <f>OBRA!P57</f>
        <v>PERFORACIÓN DE POZO PROFUNDO, EN EL PREDIO NO. 10 AL FINAL DE LA CALLE ALLENDE EN LA LOCALIDAD DE LAS TROJES</v>
      </c>
      <c r="O58" s="292"/>
      <c r="P58" s="294">
        <f>OBRA!S57</f>
        <v>41516</v>
      </c>
      <c r="Q58" s="293">
        <f>OBRA!R57</f>
        <v>667000</v>
      </c>
      <c r="R58" s="295">
        <f>OBRA!T57</f>
        <v>41638</v>
      </c>
      <c r="S58" s="296">
        <f>OBRA!U57</f>
        <v>41691</v>
      </c>
      <c r="T58" s="854"/>
      <c r="U58" s="854" t="s">
        <v>1428</v>
      </c>
      <c r="V58" s="369"/>
      <c r="W58" s="366"/>
      <c r="X58" s="805">
        <f>OBRA!AR57</f>
        <v>0</v>
      </c>
      <c r="Y58" s="310"/>
      <c r="Z58" s="310"/>
      <c r="AA58" s="295"/>
      <c r="AB58" s="1854"/>
      <c r="AC58" s="384">
        <f>OBRA!BW57</f>
        <v>0</v>
      </c>
      <c r="AD58" s="353"/>
      <c r="AE58" s="353"/>
    </row>
    <row r="59" spans="1:31" s="104" customFormat="1" ht="90.75" hidden="1" customHeight="1">
      <c r="A59" s="81" t="s">
        <v>251</v>
      </c>
      <c r="B59" s="809" t="str">
        <f>GRAL!B60</f>
        <v>2012-2015</v>
      </c>
      <c r="C59" s="82">
        <f>OBRA!J58</f>
        <v>2013</v>
      </c>
      <c r="D59" s="781"/>
      <c r="E59" s="97" t="str">
        <f>OBRA!M58</f>
        <v>FODIM</v>
      </c>
      <c r="F59" s="479"/>
      <c r="G59" s="354"/>
      <c r="H59" s="96"/>
      <c r="I59" s="354"/>
      <c r="J59" s="276">
        <f>OBRA!W58</f>
        <v>0</v>
      </c>
      <c r="K59" s="277">
        <f>OBRA!X58</f>
        <v>0</v>
      </c>
      <c r="L59" s="84">
        <f>OBRA!N58</f>
        <v>0</v>
      </c>
      <c r="M59" s="85" t="str">
        <f>OBRA!O58</f>
        <v>CANCELADA</v>
      </c>
      <c r="N59" s="125" t="str">
        <f>OBRA!P58</f>
        <v>FABRICACIÓN DE LOZA DE CONCRETO HIDRAULICO CON RENOVACIÓN DE REDES DE AGUA POTABLE Y RED DE DRENAJE EN CALLE MORELOS ENTRE C. NICOLAS BRAVO Y NIÑOS HEROES 1ERA ETAPA</v>
      </c>
      <c r="O59" s="125"/>
      <c r="P59" s="87" t="s">
        <v>68</v>
      </c>
      <c r="Q59" s="4">
        <f>OBRA!R58</f>
        <v>0</v>
      </c>
      <c r="R59" s="88" t="s">
        <v>68</v>
      </c>
      <c r="S59" s="89" t="s">
        <v>68</v>
      </c>
      <c r="T59" s="101"/>
      <c r="U59" s="226" t="s">
        <v>1428</v>
      </c>
      <c r="V59" s="370"/>
      <c r="W59" s="91"/>
      <c r="X59" s="278">
        <f>OBRA!AR58</f>
        <v>0</v>
      </c>
      <c r="Y59" s="311"/>
      <c r="Z59" s="311"/>
      <c r="AA59" s="88"/>
      <c r="AB59" s="1855"/>
      <c r="AC59" s="317">
        <f>OBRA!BW58</f>
        <v>0</v>
      </c>
      <c r="AD59" s="352"/>
      <c r="AE59" s="352"/>
    </row>
    <row r="60" spans="1:31" ht="105.75" hidden="1" customHeight="1">
      <c r="A60" s="22" t="s">
        <v>2206</v>
      </c>
      <c r="B60" s="809" t="str">
        <f>GRAL!B61</f>
        <v>2012-2015</v>
      </c>
      <c r="C60" s="16">
        <f>OBRA!J59</f>
        <v>2014</v>
      </c>
      <c r="D60" s="1415"/>
      <c r="E60" s="17" t="str">
        <f>OBRA!M59</f>
        <v>R33 - FODIM</v>
      </c>
      <c r="F60" s="478"/>
      <c r="G60" s="352"/>
      <c r="H60" s="1"/>
      <c r="I60" s="352"/>
      <c r="J60" s="208" t="str">
        <f>OBRA!W59</f>
        <v>JOSE LUIS RANGEL GALVEZ</v>
      </c>
      <c r="K60" s="231" t="str">
        <f>OBRA!X59</f>
        <v>C. DANIEL RODRIGUEZ VALENZUELA</v>
      </c>
      <c r="L60" s="19" t="str">
        <f>OBRA!N59</f>
        <v>GMJ 002C OP/2014</v>
      </c>
      <c r="M60" s="2" t="str">
        <f>OBRA!O59</f>
        <v>INVITACIÓN</v>
      </c>
      <c r="N60" s="3" t="str">
        <f>OBRA!P59</f>
        <v>FABRICACION DE LOZA DE CONCRETO HIDRAULICO, CON RENOVACIÓN DE REDES DE AGUA POTABLE Y RED DE DRENAJE EN LA CALLE MORELOS DE CALLE INDEPENDENCIA A CALLE MATAMOROS EN LA CABECERA MUNICIPAL</v>
      </c>
      <c r="O60" s="3"/>
      <c r="P60" s="6">
        <f>OBRA!S59</f>
        <v>41690</v>
      </c>
      <c r="Q60" s="4">
        <f>OBRA!R59</f>
        <v>5400000</v>
      </c>
      <c r="R60" s="5">
        <f>OBRA!T59</f>
        <v>41694</v>
      </c>
      <c r="S60" s="11">
        <f>OBRA!U59</f>
        <v>41783</v>
      </c>
      <c r="T60" s="52"/>
      <c r="U60" s="226" t="s">
        <v>1428</v>
      </c>
      <c r="V60" s="105"/>
      <c r="W60" s="53"/>
      <c r="X60" s="278">
        <f>OBRA!AR59</f>
        <v>0</v>
      </c>
      <c r="Y60" s="309"/>
      <c r="Z60" s="309"/>
      <c r="AA60" s="5"/>
      <c r="AB60" s="313"/>
      <c r="AC60" s="317">
        <f>OBRA!BW59</f>
        <v>0</v>
      </c>
      <c r="AD60" s="352"/>
      <c r="AE60" s="352"/>
    </row>
    <row r="61" spans="1:31" ht="60.75" hidden="1" customHeight="1">
      <c r="A61" s="22" t="s">
        <v>2206</v>
      </c>
      <c r="B61" s="809" t="str">
        <f>GRAL!B62</f>
        <v>2012-2015</v>
      </c>
      <c r="C61" s="16">
        <f>OBRA!J60</f>
        <v>2014</v>
      </c>
      <c r="D61" s="1415"/>
      <c r="E61" s="17" t="str">
        <f>OBRA!M60</f>
        <v>RAMO 33</v>
      </c>
      <c r="F61" s="478" t="s">
        <v>1428</v>
      </c>
      <c r="G61" s="352"/>
      <c r="H61" s="1"/>
      <c r="I61" s="352"/>
      <c r="J61" s="208" t="str">
        <f>OBRA!W60</f>
        <v>HIDRAULICOS TRUJILLO S.A. DE C.V.</v>
      </c>
      <c r="K61" s="231" t="str">
        <f>OBRA!X60</f>
        <v>C. DANIEL RODRIGUEZ VALENZUELA</v>
      </c>
      <c r="L61" s="19" t="str">
        <f>OBRA!N60</f>
        <v>GMJ 001C OP/2014</v>
      </c>
      <c r="M61" s="2" t="str">
        <f>OBRA!O60</f>
        <v>LICITACION</v>
      </c>
      <c r="N61" s="3" t="str">
        <f>OBRA!P60</f>
        <v>LINEA DE CONEXIÓN ENTRE POZO DEL FRACCIONAMIENTO MAGISTERIAL Y LA RED DE AGUA MUNICIPAL EN LA CABECERA MUNICIPAL</v>
      </c>
      <c r="O61" s="3"/>
      <c r="P61" s="6">
        <f>OBRA!S60</f>
        <v>41683</v>
      </c>
      <c r="Q61" s="4">
        <f>OBRA!R60</f>
        <v>1489185.94</v>
      </c>
      <c r="R61" s="5">
        <f>OBRA!T60</f>
        <v>41687</v>
      </c>
      <c r="S61" s="11">
        <f>OBRA!U60</f>
        <v>41734</v>
      </c>
      <c r="T61" s="52"/>
      <c r="U61" s="226" t="s">
        <v>1428</v>
      </c>
      <c r="V61" s="105"/>
      <c r="W61" s="53"/>
      <c r="X61" s="278">
        <f>OBRA!AR60</f>
        <v>0</v>
      </c>
      <c r="Y61" s="309"/>
      <c r="Z61" s="309"/>
      <c r="AA61" s="5"/>
      <c r="AB61" s="313"/>
      <c r="AC61" s="317">
        <f>OBRA!BW60</f>
        <v>0</v>
      </c>
      <c r="AD61" s="352"/>
      <c r="AE61" s="352"/>
    </row>
    <row r="62" spans="1:31" ht="30.75" hidden="1" customHeight="1">
      <c r="A62" s="22" t="s">
        <v>2206</v>
      </c>
      <c r="B62" s="809" t="str">
        <f>GRAL!B63</f>
        <v>2012-2015</v>
      </c>
      <c r="C62" s="16">
        <f>OBRA!J61</f>
        <v>2014</v>
      </c>
      <c r="D62" s="1415"/>
      <c r="E62" s="17" t="str">
        <f>OBRA!M61</f>
        <v>POA</v>
      </c>
      <c r="F62" s="478"/>
      <c r="G62" s="352"/>
      <c r="H62" s="1"/>
      <c r="I62" s="352"/>
      <c r="J62" s="208" t="str">
        <f>OBRA!W61</f>
        <v>-</v>
      </c>
      <c r="K62" s="231" t="str">
        <f>OBRA!X61</f>
        <v>ARQ. JAIME CONDE GOMEZ</v>
      </c>
      <c r="L62" s="19" t="str">
        <f>OBRA!N61</f>
        <v>DOP/AD/004/2014</v>
      </c>
      <c r="M62" s="2" t="str">
        <f>OBRA!O61</f>
        <v>ADMINISTRACIÓN DIRECTA</v>
      </c>
      <c r="N62" s="3" t="str">
        <f>OBRA!P61</f>
        <v>REHABILITACIÓN DE AUDITORIO ANTONIA PALOMARES</v>
      </c>
      <c r="O62" s="3"/>
      <c r="P62" s="6">
        <f>OBRA!S61</f>
        <v>41781</v>
      </c>
      <c r="Q62" s="4">
        <f>OBRA!R61</f>
        <v>450000</v>
      </c>
      <c r="R62" s="5">
        <f>OBRA!T61</f>
        <v>41705</v>
      </c>
      <c r="S62" s="11">
        <f>OBRA!U61</f>
        <v>41789</v>
      </c>
      <c r="T62" s="52"/>
      <c r="U62" s="226" t="s">
        <v>1428</v>
      </c>
      <c r="V62" s="105"/>
      <c r="W62" s="53"/>
      <c r="X62" s="278">
        <f>OBRA!AR61</f>
        <v>0</v>
      </c>
      <c r="Y62" s="309"/>
      <c r="Z62" s="309"/>
      <c r="AA62" s="5"/>
      <c r="AB62" s="313"/>
      <c r="AC62" s="317">
        <f>OBRA!BW61</f>
        <v>0</v>
      </c>
      <c r="AD62" s="352"/>
      <c r="AE62" s="352"/>
    </row>
    <row r="63" spans="1:31" ht="30.75" hidden="1" customHeight="1">
      <c r="A63" s="22" t="s">
        <v>2206</v>
      </c>
      <c r="B63" s="809" t="str">
        <f>GRAL!B64</f>
        <v>2012-2015</v>
      </c>
      <c r="C63" s="16">
        <f>OBRA!J62</f>
        <v>2014</v>
      </c>
      <c r="D63" s="1415"/>
      <c r="E63" s="17" t="str">
        <f>OBRA!M62</f>
        <v>POA</v>
      </c>
      <c r="F63" s="478"/>
      <c r="G63" s="352"/>
      <c r="H63" s="1"/>
      <c r="I63" s="352"/>
      <c r="J63" s="208" t="str">
        <f>OBRA!W62</f>
        <v>-</v>
      </c>
      <c r="K63" s="231" t="str">
        <f>OBRA!X62</f>
        <v>ARQ. JAIME CONDE GOMEZ</v>
      </c>
      <c r="L63" s="19" t="str">
        <f>OBRA!N62</f>
        <v>DOP/AD/003/2014</v>
      </c>
      <c r="M63" s="2" t="str">
        <f>OBRA!O62</f>
        <v>ADMINISTRACIÓN DIRECTA</v>
      </c>
      <c r="N63" s="3" t="str">
        <f>OBRA!P62</f>
        <v>CONSTRUCCION DE AREA DE LECTURA AL AIRE LIBRE DE LA BIBLIOTECA</v>
      </c>
      <c r="O63" s="3"/>
      <c r="P63" s="6">
        <f>OBRA!S62</f>
        <v>41761</v>
      </c>
      <c r="Q63" s="4">
        <f>OBRA!R62</f>
        <v>300000</v>
      </c>
      <c r="R63" s="5">
        <f>OBRA!T62</f>
        <v>41761</v>
      </c>
      <c r="S63" s="11">
        <f>OBRA!U62</f>
        <v>41822</v>
      </c>
      <c r="T63" s="52"/>
      <c r="U63" s="226" t="s">
        <v>1428</v>
      </c>
      <c r="V63" s="105"/>
      <c r="W63" s="53"/>
      <c r="X63" s="278">
        <f>OBRA!AR62</f>
        <v>0</v>
      </c>
      <c r="Y63" s="309"/>
      <c r="Z63" s="309"/>
      <c r="AA63" s="5"/>
      <c r="AB63" s="313"/>
      <c r="AC63" s="317">
        <f>OBRA!BW62</f>
        <v>0</v>
      </c>
      <c r="AD63" s="352"/>
      <c r="AE63" s="352"/>
    </row>
    <row r="64" spans="1:31" ht="45.75" hidden="1" customHeight="1">
      <c r="A64" s="22" t="s">
        <v>2206</v>
      </c>
      <c r="B64" s="809" t="str">
        <f>GRAL!B65</f>
        <v>2012-2015</v>
      </c>
      <c r="C64" s="16">
        <f>OBRA!J63</f>
        <v>2014</v>
      </c>
      <c r="D64" s="1415"/>
      <c r="E64" s="17" t="str">
        <f>OBRA!M63</f>
        <v>CUENTA CORRIENTE</v>
      </c>
      <c r="F64" s="478" t="s">
        <v>1428</v>
      </c>
      <c r="G64" s="352"/>
      <c r="H64" s="1"/>
      <c r="I64" s="352"/>
      <c r="J64" s="208" t="str">
        <f>OBRA!W63</f>
        <v>-</v>
      </c>
      <c r="K64" s="231" t="str">
        <f>OBRA!X63</f>
        <v>ARQ. JAIME CONDE GOMEZ</v>
      </c>
      <c r="L64" s="19" t="str">
        <f>OBRA!N63</f>
        <v>DOP/AD/001/2014</v>
      </c>
      <c r="M64" s="2" t="str">
        <f>OBRA!O63</f>
        <v>ADMINISTRACIÓN DIRECTA</v>
      </c>
      <c r="N64" s="3" t="str">
        <f>OBRA!P63</f>
        <v>REHABILITACIÓN DE BAÑOS EN CAMPO MEXICO, EN LA CABECERA MUNICIPAL</v>
      </c>
      <c r="O64" s="3"/>
      <c r="P64" s="6">
        <f>OBRA!S63</f>
        <v>41705</v>
      </c>
      <c r="Q64" s="4">
        <f>OBRA!R63</f>
        <v>91000</v>
      </c>
      <c r="R64" s="5">
        <f>OBRA!T63</f>
        <v>41705</v>
      </c>
      <c r="S64" s="11">
        <f>OBRA!U63</f>
        <v>41789</v>
      </c>
      <c r="T64" s="52"/>
      <c r="U64" s="226" t="s">
        <v>1428</v>
      </c>
      <c r="V64" s="105"/>
      <c r="W64" s="53"/>
      <c r="X64" s="278">
        <f>OBRA!AR63</f>
        <v>0</v>
      </c>
      <c r="Y64" s="309"/>
      <c r="Z64" s="309"/>
      <c r="AA64" s="5"/>
      <c r="AB64" s="313"/>
      <c r="AC64" s="317">
        <f>OBRA!BW63</f>
        <v>0</v>
      </c>
      <c r="AD64" s="352"/>
      <c r="AE64" s="352"/>
    </row>
    <row r="65" spans="1:31" s="104" customFormat="1" ht="90.75" hidden="1" customHeight="1">
      <c r="A65" s="81" t="s">
        <v>2206</v>
      </c>
      <c r="B65" s="820" t="str">
        <f>GRAL!B66</f>
        <v>2012-2015</v>
      </c>
      <c r="C65" s="82">
        <f>OBRA!J64</f>
        <v>2014</v>
      </c>
      <c r="D65" s="781"/>
      <c r="E65" s="97" t="str">
        <f>OBRA!M64</f>
        <v>RAMO 33</v>
      </c>
      <c r="F65" s="102" t="s">
        <v>1428</v>
      </c>
      <c r="G65" s="354"/>
      <c r="H65" s="96"/>
      <c r="I65" s="354"/>
      <c r="J65" s="276" t="str">
        <f>OBRA!W64</f>
        <v>-</v>
      </c>
      <c r="K65" s="277" t="str">
        <f>OBRA!X64</f>
        <v>ING. RIGOBERTO OLMEDO RAMOS</v>
      </c>
      <c r="L65" s="829" t="str">
        <f>OBRA!N64</f>
        <v>DOP/AD/009/2014</v>
      </c>
      <c r="M65" s="186" t="str">
        <f>OBRA!O64</f>
        <v>CANCELADA</v>
      </c>
      <c r="N65" s="106" t="str">
        <f>OBRA!P64</f>
        <v>REHABILITACIÓN DE RED DE AGUA POTABLE EN C. NIÑOS HEROES DE C. HIDALGO HASTA LA ESCUELA TELESECUNDARIA NIÑOS HEROES, EN LA AGENCIA MUNICIPAL DE "EL MOLINO"</v>
      </c>
      <c r="O65" s="125"/>
      <c r="P65" s="87">
        <f>OBRA!S64</f>
        <v>41859</v>
      </c>
      <c r="Q65" s="86">
        <f>OBRA!R64</f>
        <v>48856.42</v>
      </c>
      <c r="R65" s="88">
        <f>OBRA!T64</f>
        <v>41862</v>
      </c>
      <c r="S65" s="89">
        <f>OBRA!U64</f>
        <v>41874</v>
      </c>
      <c r="T65" s="101"/>
      <c r="U65" s="101" t="s">
        <v>1428</v>
      </c>
      <c r="V65" s="370"/>
      <c r="W65" s="91"/>
      <c r="X65" s="821">
        <f>OBRA!AR64</f>
        <v>0</v>
      </c>
      <c r="Y65" s="311"/>
      <c r="Z65" s="311"/>
      <c r="AA65" s="88"/>
      <c r="AB65" s="1855"/>
      <c r="AC65" s="467">
        <f>OBRA!BW64</f>
        <v>0</v>
      </c>
      <c r="AD65" s="354"/>
      <c r="AE65" s="354"/>
    </row>
    <row r="66" spans="1:31" s="104" customFormat="1" ht="75.75" hidden="1" customHeight="1">
      <c r="A66" s="81" t="s">
        <v>2206</v>
      </c>
      <c r="B66" s="820" t="str">
        <f>GRAL!B67</f>
        <v>2012-2015</v>
      </c>
      <c r="C66" s="82">
        <f>OBRA!J65</f>
        <v>2014</v>
      </c>
      <c r="D66" s="781"/>
      <c r="E66" s="97" t="str">
        <f>OBRA!M65</f>
        <v>RAMO 33</v>
      </c>
      <c r="F66" s="479" t="s">
        <v>1428</v>
      </c>
      <c r="G66" s="354"/>
      <c r="H66" s="96"/>
      <c r="I66" s="354"/>
      <c r="J66" s="276" t="str">
        <f>OBRA!W65</f>
        <v>-</v>
      </c>
      <c r="K66" s="277" t="str">
        <f>OBRA!X65</f>
        <v>ING. RIGOBERTO OLMEDO RAMOS</v>
      </c>
      <c r="L66" s="829" t="str">
        <f>OBRA!N65</f>
        <v>DOP/AD/006/2014</v>
      </c>
      <c r="M66" s="186" t="str">
        <f>OBRA!O65</f>
        <v>CANCELADA</v>
      </c>
      <c r="N66" s="106" t="str">
        <f>OBRA!P65</f>
        <v>REHABILITACIÓN DE RED DE AGUA POTABLE EN C. HIDALGO DE C. NIÑOS HEROES HASTA ESCUELA J. VICENTE NEGRETE, EN LA AGENCIA MUNICIPAL DE "EL MOLINO"</v>
      </c>
      <c r="O66" s="125"/>
      <c r="P66" s="87">
        <f>OBRA!S65</f>
        <v>41831</v>
      </c>
      <c r="Q66" s="86">
        <f>OBRA!R65</f>
        <v>75328.27</v>
      </c>
      <c r="R66" s="88">
        <f>OBRA!T65</f>
        <v>41834</v>
      </c>
      <c r="S66" s="89">
        <f>OBRA!U65</f>
        <v>41846</v>
      </c>
      <c r="T66" s="101"/>
      <c r="U66" s="101" t="s">
        <v>1428</v>
      </c>
      <c r="V66" s="370"/>
      <c r="W66" s="91"/>
      <c r="X66" s="821">
        <f>OBRA!AR65</f>
        <v>0</v>
      </c>
      <c r="Y66" s="311"/>
      <c r="Z66" s="311"/>
      <c r="AA66" s="88"/>
      <c r="AB66" s="1855"/>
      <c r="AC66" s="467">
        <f>OBRA!BW65</f>
        <v>0</v>
      </c>
      <c r="AD66" s="354"/>
      <c r="AE66" s="354"/>
    </row>
    <row r="67" spans="1:31" s="104" customFormat="1" ht="75.75" hidden="1" customHeight="1">
      <c r="A67" s="81" t="s">
        <v>2206</v>
      </c>
      <c r="B67" s="820" t="str">
        <f>GRAL!B68</f>
        <v>2012-2015</v>
      </c>
      <c r="C67" s="82">
        <f>OBRA!J66</f>
        <v>2014</v>
      </c>
      <c r="D67" s="781"/>
      <c r="E67" s="97" t="str">
        <f>OBRA!M66</f>
        <v>RAMO 33</v>
      </c>
      <c r="F67" s="479" t="s">
        <v>1428</v>
      </c>
      <c r="G67" s="354"/>
      <c r="H67" s="96"/>
      <c r="I67" s="354"/>
      <c r="J67" s="276" t="str">
        <f>OBRA!W66</f>
        <v>-</v>
      </c>
      <c r="K67" s="277" t="str">
        <f>OBRA!X66</f>
        <v>ING. RIGOBERTO OLMEDO RAMOS</v>
      </c>
      <c r="L67" s="829" t="str">
        <f>OBRA!N66</f>
        <v>DOP/AD/005/2014</v>
      </c>
      <c r="M67" s="186" t="str">
        <f>OBRA!O66</f>
        <v>CANCELADA</v>
      </c>
      <c r="N67" s="106" t="str">
        <f>OBRA!P66</f>
        <v>REHABILITACIÓN DE RED DE DRENAJE EN C. HIDALGO DE C. NIÑOS HEROES HASTA ESCUELA J. VICENTE NEGRETE, EN LA AGENCIA MUNICIPAL DE "EL MOLINO"</v>
      </c>
      <c r="O67" s="125"/>
      <c r="P67" s="87">
        <f>OBRA!S66</f>
        <v>41817</v>
      </c>
      <c r="Q67" s="86">
        <f>OBRA!R66</f>
        <v>109593.60000000001</v>
      </c>
      <c r="R67" s="88">
        <f>OBRA!T66</f>
        <v>41821</v>
      </c>
      <c r="S67" s="89">
        <f>OBRA!U66</f>
        <v>41834</v>
      </c>
      <c r="T67" s="101"/>
      <c r="U67" s="101" t="s">
        <v>1428</v>
      </c>
      <c r="V67" s="370"/>
      <c r="W67" s="91"/>
      <c r="X67" s="821">
        <f>OBRA!AR66</f>
        <v>0</v>
      </c>
      <c r="Y67" s="311"/>
      <c r="Z67" s="311"/>
      <c r="AA67" s="88"/>
      <c r="AB67" s="1855"/>
      <c r="AC67" s="467">
        <f>OBRA!BW66</f>
        <v>0</v>
      </c>
      <c r="AD67" s="354"/>
      <c r="AE67" s="354"/>
    </row>
    <row r="68" spans="1:31" s="104" customFormat="1" ht="75.75" hidden="1" customHeight="1">
      <c r="A68" s="81" t="s">
        <v>2206</v>
      </c>
      <c r="B68" s="820" t="str">
        <f>GRAL!B69</f>
        <v>2012-2015</v>
      </c>
      <c r="C68" s="82">
        <f>OBRA!J67</f>
        <v>2014</v>
      </c>
      <c r="D68" s="781"/>
      <c r="E68" s="97" t="str">
        <f>OBRA!M67</f>
        <v>RAMO 33</v>
      </c>
      <c r="F68" s="479" t="s">
        <v>1428</v>
      </c>
      <c r="G68" s="354"/>
      <c r="H68" s="96"/>
      <c r="I68" s="354"/>
      <c r="J68" s="276" t="str">
        <f>OBRA!W67</f>
        <v>-</v>
      </c>
      <c r="K68" s="277" t="str">
        <f>OBRA!X67</f>
        <v>ING. RIGOBERTO OLMEDO RAMOS</v>
      </c>
      <c r="L68" s="829" t="str">
        <f>OBRA!N67</f>
        <v>DOP/AD/008/2014</v>
      </c>
      <c r="M68" s="186" t="str">
        <f>OBRA!O67</f>
        <v>CANCELADA</v>
      </c>
      <c r="N68" s="106" t="str">
        <f>OBRA!P67</f>
        <v>REHABILITACIÓN DE RED DE DRENAJE EN C. NIÑOS HEROES DE C. HIDALGO HASTA LA ESCUELA TELESECUNDARIA NIÑOS HEROES, EN LA AGENCIA MUNICIPAL DE "EL MOLINO"</v>
      </c>
      <c r="O68" s="125"/>
      <c r="P68" s="87">
        <f>OBRA!S67</f>
        <v>41845</v>
      </c>
      <c r="Q68" s="86">
        <f>OBRA!R67</f>
        <v>56400.28</v>
      </c>
      <c r="R68" s="88">
        <f>OBRA!T67</f>
        <v>41848</v>
      </c>
      <c r="S68" s="89">
        <f>OBRA!U67</f>
        <v>41860</v>
      </c>
      <c r="T68" s="101"/>
      <c r="U68" s="101" t="s">
        <v>1428</v>
      </c>
      <c r="V68" s="370"/>
      <c r="W68" s="91"/>
      <c r="X68" s="821">
        <f>OBRA!AR67</f>
        <v>0</v>
      </c>
      <c r="Y68" s="311"/>
      <c r="Z68" s="311"/>
      <c r="AA68" s="88"/>
      <c r="AB68" s="1855"/>
      <c r="AC68" s="467">
        <f>OBRA!BW67</f>
        <v>0</v>
      </c>
      <c r="AD68" s="354"/>
      <c r="AE68" s="354"/>
    </row>
    <row r="69" spans="1:31" s="104" customFormat="1" ht="75.75" hidden="1" customHeight="1">
      <c r="A69" s="81" t="s">
        <v>2206</v>
      </c>
      <c r="B69" s="820" t="str">
        <f>GRAL!B70</f>
        <v>2012-2015</v>
      </c>
      <c r="C69" s="82">
        <f>OBRA!J68</f>
        <v>2014</v>
      </c>
      <c r="D69" s="781"/>
      <c r="E69" s="97" t="str">
        <f>OBRA!M68</f>
        <v>RAMO 33</v>
      </c>
      <c r="F69" s="479" t="s">
        <v>1428</v>
      </c>
      <c r="G69" s="354"/>
      <c r="H69" s="96"/>
      <c r="I69" s="354"/>
      <c r="J69" s="276" t="str">
        <f>OBRA!W68</f>
        <v>-</v>
      </c>
      <c r="K69" s="277" t="str">
        <f>OBRA!X68</f>
        <v>ING. RIGOBERTO OLMEDO RAMOS</v>
      </c>
      <c r="L69" s="829" t="str">
        <f>OBRA!N68</f>
        <v>DOP/AD/007/2014</v>
      </c>
      <c r="M69" s="186" t="str">
        <f>OBRA!O68</f>
        <v>CANCELADA</v>
      </c>
      <c r="N69" s="106" t="str">
        <f>OBRA!P68</f>
        <v>EMPEDRADO AHOGADO EN CEMENTO C. HIDALGO DE C. NIÑOS HEROES HASTA ESCUELA J. VICENTE NEGRETE, EN LA AGENCIA MUNICIPAL DE "EL MOLINO"</v>
      </c>
      <c r="O69" s="125"/>
      <c r="P69" s="87">
        <f>OBRA!S68</f>
        <v>41831</v>
      </c>
      <c r="Q69" s="86">
        <f>OBRA!R68</f>
        <v>592587.04</v>
      </c>
      <c r="R69" s="88">
        <f>OBRA!T68</f>
        <v>41848</v>
      </c>
      <c r="S69" s="89">
        <f>OBRA!U68</f>
        <v>41874</v>
      </c>
      <c r="T69" s="101"/>
      <c r="U69" s="101" t="s">
        <v>1428</v>
      </c>
      <c r="V69" s="370"/>
      <c r="W69" s="91"/>
      <c r="X69" s="821">
        <f>OBRA!AR68</f>
        <v>0</v>
      </c>
      <c r="Y69" s="311"/>
      <c r="Z69" s="311"/>
      <c r="AA69" s="88"/>
      <c r="AB69" s="1855"/>
      <c r="AC69" s="467">
        <f>OBRA!BW68</f>
        <v>0</v>
      </c>
      <c r="AD69" s="354"/>
      <c r="AE69" s="354"/>
    </row>
    <row r="70" spans="1:31" s="104" customFormat="1" ht="75.75" hidden="1" customHeight="1">
      <c r="A70" s="81" t="s">
        <v>2206</v>
      </c>
      <c r="B70" s="820" t="str">
        <f>GRAL!B71</f>
        <v>2012-2015</v>
      </c>
      <c r="C70" s="82">
        <f>OBRA!J69</f>
        <v>2014</v>
      </c>
      <c r="D70" s="781"/>
      <c r="E70" s="97" t="str">
        <f>OBRA!M69</f>
        <v>RAMO 33</v>
      </c>
      <c r="F70" s="479" t="s">
        <v>1428</v>
      </c>
      <c r="G70" s="354"/>
      <c r="H70" s="96"/>
      <c r="I70" s="354"/>
      <c r="J70" s="276" t="str">
        <f>OBRA!W69</f>
        <v>-</v>
      </c>
      <c r="K70" s="277" t="str">
        <f>OBRA!X69</f>
        <v>ING. RIGOBERTO OLMEDO RAMOS</v>
      </c>
      <c r="L70" s="829" t="str">
        <f>OBRA!N69</f>
        <v>DOP/AD/010/2014</v>
      </c>
      <c r="M70" s="186" t="str">
        <f>OBRA!O69</f>
        <v>CANCELADA</v>
      </c>
      <c r="N70" s="106" t="str">
        <f>OBRA!P69</f>
        <v>EMPEDRADO AHOGADO EN CEMENTO C. NIÑOS HEROES DE C. HIDALGO HASTA LA ESCUELA TELESECUNDARIA NIÑOS HEROES, EN LA AGENCIA MUNICIPAL DE "EL MOLINO"</v>
      </c>
      <c r="O70" s="125"/>
      <c r="P70" s="87">
        <f>OBRA!S69</f>
        <v>41873</v>
      </c>
      <c r="Q70" s="86">
        <f>OBRA!R69</f>
        <v>346618.19</v>
      </c>
      <c r="R70" s="88">
        <f>OBRA!T69</f>
        <v>41876</v>
      </c>
      <c r="S70" s="89">
        <f>OBRA!U69</f>
        <v>41902</v>
      </c>
      <c r="T70" s="101"/>
      <c r="U70" s="101" t="s">
        <v>1428</v>
      </c>
      <c r="V70" s="370"/>
      <c r="W70" s="91"/>
      <c r="X70" s="821">
        <f>OBRA!AR69</f>
        <v>0</v>
      </c>
      <c r="Y70" s="311"/>
      <c r="Z70" s="311"/>
      <c r="AA70" s="88"/>
      <c r="AB70" s="1855"/>
      <c r="AC70" s="467">
        <f>OBRA!BW69</f>
        <v>0</v>
      </c>
      <c r="AD70" s="354"/>
      <c r="AE70" s="354"/>
    </row>
    <row r="71" spans="1:31" s="104" customFormat="1" ht="75.75" hidden="1" customHeight="1">
      <c r="A71" s="81" t="s">
        <v>2206</v>
      </c>
      <c r="B71" s="820" t="str">
        <f>GRAL!B72</f>
        <v>2012-2015</v>
      </c>
      <c r="C71" s="82">
        <f>OBRA!J70</f>
        <v>2014</v>
      </c>
      <c r="D71" s="781"/>
      <c r="E71" s="97" t="str">
        <f>OBRA!M70</f>
        <v>RAMO 33</v>
      </c>
      <c r="F71" s="479" t="s">
        <v>1428</v>
      </c>
      <c r="G71" s="354"/>
      <c r="H71" s="96"/>
      <c r="I71" s="354"/>
      <c r="J71" s="276" t="str">
        <f>OBRA!W70</f>
        <v>-</v>
      </c>
      <c r="K71" s="277" t="str">
        <f>OBRA!X70</f>
        <v>ING. RIGOBERTO OLMEDO RAMOS</v>
      </c>
      <c r="L71" s="829" t="str">
        <f>OBRA!N70</f>
        <v>DOP/AD/012/2014</v>
      </c>
      <c r="M71" s="186" t="str">
        <f>OBRA!O70</f>
        <v>CANCELADA</v>
      </c>
      <c r="N71" s="106" t="str">
        <f>OBRA!P70</f>
        <v>REHABILITACIÓN DE RED DE AGUA POTABLE EN C. VICENTE SUAREZ ENTRE C. INDEPENDENCIA Y NIÑOS HEROES, EN LA AGENCIA MUNICIPAL DE "EL MOLINO"</v>
      </c>
      <c r="O71" s="125"/>
      <c r="P71" s="87">
        <f>OBRA!S70</f>
        <v>41887</v>
      </c>
      <c r="Q71" s="86">
        <f>OBRA!R70</f>
        <v>100696.44</v>
      </c>
      <c r="R71" s="88">
        <f>OBRA!T70</f>
        <v>41890</v>
      </c>
      <c r="S71" s="89">
        <f>OBRA!U70</f>
        <v>41902</v>
      </c>
      <c r="T71" s="101"/>
      <c r="U71" s="101" t="s">
        <v>1428</v>
      </c>
      <c r="V71" s="370"/>
      <c r="W71" s="91"/>
      <c r="X71" s="821">
        <f>OBRA!AR70</f>
        <v>0</v>
      </c>
      <c r="Y71" s="311"/>
      <c r="Z71" s="311"/>
      <c r="AA71" s="88"/>
      <c r="AB71" s="1855"/>
      <c r="AC71" s="467">
        <f>OBRA!BW70</f>
        <v>0</v>
      </c>
      <c r="AD71" s="354"/>
      <c r="AE71" s="354"/>
    </row>
    <row r="72" spans="1:31" s="104" customFormat="1" ht="75.75" hidden="1" customHeight="1">
      <c r="A72" s="81" t="s">
        <v>2206</v>
      </c>
      <c r="B72" s="820" t="str">
        <f>GRAL!B73</f>
        <v>2012-2015</v>
      </c>
      <c r="C72" s="82">
        <f>OBRA!J71</f>
        <v>2014</v>
      </c>
      <c r="D72" s="781"/>
      <c r="E72" s="97" t="str">
        <f>OBRA!M71</f>
        <v>RAMO 33</v>
      </c>
      <c r="F72" s="102" t="s">
        <v>1428</v>
      </c>
      <c r="G72" s="354"/>
      <c r="H72" s="96"/>
      <c r="I72" s="354"/>
      <c r="J72" s="276" t="str">
        <f>OBRA!W71</f>
        <v>-</v>
      </c>
      <c r="K72" s="277" t="str">
        <f>OBRA!X71</f>
        <v>ING. RIGOBERTO OLMEDO RAMOS</v>
      </c>
      <c r="L72" s="829" t="str">
        <f>OBRA!N71</f>
        <v>DOP/AD/011/2014</v>
      </c>
      <c r="M72" s="186" t="str">
        <f>OBRA!O71</f>
        <v>CANCELADA</v>
      </c>
      <c r="N72" s="106" t="str">
        <f>OBRA!P71</f>
        <v>REHABILITACIÓN DE RED DE DRENAJE EN C. VICENTE SUAREZ ENTRE C. INDEPENDENCIA Y NIÑOS HEROES, EN LA AGENCIA MUNICIPAL DE "EL MOLINO"</v>
      </c>
      <c r="O72" s="125"/>
      <c r="P72" s="87">
        <f>OBRA!S71</f>
        <v>41873</v>
      </c>
      <c r="Q72" s="86">
        <f>OBRA!R71</f>
        <v>129939.7</v>
      </c>
      <c r="R72" s="88">
        <f>OBRA!T71</f>
        <v>41876</v>
      </c>
      <c r="S72" s="89">
        <f>OBRA!U71</f>
        <v>41888</v>
      </c>
      <c r="T72" s="101"/>
      <c r="U72" s="101" t="s">
        <v>1428</v>
      </c>
      <c r="V72" s="370"/>
      <c r="W72" s="91"/>
      <c r="X72" s="821">
        <f>OBRA!AR71</f>
        <v>0</v>
      </c>
      <c r="Y72" s="311"/>
      <c r="Z72" s="311"/>
      <c r="AA72" s="88"/>
      <c r="AB72" s="1855"/>
      <c r="AC72" s="467">
        <f>OBRA!BW71</f>
        <v>0</v>
      </c>
      <c r="AD72" s="354"/>
      <c r="AE72" s="354"/>
    </row>
    <row r="73" spans="1:31" s="104" customFormat="1" ht="75.75" hidden="1" customHeight="1">
      <c r="A73" s="81" t="s">
        <v>2206</v>
      </c>
      <c r="B73" s="820" t="str">
        <f>GRAL!B74</f>
        <v>2012-2015</v>
      </c>
      <c r="C73" s="82">
        <f>OBRA!J72</f>
        <v>2014</v>
      </c>
      <c r="D73" s="781"/>
      <c r="E73" s="97" t="str">
        <f>OBRA!M72</f>
        <v>RAMO 33</v>
      </c>
      <c r="F73" s="479" t="s">
        <v>1428</v>
      </c>
      <c r="G73" s="354"/>
      <c r="H73" s="96"/>
      <c r="I73" s="354"/>
      <c r="J73" s="276" t="str">
        <f>OBRA!W72</f>
        <v>-</v>
      </c>
      <c r="K73" s="277" t="str">
        <f>OBRA!X72</f>
        <v>ING. RIGOBERTO OLMEDO RAMOS</v>
      </c>
      <c r="L73" s="829" t="str">
        <f>OBRA!N72</f>
        <v>DOP/AD/013/2014</v>
      </c>
      <c r="M73" s="186" t="str">
        <f>OBRA!O72</f>
        <v>CANCELADA</v>
      </c>
      <c r="N73" s="106" t="str">
        <f>OBRA!P72</f>
        <v>EMPEDRADO AHOGADO EN CEMENTO C. VICENTE SUAREZ ENTRE C. INDEPENDENCIA Y NIÑOS HEROES, EN LA AGENCIA MUNICIPAL DE "EL MOLINO"</v>
      </c>
      <c r="O73" s="125"/>
      <c r="P73" s="87">
        <f>OBRA!S72</f>
        <v>41901</v>
      </c>
      <c r="Q73" s="86">
        <f>OBRA!R72</f>
        <v>659302.69999999995</v>
      </c>
      <c r="R73" s="88">
        <f>OBRA!T72</f>
        <v>41904</v>
      </c>
      <c r="S73" s="89">
        <f>OBRA!U72</f>
        <v>41930</v>
      </c>
      <c r="T73" s="101"/>
      <c r="U73" s="101" t="s">
        <v>1428</v>
      </c>
      <c r="V73" s="370"/>
      <c r="W73" s="91"/>
      <c r="X73" s="821">
        <f>OBRA!AR72</f>
        <v>0</v>
      </c>
      <c r="Y73" s="311"/>
      <c r="Z73" s="311"/>
      <c r="AA73" s="88"/>
      <c r="AB73" s="1855"/>
      <c r="AC73" s="467">
        <f>OBRA!BW72</f>
        <v>0</v>
      </c>
      <c r="AD73" s="354"/>
      <c r="AE73" s="354"/>
    </row>
    <row r="74" spans="1:31" ht="105.75" hidden="1" customHeight="1">
      <c r="A74" s="22" t="s">
        <v>2206</v>
      </c>
      <c r="B74" s="809" t="str">
        <f>GRAL!B75</f>
        <v>2012-2015</v>
      </c>
      <c r="C74" s="16">
        <f>OBRA!J73</f>
        <v>2014</v>
      </c>
      <c r="D74" s="1415"/>
      <c r="E74" s="17" t="str">
        <f>OBRA!M73</f>
        <v>FONDEREG</v>
      </c>
      <c r="F74" s="478"/>
      <c r="G74" s="352"/>
      <c r="H74" s="1"/>
      <c r="I74" s="352"/>
      <c r="J74" s="208" t="str">
        <f>OBRA!W73</f>
        <v>C. URIEL PALOS CUEVAS</v>
      </c>
      <c r="K74" s="231" t="str">
        <f>OBRA!X73</f>
        <v>C. DANIEL RODRIGUEZ VALENZUELA</v>
      </c>
      <c r="L74" s="19" t="str">
        <f>OBRA!N73</f>
        <v>GMJ 003C OP/2014</v>
      </c>
      <c r="M74" s="2" t="str">
        <f>OBRA!O73</f>
        <v>INVITACIÓN</v>
      </c>
      <c r="N74" s="3" t="str">
        <f>OBRA!P73</f>
        <v>COLOCACIÓN DE ADOQUIN ASENTADO EN ARENA DE RIO EN LA CALLE PROFIRIO DÍAZ Y RENOVACIÓN DE REDES DE AGUA POTABLE Y DRENAJE, QUE SE LLEVARA A CABO EN LA LOCALIDAD DE SAN JUAN COSALA</v>
      </c>
      <c r="O74" s="3"/>
      <c r="P74" s="6">
        <f>OBRA!S73</f>
        <v>41824</v>
      </c>
      <c r="Q74" s="4">
        <f>OBRA!R73</f>
        <v>2564100.69</v>
      </c>
      <c r="R74" s="5">
        <f>OBRA!T73</f>
        <v>41855</v>
      </c>
      <c r="S74" s="11">
        <f>OBRA!U73</f>
        <v>41884</v>
      </c>
      <c r="T74" s="52"/>
      <c r="U74" s="226" t="s">
        <v>1428</v>
      </c>
      <c r="V74" s="105"/>
      <c r="W74" s="53"/>
      <c r="X74" s="278">
        <f>OBRA!AR73</f>
        <v>0</v>
      </c>
      <c r="Y74" s="309"/>
      <c r="Z74" s="309"/>
      <c r="AA74" s="5"/>
      <c r="AB74" s="313"/>
      <c r="AC74" s="317">
        <f>OBRA!BW73</f>
        <v>0</v>
      </c>
      <c r="AD74" s="352"/>
      <c r="AE74" s="352"/>
    </row>
    <row r="75" spans="1:31" ht="75.75" hidden="1" customHeight="1">
      <c r="A75" s="22" t="s">
        <v>2206</v>
      </c>
      <c r="B75" s="809" t="str">
        <f>GRAL!B76</f>
        <v>2012-2015</v>
      </c>
      <c r="C75" s="16">
        <f>OBRA!J74</f>
        <v>2014</v>
      </c>
      <c r="D75" s="1415"/>
      <c r="E75" s="17" t="str">
        <f>OBRA!M74</f>
        <v>CUENTA CORRIENTE</v>
      </c>
      <c r="F75" s="478" t="s">
        <v>1428</v>
      </c>
      <c r="G75" s="352"/>
      <c r="H75" s="1"/>
      <c r="I75" s="352"/>
      <c r="J75" s="208" t="str">
        <f>OBRA!W74</f>
        <v>-</v>
      </c>
      <c r="K75" s="231" t="str">
        <f>OBRA!X74</f>
        <v>C. DANIEL RODRIGUEZ VALENZUELA</v>
      </c>
      <c r="L75" s="19" t="str">
        <f>OBRA!N74</f>
        <v>DOP/AD/014/2014</v>
      </c>
      <c r="M75" s="2" t="str">
        <f>OBRA!O74</f>
        <v>ADMINISTRACIÓN DIRECTA</v>
      </c>
      <c r="N75" s="3" t="str">
        <f>OBRA!P74</f>
        <v>CONSTRUCCIÓN DE BANQUETAS EN C. MORELOS ENTRE HIDALGO Y JOSEFA ORTIZ DE DOMÍNGUEZ (1 LADO) SUR, EN LA CABECERA MUNICIPAL</v>
      </c>
      <c r="O75" s="3"/>
      <c r="P75" s="6">
        <f>OBRA!S74</f>
        <v>41876</v>
      </c>
      <c r="Q75" s="4">
        <f>OBRA!R74</f>
        <v>119790.69</v>
      </c>
      <c r="R75" s="5">
        <f>OBRA!T74</f>
        <v>41876</v>
      </c>
      <c r="S75" s="11">
        <f>OBRA!U74</f>
        <v>41907</v>
      </c>
      <c r="T75" s="52"/>
      <c r="U75" s="226" t="s">
        <v>1428</v>
      </c>
      <c r="V75" s="105"/>
      <c r="W75" s="53"/>
      <c r="X75" s="278">
        <f>OBRA!AR74</f>
        <v>0</v>
      </c>
      <c r="Y75" s="309"/>
      <c r="Z75" s="309"/>
      <c r="AA75" s="5"/>
      <c r="AB75" s="313"/>
      <c r="AC75" s="317">
        <f>OBRA!BW74</f>
        <v>0</v>
      </c>
      <c r="AD75" s="352"/>
      <c r="AE75" s="352"/>
    </row>
    <row r="76" spans="1:31" ht="75.75" hidden="1" customHeight="1">
      <c r="A76" s="22" t="s">
        <v>2206</v>
      </c>
      <c r="B76" s="809" t="str">
        <f>GRAL!B77</f>
        <v>2012-2015</v>
      </c>
      <c r="C76" s="16">
        <f>OBRA!J75</f>
        <v>2014</v>
      </c>
      <c r="D76" s="1415"/>
      <c r="E76" s="17" t="str">
        <f>OBRA!M75</f>
        <v>RAMO 33</v>
      </c>
      <c r="F76" s="478" t="s">
        <v>1428</v>
      </c>
      <c r="G76" s="352"/>
      <c r="H76" s="1"/>
      <c r="I76" s="352"/>
      <c r="J76" s="208" t="str">
        <f>OBRA!W75</f>
        <v>-</v>
      </c>
      <c r="K76" s="231" t="str">
        <f>OBRA!X75</f>
        <v>ING. RIGOBERTO OLMEDO RAMOS</v>
      </c>
      <c r="L76" s="19" t="str">
        <f>OBRA!N75</f>
        <v>DOP/AD/015/2014</v>
      </c>
      <c r="M76" s="2" t="str">
        <f>OBRA!O75</f>
        <v>ADMINISTRACIÓN DIRECTA</v>
      </c>
      <c r="N76" s="3" t="str">
        <f>OBRA!P75</f>
        <v>AMPLIACIÓN DE COLECTOR DE ALEJAMIENTO DEL DRENAJE SANITARIO (ENTRE AVE. DEL TRABAJO HASTA ARROYO) EN LA DELEGACIÓN DE ZAPOTITAN DE HIDALGO</v>
      </c>
      <c r="O76" s="3"/>
      <c r="P76" s="6">
        <f>OBRA!S75</f>
        <v>41883</v>
      </c>
      <c r="Q76" s="4">
        <f>OBRA!R75</f>
        <v>1543344.7</v>
      </c>
      <c r="R76" s="5">
        <f>OBRA!T75</f>
        <v>41883</v>
      </c>
      <c r="S76" s="11">
        <f>OBRA!U75</f>
        <v>41912</v>
      </c>
      <c r="T76" s="52"/>
      <c r="U76" s="226" t="s">
        <v>1428</v>
      </c>
      <c r="V76" s="105"/>
      <c r="W76" s="53"/>
      <c r="X76" s="278">
        <f>OBRA!AR75</f>
        <v>0</v>
      </c>
      <c r="Y76" s="309"/>
      <c r="Z76" s="309"/>
      <c r="AA76" s="5"/>
      <c r="AB76" s="313"/>
      <c r="AC76" s="317">
        <f>OBRA!BW75</f>
        <v>0</v>
      </c>
      <c r="AD76" s="352"/>
      <c r="AE76" s="352"/>
    </row>
    <row r="77" spans="1:31" ht="165.75" hidden="1" customHeight="1">
      <c r="A77" s="22" t="s">
        <v>2206</v>
      </c>
      <c r="B77" s="809" t="str">
        <f>GRAL!B78</f>
        <v>2012-2015</v>
      </c>
      <c r="C77" s="16">
        <f>OBRA!J76</f>
        <v>2014</v>
      </c>
      <c r="D77" s="1415"/>
      <c r="E77" s="17" t="str">
        <f>OBRA!M76</f>
        <v>CUENTA CORRIENTE</v>
      </c>
      <c r="F77" s="478" t="s">
        <v>1428</v>
      </c>
      <c r="G77" s="352"/>
      <c r="H77" s="1"/>
      <c r="I77" s="352"/>
      <c r="J77" s="208" t="str">
        <f>OBRA!W76</f>
        <v>-</v>
      </c>
      <c r="K77" s="231" t="str">
        <f>OBRA!X76</f>
        <v>ARQ. JUAN MANUEL PIRUL CORTÉS</v>
      </c>
      <c r="L77" s="19" t="str">
        <f>OBRA!N76</f>
        <v>DOP/AD/016/2014</v>
      </c>
      <c r="M77" s="2" t="str">
        <f>OBRA!O76</f>
        <v>ADMINISTRACIÓN DIRECTA</v>
      </c>
      <c r="N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OBRA!S76</f>
        <v>41830</v>
      </c>
      <c r="Q77" s="4">
        <f>OBRA!R76</f>
        <v>200000</v>
      </c>
      <c r="R77" s="5">
        <f>OBRA!T76</f>
        <v>41834</v>
      </c>
      <c r="S77" s="11">
        <f>OBRA!U76</f>
        <v>41897</v>
      </c>
      <c r="T77" s="52"/>
      <c r="U77" s="226" t="s">
        <v>1428</v>
      </c>
      <c r="V77" s="105"/>
      <c r="W77" s="53"/>
      <c r="X77" s="278">
        <f>OBRA!AR76</f>
        <v>0</v>
      </c>
      <c r="Y77" s="309"/>
      <c r="Z77" s="309"/>
      <c r="AA77" s="5"/>
      <c r="AB77" s="313"/>
      <c r="AC77" s="317">
        <f>OBRA!BW76</f>
        <v>0</v>
      </c>
      <c r="AD77" s="352"/>
      <c r="AE77" s="352"/>
    </row>
    <row r="78" spans="1:31" ht="30.75" hidden="1" customHeight="1">
      <c r="A78" s="22" t="s">
        <v>2206</v>
      </c>
      <c r="B78" s="809" t="str">
        <f>GRAL!B79</f>
        <v>2012-2015</v>
      </c>
      <c r="C78" s="16">
        <f>OBRA!J77</f>
        <v>2014</v>
      </c>
      <c r="D78" s="1415"/>
      <c r="E78" s="17" t="str">
        <f>OBRA!M77</f>
        <v>PET</v>
      </c>
      <c r="F78" s="478"/>
      <c r="G78" s="352"/>
      <c r="H78" s="1"/>
      <c r="I78" s="352"/>
      <c r="J78" s="208" t="str">
        <f>OBRA!W77</f>
        <v>-</v>
      </c>
      <c r="K78" s="231" t="str">
        <f>OBRA!X77</f>
        <v>DANIEL RODRIGUEZ</v>
      </c>
      <c r="L78" s="19" t="str">
        <f>OBRA!N77</f>
        <v>DOP/AD/017/2014</v>
      </c>
      <c r="M78" s="2" t="str">
        <f>OBRA!O77</f>
        <v>ADMINISTRACIÓN DIRECTA</v>
      </c>
      <c r="N78" s="3" t="str">
        <f>OBRA!P77</f>
        <v xml:space="preserve">CONSTRUCCIÓN DE PISO FIRME EN LA LOCALIDAD DE POTRERILLOS </v>
      </c>
      <c r="O78" s="3"/>
      <c r="P78" s="6">
        <f>OBRA!S77</f>
        <v>41922</v>
      </c>
      <c r="Q78" s="4">
        <f>OBRA!R77</f>
        <v>3311850</v>
      </c>
      <c r="R78" s="5">
        <f>OBRA!T77</f>
        <v>41927</v>
      </c>
      <c r="S78" s="11">
        <f>OBRA!U77</f>
        <v>41988</v>
      </c>
      <c r="T78" s="52"/>
      <c r="U78" s="226" t="s">
        <v>1428</v>
      </c>
      <c r="V78" s="105"/>
      <c r="W78" s="53"/>
      <c r="X78" s="278">
        <f>OBRA!AR77</f>
        <v>0</v>
      </c>
      <c r="Y78" s="309"/>
      <c r="Z78" s="309"/>
      <c r="AA78" s="5"/>
      <c r="AB78" s="313"/>
      <c r="AC78" s="317">
        <f>OBRA!BW77</f>
        <v>0</v>
      </c>
      <c r="AD78" s="352"/>
      <c r="AE78" s="352"/>
    </row>
    <row r="79" spans="1:31" ht="30.75" hidden="1" customHeight="1">
      <c r="A79" s="22" t="s">
        <v>2206</v>
      </c>
      <c r="B79" s="809" t="str">
        <f>GRAL!B80</f>
        <v>2012-2015</v>
      </c>
      <c r="C79" s="16">
        <f>OBRA!J78</f>
        <v>2014</v>
      </c>
      <c r="D79" s="1415"/>
      <c r="E79" s="17" t="str">
        <f>OBRA!M78</f>
        <v>PET</v>
      </c>
      <c r="F79" s="478"/>
      <c r="G79" s="352"/>
      <c r="H79" s="1"/>
      <c r="I79" s="352"/>
      <c r="J79" s="208" t="str">
        <f>OBRA!W78</f>
        <v>-</v>
      </c>
      <c r="K79" s="231" t="str">
        <f>OBRA!X78</f>
        <v>DANIEL RODRIGUEZ</v>
      </c>
      <c r="L79" s="19" t="str">
        <f>OBRA!N78</f>
        <v>DOP/AD/018/2014</v>
      </c>
      <c r="M79" s="2" t="str">
        <f>OBRA!O78</f>
        <v>ADMINISTRACIÓN DIRECTA</v>
      </c>
      <c r="N79" s="3" t="str">
        <f>OBRA!P78</f>
        <v xml:space="preserve">CONSTRUCCIÓN DE PISO FIRME EN LA LOCALIDAD LAS TROJES </v>
      </c>
      <c r="O79" s="3"/>
      <c r="P79" s="6">
        <f>OBRA!S78</f>
        <v>41922</v>
      </c>
      <c r="Q79" s="4">
        <f>OBRA!R78</f>
        <v>540540</v>
      </c>
      <c r="R79" s="5">
        <f>OBRA!T78</f>
        <v>41927</v>
      </c>
      <c r="S79" s="11">
        <f>OBRA!U78</f>
        <v>41988</v>
      </c>
      <c r="T79" s="52"/>
      <c r="U79" s="226" t="s">
        <v>1428</v>
      </c>
      <c r="V79" s="105"/>
      <c r="W79" s="53"/>
      <c r="X79" s="278">
        <f>OBRA!AR78</f>
        <v>0</v>
      </c>
      <c r="Y79" s="309"/>
      <c r="Z79" s="309"/>
      <c r="AA79" s="5"/>
      <c r="AB79" s="313"/>
      <c r="AC79" s="317">
        <f>OBRA!BW78</f>
        <v>0</v>
      </c>
      <c r="AD79" s="352"/>
      <c r="AE79" s="352"/>
    </row>
    <row r="80" spans="1:31" ht="60.75" hidden="1" customHeight="1">
      <c r="A80" s="22" t="s">
        <v>2206</v>
      </c>
      <c r="B80" s="809" t="str">
        <f>GRAL!B81</f>
        <v>2012-2015</v>
      </c>
      <c r="C80" s="16">
        <f>OBRA!J79</f>
        <v>2014</v>
      </c>
      <c r="D80" s="1415"/>
      <c r="E80" s="17">
        <f>OBRA!M79</f>
        <v>0</v>
      </c>
      <c r="F80" s="478"/>
      <c r="G80" s="352"/>
      <c r="H80" s="1"/>
      <c r="I80" s="352"/>
      <c r="J80" s="208" t="str">
        <f>OBRA!W79</f>
        <v>-</v>
      </c>
      <c r="K80" s="231" t="str">
        <f>OBRA!X79</f>
        <v>ARQ. JAIME CONDE GOMEZ</v>
      </c>
      <c r="L80" s="19" t="str">
        <f>OBRA!N79</f>
        <v>DOP/AD/021/2014</v>
      </c>
      <c r="M80" s="2" t="str">
        <f>OBRA!O79</f>
        <v>ADMINISTRACIÓN DIRECTA</v>
      </c>
      <c r="N80" s="3" t="str">
        <f>OBRA!P79</f>
        <v>REHABILITACION DE BANQUETAS EN C. HIDALGO CRUCE CON CALLE DONATO GUERRA EN LA CABECERA MUNICIPAL</v>
      </c>
      <c r="O80" s="3"/>
      <c r="P80" s="6">
        <f>OBRA!S79</f>
        <v>41939</v>
      </c>
      <c r="Q80" s="4">
        <f>OBRA!R79</f>
        <v>40279.599999999999</v>
      </c>
      <c r="R80" s="5">
        <f>OBRA!T79</f>
        <v>41939</v>
      </c>
      <c r="S80" s="11">
        <f>OBRA!U79</f>
        <v>41954</v>
      </c>
      <c r="T80" s="52"/>
      <c r="U80" s="226" t="s">
        <v>1428</v>
      </c>
      <c r="V80" s="105"/>
      <c r="W80" s="53"/>
      <c r="X80" s="278">
        <f>OBRA!AR79</f>
        <v>0</v>
      </c>
      <c r="Y80" s="309"/>
      <c r="Z80" s="309"/>
      <c r="AA80" s="5"/>
      <c r="AB80" s="313"/>
      <c r="AC80" s="317">
        <f>OBRA!BW79</f>
        <v>0</v>
      </c>
      <c r="AD80" s="352"/>
      <c r="AE80" s="352"/>
    </row>
    <row r="81" spans="1:31" ht="45.75" hidden="1" customHeight="1">
      <c r="A81" s="22" t="s">
        <v>2206</v>
      </c>
      <c r="B81" s="809" t="str">
        <f>GRAL!B82</f>
        <v>2012-2015</v>
      </c>
      <c r="C81" s="16">
        <f>OBRA!J80</f>
        <v>2014</v>
      </c>
      <c r="D81" s="1415"/>
      <c r="E81" s="17" t="str">
        <f>OBRA!M80</f>
        <v>3X1 PARA MIGRANTES</v>
      </c>
      <c r="F81" s="478"/>
      <c r="G81" s="23"/>
      <c r="H81" s="1"/>
      <c r="I81" s="352"/>
      <c r="J81" s="208" t="str">
        <f>OBRA!W80</f>
        <v>ESTUDIO CASA Y CIUDAD SA DE CV</v>
      </c>
      <c r="K81" s="231" t="str">
        <f>OBRA!X80</f>
        <v>C. DANIEL RODRIGUEZ VALENZUELA</v>
      </c>
      <c r="L81" s="19" t="str">
        <f>OBRA!N80</f>
        <v>GMJ 004C OP/2014</v>
      </c>
      <c r="M81" s="2" t="str">
        <f>OBRA!O80</f>
        <v>INVITACIÓN</v>
      </c>
      <c r="N81" s="3" t="str">
        <f>OBRA!P80</f>
        <v>TERMINACION DE GUARDERIA EN LA CABECERA MUNICIPAL DE JOCOTEPEC</v>
      </c>
      <c r="O81" s="3"/>
      <c r="P81" s="6">
        <f>OBRA!S80</f>
        <v>41848</v>
      </c>
      <c r="Q81" s="4">
        <f>OBRA!R80</f>
        <v>3006508.94</v>
      </c>
      <c r="R81" s="5">
        <f>OBRA!T80</f>
        <v>41855</v>
      </c>
      <c r="S81" s="11">
        <f>OBRA!U80</f>
        <v>41975</v>
      </c>
      <c r="T81" s="52"/>
      <c r="U81" s="226" t="s">
        <v>1428</v>
      </c>
      <c r="V81" s="105"/>
      <c r="W81" s="53"/>
      <c r="X81" s="278">
        <f>OBRA!AR80</f>
        <v>0</v>
      </c>
      <c r="Y81" s="309"/>
      <c r="Z81" s="309"/>
      <c r="AA81" s="5"/>
      <c r="AB81" s="313"/>
      <c r="AC81" s="317">
        <f>OBRA!BW80</f>
        <v>0</v>
      </c>
      <c r="AD81" s="352"/>
      <c r="AE81" s="352"/>
    </row>
    <row r="82" spans="1:31" s="299" customFormat="1" ht="132.75" hidden="1" customHeight="1">
      <c r="A82" s="305" t="s">
        <v>2206</v>
      </c>
      <c r="B82" s="853" t="str">
        <f>GRAL!B83</f>
        <v>2012-2015</v>
      </c>
      <c r="C82" s="288">
        <f>OBRA!J81</f>
        <v>2014</v>
      </c>
      <c r="D82" s="782"/>
      <c r="E82" s="484" t="str">
        <f>OBRA!M81</f>
        <v>RAMO 33</v>
      </c>
      <c r="F82" s="486" t="s">
        <v>1428</v>
      </c>
      <c r="G82" s="491" t="s">
        <v>2207</v>
      </c>
      <c r="H82" s="452" t="s">
        <v>2208</v>
      </c>
      <c r="I82" s="453" t="s">
        <v>2209</v>
      </c>
      <c r="J82" s="307" t="str">
        <f>OBRA!W81</f>
        <v>PROYECTO DISEÑO Y CONSTRUCCION</v>
      </c>
      <c r="K82" s="304" t="str">
        <f>OBRA!X81</f>
        <v>C. DANIEL RODRIGUEZ VALENZUELA</v>
      </c>
      <c r="L82" s="439" t="str">
        <f>OBRA!N81</f>
        <v>GMJ 005C OP/2014</v>
      </c>
      <c r="M82" s="291" t="str">
        <f>OBRA!O81</f>
        <v>ADJUDICACIÓN DIRECTA</v>
      </c>
      <c r="N82" s="292" t="str">
        <f>OBRA!P81</f>
        <v>ALUMBRADO PUBLICO EN AV. DEL TRABAJO, EN LA DELEGACIÓN DE ZAPOTITAN DE HIDALGO, DEL MUNICIPIO DE JOCOTEPEC, JALISCO</v>
      </c>
      <c r="O82" s="465" t="s">
        <v>2210</v>
      </c>
      <c r="P82" s="294">
        <f>OBRA!S81</f>
        <v>41901</v>
      </c>
      <c r="Q82" s="293">
        <f>OBRA!R81</f>
        <v>887908.66</v>
      </c>
      <c r="R82" s="295">
        <f>OBRA!T81</f>
        <v>41911</v>
      </c>
      <c r="S82" s="296">
        <f>OBRA!U81</f>
        <v>41954</v>
      </c>
      <c r="T82" s="366"/>
      <c r="U82" s="804" t="s">
        <v>1428</v>
      </c>
      <c r="V82" s="454" t="s">
        <v>2211</v>
      </c>
      <c r="W82" s="455" t="s">
        <v>2212</v>
      </c>
      <c r="X82" s="446">
        <f>88790.87*2</f>
        <v>177581.74</v>
      </c>
      <c r="Y82" s="310"/>
      <c r="Z82" s="310"/>
      <c r="AA82" s="295"/>
      <c r="AB82" s="1854"/>
      <c r="AC82" s="384">
        <f>OBRA!BW81</f>
        <v>0</v>
      </c>
      <c r="AD82" s="353"/>
      <c r="AE82" s="353" t="s">
        <v>551</v>
      </c>
    </row>
    <row r="83" spans="1:31" ht="90.75" hidden="1" customHeight="1">
      <c r="A83" s="22" t="s">
        <v>2206</v>
      </c>
      <c r="B83" s="809" t="str">
        <f>GRAL!B84</f>
        <v>2012-2015</v>
      </c>
      <c r="C83" s="16">
        <f>OBRA!J82</f>
        <v>2014</v>
      </c>
      <c r="D83" s="1415"/>
      <c r="E83" s="17" t="str">
        <f>OBRA!M82</f>
        <v>RAMO 33</v>
      </c>
      <c r="F83" s="436" t="s">
        <v>1428</v>
      </c>
      <c r="G83" s="492"/>
      <c r="H83" s="440"/>
      <c r="I83" s="441"/>
      <c r="J83" s="208" t="str">
        <f>OBRA!W82</f>
        <v>-</v>
      </c>
      <c r="K83" s="231" t="str">
        <f>OBRA!X82</f>
        <v>ING. RIGOBERTO OLMEDO RAMOS</v>
      </c>
      <c r="L83" s="439" t="str">
        <f>OBRA!N82</f>
        <v>DOP/AD/029/2014</v>
      </c>
      <c r="M83" s="2" t="str">
        <f>OBRA!O82</f>
        <v>ADMINISTRACIÓN DIRECTA</v>
      </c>
      <c r="N83" s="3" t="str">
        <f>OBRA!P82</f>
        <v>REHABILITACIÓN DE RED DE DRENAJE EN C. HIDALGO, CON REPOSICIÓN DE EMPEDRADO DE; C. NIÑOS HEROES HASTA ESCUELA J. VICENTE NEGRETE, EN LA AGENCIA MUNICIPAL DE EL MOLINO.</v>
      </c>
      <c r="O83" s="438"/>
      <c r="P83" s="6">
        <f>OBRA!S82</f>
        <v>41823</v>
      </c>
      <c r="Q83" s="4">
        <f>OBRA!R82</f>
        <v>295674.09999999998</v>
      </c>
      <c r="R83" s="5">
        <f>OBRA!T82</f>
        <v>41823</v>
      </c>
      <c r="S83" s="11">
        <f>OBRA!U82</f>
        <v>41850</v>
      </c>
      <c r="T83" s="52"/>
      <c r="U83" s="226" t="s">
        <v>1428</v>
      </c>
      <c r="V83" s="438"/>
      <c r="W83" s="442"/>
      <c r="X83" s="278">
        <f>OBRA!AR82</f>
        <v>0</v>
      </c>
      <c r="Y83" s="309"/>
      <c r="Z83" s="309"/>
      <c r="AA83" s="5"/>
      <c r="AB83" s="313"/>
      <c r="AC83" s="317">
        <f>OBRA!BW82</f>
        <v>0</v>
      </c>
      <c r="AD83" s="352"/>
      <c r="AE83" s="352"/>
    </row>
    <row r="84" spans="1:31" ht="90.75" hidden="1" customHeight="1">
      <c r="A84" s="22" t="s">
        <v>2206</v>
      </c>
      <c r="B84" s="809" t="str">
        <f>GRAL!B85</f>
        <v>2012-2015</v>
      </c>
      <c r="C84" s="16">
        <f>OBRA!J83</f>
        <v>2014</v>
      </c>
      <c r="D84" s="1415"/>
      <c r="E84" s="17" t="str">
        <f>OBRA!M83</f>
        <v>RAMO 33</v>
      </c>
      <c r="F84" s="436" t="s">
        <v>1428</v>
      </c>
      <c r="G84" s="492"/>
      <c r="H84" s="440"/>
      <c r="I84" s="441"/>
      <c r="J84" s="208" t="str">
        <f>OBRA!W83</f>
        <v>-</v>
      </c>
      <c r="K84" s="231" t="str">
        <f>OBRA!X83</f>
        <v>ING. RIGOBERTO OLMEDO RAMOS</v>
      </c>
      <c r="L84" s="439" t="str">
        <f>OBRA!N83</f>
        <v>DOP/AD/030/2014</v>
      </c>
      <c r="M84" s="2" t="str">
        <f>OBRA!O83</f>
        <v>ADMINISTRACIÓN DIRECTA</v>
      </c>
      <c r="N84" s="3" t="str">
        <f>OBRA!P83</f>
        <v>REHABILITACIÓN DE RED DE AGUA POTABLE EN C. HIDALGO, CON REPOSICIÓN DE EMPEDRADO DE; C. NIÑOS HEROES HASTA ESCUELA J. VICENTE NEGRETE, EN LA AGENCIA MUNICIPAL DE EL MOLINO.</v>
      </c>
      <c r="O84" s="438"/>
      <c r="P84" s="6">
        <f>OBRA!S83</f>
        <v>41823</v>
      </c>
      <c r="Q84" s="4">
        <f>OBRA!R83</f>
        <v>220909.46</v>
      </c>
      <c r="R84" s="5">
        <f>OBRA!T83</f>
        <v>41841</v>
      </c>
      <c r="S84" s="11">
        <f>OBRA!U83</f>
        <v>41881</v>
      </c>
      <c r="T84" s="52"/>
      <c r="U84" s="226" t="s">
        <v>1428</v>
      </c>
      <c r="V84" s="438"/>
      <c r="W84" s="442"/>
      <c r="X84" s="278">
        <f>OBRA!AR83</f>
        <v>0</v>
      </c>
      <c r="Y84" s="309"/>
      <c r="Z84" s="309"/>
      <c r="AA84" s="5"/>
      <c r="AB84" s="313"/>
      <c r="AC84" s="317">
        <f>OBRA!BW83</f>
        <v>0</v>
      </c>
      <c r="AD84" s="352"/>
      <c r="AE84" s="352"/>
    </row>
    <row r="85" spans="1:31" ht="105.75" hidden="1" customHeight="1">
      <c r="A85" s="22" t="s">
        <v>2206</v>
      </c>
      <c r="B85" s="809" t="str">
        <f>GRAL!B86</f>
        <v>2012-2015</v>
      </c>
      <c r="C85" s="16">
        <f>OBRA!J84</f>
        <v>2014</v>
      </c>
      <c r="D85" s="1415"/>
      <c r="E85" s="17" t="str">
        <f>OBRA!M84</f>
        <v>RAMO 33</v>
      </c>
      <c r="F85" s="436" t="s">
        <v>1428</v>
      </c>
      <c r="G85" s="492"/>
      <c r="H85" s="440"/>
      <c r="I85" s="441"/>
      <c r="J85" s="208" t="str">
        <f>OBRA!W84</f>
        <v>-</v>
      </c>
      <c r="K85" s="231" t="str">
        <f>OBRA!X84</f>
        <v>ING. RIGOBERTO OLMEDO RAMOS</v>
      </c>
      <c r="L85" s="439" t="str">
        <f>OBRA!N84</f>
        <v>DOP/AD/031/2014</v>
      </c>
      <c r="M85" s="2" t="str">
        <f>OBRA!O84</f>
        <v>ADMINISTRACIÓN DIRECTA</v>
      </c>
      <c r="N85" s="3" t="str">
        <f>OBRA!P84</f>
        <v>REHABILITACIÓN DE RED DE DRENAJE EN C. NIÑOS HEROES , CON REPOSICIÓN DE EMPEDRADO DE; C. HIDALGO HASTA ESCUELATELESECUNDARIA NIÑOS HEROES, EN LA AGENCIA MUNICIPAL DE EL MOLINO.</v>
      </c>
      <c r="O85" s="438"/>
      <c r="P85" s="6">
        <f>OBRA!S84</f>
        <v>41823</v>
      </c>
      <c r="Q85" s="4">
        <f>OBRA!R84</f>
        <v>200492.77</v>
      </c>
      <c r="R85" s="5">
        <f>OBRA!T84</f>
        <v>41827</v>
      </c>
      <c r="S85" s="11">
        <f>OBRA!U84</f>
        <v>41881</v>
      </c>
      <c r="T85" s="52"/>
      <c r="U85" s="226" t="s">
        <v>1428</v>
      </c>
      <c r="V85" s="438"/>
      <c r="W85" s="442"/>
      <c r="X85" s="278">
        <f>OBRA!AR84</f>
        <v>0</v>
      </c>
      <c r="Y85" s="309"/>
      <c r="Z85" s="309"/>
      <c r="AA85" s="5"/>
      <c r="AB85" s="313"/>
      <c r="AC85" s="317">
        <f>OBRA!BW84</f>
        <v>0</v>
      </c>
      <c r="AD85" s="352"/>
      <c r="AE85" s="352"/>
    </row>
    <row r="86" spans="1:31" ht="105.75" hidden="1" customHeight="1">
      <c r="A86" s="22" t="s">
        <v>2206</v>
      </c>
      <c r="B86" s="809" t="str">
        <f>GRAL!B87</f>
        <v>2012-2015</v>
      </c>
      <c r="C86" s="16">
        <f>OBRA!J85</f>
        <v>2014</v>
      </c>
      <c r="D86" s="1415"/>
      <c r="E86" s="17" t="str">
        <f>OBRA!M85</f>
        <v>RAMO 33</v>
      </c>
      <c r="F86" s="436" t="s">
        <v>1428</v>
      </c>
      <c r="G86" s="492"/>
      <c r="H86" s="440"/>
      <c r="I86" s="441"/>
      <c r="J86" s="208" t="str">
        <f>OBRA!W85</f>
        <v>-</v>
      </c>
      <c r="K86" s="231" t="str">
        <f>OBRA!X85</f>
        <v>ING. RIGOBERTO OLMEDO RAMOS</v>
      </c>
      <c r="L86" s="439" t="str">
        <f>OBRA!N85</f>
        <v>DOP/AD/032/2014</v>
      </c>
      <c r="M86" s="2" t="str">
        <f>OBRA!O85</f>
        <v>ADMINISTRACIÓN DIRECTA</v>
      </c>
      <c r="N86" s="3" t="str">
        <f>OBRA!P85</f>
        <v>REHABILITACIÓN DE RED DE AGUA POTABLE EN C. NIÑOS HEROES , CON REPOSICIÓN DE EMPEDRADO DE; C. HIDALGO HASTA ESCUELA TELESECUNDARIA NIÑOS HEROES, EN LA AGENCIA MUNICIPAL DE EL MOLINO.</v>
      </c>
      <c r="O86" s="438"/>
      <c r="P86" s="6">
        <f>OBRA!S85</f>
        <v>41823</v>
      </c>
      <c r="Q86" s="4">
        <f>OBRA!R85</f>
        <v>191497.02</v>
      </c>
      <c r="R86" s="5">
        <f>OBRA!T85</f>
        <v>41865</v>
      </c>
      <c r="S86" s="11">
        <f>OBRA!U85</f>
        <v>41881</v>
      </c>
      <c r="T86" s="52"/>
      <c r="U86" s="226" t="s">
        <v>1428</v>
      </c>
      <c r="V86" s="438"/>
      <c r="W86" s="442"/>
      <c r="X86" s="278">
        <f>OBRA!AR85</f>
        <v>0</v>
      </c>
      <c r="Y86" s="309"/>
      <c r="Z86" s="309"/>
      <c r="AA86" s="5"/>
      <c r="AB86" s="313"/>
      <c r="AC86" s="317">
        <f>OBRA!BW85</f>
        <v>0</v>
      </c>
      <c r="AD86" s="352"/>
      <c r="AE86" s="352"/>
    </row>
    <row r="87" spans="1:31" ht="90.75" hidden="1" customHeight="1">
      <c r="A87" s="22" t="s">
        <v>2206</v>
      </c>
      <c r="B87" s="809" t="str">
        <f>GRAL!B88</f>
        <v>2012-2015</v>
      </c>
      <c r="C87" s="16">
        <f>OBRA!J86</f>
        <v>2014</v>
      </c>
      <c r="D87" s="1415"/>
      <c r="E87" s="17" t="str">
        <f>OBRA!M86</f>
        <v>RAMO 33</v>
      </c>
      <c r="F87" s="436" t="s">
        <v>1428</v>
      </c>
      <c r="G87" s="492"/>
      <c r="H87" s="440"/>
      <c r="I87" s="441"/>
      <c r="J87" s="208" t="str">
        <f>OBRA!W86</f>
        <v>-</v>
      </c>
      <c r="K87" s="231" t="str">
        <f>OBRA!X86</f>
        <v>ING. RIGOBERTO OLMEDO RAMOS</v>
      </c>
      <c r="L87" s="439" t="str">
        <f>OBRA!N86</f>
        <v>DOP/AD/033/2014</v>
      </c>
      <c r="M87" s="2" t="str">
        <f>OBRA!O86</f>
        <v>ADMINISTRACIÓN DIRECTA</v>
      </c>
      <c r="N87" s="3" t="str">
        <f>OBRA!P86</f>
        <v>REHABILITACIÓN DE RED DE DRENAJE EN C. VICENTE SUAREZ, CON REPOSICIÓN DE EMPEDRADO; ENTRE C. INDEPENDENCIA Y NIÑOS HEROES, EN LA AGENCIA MUNICIPAL DE EL MOLINO.</v>
      </c>
      <c r="O87" s="438"/>
      <c r="P87" s="6">
        <f>OBRA!S86</f>
        <v>41823</v>
      </c>
      <c r="Q87" s="4">
        <f>OBRA!R86</f>
        <v>278434.27</v>
      </c>
      <c r="R87" s="5">
        <f>OBRA!T86</f>
        <v>41848</v>
      </c>
      <c r="S87" s="11">
        <f>OBRA!U86</f>
        <v>41912</v>
      </c>
      <c r="T87" s="52"/>
      <c r="U87" s="226" t="s">
        <v>1428</v>
      </c>
      <c r="V87" s="438"/>
      <c r="W87" s="442"/>
      <c r="X87" s="278">
        <f>OBRA!AR86</f>
        <v>0</v>
      </c>
      <c r="Y87" s="309"/>
      <c r="Z87" s="309"/>
      <c r="AA87" s="5"/>
      <c r="AB87" s="313"/>
      <c r="AC87" s="317">
        <f>OBRA!BW86</f>
        <v>0</v>
      </c>
      <c r="AD87" s="352"/>
      <c r="AE87" s="352"/>
    </row>
    <row r="88" spans="1:31" ht="90.75" hidden="1" customHeight="1">
      <c r="A88" s="22" t="s">
        <v>2206</v>
      </c>
      <c r="B88" s="809" t="str">
        <f>GRAL!B89</f>
        <v>2012-2015</v>
      </c>
      <c r="C88" s="16">
        <f>OBRA!J87</f>
        <v>2014</v>
      </c>
      <c r="D88" s="1415"/>
      <c r="E88" s="17" t="str">
        <f>OBRA!M87</f>
        <v>RAMO 33</v>
      </c>
      <c r="F88" s="436" t="s">
        <v>1428</v>
      </c>
      <c r="G88" s="492"/>
      <c r="H88" s="440"/>
      <c r="I88" s="441"/>
      <c r="J88" s="208" t="str">
        <f>OBRA!W87</f>
        <v>-</v>
      </c>
      <c r="K88" s="231" t="str">
        <f>OBRA!X87</f>
        <v>ING. RIGOBERTO OLMEDO RAMOS</v>
      </c>
      <c r="L88" s="439" t="str">
        <f>OBRA!N87</f>
        <v>DOP/AD/034/2014</v>
      </c>
      <c r="M88" s="2" t="str">
        <f>OBRA!O87</f>
        <v>ADMINISTRACIÓN DIRECTA</v>
      </c>
      <c r="N88" s="3" t="str">
        <f>OBRA!P87</f>
        <v>REHABILITACIÓN DE RED DE AGUA POTABLE EN C. VICENTE SUAREZ, CON REPOSICIÓN DE EMPEDRADO; ENTRE C. INDEPENDENCIA Y NIÑOS HEROES, EN LA AGENCIA MUNICIPAL DE EL MOLINO.</v>
      </c>
      <c r="O88" s="438"/>
      <c r="P88" s="6">
        <f>OBRA!S87</f>
        <v>41823</v>
      </c>
      <c r="Q88" s="4">
        <f>OBRA!R87</f>
        <v>231798.06</v>
      </c>
      <c r="R88" s="5">
        <f>OBRA!T87</f>
        <v>41862</v>
      </c>
      <c r="S88" s="11">
        <f>OBRA!U87</f>
        <v>41912</v>
      </c>
      <c r="T88" s="52"/>
      <c r="U88" s="226" t="s">
        <v>1428</v>
      </c>
      <c r="V88" s="438"/>
      <c r="W88" s="442"/>
      <c r="X88" s="278">
        <f>OBRA!AR87</f>
        <v>0</v>
      </c>
      <c r="Y88" s="309"/>
      <c r="Z88" s="309"/>
      <c r="AA88" s="5"/>
      <c r="AB88" s="313"/>
      <c r="AC88" s="317">
        <f>OBRA!BW87</f>
        <v>0</v>
      </c>
      <c r="AD88" s="352"/>
      <c r="AE88" s="352"/>
    </row>
    <row r="89" spans="1:31" s="299" customFormat="1" ht="204.75" hidden="1" customHeight="1">
      <c r="A89" s="305" t="s">
        <v>2206</v>
      </c>
      <c r="B89" s="853" t="str">
        <f>GRAL!B90</f>
        <v>2012-2015</v>
      </c>
      <c r="C89" s="288">
        <f>OBRA!J88</f>
        <v>2014</v>
      </c>
      <c r="D89" s="782"/>
      <c r="E89" s="484" t="str">
        <f>OBRA!M88</f>
        <v>CUENTA CORRIENTE</v>
      </c>
      <c r="F89" s="486" t="s">
        <v>1428</v>
      </c>
      <c r="G89" s="491" t="s">
        <v>2213</v>
      </c>
      <c r="H89" s="452" t="s">
        <v>2214</v>
      </c>
      <c r="I89" s="453" t="s">
        <v>2215</v>
      </c>
      <c r="J89" s="307" t="str">
        <f>OBRA!W88</f>
        <v>JOSE LUIS RANGEL GALVEZ</v>
      </c>
      <c r="K89" s="304" t="str">
        <f>OBRA!X88</f>
        <v>C. DANIEL RODRIGUEZ VALENZUELA</v>
      </c>
      <c r="L89" s="439" t="str">
        <f>OBRA!N88</f>
        <v>GMJ 006C OP/2014</v>
      </c>
      <c r="M89" s="291" t="str">
        <f>OBRA!O88</f>
        <v>ADJUDICACIÓN DIRECTA</v>
      </c>
      <c r="N89" s="292" t="str">
        <f>OBRA!P88</f>
        <v>CONSTRUCCION DE BANQUETAS EN LA CALLE MORELOS ENTRE C. MATAMOROS Y C. GUADALUPE VICTORIA, (2 LADOS) NORTE Y SUR, CONSTRUCCIONDE BANQUETS EN  LA CALLE MORELOS ENTRE C. HIDALGO Y JOSEFA ORTIZ DE DOMINGUEZ, (1 LADO) NORTE EN LA CABECERA MUNICIPAL DE JOCOTEPEC, JALISCO</v>
      </c>
      <c r="O89" s="465" t="s">
        <v>2216</v>
      </c>
      <c r="P89" s="294">
        <f>OBRA!S88</f>
        <v>41901</v>
      </c>
      <c r="Q89" s="293">
        <f>OBRA!R88</f>
        <v>425152.03</v>
      </c>
      <c r="R89" s="295">
        <f>OBRA!T88</f>
        <v>41904</v>
      </c>
      <c r="S89" s="296">
        <f>OBRA!U88</f>
        <v>41941</v>
      </c>
      <c r="T89" s="366"/>
      <c r="U89" s="804" t="s">
        <v>1428</v>
      </c>
      <c r="V89" s="797" t="s">
        <v>2217</v>
      </c>
      <c r="W89" s="797" t="s">
        <v>2217</v>
      </c>
      <c r="X89" s="797" t="s">
        <v>2218</v>
      </c>
      <c r="Y89" s="310"/>
      <c r="Z89" s="310"/>
      <c r="AA89" s="295"/>
      <c r="AB89" s="1854"/>
      <c r="AC89" s="384">
        <f>OBRA!BW88</f>
        <v>0</v>
      </c>
      <c r="AD89" s="353"/>
      <c r="AE89" s="353" t="s">
        <v>551</v>
      </c>
    </row>
    <row r="90" spans="1:31" ht="60.75" hidden="1" customHeight="1">
      <c r="A90" s="22" t="s">
        <v>2206</v>
      </c>
      <c r="B90" s="809" t="str">
        <f>GRAL!B91</f>
        <v>2012-2015</v>
      </c>
      <c r="C90" s="16">
        <f>OBRA!J89</f>
        <v>2014</v>
      </c>
      <c r="D90" s="1415"/>
      <c r="E90" s="17" t="str">
        <f>OBRA!M89</f>
        <v>CUENTA CORRIENTE</v>
      </c>
      <c r="F90" s="436" t="s">
        <v>1428</v>
      </c>
      <c r="G90" s="492"/>
      <c r="H90" s="440"/>
      <c r="I90" s="441"/>
      <c r="J90" s="208" t="str">
        <f>OBRA!W89</f>
        <v>-</v>
      </c>
      <c r="K90" s="231" t="str">
        <f>OBRA!X89</f>
        <v>C. DANIEL RODRIGUEZ VALENZUELA</v>
      </c>
      <c r="L90" s="439" t="str">
        <f>OBRA!N89</f>
        <v>DOP/AD/039/2014</v>
      </c>
      <c r="M90" s="2" t="str">
        <f>OBRA!O89</f>
        <v>ADMINISTRACIÓN DIRECTA</v>
      </c>
      <c r="N90" s="3" t="str">
        <f>OBRA!P89</f>
        <v>CONSTRUCCION DE PLAZOLETA EN CALLE HIDALGO, EN LA DELEGACION DE SAN PERO TESISTAN, DEL MUNICIPIO DE JOCOTEPEC, JALISCO</v>
      </c>
      <c r="O90" s="438"/>
      <c r="P90" s="6">
        <f>OBRA!S89</f>
        <v>41974</v>
      </c>
      <c r="Q90" s="4">
        <f>OBRA!R89</f>
        <v>40000</v>
      </c>
      <c r="R90" s="5">
        <f>OBRA!T89</f>
        <v>41976</v>
      </c>
      <c r="S90" s="11">
        <f>OBRA!U89</f>
        <v>41997</v>
      </c>
      <c r="T90" s="52"/>
      <c r="U90" s="226" t="s">
        <v>1428</v>
      </c>
      <c r="V90" s="438"/>
      <c r="W90" s="442"/>
      <c r="X90" s="278">
        <f>OBRA!AR89</f>
        <v>0</v>
      </c>
      <c r="Y90" s="309"/>
      <c r="Z90" s="309"/>
      <c r="AA90" s="5"/>
      <c r="AB90" s="313"/>
      <c r="AC90" s="317">
        <f>OBRA!BW89</f>
        <v>0</v>
      </c>
      <c r="AD90" s="352"/>
      <c r="AE90" s="352"/>
    </row>
    <row r="91" spans="1:31" ht="30.75" hidden="1" customHeight="1">
      <c r="A91" s="22" t="s">
        <v>2206</v>
      </c>
      <c r="B91" s="809" t="str">
        <f>GRAL!B92</f>
        <v>2012-2015</v>
      </c>
      <c r="C91" s="16">
        <f>OBRA!J90</f>
        <v>2014</v>
      </c>
      <c r="D91" s="1415"/>
      <c r="E91" s="17" t="str">
        <f>OBRA!M90</f>
        <v>CUENTA CORRIENTE</v>
      </c>
      <c r="F91" s="436" t="s">
        <v>1428</v>
      </c>
      <c r="G91" s="492"/>
      <c r="H91" s="440"/>
      <c r="I91" s="441"/>
      <c r="J91" s="208" t="str">
        <f>OBRA!W90</f>
        <v>-</v>
      </c>
      <c r="K91" s="231">
        <f>OBRA!X90</f>
        <v>0</v>
      </c>
      <c r="L91" s="439" t="str">
        <f>OBRA!N90</f>
        <v>DOP/AD/040/2014</v>
      </c>
      <c r="M91" s="2" t="str">
        <f>OBRA!O90</f>
        <v>ADMINISTRACIÓN DIRECTA</v>
      </c>
      <c r="N91" s="3" t="str">
        <f>OBRA!P90</f>
        <v>APOYO PARA LA CONSTRUCCION DE ESCATOPISTAS EN EL MALECON</v>
      </c>
      <c r="O91" s="438"/>
      <c r="P91" s="6">
        <f>OBRA!S90</f>
        <v>41974</v>
      </c>
      <c r="Q91" s="4">
        <f>OBRA!R90</f>
        <v>15000</v>
      </c>
      <c r="R91" s="5">
        <f>OBRA!T90</f>
        <v>41981</v>
      </c>
      <c r="S91" s="11">
        <f>OBRA!U90</f>
        <v>41995</v>
      </c>
      <c r="T91" s="52"/>
      <c r="U91" s="226" t="s">
        <v>1428</v>
      </c>
      <c r="V91" s="438"/>
      <c r="W91" s="442"/>
      <c r="X91" s="278">
        <f>OBRA!AR90</f>
        <v>0</v>
      </c>
      <c r="Y91" s="309"/>
      <c r="Z91" s="309"/>
      <c r="AA91" s="5"/>
      <c r="AB91" s="313"/>
      <c r="AC91" s="317">
        <f>OBRA!BW90</f>
        <v>0</v>
      </c>
      <c r="AD91" s="352"/>
      <c r="AE91" s="352"/>
    </row>
    <row r="92" spans="1:31" ht="75.75" hidden="1" customHeight="1">
      <c r="A92" s="22" t="s">
        <v>2206</v>
      </c>
      <c r="B92" s="809" t="str">
        <f>GRAL!B93</f>
        <v>2012-2015</v>
      </c>
      <c r="C92" s="16">
        <f>OBRA!J91</f>
        <v>2014</v>
      </c>
      <c r="D92" s="1415"/>
      <c r="E92" s="17" t="str">
        <f>OBRA!M91</f>
        <v>CUENTA CORRIENTE</v>
      </c>
      <c r="F92" s="436" t="s">
        <v>1428</v>
      </c>
      <c r="G92" s="492"/>
      <c r="H92" s="440"/>
      <c r="I92" s="441"/>
      <c r="J92" s="208" t="str">
        <f>OBRA!W91</f>
        <v>-</v>
      </c>
      <c r="K92" s="231">
        <f>OBRA!X91</f>
        <v>0</v>
      </c>
      <c r="L92" s="439" t="str">
        <f>OBRA!N91</f>
        <v>DOP/AD/041/2014</v>
      </c>
      <c r="M92" s="2" t="str">
        <f>OBRA!O91</f>
        <v>ADMINISTRACIÓN DIRECTA</v>
      </c>
      <c r="N92" s="3" t="str">
        <f>OBRA!P91</f>
        <v>DEMOLICION Y REUBICACION DE NICHO DE IMAGEN RELIGIOSA EN PRIVADA ALLENDE ESQUINA MORELOS, EN AGENCIA DE CHANTEPEC</v>
      </c>
      <c r="O92" s="438"/>
      <c r="P92" s="6">
        <f>OBRA!S91</f>
        <v>41974</v>
      </c>
      <c r="Q92" s="4">
        <f>OBRA!R91</f>
        <v>15000</v>
      </c>
      <c r="R92" s="5">
        <f>OBRA!T91</f>
        <v>41981</v>
      </c>
      <c r="S92" s="11">
        <f>OBRA!U91</f>
        <v>41988</v>
      </c>
      <c r="T92" s="52"/>
      <c r="U92" s="226" t="s">
        <v>1428</v>
      </c>
      <c r="V92" s="438"/>
      <c r="W92" s="442"/>
      <c r="X92" s="278">
        <f>OBRA!AR91</f>
        <v>0</v>
      </c>
      <c r="Y92" s="309"/>
      <c r="Z92" s="309"/>
      <c r="AA92" s="5"/>
      <c r="AB92" s="313"/>
      <c r="AC92" s="317">
        <f>OBRA!BW91</f>
        <v>0</v>
      </c>
      <c r="AD92" s="352"/>
      <c r="AE92" s="352"/>
    </row>
    <row r="93" spans="1:31" ht="60.75" hidden="1" customHeight="1">
      <c r="A93" s="22" t="s">
        <v>2206</v>
      </c>
      <c r="B93" s="809" t="str">
        <f>GRAL!B94</f>
        <v>2012-2015</v>
      </c>
      <c r="C93" s="16">
        <f>OBRA!J92</f>
        <v>2014</v>
      </c>
      <c r="D93" s="1415"/>
      <c r="E93" s="17" t="str">
        <f>OBRA!M92</f>
        <v>FISE</v>
      </c>
      <c r="F93" s="13"/>
      <c r="G93" s="492"/>
      <c r="H93" s="440"/>
      <c r="I93" s="441"/>
      <c r="J93" s="208" t="str">
        <f>OBRA!W92</f>
        <v>SIOP</v>
      </c>
      <c r="K93" s="231" t="str">
        <f>OBRA!X92</f>
        <v>SIOP</v>
      </c>
      <c r="L93" s="439" t="str">
        <f>OBRA!N92</f>
        <v>CONT X ESTADO</v>
      </c>
      <c r="M93" s="2" t="str">
        <f>OBRA!O92</f>
        <v>CONT X ESTADO</v>
      </c>
      <c r="N93" s="3" t="str">
        <f>OBRA!P92</f>
        <v>CONSTRUCCION DE RED DE AGUA POTABLE, DRENAJE SANITARIO Y/O ELECTRIFICACIÓN EN AV. TULE, ZAPOTITAN DE HIDALGO</v>
      </c>
      <c r="O93" s="438"/>
      <c r="P93" s="6" t="str">
        <f>OBRA!S92</f>
        <v>-</v>
      </c>
      <c r="Q93" s="4" t="str">
        <f>OBRA!R92</f>
        <v>-</v>
      </c>
      <c r="R93" s="5" t="str">
        <f>OBRA!T92</f>
        <v>-</v>
      </c>
      <c r="S93" s="11" t="str">
        <f>OBRA!U92</f>
        <v>-</v>
      </c>
      <c r="T93" s="52"/>
      <c r="U93" s="226" t="s">
        <v>1428</v>
      </c>
      <c r="V93" s="438"/>
      <c r="W93" s="442"/>
      <c r="X93" s="278">
        <f>OBRA!AR92</f>
        <v>0</v>
      </c>
      <c r="Y93" s="309"/>
      <c r="Z93" s="309"/>
      <c r="AA93" s="5"/>
      <c r="AB93" s="313"/>
      <c r="AC93" s="317">
        <f>OBRA!BW92</f>
        <v>0</v>
      </c>
      <c r="AD93" s="352"/>
      <c r="AE93" s="352"/>
    </row>
    <row r="94" spans="1:31" ht="60.75" hidden="1" customHeight="1">
      <c r="A94" s="22" t="s">
        <v>2206</v>
      </c>
      <c r="B94" s="809" t="str">
        <f>GRAL!B95</f>
        <v>2012-2015</v>
      </c>
      <c r="C94" s="16">
        <f>OBRA!J93</f>
        <v>2014</v>
      </c>
      <c r="D94" s="1415"/>
      <c r="E94" s="17" t="str">
        <f>OBRA!M93</f>
        <v>FISE</v>
      </c>
      <c r="F94" s="478"/>
      <c r="G94" s="492"/>
      <c r="H94" s="440"/>
      <c r="I94" s="441"/>
      <c r="J94" s="208" t="str">
        <f>OBRA!W93</f>
        <v>SIOP</v>
      </c>
      <c r="K94" s="231" t="str">
        <f>OBRA!X93</f>
        <v>SIOP</v>
      </c>
      <c r="L94" s="439" t="str">
        <f>OBRA!N93</f>
        <v>CONT X ESTADO</v>
      </c>
      <c r="M94" s="2" t="str">
        <f>OBRA!O93</f>
        <v>CONT X ESTADO</v>
      </c>
      <c r="N94" s="3" t="str">
        <f>OBRA!P93</f>
        <v>CONSTRUCCION DE RED DE AGUA POTABLE, DRENAJE SANITARIO Y/O ELECTRIFICACIÓN EN AV. TULE 2, ZAPOTITAN DE HIDALGO</v>
      </c>
      <c r="O94" s="438"/>
      <c r="P94" s="6" t="str">
        <f>OBRA!S93</f>
        <v>-</v>
      </c>
      <c r="Q94" s="4" t="str">
        <f>OBRA!R93</f>
        <v>-</v>
      </c>
      <c r="R94" s="5" t="str">
        <f>OBRA!T93</f>
        <v>-</v>
      </c>
      <c r="S94" s="11" t="str">
        <f>OBRA!U93</f>
        <v>-</v>
      </c>
      <c r="T94" s="52"/>
      <c r="U94" s="226" t="s">
        <v>1428</v>
      </c>
      <c r="V94" s="438"/>
      <c r="W94" s="442"/>
      <c r="X94" s="278">
        <f>OBRA!AR93</f>
        <v>0</v>
      </c>
      <c r="Y94" s="309"/>
      <c r="Z94" s="309"/>
      <c r="AA94" s="5"/>
      <c r="AB94" s="313"/>
      <c r="AC94" s="317">
        <f>OBRA!BW93</f>
        <v>0</v>
      </c>
      <c r="AD94" s="352"/>
      <c r="AE94" s="352"/>
    </row>
    <row r="95" spans="1:31" ht="75.75" hidden="1" customHeight="1">
      <c r="A95" s="22" t="s">
        <v>2206</v>
      </c>
      <c r="B95" s="809" t="str">
        <f>GRAL!B96</f>
        <v>2012-2015</v>
      </c>
      <c r="C95" s="16">
        <f>OBRA!J94</f>
        <v>2014</v>
      </c>
      <c r="D95" s="1415"/>
      <c r="E95" s="17" t="str">
        <f>OBRA!M94</f>
        <v>FISE</v>
      </c>
      <c r="F95" s="478"/>
      <c r="G95" s="492"/>
      <c r="H95" s="440"/>
      <c r="I95" s="441"/>
      <c r="J95" s="208" t="str">
        <f>OBRA!W94</f>
        <v>SIOP</v>
      </c>
      <c r="K95" s="231" t="str">
        <f>OBRA!X94</f>
        <v>SIOP</v>
      </c>
      <c r="L95" s="439" t="str">
        <f>OBRA!N94</f>
        <v>CONT X ESTADO</v>
      </c>
      <c r="M95" s="2" t="str">
        <f>OBRA!O94</f>
        <v>CONT X ESTADO</v>
      </c>
      <c r="N95" s="3" t="str">
        <f>OBRA!P94</f>
        <v>CONSTRUCCION DE RED DE AGUA POTABLE, DRENAJE SANITARIO Y/O ELECTRIFICACIÓN EN C. FRATERNIDAD, ZAPOTITAN DE HIDALGO</v>
      </c>
      <c r="O95" s="438"/>
      <c r="P95" s="6" t="str">
        <f>OBRA!S94</f>
        <v>-</v>
      </c>
      <c r="Q95" s="4" t="str">
        <f>OBRA!R94</f>
        <v>-</v>
      </c>
      <c r="R95" s="5" t="str">
        <f>OBRA!T94</f>
        <v>-</v>
      </c>
      <c r="S95" s="11" t="str">
        <f>OBRA!U94</f>
        <v>-</v>
      </c>
      <c r="T95" s="52"/>
      <c r="U95" s="226" t="s">
        <v>1428</v>
      </c>
      <c r="V95" s="438"/>
      <c r="W95" s="442"/>
      <c r="X95" s="278">
        <f>OBRA!AR94</f>
        <v>0</v>
      </c>
      <c r="Y95" s="309"/>
      <c r="Z95" s="309"/>
      <c r="AA95" s="5"/>
      <c r="AB95" s="313"/>
      <c r="AC95" s="317">
        <f>OBRA!BW94</f>
        <v>0</v>
      </c>
      <c r="AD95" s="352"/>
      <c r="AE95" s="352"/>
    </row>
    <row r="96" spans="1:31" s="299" customFormat="1" ht="77.25" hidden="1" customHeight="1">
      <c r="A96" s="305" t="s">
        <v>2206</v>
      </c>
      <c r="B96" s="853" t="str">
        <f>GRAL!B97</f>
        <v>2012-2015</v>
      </c>
      <c r="C96" s="288">
        <f>OBRA!J95</f>
        <v>2015</v>
      </c>
      <c r="D96" s="782"/>
      <c r="E96" s="306" t="str">
        <f>OBRA!M95</f>
        <v>RAMO 33</v>
      </c>
      <c r="F96" s="485" t="s">
        <v>1428</v>
      </c>
      <c r="G96" s="491" t="s">
        <v>2219</v>
      </c>
      <c r="H96" s="797" t="s">
        <v>2217</v>
      </c>
      <c r="I96" s="453" t="s">
        <v>2220</v>
      </c>
      <c r="J96" s="307" t="str">
        <f>OBRA!W95</f>
        <v>C. EFRAIN GONZALEZ CRUZ</v>
      </c>
      <c r="K96" s="304" t="str">
        <f>OBRA!X95</f>
        <v>ING. RIGOBERTO OLMEDO RAMOS</v>
      </c>
      <c r="L96" s="439" t="str">
        <f>OBRA!N95</f>
        <v>GMJ 001C OP/2015</v>
      </c>
      <c r="M96" s="291" t="str">
        <f>OBRA!O95</f>
        <v>ADJUDICACIÓN DIRECTA</v>
      </c>
      <c r="N96" s="292" t="str">
        <f>OBRA!P95</f>
        <v>ELECTRIFICACIÓN DE MEDIA Y BAJA TENSION EN EL BARRIO "LA BECERRERA", EN LA AGENCIA DE EL MOLINO</v>
      </c>
      <c r="O96" s="438" t="s">
        <v>1441</v>
      </c>
      <c r="P96" s="294">
        <f>OBRA!S95</f>
        <v>42010</v>
      </c>
      <c r="Q96" s="293">
        <f>OBRA!R95</f>
        <v>265913.18</v>
      </c>
      <c r="R96" s="295">
        <f>OBRA!T95</f>
        <v>42016</v>
      </c>
      <c r="S96" s="296">
        <f>OBRA!U95</f>
        <v>42030</v>
      </c>
      <c r="T96" s="366"/>
      <c r="U96" s="804" t="s">
        <v>1428</v>
      </c>
      <c r="V96" s="454" t="s">
        <v>1445</v>
      </c>
      <c r="W96" s="455" t="s">
        <v>2221</v>
      </c>
      <c r="X96" s="805">
        <f>OBRA!AR95</f>
        <v>26591.360000000001</v>
      </c>
      <c r="Y96" s="310"/>
      <c r="Z96" s="310"/>
      <c r="AA96" s="295"/>
      <c r="AB96" s="1854"/>
      <c r="AC96" s="384">
        <f>OBRA!BW95</f>
        <v>0</v>
      </c>
      <c r="AD96" s="353"/>
      <c r="AE96" s="353" t="s">
        <v>551</v>
      </c>
    </row>
    <row r="97" spans="1:31" s="299" customFormat="1" ht="101.25" hidden="1" customHeight="1">
      <c r="A97" s="305" t="s">
        <v>2206</v>
      </c>
      <c r="B97" s="853" t="str">
        <f>GRAL!B98</f>
        <v>2012-2015</v>
      </c>
      <c r="C97" s="288">
        <f>OBRA!J96</f>
        <v>2015</v>
      </c>
      <c r="D97" s="782"/>
      <c r="E97" s="306" t="str">
        <f>OBRA!M96</f>
        <v>CUENTA CORRIENTE</v>
      </c>
      <c r="F97" s="485" t="s">
        <v>1428</v>
      </c>
      <c r="G97" s="491" t="s">
        <v>2222</v>
      </c>
      <c r="H97" s="797" t="s">
        <v>2217</v>
      </c>
      <c r="I97" s="453" t="s">
        <v>2223</v>
      </c>
      <c r="J97" s="307" t="str">
        <f>OBRA!W96</f>
        <v>HIDRAULICOS TRUJILLO S.A. DE C.V.</v>
      </c>
      <c r="K97" s="304" t="str">
        <f>OBRA!X96</f>
        <v>ING. RIGOBERTO OLMEDO RAMOS</v>
      </c>
      <c r="L97" s="439" t="str">
        <f>OBRA!N96</f>
        <v>GMJ 002C OP/2015</v>
      </c>
      <c r="M97" s="291" t="str">
        <f>OBRA!O96</f>
        <v>ADJUDICACIÓN DIRECTA</v>
      </c>
      <c r="N97" s="292" t="str">
        <f>OBRA!P96</f>
        <v>CONEXIÓN DE DRENAJE A PLANTA DE TRATAMIENTO PARALELO A CARRETERA CHAPALA-JOCOTEPEC, EN LA LOCALIDD DE: SAN JUAN COSALA</v>
      </c>
      <c r="O97" s="465" t="s">
        <v>1448</v>
      </c>
      <c r="P97" s="294">
        <f>OBRA!S96</f>
        <v>42006</v>
      </c>
      <c r="Q97" s="293">
        <f>OBRA!R96</f>
        <v>95412.78</v>
      </c>
      <c r="R97" s="295">
        <f>OBRA!T96</f>
        <v>42006</v>
      </c>
      <c r="S97" s="296">
        <f>OBRA!U96</f>
        <v>42015</v>
      </c>
      <c r="T97" s="366"/>
      <c r="U97" s="804" t="s">
        <v>1428</v>
      </c>
      <c r="V97" s="454" t="s">
        <v>1453</v>
      </c>
      <c r="W97" s="455" t="s">
        <v>2224</v>
      </c>
      <c r="X97" s="805">
        <f>OBRA!AR96</f>
        <v>19082.560000000001</v>
      </c>
      <c r="Y97" s="310"/>
      <c r="Z97" s="310"/>
      <c r="AA97" s="295"/>
      <c r="AB97" s="1854"/>
      <c r="AC97" s="384">
        <f>OBRA!BW96</f>
        <v>0</v>
      </c>
      <c r="AD97" s="353"/>
      <c r="AE97" s="353" t="s">
        <v>551</v>
      </c>
    </row>
    <row r="98" spans="1:31" ht="90.75" hidden="1" customHeight="1">
      <c r="A98" s="22" t="s">
        <v>2206</v>
      </c>
      <c r="B98" s="809" t="str">
        <f>GRAL!B99</f>
        <v>2012-2015</v>
      </c>
      <c r="C98" s="16">
        <f>OBRA!J97</f>
        <v>2015</v>
      </c>
      <c r="D98" s="1415"/>
      <c r="E98" s="17" t="str">
        <f>OBRA!M97</f>
        <v>RAMO 33</v>
      </c>
      <c r="F98" s="485" t="s">
        <v>1428</v>
      </c>
      <c r="G98" s="492"/>
      <c r="H98" s="440"/>
      <c r="I98" s="441"/>
      <c r="J98" s="208" t="str">
        <f>OBRA!W97</f>
        <v>G I LANDING S.A. DE C.V.</v>
      </c>
      <c r="K98" s="231" t="str">
        <f>OBRA!X97</f>
        <v>C. DANIEL RODRIGUEZ VALENZUELA</v>
      </c>
      <c r="L98" s="439" t="str">
        <f>OBRA!N97</f>
        <v>GMJ 003C OP/2015</v>
      </c>
      <c r="M98" s="2" t="str">
        <f>OBRA!O97</f>
        <v>INVITACIÓN</v>
      </c>
      <c r="N98" s="3" t="str">
        <f>OBRA!P97</f>
        <v>PERFORACIÓN, ADEME, AFORO, ELECTRIFICACIÓN Y EQUIPAMIENTO DE POZO PROFUNDO Y CONSTRUCCION DE CASETA DE CONTROL EN LA AGENCIA DE SAN LUCIANO</v>
      </c>
      <c r="O98" s="438"/>
      <c r="P98" s="6">
        <f>OBRA!S97</f>
        <v>42046</v>
      </c>
      <c r="Q98" s="4">
        <f>OBRA!R97</f>
        <v>2359096.67</v>
      </c>
      <c r="R98" s="5">
        <f>OBRA!T97</f>
        <v>42051</v>
      </c>
      <c r="S98" s="11">
        <f>OBRA!U97</f>
        <v>42080</v>
      </c>
      <c r="T98" s="52"/>
      <c r="U98" s="226" t="s">
        <v>1428</v>
      </c>
      <c r="V98" s="438"/>
      <c r="W98" s="442"/>
      <c r="X98" s="278">
        <f>OBRA!AR97</f>
        <v>0</v>
      </c>
      <c r="Y98" s="309"/>
      <c r="Z98" s="309"/>
      <c r="AA98" s="5"/>
      <c r="AB98" s="313"/>
      <c r="AC98" s="317">
        <f>OBRA!BW97</f>
        <v>0</v>
      </c>
      <c r="AD98" s="352"/>
      <c r="AE98" s="352"/>
    </row>
    <row r="99" spans="1:31" s="299" customFormat="1" ht="61.5" hidden="1" customHeight="1">
      <c r="A99" s="305" t="s">
        <v>2206</v>
      </c>
      <c r="B99" s="853" t="str">
        <f>GRAL!B100</f>
        <v>2012-2015</v>
      </c>
      <c r="C99" s="288">
        <f>OBRA!J98</f>
        <v>2015</v>
      </c>
      <c r="D99" s="782"/>
      <c r="E99" s="306" t="str">
        <f>OBRA!M98</f>
        <v>RAMO 33</v>
      </c>
      <c r="F99" s="485" t="s">
        <v>1428</v>
      </c>
      <c r="G99" s="491" t="s">
        <v>2225</v>
      </c>
      <c r="H99" s="452" t="s">
        <v>1464</v>
      </c>
      <c r="I99" s="453" t="s">
        <v>2226</v>
      </c>
      <c r="J99" s="307" t="str">
        <f>OBRA!W98</f>
        <v>GECLAN, S.A. DE C.V.</v>
      </c>
      <c r="K99" s="304" t="str">
        <f>OBRA!X98</f>
        <v>C. DANIEL RODRIGUEZ VALENZUELA</v>
      </c>
      <c r="L99" s="439" t="str">
        <f>OBRA!N98</f>
        <v>GMJ 004C OP/2015</v>
      </c>
      <c r="M99" s="291" t="str">
        <f>OBRA!O98</f>
        <v>ADJUDICACIÓN DIRECTA</v>
      </c>
      <c r="N99" s="292" t="str">
        <f>OBRA!P98</f>
        <v>ELECTRIFICACIÓN DE POZO PROFUNDO  EN LA AGENCIA DE SAN LUCIANO</v>
      </c>
      <c r="O99" s="465" t="s">
        <v>1462</v>
      </c>
      <c r="P99" s="294">
        <f>OBRA!S98</f>
        <v>42209</v>
      </c>
      <c r="Q99" s="293">
        <f>OBRA!R98</f>
        <v>260536.84</v>
      </c>
      <c r="R99" s="295">
        <f>OBRA!T98</f>
        <v>42212</v>
      </c>
      <c r="S99" s="296">
        <f>OBRA!U98</f>
        <v>42225</v>
      </c>
      <c r="T99" s="366"/>
      <c r="U99" s="804" t="s">
        <v>1428</v>
      </c>
      <c r="V99" s="454" t="s">
        <v>1465</v>
      </c>
      <c r="W99" s="455" t="s">
        <v>2227</v>
      </c>
      <c r="X99" s="805">
        <f>OBRA!AR98</f>
        <v>26053.68</v>
      </c>
      <c r="Y99" s="310"/>
      <c r="Z99" s="310"/>
      <c r="AA99" s="295"/>
      <c r="AB99" s="1854"/>
      <c r="AC99" s="384">
        <f>OBRA!BW98</f>
        <v>0</v>
      </c>
      <c r="AD99" s="353"/>
      <c r="AE99" s="353" t="s">
        <v>551</v>
      </c>
    </row>
    <row r="100" spans="1:31" s="299" customFormat="1" ht="99" hidden="1" customHeight="1">
      <c r="A100" s="305" t="s">
        <v>2206</v>
      </c>
      <c r="B100" s="853" t="str">
        <f>GRAL!B101</f>
        <v>2012-2015</v>
      </c>
      <c r="C100" s="288">
        <f>OBRA!J99</f>
        <v>2015</v>
      </c>
      <c r="D100" s="782"/>
      <c r="E100" s="306" t="str">
        <f>OBRA!M99</f>
        <v>RAMO 33</v>
      </c>
      <c r="F100" s="485" t="s">
        <v>1428</v>
      </c>
      <c r="G100" s="491" t="s">
        <v>2228</v>
      </c>
      <c r="H100" s="452" t="s">
        <v>1469</v>
      </c>
      <c r="I100" s="453" t="s">
        <v>2229</v>
      </c>
      <c r="J100" s="307" t="str">
        <f>OBRA!W99</f>
        <v>C. EFRAIN GONZALEZ CRUZ</v>
      </c>
      <c r="K100" s="304" t="str">
        <f>OBRA!X99</f>
        <v>ING. RIGOBERTO OLMEDO RAMOS</v>
      </c>
      <c r="L100" s="439" t="str">
        <f>OBRA!N99</f>
        <v>GMJ 005C OP/2015</v>
      </c>
      <c r="M100" s="291" t="str">
        <f>OBRA!O99</f>
        <v>ADJUDICACIÓN DIRECTA</v>
      </c>
      <c r="N100" s="292" t="str">
        <f>OBRA!P99</f>
        <v>ELECTRIFICACIÓN DE MEDIA Y BAJA TENSION EN CALLES RAMÓN CORONA Y 12 DE OCTUBRE (BARRIO MEZQUITITO 1ER. ETAPA) EN LA DELEGACIÓN DE POTRERILLOS</v>
      </c>
      <c r="O100" s="465" t="s">
        <v>1467</v>
      </c>
      <c r="P100" s="294">
        <f>OBRA!S99</f>
        <v>42047</v>
      </c>
      <c r="Q100" s="293">
        <f>OBRA!R99</f>
        <v>307899.96000000002</v>
      </c>
      <c r="R100" s="295">
        <f>OBRA!T99</f>
        <v>42051</v>
      </c>
      <c r="S100" s="296">
        <f>OBRA!U99</f>
        <v>42065</v>
      </c>
      <c r="T100" s="366"/>
      <c r="U100" s="804" t="s">
        <v>1428</v>
      </c>
      <c r="V100" s="454" t="s">
        <v>1470</v>
      </c>
      <c r="W100" s="455" t="s">
        <v>2230</v>
      </c>
      <c r="X100" s="805">
        <f>OBRA!AR99</f>
        <v>36948</v>
      </c>
      <c r="Y100" s="310"/>
      <c r="Z100" s="310"/>
      <c r="AA100" s="295"/>
      <c r="AB100" s="1854"/>
      <c r="AC100" s="384">
        <f>OBRA!BW99</f>
        <v>0</v>
      </c>
      <c r="AD100" s="353"/>
      <c r="AE100" s="353" t="s">
        <v>551</v>
      </c>
    </row>
    <row r="101" spans="1:31" s="299" customFormat="1" ht="74.25" hidden="1" customHeight="1">
      <c r="A101" s="305" t="s">
        <v>2206</v>
      </c>
      <c r="B101" s="853" t="str">
        <f>GRAL!B102</f>
        <v>2012-2015</v>
      </c>
      <c r="C101" s="288">
        <f>OBRA!J100</f>
        <v>2015</v>
      </c>
      <c r="D101" s="782"/>
      <c r="E101" s="306" t="str">
        <f>OBRA!M100</f>
        <v>RAMO 33</v>
      </c>
      <c r="F101" s="485" t="s">
        <v>1428</v>
      </c>
      <c r="G101" s="491" t="s">
        <v>2231</v>
      </c>
      <c r="H101" s="452" t="s">
        <v>1472</v>
      </c>
      <c r="I101" s="453" t="s">
        <v>2232</v>
      </c>
      <c r="J101" s="307" t="str">
        <f>OBRA!W100</f>
        <v>C. EFRAIN GONZALEZ CRUZ</v>
      </c>
      <c r="K101" s="304" t="str">
        <f>OBRA!X100</f>
        <v>ING. RIGOBERTO OLMEDO RAMOS</v>
      </c>
      <c r="L101" s="439" t="str">
        <f>OBRA!N100</f>
        <v>GMJ 006C OP/2015</v>
      </c>
      <c r="M101" s="291" t="str">
        <f>OBRA!O100</f>
        <v>ADJUDICACIÓN DIRECTA</v>
      </c>
      <c r="N101" s="292" t="str">
        <f>OBRA!P100</f>
        <v>ELECTRIFICACIÓN DE MEDIA Y BAJA TENSION EN EL BARRIO "LA BECERRERA" 2DA ETAPA, EN LA AGENCIA DE EL MOLINO</v>
      </c>
      <c r="O101" s="465" t="s">
        <v>1471</v>
      </c>
      <c r="P101" s="294">
        <f>OBRA!S100</f>
        <v>42109</v>
      </c>
      <c r="Q101" s="293">
        <f>OBRA!R100</f>
        <v>422690.66</v>
      </c>
      <c r="R101" s="295">
        <f>OBRA!T100</f>
        <v>42114</v>
      </c>
      <c r="S101" s="296">
        <f>OBRA!U100</f>
        <v>42128</v>
      </c>
      <c r="T101" s="366"/>
      <c r="U101" s="804" t="s">
        <v>1428</v>
      </c>
      <c r="V101" s="454" t="s">
        <v>1473</v>
      </c>
      <c r="W101" s="455" t="s">
        <v>2233</v>
      </c>
      <c r="X101" s="805">
        <f>OBRA!AR100</f>
        <v>42269.07</v>
      </c>
      <c r="Y101" s="310"/>
      <c r="Z101" s="310"/>
      <c r="AA101" s="295"/>
      <c r="AB101" s="1854"/>
      <c r="AC101" s="384">
        <f>OBRA!BW100</f>
        <v>0</v>
      </c>
      <c r="AD101" s="353"/>
      <c r="AE101" s="353" t="s">
        <v>551</v>
      </c>
    </row>
    <row r="102" spans="1:31" s="299" customFormat="1" ht="63.75" hidden="1" customHeight="1">
      <c r="A102" s="305" t="s">
        <v>2206</v>
      </c>
      <c r="B102" s="853" t="str">
        <f>GRAL!B103</f>
        <v>2012-2015</v>
      </c>
      <c r="C102" s="288">
        <f>OBRA!J101</f>
        <v>2015</v>
      </c>
      <c r="D102" s="782"/>
      <c r="E102" s="306" t="str">
        <f>OBRA!M101</f>
        <v>RAMO 33</v>
      </c>
      <c r="F102" s="485" t="s">
        <v>1428</v>
      </c>
      <c r="G102" s="491" t="s">
        <v>2234</v>
      </c>
      <c r="H102" s="452" t="s">
        <v>1477</v>
      </c>
      <c r="I102" s="453" t="s">
        <v>2235</v>
      </c>
      <c r="J102" s="307" t="str">
        <f>OBRA!W101</f>
        <v>C. EFRAIN GONZALEZ CRUZ</v>
      </c>
      <c r="K102" s="304" t="str">
        <f>OBRA!X101</f>
        <v>ING. RIGOBERTO OLMEDO RAMOS</v>
      </c>
      <c r="L102" s="439" t="str">
        <f>OBRA!N101</f>
        <v>GMJ 011C OP/2015</v>
      </c>
      <c r="M102" s="291" t="str">
        <f>OBRA!O101</f>
        <v>ADJUDICACIÓN DIRECTA</v>
      </c>
      <c r="N102" s="292" t="str">
        <f>OBRA!P101</f>
        <v>ALUMBRADO PUBLICO AL INGRESO DEL POBLADO DE HUEJOTITAN</v>
      </c>
      <c r="O102" s="465" t="s">
        <v>1476</v>
      </c>
      <c r="P102" s="294">
        <f>OBRA!S101</f>
        <v>42209</v>
      </c>
      <c r="Q102" s="293">
        <f>OBRA!R101</f>
        <v>1182630</v>
      </c>
      <c r="R102" s="295">
        <f>OBRA!T101</f>
        <v>42212</v>
      </c>
      <c r="S102" s="296">
        <f>OBRA!U101</f>
        <v>42239</v>
      </c>
      <c r="T102" s="366"/>
      <c r="U102" s="804" t="s">
        <v>1428</v>
      </c>
      <c r="V102" s="454" t="s">
        <v>1478</v>
      </c>
      <c r="W102" s="455" t="s">
        <v>2236</v>
      </c>
      <c r="X102" s="446">
        <f>118263+295657.5</f>
        <v>413920.5</v>
      </c>
      <c r="Y102" s="310"/>
      <c r="Z102" s="310"/>
      <c r="AA102" s="295"/>
      <c r="AB102" s="1854"/>
      <c r="AC102" s="384">
        <f>OBRA!BW101</f>
        <v>0</v>
      </c>
      <c r="AD102" s="353"/>
      <c r="AE102" s="353" t="s">
        <v>551</v>
      </c>
    </row>
    <row r="103" spans="1:31" s="104" customFormat="1" ht="45.75" hidden="1" customHeight="1">
      <c r="A103" s="81" t="s">
        <v>2206</v>
      </c>
      <c r="B103" s="820" t="str">
        <f>GRAL!B104</f>
        <v>2012-2015</v>
      </c>
      <c r="C103" s="82">
        <f>OBRA!J102</f>
        <v>2015</v>
      </c>
      <c r="D103" s="781"/>
      <c r="E103" s="97" t="str">
        <f>OBRA!M102</f>
        <v>CUENTA CORRIENTE</v>
      </c>
      <c r="F103" s="354" t="s">
        <v>1428</v>
      </c>
      <c r="G103" s="822"/>
      <c r="H103" s="823"/>
      <c r="I103" s="824"/>
      <c r="J103" s="276" t="str">
        <f>OBRA!W102</f>
        <v>-</v>
      </c>
      <c r="K103" s="277">
        <f>OBRA!X102</f>
        <v>0</v>
      </c>
      <c r="L103" s="308" t="str">
        <f>OBRA!N102</f>
        <v>GMJ 011C OP/2015</v>
      </c>
      <c r="M103" s="186" t="str">
        <f>OBRA!O102</f>
        <v>CANCELADA</v>
      </c>
      <c r="N103" s="106" t="str">
        <f>OBRA!P102</f>
        <v>AMPLIACIÓN DE ELECTRIFICACION EN BARRIO EL TORIL DE ZAPOTITAN DE HIDALGO</v>
      </c>
      <c r="O103" s="812"/>
      <c r="P103" s="87" t="s">
        <v>68</v>
      </c>
      <c r="Q103" s="86">
        <f>OBRA!R102</f>
        <v>0</v>
      </c>
      <c r="R103" s="88" t="s">
        <v>68</v>
      </c>
      <c r="S103" s="89" t="s">
        <v>68</v>
      </c>
      <c r="T103" s="101"/>
      <c r="U103" s="101" t="s">
        <v>1428</v>
      </c>
      <c r="V103" s="812"/>
      <c r="W103" s="816"/>
      <c r="X103" s="821">
        <f>OBRA!AR102</f>
        <v>0</v>
      </c>
      <c r="Y103" s="311"/>
      <c r="Z103" s="311"/>
      <c r="AA103" s="88"/>
      <c r="AB103" s="1855"/>
      <c r="AC103" s="467" t="str">
        <f>OBRA!BW102</f>
        <v>SE HIZO POR MANTENIMIENTO</v>
      </c>
      <c r="AD103" s="354"/>
      <c r="AE103" s="354"/>
    </row>
    <row r="104" spans="1:31" ht="75.75" hidden="1" customHeight="1">
      <c r="A104" s="22" t="s">
        <v>2206</v>
      </c>
      <c r="B104" s="809" t="str">
        <f>GRAL!B105</f>
        <v>2012-2015</v>
      </c>
      <c r="C104" s="16">
        <f>OBRA!J103</f>
        <v>2015</v>
      </c>
      <c r="D104" s="1415"/>
      <c r="E104" s="17" t="str">
        <f>OBRA!M103</f>
        <v>CUENTA CORRIENTE</v>
      </c>
      <c r="F104" s="13" t="s">
        <v>1428</v>
      </c>
      <c r="G104" s="492"/>
      <c r="H104" s="440"/>
      <c r="I104" s="441"/>
      <c r="J104" s="208" t="str">
        <f>OBRA!W103</f>
        <v>-</v>
      </c>
      <c r="K104" s="231" t="str">
        <f>OBRA!X103</f>
        <v>ING. RIGOBERTO OLMEDO RAMOS</v>
      </c>
      <c r="L104" s="439" t="str">
        <f>OBRA!N103</f>
        <v>DOP/AD/001/2015</v>
      </c>
      <c r="M104" s="2" t="str">
        <f>OBRA!O103</f>
        <v>ADMINISTRACIÓN DIRECTA</v>
      </c>
      <c r="N104" s="3" t="str">
        <f>OBRA!P103</f>
        <v>BACHEO CON MEZCLA ASFALTICA CALIENTE EN LAS CALLES ALLENDE, JUAREZ, HIDALGO Y PERO MORENO, EN LA DELEGCION DE ZAPOTITAN DE HIDALGO</v>
      </c>
      <c r="O104" s="438"/>
      <c r="P104" s="6">
        <f>OBRA!S103</f>
        <v>42128</v>
      </c>
      <c r="Q104" s="4">
        <f>OBRA!R103</f>
        <v>92000</v>
      </c>
      <c r="R104" s="5">
        <f>OBRA!T103</f>
        <v>42128</v>
      </c>
      <c r="S104" s="11">
        <f>OBRA!U103</f>
        <v>42133</v>
      </c>
      <c r="T104" s="52"/>
      <c r="U104" s="226" t="s">
        <v>1428</v>
      </c>
      <c r="V104" s="438"/>
      <c r="W104" s="442"/>
      <c r="X104" s="278">
        <f>OBRA!AR103</f>
        <v>0</v>
      </c>
      <c r="Y104" s="309"/>
      <c r="Z104" s="309"/>
      <c r="AA104" s="5"/>
      <c r="AB104" s="313"/>
      <c r="AC104" s="317">
        <f>OBRA!BW103</f>
        <v>0</v>
      </c>
      <c r="AD104" s="352"/>
      <c r="AE104" s="352"/>
    </row>
    <row r="105" spans="1:31" ht="75.75" hidden="1" customHeight="1">
      <c r="A105" s="22" t="s">
        <v>2206</v>
      </c>
      <c r="B105" s="809" t="str">
        <f>GRAL!B106</f>
        <v>2012-2015</v>
      </c>
      <c r="C105" s="16">
        <f>OBRA!J104</f>
        <v>2015</v>
      </c>
      <c r="D105" s="1415"/>
      <c r="E105" s="17" t="str">
        <f>OBRA!M104</f>
        <v>CUENTA CORRIENTE</v>
      </c>
      <c r="F105" s="478" t="s">
        <v>1428</v>
      </c>
      <c r="G105" s="492"/>
      <c r="H105" s="440"/>
      <c r="I105" s="441"/>
      <c r="J105" s="208" t="str">
        <f>OBRA!W104</f>
        <v>-</v>
      </c>
      <c r="K105" s="231" t="str">
        <f>OBRA!X104</f>
        <v>JUAN CARLOS NAVARRO ROSALES</v>
      </c>
      <c r="L105" s="439" t="str">
        <f>OBRA!N104</f>
        <v>DOP/AD/002/2015</v>
      </c>
      <c r="M105" s="2" t="str">
        <f>OBRA!O104</f>
        <v>ADMINISTRACIÓN DIRECTA</v>
      </c>
      <c r="N105" s="3" t="str">
        <f>OBRA!P104</f>
        <v>CONSTRUCCION DE RED DE DRENAJE EN C. ZARAGOZA DE PRIVADA ZARAGOZA A AVENIDA DEL TRABAJO, EN LA DELEGACION DE SAN CRISTOBAL ZAPOTITLAN</v>
      </c>
      <c r="O105" s="438"/>
      <c r="P105" s="6">
        <f>OBRA!S104</f>
        <v>42186</v>
      </c>
      <c r="Q105" s="4">
        <f>OBRA!R104</f>
        <v>180484.7</v>
      </c>
      <c r="R105" s="5">
        <f>OBRA!T104</f>
        <v>42186</v>
      </c>
      <c r="S105" s="11">
        <f>OBRA!U104</f>
        <v>42195</v>
      </c>
      <c r="T105" s="52"/>
      <c r="U105" s="226" t="s">
        <v>1428</v>
      </c>
      <c r="V105" s="438"/>
      <c r="W105" s="442"/>
      <c r="X105" s="278">
        <f>OBRA!AR104</f>
        <v>0</v>
      </c>
      <c r="Y105" s="309"/>
      <c r="Z105" s="309"/>
      <c r="AA105" s="5"/>
      <c r="AB105" s="313"/>
      <c r="AC105" s="317">
        <f>OBRA!BW104</f>
        <v>0</v>
      </c>
      <c r="AD105" s="352"/>
      <c r="AE105" s="352"/>
    </row>
    <row r="106" spans="1:31" ht="90.75" hidden="1" customHeight="1">
      <c r="A106" s="22" t="s">
        <v>2206</v>
      </c>
      <c r="B106" s="809" t="str">
        <f>GRAL!B107</f>
        <v>2012-2015</v>
      </c>
      <c r="C106" s="16">
        <f>OBRA!J105</f>
        <v>2015</v>
      </c>
      <c r="D106" s="1415"/>
      <c r="E106" s="17" t="str">
        <f>OBRA!M105</f>
        <v>CUENTA CORRIENTE</v>
      </c>
      <c r="F106" s="478" t="s">
        <v>1428</v>
      </c>
      <c r="G106" s="492"/>
      <c r="H106" s="440"/>
      <c r="I106" s="441"/>
      <c r="J106" s="208" t="str">
        <f>OBRA!W105</f>
        <v>-</v>
      </c>
      <c r="K106" s="231" t="str">
        <f>OBRA!X105</f>
        <v>JUAN CARLOS NAVARRO ROSALES</v>
      </c>
      <c r="L106" s="439" t="str">
        <f>OBRA!N105</f>
        <v>DOP/AD/003/2015</v>
      </c>
      <c r="M106" s="2" t="str">
        <f>OBRA!O105</f>
        <v>ADMINISTRACIÓN DIRECTA</v>
      </c>
      <c r="N106" s="3" t="str">
        <f>OBRA!P105</f>
        <v>CONSTRUCCION DE RED DE DRENAJE EN PRIVADA ZARAGOZA ENTRE VICENTE GUERRERO Y C. ZARAGOZA A AVENIDA DEL TRABAJO EN LA DELEGACION DE SAN CRISTOBAL ZAPOTITLAN</v>
      </c>
      <c r="O106" s="438"/>
      <c r="P106" s="6">
        <f>OBRA!S105</f>
        <v>42186</v>
      </c>
      <c r="Q106" s="4">
        <f>OBRA!R105</f>
        <v>117631.84</v>
      </c>
      <c r="R106" s="5">
        <f>OBRA!T105</f>
        <v>42186</v>
      </c>
      <c r="S106" s="11">
        <f>OBRA!U105</f>
        <v>42195</v>
      </c>
      <c r="T106" s="52"/>
      <c r="U106" s="226" t="s">
        <v>1428</v>
      </c>
      <c r="V106" s="438"/>
      <c r="W106" s="442"/>
      <c r="X106" s="278">
        <f>OBRA!AR105</f>
        <v>0</v>
      </c>
      <c r="Y106" s="309"/>
      <c r="Z106" s="309"/>
      <c r="AA106" s="5"/>
      <c r="AB106" s="313"/>
      <c r="AC106" s="317">
        <f>OBRA!BW105</f>
        <v>0</v>
      </c>
      <c r="AD106" s="352"/>
      <c r="AE106" s="352"/>
    </row>
    <row r="107" spans="1:31" ht="75.75" hidden="1" customHeight="1">
      <c r="A107" s="22" t="s">
        <v>2206</v>
      </c>
      <c r="B107" s="809" t="str">
        <f>GRAL!B108</f>
        <v>2012-2015</v>
      </c>
      <c r="C107" s="16">
        <f>OBRA!J106</f>
        <v>2015</v>
      </c>
      <c r="D107" s="1415"/>
      <c r="E107" s="17" t="str">
        <f>OBRA!M106</f>
        <v>RAMO 33</v>
      </c>
      <c r="F107" s="478" t="s">
        <v>1428</v>
      </c>
      <c r="G107" s="492"/>
      <c r="H107" s="440"/>
      <c r="I107" s="441"/>
      <c r="J107" s="208" t="str">
        <f>OBRA!W106</f>
        <v>-</v>
      </c>
      <c r="K107" s="231" t="str">
        <f>OBRA!X106</f>
        <v>JUAN CARLOS NAVARRO ROSALES</v>
      </c>
      <c r="L107" s="439" t="str">
        <f>OBRA!N106</f>
        <v>DOP/AD/004/2015</v>
      </c>
      <c r="M107" s="2" t="str">
        <f>OBRA!O106</f>
        <v>ADMINISTRACIÓN DIRECTA</v>
      </c>
      <c r="N107" s="3" t="str">
        <f>OBRA!P106</f>
        <v>CONSTRUCCION DE RED DE DRENAJE EN C. VENUSTIANO CARRANZA Y JAVIER MINA DE C. ITURBIDE  A FRANCISCO VILLA, EN LA CABECERA MUNICIPAL</v>
      </c>
      <c r="O107" s="438"/>
      <c r="P107" s="6">
        <f>OBRA!S106</f>
        <v>42193</v>
      </c>
      <c r="Q107" s="4">
        <f>OBRA!R106</f>
        <v>315420.59999999998</v>
      </c>
      <c r="R107" s="5">
        <f>OBRA!T106</f>
        <v>42193</v>
      </c>
      <c r="S107" s="11">
        <f>OBRA!U106</f>
        <v>42200</v>
      </c>
      <c r="T107" s="52"/>
      <c r="U107" s="226" t="s">
        <v>1428</v>
      </c>
      <c r="V107" s="438"/>
      <c r="W107" s="442"/>
      <c r="X107" s="278">
        <f>OBRA!AR106</f>
        <v>0</v>
      </c>
      <c r="Y107" s="309"/>
      <c r="Z107" s="309"/>
      <c r="AA107" s="5"/>
      <c r="AB107" s="313"/>
      <c r="AC107" s="317">
        <f>OBRA!BW106</f>
        <v>0</v>
      </c>
      <c r="AD107" s="352"/>
      <c r="AE107" s="352"/>
    </row>
    <row r="108" spans="1:31" ht="60.75" hidden="1" customHeight="1">
      <c r="A108" s="22" t="s">
        <v>2206</v>
      </c>
      <c r="B108" s="809" t="str">
        <f>GRAL!B109</f>
        <v>2012-2015</v>
      </c>
      <c r="C108" s="16">
        <f>OBRA!J107</f>
        <v>2015</v>
      </c>
      <c r="D108" s="1415"/>
      <c r="E108" s="17" t="str">
        <f>OBRA!M107</f>
        <v>RAMO 33</v>
      </c>
      <c r="F108" s="478" t="s">
        <v>1428</v>
      </c>
      <c r="G108" s="492"/>
      <c r="H108" s="440"/>
      <c r="I108" s="441"/>
      <c r="J108" s="208" t="str">
        <f>OBRA!W107</f>
        <v>-</v>
      </c>
      <c r="K108" s="231" t="str">
        <f>OBRA!X107</f>
        <v>JUAN CARLOS NAVARRO ROSALES</v>
      </c>
      <c r="L108" s="439" t="str">
        <f>OBRA!N107</f>
        <v>DOP/AD/005/2015</v>
      </c>
      <c r="M108" s="2" t="str">
        <f>OBRA!O107</f>
        <v>ADMINISTRACIÓN DIRECTA</v>
      </c>
      <c r="N108" s="3" t="str">
        <f>OBRA!P107</f>
        <v>CONSTRUCCION DE RED DE DRENAJE EN C. 21 DE MARZO E ITURBIDE DE C. VERANO A 20 DE NOVIEMBRE, EN LA CABECERA MUNICIPAL</v>
      </c>
      <c r="O108" s="438"/>
      <c r="P108" s="6">
        <f>OBRA!S107</f>
        <v>42201</v>
      </c>
      <c r="Q108" s="4">
        <f>OBRA!R107</f>
        <v>144879.81</v>
      </c>
      <c r="R108" s="5">
        <f>OBRA!T107</f>
        <v>42201</v>
      </c>
      <c r="S108" s="11">
        <f>OBRA!U107</f>
        <v>42216</v>
      </c>
      <c r="T108" s="52"/>
      <c r="U108" s="226" t="s">
        <v>1428</v>
      </c>
      <c r="V108" s="438"/>
      <c r="W108" s="442"/>
      <c r="X108" s="278">
        <f>OBRA!AR107</f>
        <v>0</v>
      </c>
      <c r="Y108" s="309"/>
      <c r="Z108" s="309"/>
      <c r="AA108" s="5"/>
      <c r="AB108" s="313"/>
      <c r="AC108" s="317">
        <f>OBRA!BW107</f>
        <v>0</v>
      </c>
      <c r="AD108" s="352"/>
      <c r="AE108" s="352"/>
    </row>
    <row r="109" spans="1:31" ht="45.75" hidden="1" customHeight="1">
      <c r="A109" s="22" t="s">
        <v>2206</v>
      </c>
      <c r="B109" s="809" t="str">
        <f>GRAL!B110</f>
        <v>2012-2015</v>
      </c>
      <c r="C109" s="16">
        <f>OBRA!J108</f>
        <v>2015</v>
      </c>
      <c r="D109" s="1415"/>
      <c r="E109" s="17" t="str">
        <f>OBRA!M108</f>
        <v>RAMO 33</v>
      </c>
      <c r="F109" s="480" t="s">
        <v>1428</v>
      </c>
      <c r="G109" s="492"/>
      <c r="H109" s="440"/>
      <c r="I109" s="441"/>
      <c r="J109" s="208" t="str">
        <f>OBRA!W108</f>
        <v>-</v>
      </c>
      <c r="K109" s="231" t="str">
        <f>OBRA!X108</f>
        <v>JUAN CARLOS NAVARRO ROSALES</v>
      </c>
      <c r="L109" s="439" t="str">
        <f>OBRA!N108</f>
        <v>DOP/AD/006/2015</v>
      </c>
      <c r="M109" s="2" t="str">
        <f>OBRA!O108</f>
        <v>ADMINISTRACIÓN DIRECTA</v>
      </c>
      <c r="N109" s="3" t="str">
        <f>OBRA!P108</f>
        <v>CONSTRUCCION DE RED DE DRENAJE EN LA PRIVADA VERANO, EN LA CABECERA MUNICIPAL</v>
      </c>
      <c r="O109" s="438"/>
      <c r="P109" s="6">
        <f>OBRA!S108</f>
        <v>42201</v>
      </c>
      <c r="Q109" s="4">
        <f>OBRA!R108</f>
        <v>74934.460000000006</v>
      </c>
      <c r="R109" s="5">
        <f>OBRA!T108</f>
        <v>42201</v>
      </c>
      <c r="S109" s="11">
        <f>OBRA!U108</f>
        <v>42216</v>
      </c>
      <c r="T109" s="52"/>
      <c r="U109" s="226" t="s">
        <v>1428</v>
      </c>
      <c r="V109" s="438"/>
      <c r="W109" s="442"/>
      <c r="X109" s="278">
        <f>OBRA!AR108</f>
        <v>0</v>
      </c>
      <c r="Y109" s="309"/>
      <c r="Z109" s="309"/>
      <c r="AA109" s="5"/>
      <c r="AB109" s="313"/>
      <c r="AC109" s="317">
        <f>OBRA!BW108</f>
        <v>0</v>
      </c>
      <c r="AD109" s="352"/>
      <c r="AE109" s="352"/>
    </row>
    <row r="110" spans="1:31" ht="60.75" hidden="1" customHeight="1">
      <c r="A110" s="22" t="s">
        <v>2206</v>
      </c>
      <c r="B110" s="809" t="str">
        <f>GRAL!B111</f>
        <v>2012-2015</v>
      </c>
      <c r="C110" s="16">
        <f>OBRA!J109</f>
        <v>2015</v>
      </c>
      <c r="D110" s="1415"/>
      <c r="E110" s="17" t="str">
        <f>OBRA!M109</f>
        <v>RAMO 33</v>
      </c>
      <c r="F110" s="481" t="s">
        <v>1428</v>
      </c>
      <c r="G110" s="492"/>
      <c r="H110" s="440"/>
      <c r="I110" s="441"/>
      <c r="J110" s="208" t="str">
        <f>OBRA!W109</f>
        <v>-</v>
      </c>
      <c r="K110" s="231" t="str">
        <f>OBRA!X109</f>
        <v>JUAN CARLOS NAVARRO ROSALES</v>
      </c>
      <c r="L110" s="439" t="str">
        <f>OBRA!N109</f>
        <v>DOP/AD/007/2015</v>
      </c>
      <c r="M110" s="2" t="str">
        <f>OBRA!O109</f>
        <v>ADMINISTRACIÓN DIRECTA</v>
      </c>
      <c r="N110" s="3" t="str">
        <f>OBRA!P109</f>
        <v>CONSTRUCCION DE RED DE AGUA POTABL EEN LA CALLE PRIVADA VERANO, EN LA CABECERA MUNICIPAL</v>
      </c>
      <c r="O110" s="438"/>
      <c r="P110" s="6">
        <f>OBRA!S109</f>
        <v>42219</v>
      </c>
      <c r="Q110" s="4">
        <f>OBRA!R109</f>
        <v>116511.12</v>
      </c>
      <c r="R110" s="5">
        <f>OBRA!T109</f>
        <v>42219</v>
      </c>
      <c r="S110" s="11">
        <f>OBRA!U109</f>
        <v>42226</v>
      </c>
      <c r="T110" s="52"/>
      <c r="U110" s="226" t="s">
        <v>1428</v>
      </c>
      <c r="V110" s="438"/>
      <c r="W110" s="442"/>
      <c r="X110" s="278">
        <f>OBRA!AR109</f>
        <v>0</v>
      </c>
      <c r="Y110" s="309"/>
      <c r="Z110" s="309"/>
      <c r="AA110" s="5"/>
      <c r="AB110" s="313"/>
      <c r="AC110" s="317">
        <f>OBRA!BW109</f>
        <v>0</v>
      </c>
      <c r="AD110" s="352"/>
      <c r="AE110" s="352"/>
    </row>
    <row r="111" spans="1:31" ht="60.75" hidden="1" customHeight="1">
      <c r="A111" s="22" t="s">
        <v>2206</v>
      </c>
      <c r="B111" s="809" t="str">
        <f>GRAL!B112</f>
        <v>2012-2015</v>
      </c>
      <c r="C111" s="16">
        <f>OBRA!J110</f>
        <v>2015</v>
      </c>
      <c r="D111" s="1415"/>
      <c r="E111" s="17" t="str">
        <f>OBRA!M110</f>
        <v>RAMO 33</v>
      </c>
      <c r="F111" s="481" t="s">
        <v>1428</v>
      </c>
      <c r="G111" s="492"/>
      <c r="H111" s="440"/>
      <c r="I111" s="441"/>
      <c r="J111" s="208" t="str">
        <f>OBRA!W110</f>
        <v>-</v>
      </c>
      <c r="K111" s="231" t="str">
        <f>OBRA!X110</f>
        <v>JUAN CARLOS NAVARRO ROSALES</v>
      </c>
      <c r="L111" s="439" t="str">
        <f>OBRA!N110</f>
        <v>DOP/AD/008/2015</v>
      </c>
      <c r="M111" s="2" t="str">
        <f>OBRA!O110</f>
        <v>ADMINISTRACIÓN DIRECTA</v>
      </c>
      <c r="N111" s="3" t="str">
        <f>OBRA!P110</f>
        <v>CONSTRUCCION DE RED DE DRENAJE EN LA C. VERANO DE C. LOPEZ RAYON A NIÑOS HEROES, EN LA CABECERA MUNICIPAL</v>
      </c>
      <c r="O111" s="438"/>
      <c r="P111" s="6">
        <f>OBRA!S110</f>
        <v>42201</v>
      </c>
      <c r="Q111" s="4">
        <f>OBRA!R110</f>
        <v>256635.81</v>
      </c>
      <c r="R111" s="5">
        <f>OBRA!T110</f>
        <v>42201</v>
      </c>
      <c r="S111" s="11">
        <f>OBRA!U110</f>
        <v>42216</v>
      </c>
      <c r="T111" s="52"/>
      <c r="U111" s="226" t="s">
        <v>1428</v>
      </c>
      <c r="V111" s="438"/>
      <c r="W111" s="442"/>
      <c r="X111" s="278">
        <f>OBRA!AR110</f>
        <v>0</v>
      </c>
      <c r="Y111" s="309"/>
      <c r="Z111" s="309"/>
      <c r="AA111" s="5"/>
      <c r="AB111" s="313"/>
      <c r="AC111" s="317">
        <f>OBRA!BW110</f>
        <v>0</v>
      </c>
      <c r="AD111" s="352"/>
      <c r="AE111" s="352"/>
    </row>
    <row r="112" spans="1:31" ht="45.75" hidden="1" customHeight="1">
      <c r="A112" s="22" t="s">
        <v>2206</v>
      </c>
      <c r="B112" s="809" t="str">
        <f>GRAL!B113</f>
        <v>2012-2015</v>
      </c>
      <c r="C112" s="16">
        <f>OBRA!J111</f>
        <v>2015</v>
      </c>
      <c r="D112" s="1415"/>
      <c r="E112" s="17" t="str">
        <f>OBRA!M111</f>
        <v>RAMO 33</v>
      </c>
      <c r="F112" s="481" t="s">
        <v>1428</v>
      </c>
      <c r="G112" s="492"/>
      <c r="H112" s="440"/>
      <c r="I112" s="441"/>
      <c r="J112" s="208" t="str">
        <f>OBRA!W111</f>
        <v>-</v>
      </c>
      <c r="K112" s="231" t="str">
        <f>OBRA!X111</f>
        <v>JUAN CARLOS NAVARRO ROSALES</v>
      </c>
      <c r="L112" s="439" t="str">
        <f>OBRA!N111</f>
        <v>DOP/AD/009/2015</v>
      </c>
      <c r="M112" s="2" t="str">
        <f>OBRA!O111</f>
        <v>ADMINISTRACIÓN DIRECTA</v>
      </c>
      <c r="N112" s="3" t="str">
        <f>OBRA!P111</f>
        <v>CONSTRUCCION DE RED DE AGUA POTABLE EN C. VERANO DE C. LOPEZ RAYON A NIÑOS HEROES</v>
      </c>
      <c r="O112" s="438"/>
      <c r="P112" s="6">
        <f>OBRA!S111</f>
        <v>42188</v>
      </c>
      <c r="Q112" s="4">
        <f>OBRA!R111</f>
        <v>186751.07</v>
      </c>
      <c r="R112" s="5">
        <f>OBRA!T111</f>
        <v>42191</v>
      </c>
      <c r="S112" s="11">
        <f>OBRA!U111</f>
        <v>42210</v>
      </c>
      <c r="T112" s="52"/>
      <c r="U112" s="226" t="s">
        <v>1428</v>
      </c>
      <c r="V112" s="438"/>
      <c r="W112" s="442"/>
      <c r="X112" s="278">
        <f>OBRA!AR111</f>
        <v>0</v>
      </c>
      <c r="Y112" s="309"/>
      <c r="Z112" s="309"/>
      <c r="AA112" s="5"/>
      <c r="AB112" s="313"/>
      <c r="AC112" s="317">
        <f>OBRA!BW111</f>
        <v>0</v>
      </c>
      <c r="AD112" s="352"/>
      <c r="AE112" s="352"/>
    </row>
    <row r="113" spans="1:31" ht="60.75" hidden="1" customHeight="1">
      <c r="A113" s="22" t="s">
        <v>2206</v>
      </c>
      <c r="B113" s="809" t="str">
        <f>GRAL!B114</f>
        <v>2012-2015</v>
      </c>
      <c r="C113" s="16">
        <f>OBRA!J112</f>
        <v>2015</v>
      </c>
      <c r="D113" s="1415"/>
      <c r="E113" s="17" t="str">
        <f>OBRA!M112</f>
        <v>RAMO 33</v>
      </c>
      <c r="F113" s="481" t="s">
        <v>1428</v>
      </c>
      <c r="G113" s="492"/>
      <c r="H113" s="440"/>
      <c r="I113" s="441"/>
      <c r="J113" s="208" t="str">
        <f>OBRA!W112</f>
        <v>-</v>
      </c>
      <c r="K113" s="231" t="str">
        <f>OBRA!X112</f>
        <v>JUAN CARLOS NAVARRO ROSALES</v>
      </c>
      <c r="L113" s="439" t="str">
        <f>OBRA!N112</f>
        <v>DOP/AD/010/2015</v>
      </c>
      <c r="M113" s="2" t="str">
        <f>OBRA!O112</f>
        <v>ADMINISTRACIÓN DIRECTA</v>
      </c>
      <c r="N113" s="3" t="str">
        <f>OBRA!P112</f>
        <v>CONSTRUCCION DE RED DE DRENAJE EN LA C. LOPEZ RAYON ENTRE PRIVADA INDEPENDENCIA A OTOÑO, EN LA CABECERA MUNICIPAL</v>
      </c>
      <c r="O113" s="438"/>
      <c r="P113" s="6">
        <f>OBRA!S112</f>
        <v>42210</v>
      </c>
      <c r="Q113" s="4">
        <f>OBRA!R112</f>
        <v>359833.1</v>
      </c>
      <c r="R113" s="5">
        <f>OBRA!T112</f>
        <v>42210</v>
      </c>
      <c r="S113" s="11">
        <f>OBRA!U112</f>
        <v>42226</v>
      </c>
      <c r="T113" s="52"/>
      <c r="U113" s="226" t="s">
        <v>1428</v>
      </c>
      <c r="V113" s="438"/>
      <c r="W113" s="442"/>
      <c r="X113" s="278">
        <f>OBRA!AR112</f>
        <v>0</v>
      </c>
      <c r="Y113" s="309"/>
      <c r="Z113" s="309"/>
      <c r="AA113" s="5"/>
      <c r="AB113" s="313"/>
      <c r="AC113" s="317">
        <f>OBRA!BW112</f>
        <v>0</v>
      </c>
      <c r="AD113" s="352"/>
      <c r="AE113" s="352"/>
    </row>
    <row r="114" spans="1:31" ht="60.75" hidden="1" customHeight="1">
      <c r="A114" s="22" t="s">
        <v>2206</v>
      </c>
      <c r="B114" s="809" t="str">
        <f>GRAL!B115</f>
        <v>2012-2015</v>
      </c>
      <c r="C114" s="16">
        <f>OBRA!J113</f>
        <v>2015</v>
      </c>
      <c r="D114" s="1415"/>
      <c r="E114" s="17" t="str">
        <f>OBRA!M113</f>
        <v>RAMO 33</v>
      </c>
      <c r="F114" s="481" t="s">
        <v>1428</v>
      </c>
      <c r="G114" s="492"/>
      <c r="H114" s="440"/>
      <c r="I114" s="441"/>
      <c r="J114" s="208" t="str">
        <f>OBRA!W113</f>
        <v>-</v>
      </c>
      <c r="K114" s="231" t="str">
        <f>OBRA!X113</f>
        <v>JUAN CARLOS NAVARRO ROSALES</v>
      </c>
      <c r="L114" s="439" t="str">
        <f>OBRA!N113</f>
        <v>DOP/AD/011/2015</v>
      </c>
      <c r="M114" s="2" t="str">
        <f>OBRA!O113</f>
        <v>ADMINISTRACIÓN DIRECTA</v>
      </c>
      <c r="N114" s="3" t="str">
        <f>OBRA!P113</f>
        <v>CONSTRUCCION DE RED DE AGUA POTABLE EN C. LOPEZ RAYON ENTRE PRIVADA INDEPENDENCIA Y OTOÑO, EN LA CABECERA MUNICIPAL</v>
      </c>
      <c r="O114" s="438"/>
      <c r="P114" s="6">
        <f>OBRA!S113</f>
        <v>42226</v>
      </c>
      <c r="Q114" s="4">
        <f>OBRA!R113</f>
        <v>225508.89</v>
      </c>
      <c r="R114" s="5">
        <f>OBRA!T113</f>
        <v>42226</v>
      </c>
      <c r="S114" s="11">
        <f>OBRA!U113</f>
        <v>42238</v>
      </c>
      <c r="T114" s="52"/>
      <c r="U114" s="226" t="s">
        <v>1428</v>
      </c>
      <c r="V114" s="438"/>
      <c r="W114" s="442"/>
      <c r="X114" s="278">
        <f>OBRA!AR113</f>
        <v>0</v>
      </c>
      <c r="Y114" s="309"/>
      <c r="Z114" s="309"/>
      <c r="AA114" s="5"/>
      <c r="AB114" s="313"/>
      <c r="AC114" s="317">
        <f>OBRA!BW113</f>
        <v>0</v>
      </c>
      <c r="AD114" s="352"/>
      <c r="AE114" s="352"/>
    </row>
    <row r="115" spans="1:31" ht="75.75" hidden="1" customHeight="1">
      <c r="A115" s="22" t="s">
        <v>2206</v>
      </c>
      <c r="B115" s="809" t="str">
        <f>GRAL!B116</f>
        <v>2012-2015</v>
      </c>
      <c r="C115" s="16">
        <f>OBRA!J114</f>
        <v>2015</v>
      </c>
      <c r="D115" s="1415"/>
      <c r="E115" s="17" t="str">
        <f>OBRA!M114</f>
        <v>RAMO 33</v>
      </c>
      <c r="F115" s="481" t="s">
        <v>1428</v>
      </c>
      <c r="G115" s="492"/>
      <c r="H115" s="440"/>
      <c r="I115" s="441"/>
      <c r="J115" s="208" t="str">
        <f>OBRA!W114</f>
        <v>-</v>
      </c>
      <c r="K115" s="231" t="str">
        <f>OBRA!X114</f>
        <v>JUAN CARLOS NAVARRO ROSALES</v>
      </c>
      <c r="L115" s="439" t="str">
        <f>OBRA!N114</f>
        <v>DOP/AD/012/2015</v>
      </c>
      <c r="M115" s="2" t="str">
        <f>OBRA!O114</f>
        <v>ADMINISTRACIÓN DIRECTA</v>
      </c>
      <c r="N115" s="3" t="str">
        <f>OBRA!P114</f>
        <v>CONSTRUCCIÓN DE RED DE AGUA POTABLE EN C. CARDENAL DE CARRETERA CHAPALA-JOCOTEPEC HASTA FINAL, EN LA DELEGACIÓN DE SAN JUAN COSALA</v>
      </c>
      <c r="O115" s="438"/>
      <c r="P115" s="6">
        <f>OBRA!S114</f>
        <v>42188</v>
      </c>
      <c r="Q115" s="4">
        <f>OBRA!R114</f>
        <v>373029.23</v>
      </c>
      <c r="R115" s="5">
        <f>OBRA!T114</f>
        <v>42191</v>
      </c>
      <c r="S115" s="11">
        <f>OBRA!U114</f>
        <v>42210</v>
      </c>
      <c r="T115" s="52"/>
      <c r="U115" s="226" t="s">
        <v>1428</v>
      </c>
      <c r="V115" s="438"/>
      <c r="W115" s="442"/>
      <c r="X115" s="278">
        <f>OBRA!AR114</f>
        <v>0</v>
      </c>
      <c r="Y115" s="309"/>
      <c r="Z115" s="309"/>
      <c r="AA115" s="5"/>
      <c r="AB115" s="313"/>
      <c r="AC115" s="317">
        <f>OBRA!BW114</f>
        <v>0</v>
      </c>
      <c r="AD115" s="352"/>
      <c r="AE115" s="352"/>
    </row>
    <row r="116" spans="1:31" ht="60.75" hidden="1" customHeight="1">
      <c r="A116" s="22" t="s">
        <v>2206</v>
      </c>
      <c r="B116" s="809" t="str">
        <f>GRAL!B117</f>
        <v>2012-2015</v>
      </c>
      <c r="C116" s="16">
        <f>OBRA!J115</f>
        <v>2015</v>
      </c>
      <c r="D116" s="1415"/>
      <c r="E116" s="17" t="str">
        <f>OBRA!M115</f>
        <v>RAMO 33</v>
      </c>
      <c r="F116" s="481" t="s">
        <v>1428</v>
      </c>
      <c r="G116" s="492"/>
      <c r="H116" s="440"/>
      <c r="I116" s="441"/>
      <c r="J116" s="208" t="str">
        <f>OBRA!W115</f>
        <v>-</v>
      </c>
      <c r="K116" s="231" t="str">
        <f>OBRA!X115</f>
        <v>JUAN CARLOS NAVARRO ROSALES</v>
      </c>
      <c r="L116" s="439" t="str">
        <f>OBRA!N115</f>
        <v>DOP/AD/013/2015</v>
      </c>
      <c r="M116" s="2" t="str">
        <f>OBRA!O115</f>
        <v>ADMINISTRACIÓN DIRECTA</v>
      </c>
      <c r="N116" s="3" t="str">
        <f>OBRA!P115</f>
        <v>CONSTRUCCION DE RED DE DRENAJE EN LA C. 20 DE NOVIEMBRE DE ANIMA SOLA A INVIERNO, EN LA CABECERA MUNICIPAL</v>
      </c>
      <c r="O116" s="438"/>
      <c r="P116" s="6">
        <f>OBRA!S115</f>
        <v>42219</v>
      </c>
      <c r="Q116" s="4">
        <f>OBRA!R115</f>
        <v>847454.56</v>
      </c>
      <c r="R116" s="5">
        <f>OBRA!T115</f>
        <v>42219</v>
      </c>
      <c r="S116" s="11">
        <f>OBRA!U115</f>
        <v>42231</v>
      </c>
      <c r="T116" s="52"/>
      <c r="U116" s="226" t="s">
        <v>1428</v>
      </c>
      <c r="V116" s="438"/>
      <c r="W116" s="442"/>
      <c r="X116" s="278">
        <f>OBRA!AR115</f>
        <v>0</v>
      </c>
      <c r="Y116" s="309"/>
      <c r="Z116" s="309"/>
      <c r="AA116" s="5"/>
      <c r="AB116" s="313"/>
      <c r="AC116" s="317">
        <f>OBRA!BW115</f>
        <v>0</v>
      </c>
      <c r="AD116" s="352"/>
      <c r="AE116" s="352"/>
    </row>
    <row r="117" spans="1:31" ht="60.75" hidden="1" customHeight="1">
      <c r="A117" s="22" t="s">
        <v>2206</v>
      </c>
      <c r="B117" s="809" t="str">
        <f>GRAL!B118</f>
        <v>2012-2015</v>
      </c>
      <c r="C117" s="16">
        <f>OBRA!J116</f>
        <v>2015</v>
      </c>
      <c r="D117" s="1415"/>
      <c r="E117" s="17" t="str">
        <f>OBRA!M116</f>
        <v>RAMO 33</v>
      </c>
      <c r="F117" s="481" t="s">
        <v>1428</v>
      </c>
      <c r="G117" s="492"/>
      <c r="H117" s="440"/>
      <c r="I117" s="441"/>
      <c r="J117" s="208" t="str">
        <f>OBRA!W116</f>
        <v>-</v>
      </c>
      <c r="K117" s="231" t="str">
        <f>OBRA!X116</f>
        <v>JUAN CARLOS NAVARRO ROSALES</v>
      </c>
      <c r="L117" s="439" t="str">
        <f>OBRA!N116</f>
        <v>DOP/AD/014/2015</v>
      </c>
      <c r="M117" s="2" t="str">
        <f>OBRA!O116</f>
        <v>ADMINISTRACIÓN DIRECTA</v>
      </c>
      <c r="N117" s="3" t="str">
        <f>OBRA!P116</f>
        <v>CONSTRUCION DE RED DE AGUA POTABLE EN LA C. 20 DE NOVIEMBRE DE ANIMA SOLA A INVIERNO, EN LA CABECERA MUNICIPAL</v>
      </c>
      <c r="O117" s="438"/>
      <c r="P117" s="6">
        <f>OBRA!S116</f>
        <v>42186</v>
      </c>
      <c r="Q117" s="4">
        <f>OBRA!R116</f>
        <v>510072.99</v>
      </c>
      <c r="R117" s="5">
        <f>OBRA!T116</f>
        <v>42233</v>
      </c>
      <c r="S117" s="11">
        <f>OBRA!U116</f>
        <v>42247</v>
      </c>
      <c r="T117" s="52"/>
      <c r="U117" s="226" t="s">
        <v>1428</v>
      </c>
      <c r="V117" s="438"/>
      <c r="W117" s="442"/>
      <c r="X117" s="278">
        <f>OBRA!AR116</f>
        <v>0</v>
      </c>
      <c r="Y117" s="309"/>
      <c r="Z117" s="309"/>
      <c r="AA117" s="5"/>
      <c r="AB117" s="313"/>
      <c r="AC117" s="317">
        <f>OBRA!BW116</f>
        <v>0</v>
      </c>
      <c r="AD117" s="352"/>
      <c r="AE117" s="352"/>
    </row>
    <row r="118" spans="1:31" ht="75.75" hidden="1" customHeight="1">
      <c r="A118" s="22" t="s">
        <v>2206</v>
      </c>
      <c r="B118" s="809" t="str">
        <f>GRAL!B119</f>
        <v>2012-2015</v>
      </c>
      <c r="C118" s="16">
        <f>OBRA!J117</f>
        <v>2015</v>
      </c>
      <c r="D118" s="1415"/>
      <c r="E118" s="17" t="str">
        <f>OBRA!M117</f>
        <v>RAMO 33</v>
      </c>
      <c r="F118" s="481" t="s">
        <v>1428</v>
      </c>
      <c r="G118" s="492"/>
      <c r="H118" s="440"/>
      <c r="I118" s="441"/>
      <c r="J118" s="208" t="str">
        <f>OBRA!W117</f>
        <v>-</v>
      </c>
      <c r="K118" s="231" t="str">
        <f>OBRA!X117</f>
        <v>JUAN CARLOS NAVARRO ROSALES</v>
      </c>
      <c r="L118" s="439" t="str">
        <f>OBRA!N117</f>
        <v>DOP/AD/015/2015</v>
      </c>
      <c r="M118" s="2" t="str">
        <f>OBRA!O117</f>
        <v>ADMINISTRACIÓN DIRECTA</v>
      </c>
      <c r="N118" s="3" t="str">
        <f>OBRA!P117</f>
        <v>CONSTRUCCION DE RED DE DRENAJE EN C. JAVIER MINA DE C. 20 DE NOVIEMBRE A VENUSTIANO CARRANZA, EN LA CABECERA MUNICIPAL</v>
      </c>
      <c r="O118" s="438"/>
      <c r="P118" s="6">
        <f>OBRA!S117</f>
        <v>42219</v>
      </c>
      <c r="Q118" s="4">
        <f>OBRA!R117</f>
        <v>125552.88</v>
      </c>
      <c r="R118" s="5">
        <f>OBRA!T117</f>
        <v>42219</v>
      </c>
      <c r="S118" s="11">
        <f>OBRA!U117</f>
        <v>42231</v>
      </c>
      <c r="T118" s="52"/>
      <c r="U118" s="226" t="s">
        <v>1428</v>
      </c>
      <c r="V118" s="438"/>
      <c r="W118" s="442"/>
      <c r="X118" s="278">
        <f>OBRA!AR117</f>
        <v>0</v>
      </c>
      <c r="Y118" s="309"/>
      <c r="Z118" s="309"/>
      <c r="AA118" s="5"/>
      <c r="AB118" s="313"/>
      <c r="AC118" s="317">
        <f>OBRA!BW117</f>
        <v>0</v>
      </c>
      <c r="AD118" s="352"/>
      <c r="AE118" s="352"/>
    </row>
    <row r="119" spans="1:31" ht="60.75" hidden="1" customHeight="1">
      <c r="A119" s="22" t="s">
        <v>2206</v>
      </c>
      <c r="B119" s="809" t="str">
        <f>GRAL!B120</f>
        <v>2012-2015</v>
      </c>
      <c r="C119" s="16">
        <f>OBRA!J118</f>
        <v>2015</v>
      </c>
      <c r="D119" s="1415"/>
      <c r="E119" s="17" t="str">
        <f>OBRA!M118</f>
        <v>RAMO 33</v>
      </c>
      <c r="F119" s="481" t="s">
        <v>1428</v>
      </c>
      <c r="G119" s="492"/>
      <c r="H119" s="440"/>
      <c r="I119" s="441"/>
      <c r="J119" s="208" t="str">
        <f>OBRA!W118</f>
        <v>-</v>
      </c>
      <c r="K119" s="231" t="str">
        <f>OBRA!X118</f>
        <v>JUAN CARLOS NAVARRO ROSALES</v>
      </c>
      <c r="L119" s="439" t="str">
        <f>OBRA!N118</f>
        <v>DOP/AD/016/2015</v>
      </c>
      <c r="M119" s="2" t="str">
        <f>OBRA!O118</f>
        <v>ADMINISTRACIÓN DIRECTA</v>
      </c>
      <c r="N119" s="3" t="str">
        <f>OBRA!P118</f>
        <v>CONSTRUCCION DE RED DE AGUA POTABLE EN LA C. JAVIER MINA DE C. 20 E NOVIEMBRE A FRANCISCO VILLA, EN LA CABECERA MUNICIPAL</v>
      </c>
      <c r="O119" s="438"/>
      <c r="P119" s="6">
        <f>OBRA!S118</f>
        <v>42225</v>
      </c>
      <c r="Q119" s="4">
        <f>OBRA!R118</f>
        <v>152209.54999999999</v>
      </c>
      <c r="R119" s="5">
        <f>OBRA!T118</f>
        <v>42225</v>
      </c>
      <c r="S119" s="11">
        <f>OBRA!U118</f>
        <v>42247</v>
      </c>
      <c r="T119" s="52"/>
      <c r="U119" s="226" t="s">
        <v>1428</v>
      </c>
      <c r="V119" s="438"/>
      <c r="W119" s="442"/>
      <c r="X119" s="278">
        <f>OBRA!AR118</f>
        <v>0</v>
      </c>
      <c r="Y119" s="309"/>
      <c r="Z119" s="309"/>
      <c r="AA119" s="5"/>
      <c r="AB119" s="313"/>
      <c r="AC119" s="317">
        <f>OBRA!BW118</f>
        <v>0</v>
      </c>
      <c r="AD119" s="352"/>
      <c r="AE119" s="352"/>
    </row>
    <row r="120" spans="1:31" s="299" customFormat="1" ht="81" hidden="1" customHeight="1">
      <c r="A120" s="305" t="s">
        <v>2206</v>
      </c>
      <c r="B120" s="853" t="str">
        <f>GRAL!B121</f>
        <v>2012-2015</v>
      </c>
      <c r="C120" s="288">
        <f>OBRA!J119</f>
        <v>2015</v>
      </c>
      <c r="D120" s="782"/>
      <c r="E120" s="484" t="str">
        <f>OBRA!M119</f>
        <v>RAMO 33</v>
      </c>
      <c r="F120" s="486" t="s">
        <v>1428</v>
      </c>
      <c r="G120" s="491" t="s">
        <v>2237</v>
      </c>
      <c r="H120" s="452" t="s">
        <v>1526</v>
      </c>
      <c r="I120" s="453" t="s">
        <v>2238</v>
      </c>
      <c r="J120" s="307" t="str">
        <f>OBRA!W119</f>
        <v>HIDROLOGIAA PERFORACION Y GESTION DEL AGUA SA DE CV</v>
      </c>
      <c r="K120" s="304" t="str">
        <f>OBRA!X119</f>
        <v>ING. RIGOBERTO OLMEDO RAMOS</v>
      </c>
      <c r="L120" s="439" t="str">
        <f>OBRA!N119</f>
        <v>GMJ 007C OP/2015</v>
      </c>
      <c r="M120" s="291" t="str">
        <f>OBRA!O119</f>
        <v>ADJUDICACIÓN DIRECTA</v>
      </c>
      <c r="N120" s="292" t="str">
        <f>OBRA!P119</f>
        <v>PERFORACIÓN DE POZO PROFUNDO EN FRACCIONAMIENTO PASEO EL CARDENAL, EN LA DELEGACION DE SAN JUAN COSALA</v>
      </c>
      <c r="O120" s="465" t="s">
        <v>1523</v>
      </c>
      <c r="P120" s="294">
        <f>OBRA!S119</f>
        <v>42208</v>
      </c>
      <c r="Q120" s="293">
        <f>OBRA!R119</f>
        <v>1093156.1599999999</v>
      </c>
      <c r="R120" s="295">
        <f>OBRA!T119</f>
        <v>42212</v>
      </c>
      <c r="S120" s="296">
        <f>OBRA!U119</f>
        <v>42263</v>
      </c>
      <c r="T120" s="366"/>
      <c r="U120" s="804" t="s">
        <v>1428</v>
      </c>
      <c r="V120" s="454" t="s">
        <v>1527</v>
      </c>
      <c r="W120" s="456" t="s">
        <v>2239</v>
      </c>
      <c r="X120" s="805">
        <f>OBRA!AR119</f>
        <v>218631.24</v>
      </c>
      <c r="Y120" s="310"/>
      <c r="Z120" s="310"/>
      <c r="AA120" s="295"/>
      <c r="AB120" s="1854"/>
      <c r="AC120" s="384">
        <f>OBRA!BW119</f>
        <v>0</v>
      </c>
      <c r="AD120" s="353"/>
      <c r="AE120" s="353" t="s">
        <v>551</v>
      </c>
    </row>
    <row r="121" spans="1:31" ht="60.75" hidden="1" customHeight="1">
      <c r="A121" s="22" t="s">
        <v>2206</v>
      </c>
      <c r="B121" s="809" t="str">
        <f>GRAL!B122</f>
        <v>2012-2015</v>
      </c>
      <c r="C121" s="16">
        <f>OBRA!J120</f>
        <v>2015</v>
      </c>
      <c r="D121" s="1415"/>
      <c r="E121" s="17" t="str">
        <f>OBRA!M120</f>
        <v>RAMO 33</v>
      </c>
      <c r="F121" s="481" t="s">
        <v>1428</v>
      </c>
      <c r="G121" s="352"/>
      <c r="H121" s="1"/>
      <c r="I121" s="352"/>
      <c r="J121" s="208" t="str">
        <f>OBRA!W120</f>
        <v>-</v>
      </c>
      <c r="K121" s="231" t="str">
        <f>OBRA!X120</f>
        <v>JUAN CARLOS NAVARRO ROSALES</v>
      </c>
      <c r="L121" s="19" t="str">
        <f>OBRA!N120</f>
        <v>DOP/AD/017/2015</v>
      </c>
      <c r="M121" s="2" t="str">
        <f>OBRA!O120</f>
        <v>ADMINISTRACIÓN DIRECTA</v>
      </c>
      <c r="N121" s="3" t="str">
        <f>OBRA!P120</f>
        <v>CONSTRUCCION DE RED DE AGUA POTABLE EN LA C. CHAPULTEPEC ENTRE C. VICENTE GUERRERO HASTA EL DEPOSITO DE AGUA</v>
      </c>
      <c r="O121" s="3"/>
      <c r="P121" s="6">
        <f>OBRA!S120</f>
        <v>42212</v>
      </c>
      <c r="Q121" s="4">
        <f>OBRA!R120</f>
        <v>652283.77</v>
      </c>
      <c r="R121" s="5">
        <f>OBRA!T120</f>
        <v>42219</v>
      </c>
      <c r="S121" s="11">
        <f>OBRA!U120</f>
        <v>42231</v>
      </c>
      <c r="T121" s="52"/>
      <c r="U121" s="226" t="s">
        <v>1428</v>
      </c>
      <c r="V121" s="105"/>
      <c r="W121" s="53"/>
      <c r="X121" s="278">
        <f>OBRA!AR120</f>
        <v>0</v>
      </c>
      <c r="Y121" s="309"/>
      <c r="Z121" s="309"/>
      <c r="AA121" s="5"/>
      <c r="AB121" s="313"/>
      <c r="AC121" s="317">
        <f>OBRA!BW120</f>
        <v>0</v>
      </c>
      <c r="AD121" s="352"/>
      <c r="AE121" s="352"/>
    </row>
    <row r="122" spans="1:31" ht="60.75" hidden="1" customHeight="1">
      <c r="A122" s="22" t="s">
        <v>2206</v>
      </c>
      <c r="B122" s="809" t="str">
        <f>GRAL!B123</f>
        <v>2012-2015</v>
      </c>
      <c r="C122" s="16">
        <f>OBRA!J121</f>
        <v>2015</v>
      </c>
      <c r="D122" s="1415"/>
      <c r="E122" s="17" t="str">
        <f>OBRA!M121</f>
        <v>RAMO 33</v>
      </c>
      <c r="F122" s="481" t="s">
        <v>1428</v>
      </c>
      <c r="G122" s="352"/>
      <c r="H122" s="1"/>
      <c r="I122" s="352"/>
      <c r="J122" s="208" t="str">
        <f>OBRA!W121</f>
        <v>-</v>
      </c>
      <c r="K122" s="231" t="str">
        <f>OBRA!X121</f>
        <v>JUAN CARLOS NAVARRO ROSALES</v>
      </c>
      <c r="L122" s="19" t="str">
        <f>OBRA!N121</f>
        <v>DOP/AD/018/2015</v>
      </c>
      <c r="M122" s="2" t="str">
        <f>OBRA!O121</f>
        <v>ADMINISTRACIÓN DIRECTA</v>
      </c>
      <c r="N122" s="3" t="str">
        <f>OBRA!P121</f>
        <v>CONSTRUCCION DE RED DE AGUA POTABLE EN C. CUAHAUTEMOC NORTE Y TRE PRIVADAS SIN NOMBRES EN LA DELEGACION DE SAN JUAN COSALA</v>
      </c>
      <c r="O122" s="3"/>
      <c r="P122" s="6">
        <f>OBRA!S121</f>
        <v>42186</v>
      </c>
      <c r="Q122" s="4">
        <f>OBRA!R121</f>
        <v>363720.15</v>
      </c>
      <c r="R122" s="5">
        <f>OBRA!T121</f>
        <v>42186</v>
      </c>
      <c r="S122" s="11">
        <f>OBRA!U121</f>
        <v>42195</v>
      </c>
      <c r="T122" s="52"/>
      <c r="U122" s="226" t="s">
        <v>1428</v>
      </c>
      <c r="V122" s="105"/>
      <c r="W122" s="53"/>
      <c r="X122" s="278">
        <f>OBRA!AR121</f>
        <v>0</v>
      </c>
      <c r="Y122" s="309"/>
      <c r="Z122" s="309"/>
      <c r="AA122" s="5"/>
      <c r="AB122" s="313"/>
      <c r="AC122" s="317">
        <f>OBRA!BW121</f>
        <v>0</v>
      </c>
      <c r="AD122" s="352"/>
      <c r="AE122" s="352"/>
    </row>
    <row r="123" spans="1:31" ht="60.75" hidden="1" customHeight="1">
      <c r="A123" s="22" t="s">
        <v>2206</v>
      </c>
      <c r="B123" s="809" t="str">
        <f>GRAL!B124</f>
        <v>2012-2015</v>
      </c>
      <c r="C123" s="16">
        <f>OBRA!J122</f>
        <v>2015</v>
      </c>
      <c r="D123" s="1415"/>
      <c r="E123" s="17" t="str">
        <f>OBRA!M122</f>
        <v>RAMO 33</v>
      </c>
      <c r="F123" s="481" t="s">
        <v>1428</v>
      </c>
      <c r="G123" s="352"/>
      <c r="H123" s="1"/>
      <c r="I123" s="352"/>
      <c r="J123" s="208" t="str">
        <f>OBRA!W122</f>
        <v>-</v>
      </c>
      <c r="K123" s="231" t="str">
        <f>OBRA!X122</f>
        <v>JUAN CARLOS NAVARRO ROSALES</v>
      </c>
      <c r="L123" s="19" t="str">
        <f>OBRA!N122</f>
        <v>DOP/AD/019/2015</v>
      </c>
      <c r="M123" s="2" t="str">
        <f>OBRA!O122</f>
        <v>ADMINISTRACIÓN DIRECTA</v>
      </c>
      <c r="N123" s="3" t="str">
        <f>OBRA!P122</f>
        <v>CONSTRUCCION DE RED DE DRENAJE EN C. CARDENAL DEL PANTEON HASTA EL FINAL, EN LA DELEGCION DE SAN JUAN COSALA</v>
      </c>
      <c r="O123" s="3"/>
      <c r="P123" s="6">
        <f>OBRA!S122</f>
        <v>42219</v>
      </c>
      <c r="Q123" s="4">
        <f>OBRA!R122</f>
        <v>410196.06</v>
      </c>
      <c r="R123" s="5">
        <f>OBRA!T122</f>
        <v>42219</v>
      </c>
      <c r="S123" s="11">
        <f>OBRA!U122</f>
        <v>42231</v>
      </c>
      <c r="T123" s="52"/>
      <c r="U123" s="226" t="s">
        <v>1428</v>
      </c>
      <c r="V123" s="105"/>
      <c r="W123" s="53"/>
      <c r="X123" s="278">
        <f>OBRA!AR122</f>
        <v>0</v>
      </c>
      <c r="Y123" s="309"/>
      <c r="Z123" s="309"/>
      <c r="AA123" s="5"/>
      <c r="AB123" s="313"/>
      <c r="AC123" s="317">
        <f>OBRA!BW122</f>
        <v>0</v>
      </c>
      <c r="AD123" s="352"/>
      <c r="AE123" s="352"/>
    </row>
    <row r="124" spans="1:31" ht="75.75" hidden="1" customHeight="1">
      <c r="A124" s="22" t="s">
        <v>2206</v>
      </c>
      <c r="B124" s="809" t="str">
        <f>GRAL!B125</f>
        <v>2012-2015</v>
      </c>
      <c r="C124" s="16">
        <f>OBRA!J123</f>
        <v>2015</v>
      </c>
      <c r="D124" s="1415"/>
      <c r="E124" s="17" t="str">
        <f>OBRA!M123</f>
        <v>RAMO 33</v>
      </c>
      <c r="F124" s="481" t="s">
        <v>1428</v>
      </c>
      <c r="G124" s="352"/>
      <c r="H124" s="1"/>
      <c r="I124" s="352"/>
      <c r="J124" s="208" t="str">
        <f>OBRA!W123</f>
        <v>-</v>
      </c>
      <c r="K124" s="231" t="str">
        <f>OBRA!X123</f>
        <v>JUAN CARLOS NAVARRO ROSALES</v>
      </c>
      <c r="L124" s="19" t="str">
        <f>OBRA!N123</f>
        <v>DOP/AD/020/2015</v>
      </c>
      <c r="M124" s="2" t="str">
        <f>OBRA!O123</f>
        <v>ADMINISTRACIÓN DIRECTA</v>
      </c>
      <c r="N124" s="3" t="str">
        <f>OBRA!P123</f>
        <v>CONSTRUCCION DE LA RED DE DRENAJE EN C. JUAREZ, PRIVADA LA GUASIMA Y NARCISO MENDOZA, EN LA DELEGACION DE SAN JUAN COSALA</v>
      </c>
      <c r="O124" s="3"/>
      <c r="P124" s="6">
        <f>OBRA!S123</f>
        <v>42230</v>
      </c>
      <c r="Q124" s="4">
        <f>OBRA!R123</f>
        <v>471720.45</v>
      </c>
      <c r="R124" s="5">
        <f>OBRA!T123</f>
        <v>42232</v>
      </c>
      <c r="S124" s="11">
        <f>OBRA!U123</f>
        <v>42247</v>
      </c>
      <c r="T124" s="52"/>
      <c r="U124" s="226" t="s">
        <v>1428</v>
      </c>
      <c r="V124" s="105"/>
      <c r="W124" s="53"/>
      <c r="X124" s="278">
        <f>OBRA!AR123</f>
        <v>0</v>
      </c>
      <c r="Y124" s="309"/>
      <c r="Z124" s="309"/>
      <c r="AA124" s="5"/>
      <c r="AB124" s="313"/>
      <c r="AC124" s="317">
        <f>OBRA!BW123</f>
        <v>0</v>
      </c>
      <c r="AD124" s="352"/>
      <c r="AE124" s="352"/>
    </row>
    <row r="125" spans="1:31" ht="75.75" hidden="1" customHeight="1">
      <c r="A125" s="22" t="s">
        <v>2206</v>
      </c>
      <c r="B125" s="809" t="str">
        <f>GRAL!B126</f>
        <v>2012-2015</v>
      </c>
      <c r="C125" s="16">
        <f>OBRA!J124</f>
        <v>2015</v>
      </c>
      <c r="D125" s="1415"/>
      <c r="E125" s="17" t="str">
        <f>OBRA!M124</f>
        <v>RAMO 33</v>
      </c>
      <c r="F125" s="13" t="s">
        <v>1428</v>
      </c>
      <c r="G125" s="352"/>
      <c r="H125" s="1"/>
      <c r="I125" s="352"/>
      <c r="J125" s="208" t="str">
        <f>OBRA!W124</f>
        <v>-</v>
      </c>
      <c r="K125" s="231" t="str">
        <f>OBRA!X124</f>
        <v>JUAN CARLOS NAVARRO ROSALES</v>
      </c>
      <c r="L125" s="19" t="str">
        <f>OBRA!N124</f>
        <v>DOP/AD/021/2015</v>
      </c>
      <c r="M125" s="2" t="str">
        <f>OBRA!O124</f>
        <v>ADMINISTRACIÓN DIRECTA</v>
      </c>
      <c r="N125" s="3" t="str">
        <f>OBRA!P124</f>
        <v>CONSTRUCCION DE RED DE AGUA POTABLE EN C. JUAREZ, PRIVADA LA GUASIMA Y NARCISO MENDOZA, EN LA DELEGACION DE SAN JUAN COSALA</v>
      </c>
      <c r="O125" s="3"/>
      <c r="P125" s="6">
        <f>OBRA!S124</f>
        <v>42230</v>
      </c>
      <c r="Q125" s="4">
        <f>OBRA!R124</f>
        <v>247047.85</v>
      </c>
      <c r="R125" s="5">
        <f>OBRA!T124</f>
        <v>42233</v>
      </c>
      <c r="S125" s="11">
        <f>OBRA!U124</f>
        <v>42245</v>
      </c>
      <c r="T125" s="52"/>
      <c r="U125" s="226" t="s">
        <v>1428</v>
      </c>
      <c r="V125" s="105"/>
      <c r="W125" s="53"/>
      <c r="X125" s="278">
        <f>OBRA!AR124</f>
        <v>0</v>
      </c>
      <c r="Y125" s="309"/>
      <c r="Z125" s="309"/>
      <c r="AA125" s="5"/>
      <c r="AB125" s="313"/>
      <c r="AC125" s="317">
        <f>OBRA!BW124</f>
        <v>0</v>
      </c>
      <c r="AD125" s="352"/>
      <c r="AE125" s="352"/>
    </row>
    <row r="126" spans="1:31" ht="60.75" hidden="1" customHeight="1">
      <c r="A126" s="22" t="s">
        <v>2206</v>
      </c>
      <c r="B126" s="809" t="str">
        <f>GRAL!B127</f>
        <v>2012-2015</v>
      </c>
      <c r="C126" s="16">
        <f>OBRA!J125</f>
        <v>2015</v>
      </c>
      <c r="D126" s="1415"/>
      <c r="E126" s="17" t="str">
        <f>OBRA!M125</f>
        <v>RAMO 33</v>
      </c>
      <c r="F126" s="478" t="s">
        <v>1428</v>
      </c>
      <c r="G126" s="352"/>
      <c r="H126" s="1"/>
      <c r="I126" s="352"/>
      <c r="J126" s="208" t="str">
        <f>OBRA!W125</f>
        <v>-</v>
      </c>
      <c r="K126" s="231" t="str">
        <f>OBRA!X125</f>
        <v>JUAN CARLOS NAVARRO ROSALES</v>
      </c>
      <c r="L126" s="19" t="str">
        <f>OBRA!N125</f>
        <v>DOP/AD/022/2015</v>
      </c>
      <c r="M126" s="2" t="str">
        <f>OBRA!O125</f>
        <v>ADMINISTRACIÓN DIRECTA</v>
      </c>
      <c r="N126" s="3" t="str">
        <f>OBRA!P125</f>
        <v>CONSTRUCCION DE RED DE AGUA POTABLE EN LA RANCHERIA DE EL SALITRE, DEL MUNICIPIO E JOCOTEPEC</v>
      </c>
      <c r="O126" s="3"/>
      <c r="P126" s="6">
        <f>OBRA!S125</f>
        <v>42228</v>
      </c>
      <c r="Q126" s="4">
        <f>OBRA!R125</f>
        <v>650294</v>
      </c>
      <c r="R126" s="5">
        <f>OBRA!T125</f>
        <v>42231</v>
      </c>
      <c r="S126" s="11">
        <f>OBRA!U125</f>
        <v>42247</v>
      </c>
      <c r="T126" s="52"/>
      <c r="U126" s="226" t="s">
        <v>1428</v>
      </c>
      <c r="V126" s="105"/>
      <c r="W126" s="53"/>
      <c r="X126" s="278">
        <f>OBRA!AR125</f>
        <v>0</v>
      </c>
      <c r="Y126" s="309"/>
      <c r="Z126" s="309"/>
      <c r="AA126" s="5"/>
      <c r="AB126" s="313"/>
      <c r="AC126" s="317">
        <f>OBRA!BW125</f>
        <v>0</v>
      </c>
      <c r="AD126" s="352"/>
      <c r="AE126" s="352"/>
    </row>
    <row r="127" spans="1:31" s="104" customFormat="1" ht="30.75" hidden="1" customHeight="1">
      <c r="A127" s="81" t="s">
        <v>251</v>
      </c>
      <c r="B127" s="809" t="str">
        <f>GRAL!B128</f>
        <v>2012-2015</v>
      </c>
      <c r="C127" s="82">
        <f>OBRA!J126</f>
        <v>2015</v>
      </c>
      <c r="D127" s="781"/>
      <c r="E127" s="97" t="str">
        <f>OBRA!M126</f>
        <v>CUENTA CORRIENTE</v>
      </c>
      <c r="F127" s="479"/>
      <c r="G127" s="354"/>
      <c r="H127" s="96"/>
      <c r="I127" s="354"/>
      <c r="J127" s="276" t="str">
        <f>OBRA!W126</f>
        <v>-</v>
      </c>
      <c r="K127" s="277" t="str">
        <f>OBRA!X126</f>
        <v>ING. RIGOBERTO OLMEDO RAMOS</v>
      </c>
      <c r="L127" s="84" t="str">
        <f>OBRA!N126</f>
        <v>DOP/AD/023/2015</v>
      </c>
      <c r="M127" s="85" t="str">
        <f>OBRA!O126</f>
        <v>ADMINISTRACIÓN DIRECTA</v>
      </c>
      <c r="N127" s="125" t="str">
        <f>OBRA!P126</f>
        <v>REMODELACIÓN DE BANQUETAS EN CALLE MORELOS ENTRE CALLES HIDALGO Y JOSEFA ORTIZ DE DOMINGUEZ (LADO NORTE), EN LA CABECERA MUNICIPAL DE JOCOTEPEC, JALISCO</v>
      </c>
      <c r="O127" s="125"/>
      <c r="P127" s="87" t="s">
        <v>68</v>
      </c>
      <c r="Q127" s="4">
        <f>OBRA!R126</f>
        <v>425150</v>
      </c>
      <c r="R127" s="88" t="s">
        <v>68</v>
      </c>
      <c r="S127" s="89" t="s">
        <v>68</v>
      </c>
      <c r="T127" s="101"/>
      <c r="U127" s="226" t="s">
        <v>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f>
        <v>2012-2015</v>
      </c>
      <c r="C128" s="16">
        <f>OBRA!J127</f>
        <v>2015</v>
      </c>
      <c r="D128" s="1415"/>
      <c r="E128" s="17" t="str">
        <f>OBRA!M127</f>
        <v>RAMO 33</v>
      </c>
      <c r="F128" s="478" t="s">
        <v>1428</v>
      </c>
      <c r="G128" s="352"/>
      <c r="H128" s="1"/>
      <c r="I128" s="352"/>
      <c r="J128" s="208" t="str">
        <f>OBRA!W127</f>
        <v>-</v>
      </c>
      <c r="K128" s="231" t="str">
        <f>OBRA!X127</f>
        <v>ING. RIGOBERTO OLMEDO RAMOS</v>
      </c>
      <c r="L128" s="19" t="str">
        <f>OBRA!N127</f>
        <v>DOP/AD/024/2015</v>
      </c>
      <c r="M128" s="2" t="str">
        <f>OBRA!O127</f>
        <v>ADMINISTRACIÓN DIRECTA</v>
      </c>
      <c r="N128" s="3" t="str">
        <f>OBRA!P127</f>
        <v>EMPEDRADO NORMAL EN CALLE JUAREZ Y CALLEJON LA GUASIMA, EN LA DELEGCION DE SAN JUAN COSALA</v>
      </c>
      <c r="O128" s="3"/>
      <c r="P128" s="6">
        <f>OBRA!S127</f>
        <v>42254</v>
      </c>
      <c r="Q128" s="4">
        <f>OBRA!R127</f>
        <v>365900.18</v>
      </c>
      <c r="R128" s="5">
        <f>OBRA!T127</f>
        <v>42254</v>
      </c>
      <c r="S128" s="11">
        <f>OBRA!U127</f>
        <v>42210</v>
      </c>
      <c r="T128" s="52"/>
      <c r="U128" s="226" t="s">
        <v>1428</v>
      </c>
      <c r="V128" s="105"/>
      <c r="W128" s="53"/>
      <c r="X128" s="278">
        <f>OBRA!AR127</f>
        <v>0</v>
      </c>
      <c r="Y128" s="309"/>
      <c r="Z128" s="309"/>
      <c r="AA128" s="5"/>
      <c r="AB128" s="313"/>
      <c r="AC128" s="317">
        <f>OBRA!BW127</f>
        <v>0</v>
      </c>
      <c r="AD128" s="352"/>
      <c r="AE128" s="352"/>
    </row>
    <row r="129" spans="1:31" ht="60.75" hidden="1" customHeight="1">
      <c r="A129" s="22" t="s">
        <v>2206</v>
      </c>
      <c r="B129" s="809" t="str">
        <f>GRAL!B130</f>
        <v>2012-2015</v>
      </c>
      <c r="C129" s="16">
        <f>OBRA!J128</f>
        <v>2015</v>
      </c>
      <c r="D129" s="1415"/>
      <c r="E129" s="17" t="str">
        <f>OBRA!M128</f>
        <v>RAMO 33</v>
      </c>
      <c r="F129" s="478" t="s">
        <v>1428</v>
      </c>
      <c r="G129" s="352"/>
      <c r="H129" s="1"/>
      <c r="I129" s="352"/>
      <c r="J129" s="208" t="str">
        <f>OBRA!W128</f>
        <v>-</v>
      </c>
      <c r="K129" s="231" t="str">
        <f>OBRA!X128</f>
        <v>JUAN CARLOS NAVARRO ROSALES</v>
      </c>
      <c r="L129" s="19" t="str">
        <f>OBRA!N128</f>
        <v>DOP/AD/025/2015</v>
      </c>
      <c r="M129" s="2" t="str">
        <f>OBRA!O128</f>
        <v>ADMINISTRACIÓN DIRECTA</v>
      </c>
      <c r="N129" s="3" t="str">
        <f>OBRA!P128</f>
        <v xml:space="preserve">CONSTRUCCION DE RED DE DRENAJE EN C. FILOSOFOS ENTRE INDEPENDENCIA Y ALLENDE, EN CABECERA MUNICIPAL </v>
      </c>
      <c r="O129" s="3"/>
      <c r="P129" s="6">
        <f>OBRA!S128</f>
        <v>42258</v>
      </c>
      <c r="Q129" s="4">
        <f>OBRA!R128</f>
        <v>289480.24</v>
      </c>
      <c r="R129" s="5">
        <f>OBRA!T128</f>
        <v>42258</v>
      </c>
      <c r="S129" s="11">
        <f>OBRA!U128</f>
        <v>42272</v>
      </c>
      <c r="T129" s="52"/>
      <c r="U129" s="226" t="s">
        <v>1428</v>
      </c>
      <c r="V129" s="105"/>
      <c r="W129" s="53"/>
      <c r="X129" s="278">
        <f>OBRA!AR128</f>
        <v>0</v>
      </c>
      <c r="Y129" s="309"/>
      <c r="Z129" s="309"/>
      <c r="AA129" s="5"/>
      <c r="AB129" s="313"/>
      <c r="AC129" s="317">
        <f>OBRA!BW128</f>
        <v>0</v>
      </c>
      <c r="AD129" s="352"/>
      <c r="AE129" s="352"/>
    </row>
    <row r="130" spans="1:31" ht="90.75" hidden="1" customHeight="1">
      <c r="A130" s="22" t="s">
        <v>2206</v>
      </c>
      <c r="B130" s="809" t="str">
        <f>GRAL!B131</f>
        <v>2012-2015</v>
      </c>
      <c r="C130" s="16">
        <f>OBRA!J129</f>
        <v>2015</v>
      </c>
      <c r="D130" s="1415"/>
      <c r="E130" s="17" t="str">
        <f>OBRA!M129</f>
        <v>RAMO 33</v>
      </c>
      <c r="F130" s="478" t="s">
        <v>1428</v>
      </c>
      <c r="G130" s="352"/>
      <c r="H130" s="1"/>
      <c r="I130" s="352"/>
      <c r="J130" s="54" t="str">
        <f>OBRA!W129</f>
        <v>-</v>
      </c>
      <c r="K130" s="55" t="str">
        <f>OBRA!X129</f>
        <v>ING. J. GUADALUPE IBARRA RAMIREZ</v>
      </c>
      <c r="L130" s="19" t="str">
        <f>OBRA!N129</f>
        <v>DOP/AD/012/2015</v>
      </c>
      <c r="M130" s="2" t="str">
        <f>OBRA!O129</f>
        <v>ADMINISTRACIÓN DIRECTA</v>
      </c>
      <c r="N130" s="3" t="str">
        <f>OBRA!P129</f>
        <v>COLOCACIÓN DE ADOQUÍN Y REHABILITACIÓN DE REDES DE AGUA POTABLE Y DRENAJE CALLE PORFIRIO DÍAZ, 2DA ETAPA EN LA DELEGACIÓN DE SAN JUAN COSALA, MUNICIPIO DE JOCOTEPEC, JALISCO</v>
      </c>
      <c r="O130" s="3"/>
      <c r="P130" s="6">
        <f>OBRA!S129</f>
        <v>42320</v>
      </c>
      <c r="Q130" s="4">
        <f>OBRA!R129</f>
        <v>1538461.54</v>
      </c>
      <c r="R130" s="5">
        <f>OBRA!T129</f>
        <v>42321</v>
      </c>
      <c r="S130" s="11">
        <f>OBRA!U129</f>
        <v>42369</v>
      </c>
      <c r="T130" s="52"/>
      <c r="U130" s="226" t="s">
        <v>1428</v>
      </c>
      <c r="V130" s="105"/>
      <c r="W130" s="53"/>
      <c r="X130" s="278">
        <f>OBRA!AR129</f>
        <v>0</v>
      </c>
      <c r="Y130" s="309"/>
      <c r="Z130" s="309"/>
      <c r="AA130" s="5"/>
      <c r="AB130" s="313"/>
      <c r="AC130" s="317" t="str">
        <f>OBRA!BW129</f>
        <v xml:space="preserve">OBRA AUDITADA 2016 </v>
      </c>
      <c r="AD130" s="352"/>
      <c r="AE130" s="352"/>
    </row>
    <row r="131" spans="1:31" ht="90.75" hidden="1" customHeight="1">
      <c r="A131" s="22" t="s">
        <v>2206</v>
      </c>
      <c r="B131" s="809" t="str">
        <f>GRAL!B132</f>
        <v>2012-2015</v>
      </c>
      <c r="C131" s="16">
        <f>OBRA!J130</f>
        <v>2015</v>
      </c>
      <c r="D131" s="1415"/>
      <c r="E131" s="17" t="str">
        <f>OBRA!M130</f>
        <v>CUENTA CORRIENTE</v>
      </c>
      <c r="F131" s="478" t="s">
        <v>1428</v>
      </c>
      <c r="G131" s="352"/>
      <c r="H131" s="1"/>
      <c r="I131" s="352"/>
      <c r="J131" s="54" t="str">
        <f>OBRA!W130</f>
        <v>-</v>
      </c>
      <c r="K131" s="55" t="str">
        <f>OBRA!X130</f>
        <v>ING. J. GUADALUPE IBARRA RAMIREZ</v>
      </c>
      <c r="L131" s="19" t="str">
        <f>OBRA!N130</f>
        <v>DOP/AD/026/2015</v>
      </c>
      <c r="M131" s="2" t="str">
        <f>OBRA!O130</f>
        <v>ADMINISTRACIÓN DIRECTA</v>
      </c>
      <c r="N131" s="3" t="str">
        <f>OBRA!P130</f>
        <v xml:space="preserve">BACHEO CON MEZCLA PREMIUM Y BACHEO CON MEZCLA ASFALTICA CALIENTE EN DIVERSAS CALLES, DE LA CABECERA MUNICIPAL, SUS DELEGACIONES Y AGENCIAS MUNICIPALES </v>
      </c>
      <c r="O131" s="3"/>
      <c r="P131" s="6">
        <f>OBRA!S130</f>
        <v>42278</v>
      </c>
      <c r="Q131" s="4">
        <f>OBRA!R130</f>
        <v>162687</v>
      </c>
      <c r="R131" s="5">
        <f>OBRA!T130</f>
        <v>42278</v>
      </c>
      <c r="S131" s="11">
        <f>OBRA!U130</f>
        <v>42338</v>
      </c>
      <c r="T131" s="52"/>
      <c r="U131" s="226" t="s">
        <v>1428</v>
      </c>
      <c r="V131" s="105"/>
      <c r="W131" s="53"/>
      <c r="X131" s="278">
        <f>OBRA!AR130</f>
        <v>0</v>
      </c>
      <c r="Y131" s="309"/>
      <c r="Z131" s="309"/>
      <c r="AA131" s="5"/>
      <c r="AB131" s="313"/>
      <c r="AC131" s="317">
        <f>OBRA!BW130</f>
        <v>0</v>
      </c>
      <c r="AD131" s="352"/>
      <c r="AE131" s="352"/>
    </row>
    <row r="132" spans="1:31" ht="90.75" hidden="1" customHeight="1">
      <c r="A132" s="22" t="s">
        <v>2206</v>
      </c>
      <c r="B132" s="809" t="str">
        <f>GRAL!B133</f>
        <v>2015-2018</v>
      </c>
      <c r="C132" s="16">
        <f>OBRA!J131</f>
        <v>2015</v>
      </c>
      <c r="D132" s="1415"/>
      <c r="E132" s="17" t="str">
        <f>OBRA!M131</f>
        <v>R33 - FONDEREG</v>
      </c>
      <c r="F132" s="478"/>
      <c r="G132" s="352"/>
      <c r="H132" s="1"/>
      <c r="I132" s="352"/>
      <c r="J132" s="54" t="str">
        <f>OBRA!W131</f>
        <v>-</v>
      </c>
      <c r="K132" s="55" t="str">
        <f>OBRA!X131</f>
        <v>ING. J. GUADALUPE IBARRA RAMIREZ</v>
      </c>
      <c r="L132" s="19" t="str">
        <f>OBRA!N131</f>
        <v xml:space="preserve">DOP/AD/027/2015 </v>
      </c>
      <c r="M132" s="2" t="str">
        <f>OBRA!O131</f>
        <v>ADMINISTRACIÓN DIRECTA</v>
      </c>
      <c r="N132" s="3" t="str">
        <f>OBRA!P131</f>
        <v>COLOCACIÓN DE ADOQUÍN Y REHABILITACIÓN DE REDES DE AGUA POTABLE Y DRENAJE CALLE PORFIRIO DÍAZ, 2DA ETAPA EN LA DELEGACIÓN DE SAN JUAN COSALA, MUNICIPIO DE JOCOTEPEC, JALISCO</v>
      </c>
      <c r="O132" s="3"/>
      <c r="P132" s="6">
        <f>OBRA!S131</f>
        <v>42320</v>
      </c>
      <c r="Q132" s="4">
        <f>OBRA!R131</f>
        <v>1538461.54</v>
      </c>
      <c r="R132" s="5">
        <f>OBRA!T131</f>
        <v>42321</v>
      </c>
      <c r="S132" s="11">
        <f>OBRA!U131</f>
        <v>42369</v>
      </c>
      <c r="T132" s="52"/>
      <c r="U132" s="226" t="s">
        <v>1428</v>
      </c>
      <c r="V132" s="105"/>
      <c r="W132" s="53"/>
      <c r="X132" s="278">
        <f>OBRA!AR131</f>
        <v>0</v>
      </c>
      <c r="Y132" s="309"/>
      <c r="Z132" s="309"/>
      <c r="AA132" s="5"/>
      <c r="AB132" s="313"/>
      <c r="AC132" s="317" t="str">
        <f>OBRA!BW131</f>
        <v xml:space="preserve">OBRA AUDITADA 2016 </v>
      </c>
      <c r="AD132" s="352"/>
      <c r="AE132" s="352"/>
    </row>
    <row r="133" spans="1:31" ht="90.75" hidden="1" customHeight="1">
      <c r="A133" s="22" t="s">
        <v>2206</v>
      </c>
      <c r="B133" s="809" t="str">
        <f>GRAL!B134</f>
        <v>2015-2018</v>
      </c>
      <c r="C133" s="16">
        <f>OBRA!J132</f>
        <v>2015</v>
      </c>
      <c r="D133" s="1415"/>
      <c r="E133" s="17" t="str">
        <f>OBRA!M132</f>
        <v>FONDEREG</v>
      </c>
      <c r="F133" s="478"/>
      <c r="G133" s="352"/>
      <c r="H133" s="1"/>
      <c r="I133" s="352"/>
      <c r="J133" s="54" t="str">
        <f>OBRA!W132</f>
        <v>-</v>
      </c>
      <c r="K133" s="55" t="str">
        <f>OBRA!X132</f>
        <v>ING. J. GUADALUPE IBARRA RAMIREZ</v>
      </c>
      <c r="L133" s="19" t="str">
        <f>OBRA!N132</f>
        <v>DOP/AD/028/2015</v>
      </c>
      <c r="M133" s="2" t="str">
        <f>OBRA!O132</f>
        <v>ADMINISTRACIÓN DIRECTA</v>
      </c>
      <c r="N133" s="3" t="str">
        <f>OBRA!P132</f>
        <v>COLOCACIÓN DE ADOQUIN Y REHABILITACIÓN DE REDES DE AGUA POTABLE Y DRENAJE EN CALLE PROFIRIO DÍAZ, 2DA. ETAPA EN LA DELEGACIÓN DE SAN JUAN COSALA, MUNICIPIO DE JOCOTEPEC, JALISCO</v>
      </c>
      <c r="O133" s="3"/>
      <c r="P133" s="6">
        <f>OBRA!S132</f>
        <v>42320</v>
      </c>
      <c r="Q133" s="4">
        <f>OBRA!R132</f>
        <v>1025641.03</v>
      </c>
      <c r="R133" s="5">
        <f>OBRA!T132</f>
        <v>42321</v>
      </c>
      <c r="S133" s="11">
        <f>OBRA!U132</f>
        <v>42369</v>
      </c>
      <c r="T133" s="52"/>
      <c r="U133" s="226" t="s">
        <v>1428</v>
      </c>
      <c r="V133" s="105"/>
      <c r="W133" s="53"/>
      <c r="X133" s="278">
        <f>OBRA!AR132</f>
        <v>0</v>
      </c>
      <c r="Y133" s="309"/>
      <c r="Z133" s="309"/>
      <c r="AA133" s="5"/>
      <c r="AB133" s="313"/>
      <c r="AC133" s="317" t="str">
        <f>OBRA!BW132</f>
        <v xml:space="preserve">OBRA AUDITADA 2016 </v>
      </c>
      <c r="AD133" s="352"/>
      <c r="AE133" s="352"/>
    </row>
    <row r="134" spans="1:31" ht="60.75" hidden="1" customHeight="1">
      <c r="A134" s="22" t="s">
        <v>2206</v>
      </c>
      <c r="B134" s="809" t="str">
        <f>GRAL!B135</f>
        <v>2015-2018</v>
      </c>
      <c r="C134" s="16">
        <f>OBRA!J133</f>
        <v>2015</v>
      </c>
      <c r="D134" s="1415"/>
      <c r="E134" s="17" t="str">
        <f>OBRA!M133</f>
        <v>FOREMODA</v>
      </c>
      <c r="F134" s="478"/>
      <c r="G134" s="23"/>
      <c r="H134" s="1"/>
      <c r="I134" s="352"/>
      <c r="J134" s="54" t="str">
        <f>OBRA!W133</f>
        <v>-</v>
      </c>
      <c r="K134" s="55" t="str">
        <f>OBRA!X133</f>
        <v>-</v>
      </c>
      <c r="L134" s="19" t="str">
        <f>OBRA!N133</f>
        <v>CNCA/GDSPC/COLAB/03422</v>
      </c>
      <c r="M134" s="2" t="str">
        <f>OBRA!O133</f>
        <v>CONVENIO</v>
      </c>
      <c r="N134" s="3" t="str">
        <f>OBRA!P133</f>
        <v>TRABAJOS DE RESTAURACION DE LA PARROQUIA DEL SEÑOR DEL MONETE, UBICADO EN CALLE MIGUEL ARANA Nº 76 EN JOCOTEPEC, JAL</v>
      </c>
      <c r="O134" s="3"/>
      <c r="P134" s="6">
        <f>OBRA!S133</f>
        <v>42307</v>
      </c>
      <c r="Q134" s="4">
        <f>OBRA!R133</f>
        <v>1500000</v>
      </c>
      <c r="R134" s="5">
        <f>OBRA!T133</f>
        <v>42338</v>
      </c>
      <c r="S134" s="11">
        <f>OBRA!U133</f>
        <v>42696</v>
      </c>
      <c r="T134" s="52"/>
      <c r="U134" s="226" t="s">
        <v>1428</v>
      </c>
      <c r="V134" s="105"/>
      <c r="W134" s="53"/>
      <c r="X134" s="278">
        <f>OBRA!AR133</f>
        <v>0</v>
      </c>
      <c r="Y134" s="309"/>
      <c r="Z134" s="309"/>
      <c r="AA134" s="5"/>
      <c r="AB134" s="313"/>
      <c r="AC134" s="317">
        <f>OBRA!BW133</f>
        <v>0</v>
      </c>
      <c r="AD134" s="352"/>
      <c r="AE134" s="352"/>
    </row>
    <row r="135" spans="1:31" ht="96" hidden="1" customHeight="1">
      <c r="A135" s="22" t="s">
        <v>2206</v>
      </c>
      <c r="B135" s="809" t="str">
        <f>GRAL!B136</f>
        <v>2015-2018</v>
      </c>
      <c r="C135" s="16">
        <f>OBRA!J134</f>
        <v>2015</v>
      </c>
      <c r="D135" s="1415"/>
      <c r="E135" s="17" t="str">
        <f>OBRA!M134</f>
        <v>FOREMODA</v>
      </c>
      <c r="F135" s="482" t="s">
        <v>1567</v>
      </c>
      <c r="G135" s="493" t="s">
        <v>2240</v>
      </c>
      <c r="H135" s="495" t="s">
        <v>1574</v>
      </c>
      <c r="I135" s="496" t="s">
        <v>2241</v>
      </c>
      <c r="J135" s="54" t="str">
        <f>OBRA!W134</f>
        <v>ARGUELLES ARQUITECTOS S.A. DE C.V.</v>
      </c>
      <c r="K135" s="55" t="str">
        <f>OBRA!X134</f>
        <v>ARQ. FRANCISCO SALAZAR</v>
      </c>
      <c r="L135" s="33" t="str">
        <f>OBRA!N134</f>
        <v>GMJC001OP-2015</v>
      </c>
      <c r="M135" s="2" t="str">
        <f>OBRA!O134</f>
        <v>ADJUDICACIÓN DIRECTA</v>
      </c>
      <c r="N135" s="3" t="str">
        <f>OBRA!P134</f>
        <v>TRABAJOS DE RESTAURACION DE LA PARROQUIA DEL SEÑOR DEL MONTE, UBICADO EN CALLE MIGUEL ARANA Nº 76 EN JOCOTEPEC, JAL</v>
      </c>
      <c r="O135" s="466" t="s">
        <v>1570</v>
      </c>
      <c r="P135" s="67">
        <f>OBRA!S134</f>
        <v>42339</v>
      </c>
      <c r="Q135" s="4">
        <f>OBRA!R134</f>
        <v>1500000</v>
      </c>
      <c r="R135" s="5">
        <f>OBRA!T134</f>
        <v>42338</v>
      </c>
      <c r="S135" s="11">
        <f>OBRA!U134</f>
        <v>42704</v>
      </c>
      <c r="T135" s="52"/>
      <c r="U135" s="497" t="s">
        <v>2242</v>
      </c>
      <c r="V135" s="498" t="s">
        <v>1575</v>
      </c>
      <c r="W135" s="525" t="s">
        <v>2243</v>
      </c>
      <c r="X135" s="278">
        <f>OBRA!AR134</f>
        <v>825000</v>
      </c>
      <c r="Y135" s="499" t="s">
        <v>2244</v>
      </c>
      <c r="Z135" s="309">
        <v>42467</v>
      </c>
      <c r="AA135" s="544">
        <v>0</v>
      </c>
      <c r="AB135" s="1856"/>
      <c r="AC135" s="317" t="str">
        <f>OBRA!BW134</f>
        <v>CLASULA SEGUNDA</v>
      </c>
      <c r="AD135" s="352"/>
      <c r="AE135" s="352" t="s">
        <v>551</v>
      </c>
    </row>
    <row r="136" spans="1:31" s="104" customFormat="1" ht="75.75" hidden="1" customHeight="1">
      <c r="A136" s="81" t="s">
        <v>2206</v>
      </c>
      <c r="B136" s="820" t="str">
        <f>GRAL!B137</f>
        <v>2012-2015</v>
      </c>
      <c r="C136" s="82">
        <f>OBRA!J135</f>
        <v>2015</v>
      </c>
      <c r="D136" s="781"/>
      <c r="E136" s="97" t="str">
        <f>OBRA!M135</f>
        <v>RAMO 33</v>
      </c>
      <c r="F136" s="483" t="s">
        <v>1428</v>
      </c>
      <c r="G136" s="354"/>
      <c r="H136" s="96"/>
      <c r="I136" s="354"/>
      <c r="J136" s="151" t="str">
        <f>OBRA!W135</f>
        <v>CONSTRUCCIONES VIKBRAK, S.A. DE C.V.</v>
      </c>
      <c r="K136" s="152" t="str">
        <f>OBRA!X135</f>
        <v xml:space="preserve">LIC. SALVADOR CONTRERAS </v>
      </c>
      <c r="L136" s="308" t="str">
        <f>OBRA!N135</f>
        <v>GMJ 003C OP/2015</v>
      </c>
      <c r="M136" s="186" t="str">
        <f>OBRA!O135</f>
        <v>CANCELADA</v>
      </c>
      <c r="N136" s="106" t="str">
        <f>OBRA!P135</f>
        <v>1 ER ETAPA DE REHABILITACION, RED DE DRENAJE Y REPOCISION DE EMPEDRADO AHOGADO EN CEMENTO EN LA CALLE ANIMA SOLA DE LA CABECERA MUNICIPAL DE JOCOTEPEC</v>
      </c>
      <c r="O136" s="468" t="s">
        <v>627</v>
      </c>
      <c r="P136" s="87">
        <f>OBRA!S135</f>
        <v>42593</v>
      </c>
      <c r="Q136" s="86">
        <f>OBRA!R135</f>
        <v>369433.09</v>
      </c>
      <c r="R136" s="88">
        <f>OBRA!T135</f>
        <v>42597</v>
      </c>
      <c r="S136" s="89">
        <f>OBRA!U135</f>
        <v>42704</v>
      </c>
      <c r="T136" s="101"/>
      <c r="U136" s="101" t="s">
        <v>1428</v>
      </c>
      <c r="V136" s="100"/>
      <c r="W136" s="91"/>
      <c r="X136" s="821">
        <f>OBRA!AR135</f>
        <v>0</v>
      </c>
      <c r="Y136" s="311"/>
      <c r="Z136" s="311"/>
      <c r="AA136" s="88"/>
      <c r="AB136" s="1855"/>
      <c r="AC136" s="467">
        <f>OBRA!BW135</f>
        <v>0</v>
      </c>
      <c r="AD136" s="354"/>
      <c r="AE136" s="354"/>
    </row>
    <row r="137" spans="1:31" ht="105.75" hidden="1" customHeight="1">
      <c r="A137" s="22" t="s">
        <v>2206</v>
      </c>
      <c r="B137" s="809" t="str">
        <f>GRAL!B138</f>
        <v>2015-2018</v>
      </c>
      <c r="C137" s="16">
        <f>OBRA!J136</f>
        <v>2016</v>
      </c>
      <c r="D137" s="1415"/>
      <c r="E137" s="17" t="str">
        <f>OBRA!M136</f>
        <v>CUENTA CORRIENTE</v>
      </c>
      <c r="F137" s="481" t="s">
        <v>1428</v>
      </c>
      <c r="G137" s="352"/>
      <c r="H137" s="1"/>
      <c r="I137" s="352"/>
      <c r="J137" s="54" t="str">
        <f>OBRA!W136</f>
        <v>-</v>
      </c>
      <c r="K137" s="55" t="str">
        <f>OBRA!X136</f>
        <v>ING. J. GUADALUPE IBARRA RAMIREZ</v>
      </c>
      <c r="L137" s="19" t="str">
        <f>OBRA!N136</f>
        <v>DOP/AD/001/2016</v>
      </c>
      <c r="M137" s="2" t="str">
        <f>OBRA!O136</f>
        <v>ADMINISTRACIÓN DIRECTA</v>
      </c>
      <c r="N137" s="3" t="str">
        <f>OBRA!P136</f>
        <v xml:space="preserve">OBRA COMPLEMENTARIA PARA LA REHABILITACIÓN DE RED DE AGUA POTABLE, DRENAJE Y EMPEDRADO AHOGADO EN CEMENTO EN LA CALLE ALDAMA DESDE NICOLAS BRAVO HASTA CERRADA, EN LA CABECERA MUNICIPAL </v>
      </c>
      <c r="O137" s="3"/>
      <c r="P137" s="6">
        <f>OBRA!S136</f>
        <v>42403</v>
      </c>
      <c r="Q137" s="4">
        <f>OBRA!R136</f>
        <v>375407.88</v>
      </c>
      <c r="R137" s="5">
        <f>OBRA!T136</f>
        <v>42405</v>
      </c>
      <c r="S137" s="11">
        <f>OBRA!U136</f>
        <v>42441</v>
      </c>
      <c r="T137" s="52"/>
      <c r="U137" s="226" t="s">
        <v>1428</v>
      </c>
      <c r="V137" s="105"/>
      <c r="W137" s="53"/>
      <c r="X137" s="278">
        <f>OBRA!AR136</f>
        <v>0</v>
      </c>
      <c r="Y137" s="309"/>
      <c r="Z137" s="309"/>
      <c r="AA137" s="5"/>
      <c r="AB137" s="313"/>
      <c r="AC137" s="317">
        <f>OBRA!BW136</f>
        <v>0</v>
      </c>
      <c r="AD137" s="352"/>
      <c r="AE137" s="352"/>
    </row>
    <row r="138" spans="1:31" ht="63.75" hidden="1" customHeight="1">
      <c r="A138" s="22" t="s">
        <v>2206</v>
      </c>
      <c r="B138" s="809" t="str">
        <f>GRAL!B139</f>
        <v>2015-2018</v>
      </c>
      <c r="C138" s="16">
        <f>OBRA!J137</f>
        <v>2016</v>
      </c>
      <c r="D138" s="1415"/>
      <c r="E138" s="17" t="str">
        <f>OBRA!M137</f>
        <v>CUENTA CORRIENTE</v>
      </c>
      <c r="F138" s="481" t="s">
        <v>1428</v>
      </c>
      <c r="G138" s="352"/>
      <c r="H138" s="1"/>
      <c r="I138" s="352"/>
      <c r="J138" s="54" t="str">
        <f>OBRA!W137</f>
        <v>-</v>
      </c>
      <c r="K138" s="55" t="str">
        <f>OBRA!X137</f>
        <v>ING. J. GUADALUPE IBARRA RAMIREZ</v>
      </c>
      <c r="L138" s="19" t="str">
        <f>OBRA!N137</f>
        <v>DOP/AD/002/2016</v>
      </c>
      <c r="M138" s="2" t="str">
        <f>OBRA!O137</f>
        <v>ADMINISTRACIÓN DIRECTA</v>
      </c>
      <c r="N138" s="3" t="str">
        <f>OBRA!P137</f>
        <v>RELLENO Y REPARACIÓN DE SOCAVON, DESLAVE LATERAL EN CARRETERA DE SAN LUCIANO</v>
      </c>
      <c r="O138" s="3"/>
      <c r="P138" s="6">
        <f>OBRA!S137</f>
        <v>42433</v>
      </c>
      <c r="Q138" s="4">
        <f>OBRA!R137</f>
        <v>46400</v>
      </c>
      <c r="R138" s="5">
        <f>OBRA!T137</f>
        <v>42434</v>
      </c>
      <c r="S138" s="11">
        <f>OBRA!U137</f>
        <v>42439</v>
      </c>
      <c r="T138" s="52"/>
      <c r="U138" s="226" t="s">
        <v>1428</v>
      </c>
      <c r="V138" s="105"/>
      <c r="W138" s="53"/>
      <c r="X138" s="278">
        <f>OBRA!AR137</f>
        <v>0</v>
      </c>
      <c r="Y138" s="309"/>
      <c r="Z138" s="309"/>
      <c r="AA138" s="5"/>
      <c r="AB138" s="313"/>
      <c r="AC138" s="317">
        <f>OBRA!BW137</f>
        <v>0</v>
      </c>
      <c r="AD138" s="352"/>
      <c r="AE138" s="352"/>
    </row>
    <row r="139" spans="1:31" ht="60.75" hidden="1" customHeight="1">
      <c r="A139" s="22" t="s">
        <v>2206</v>
      </c>
      <c r="B139" s="809" t="str">
        <f>GRAL!B140</f>
        <v>2015-2018</v>
      </c>
      <c r="C139" s="16">
        <f>OBRA!J138</f>
        <v>2016</v>
      </c>
      <c r="D139" s="1415"/>
      <c r="E139" s="17" t="str">
        <f>OBRA!M138</f>
        <v>CUENTA CORRIENTE</v>
      </c>
      <c r="F139" s="13" t="s">
        <v>1428</v>
      </c>
      <c r="G139" s="352"/>
      <c r="H139" s="1"/>
      <c r="I139" s="352"/>
      <c r="J139" s="54" t="str">
        <f>OBRA!W138</f>
        <v>-</v>
      </c>
      <c r="K139" s="55" t="str">
        <f>OBRA!X138</f>
        <v>ING. J. GUADALUPE IBARRA RAMIREZ</v>
      </c>
      <c r="L139" s="19" t="str">
        <f>OBRA!N138</f>
        <v>DOP/AD/003/2016</v>
      </c>
      <c r="M139" s="2" t="str">
        <f>OBRA!O138</f>
        <v>ADMINISTRACIÓN DIRECTA</v>
      </c>
      <c r="N139" s="3" t="str">
        <f>OBRA!P138</f>
        <v>ACONDICIONAMIENTO DE INGRESO AL HOSPITAL COMUNITARIO DEL MUNICIPIO DE JOCOTEPEC, EN LA LOCALIDAD DE CHANTEPEC</v>
      </c>
      <c r="O139" s="3"/>
      <c r="P139" s="6">
        <f>OBRA!S138</f>
        <v>42498</v>
      </c>
      <c r="Q139" s="4">
        <f>OBRA!R138</f>
        <v>192889.77</v>
      </c>
      <c r="R139" s="5">
        <f>OBRA!T138</f>
        <v>42499</v>
      </c>
      <c r="S139" s="11">
        <f>OBRA!U138</f>
        <v>42560</v>
      </c>
      <c r="T139" s="52"/>
      <c r="U139" s="226" t="s">
        <v>1428</v>
      </c>
      <c r="V139" s="105"/>
      <c r="W139" s="53"/>
      <c r="X139" s="278">
        <f>OBRA!AR138</f>
        <v>0</v>
      </c>
      <c r="Y139" s="309"/>
      <c r="Z139" s="309"/>
      <c r="AA139" s="5"/>
      <c r="AB139" s="313"/>
      <c r="AC139" s="317">
        <f>OBRA!BW138</f>
        <v>0</v>
      </c>
      <c r="AD139" s="352"/>
      <c r="AE139" s="352"/>
    </row>
    <row r="140" spans="1:31" ht="60.75" hidden="1" customHeight="1">
      <c r="A140" s="22" t="s">
        <v>2206</v>
      </c>
      <c r="B140" s="809" t="str">
        <f>GRAL!B141</f>
        <v>2015-2018</v>
      </c>
      <c r="C140" s="16">
        <f>OBRA!J139</f>
        <v>2016</v>
      </c>
      <c r="D140" s="1415"/>
      <c r="E140" s="17" t="str">
        <f>OBRA!M139</f>
        <v>FORTALECE</v>
      </c>
      <c r="F140" s="478"/>
      <c r="G140" s="352"/>
      <c r="H140" s="1"/>
      <c r="I140" s="352"/>
      <c r="J140" s="54" t="str">
        <f>OBRA!W139</f>
        <v>-</v>
      </c>
      <c r="K140" s="55" t="str">
        <f>OBRA!X139</f>
        <v>ING. J. GUADALUPE IBARRA RAMIREZ</v>
      </c>
      <c r="L140" s="19" t="str">
        <f>OBRA!N139</f>
        <v>DOP/AD/004/2016</v>
      </c>
      <c r="M140" s="2" t="str">
        <f>OBRA!O139</f>
        <v>ADMINISTRACIÓN DIRECTA</v>
      </c>
      <c r="N140" s="3" t="str">
        <f>OBRA!P139</f>
        <v>PROYECTO EMPEDRADO AHOGADO EN CEMENTO DE LA CALLE LÓPEZ RAYÓN ENTRE PRIV. ITURBIDE Y VERANO EN LA CABECERA MUNICIPAL</v>
      </c>
      <c r="O140" s="3"/>
      <c r="P140" s="6">
        <f>OBRA!S139</f>
        <v>42521</v>
      </c>
      <c r="Q140" s="4">
        <f>OBRA!R139</f>
        <v>509990.89</v>
      </c>
      <c r="R140" s="5">
        <f>OBRA!T139</f>
        <v>42522</v>
      </c>
      <c r="S140" s="11">
        <f>OBRA!U139</f>
        <v>42578</v>
      </c>
      <c r="T140" s="52"/>
      <c r="U140" s="226" t="s">
        <v>1428</v>
      </c>
      <c r="V140" s="105"/>
      <c r="W140" s="53"/>
      <c r="X140" s="278">
        <f>OBRA!AR139</f>
        <v>0</v>
      </c>
      <c r="Y140" s="309"/>
      <c r="Z140" s="309"/>
      <c r="AA140" s="5"/>
      <c r="AB140" s="313"/>
      <c r="AC140" s="317">
        <f>OBRA!BW139</f>
        <v>0</v>
      </c>
      <c r="AD140" s="352"/>
      <c r="AE140" s="352"/>
    </row>
    <row r="141" spans="1:31" ht="90.75" hidden="1" customHeight="1">
      <c r="A141" s="22" t="s">
        <v>2206</v>
      </c>
      <c r="B141" s="809" t="str">
        <f>GRAL!B142</f>
        <v>2015-2018</v>
      </c>
      <c r="C141" s="16">
        <f>OBRA!J140</f>
        <v>2016</v>
      </c>
      <c r="D141" s="1415"/>
      <c r="E141" s="17" t="str">
        <f>OBRA!M140</f>
        <v>FORTALECE</v>
      </c>
      <c r="F141" s="478"/>
      <c r="G141" s="352"/>
      <c r="H141" s="1"/>
      <c r="I141" s="352"/>
      <c r="J141" s="54" t="str">
        <f>OBRA!W140</f>
        <v>-</v>
      </c>
      <c r="K141" s="55" t="str">
        <f>OBRA!X140</f>
        <v>ING. J. GUADALUPE IBARRA RAMIREZ</v>
      </c>
      <c r="L141" s="19" t="str">
        <f>OBRA!N140</f>
        <v>DOP/AD/005/2016</v>
      </c>
      <c r="M141" s="2" t="str">
        <f>OBRA!O140</f>
        <v>ADMINISTRACIÓN DIRECTA</v>
      </c>
      <c r="N141" s="3" t="str">
        <f>OBRA!P140</f>
        <v>PROYECTO EMPEDRADO AHOGADO EN CEMENTO Y CONSTRUCCIÓN DE GUARNICIÓN EN DIFERENTES CALLES DEL FRACCIONAMIENTO "EL CARRIZAL" 1ERA. ETAPA, EN LA CABECERA MUNICIPAL</v>
      </c>
      <c r="O141" s="3"/>
      <c r="P141" s="6">
        <f>OBRA!S140</f>
        <v>42524</v>
      </c>
      <c r="Q141" s="4">
        <f>OBRA!R140</f>
        <v>1080009.1200000001</v>
      </c>
      <c r="R141" s="5">
        <f>OBRA!T140</f>
        <v>42527</v>
      </c>
      <c r="S141" s="11">
        <f>OBRA!U140</f>
        <v>42710</v>
      </c>
      <c r="T141" s="52"/>
      <c r="U141" s="226" t="s">
        <v>1428</v>
      </c>
      <c r="V141" s="105"/>
      <c r="W141" s="53"/>
      <c r="X141" s="278">
        <f>OBRA!AR140</f>
        <v>0</v>
      </c>
      <c r="Y141" s="309"/>
      <c r="Z141" s="309"/>
      <c r="AA141" s="5"/>
      <c r="AB141" s="313"/>
      <c r="AC141" s="317">
        <f>OBRA!BW140</f>
        <v>0</v>
      </c>
      <c r="AD141" s="352"/>
      <c r="AE141" s="352"/>
    </row>
    <row r="142" spans="1:31" ht="60.75" hidden="1" customHeight="1">
      <c r="A142" s="22" t="s">
        <v>2206</v>
      </c>
      <c r="B142" s="809" t="str">
        <f>GRAL!B143</f>
        <v>2015-2018</v>
      </c>
      <c r="C142" s="16">
        <f>OBRA!J141</f>
        <v>2016</v>
      </c>
      <c r="D142" s="1415"/>
      <c r="E142" s="17" t="str">
        <f>OBRA!M141</f>
        <v>RAMO 33</v>
      </c>
      <c r="F142" s="478" t="s">
        <v>1428</v>
      </c>
      <c r="G142" s="352"/>
      <c r="H142" s="1"/>
      <c r="I142" s="352"/>
      <c r="J142" s="54" t="str">
        <f>OBRA!W141</f>
        <v>-</v>
      </c>
      <c r="K142" s="55" t="str">
        <f>OBRA!X141</f>
        <v>ING. J. GUADALUPE IBARRA RAMIREZ</v>
      </c>
      <c r="L142" s="19" t="str">
        <f>OBRA!N141</f>
        <v>DOP/AD/006/2016</v>
      </c>
      <c r="M142" s="2" t="str">
        <f>OBRA!O141</f>
        <v>ADMINISTRACIÓN DIRECTA</v>
      </c>
      <c r="N142" s="3" t="str">
        <f>OBRA!P141</f>
        <v>EMPEDRADO AHOGADO EN CEMENTO EN LA C. LÓPEZ RAYON ENTRE VERANO Y CERRADA EN LA CABECERA MUNICIPAL</v>
      </c>
      <c r="O142" s="3"/>
      <c r="P142" s="6">
        <f>OBRA!S141</f>
        <v>42499</v>
      </c>
      <c r="Q142" s="4">
        <f>OBRA!R141</f>
        <v>204355.89</v>
      </c>
      <c r="R142" s="5">
        <f>OBRA!T141</f>
        <v>42502</v>
      </c>
      <c r="S142" s="11">
        <f>OBRA!U141</f>
        <v>42665</v>
      </c>
      <c r="T142" s="52"/>
      <c r="U142" s="226" t="s">
        <v>1428</v>
      </c>
      <c r="V142" s="105"/>
      <c r="W142" s="53"/>
      <c r="X142" s="278">
        <f>OBRA!AR141</f>
        <v>0</v>
      </c>
      <c r="Y142" s="309"/>
      <c r="Z142" s="309"/>
      <c r="AA142" s="5"/>
      <c r="AB142" s="313"/>
      <c r="AC142" s="317">
        <f>OBRA!BW141</f>
        <v>0</v>
      </c>
      <c r="AD142" s="352"/>
      <c r="AE142" s="352"/>
    </row>
    <row r="143" spans="1:31" ht="60.75" hidden="1" customHeight="1">
      <c r="A143" s="22" t="s">
        <v>2206</v>
      </c>
      <c r="B143" s="809" t="str">
        <f>GRAL!B144</f>
        <v>2015-2018</v>
      </c>
      <c r="C143" s="16">
        <f>OBRA!J142</f>
        <v>2016</v>
      </c>
      <c r="D143" s="1415"/>
      <c r="E143" s="17" t="str">
        <f>OBRA!M142</f>
        <v>CUENTA CORRIENTE</v>
      </c>
      <c r="F143" s="478" t="s">
        <v>1428</v>
      </c>
      <c r="G143" s="352"/>
      <c r="H143" s="1"/>
      <c r="I143" s="352"/>
      <c r="J143" s="54" t="str">
        <f>OBRA!W142</f>
        <v>-</v>
      </c>
      <c r="K143" s="55" t="str">
        <f>OBRA!X142</f>
        <v>ING. RIGOBERTO OLMEDO RAMOS</v>
      </c>
      <c r="L143" s="19" t="str">
        <f>OBRA!N142</f>
        <v>DOP/AD/007/2016</v>
      </c>
      <c r="M143" s="2" t="str">
        <f>OBRA!O142</f>
        <v>ADMINISTRACIÓN DIRECTA</v>
      </c>
      <c r="N143" s="3" t="str">
        <f>OBRA!P142</f>
        <v>AMPLIACIÓN DE COLECTOR DE ALEJAMIENTO DEL DRENAJE SANITARIO" EN LA LOCALIDAD DE HUEJOTITAN.</v>
      </c>
      <c r="O143" s="3"/>
      <c r="P143" s="6">
        <f>OBRA!S142</f>
        <v>42524</v>
      </c>
      <c r="Q143" s="4">
        <f>OBRA!R142</f>
        <v>426643.27</v>
      </c>
      <c r="R143" s="5">
        <f>OBRA!T142</f>
        <v>42527</v>
      </c>
      <c r="S143" s="11">
        <f>OBRA!U142</f>
        <v>42581</v>
      </c>
      <c r="T143" s="52"/>
      <c r="U143" s="226" t="s">
        <v>1428</v>
      </c>
      <c r="V143" s="105"/>
      <c r="W143" s="53"/>
      <c r="X143" s="278">
        <f>OBRA!AR142</f>
        <v>0</v>
      </c>
      <c r="Y143" s="309"/>
      <c r="Z143" s="309"/>
      <c r="AA143" s="5"/>
      <c r="AB143" s="313"/>
      <c r="AC143" s="317">
        <f>OBRA!BW142</f>
        <v>0</v>
      </c>
      <c r="AD143" s="352"/>
      <c r="AE143" s="352"/>
    </row>
    <row r="144" spans="1:31" ht="75.75" hidden="1" customHeight="1">
      <c r="A144" s="22" t="s">
        <v>2206</v>
      </c>
      <c r="B144" s="809" t="str">
        <f>GRAL!B145</f>
        <v>2015-2018</v>
      </c>
      <c r="C144" s="16">
        <f>OBRA!J143</f>
        <v>2016</v>
      </c>
      <c r="D144" s="1415"/>
      <c r="E144" s="17" t="str">
        <f>OBRA!M143</f>
        <v>RAMO 33</v>
      </c>
      <c r="F144" s="478" t="s">
        <v>1428</v>
      </c>
      <c r="G144" s="352"/>
      <c r="H144" s="1"/>
      <c r="I144" s="352"/>
      <c r="J144" s="54" t="str">
        <f>OBRA!W143</f>
        <v>-</v>
      </c>
      <c r="K144" s="55" t="str">
        <f>OBRA!X143</f>
        <v>ING. J. GUADALUPE IBARRA RAMIREZ</v>
      </c>
      <c r="L144" s="19" t="str">
        <f>OBRA!N143</f>
        <v>DOP/AD/008/2016</v>
      </c>
      <c r="M144" s="2" t="str">
        <f>OBRA!O143</f>
        <v>ADMINISTRACIÓN DIRECTA</v>
      </c>
      <c r="N144" s="3" t="str">
        <f>OBRA!P143</f>
        <v>AMPLIACIÓN DE RED DE DRENAJE PARALELO  A CARRETERA DESDE EL HOSPITAL COMUNITARIO HACIA EL ORIENTE, EN LA LOCALIDAD DE CHANTEPEC</v>
      </c>
      <c r="O144" s="3"/>
      <c r="P144" s="6">
        <f>OBRA!S143</f>
        <v>42531</v>
      </c>
      <c r="Q144" s="4">
        <f>OBRA!R143</f>
        <v>291113.12</v>
      </c>
      <c r="R144" s="5">
        <f>OBRA!T143</f>
        <v>42534</v>
      </c>
      <c r="S144" s="11">
        <f>OBRA!U143</f>
        <v>42546</v>
      </c>
      <c r="T144" s="52"/>
      <c r="U144" s="226" t="s">
        <v>1428</v>
      </c>
      <c r="V144" s="105"/>
      <c r="W144" s="53"/>
      <c r="X144" s="278">
        <f>OBRA!AR143</f>
        <v>0</v>
      </c>
      <c r="Y144" s="309"/>
      <c r="Z144" s="309"/>
      <c r="AA144" s="5"/>
      <c r="AB144" s="313"/>
      <c r="AC144" s="317">
        <f>OBRA!BW143</f>
        <v>0</v>
      </c>
      <c r="AD144" s="352"/>
      <c r="AE144" s="352"/>
    </row>
    <row r="145" spans="1:31" ht="75.75" hidden="1" customHeight="1">
      <c r="A145" s="22" t="s">
        <v>2206</v>
      </c>
      <c r="B145" s="809" t="str">
        <f>GRAL!B146</f>
        <v>2015-2018</v>
      </c>
      <c r="C145" s="16">
        <f>OBRA!J144</f>
        <v>2016</v>
      </c>
      <c r="D145" s="1415"/>
      <c r="E145" s="17" t="str">
        <f>OBRA!M144</f>
        <v>RAMO 33</v>
      </c>
      <c r="F145" s="478" t="s">
        <v>1428</v>
      </c>
      <c r="G145" s="352"/>
      <c r="H145" s="1"/>
      <c r="I145" s="352"/>
      <c r="J145" s="54" t="str">
        <f>OBRA!W144</f>
        <v>-</v>
      </c>
      <c r="K145" s="55" t="str">
        <f>OBRA!X144</f>
        <v>ING. J. GUADALUPE IBARRA RAMIREZ</v>
      </c>
      <c r="L145" s="19" t="str">
        <f>OBRA!N144</f>
        <v>DOP/AD/009/2016</v>
      </c>
      <c r="M145" s="2" t="str">
        <f>OBRA!O144</f>
        <v>ADMINISTRACIÓN DIRECTA</v>
      </c>
      <c r="N145" s="3" t="str">
        <f>OBRA!P144</f>
        <v>EMPEDRADO AHOGADO EN CEMENTO DE LA CALLE VERANO DE LÓPEZ RAYÓN HASTA EL EMPEDRADO EXISTENTE, EN LA CABECERA MUNICIPAL</v>
      </c>
      <c r="O145" s="3"/>
      <c r="P145" s="6">
        <f>OBRA!S144</f>
        <v>42499</v>
      </c>
      <c r="Q145" s="4">
        <f>OBRA!R144</f>
        <v>292744.34000000003</v>
      </c>
      <c r="R145" s="5">
        <f>OBRA!T144</f>
        <v>42502</v>
      </c>
      <c r="S145" s="11">
        <f>OBRA!U144</f>
        <v>42665</v>
      </c>
      <c r="T145" s="52"/>
      <c r="U145" s="226" t="s">
        <v>1428</v>
      </c>
      <c r="V145" s="105"/>
      <c r="W145" s="53"/>
      <c r="X145" s="278">
        <f>OBRA!AR144</f>
        <v>0</v>
      </c>
      <c r="Y145" s="309"/>
      <c r="Z145" s="309"/>
      <c r="AA145" s="5"/>
      <c r="AB145" s="313"/>
      <c r="AC145" s="317">
        <f>OBRA!BW144</f>
        <v>0</v>
      </c>
      <c r="AD145" s="352"/>
      <c r="AE145" s="352"/>
    </row>
    <row r="146" spans="1:31" ht="75.75" hidden="1" customHeight="1">
      <c r="A146" s="22" t="s">
        <v>2206</v>
      </c>
      <c r="B146" s="809" t="str">
        <f>GRAL!B147</f>
        <v>2015-2018</v>
      </c>
      <c r="C146" s="16">
        <f>OBRA!J145</f>
        <v>2016</v>
      </c>
      <c r="D146" s="1415"/>
      <c r="E146" s="17" t="str">
        <f>OBRA!M145</f>
        <v>RAMO 33</v>
      </c>
      <c r="F146" s="478" t="s">
        <v>1428</v>
      </c>
      <c r="G146" s="352"/>
      <c r="H146" s="1"/>
      <c r="I146" s="352"/>
      <c r="J146" s="54" t="str">
        <f>OBRA!W145</f>
        <v>-</v>
      </c>
      <c r="K146" s="55" t="str">
        <f>OBRA!X145</f>
        <v>ING. J. GUADALUPE IBARRA RAMIREZ</v>
      </c>
      <c r="L146" s="19" t="str">
        <f>OBRA!N145</f>
        <v>DOP/AD/010/2016</v>
      </c>
      <c r="M146" s="2" t="str">
        <f>OBRA!O145</f>
        <v>ADMINISTRACIÓN DIRECTA</v>
      </c>
      <c r="N146" s="3" t="str">
        <f>OBRA!P145</f>
        <v>"AMPLIACIÓN DE RED DE AGUA POTABLE (LINEA ALIMENTADORA) EN AV. DE LOS MAESTROS ENTRE PEDRO MORENO Y NICOLAS BRAVO", EN LA CABECERA MUNICIPAL</v>
      </c>
      <c r="O146" s="3"/>
      <c r="P146" s="6">
        <f>OBRA!S145</f>
        <v>42552</v>
      </c>
      <c r="Q146" s="4">
        <f>OBRA!R145</f>
        <v>93972.47</v>
      </c>
      <c r="R146" s="5">
        <f>OBRA!T145</f>
        <v>42555</v>
      </c>
      <c r="S146" s="11">
        <f>OBRA!U145</f>
        <v>42586</v>
      </c>
      <c r="T146" s="52"/>
      <c r="U146" s="226" t="s">
        <v>1428</v>
      </c>
      <c r="V146" s="105"/>
      <c r="W146" s="53"/>
      <c r="X146" s="278">
        <f>OBRA!AR145</f>
        <v>0</v>
      </c>
      <c r="Y146" s="309"/>
      <c r="Z146" s="309"/>
      <c r="AA146" s="5"/>
      <c r="AB146" s="313"/>
      <c r="AC146" s="317">
        <f>OBRA!BW145</f>
        <v>0</v>
      </c>
      <c r="AD146" s="352"/>
      <c r="AE146" s="352"/>
    </row>
    <row r="147" spans="1:31" ht="135.75" hidden="1" customHeight="1">
      <c r="A147" s="22" t="s">
        <v>2206</v>
      </c>
      <c r="B147" s="809" t="str">
        <f>GRAL!B148</f>
        <v>2015-2018</v>
      </c>
      <c r="C147" s="16">
        <f>OBRA!J146</f>
        <v>2016</v>
      </c>
      <c r="D147" s="1415"/>
      <c r="E147" s="17" t="str">
        <f>OBRA!M146</f>
        <v>CUENTA CORRIENTE</v>
      </c>
      <c r="F147" s="13" t="s">
        <v>1428</v>
      </c>
      <c r="G147" s="352"/>
      <c r="H147" s="1"/>
      <c r="I147" s="352"/>
      <c r="J147" s="54" t="str">
        <f>OBRA!W146</f>
        <v>-</v>
      </c>
      <c r="K147" s="55" t="str">
        <f>OBRA!X146</f>
        <v>ING. J. GUADALUPE IBARRA RAMIREZ</v>
      </c>
      <c r="L147" s="19" t="str">
        <f>OBRA!N146</f>
        <v>DOP/AD/011/2016</v>
      </c>
      <c r="M147" s="2" t="str">
        <f>OBRA!O146</f>
        <v>ADMINISTRACIÓN DIRECTA</v>
      </c>
      <c r="N147" s="3" t="str">
        <f>OBRA!P146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OBRA!S146</f>
        <v>42531</v>
      </c>
      <c r="Q147" s="4">
        <f>OBRA!R146</f>
        <v>550572.48</v>
      </c>
      <c r="R147" s="5">
        <f>OBRA!T146</f>
        <v>42534</v>
      </c>
      <c r="S147" s="11">
        <f>OBRA!U146</f>
        <v>42582</v>
      </c>
      <c r="T147" s="52"/>
      <c r="U147" s="226" t="s">
        <v>1428</v>
      </c>
      <c r="V147" s="105"/>
      <c r="W147" s="53"/>
      <c r="X147" s="278">
        <f>OBRA!AR146</f>
        <v>0</v>
      </c>
      <c r="Y147" s="309"/>
      <c r="Z147" s="309"/>
      <c r="AA147" s="5"/>
      <c r="AB147" s="313"/>
      <c r="AC147" s="317">
        <f>OBRA!BW146</f>
        <v>0</v>
      </c>
      <c r="AD147" s="352"/>
      <c r="AE147" s="352"/>
    </row>
    <row r="148" spans="1:31" ht="120.75" hidden="1" customHeight="1">
      <c r="A148" s="22" t="s">
        <v>2206</v>
      </c>
      <c r="B148" s="809" t="str">
        <f>GRAL!B149</f>
        <v>2015-2018</v>
      </c>
      <c r="C148" s="16">
        <f>OBRA!J147</f>
        <v>2016</v>
      </c>
      <c r="D148" s="1415"/>
      <c r="E148" s="17" t="str">
        <f>OBRA!M147</f>
        <v>FONDEREG</v>
      </c>
      <c r="F148" s="478"/>
      <c r="G148" s="352"/>
      <c r="H148" s="1"/>
      <c r="I148" s="352"/>
      <c r="J148" s="54" t="str">
        <f>OBRA!W147</f>
        <v>-</v>
      </c>
      <c r="K148" s="55" t="str">
        <f>OBRA!X147</f>
        <v>ING. RIGOBERTO OLMEDO RAMOS</v>
      </c>
      <c r="L148" s="19" t="str">
        <f>OBRA!N147</f>
        <v>DOP/AD/012/2016</v>
      </c>
      <c r="M148" s="2" t="str">
        <f>OBRA!O147</f>
        <v>ADMINISTRACIÓN DIRECTA</v>
      </c>
      <c r="N148" s="3" t="str">
        <f>OBRA!P147</f>
        <v>REHABILITACION DE LINEAS HIDROSANITARIAS, EN LA CALLE ZARAGOZA, EN LA LOCALIDAD DE SAN CRISTOBAL  ZAPOTITLÁN, DEL MUNICIPIO DE JOCOTEPEC. JALISCO. CORRESPONDIENTE A LA PARTIDA PRESUPUESTAL DE DRENAJE SANITARIO</v>
      </c>
      <c r="O148" s="3"/>
      <c r="P148" s="6">
        <f>OBRA!S147</f>
        <v>42591</v>
      </c>
      <c r="Q148" s="4">
        <f>OBRA!R147</f>
        <v>165675.38</v>
      </c>
      <c r="R148" s="5">
        <f>OBRA!T147</f>
        <v>42618</v>
      </c>
      <c r="S148" s="11">
        <f>OBRA!U147</f>
        <v>42643</v>
      </c>
      <c r="T148" s="52"/>
      <c r="U148" s="226" t="s">
        <v>1428</v>
      </c>
      <c r="V148" s="105"/>
      <c r="W148" s="53"/>
      <c r="X148" s="278">
        <f>OBRA!AR147</f>
        <v>0</v>
      </c>
      <c r="Y148" s="309"/>
      <c r="Z148" s="309"/>
      <c r="AA148" s="5"/>
      <c r="AB148" s="313"/>
      <c r="AC148" s="317">
        <f>OBRA!BW147</f>
        <v>0</v>
      </c>
      <c r="AD148" s="352"/>
      <c r="AE148" s="352"/>
    </row>
    <row r="149" spans="1:31" ht="105.75" hidden="1" customHeight="1">
      <c r="A149" s="22" t="s">
        <v>2206</v>
      </c>
      <c r="B149" s="809" t="str">
        <f>GRAL!B150</f>
        <v>2015-2018</v>
      </c>
      <c r="C149" s="16">
        <f>OBRA!J148</f>
        <v>2016</v>
      </c>
      <c r="D149" s="1415"/>
      <c r="E149" s="17" t="str">
        <f>OBRA!M148</f>
        <v>FONDEREG</v>
      </c>
      <c r="F149" s="478"/>
      <c r="G149" s="352"/>
      <c r="H149" s="1"/>
      <c r="I149" s="352"/>
      <c r="J149" s="54" t="str">
        <f>OBRA!W148</f>
        <v>-</v>
      </c>
      <c r="K149" s="55" t="str">
        <f>OBRA!X148</f>
        <v>ING. RIGOBERTO OLMEDO RAMOS</v>
      </c>
      <c r="L149" s="19" t="str">
        <f>OBRA!N148</f>
        <v>DOP/AD/013/2016</v>
      </c>
      <c r="M149" s="2" t="str">
        <f>OBRA!O148</f>
        <v>ADMINISTRACIÓN DIRECTA</v>
      </c>
      <c r="N149" s="3" t="str">
        <f>OBRA!P148</f>
        <v>REHABILITACION DE LINEAS HIDROSANITARIAS, EN LA CALLE ZARAGOZA, EN LA LOCALIDAD DE SAN CRISTOBAL  ZAPOTITLÁN, DEL MUNICIPIO DE JOCOTEPEC. JALISCO. CORRESPONDIENTE A LA PARTIDA PRESUPUESTAL DE AGUA POTABLE</v>
      </c>
      <c r="O149" s="3"/>
      <c r="P149" s="6">
        <f>OBRA!S148</f>
        <v>42591</v>
      </c>
      <c r="Q149" s="4">
        <f>OBRA!R148</f>
        <v>127975.51</v>
      </c>
      <c r="R149" s="5">
        <f>OBRA!T148</f>
        <v>42632</v>
      </c>
      <c r="S149" s="11">
        <f>OBRA!U148</f>
        <v>42651</v>
      </c>
      <c r="T149" s="52"/>
      <c r="U149" s="226" t="s">
        <v>1428</v>
      </c>
      <c r="V149" s="105"/>
      <c r="W149" s="53"/>
      <c r="X149" s="278">
        <f>OBRA!AR148</f>
        <v>0</v>
      </c>
      <c r="Y149" s="309"/>
      <c r="Z149" s="309"/>
      <c r="AA149" s="5"/>
      <c r="AB149" s="313"/>
      <c r="AC149" s="317">
        <f>OBRA!BW148</f>
        <v>0</v>
      </c>
      <c r="AD149" s="352"/>
      <c r="AE149" s="352"/>
    </row>
    <row r="150" spans="1:31" ht="75.75" hidden="1" customHeight="1">
      <c r="A150" s="22" t="s">
        <v>2206</v>
      </c>
      <c r="B150" s="809" t="str">
        <f>GRAL!B151</f>
        <v>2015-2018</v>
      </c>
      <c r="C150" s="16">
        <f>OBRA!J149</f>
        <v>2016</v>
      </c>
      <c r="D150" s="1415"/>
      <c r="E150" s="17" t="str">
        <f>OBRA!M149</f>
        <v>FONDEREG</v>
      </c>
      <c r="F150" s="478"/>
      <c r="G150" s="352"/>
      <c r="H150" s="1"/>
      <c r="I150" s="352"/>
      <c r="J150" s="54" t="str">
        <f>OBRA!W149</f>
        <v>-</v>
      </c>
      <c r="K150" s="55" t="str">
        <f>OBRA!X149</f>
        <v>ING. RIGOBERTO OLMEDO RAMOS</v>
      </c>
      <c r="L150" s="19" t="str">
        <f>OBRA!N149</f>
        <v>DOP/AD/014/2016</v>
      </c>
      <c r="M150" s="2" t="str">
        <f>OBRA!O149</f>
        <v>ADMINISTRACIÓN DIRECTA</v>
      </c>
      <c r="N150" s="3" t="str">
        <f>OBRA!P149</f>
        <v>EMPEDRADO ECÓLOGICO CON HUELLAS DE CONCRETO HIDRAULICO EN LA CALLE ZARAGOZA DE LA LOCALIDAD DE SAN CRISTOBAL ZAPOTITLAN</v>
      </c>
      <c r="O150" s="3"/>
      <c r="P150" s="6">
        <f>OBRA!S149</f>
        <v>42591</v>
      </c>
      <c r="Q150" s="4">
        <f>OBRA!R149</f>
        <v>2597533.2999999998</v>
      </c>
      <c r="R150" s="5">
        <f>OBRA!T149</f>
        <v>42592</v>
      </c>
      <c r="S150" s="11">
        <f>OBRA!U149</f>
        <v>42719</v>
      </c>
      <c r="T150" s="52"/>
      <c r="U150" s="226" t="s">
        <v>1428</v>
      </c>
      <c r="V150" s="105"/>
      <c r="W150" s="53"/>
      <c r="X150" s="278">
        <f>OBRA!AR149</f>
        <v>0</v>
      </c>
      <c r="Y150" s="309"/>
      <c r="Z150" s="309"/>
      <c r="AA150" s="5"/>
      <c r="AB150" s="313"/>
      <c r="AC150" s="317">
        <f>OBRA!BW149</f>
        <v>0</v>
      </c>
      <c r="AD150" s="352"/>
      <c r="AE150" s="352"/>
    </row>
    <row r="151" spans="1:31" ht="93" hidden="1" customHeight="1">
      <c r="A151" s="22" t="s">
        <v>2206</v>
      </c>
      <c r="B151" s="809" t="str">
        <f>GRAL!B152</f>
        <v>2015-2018</v>
      </c>
      <c r="C151" s="16">
        <f>OBRA!J150</f>
        <v>2016</v>
      </c>
      <c r="D151" s="1415"/>
      <c r="E151" s="17" t="str">
        <f>OBRA!M150</f>
        <v>CUENTA CORRIENTE</v>
      </c>
      <c r="F151" s="13" t="s">
        <v>1428</v>
      </c>
      <c r="G151" s="352"/>
      <c r="H151" s="1"/>
      <c r="I151" s="352"/>
      <c r="J151" s="54" t="str">
        <f>OBRA!W150</f>
        <v>-</v>
      </c>
      <c r="K151" s="55" t="str">
        <f>OBRA!X150</f>
        <v>ING. J. GUADALUPE IBARRA RAMIREZ</v>
      </c>
      <c r="L151" s="19" t="str">
        <f>OBRA!N150</f>
        <v>DOP/AD/015/2016</v>
      </c>
      <c r="M151" s="2" t="str">
        <f>OBRA!O150</f>
        <v>ADMINISTRACIÓN DIRECTA</v>
      </c>
      <c r="N151" s="3" t="str">
        <f>OBRA!P150</f>
        <v>INSTALACIÓN DE DESCARGAS DOMICILIARIAS EN LA CALLE LÓPEZ RAYÓN DE PRIVADA INDEPENDENCIA HACIA CALLE VERANO EN LA CABECERA MUNICIPAL</v>
      </c>
      <c r="O151" s="3"/>
      <c r="P151" s="6">
        <f>OBRA!S150</f>
        <v>42548</v>
      </c>
      <c r="Q151" s="4">
        <f>OBRA!R150</f>
        <v>12001.68</v>
      </c>
      <c r="R151" s="5">
        <f>OBRA!T150</f>
        <v>42549</v>
      </c>
      <c r="S151" s="11">
        <f>OBRA!U150</f>
        <v>42622</v>
      </c>
      <c r="T151" s="52"/>
      <c r="U151" s="226" t="s">
        <v>1428</v>
      </c>
      <c r="V151" s="105"/>
      <c r="W151" s="53"/>
      <c r="X151" s="278">
        <f>OBRA!AR150</f>
        <v>0</v>
      </c>
      <c r="Y151" s="309"/>
      <c r="Z151" s="309"/>
      <c r="AA151" s="5"/>
      <c r="AB151" s="313"/>
      <c r="AC151" s="317">
        <f>OBRA!BW150</f>
        <v>0</v>
      </c>
      <c r="AD151" s="352"/>
      <c r="AE151" s="352"/>
    </row>
    <row r="152" spans="1:31" ht="45.75" hidden="1" customHeight="1">
      <c r="A152" s="22" t="s">
        <v>2206</v>
      </c>
      <c r="B152" s="809" t="str">
        <f>GRAL!B153</f>
        <v>2015-2018</v>
      </c>
      <c r="C152" s="16">
        <f>OBRA!J151</f>
        <v>2016</v>
      </c>
      <c r="D152" s="1415"/>
      <c r="E152" s="17" t="str">
        <f>OBRA!M151</f>
        <v>CUENTA CORRIENTE</v>
      </c>
      <c r="F152" s="478" t="s">
        <v>1428</v>
      </c>
      <c r="G152" s="352"/>
      <c r="H152" s="1"/>
      <c r="I152" s="352"/>
      <c r="J152" s="54" t="str">
        <f>OBRA!W151</f>
        <v>-</v>
      </c>
      <c r="K152" s="55" t="str">
        <f>OBRA!X151</f>
        <v>ING. J. GUADALUPE IBARRA RAMIREZ</v>
      </c>
      <c r="L152" s="19" t="str">
        <f>OBRA!N151</f>
        <v>DOP/AD/016/2016</v>
      </c>
      <c r="M152" s="2" t="str">
        <f>OBRA!O151</f>
        <v>ADMINISTRACIÓN DIRECTA</v>
      </c>
      <c r="N152" s="3" t="str">
        <f>OBRA!P151</f>
        <v>"AMPLIACIÓN DE RED DE AGUA POTABLE Y TOMAS DOMICILIARIAS EN LA CALLE LÓPEZ RAYÓN, PRIVADA INDEPENDENCIA HACIA CALLE VERANO" EN LA CABECERA MUNICIPAL</v>
      </c>
      <c r="O152" s="3"/>
      <c r="P152" s="6">
        <f>OBRA!S151</f>
        <v>42548</v>
      </c>
      <c r="Q152" s="4">
        <f>OBRA!R151</f>
        <v>27133.54</v>
      </c>
      <c r="R152" s="5">
        <f>OBRA!T151</f>
        <v>42549</v>
      </c>
      <c r="S152" s="11">
        <f>OBRA!U151</f>
        <v>42622</v>
      </c>
      <c r="T152" s="52"/>
      <c r="U152" s="226" t="s">
        <v>1428</v>
      </c>
      <c r="V152" s="105"/>
      <c r="W152" s="53"/>
      <c r="X152" s="278">
        <f>OBRA!AR151</f>
        <v>0</v>
      </c>
      <c r="Y152" s="309"/>
      <c r="Z152" s="309"/>
      <c r="AA152" s="5"/>
      <c r="AB152" s="313"/>
      <c r="AC152" s="317">
        <f>OBRA!BW151</f>
        <v>0</v>
      </c>
      <c r="AD152" s="352"/>
      <c r="AE152" s="352"/>
    </row>
    <row r="153" spans="1:31" ht="87.75" hidden="1" customHeight="1">
      <c r="A153" s="22" t="s">
        <v>2206</v>
      </c>
      <c r="B153" s="809" t="str">
        <f>GRAL!B154</f>
        <v>2015-2018</v>
      </c>
      <c r="C153" s="16">
        <f>OBRA!J152</f>
        <v>2016</v>
      </c>
      <c r="D153" s="1415"/>
      <c r="E153" s="18" t="str">
        <f>OBRA!M152</f>
        <v>3X1 PARA MIGRANTES</v>
      </c>
      <c r="F153" s="478"/>
      <c r="G153" s="352"/>
      <c r="H153" s="1"/>
      <c r="I153" s="352"/>
      <c r="J153" s="54" t="str">
        <f>OBRA!W152</f>
        <v>-</v>
      </c>
      <c r="K153" s="55" t="str">
        <f>OBRA!X152</f>
        <v>ING. RIGOBERTO OLMEDO RAMOS</v>
      </c>
      <c r="L153" s="19" t="str">
        <f>OBRA!N152</f>
        <v>DOP/AD/017/2016</v>
      </c>
      <c r="M153" s="2" t="str">
        <f>OBRA!O152</f>
        <v>ADMINISTRACIÓN DIRECTA</v>
      </c>
      <c r="N153" s="3" t="str">
        <f>OBRA!P152</f>
        <v>REHABILITACIÓN DE RED DE DRENAJE EN CALLE RAMON CORONA DESDE PINO SUAREZ HASTA ZONA FEDERAL DEL LAGO, EN LA LOCALIDAD DE SAN PEDRO TESISTAN</v>
      </c>
      <c r="O153" s="3"/>
      <c r="P153" s="6">
        <f>OBRA!S152</f>
        <v>42627</v>
      </c>
      <c r="Q153" s="4">
        <f>OBRA!R152</f>
        <v>136120</v>
      </c>
      <c r="R153" s="5">
        <f>OBRA!T152</f>
        <v>42627</v>
      </c>
      <c r="S153" s="11">
        <f>OBRA!U152</f>
        <v>42643</v>
      </c>
      <c r="T153" s="52"/>
      <c r="U153" s="226" t="s">
        <v>1428</v>
      </c>
      <c r="V153" s="105"/>
      <c r="W153" s="53"/>
      <c r="X153" s="278">
        <f>OBRA!AR152</f>
        <v>0</v>
      </c>
      <c r="Y153" s="309"/>
      <c r="Z153" s="309"/>
      <c r="AA153" s="5"/>
      <c r="AB153" s="313"/>
      <c r="AC153" s="317">
        <f>OBRA!BW152</f>
        <v>0</v>
      </c>
      <c r="AD153" s="352"/>
      <c r="AE153" s="352"/>
    </row>
    <row r="154" spans="1:31" ht="90" hidden="1" customHeight="1">
      <c r="A154" s="22" t="s">
        <v>2206</v>
      </c>
      <c r="B154" s="809" t="str">
        <f>GRAL!B155</f>
        <v>2015-2018</v>
      </c>
      <c r="C154" s="16">
        <f>OBRA!J153</f>
        <v>2016</v>
      </c>
      <c r="D154" s="1415"/>
      <c r="E154" s="18" t="str">
        <f>OBRA!M153</f>
        <v>3X1 PARA MIGRANTES</v>
      </c>
      <c r="F154" s="478"/>
      <c r="G154" s="352"/>
      <c r="H154" s="1"/>
      <c r="I154" s="352"/>
      <c r="J154" s="54" t="str">
        <f>OBRA!W153</f>
        <v>-</v>
      </c>
      <c r="K154" s="55" t="str">
        <f>OBRA!X153</f>
        <v>ING. RIGOBERTO OLMEDO RAMOS</v>
      </c>
      <c r="L154" s="19" t="str">
        <f>OBRA!N153</f>
        <v>DOP/AD/018/2016</v>
      </c>
      <c r="M154" s="2" t="str">
        <f>OBRA!O153</f>
        <v>ADMINISTRACIÓN DIRECTA</v>
      </c>
      <c r="N154" s="3" t="str">
        <f>OBRA!P153</f>
        <v>REHABILITACION DE RED DE AGUA POTABLE EN CALLE RAMON CORONA DESDE PINO SUAREZ HASTA ZONA FEDERAL DEL LAGO, EN LA LOCALIDAD DE SAN PEDRO TESISTAN</v>
      </c>
      <c r="O154" s="3"/>
      <c r="P154" s="6">
        <f>OBRA!S153</f>
        <v>42639</v>
      </c>
      <c r="Q154" s="4">
        <f>OBRA!R153</f>
        <v>100336</v>
      </c>
      <c r="R154" s="5">
        <f>OBRA!T153</f>
        <v>42639</v>
      </c>
      <c r="S154" s="11">
        <f>OBRA!U153</f>
        <v>42651</v>
      </c>
      <c r="T154" s="52"/>
      <c r="U154" s="226" t="s">
        <v>1428</v>
      </c>
      <c r="V154" s="105"/>
      <c r="W154" s="53"/>
      <c r="X154" s="278">
        <f>OBRA!AR153</f>
        <v>0</v>
      </c>
      <c r="Y154" s="309"/>
      <c r="Z154" s="309"/>
      <c r="AA154" s="5"/>
      <c r="AB154" s="313"/>
      <c r="AC154" s="317">
        <f>OBRA!BW153</f>
        <v>0</v>
      </c>
      <c r="AD154" s="352"/>
      <c r="AE154" s="352"/>
    </row>
    <row r="155" spans="1:31" ht="90.75" hidden="1" customHeight="1">
      <c r="A155" s="22" t="s">
        <v>2206</v>
      </c>
      <c r="B155" s="809" t="str">
        <f>GRAL!B156</f>
        <v>2015-2018</v>
      </c>
      <c r="C155" s="16">
        <f>OBRA!J154</f>
        <v>2016</v>
      </c>
      <c r="D155" s="1415"/>
      <c r="E155" s="18" t="str">
        <f>OBRA!M154</f>
        <v>3X1 PARA MIGRANTES</v>
      </c>
      <c r="F155" s="478"/>
      <c r="G155" s="352"/>
      <c r="H155" s="1"/>
      <c r="I155" s="352"/>
      <c r="J155" s="54" t="str">
        <f>OBRA!W154</f>
        <v>-</v>
      </c>
      <c r="K155" s="55" t="str">
        <f>OBRA!X154</f>
        <v>ING. RIGOBERTO OLMEDO RAMOS</v>
      </c>
      <c r="L155" s="19" t="str">
        <f>OBRA!N154</f>
        <v>DOP/AD/019/2016</v>
      </c>
      <c r="M155" s="2" t="str">
        <f>OBRA!O154</f>
        <v>ADMINISTRACIÓN DIRECTA</v>
      </c>
      <c r="N155" s="3" t="str">
        <f>OBRA!P154</f>
        <v>COLOCACIÓN DE EMPEDRADO AHOGADO EN CEMENTO EN CALLE RAMON CORONA DESDE PINO SUAREZ HASTA ZONA FEDERAL DEL LAGO, EN LA LOCALIDAD DE SAN PEDRO TESISTAN</v>
      </c>
      <c r="O155" s="3"/>
      <c r="P155" s="6">
        <f>OBRA!S154</f>
        <v>42641</v>
      </c>
      <c r="Q155" s="4">
        <f>OBRA!R154</f>
        <v>236752</v>
      </c>
      <c r="R155" s="5">
        <f>OBRA!T154</f>
        <v>42639</v>
      </c>
      <c r="S155" s="11">
        <f>OBRA!U154</f>
        <v>42663</v>
      </c>
      <c r="T155" s="52"/>
      <c r="U155" s="226" t="s">
        <v>1428</v>
      </c>
      <c r="V155" s="105"/>
      <c r="W155" s="53"/>
      <c r="X155" s="278">
        <f>OBRA!AR154</f>
        <v>0</v>
      </c>
      <c r="Y155" s="309"/>
      <c r="Z155" s="309"/>
      <c r="AA155" s="5"/>
      <c r="AB155" s="313"/>
      <c r="AC155" s="317">
        <f>OBRA!BW154</f>
        <v>0</v>
      </c>
      <c r="AD155" s="352"/>
      <c r="AE155" s="352"/>
    </row>
    <row r="156" spans="1:31" ht="90" hidden="1" customHeight="1">
      <c r="A156" s="22" t="s">
        <v>2206</v>
      </c>
      <c r="B156" s="809" t="str">
        <f>GRAL!B157</f>
        <v>2015-2018</v>
      </c>
      <c r="C156" s="16">
        <f>OBRA!J155</f>
        <v>2016</v>
      </c>
      <c r="D156" s="1415"/>
      <c r="E156" s="18" t="str">
        <f>OBRA!M155</f>
        <v>3X1 PARA MIGRANTES</v>
      </c>
      <c r="F156" s="478"/>
      <c r="G156" s="352"/>
      <c r="H156" s="1"/>
      <c r="I156" s="352"/>
      <c r="J156" s="54" t="str">
        <f>OBRA!W155</f>
        <v>-</v>
      </c>
      <c r="K156" s="55" t="str">
        <f>OBRA!X155</f>
        <v>ING. RIGOBERTO OLMEDO RAMOS</v>
      </c>
      <c r="L156" s="19" t="str">
        <f>OBRA!N155</f>
        <v>DOP/AD/020/2016</v>
      </c>
      <c r="M156" s="2" t="str">
        <f>OBRA!O155</f>
        <v>ADMINISTRACIÓN DIRECTA</v>
      </c>
      <c r="N156" s="3" t="str">
        <f>OBRA!P155</f>
        <v xml:space="preserve">REHABILITACION DE RED DE DRENAJE EN CALLE GUADALUPE VICTORIA DESDE HIDALGO HASTA ZONA FEDERAL DEL LAGO, EN LA LOCALIDAD DE SAN PEDRO TESISTAN </v>
      </c>
      <c r="O156" s="3"/>
      <c r="P156" s="6">
        <f>OBRA!S155</f>
        <v>42639</v>
      </c>
      <c r="Q156" s="4">
        <f>OBRA!R155</f>
        <v>214516</v>
      </c>
      <c r="R156" s="5">
        <f>OBRA!T155</f>
        <v>42641</v>
      </c>
      <c r="S156" s="11">
        <f>OBRA!U155</f>
        <v>42663</v>
      </c>
      <c r="T156" s="52"/>
      <c r="U156" s="226" t="s">
        <v>1428</v>
      </c>
      <c r="V156" s="105"/>
      <c r="W156" s="53"/>
      <c r="X156" s="278">
        <f>OBRA!AR155</f>
        <v>0</v>
      </c>
      <c r="Y156" s="309"/>
      <c r="Z156" s="309"/>
      <c r="AA156" s="5"/>
      <c r="AB156" s="313"/>
      <c r="AC156" s="317">
        <f>OBRA!BW155</f>
        <v>0</v>
      </c>
      <c r="AD156" s="352"/>
      <c r="AE156" s="352"/>
    </row>
    <row r="157" spans="1:31" ht="93" hidden="1" customHeight="1">
      <c r="A157" s="22" t="s">
        <v>2206</v>
      </c>
      <c r="B157" s="809" t="str">
        <f>GRAL!B158</f>
        <v>2015-2018</v>
      </c>
      <c r="C157" s="16">
        <f>OBRA!J156</f>
        <v>2016</v>
      </c>
      <c r="D157" s="1415"/>
      <c r="E157" s="18" t="str">
        <f>OBRA!M156</f>
        <v>3X1 PARA MIGRANTES</v>
      </c>
      <c r="F157" s="478"/>
      <c r="G157" s="352"/>
      <c r="H157" s="1"/>
      <c r="I157" s="352"/>
      <c r="J157" s="54" t="str">
        <f>OBRA!W156</f>
        <v>-</v>
      </c>
      <c r="K157" s="55" t="str">
        <f>OBRA!X156</f>
        <v>ING. RIGOBERTO OLMEDO RAMOS</v>
      </c>
      <c r="L157" s="19" t="str">
        <f>OBRA!N156</f>
        <v>DOP/AD/021/2016</v>
      </c>
      <c r="M157" s="2" t="str">
        <f>OBRA!O156</f>
        <v>ADMINISTRACIÓN DIRECTA</v>
      </c>
      <c r="N157" s="3" t="str">
        <f>OBRA!P156</f>
        <v>REHABILITACION DE RED DE AGUA POTABLE EN CALLE GUADALUPE VICTORIA ENTRE HIDALGO Y ZONA FEDERAL DEL LAGO, EN LA LOCALIDAD DE SAN PEDRO TESISTAN</v>
      </c>
      <c r="O157" s="3"/>
      <c r="P157" s="6">
        <f>OBRA!S156</f>
        <v>42646</v>
      </c>
      <c r="Q157" s="4">
        <f>OBRA!R156</f>
        <v>245400</v>
      </c>
      <c r="R157" s="5">
        <f>OBRA!T156</f>
        <v>42648</v>
      </c>
      <c r="S157" s="11">
        <f>OBRA!U156</f>
        <v>42669</v>
      </c>
      <c r="T157" s="52"/>
      <c r="U157" s="226" t="s">
        <v>1428</v>
      </c>
      <c r="V157" s="105"/>
      <c r="W157" s="53"/>
      <c r="X157" s="278">
        <f>OBRA!AR156</f>
        <v>0</v>
      </c>
      <c r="Y157" s="309"/>
      <c r="Z157" s="309"/>
      <c r="AA157" s="5"/>
      <c r="AB157" s="313"/>
      <c r="AC157" s="317">
        <f>OBRA!BW156</f>
        <v>0</v>
      </c>
      <c r="AD157" s="352"/>
      <c r="AE157" s="352"/>
    </row>
    <row r="158" spans="1:31" ht="93" hidden="1" customHeight="1">
      <c r="A158" s="22" t="s">
        <v>2206</v>
      </c>
      <c r="B158" s="809" t="str">
        <f>GRAL!B159</f>
        <v>2015-2018</v>
      </c>
      <c r="C158" s="16">
        <f>OBRA!J157</f>
        <v>2016</v>
      </c>
      <c r="D158" s="1415"/>
      <c r="E158" s="18" t="str">
        <f>OBRA!M157</f>
        <v>3X1 PARA MIGRANTES</v>
      </c>
      <c r="F158" s="13"/>
      <c r="G158" s="352"/>
      <c r="H158" s="1"/>
      <c r="I158" s="352"/>
      <c r="J158" s="54" t="str">
        <f>OBRA!W157</f>
        <v>-</v>
      </c>
      <c r="K158" s="55" t="str">
        <f>OBRA!X157</f>
        <v>ING. RIGOBERTO OLMEDO RAMOS</v>
      </c>
      <c r="L158" s="19" t="str">
        <f>OBRA!N157</f>
        <v>DOP/AD/022/2016</v>
      </c>
      <c r="M158" s="2" t="str">
        <f>OBRA!O157</f>
        <v>ADMINISTRACIÓN DIRECTA</v>
      </c>
      <c r="N158" s="3" t="str">
        <f>OBRA!P157</f>
        <v>COLOCACIÓN DE EMPEDRADO AHOGADO EN CEMENTO EN CALLE GUADALUPE VICTORIA DESDE HIDALGO HASTA ZONA FEDERAL DEL LAGO, EN LA LOCALIDAD DE SAN PEDRO TESISTAN</v>
      </c>
      <c r="O158" s="3"/>
      <c r="P158" s="6">
        <f>OBRA!S157</f>
        <v>42657</v>
      </c>
      <c r="Q158" s="4">
        <f>OBRA!R157</f>
        <v>259860</v>
      </c>
      <c r="R158" s="5">
        <f>OBRA!T157</f>
        <v>42660</v>
      </c>
      <c r="S158" s="11">
        <f>OBRA!U157</f>
        <v>42684</v>
      </c>
      <c r="T158" s="52"/>
      <c r="U158" s="226" t="s">
        <v>1428</v>
      </c>
      <c r="V158" s="105"/>
      <c r="W158" s="53"/>
      <c r="X158" s="278">
        <f>OBRA!AR157</f>
        <v>0</v>
      </c>
      <c r="Y158" s="309"/>
      <c r="Z158" s="309"/>
      <c r="AA158" s="5"/>
      <c r="AB158" s="313"/>
      <c r="AC158" s="317">
        <f>OBRA!BW157</f>
        <v>0</v>
      </c>
      <c r="AD158" s="352"/>
      <c r="AE158" s="352"/>
    </row>
    <row r="159" spans="1:31" ht="56.25" hidden="1" customHeight="1">
      <c r="A159" s="22" t="s">
        <v>2206</v>
      </c>
      <c r="B159" s="809" t="str">
        <f>GRAL!B160</f>
        <v>2015-2018</v>
      </c>
      <c r="C159" s="16">
        <f>OBRA!J158</f>
        <v>2016</v>
      </c>
      <c r="D159" s="1415"/>
      <c r="E159" s="18" t="str">
        <f>OBRA!M158</f>
        <v>3X1 PARA MIGRANTES</v>
      </c>
      <c r="F159" s="478"/>
      <c r="G159" s="352"/>
      <c r="H159" s="1"/>
      <c r="I159" s="352"/>
      <c r="J159" s="54" t="str">
        <f>OBRA!W158</f>
        <v>-</v>
      </c>
      <c r="K159" s="55" t="str">
        <f>OBRA!X158</f>
        <v>ING. RIGOBERTO OLMEDO RAMOS</v>
      </c>
      <c r="L159" s="19" t="str">
        <f>OBRA!N158</f>
        <v>DOP/AD/023/2016</v>
      </c>
      <c r="M159" s="2" t="str">
        <f>OBRA!O158</f>
        <v>ADMINISTRACIÓN DIRECTA</v>
      </c>
      <c r="N159" s="3" t="str">
        <f>OBRA!P158</f>
        <v>CONSTRUCCIÓN DE DRENAJE PLUVIAL EN CALLE PRIVADA CAMICHINES DE LA CABECERA</v>
      </c>
      <c r="O159" s="3"/>
      <c r="P159" s="6">
        <f>OBRA!S158</f>
        <v>42627</v>
      </c>
      <c r="Q159" s="4">
        <f>OBRA!R158</f>
        <v>233400</v>
      </c>
      <c r="R159" s="5">
        <f>OBRA!T158</f>
        <v>42690</v>
      </c>
      <c r="S159" s="11">
        <f>OBRA!U158</f>
        <v>42700</v>
      </c>
      <c r="T159" s="52"/>
      <c r="U159" s="226" t="s">
        <v>1428</v>
      </c>
      <c r="V159" s="105"/>
      <c r="W159" s="53"/>
      <c r="X159" s="278">
        <f>OBRA!AR158</f>
        <v>0</v>
      </c>
      <c r="Y159" s="309"/>
      <c r="Z159" s="309"/>
      <c r="AA159" s="5"/>
      <c r="AB159" s="313"/>
      <c r="AC159" s="317">
        <f>OBRA!BW158</f>
        <v>0</v>
      </c>
      <c r="AD159" s="352"/>
      <c r="AE159" s="352"/>
    </row>
    <row r="160" spans="1:31" ht="62.25" hidden="1" customHeight="1">
      <c r="A160" s="22" t="s">
        <v>2206</v>
      </c>
      <c r="B160" s="809" t="str">
        <f>GRAL!B161</f>
        <v>2015-2018</v>
      </c>
      <c r="C160" s="16">
        <f>OBRA!J159</f>
        <v>2016</v>
      </c>
      <c r="D160" s="1415"/>
      <c r="E160" s="18" t="str">
        <f>OBRA!M159</f>
        <v>3X1 PARA MIGRANTES</v>
      </c>
      <c r="F160" s="478"/>
      <c r="G160" s="352"/>
      <c r="H160" s="1"/>
      <c r="I160" s="352"/>
      <c r="J160" s="54" t="str">
        <f>OBRA!W159</f>
        <v>-</v>
      </c>
      <c r="K160" s="55" t="str">
        <f>OBRA!X159</f>
        <v>ING. RIGOBERTO OLMEDO RAMOS</v>
      </c>
      <c r="L160" s="19" t="str">
        <f>OBRA!N159</f>
        <v>DOP/AD/024/2016</v>
      </c>
      <c r="M160" s="2" t="str">
        <f>OBRA!O159</f>
        <v>ADMINISTRACIÓN DIRECTA</v>
      </c>
      <c r="N160" s="3" t="str">
        <f>OBRA!P159</f>
        <v>COLOCACIÓN DE ADOQUÍN EN CALLE PRIVADA CAMICHINES, EN LA CABECERA</v>
      </c>
      <c r="O160" s="3"/>
      <c r="P160" s="6">
        <f>OBRA!S159</f>
        <v>42641</v>
      </c>
      <c r="Q160" s="4">
        <f>OBRA!R159</f>
        <v>456248</v>
      </c>
      <c r="R160" s="5">
        <f>OBRA!T159</f>
        <v>42702</v>
      </c>
      <c r="S160" s="11">
        <f>OBRA!U159</f>
        <v>42721</v>
      </c>
      <c r="T160" s="52"/>
      <c r="U160" s="226" t="s">
        <v>1428</v>
      </c>
      <c r="V160" s="105"/>
      <c r="W160" s="53"/>
      <c r="X160" s="278">
        <f>OBRA!AR159</f>
        <v>0</v>
      </c>
      <c r="Y160" s="309"/>
      <c r="Z160" s="309"/>
      <c r="AA160" s="5"/>
      <c r="AB160" s="313"/>
      <c r="AC160" s="317">
        <f>OBRA!BW159</f>
        <v>0</v>
      </c>
      <c r="AD160" s="352"/>
      <c r="AE160" s="352"/>
    </row>
    <row r="161" spans="1:31" ht="87" hidden="1" customHeight="1">
      <c r="A161" s="22" t="s">
        <v>2206</v>
      </c>
      <c r="B161" s="809" t="str">
        <f>GRAL!B162</f>
        <v>2015-2018</v>
      </c>
      <c r="C161" s="16">
        <f>OBRA!J160</f>
        <v>2016</v>
      </c>
      <c r="D161" s="1415"/>
      <c r="E161" s="18" t="str">
        <f>OBRA!M160</f>
        <v>3X1 PARA MIGRANTES</v>
      </c>
      <c r="F161" s="478"/>
      <c r="G161" s="352"/>
      <c r="H161" s="1"/>
      <c r="I161" s="352"/>
      <c r="J161" s="54" t="str">
        <f>OBRA!W160</f>
        <v>-</v>
      </c>
      <c r="K161" s="55" t="str">
        <f>OBRA!X160</f>
        <v>ING. RIGOBERTO OLMEDO RAMOS</v>
      </c>
      <c r="L161" s="19" t="str">
        <f>OBRA!N160</f>
        <v>DOP/AD/025/2016</v>
      </c>
      <c r="M161" s="2" t="str">
        <f>OBRA!O160</f>
        <v>ADMINISTRACIÓN DIRECTA</v>
      </c>
      <c r="N161" s="3" t="str">
        <f>OBRA!P160</f>
        <v>REHABILITACIÓN DE RED DE DRENAJE EN CALLE RIVERA DEL LAGO DEL PARQUE LÍNEAL HASTA CALLE CHUECA, EN LA AGENCIA MUNICIPAL DE CHANTEPEC</v>
      </c>
      <c r="O161" s="3"/>
      <c r="P161" s="6">
        <f>OBRA!S160</f>
        <v>42630</v>
      </c>
      <c r="Q161" s="4">
        <f>OBRA!R160</f>
        <v>525186</v>
      </c>
      <c r="R161" s="5">
        <f>OBRA!T160</f>
        <v>42662</v>
      </c>
      <c r="S161" s="11">
        <f>OBRA!U160</f>
        <v>42672</v>
      </c>
      <c r="T161" s="52"/>
      <c r="U161" s="226" t="s">
        <v>1428</v>
      </c>
      <c r="V161" s="105"/>
      <c r="W161" s="53"/>
      <c r="X161" s="278">
        <f>OBRA!AR160</f>
        <v>0</v>
      </c>
      <c r="Y161" s="309"/>
      <c r="Z161" s="309"/>
      <c r="AA161" s="5"/>
      <c r="AB161" s="313"/>
      <c r="AC161" s="317">
        <f>OBRA!BW160</f>
        <v>0</v>
      </c>
      <c r="AD161" s="352"/>
      <c r="AE161" s="352"/>
    </row>
    <row r="162" spans="1:31" ht="61.5" hidden="1" customHeight="1">
      <c r="A162" s="22" t="s">
        <v>2206</v>
      </c>
      <c r="B162" s="809" t="str">
        <f>GRAL!B163</f>
        <v>2015-2018</v>
      </c>
      <c r="C162" s="16">
        <f>OBRA!J161</f>
        <v>2016</v>
      </c>
      <c r="D162" s="1415"/>
      <c r="E162" s="18" t="str">
        <f>OBRA!M161</f>
        <v>3X1 PARA MIGRANTES</v>
      </c>
      <c r="F162" s="478"/>
      <c r="G162" s="352"/>
      <c r="H162" s="1"/>
      <c r="I162" s="352"/>
      <c r="J162" s="54" t="str">
        <f>OBRA!W161</f>
        <v>-</v>
      </c>
      <c r="K162" s="55" t="str">
        <f>OBRA!X161</f>
        <v>ING. RIGOBERTO OLMEDO RAMOS</v>
      </c>
      <c r="L162" s="19" t="str">
        <f>OBRA!N161</f>
        <v>DOP/AD/026/2016</v>
      </c>
      <c r="M162" s="2" t="str">
        <f>OBRA!O161</f>
        <v>ADMINISTRACIÓN DIRECTA</v>
      </c>
      <c r="N162" s="3" t="str">
        <f>OBRA!P161</f>
        <v xml:space="preserve">REHABILITACIÓN DE RED DE DRENAJE CALLE INSURGENTES, EN LA LOCALIDAD DE ZAPOTITAN DE HIDALGO </v>
      </c>
      <c r="O162" s="3"/>
      <c r="P162" s="6">
        <f>OBRA!S161</f>
        <v>42678</v>
      </c>
      <c r="Q162" s="4">
        <f>OBRA!R161</f>
        <v>678342</v>
      </c>
      <c r="R162" s="5">
        <f>OBRA!T161</f>
        <v>42682</v>
      </c>
      <c r="S162" s="11">
        <f>OBRA!U161</f>
        <v>42704</v>
      </c>
      <c r="T162" s="52"/>
      <c r="U162" s="226" t="s">
        <v>1428</v>
      </c>
      <c r="V162" s="105"/>
      <c r="W162" s="53"/>
      <c r="X162" s="278">
        <f>OBRA!AR161</f>
        <v>0</v>
      </c>
      <c r="Y162" s="309"/>
      <c r="Z162" s="309"/>
      <c r="AA162" s="5"/>
      <c r="AB162" s="313"/>
      <c r="AC162" s="317">
        <f>OBRA!BW161</f>
        <v>0</v>
      </c>
      <c r="AD162" s="352"/>
      <c r="AE162" s="352"/>
    </row>
    <row r="163" spans="1:31" ht="110.25" hidden="1" customHeight="1">
      <c r="A163" s="22" t="s">
        <v>2206</v>
      </c>
      <c r="B163" s="809" t="str">
        <f>GRAL!B164</f>
        <v>2015-2018</v>
      </c>
      <c r="C163" s="16">
        <f>OBRA!J162</f>
        <v>2016</v>
      </c>
      <c r="D163" s="1415"/>
      <c r="E163" s="18" t="str">
        <f>OBRA!M162</f>
        <v xml:space="preserve">Fortalecimiento Financiero Para La Inversion </v>
      </c>
      <c r="F163" s="13"/>
      <c r="G163" s="352"/>
      <c r="H163" s="1"/>
      <c r="I163" s="352"/>
      <c r="J163" s="54" t="str">
        <f>OBRA!W162</f>
        <v>-</v>
      </c>
      <c r="K163" s="55" t="str">
        <f>OBRA!X162</f>
        <v>ING. J. GUADALUPE IBARRA RAMIREZ</v>
      </c>
      <c r="L163" s="19" t="str">
        <f>OBRA!N162</f>
        <v>DOP/AD/027/2016</v>
      </c>
      <c r="M163" s="2" t="str">
        <f>OBRA!O162</f>
        <v>ADMINISTRACIÓN DIRECTA</v>
      </c>
      <c r="N163" s="3" t="str">
        <f>OBRA!P162</f>
        <v>REHABILITACIÓN DE BANQUETAS, RAMPAS, GUARNICIONES Y JARDINERÍA EN LA CALLE DEGOLLADO ENTRE JOSEFA ORTIZ DE DOMINGUEZ Y NICOLAS BRAVO, EN EL MUNICIPIO DE JOCOTEPEC, JALISCO</v>
      </c>
      <c r="O163" s="3"/>
      <c r="P163" s="6">
        <f>OBRA!S162</f>
        <v>43053</v>
      </c>
      <c r="Q163" s="4">
        <f>OBRA!R162</f>
        <v>275569.48</v>
      </c>
      <c r="R163" s="5">
        <f>OBRA!T162</f>
        <v>42689</v>
      </c>
      <c r="S163" s="11">
        <f>OBRA!U162</f>
        <v>42734</v>
      </c>
      <c r="T163" s="52"/>
      <c r="U163" s="226" t="s">
        <v>1428</v>
      </c>
      <c r="V163" s="105"/>
      <c r="W163" s="53"/>
      <c r="X163" s="278">
        <f>OBRA!AR162</f>
        <v>0</v>
      </c>
      <c r="Y163" s="309"/>
      <c r="Z163" s="309"/>
      <c r="AA163" s="5"/>
      <c r="AB163" s="313"/>
      <c r="AC163" s="317">
        <f>OBRA!BW162</f>
        <v>0</v>
      </c>
      <c r="AD163" s="352"/>
      <c r="AE163" s="352"/>
    </row>
    <row r="164" spans="1:31" ht="67.5" hidden="1" customHeight="1">
      <c r="A164" s="22" t="s">
        <v>2206</v>
      </c>
      <c r="B164" s="809" t="str">
        <f>GRAL!B165</f>
        <v>2015-2018</v>
      </c>
      <c r="C164" s="16">
        <f>OBRA!J163</f>
        <v>2016</v>
      </c>
      <c r="D164" s="1415"/>
      <c r="E164" s="17" t="str">
        <f>OBRA!M163</f>
        <v>RAMO 33</v>
      </c>
      <c r="F164" s="478" t="s">
        <v>1428</v>
      </c>
      <c r="G164" s="352"/>
      <c r="H164" s="1"/>
      <c r="I164" s="352"/>
      <c r="J164" s="54" t="str">
        <f>OBRA!W163</f>
        <v>-</v>
      </c>
      <c r="K164" s="55" t="str">
        <f>OBRA!X163</f>
        <v>ING. J. GUADALUPE IBARRA RAMIREZ</v>
      </c>
      <c r="L164" s="19" t="str">
        <f>OBRA!N163</f>
        <v>DOP/AD/028/2016</v>
      </c>
      <c r="M164" s="2" t="str">
        <f>OBRA!O163</f>
        <v>ADMINISTRACIÓN DIRECTA</v>
      </c>
      <c r="N164" s="3" t="str">
        <f>OBRA!P163</f>
        <v>CONSTRUCCIÓN DE RED DE AGUA POTABLE EN CALLE HIDALGO A SAN LUCIANO DE ABAJO, EN LA LOCALIDAD DE SAN LUCIANO</v>
      </c>
      <c r="O164" s="3"/>
      <c r="P164" s="6">
        <f>OBRA!S163</f>
        <v>42704</v>
      </c>
      <c r="Q164" s="4">
        <f>OBRA!R163</f>
        <v>504950.57</v>
      </c>
      <c r="R164" s="5">
        <f>OBRA!T163</f>
        <v>42705</v>
      </c>
      <c r="S164" s="11">
        <f>OBRA!U163</f>
        <v>42735</v>
      </c>
      <c r="T164" s="52"/>
      <c r="U164" s="226" t="s">
        <v>1428</v>
      </c>
      <c r="V164" s="105"/>
      <c r="W164" s="53"/>
      <c r="X164" s="278">
        <f>OBRA!AR163</f>
        <v>0</v>
      </c>
      <c r="Y164" s="309"/>
      <c r="Z164" s="309"/>
      <c r="AA164" s="5"/>
      <c r="AB164" s="313"/>
      <c r="AC164" s="317">
        <f>OBRA!BW163</f>
        <v>0</v>
      </c>
      <c r="AD164" s="352"/>
      <c r="AE164" s="352"/>
    </row>
    <row r="165" spans="1:31" ht="110.25" hidden="1" customHeight="1">
      <c r="A165" s="22" t="s">
        <v>2206</v>
      </c>
      <c r="B165" s="809" t="str">
        <f>GRAL!B166</f>
        <v>2015-2018</v>
      </c>
      <c r="C165" s="16">
        <f>OBRA!J164</f>
        <v>2016</v>
      </c>
      <c r="D165" s="1415"/>
      <c r="E165" s="17" t="str">
        <f>OBRA!M164</f>
        <v>CUENTA CORRIENTE</v>
      </c>
      <c r="F165" s="478" t="s">
        <v>1428</v>
      </c>
      <c r="G165" s="352"/>
      <c r="H165" s="1"/>
      <c r="I165" s="352"/>
      <c r="J165" s="54" t="str">
        <f>OBRA!W164</f>
        <v>-</v>
      </c>
      <c r="K165" s="55" t="str">
        <f>OBRA!X164</f>
        <v>ING. ANGEL ALBERTO HERNANDEZ MORA</v>
      </c>
      <c r="L165" s="19" t="str">
        <f>OBRA!N164</f>
        <v>DOP/AD/029/2016</v>
      </c>
      <c r="M165" s="2" t="str">
        <f>OBRA!O164</f>
        <v>ADMINISTRACIÓN DIRECTA</v>
      </c>
      <c r="N165" s="3" t="str">
        <f>OBRA!P164</f>
        <v>AMPLIACIÓN DE RED DE AGUA POTABLE EN CALLES BUGAMBILIAS, ROSAS, EL JARAL Y GUADALUPE VICTORIA EN EL "BARRIO EL POTRERITO" EN LA LOCALIDAD DE HUEJOTITAN, DEL MUNICIPIO DE JOCOTEPEC, JALISCO.</v>
      </c>
      <c r="O165" s="3"/>
      <c r="P165" s="6">
        <f>OBRA!S164</f>
        <v>42702</v>
      </c>
      <c r="Q165" s="4">
        <f>OBRA!R164</f>
        <v>160904.73000000001</v>
      </c>
      <c r="R165" s="5">
        <f>OBRA!T164</f>
        <v>42702</v>
      </c>
      <c r="S165" s="11">
        <f>OBRA!U164</f>
        <v>42711</v>
      </c>
      <c r="T165" s="52"/>
      <c r="U165" s="226" t="s">
        <v>1428</v>
      </c>
      <c r="V165" s="105"/>
      <c r="W165" s="53"/>
      <c r="X165" s="278">
        <f>OBRA!AR164</f>
        <v>0</v>
      </c>
      <c r="Y165" s="309"/>
      <c r="Z165" s="309"/>
      <c r="AA165" s="5"/>
      <c r="AB165" s="313"/>
      <c r="AC165" s="317">
        <f>OBRA!BW164</f>
        <v>0</v>
      </c>
      <c r="AD165" s="352"/>
      <c r="AE165" s="352"/>
    </row>
    <row r="166" spans="1:31" ht="110.25" hidden="1" customHeight="1">
      <c r="A166" s="22" t="s">
        <v>2206</v>
      </c>
      <c r="B166" s="809" t="str">
        <f>GRAL!B167</f>
        <v>2015-2018</v>
      </c>
      <c r="C166" s="16">
        <f>OBRA!J165</f>
        <v>2016</v>
      </c>
      <c r="D166" s="1415"/>
      <c r="E166" s="17" t="str">
        <f>OBRA!M165</f>
        <v>RAMO 33</v>
      </c>
      <c r="F166" s="13" t="s">
        <v>1428</v>
      </c>
      <c r="G166" s="352"/>
      <c r="H166" s="1"/>
      <c r="I166" s="352"/>
      <c r="J166" s="54" t="str">
        <f>OBRA!W165</f>
        <v>-</v>
      </c>
      <c r="K166" s="55" t="str">
        <f>OBRA!X165</f>
        <v>ING. J. GUADALUPE IBARRA RAMIREZ</v>
      </c>
      <c r="L166" s="19" t="str">
        <f>OBRA!N165</f>
        <v>DOP/AD/030/2016</v>
      </c>
      <c r="M166" s="2" t="str">
        <f>OBRA!O165</f>
        <v>ADMINISTRACIÓN DIRECTA</v>
      </c>
      <c r="N166" s="3" t="str">
        <f>OBRA!P165</f>
        <v>REHABILITACIÓN DE RED DE DRENAJE 2DA. ETAPA DE LA CALLE CUAUHTEMOC ENTRE C. PLAYAS DE LA LAGUNA A CARCAMO DE BOMBEO, CON REPOSICIÓN DE EMPEDRADO AHOGADO, EN LA LOCALIDAD DE CHANTEPEC</v>
      </c>
      <c r="O166" s="3"/>
      <c r="P166" s="6">
        <f>OBRA!S165</f>
        <v>42688</v>
      </c>
      <c r="Q166" s="4">
        <f>OBRA!R165</f>
        <v>587787.4</v>
      </c>
      <c r="R166" s="5">
        <f>OBRA!T165</f>
        <v>42689</v>
      </c>
      <c r="S166" s="11">
        <f>OBRA!U165</f>
        <v>42705</v>
      </c>
      <c r="T166" s="52"/>
      <c r="U166" s="226" t="s">
        <v>1428</v>
      </c>
      <c r="V166" s="105"/>
      <c r="W166" s="53"/>
      <c r="X166" s="278">
        <f>OBRA!AR165</f>
        <v>0</v>
      </c>
      <c r="Y166" s="309"/>
      <c r="Z166" s="309"/>
      <c r="AA166" s="5"/>
      <c r="AB166" s="313"/>
      <c r="AC166" s="317">
        <f>OBRA!BW165</f>
        <v>0</v>
      </c>
      <c r="AD166" s="352"/>
      <c r="AE166" s="352"/>
    </row>
    <row r="167" spans="1:31" ht="123" hidden="1" customHeight="1">
      <c r="A167" s="22" t="s">
        <v>2206</v>
      </c>
      <c r="B167" s="809" t="str">
        <f>GRAL!B168</f>
        <v>2015-2018</v>
      </c>
      <c r="C167" s="16">
        <f>OBRA!J166</f>
        <v>2016</v>
      </c>
      <c r="D167" s="1415"/>
      <c r="E167" s="17" t="str">
        <f>OBRA!M166</f>
        <v>RAMO 33</v>
      </c>
      <c r="F167" s="478" t="s">
        <v>1428</v>
      </c>
      <c r="G167" s="352"/>
      <c r="H167" s="1"/>
      <c r="I167" s="352"/>
      <c r="J167" s="54" t="str">
        <f>OBRA!W166</f>
        <v>-</v>
      </c>
      <c r="K167" s="55" t="str">
        <f>OBRA!X166</f>
        <v>ING. J. GUADALUPE IBARRA RAMIREZ</v>
      </c>
      <c r="L167" s="19" t="str">
        <f>OBRA!N166</f>
        <v>DOP/AD/031/2016</v>
      </c>
      <c r="M167" s="2" t="str">
        <f>OBRA!O166</f>
        <v>ADMINISTRACIÓN DIRECTA</v>
      </c>
      <c r="N167" s="3" t="str">
        <f>OBRA!P166</f>
        <v>REHABILITACIÓN DE RED DE AGUA POTABLE  2DA. ETAPA DE LA CALLE CUAUHTEMOC ENTRE C. PLAYAS DE LA LAGUNA A CARCAMO DE BOMBEO, CON REPOSICIÓN DE EMPEDRADO AHOGADO, EN LA LOCALIDAD DE CHANTEPEC</v>
      </c>
      <c r="O167" s="3"/>
      <c r="P167" s="6">
        <f>OBRA!S166</f>
        <v>42692</v>
      </c>
      <c r="Q167" s="4">
        <f>OBRA!R166</f>
        <v>557061.88</v>
      </c>
      <c r="R167" s="5">
        <f>OBRA!T166</f>
        <v>42695</v>
      </c>
      <c r="S167" s="11">
        <f>OBRA!U166</f>
        <v>42719</v>
      </c>
      <c r="T167" s="52"/>
      <c r="U167" s="226" t="s">
        <v>1428</v>
      </c>
      <c r="V167" s="105"/>
      <c r="W167" s="53"/>
      <c r="X167" s="278">
        <f>OBRA!AR166</f>
        <v>0</v>
      </c>
      <c r="Y167" s="309"/>
      <c r="Z167" s="309"/>
      <c r="AA167" s="5"/>
      <c r="AB167" s="313"/>
      <c r="AC167" s="317">
        <f>OBRA!BW166</f>
        <v>0</v>
      </c>
      <c r="AD167" s="352"/>
      <c r="AE167" s="352"/>
    </row>
    <row r="168" spans="1:31" ht="110.25" hidden="1" customHeight="1">
      <c r="A168" s="22" t="s">
        <v>2206</v>
      </c>
      <c r="B168" s="809" t="str">
        <f>GRAL!B169</f>
        <v>2015-2018</v>
      </c>
      <c r="C168" s="16">
        <f>OBRA!J167</f>
        <v>2016</v>
      </c>
      <c r="D168" s="1415"/>
      <c r="E168" s="17" t="str">
        <f>OBRA!M167</f>
        <v>RAMO 33</v>
      </c>
      <c r="F168" s="478" t="s">
        <v>1428</v>
      </c>
      <c r="G168" s="352"/>
      <c r="H168" s="1"/>
      <c r="I168" s="352"/>
      <c r="J168" s="54" t="str">
        <f>OBRA!W167</f>
        <v>-</v>
      </c>
      <c r="K168" s="55" t="str">
        <f>OBRA!X167</f>
        <v>ING. J. GUADALUPE IBARRA RAMIREZ</v>
      </c>
      <c r="L168" s="19" t="str">
        <f>OBRA!N167</f>
        <v>DOP/AD/032/2016</v>
      </c>
      <c r="M168" s="2" t="str">
        <f>OBRA!O167</f>
        <v>ADMINISTRACIÓN DIRECTA</v>
      </c>
      <c r="N168" s="3" t="str">
        <f>OBRA!P167</f>
        <v>REEMPEDRADO AHOGADO EN CEMENTO EN CALLE CUAUHTEMOC 2DA. ETAPA DE PLAYAS DE LA LAGUNA HACIA EL ORIENTE, EN LA LOCALIDAD DE CHANTEPEC</v>
      </c>
      <c r="O168" s="3"/>
      <c r="P168" s="6">
        <f>OBRA!S167</f>
        <v>42688</v>
      </c>
      <c r="Q168" s="4">
        <f>OBRA!R167</f>
        <v>238036.86</v>
      </c>
      <c r="R168" s="5">
        <f>OBRA!T167</f>
        <v>42689</v>
      </c>
      <c r="S168" s="11">
        <f>OBRA!U167</f>
        <v>42735</v>
      </c>
      <c r="T168" s="52"/>
      <c r="U168" s="226" t="s">
        <v>1428</v>
      </c>
      <c r="V168" s="105"/>
      <c r="W168" s="53"/>
      <c r="X168" s="278">
        <f>OBRA!AR167</f>
        <v>0</v>
      </c>
      <c r="Y168" s="309"/>
      <c r="Z168" s="309"/>
      <c r="AA168" s="5"/>
      <c r="AB168" s="313"/>
      <c r="AC168" s="317">
        <f>OBRA!BW167</f>
        <v>0</v>
      </c>
      <c r="AD168" s="352"/>
      <c r="AE168" s="352"/>
    </row>
    <row r="169" spans="1:31" ht="110.25" hidden="1" customHeight="1">
      <c r="A169" s="22" t="s">
        <v>2206</v>
      </c>
      <c r="B169" s="809" t="str">
        <f>GRAL!B170</f>
        <v>2015-2018</v>
      </c>
      <c r="C169" s="16">
        <f>OBRA!J168</f>
        <v>2016</v>
      </c>
      <c r="D169" s="1415"/>
      <c r="E169" s="18" t="str">
        <f>OBRA!M168</f>
        <v>3X1 PARA MIGRANTES</v>
      </c>
      <c r="F169" s="478"/>
      <c r="G169" s="23"/>
      <c r="H169" s="1"/>
      <c r="I169" s="352"/>
      <c r="J169" s="54" t="str">
        <f>OBRA!W168</f>
        <v>-</v>
      </c>
      <c r="K169" s="55" t="str">
        <f>OBRA!X168</f>
        <v>ING. RIGOBERTO OLMEDO RAMOS</v>
      </c>
      <c r="L169" s="19" t="str">
        <f>OBRA!N168</f>
        <v>DOP/AD/033/2016</v>
      </c>
      <c r="M169" s="2" t="str">
        <f>OBRA!O168</f>
        <v>ADMINISTRACIÓN DIRECTA</v>
      </c>
      <c r="N169" s="3" t="str">
        <f>OBRA!P168</f>
        <v xml:space="preserve">EMPEDRADO AHOGADO EN CEMENTO EN LA CALLE INSURGENTES PRIMERA ETAPA, EN LA LOCALIDAD DE ZAPOTITAN DE HIDALGO </v>
      </c>
      <c r="O169" s="3"/>
      <c r="P169" s="6">
        <f>OBRA!S168</f>
        <v>42674</v>
      </c>
      <c r="Q169" s="4">
        <f>OBRA!R168</f>
        <v>2426000</v>
      </c>
      <c r="R169" s="5">
        <f>OBRA!T168</f>
        <v>42675</v>
      </c>
      <c r="S169" s="11">
        <f>OBRA!U168</f>
        <v>42735</v>
      </c>
      <c r="T169" s="52"/>
      <c r="U169" s="226" t="s">
        <v>1428</v>
      </c>
      <c r="V169" s="105"/>
      <c r="W169" s="53"/>
      <c r="X169" s="278">
        <f>OBRA!AR168</f>
        <v>0</v>
      </c>
      <c r="Y169" s="309"/>
      <c r="Z169" s="309"/>
      <c r="AA169" s="5"/>
      <c r="AB169" s="313"/>
      <c r="AC169" s="317">
        <f>OBRA!BW168</f>
        <v>0</v>
      </c>
      <c r="AD169" s="352"/>
      <c r="AE169" s="352"/>
    </row>
    <row r="170" spans="1:31" ht="253.5" hidden="1" customHeight="1">
      <c r="A170" s="22" t="s">
        <v>2206</v>
      </c>
      <c r="B170" s="809" t="str">
        <f>GRAL!B171</f>
        <v>2015-2018</v>
      </c>
      <c r="C170" s="16">
        <f>OBRA!J169</f>
        <v>2016</v>
      </c>
      <c r="D170" s="1415"/>
      <c r="E170" s="18" t="str">
        <f>OBRA!M169</f>
        <v>PATRIMONIO MUNICIPAL</v>
      </c>
      <c r="F170" s="481" t="s">
        <v>1428</v>
      </c>
      <c r="G170" s="493" t="s">
        <v>1741</v>
      </c>
      <c r="H170" s="458" t="s">
        <v>1743</v>
      </c>
      <c r="I170" s="459" t="s">
        <v>1742</v>
      </c>
      <c r="J170" s="54" t="str">
        <f>OBRA!W169</f>
        <v>ELECTRIFICACIONES MUGA, S.A. DE C.V.</v>
      </c>
      <c r="K170" s="55" t="str">
        <f>OBRA!X169</f>
        <v>ING. RIGOBERTO OLMEDO RAMOS</v>
      </c>
      <c r="L170" s="33" t="str">
        <f>OBRA!N169</f>
        <v>GMJ 001C OP/2016</v>
      </c>
      <c r="M170" s="2" t="str">
        <f>OBRA!O169</f>
        <v>ADJUDICACIÓN DIRECTA</v>
      </c>
      <c r="N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6" t="s">
        <v>1737</v>
      </c>
      <c r="P170" s="6">
        <f>OBRA!S169</f>
        <v>42461</v>
      </c>
      <c r="Q170" s="4">
        <f>OBRA!R169</f>
        <v>892870.48</v>
      </c>
      <c r="R170" s="5">
        <f>OBRA!T169</f>
        <v>42461</v>
      </c>
      <c r="S170" s="11">
        <f>OBRA!U169</f>
        <v>42583</v>
      </c>
      <c r="T170" s="53"/>
      <c r="U170" s="377" t="s">
        <v>1428</v>
      </c>
      <c r="V170" s="459" t="s">
        <v>1744</v>
      </c>
      <c r="W170" s="460" t="s">
        <v>2245</v>
      </c>
      <c r="X170" s="450">
        <f>OBRA!AR169</f>
        <v>89287.05</v>
      </c>
      <c r="Y170" s="5"/>
      <c r="Z170" s="309"/>
      <c r="AA170" s="5"/>
      <c r="AB170" s="313"/>
      <c r="AC170" s="317">
        <f>OBRA!BW169</f>
        <v>0</v>
      </c>
      <c r="AD170" s="352"/>
      <c r="AE170" s="352" t="s">
        <v>551</v>
      </c>
    </row>
    <row r="171" spans="1:31" ht="108" hidden="1" customHeight="1">
      <c r="A171" s="22" t="s">
        <v>2206</v>
      </c>
      <c r="B171" s="809" t="str">
        <f>GRAL!B172</f>
        <v>2015-2018</v>
      </c>
      <c r="C171" s="16">
        <f>OBRA!J170</f>
        <v>2016</v>
      </c>
      <c r="D171" s="1415"/>
      <c r="E171" s="17" t="str">
        <f>OBRA!M170</f>
        <v>RAMO 33</v>
      </c>
      <c r="F171" s="481" t="s">
        <v>1428</v>
      </c>
      <c r="G171" s="459" t="s">
        <v>1750</v>
      </c>
      <c r="H171" s="458" t="s">
        <v>1752</v>
      </c>
      <c r="I171" s="459" t="s">
        <v>1751</v>
      </c>
      <c r="J171" s="54" t="str">
        <f>OBRA!W170</f>
        <v>RAMPER DRILLINGS S.A. DE C.V.</v>
      </c>
      <c r="K171" s="55" t="str">
        <f>OBRA!X170</f>
        <v>ING. J. GUADALUPE IBARRA RAMIREZ</v>
      </c>
      <c r="L171" s="33" t="str">
        <f>OBRA!N170</f>
        <v>GMJ 002C OP/2016</v>
      </c>
      <c r="M171" s="2" t="str">
        <f>OBRA!O170</f>
        <v>ADJUDICACIÓN DIRECTA</v>
      </c>
      <c r="N171" s="3" t="str">
        <f>OBRA!P170</f>
        <v>PERFORACIÓN DE POZO PROFUNDO, ADEME, AFORO Y EQUIPO DE BOMBEO EN LA CALLE LIBERTAD DE NEXTIPAC, DE ESTE MUNICIPIO JOCOTEPEC, JALISCO</v>
      </c>
      <c r="O171" s="464" t="s">
        <v>1747</v>
      </c>
      <c r="P171" s="6">
        <f>OBRA!S170</f>
        <v>42458</v>
      </c>
      <c r="Q171" s="4">
        <f>OBRA!R170</f>
        <v>1451401.32</v>
      </c>
      <c r="R171" s="5">
        <f>OBRA!T170</f>
        <v>42459</v>
      </c>
      <c r="S171" s="11">
        <f>OBRA!U170</f>
        <v>42498</v>
      </c>
      <c r="T171" s="53"/>
      <c r="U171" s="377" t="s">
        <v>1428</v>
      </c>
      <c r="V171" s="459" t="s">
        <v>1753</v>
      </c>
      <c r="W171" s="460" t="s">
        <v>2246</v>
      </c>
      <c r="X171" s="523">
        <f>OBRA!AR170</f>
        <v>145140.13</v>
      </c>
      <c r="Y171" s="5"/>
      <c r="Z171" s="309"/>
      <c r="AA171" s="5"/>
      <c r="AB171" s="313"/>
      <c r="AC171" s="317">
        <f>OBRA!BW170</f>
        <v>0</v>
      </c>
      <c r="AD171" s="352"/>
      <c r="AE171" s="352" t="s">
        <v>551</v>
      </c>
    </row>
    <row r="172" spans="1:31" ht="111.75" hidden="1" customHeight="1">
      <c r="A172" s="22" t="s">
        <v>2206</v>
      </c>
      <c r="B172" s="809" t="str">
        <f>GRAL!B173</f>
        <v>2015-2018</v>
      </c>
      <c r="C172" s="16">
        <f>OBRA!J171</f>
        <v>2016</v>
      </c>
      <c r="D172" s="1415"/>
      <c r="E172" s="17" t="str">
        <f>OBRA!M171</f>
        <v>FONDEREG</v>
      </c>
      <c r="F172" s="358" t="s">
        <v>1629</v>
      </c>
      <c r="G172" s="500" t="s">
        <v>1758</v>
      </c>
      <c r="H172" s="458" t="s">
        <v>1760</v>
      </c>
      <c r="I172" s="459" t="s">
        <v>1759</v>
      </c>
      <c r="J172" s="54" t="str">
        <f>OBRA!W171</f>
        <v>ENERGIAS RENOVABLES DE LA RIVERA S.A. DE C.V</v>
      </c>
      <c r="K172" s="55" t="str">
        <f>OBRA!X171</f>
        <v>ING. RIGOBERTO OLMEDO RAMOS</v>
      </c>
      <c r="L172" s="33" t="str">
        <f>OBRA!N171</f>
        <v>GMJ 003C OP/2016</v>
      </c>
      <c r="M172" s="2" t="str">
        <f>OBRA!O171</f>
        <v>ADJUDICACIÓN DIRECTA</v>
      </c>
      <c r="N172" s="3" t="str">
        <f>OBRA!P171</f>
        <v>ALUMBRADO CON POSTE METALICO DE 7.00 MTS Y LUMINARIAS LED DE 74 WATTS Y LUMINOSIDAD DE 5700 KELVIN EN CALLE ZARAGOZA (INGRESO PRINCIPAL) DE SAN CRISTOBAL ZAPOTITLAN</v>
      </c>
      <c r="O172" s="464" t="s">
        <v>1754</v>
      </c>
      <c r="P172" s="6">
        <f>OBRA!S171</f>
        <v>42587</v>
      </c>
      <c r="Q172" s="4">
        <f>OBRA!R171</f>
        <v>441388.12</v>
      </c>
      <c r="R172" s="5">
        <f>OBRA!T171</f>
        <v>42597</v>
      </c>
      <c r="S172" s="11">
        <f>OBRA!U171</f>
        <v>42628</v>
      </c>
      <c r="T172" s="53"/>
      <c r="U172" s="660" t="s">
        <v>2247</v>
      </c>
      <c r="V172" s="459" t="s">
        <v>1761</v>
      </c>
      <c r="W172" s="460" t="s">
        <v>2248</v>
      </c>
      <c r="X172" s="523">
        <f>OBRA!AR171</f>
        <v>88277.62</v>
      </c>
      <c r="Y172" s="5"/>
      <c r="Z172" s="309"/>
      <c r="AA172" s="5"/>
      <c r="AB172" s="313"/>
      <c r="AC172" s="317">
        <f>OBRA!BW171</f>
        <v>0</v>
      </c>
      <c r="AD172" s="352"/>
      <c r="AE172" s="352" t="s">
        <v>551</v>
      </c>
    </row>
    <row r="173" spans="1:31" ht="108" hidden="1" customHeight="1">
      <c r="A173" s="22" t="s">
        <v>2206</v>
      </c>
      <c r="B173" s="809" t="str">
        <f>GRAL!B174</f>
        <v>2015-2018</v>
      </c>
      <c r="C173" s="16">
        <f>OBRA!J172</f>
        <v>2016</v>
      </c>
      <c r="D173" s="1415"/>
      <c r="E173" s="17" t="str">
        <f>OBRA!M172</f>
        <v>RAMO 33</v>
      </c>
      <c r="F173" s="481" t="s">
        <v>1428</v>
      </c>
      <c r="G173" s="459" t="s">
        <v>1765</v>
      </c>
      <c r="H173" s="458" t="s">
        <v>1767</v>
      </c>
      <c r="I173" s="459" t="s">
        <v>1766</v>
      </c>
      <c r="J173" s="54" t="str">
        <f>OBRA!W172</f>
        <v>LIC. CARLOS MANUEL PELAYO CERVERA</v>
      </c>
      <c r="K173" s="55" t="str">
        <f>OBRA!X172</f>
        <v>LIC. SALVADOR CONTRERAS OLGUÍN</v>
      </c>
      <c r="L173" s="33" t="str">
        <f>OBRA!N172</f>
        <v>GMJ 004C OP/2016</v>
      </c>
      <c r="M173" s="2" t="str">
        <f>OBRA!O172</f>
        <v>ADJUDICACIÓN DIRECTA</v>
      </c>
      <c r="N173" s="3" t="str">
        <f>OBRA!P172</f>
        <v>REHABILITACIÓN DE RED DE AGUA POTABLE Y REPOSICIÓN DE EMPEDRADO NORMAL (CALLE 16 DE SEPTIEMBRE ENTRE CALLE CORELOS Y 20 DE NOVIEMBRE DELEGACION DE ZAPOTITAN DE HIDALGO</v>
      </c>
      <c r="O173" s="464" t="s">
        <v>1764</v>
      </c>
      <c r="P173" s="6">
        <f>OBRA!S172</f>
        <v>42599</v>
      </c>
      <c r="Q173" s="4">
        <f>OBRA!R172</f>
        <v>346655.86</v>
      </c>
      <c r="R173" s="5">
        <f>OBRA!T172</f>
        <v>42600</v>
      </c>
      <c r="S173" s="11">
        <f>OBRA!U172</f>
        <v>42704</v>
      </c>
      <c r="T173" s="53"/>
      <c r="U173" s="377" t="s">
        <v>1428</v>
      </c>
      <c r="V173" s="459" t="s">
        <v>1768</v>
      </c>
      <c r="W173" s="460" t="s">
        <v>2250</v>
      </c>
      <c r="X173" s="450">
        <f>OBRA!AR172</f>
        <v>69321.179999999993</v>
      </c>
      <c r="Y173" s="5"/>
      <c r="Z173" s="309"/>
      <c r="AA173" s="5"/>
      <c r="AB173" s="313"/>
      <c r="AC173" s="317">
        <f>OBRA!BW172</f>
        <v>0</v>
      </c>
      <c r="AD173" s="352"/>
      <c r="AE173" s="352" t="s">
        <v>551</v>
      </c>
    </row>
    <row r="174" spans="1:31" ht="111" hidden="1" customHeight="1">
      <c r="A174" s="22" t="s">
        <v>2206</v>
      </c>
      <c r="B174" s="809" t="str">
        <f>GRAL!B175</f>
        <v>2015-2018</v>
      </c>
      <c r="C174" s="16">
        <f>OBRA!J173</f>
        <v>2016</v>
      </c>
      <c r="D174" s="1415"/>
      <c r="E174" s="17" t="str">
        <f>OBRA!M173</f>
        <v>RAMO 33</v>
      </c>
      <c r="F174" s="481" t="s">
        <v>1428</v>
      </c>
      <c r="G174" s="459" t="s">
        <v>1770</v>
      </c>
      <c r="H174" s="458" t="s">
        <v>1772</v>
      </c>
      <c r="I174" s="459" t="s">
        <v>1771</v>
      </c>
      <c r="J174" s="54" t="str">
        <f>OBRA!W173</f>
        <v>LIC. CARLOS MANUEL PELAYO CERVERA</v>
      </c>
      <c r="K174" s="55" t="str">
        <f>OBRA!X173</f>
        <v>LIC. SALVADOR CONTRERAS OLGUÍN</v>
      </c>
      <c r="L174" s="33" t="str">
        <f>OBRA!N173</f>
        <v>GMJ 005C OP/2016</v>
      </c>
      <c r="M174" s="2" t="str">
        <f>OBRA!O173</f>
        <v>ADJUDICACIÓN DIRECTA</v>
      </c>
      <c r="N174" s="3" t="str">
        <f>OBRA!P173</f>
        <v>REHABILITACION DE RED DE DRENAJE Y REPOSICION DE EMPEDRADO NORMAL, CALLE 16 DE SEPTIEMBRE ENTRE CALLE MORELOS Y 20 DE NOVIEMBRE, DELEGACION DE ZAPOTITAN DE HIDALGO</v>
      </c>
      <c r="O174" s="464" t="s">
        <v>1769</v>
      </c>
      <c r="P174" s="6">
        <f>OBRA!S173</f>
        <v>42593</v>
      </c>
      <c r="Q174" s="4">
        <f>OBRA!R173</f>
        <v>410268.05</v>
      </c>
      <c r="R174" s="5">
        <f>OBRA!T173</f>
        <v>42597</v>
      </c>
      <c r="S174" s="11">
        <f>OBRA!U173</f>
        <v>42704</v>
      </c>
      <c r="T174" s="53"/>
      <c r="U174" s="377" t="s">
        <v>1428</v>
      </c>
      <c r="V174" s="496" t="s">
        <v>1773</v>
      </c>
      <c r="W174" s="460" t="s">
        <v>2251</v>
      </c>
      <c r="X174" s="450">
        <f>OBRA!AR173</f>
        <v>82053.600000000006</v>
      </c>
      <c r="Y174" s="5"/>
      <c r="Z174" s="309"/>
      <c r="AA174" s="5"/>
      <c r="AB174" s="313"/>
      <c r="AC174" s="317">
        <f>OBRA!BW173</f>
        <v>0</v>
      </c>
      <c r="AD174" s="352"/>
      <c r="AE174" s="352" t="s">
        <v>551</v>
      </c>
    </row>
    <row r="175" spans="1:31" ht="110.25" hidden="1" customHeight="1">
      <c r="A175" s="22" t="s">
        <v>2206</v>
      </c>
      <c r="B175" s="809" t="str">
        <f>GRAL!B176</f>
        <v>2015-2018</v>
      </c>
      <c r="C175" s="16">
        <f>OBRA!J174</f>
        <v>-2015</v>
      </c>
      <c r="D175" s="1415"/>
      <c r="E175" s="17" t="str">
        <f>OBRA!M174</f>
        <v>RAMO 33</v>
      </c>
      <c r="F175" s="481" t="s">
        <v>1428</v>
      </c>
      <c r="G175" s="459" t="s">
        <v>1776</v>
      </c>
      <c r="H175" s="458" t="s">
        <v>1778</v>
      </c>
      <c r="I175" s="459" t="s">
        <v>1777</v>
      </c>
      <c r="J175" s="54" t="str">
        <f>OBRA!W174</f>
        <v>CONSTRUCCIONES VIKBRAK, S.A. DE C.V.</v>
      </c>
      <c r="K175" s="55" t="str">
        <f>OBRA!X174</f>
        <v>LIC. SALVADOR CONTRERAS OLGUÍN</v>
      </c>
      <c r="L175" s="33" t="str">
        <f>OBRA!N174</f>
        <v>GMJ 006C OP/2016</v>
      </c>
      <c r="M175" s="2" t="str">
        <f>OBRA!O174</f>
        <v>ADJUDICACIÓN DIRECTA</v>
      </c>
      <c r="N175" s="3" t="str">
        <f>OBRA!P174</f>
        <v>1ER ETAPA DE REHABILITACION, RED DE AGUA POTABLE Y REPOSICION DE EMPEDRADO AHOGADO EN CEMENTO EN LA CALLE ANIMA SOLA DE LA CABECERA MUNICIPAL DE JOCOTEPEC, JALISCO</v>
      </c>
      <c r="O175" s="464" t="s">
        <v>1775</v>
      </c>
      <c r="P175" s="6">
        <f>OBRA!S174</f>
        <v>42597</v>
      </c>
      <c r="Q175" s="4">
        <f>OBRA!R174</f>
        <v>369433.07</v>
      </c>
      <c r="R175" s="5">
        <f>OBRA!T174</f>
        <v>42600</v>
      </c>
      <c r="S175" s="11">
        <f>OBRA!U174</f>
        <v>42704</v>
      </c>
      <c r="T175" s="53"/>
      <c r="U175" s="377" t="s">
        <v>1428</v>
      </c>
      <c r="V175" s="444" t="s">
        <v>1779</v>
      </c>
      <c r="W175" s="361" t="s">
        <v>2252</v>
      </c>
      <c r="X175" s="681">
        <f>OBRA!AR174</f>
        <v>36601.06</v>
      </c>
      <c r="Y175" s="5"/>
      <c r="Z175" s="309"/>
      <c r="AA175" s="5"/>
      <c r="AB175" s="313"/>
      <c r="AC175" s="317">
        <f>OBRA!BW174</f>
        <v>0</v>
      </c>
      <c r="AD175" s="352"/>
      <c r="AE175" s="352" t="s">
        <v>2253</v>
      </c>
    </row>
    <row r="176" spans="1:31" ht="119.25" hidden="1" customHeight="1">
      <c r="A176" s="22" t="s">
        <v>2206</v>
      </c>
      <c r="B176" s="809" t="str">
        <f>GRAL!B177</f>
        <v>2015-2018</v>
      </c>
      <c r="C176" s="16">
        <f>OBRA!J175</f>
        <v>-2015</v>
      </c>
      <c r="D176" s="1415"/>
      <c r="E176" s="17" t="str">
        <f>OBRA!M175</f>
        <v>RAMO 33</v>
      </c>
      <c r="F176" s="481" t="s">
        <v>1428</v>
      </c>
      <c r="G176" s="459" t="s">
        <v>1781</v>
      </c>
      <c r="H176" s="458" t="s">
        <v>1783</v>
      </c>
      <c r="I176" s="459" t="s">
        <v>1782</v>
      </c>
      <c r="J176" s="54" t="str">
        <f>OBRA!W175</f>
        <v>CONSTRUCCIONES VIKBRAK, S.A. DE C.V.</v>
      </c>
      <c r="K176" s="55" t="str">
        <f>OBRA!X175</f>
        <v>LIC. SALVADOR CONTRERAS OLGUÍN</v>
      </c>
      <c r="L176" s="33" t="str">
        <f>OBRA!N175</f>
        <v>GMJ 007C OP/2016</v>
      </c>
      <c r="M176" s="2" t="str">
        <f>OBRA!O175</f>
        <v>ADJUDICACIÓN DIRECTA</v>
      </c>
      <c r="N176" s="3" t="str">
        <f>OBRA!P175</f>
        <v>1ER ETAPA DE REHABILITACION, RED DE DRENAJE Y REPOSICION DE EMPEDRADO AHOGADO EN CEMENTO EN LA CALLE ANIMA SOLA DE LA CABECERA MUNICIPAL DE JOCOTEPEC, JALISCO</v>
      </c>
      <c r="O176" s="464" t="s">
        <v>1780</v>
      </c>
      <c r="P176" s="6">
        <f>OBRA!S175</f>
        <v>42592</v>
      </c>
      <c r="Q176" s="4">
        <f>OBRA!R175</f>
        <v>369433.09</v>
      </c>
      <c r="R176" s="5">
        <f>OBRA!T175</f>
        <v>42593</v>
      </c>
      <c r="S176" s="11">
        <f>OBRA!U175</f>
        <v>42704</v>
      </c>
      <c r="T176" s="53"/>
      <c r="U176" s="377" t="s">
        <v>1428</v>
      </c>
      <c r="V176" s="358" t="s">
        <v>1784</v>
      </c>
      <c r="W176" s="445" t="s">
        <v>2254</v>
      </c>
      <c r="X176" s="681">
        <f>OBRA!AR175</f>
        <v>36952.17</v>
      </c>
      <c r="Y176" s="5"/>
      <c r="Z176" s="309"/>
      <c r="AA176" s="5"/>
      <c r="AB176" s="313"/>
      <c r="AC176" s="317">
        <f>OBRA!BW175</f>
        <v>0</v>
      </c>
      <c r="AD176" s="352"/>
      <c r="AE176" s="352" t="s">
        <v>2253</v>
      </c>
    </row>
    <row r="177" spans="1:31" ht="105" hidden="1" customHeight="1">
      <c r="A177" s="22" t="s">
        <v>2206</v>
      </c>
      <c r="B177" s="809" t="str">
        <f>GRAL!B178</f>
        <v>2015-2018</v>
      </c>
      <c r="C177" s="16">
        <f>OBRA!J176</f>
        <v>2016</v>
      </c>
      <c r="D177" s="1415"/>
      <c r="E177" s="17" t="str">
        <f>OBRA!M176</f>
        <v>RAMO 33</v>
      </c>
      <c r="F177" s="481" t="s">
        <v>1428</v>
      </c>
      <c r="G177" s="459" t="s">
        <v>2255</v>
      </c>
      <c r="H177" s="458" t="s">
        <v>1788</v>
      </c>
      <c r="I177" s="459" t="s">
        <v>1787</v>
      </c>
      <c r="J177" s="54" t="str">
        <f>OBRA!W176</f>
        <v>CONSTRUCCIONES VIKBRAK, S.A. DE C.V.</v>
      </c>
      <c r="K177" s="55" t="str">
        <f>OBRA!X176</f>
        <v>LIC. SALVADOR CONTRERAS OLGUÍN</v>
      </c>
      <c r="L177" s="33" t="str">
        <f>OBRA!N176</f>
        <v>GMJ 008C OP/2016</v>
      </c>
      <c r="M177" s="2" t="str">
        <f>OBRA!O176</f>
        <v>ADJUDICACIÓN DIRECTA</v>
      </c>
      <c r="N177" s="3" t="str">
        <f>OBRA!P176</f>
        <v>2DA. ETAPA DE REHABILITACIÓN, RED DE DRENAJE Y REPOSICIÓN DE EMPEDRADO EN CEMENTO EN LA CALLE ANIMA SOLA EN JOCOTEPEC, JALISCO</v>
      </c>
      <c r="O177" s="464" t="s">
        <v>1785</v>
      </c>
      <c r="P177" s="6">
        <f>OBRA!S176</f>
        <v>42618</v>
      </c>
      <c r="Q177" s="4">
        <f>OBRA!R176</f>
        <v>205079.87</v>
      </c>
      <c r="R177" s="5">
        <f>OBRA!T176</f>
        <v>42625</v>
      </c>
      <c r="S177" s="11">
        <f>OBRA!U176</f>
        <v>42704</v>
      </c>
      <c r="T177" s="53"/>
      <c r="U177" s="377" t="s">
        <v>1428</v>
      </c>
      <c r="V177" s="502" t="s">
        <v>1789</v>
      </c>
      <c r="W177" s="460" t="s">
        <v>2256</v>
      </c>
      <c r="X177" s="681">
        <f>OBRA!AR176</f>
        <v>20303.93</v>
      </c>
      <c r="Y177" s="5"/>
      <c r="Z177" s="309"/>
      <c r="AA177" s="5"/>
      <c r="AB177" s="313"/>
      <c r="AC177" s="317">
        <f>OBRA!BW176</f>
        <v>0</v>
      </c>
      <c r="AD177" s="352"/>
      <c r="AE177" s="352" t="s">
        <v>2253</v>
      </c>
    </row>
    <row r="178" spans="1:31" ht="128.25" hidden="1" customHeight="1">
      <c r="A178" s="22" t="s">
        <v>2206</v>
      </c>
      <c r="B178" s="809" t="str">
        <f>GRAL!B179</f>
        <v>2015-2018</v>
      </c>
      <c r="C178" s="16">
        <f>OBRA!J177</f>
        <v>2016</v>
      </c>
      <c r="D178" s="1415"/>
      <c r="E178" s="17" t="str">
        <f>OBRA!M177</f>
        <v>RAMO 33</v>
      </c>
      <c r="F178" s="481" t="s">
        <v>1428</v>
      </c>
      <c r="G178" s="502" t="s">
        <v>1791</v>
      </c>
      <c r="H178" s="524" t="s">
        <v>1793</v>
      </c>
      <c r="I178" s="459" t="s">
        <v>1792</v>
      </c>
      <c r="J178" s="54" t="str">
        <f>OBRA!W177</f>
        <v>CONSTRUCCIONES VIKBRAK, S.A. DE C.V.</v>
      </c>
      <c r="K178" s="55" t="str">
        <f>OBRA!X177</f>
        <v>LIC. SALVADOR CONTRERAS OLGUÍN</v>
      </c>
      <c r="L178" s="33" t="str">
        <f>OBRA!N177</f>
        <v>GMJ 009C OP/2016</v>
      </c>
      <c r="M178" s="2" t="str">
        <f>OBRA!O177</f>
        <v>ADJUDICACIÓN DIRECTA</v>
      </c>
      <c r="N178" s="3" t="str">
        <f>OBRA!P177</f>
        <v>2DA. ETAPA DE REHABILITACIÓN DE RED DE AGUA POTABLE Y REPOSICIÓN DE EMPEDRADO AHOGADO EN CEMENTO EN LA C. ANIMA SOLA DE LA CABECERA MUNICIPAL DE JOCOTEPEC, JALISCO</v>
      </c>
      <c r="O178" s="464" t="s">
        <v>1790</v>
      </c>
      <c r="P178" s="6">
        <f>OBRA!S177</f>
        <v>42618</v>
      </c>
      <c r="Q178" s="4">
        <f>OBRA!R177</f>
        <v>187923.95</v>
      </c>
      <c r="R178" s="5">
        <f>OBRA!T177</f>
        <v>42625</v>
      </c>
      <c r="S178" s="11">
        <f>OBRA!U177</f>
        <v>42704</v>
      </c>
      <c r="T178" s="53"/>
      <c r="U178" s="377" t="s">
        <v>1428</v>
      </c>
      <c r="V178" s="358" t="s">
        <v>1794</v>
      </c>
      <c r="W178" s="579" t="s">
        <v>2257</v>
      </c>
      <c r="X178" s="681">
        <f>OBRA!AR177</f>
        <v>18792.37</v>
      </c>
      <c r="Y178" s="5"/>
      <c r="Z178" s="309"/>
      <c r="AA178" s="5"/>
      <c r="AB178" s="313"/>
      <c r="AC178" s="317">
        <f>OBRA!BW177</f>
        <v>0</v>
      </c>
      <c r="AD178" s="352"/>
      <c r="AE178" s="352" t="s">
        <v>2253</v>
      </c>
    </row>
    <row r="179" spans="1:31" ht="98.25" hidden="1" customHeight="1">
      <c r="A179" s="22" t="s">
        <v>2206</v>
      </c>
      <c r="B179" s="809" t="str">
        <f>GRAL!B180</f>
        <v>2015-2018</v>
      </c>
      <c r="C179" s="16">
        <f>OBRA!J178</f>
        <v>2016</v>
      </c>
      <c r="D179" s="1415"/>
      <c r="E179" s="17" t="str">
        <f>OBRA!M178</f>
        <v>RAMO 33</v>
      </c>
      <c r="F179" s="481" t="s">
        <v>1428</v>
      </c>
      <c r="G179" s="496" t="s">
        <v>1797</v>
      </c>
      <c r="H179" s="458" t="s">
        <v>1799</v>
      </c>
      <c r="I179" s="459" t="s">
        <v>1798</v>
      </c>
      <c r="J179" s="54" t="str">
        <f>OBRA!W178</f>
        <v>ING. GERARDO DANIEL PELAYO CERVERA</v>
      </c>
      <c r="K179" s="55" t="str">
        <f>OBRA!X178</f>
        <v>LIC. SALVADOR CONTRERAS OLGUÍN</v>
      </c>
      <c r="L179" s="33" t="str">
        <f>OBRA!N178</f>
        <v>GMJ 010C OP/2016</v>
      </c>
      <c r="M179" s="2" t="str">
        <f>OBRA!O178</f>
        <v>ADJUDICACIÓN DIRECTA</v>
      </c>
      <c r="N179" s="3" t="str">
        <f>OBRA!P178</f>
        <v>REHABILITACION DE RED DE DRENAJE EN C. VIENTE GUERRERO ENTRE INDEPENDENCIA Y NIÑOS HEROES, EN JOCOTEPEC, JALISCO</v>
      </c>
      <c r="O179" s="464" t="s">
        <v>1796</v>
      </c>
      <c r="P179" s="6">
        <f>OBRA!S178</f>
        <v>42632</v>
      </c>
      <c r="Q179" s="4">
        <f>OBRA!R178</f>
        <v>583370.43999999994</v>
      </c>
      <c r="R179" s="5">
        <f>OBRA!T178</f>
        <v>42635</v>
      </c>
      <c r="S179" s="11">
        <f>OBRA!U178</f>
        <v>42704</v>
      </c>
      <c r="T179" s="53"/>
      <c r="U179" s="377" t="s">
        <v>1428</v>
      </c>
      <c r="V179" s="502" t="s">
        <v>1800</v>
      </c>
      <c r="W179" s="460" t="s">
        <v>2258</v>
      </c>
      <c r="X179" s="450">
        <f>OBRA!AR178</f>
        <v>116674.08</v>
      </c>
      <c r="Y179" s="5"/>
      <c r="Z179" s="309"/>
      <c r="AA179" s="5"/>
      <c r="AB179" s="313"/>
      <c r="AC179" s="317">
        <f>OBRA!BW178</f>
        <v>0</v>
      </c>
      <c r="AD179" s="352"/>
      <c r="AE179" s="352" t="s">
        <v>551</v>
      </c>
    </row>
    <row r="180" spans="1:31" ht="103.5" hidden="1" customHeight="1">
      <c r="A180" s="22" t="s">
        <v>2206</v>
      </c>
      <c r="B180" s="809" t="str">
        <f>GRAL!B181</f>
        <v>2015-2018</v>
      </c>
      <c r="C180" s="16">
        <f>OBRA!J179</f>
        <v>2016</v>
      </c>
      <c r="D180" s="1415"/>
      <c r="E180" s="17" t="str">
        <f>OBRA!M179</f>
        <v>RAMO 33</v>
      </c>
      <c r="F180" s="481" t="s">
        <v>1428</v>
      </c>
      <c r="G180" s="459" t="s">
        <v>1802</v>
      </c>
      <c r="H180" s="458" t="s">
        <v>1804</v>
      </c>
      <c r="I180" s="459" t="s">
        <v>1803</v>
      </c>
      <c r="J180" s="54" t="str">
        <f>OBRA!W179</f>
        <v>ING. GERARDO DANIEL PELAYO CERVERA</v>
      </c>
      <c r="K180" s="55" t="str">
        <f>OBRA!X179</f>
        <v>LIC. SALVADOR CONTRERAS OLGUÍN</v>
      </c>
      <c r="L180" s="33" t="str">
        <f>OBRA!N179</f>
        <v>GMJ 011C OP/2016</v>
      </c>
      <c r="M180" s="2" t="str">
        <f>OBRA!O179</f>
        <v>ADJUDICACIÓN DIRECTA</v>
      </c>
      <c r="N180" s="3" t="str">
        <f>OBRA!P179</f>
        <v>REHABILITACIÓN DE RED DE AGUA POTABLE EN C. VIENTE GUERRERO ENTRE INDEPENDENCIA Y NIÑOS HEROES, EN JOCOTEPEC, JALISCO</v>
      </c>
      <c r="O180" s="464" t="s">
        <v>1801</v>
      </c>
      <c r="P180" s="6">
        <f>OBRA!S179</f>
        <v>42632</v>
      </c>
      <c r="Q180" s="4">
        <f>OBRA!R179</f>
        <v>490205.03</v>
      </c>
      <c r="R180" s="5">
        <f>OBRA!T179</f>
        <v>42635</v>
      </c>
      <c r="S180" s="11">
        <f>OBRA!U179</f>
        <v>42704</v>
      </c>
      <c r="T180" s="53"/>
      <c r="U180" s="377" t="s">
        <v>1428</v>
      </c>
      <c r="V180" s="496" t="s">
        <v>1805</v>
      </c>
      <c r="W180" s="460" t="s">
        <v>2259</v>
      </c>
      <c r="X180" s="450">
        <f>OBRA!AR179</f>
        <v>98041</v>
      </c>
      <c r="Y180" s="5"/>
      <c r="Z180" s="309"/>
      <c r="AA180" s="5"/>
      <c r="AB180" s="313"/>
      <c r="AC180" s="317">
        <f>OBRA!BW179</f>
        <v>0</v>
      </c>
      <c r="AD180" s="352"/>
      <c r="AE180" s="352" t="s">
        <v>551</v>
      </c>
    </row>
    <row r="181" spans="1:31" ht="90.75" hidden="1" customHeight="1">
      <c r="A181" s="22" t="s">
        <v>2206</v>
      </c>
      <c r="B181" s="809" t="str">
        <f>GRAL!B182</f>
        <v>2015-2018</v>
      </c>
      <c r="C181" s="16">
        <f>OBRA!J180</f>
        <v>2016</v>
      </c>
      <c r="D181" s="1415"/>
      <c r="E181" s="18" t="str">
        <f>OBRA!M180</f>
        <v xml:space="preserve">Fortalecimiento Financiero Para La Inversion </v>
      </c>
      <c r="F181" s="13"/>
      <c r="G181" s="432"/>
      <c r="H181" s="433"/>
      <c r="I181" s="358"/>
      <c r="J181" s="54" t="str">
        <f>OBRA!W180</f>
        <v>A&amp;G URBANIZADORA S.A. DE C.V.</v>
      </c>
      <c r="K181" s="55" t="str">
        <f>OBRA!X180</f>
        <v>ING. J. GUADALUPE IBARRA RAMIREZ</v>
      </c>
      <c r="L181" s="33" t="str">
        <f>OBRA!N180</f>
        <v>GMJ 012C OP/2016</v>
      </c>
      <c r="M181" s="2" t="str">
        <f>OBRA!O180</f>
        <v>POR INVITACION RESTRINGIDA</v>
      </c>
      <c r="N181" s="3" t="str">
        <f>OBRA!P180</f>
        <v>CONSTRUCCIÓN DE LOZA DE CONCRETO HIDRAULICO Y REHABILITACIÓN DE PUENTE VEHICULAR EN CALLE VICENTE GUERRERO EN LA CABECERA MUNICIPAL DE JOCOTEPEC, JALISCO</v>
      </c>
      <c r="O181" s="3"/>
      <c r="P181" s="6">
        <f>OBRA!S180</f>
        <v>42633</v>
      </c>
      <c r="Q181" s="4">
        <f>OBRA!R180</f>
        <v>3930732.57</v>
      </c>
      <c r="R181" s="5">
        <f>OBRA!T180</f>
        <v>42634</v>
      </c>
      <c r="S181" s="11">
        <f>OBRA!U180</f>
        <v>42719</v>
      </c>
      <c r="T181" s="52"/>
      <c r="U181" s="226" t="s">
        <v>1428</v>
      </c>
      <c r="V181" s="358"/>
      <c r="W181" s="361"/>
      <c r="X181" s="450">
        <f>OBRA!AR180</f>
        <v>1768829.66</v>
      </c>
      <c r="Y181" s="309"/>
      <c r="Z181" s="309"/>
      <c r="AA181" s="5"/>
      <c r="AB181" s="313"/>
      <c r="AC181" s="317">
        <f>OBRA!BW180</f>
        <v>0</v>
      </c>
      <c r="AD181" s="352"/>
      <c r="AE181" s="352"/>
    </row>
    <row r="182" spans="1:31" ht="80.25" hidden="1" customHeight="1">
      <c r="A182" s="22" t="s">
        <v>2206</v>
      </c>
      <c r="B182" s="809" t="str">
        <f>GRAL!B183</f>
        <v>2015-2018</v>
      </c>
      <c r="C182" s="16">
        <f>OBRA!J181</f>
        <v>2016</v>
      </c>
      <c r="D182" s="1415"/>
      <c r="E182" s="17" t="str">
        <f>OBRA!M181</f>
        <v>RAMO 33</v>
      </c>
      <c r="F182" s="481" t="s">
        <v>1428</v>
      </c>
      <c r="G182" s="501" t="s">
        <v>1815</v>
      </c>
      <c r="H182" s="458" t="s">
        <v>1817</v>
      </c>
      <c r="I182" s="459" t="s">
        <v>1816</v>
      </c>
      <c r="J182" s="54" t="str">
        <f>OBRA!W181</f>
        <v>ENERGIAS RENOVABLES DE LA RIVERA S.A. DE C.V</v>
      </c>
      <c r="K182" s="55" t="str">
        <f>OBRA!X181</f>
        <v>ING. RIGOBERTO OLMEDO RAMOS</v>
      </c>
      <c r="L182" s="33" t="str">
        <f>OBRA!N181</f>
        <v>GMJ 013C OP/2016</v>
      </c>
      <c r="M182" s="2" t="str">
        <f>OBRA!O181</f>
        <v>ADJUDICACIÓN DIRECTA</v>
      </c>
      <c r="N182" s="3" t="str">
        <f>OBRA!P181</f>
        <v>ELECTRIFICACIÓN DE MEDIA Y BAJA TENSIÓN EN LA CALLE FRANCISCO VILLA DE ZAPOTITAN DE HIDALGO</v>
      </c>
      <c r="O182" s="464" t="s">
        <v>1814</v>
      </c>
      <c r="P182" s="6">
        <f>OBRA!S181</f>
        <v>42650</v>
      </c>
      <c r="Q182" s="4">
        <f>OBRA!R181</f>
        <v>352278.81</v>
      </c>
      <c r="R182" s="5">
        <f>OBRA!T181</f>
        <v>42653</v>
      </c>
      <c r="S182" s="11">
        <f>OBRA!U181</f>
        <v>42734</v>
      </c>
      <c r="T182" s="53"/>
      <c r="U182" s="377" t="s">
        <v>1428</v>
      </c>
      <c r="V182" s="459" t="s">
        <v>1818</v>
      </c>
      <c r="W182" s="460" t="s">
        <v>2260</v>
      </c>
      <c r="X182" s="450">
        <f>OBRA!AR181</f>
        <v>35227.879999999997</v>
      </c>
      <c r="Y182" s="5"/>
      <c r="Z182" s="309"/>
      <c r="AA182" s="5"/>
      <c r="AB182" s="313"/>
      <c r="AC182" s="317">
        <f>OBRA!BW181</f>
        <v>0</v>
      </c>
      <c r="AD182" s="352"/>
      <c r="AE182" s="352" t="s">
        <v>551</v>
      </c>
    </row>
    <row r="183" spans="1:31" ht="72" hidden="1" customHeight="1">
      <c r="A183" s="22" t="s">
        <v>2206</v>
      </c>
      <c r="B183" s="809" t="str">
        <f>GRAL!B184</f>
        <v>2015-2018</v>
      </c>
      <c r="C183" s="16">
        <f>OBRA!J182</f>
        <v>2016</v>
      </c>
      <c r="D183" s="1415"/>
      <c r="E183" s="17" t="str">
        <f>OBRA!M182</f>
        <v>RAMO 33</v>
      </c>
      <c r="F183" s="481" t="s">
        <v>1428</v>
      </c>
      <c r="G183" s="496" t="s">
        <v>1821</v>
      </c>
      <c r="H183" s="458" t="s">
        <v>1823</v>
      </c>
      <c r="I183" s="459" t="s">
        <v>1822</v>
      </c>
      <c r="J183" s="54" t="str">
        <f>OBRA!W182</f>
        <v>ENERGIAS RENOVABLES DE LA RIVERA S.A. DE C.V</v>
      </c>
      <c r="K183" s="55" t="str">
        <f>OBRA!X182</f>
        <v>ING. RIGOBERTO OLMEDO RAMOS</v>
      </c>
      <c r="L183" s="33" t="str">
        <f>OBRA!N182</f>
        <v>GMJ 014C OP/2016</v>
      </c>
      <c r="M183" s="2" t="str">
        <f>OBRA!O182</f>
        <v>ADJUDICACIÓN DIRECTA</v>
      </c>
      <c r="N183" s="3" t="str">
        <f>OBRA!P182</f>
        <v>ELECTRIFICACIÓN DE MEDIA Y BAJA TENSIÓN EN LA CALLE BERNARDO QUINTANA DE ZAPOTITAN DE HIDALGO</v>
      </c>
      <c r="O183" s="464" t="s">
        <v>1820</v>
      </c>
      <c r="P183" s="6">
        <f>OBRA!S182</f>
        <v>42650</v>
      </c>
      <c r="Q183" s="4">
        <f>OBRA!R182</f>
        <v>364293.06</v>
      </c>
      <c r="R183" s="5">
        <f>OBRA!T182</f>
        <v>42653</v>
      </c>
      <c r="S183" s="11">
        <f>OBRA!U182</f>
        <v>42734</v>
      </c>
      <c r="T183" s="53"/>
      <c r="U183" s="377" t="s">
        <v>1428</v>
      </c>
      <c r="V183" s="459" t="s">
        <v>1824</v>
      </c>
      <c r="W183" s="460" t="s">
        <v>2261</v>
      </c>
      <c r="X183" s="450">
        <f>OBRA!AR182</f>
        <v>72858.600000000006</v>
      </c>
      <c r="Y183" s="5"/>
      <c r="Z183" s="309"/>
      <c r="AA183" s="5"/>
      <c r="AB183" s="313"/>
      <c r="AC183" s="317">
        <f>OBRA!BW182</f>
        <v>0</v>
      </c>
      <c r="AD183" s="352"/>
      <c r="AE183" s="352" t="s">
        <v>551</v>
      </c>
    </row>
    <row r="184" spans="1:31" s="104" customFormat="1" ht="45" hidden="1" customHeight="1">
      <c r="A184" s="81" t="s">
        <v>2206</v>
      </c>
      <c r="B184" s="820" t="str">
        <f>GRAL!B185</f>
        <v>2012-2015</v>
      </c>
      <c r="C184" s="82">
        <f>OBRA!J183</f>
        <v>2016</v>
      </c>
      <c r="D184" s="781"/>
      <c r="E184" s="83" t="str">
        <f>OBRA!M183</f>
        <v>3X1 PARA MIGRANTES</v>
      </c>
      <c r="F184" s="354"/>
      <c r="G184" s="822"/>
      <c r="H184" s="823"/>
      <c r="I184" s="824"/>
      <c r="J184" s="151" t="str">
        <f>OBRA!W183</f>
        <v>CANCELADA</v>
      </c>
      <c r="K184" s="152" t="str">
        <f>OBRA!X183</f>
        <v>ING. RIGOBERTO OLMEDO RAMOS</v>
      </c>
      <c r="L184" s="308" t="str">
        <f>OBRA!N183</f>
        <v>GMJ 015C OP/2016</v>
      </c>
      <c r="M184" s="186" t="str">
        <f>OBRA!O183</f>
        <v>CANCELADA</v>
      </c>
      <c r="N184" s="106" t="str">
        <f>OBRA!P183</f>
        <v>EMPEDRADO AHOGADO EN CEMENTO EN CALLE INSURGENTES PRIMERA ETAPA, ZAPOTITAN DE HIDALGO</v>
      </c>
      <c r="O184" s="125"/>
      <c r="P184" s="87" t="str">
        <f>OBRA!S183</f>
        <v>-</v>
      </c>
      <c r="Q184" s="86">
        <f>OBRA!R183</f>
        <v>2426000</v>
      </c>
      <c r="R184" s="88" t="str">
        <f>OBRA!T183</f>
        <v>-</v>
      </c>
      <c r="S184" s="89" t="str">
        <f>OBRA!U183</f>
        <v>-</v>
      </c>
      <c r="T184" s="91"/>
      <c r="U184" s="688" t="s">
        <v>1428</v>
      </c>
      <c r="V184" s="824"/>
      <c r="W184" s="825"/>
      <c r="X184" s="826">
        <f>OBRA!AR183</f>
        <v>0</v>
      </c>
      <c r="Y184" s="311"/>
      <c r="Z184" s="311"/>
      <c r="AA184" s="88"/>
      <c r="AB184" s="1855"/>
      <c r="AC184" s="467" t="str">
        <f>OBRA!BW183</f>
        <v>CANCELADO</v>
      </c>
      <c r="AD184" s="354"/>
      <c r="AE184" s="354"/>
    </row>
    <row r="185" spans="1:31" ht="120" hidden="1" customHeight="1">
      <c r="A185" s="22" t="s">
        <v>2206</v>
      </c>
      <c r="B185" s="809" t="str">
        <f>GRAL!B186</f>
        <v>2015-2018</v>
      </c>
      <c r="C185" s="16">
        <f>OBRA!J184</f>
        <v>2016</v>
      </c>
      <c r="D185" s="1415"/>
      <c r="E185" s="18" t="str">
        <f>OBRA!M184</f>
        <v xml:space="preserve">Fortalecimiento Financiero Para La Inversion </v>
      </c>
      <c r="F185" s="480"/>
      <c r="G185" s="358"/>
      <c r="H185" s="433"/>
      <c r="I185" s="358"/>
      <c r="J185" s="54" t="str">
        <f>OBRA!W184</f>
        <v>TAG SOLUCIONES INTEGRALES S.A DE C.V.</v>
      </c>
      <c r="K185" s="55" t="str">
        <f>OBRA!X184</f>
        <v>ING. J. GUADALUPE IBARRA RAMIREZ</v>
      </c>
      <c r="L185" s="33" t="str">
        <f>OBRA!N184</f>
        <v>GMJ 016C OP/2016</v>
      </c>
      <c r="M185" s="2" t="str">
        <f>OBRA!O184</f>
        <v>POR INVITACION RESTRINGIDA</v>
      </c>
      <c r="N185" s="3" t="str">
        <f>OBRA!P184</f>
        <v>CONSTRUCCIÓN DE LOZA DE PAVIMENTO CON CONCRETO HIDRAULICO INCLUYE RED DE AGUA POTABLE Y ALCANTARILLADO EN CALLE DEGOLLADO ORIENTE DE C. MATAMOROS A JOSEFA ORTÍZ DE DOMINGUEZ, EN LA CABECERA MUNICIPAL DE JOCOTEPEC, JALISCO</v>
      </c>
      <c r="O185" s="3"/>
      <c r="P185" s="6">
        <f>OBRA!S184</f>
        <v>42683</v>
      </c>
      <c r="Q185" s="4">
        <f>OBRA!R184</f>
        <v>2439500.65</v>
      </c>
      <c r="R185" s="5">
        <f>OBRA!T184</f>
        <v>42685</v>
      </c>
      <c r="S185" s="11">
        <f>OBRA!U184</f>
        <v>42735</v>
      </c>
      <c r="T185" s="53"/>
      <c r="U185" s="377" t="s">
        <v>1428</v>
      </c>
      <c r="V185" s="358"/>
      <c r="W185" s="361"/>
      <c r="X185" s="450">
        <f>OBRA!AR184</f>
        <v>1097775.28</v>
      </c>
      <c r="Y185" s="309"/>
      <c r="Z185" s="309"/>
      <c r="AA185" s="5"/>
      <c r="AB185" s="313"/>
      <c r="AC185" s="317">
        <f>OBRA!BW184</f>
        <v>0</v>
      </c>
      <c r="AD185" s="352"/>
      <c r="AE185" s="352"/>
    </row>
    <row r="186" spans="1:31" ht="120" hidden="1" customHeight="1">
      <c r="A186" s="22" t="s">
        <v>2206</v>
      </c>
      <c r="B186" s="809" t="str">
        <f>GRAL!B187</f>
        <v>2015-2018</v>
      </c>
      <c r="C186" s="16">
        <f>OBRA!J185</f>
        <v>2016</v>
      </c>
      <c r="D186" s="1415"/>
      <c r="E186" s="18" t="str">
        <f>OBRA!M185</f>
        <v xml:space="preserve">Fortalecimiento Financiero Para La Inversion </v>
      </c>
      <c r="F186" s="481"/>
      <c r="G186" s="358"/>
      <c r="H186" s="433"/>
      <c r="I186" s="358"/>
      <c r="J186" s="54" t="str">
        <f>OBRA!W185</f>
        <v xml:space="preserve">GRUPO DESARROLLADOR INMOBILIARIO CEMERAMA S.A. DE C.V. </v>
      </c>
      <c r="K186" s="55" t="str">
        <f>OBRA!X185</f>
        <v xml:space="preserve">LIC. SALVADOR CONTRERAS </v>
      </c>
      <c r="L186" s="33" t="str">
        <f>OBRA!N185</f>
        <v>GMJ 017C OP/2016</v>
      </c>
      <c r="M186" s="2" t="str">
        <f>OBRA!O185</f>
        <v>POR INVITACION RESTRINGIDA</v>
      </c>
      <c r="N186" s="3" t="str">
        <f>OBRA!P185</f>
        <v>CONSTRUCCIÓN DE LOZA DE PAVIMENTO CON CONCRETO HIDRAULICO INCLUYE RED DE AGUA POTABLE Y ALCANTARILLADO EN CALLE DEGOLLADO ORIENTE DE C. NICOLAS BRAVO A MATAMORORS, EN LA CABECERA MUNICIPAL DE JOCOTEPEC, JALISCO</v>
      </c>
      <c r="O186" s="3"/>
      <c r="P186" s="6">
        <f>OBRA!S185</f>
        <v>42622</v>
      </c>
      <c r="Q186" s="4">
        <f>OBRA!R185</f>
        <v>2623234.52</v>
      </c>
      <c r="R186" s="5">
        <f>OBRA!T185</f>
        <v>42685</v>
      </c>
      <c r="S186" s="11">
        <f>OBRA!U185</f>
        <v>42735</v>
      </c>
      <c r="T186" s="53"/>
      <c r="U186" s="377" t="s">
        <v>1428</v>
      </c>
      <c r="V186" s="358"/>
      <c r="W186" s="361"/>
      <c r="X186" s="450">
        <f>OBRA!AR185</f>
        <v>1180455.52</v>
      </c>
      <c r="Y186" s="309"/>
      <c r="Z186" s="309"/>
      <c r="AA186" s="5"/>
      <c r="AB186" s="313"/>
      <c r="AC186" s="317">
        <f>OBRA!BW185</f>
        <v>0</v>
      </c>
      <c r="AD186" s="352"/>
      <c r="AE186" s="352"/>
    </row>
    <row r="187" spans="1:31" ht="75" hidden="1" customHeight="1">
      <c r="A187" s="22" t="s">
        <v>2206</v>
      </c>
      <c r="B187" s="809" t="str">
        <f>GRAL!B188</f>
        <v>2015-2018</v>
      </c>
      <c r="C187" s="16">
        <f>OBRA!J186</f>
        <v>2016</v>
      </c>
      <c r="D187" s="1415"/>
      <c r="E187" s="17" t="str">
        <f>OBRA!M186</f>
        <v>SEDATU</v>
      </c>
      <c r="F187" s="481"/>
      <c r="G187" s="432"/>
      <c r="H187" s="433"/>
      <c r="I187" s="358"/>
      <c r="J187" s="54" t="str">
        <f>OBRA!W186</f>
        <v xml:space="preserve">GRUPO DESARROLLADOR INMOBILIARIO CEMERAMA S.A. DE C.V. </v>
      </c>
      <c r="K187" s="55" t="str">
        <f>OBRA!X186</f>
        <v xml:space="preserve">LIC. SALVADOR CONTRERAS </v>
      </c>
      <c r="L187" s="33" t="str">
        <f>OBRA!N186</f>
        <v>GMJ 018C OP/2016</v>
      </c>
      <c r="M187" s="2" t="str">
        <f>OBRA!O186</f>
        <v>POR INVITACION RESTRINGIDA</v>
      </c>
      <c r="N187" s="3" t="str">
        <f>OBRA!P186</f>
        <v>CONSTRUCCIÓN DE PLAZOLETA "EL CHANTE" MUNICIPIO DE JOCOTEPEC, JALISCO</v>
      </c>
      <c r="O187" s="3"/>
      <c r="P187" s="6">
        <f>OBRA!S186</f>
        <v>42669</v>
      </c>
      <c r="Q187" s="4">
        <f>OBRA!R186</f>
        <v>2389400</v>
      </c>
      <c r="R187" s="5">
        <f>OBRA!T186</f>
        <v>42671</v>
      </c>
      <c r="S187" s="11">
        <f>OBRA!U186</f>
        <v>42735</v>
      </c>
      <c r="T187" s="53"/>
      <c r="U187" s="377" t="s">
        <v>1428</v>
      </c>
      <c r="V187" s="358"/>
      <c r="W187" s="361"/>
      <c r="X187" s="450">
        <f>OBRA!AR186</f>
        <v>1077480</v>
      </c>
      <c r="Y187" s="309"/>
      <c r="Z187" s="309"/>
      <c r="AA187" s="5"/>
      <c r="AB187" s="313"/>
      <c r="AC187" s="317">
        <f>OBRA!BW186</f>
        <v>0</v>
      </c>
      <c r="AD187" s="352"/>
      <c r="AE187" s="352"/>
    </row>
    <row r="188" spans="1:31" ht="93.75" hidden="1" customHeight="1">
      <c r="A188" s="22" t="s">
        <v>2206</v>
      </c>
      <c r="B188" s="809" t="str">
        <f>GRAL!B189</f>
        <v>2015-2018</v>
      </c>
      <c r="C188" s="16">
        <f>OBRA!J187</f>
        <v>2016</v>
      </c>
      <c r="D188" s="1415"/>
      <c r="E188" s="17" t="str">
        <f>OBRA!M187</f>
        <v>RAMO 33</v>
      </c>
      <c r="F188" s="481" t="s">
        <v>1428</v>
      </c>
      <c r="G188" s="459" t="s">
        <v>1846</v>
      </c>
      <c r="H188" s="458" t="s">
        <v>1848</v>
      </c>
      <c r="I188" s="459" t="s">
        <v>1847</v>
      </c>
      <c r="J188" s="54" t="str">
        <f>OBRA!W187</f>
        <v>CONSTRUCCIONES VIKBRAK, S.A. DE C.V.</v>
      </c>
      <c r="K188" s="55" t="str">
        <f>OBRA!X187</f>
        <v>LIC. SALVADOR CONTRERAS OLGUÍN</v>
      </c>
      <c r="L188" s="33" t="str">
        <f>OBRA!N187</f>
        <v>GMJ 019C OP/2016</v>
      </c>
      <c r="M188" s="2" t="str">
        <f>OBRA!O187</f>
        <v>ADJUDICACIÓN DIRECTA</v>
      </c>
      <c r="N188" s="3" t="str">
        <f>OBRA!P187</f>
        <v>CONSTRUCCIÓN DE EMPEDRADO AHOGADO EN CEMENTO EN LA CALLE ANIMA SOLA DE LA CABECERA MUNICIPAL DE JOCOTEPEC, JALISCO</v>
      </c>
      <c r="O188" s="464" t="s">
        <v>1845</v>
      </c>
      <c r="P188" s="6">
        <f>OBRA!S187</f>
        <v>42677</v>
      </c>
      <c r="Q188" s="4">
        <f>OBRA!R187</f>
        <v>196802.42</v>
      </c>
      <c r="R188" s="5">
        <f>OBRA!T187</f>
        <v>42681</v>
      </c>
      <c r="S188" s="11">
        <f>OBRA!U187</f>
        <v>42735</v>
      </c>
      <c r="T188" s="53"/>
      <c r="U188" s="377" t="s">
        <v>1428</v>
      </c>
      <c r="V188" s="459" t="s">
        <v>1849</v>
      </c>
      <c r="W188" s="614" t="s">
        <v>2262</v>
      </c>
      <c r="X188" s="681">
        <f>OBRA!AR187</f>
        <v>19640.96</v>
      </c>
      <c r="Y188" s="5"/>
      <c r="Z188" s="309"/>
      <c r="AA188" s="5"/>
      <c r="AB188" s="313"/>
      <c r="AC188" s="317">
        <f>OBRA!BW187</f>
        <v>0</v>
      </c>
      <c r="AD188" s="352"/>
      <c r="AE188" s="352" t="s">
        <v>2253</v>
      </c>
    </row>
    <row r="189" spans="1:31" ht="97.5" hidden="1" customHeight="1">
      <c r="A189" s="22" t="s">
        <v>2206</v>
      </c>
      <c r="B189" s="809" t="str">
        <f>GRAL!B190</f>
        <v>2015-2018</v>
      </c>
      <c r="C189" s="16">
        <f>OBRA!J188</f>
        <v>2016</v>
      </c>
      <c r="D189" s="1415"/>
      <c r="E189" s="17" t="str">
        <f>OBRA!M188</f>
        <v>RAMO 33</v>
      </c>
      <c r="F189" s="481" t="s">
        <v>1428</v>
      </c>
      <c r="G189" s="494" t="s">
        <v>1851</v>
      </c>
      <c r="H189" s="433" t="s">
        <v>1853</v>
      </c>
      <c r="I189" s="358" t="s">
        <v>1852</v>
      </c>
      <c r="J189" s="54" t="str">
        <f>OBRA!W188</f>
        <v>LIC. CARLOS MANUEL PELAYO CERVERA</v>
      </c>
      <c r="K189" s="55" t="str">
        <f>OBRA!X188</f>
        <v>LIC. SALVADOR CONTRERAS OLGUÍN</v>
      </c>
      <c r="L189" s="33" t="str">
        <f>OBRA!N188</f>
        <v>GMJ 020C OP/2016</v>
      </c>
      <c r="M189" s="2" t="str">
        <f>OBRA!O188</f>
        <v>ADJUDICACIÓN DIRECTA</v>
      </c>
      <c r="N189" s="3" t="str">
        <f>OBRA!P188</f>
        <v>REEMPEDRADO AHOGADO EN CEMENTO CALLE 16 DE SEPTIEMBRE ENTRE CALLES MORELOS Y 20 DE NOVIEMBRE EN LA DELEGACIÓN DE ZAPOTITAN DE HIDALGO</v>
      </c>
      <c r="O189" s="464" t="s">
        <v>1850</v>
      </c>
      <c r="P189" s="6">
        <f>OBRA!S188</f>
        <v>42677</v>
      </c>
      <c r="Q189" s="4">
        <f>OBRA!R188</f>
        <v>523396.29</v>
      </c>
      <c r="R189" s="5">
        <f>OBRA!T188</f>
        <v>42678</v>
      </c>
      <c r="S189" s="11">
        <f>OBRA!U188</f>
        <v>42735</v>
      </c>
      <c r="T189" s="53"/>
      <c r="U189" s="377" t="s">
        <v>1428</v>
      </c>
      <c r="V189" s="502" t="s">
        <v>1854</v>
      </c>
      <c r="W189" s="361" t="s">
        <v>2263</v>
      </c>
      <c r="X189" s="450">
        <f>OBRA!AR188</f>
        <v>104679.26</v>
      </c>
      <c r="Y189" s="5"/>
      <c r="Z189" s="309"/>
      <c r="AA189" s="5"/>
      <c r="AB189" s="313"/>
      <c r="AC189" s="317">
        <f>OBRA!BW188</f>
        <v>0</v>
      </c>
      <c r="AD189" s="352"/>
      <c r="AE189" s="352" t="s">
        <v>551</v>
      </c>
    </row>
    <row r="190" spans="1:31" ht="129.75" hidden="1" customHeight="1">
      <c r="A190" s="22" t="s">
        <v>2206</v>
      </c>
      <c r="B190" s="809" t="str">
        <f>GRAL!B191</f>
        <v>2015-2018</v>
      </c>
      <c r="C190" s="16">
        <f>OBRA!J189</f>
        <v>2016</v>
      </c>
      <c r="D190" s="1415"/>
      <c r="E190" s="18" t="str">
        <f>OBRA!M189</f>
        <v xml:space="preserve">Fortalecimiento Financiero Para La Inversion </v>
      </c>
      <c r="F190" s="358" t="s">
        <v>1702</v>
      </c>
      <c r="G190" s="549" t="s">
        <v>1856</v>
      </c>
      <c r="H190" s="458" t="s">
        <v>1858</v>
      </c>
      <c r="I190" s="459" t="s">
        <v>1857</v>
      </c>
      <c r="J190" s="54" t="str">
        <f>OBRA!W189</f>
        <v>ENERGIAS RENOVABLES DE LA RIVERA S.A. DE C.V</v>
      </c>
      <c r="K190" s="55" t="str">
        <f>OBRA!X189</f>
        <v>ING. J. GUADALUPE IBARRA RAMIREZ</v>
      </c>
      <c r="L190" s="33" t="str">
        <f>OBRA!N189</f>
        <v>GMJ 021C OP/2016</v>
      </c>
      <c r="M190" s="2" t="str">
        <f>OBRA!O189</f>
        <v>ADJUDICACIÓN DIRECTA</v>
      </c>
      <c r="N190" s="3" t="str">
        <f>OBRA!P189</f>
        <v>CONSTRUCCIÓN DE ALUMBRADO PÚBLICO EN CALLE DEGOLLADO ENTRE C. JOSEFA ORTÍZ DE DOMINGUEZ Y NICOLAS BRAVO, EN LA CABECERA MUNICIPAL EN EL MUNICIPIO DE JOCOTEPEC, JALISCO</v>
      </c>
      <c r="O190" s="464" t="s">
        <v>1855</v>
      </c>
      <c r="P190" s="6">
        <f>OBRA!S189</f>
        <v>42688</v>
      </c>
      <c r="Q190" s="4">
        <f>OBRA!R189</f>
        <v>577695.28</v>
      </c>
      <c r="R190" s="5">
        <f>OBRA!T189</f>
        <v>42689</v>
      </c>
      <c r="S190" s="11">
        <f>OBRA!U189</f>
        <v>42734</v>
      </c>
      <c r="T190" s="53"/>
      <c r="U190" s="377" t="s">
        <v>1428</v>
      </c>
      <c r="V190" s="502" t="s">
        <v>1859</v>
      </c>
      <c r="W190" s="460" t="s">
        <v>2264</v>
      </c>
      <c r="X190" s="450">
        <f>OBRA!AR189</f>
        <v>115539.04</v>
      </c>
      <c r="Y190" s="5"/>
      <c r="Z190" s="309"/>
      <c r="AA190" s="5"/>
      <c r="AB190" s="313"/>
      <c r="AC190" s="317">
        <f>OBRA!BW189</f>
        <v>0</v>
      </c>
      <c r="AD190" s="352"/>
      <c r="AE190" s="352" t="s">
        <v>551</v>
      </c>
    </row>
    <row r="191" spans="1:31" s="104" customFormat="1" ht="26.25" hidden="1" customHeight="1">
      <c r="A191" s="81" t="s">
        <v>2206</v>
      </c>
      <c r="B191" s="820" t="str">
        <f>GRAL!B192</f>
        <v>2012-2015</v>
      </c>
      <c r="C191" s="82">
        <f>OBRA!J190</f>
        <v>2016</v>
      </c>
      <c r="D191" s="781"/>
      <c r="E191" s="97">
        <f>OBRA!M190</f>
        <v>0</v>
      </c>
      <c r="F191" s="102"/>
      <c r="G191" s="824"/>
      <c r="H191" s="823"/>
      <c r="I191" s="824"/>
      <c r="J191" s="151">
        <f>OBRA!W190</f>
        <v>0</v>
      </c>
      <c r="K191" s="152">
        <f>OBRA!X190</f>
        <v>0</v>
      </c>
      <c r="L191" s="308" t="str">
        <f>OBRA!N190</f>
        <v>GMJ 022C OP/2016</v>
      </c>
      <c r="M191" s="186" t="str">
        <f>OBRA!O190</f>
        <v>CANCELADA</v>
      </c>
      <c r="N191" s="106" t="str">
        <f>OBRA!P190</f>
        <v>CANCELADO</v>
      </c>
      <c r="O191" s="125"/>
      <c r="P191" s="87">
        <f>OBRA!S190</f>
        <v>0</v>
      </c>
      <c r="Q191" s="86">
        <f>OBRA!R190</f>
        <v>0</v>
      </c>
      <c r="R191" s="88">
        <f>OBRA!T190</f>
        <v>0</v>
      </c>
      <c r="S191" s="89">
        <f>OBRA!U190</f>
        <v>0</v>
      </c>
      <c r="T191" s="91"/>
      <c r="U191" s="688" t="s">
        <v>1428</v>
      </c>
      <c r="V191" s="824"/>
      <c r="W191" s="825"/>
      <c r="X191" s="826">
        <f>OBRA!AR190</f>
        <v>0</v>
      </c>
      <c r="Y191" s="311"/>
      <c r="Z191" s="311"/>
      <c r="AA191" s="88"/>
      <c r="AB191" s="1855"/>
      <c r="AC191" s="467">
        <f>OBRA!BW190</f>
        <v>0</v>
      </c>
      <c r="AD191" s="354"/>
      <c r="AE191" s="354"/>
    </row>
    <row r="192" spans="1:31" s="104" customFormat="1" ht="26.25" hidden="1" customHeight="1">
      <c r="A192" s="81" t="s">
        <v>2206</v>
      </c>
      <c r="B192" s="820" t="str">
        <f>GRAL!B193</f>
        <v>2012-2015</v>
      </c>
      <c r="C192" s="82">
        <f>OBRA!J191</f>
        <v>2016</v>
      </c>
      <c r="D192" s="781"/>
      <c r="E192" s="97">
        <f>OBRA!M191</f>
        <v>0</v>
      </c>
      <c r="F192" s="479"/>
      <c r="G192" s="824"/>
      <c r="H192" s="823"/>
      <c r="I192" s="824"/>
      <c r="J192" s="151">
        <f>OBRA!W191</f>
        <v>0</v>
      </c>
      <c r="K192" s="152">
        <f>OBRA!X191</f>
        <v>0</v>
      </c>
      <c r="L192" s="308" t="str">
        <f>OBRA!N191</f>
        <v>GMJ 023C OP/2016</v>
      </c>
      <c r="M192" s="186" t="str">
        <f>OBRA!O191</f>
        <v>CANCELADA</v>
      </c>
      <c r="N192" s="106" t="str">
        <f>OBRA!P191</f>
        <v>CANCELADO</v>
      </c>
      <c r="O192" s="125"/>
      <c r="P192" s="87">
        <f>OBRA!S191</f>
        <v>0</v>
      </c>
      <c r="Q192" s="86">
        <f>OBRA!R191</f>
        <v>0</v>
      </c>
      <c r="R192" s="88">
        <f>OBRA!T191</f>
        <v>0</v>
      </c>
      <c r="S192" s="89">
        <f>OBRA!U191</f>
        <v>0</v>
      </c>
      <c r="T192" s="91"/>
      <c r="U192" s="688" t="s">
        <v>1428</v>
      </c>
      <c r="V192" s="824"/>
      <c r="W192" s="825"/>
      <c r="X192" s="826">
        <f>OBRA!AR191</f>
        <v>0</v>
      </c>
      <c r="Y192" s="311"/>
      <c r="Z192" s="311"/>
      <c r="AA192" s="88"/>
      <c r="AB192" s="1855"/>
      <c r="AC192" s="467">
        <f>OBRA!BW191</f>
        <v>0</v>
      </c>
      <c r="AD192" s="354"/>
      <c r="AE192" s="354"/>
    </row>
    <row r="193" spans="1:31" ht="60" hidden="1" customHeight="1">
      <c r="A193" s="22" t="s">
        <v>2206</v>
      </c>
      <c r="B193" s="809" t="str">
        <f>GRAL!B194</f>
        <v>2015-2018</v>
      </c>
      <c r="C193" s="16">
        <f>OBRA!J192</f>
        <v>2016</v>
      </c>
      <c r="D193" s="1415"/>
      <c r="E193" s="17" t="str">
        <f>OBRA!M192</f>
        <v>RAMO 33</v>
      </c>
      <c r="F193" s="478" t="s">
        <v>1428</v>
      </c>
      <c r="G193" s="358"/>
      <c r="H193" s="433"/>
      <c r="I193" s="358"/>
      <c r="J193" s="54" t="str">
        <f>OBRA!W192</f>
        <v>ING. GEOLOGO: J. TRINIDAD NUÑEZ BRITO</v>
      </c>
      <c r="K193" s="55" t="str">
        <f>OBRA!X192</f>
        <v>ING. RIGOBERTO OLMEDO RAMOS</v>
      </c>
      <c r="L193" s="33" t="str">
        <f>OBRA!N192</f>
        <v>GMJ 024C OP/2016</v>
      </c>
      <c r="M193" s="2" t="str">
        <f>OBRA!O192</f>
        <v>POR INVITACION RESTRINGIDA</v>
      </c>
      <c r="N193" s="3" t="str">
        <f>OBRA!P192</f>
        <v>CONSTRUCCIÓN Y AFORO DE POZO PROFUNDO EN LA CALLE JUAREZ, LOCALIDAD DE CHANTEPEC, MUNICIPIO DE JOCOTEPEC, JALISCO</v>
      </c>
      <c r="O193" s="3"/>
      <c r="P193" s="6">
        <f>OBRA!S192</f>
        <v>42720</v>
      </c>
      <c r="Q193" s="4">
        <f>OBRA!R192</f>
        <v>1630380</v>
      </c>
      <c r="R193" s="5">
        <f>OBRA!T192</f>
        <v>42720</v>
      </c>
      <c r="S193" s="11">
        <f>OBRA!U192</f>
        <v>42794</v>
      </c>
      <c r="T193" s="53"/>
      <c r="U193" s="377" t="s">
        <v>1428</v>
      </c>
      <c r="V193" s="358"/>
      <c r="W193" s="361"/>
      <c r="X193" s="450">
        <f>OBRA!AR192</f>
        <v>733671</v>
      </c>
      <c r="Y193" s="309"/>
      <c r="Z193" s="309"/>
      <c r="AA193" s="5"/>
      <c r="AB193" s="313"/>
      <c r="AC193" s="317">
        <f>OBRA!BW192</f>
        <v>0</v>
      </c>
      <c r="AD193" s="352"/>
      <c r="AE193" s="352"/>
    </row>
    <row r="194" spans="1:31" ht="60" hidden="1" customHeight="1">
      <c r="A194" s="22" t="s">
        <v>2206</v>
      </c>
      <c r="B194" s="809" t="str">
        <f>GRAL!B195</f>
        <v>2015-2018</v>
      </c>
      <c r="C194" s="16">
        <f>OBRA!J193</f>
        <v>-2016</v>
      </c>
      <c r="D194" s="1415"/>
      <c r="E194" s="17" t="str">
        <f>OBRA!M193</f>
        <v>FOREMODA</v>
      </c>
      <c r="F194" s="478"/>
      <c r="G194" s="358"/>
      <c r="H194" s="433"/>
      <c r="I194" s="358"/>
      <c r="J194" s="54" t="str">
        <f>OBRA!W193</f>
        <v>ARQ. LUIS MIGUEL ARGUELLES ALCALÁ</v>
      </c>
      <c r="K194" s="55" t="str">
        <f>OBRA!X193</f>
        <v>ARQ. FRANCISCO SALAZAR</v>
      </c>
      <c r="L194" s="33" t="str">
        <f>OBRA!N193</f>
        <v>GMJ 025C OP/2016</v>
      </c>
      <c r="M194" s="2" t="str">
        <f>OBRA!O193</f>
        <v>POR INVITACION RESTRINGIDA</v>
      </c>
      <c r="N194" s="3" t="str">
        <f>OBRA!P193</f>
        <v>RESTAURACIÓN DE LA PARROQUIA DEL SEÑOR DEL MONTE EN JOCOTEPEC, JALISCO</v>
      </c>
      <c r="O194" s="3"/>
      <c r="P194" s="6">
        <f>OBRA!S193</f>
        <v>42779</v>
      </c>
      <c r="Q194" s="4">
        <f>OBRA!R193</f>
        <v>1800000</v>
      </c>
      <c r="R194" s="5">
        <f>OBRA!T193</f>
        <v>42779</v>
      </c>
      <c r="S194" s="11">
        <f>OBRA!U193</f>
        <v>43039</v>
      </c>
      <c r="T194" s="53"/>
      <c r="U194" s="377" t="s">
        <v>1428</v>
      </c>
      <c r="V194" s="358"/>
      <c r="W194" s="361"/>
      <c r="X194" s="450">
        <f>OBRA!AR193</f>
        <v>360000</v>
      </c>
      <c r="Y194" s="309"/>
      <c r="Z194" s="309"/>
      <c r="AA194" s="5"/>
      <c r="AB194" s="313"/>
      <c r="AC194" s="317">
        <f>OBRA!BW193</f>
        <v>0</v>
      </c>
      <c r="AD194" s="352"/>
      <c r="AE194" s="352"/>
    </row>
    <row r="195" spans="1:31" ht="90" hidden="1" customHeight="1">
      <c r="A195" s="22" t="s">
        <v>2206</v>
      </c>
      <c r="B195" s="809" t="str">
        <f>GRAL!B196</f>
        <v>2015-2018</v>
      </c>
      <c r="C195" s="16">
        <f>OBRA!J194</f>
        <v>2016</v>
      </c>
      <c r="D195" s="1415"/>
      <c r="E195" s="17" t="str">
        <f>OBRA!M194</f>
        <v>FONDEREG</v>
      </c>
      <c r="F195" s="13"/>
      <c r="G195" s="358"/>
      <c r="H195" s="433"/>
      <c r="I195" s="358"/>
      <c r="J195" s="54" t="str">
        <f>OBRA!W194</f>
        <v>-</v>
      </c>
      <c r="K195" s="55" t="str">
        <f>OBRA!X194</f>
        <v>-</v>
      </c>
      <c r="L195" s="33" t="str">
        <f>OBRA!N194</f>
        <v>FONDEREG 2016/05 Sureste/121</v>
      </c>
      <c r="M195" s="2" t="str">
        <f>OBRA!O194</f>
        <v>CONVENIO</v>
      </c>
      <c r="N195" s="3" t="str">
        <f>OBRA!P194</f>
        <v>REHABILITACIÓN DE LINEAS HIDROSANITARIAS, EMPEDRADO ECOLOGICO CON HUELLAS DE CONCRETO HIDRAULICO EN LA CALLE ZARAGOZA DE LA LOCALIDAD DE SAN CRISTOBAL DE ZAPOTITLAN</v>
      </c>
      <c r="O195" s="3"/>
      <c r="P195" s="6">
        <f>OBRA!S194</f>
        <v>42566</v>
      </c>
      <c r="Q195" s="4">
        <f>OBRA!R194</f>
        <v>2000000</v>
      </c>
      <c r="R195" s="5" t="str">
        <f>OBRA!T194</f>
        <v>-</v>
      </c>
      <c r="S195" s="11" t="str">
        <f>OBRA!U194</f>
        <v>-</v>
      </c>
      <c r="T195" s="53"/>
      <c r="U195" s="377" t="s">
        <v>1428</v>
      </c>
      <c r="V195" s="358"/>
      <c r="W195" s="361"/>
      <c r="X195" s="450">
        <f>OBRA!AR194</f>
        <v>0</v>
      </c>
      <c r="Y195" s="309"/>
      <c r="Z195" s="309"/>
      <c r="AA195" s="5"/>
      <c r="AB195" s="313"/>
      <c r="AC195" s="317">
        <f>OBRA!BW194</f>
        <v>0</v>
      </c>
      <c r="AD195" s="352"/>
      <c r="AE195" s="352"/>
    </row>
    <row r="196" spans="1:31" ht="45" hidden="1" customHeight="1">
      <c r="A196" s="22" t="s">
        <v>2206</v>
      </c>
      <c r="B196" s="809" t="str">
        <f>GRAL!B197</f>
        <v>2015-2018</v>
      </c>
      <c r="C196" s="16">
        <f>OBRA!J195</f>
        <v>2016</v>
      </c>
      <c r="D196" s="1415"/>
      <c r="E196" s="18" t="str">
        <f>OBRA!M195</f>
        <v xml:space="preserve">FONDO PARA EL FORTALECIMIENTO </v>
      </c>
      <c r="F196" s="478"/>
      <c r="G196" s="358"/>
      <c r="H196" s="433"/>
      <c r="I196" s="358"/>
      <c r="J196" s="54" t="str">
        <f>OBRA!W195</f>
        <v>-</v>
      </c>
      <c r="K196" s="55" t="str">
        <f>OBRA!X195</f>
        <v>-</v>
      </c>
      <c r="L196" s="33" t="str">
        <f>OBRA!N195</f>
        <v>FONDO PARA EL FORTALECIMIENTO 2016 "B"</v>
      </c>
      <c r="M196" s="2" t="str">
        <f>OBRA!O195</f>
        <v>CONVENIO</v>
      </c>
      <c r="N196" s="3" t="str">
        <f>OBRA!P195</f>
        <v>-</v>
      </c>
      <c r="O196" s="3"/>
      <c r="P196" s="6">
        <f>OBRA!S195</f>
        <v>42614</v>
      </c>
      <c r="Q196" s="4">
        <f>OBRA!R195</f>
        <v>10000000</v>
      </c>
      <c r="R196" s="5" t="str">
        <f>OBRA!T195</f>
        <v>-</v>
      </c>
      <c r="S196" s="11" t="str">
        <f>OBRA!U195</f>
        <v>-</v>
      </c>
      <c r="T196" s="53"/>
      <c r="U196" s="377" t="s">
        <v>1428</v>
      </c>
      <c r="V196" s="358"/>
      <c r="W196" s="361"/>
      <c r="X196" s="450">
        <f>OBRA!AR195</f>
        <v>0</v>
      </c>
      <c r="Y196" s="309"/>
      <c r="Z196" s="309"/>
      <c r="AA196" s="5"/>
      <c r="AB196" s="313"/>
      <c r="AC196" s="317">
        <f>OBRA!BW195</f>
        <v>0</v>
      </c>
      <c r="AD196" s="352"/>
      <c r="AE196" s="352"/>
    </row>
    <row r="197" spans="1:31" ht="30" hidden="1" customHeight="1">
      <c r="A197" s="22" t="s">
        <v>2206</v>
      </c>
      <c r="B197" s="809" t="str">
        <f>GRAL!B198</f>
        <v>2015-2018</v>
      </c>
      <c r="C197" s="16">
        <f>OBRA!J196</f>
        <v>2016</v>
      </c>
      <c r="D197" s="1415"/>
      <c r="E197" s="18" t="str">
        <f>OBRA!M196</f>
        <v>3X1 PARA MIGRANTES</v>
      </c>
      <c r="F197" s="478"/>
      <c r="G197" s="358"/>
      <c r="H197" s="433"/>
      <c r="I197" s="358"/>
      <c r="J197" s="54" t="str">
        <f>OBRA!W196</f>
        <v>-</v>
      </c>
      <c r="K197" s="55" t="str">
        <f>OBRA!X196</f>
        <v>-</v>
      </c>
      <c r="L197" s="33" t="str">
        <f>OBRA!N196</f>
        <v>P3X1-14-PIS-0563-16</v>
      </c>
      <c r="M197" s="2" t="str">
        <f>OBRA!O196</f>
        <v>CONVENIO</v>
      </c>
      <c r="N197" s="3" t="str">
        <f>OBRA!P196</f>
        <v>COLOCACIÓN DE ADOQUIN EN CALLE PRIVADA CAMICHINES</v>
      </c>
      <c r="O197" s="3"/>
      <c r="P197" s="6">
        <f>OBRA!S196</f>
        <v>42583</v>
      </c>
      <c r="Q197" s="4">
        <f>OBRA!R196</f>
        <v>456248</v>
      </c>
      <c r="R197" s="5" t="str">
        <f>OBRA!T196</f>
        <v>-</v>
      </c>
      <c r="S197" s="11" t="str">
        <f>OBRA!U196</f>
        <v>-</v>
      </c>
      <c r="T197" s="53"/>
      <c r="U197" s="377" t="s">
        <v>1428</v>
      </c>
      <c r="V197" s="358"/>
      <c r="W197" s="361"/>
      <c r="X197" s="450">
        <f>OBRA!AR196</f>
        <v>0</v>
      </c>
      <c r="Y197" s="309"/>
      <c r="Z197" s="309"/>
      <c r="AA197" s="5"/>
      <c r="AB197" s="313"/>
      <c r="AC197" s="317">
        <f>OBRA!BW196</f>
        <v>0</v>
      </c>
      <c r="AD197" s="352"/>
      <c r="AE197" s="352"/>
    </row>
    <row r="198" spans="1:31" ht="75" hidden="1" customHeight="1">
      <c r="A198" s="22" t="s">
        <v>2206</v>
      </c>
      <c r="B198" s="809" t="str">
        <f>GRAL!B199</f>
        <v>2015-2018</v>
      </c>
      <c r="C198" s="16">
        <f>OBRA!J197</f>
        <v>2016</v>
      </c>
      <c r="D198" s="1415"/>
      <c r="E198" s="18" t="str">
        <f>OBRA!M197</f>
        <v>3X1 PARA MIGRANTES</v>
      </c>
      <c r="F198" s="478"/>
      <c r="G198" s="358"/>
      <c r="H198" s="433"/>
      <c r="I198" s="358"/>
      <c r="J198" s="54" t="str">
        <f>OBRA!W197</f>
        <v>-</v>
      </c>
      <c r="K198" s="55" t="str">
        <f>OBRA!X197</f>
        <v>-</v>
      </c>
      <c r="L198" s="33" t="str">
        <f>OBRA!N197</f>
        <v>P3X1-14-PIS-0521-16</v>
      </c>
      <c r="M198" s="2" t="str">
        <f>OBRA!O197</f>
        <v>CONVENIO</v>
      </c>
      <c r="N198" s="3" t="str">
        <f>OBRA!P197</f>
        <v>REHABILITACION DE RED DE AGUA POTABLE EN CALLE GUADALUPE VICTORIA ENTRE HIDALGO Y ZONA FEDERAL DEL LAGO, EN LA LOCALIDAD DE SAN PEDRO TESISTAN</v>
      </c>
      <c r="O198" s="3"/>
      <c r="P198" s="6">
        <f>OBRA!S197</f>
        <v>42583</v>
      </c>
      <c r="Q198" s="4">
        <f>OBRA!R197</f>
        <v>245400</v>
      </c>
      <c r="R198" s="5" t="str">
        <f>OBRA!T197</f>
        <v>-</v>
      </c>
      <c r="S198" s="11" t="str">
        <f>OBRA!U197</f>
        <v>-</v>
      </c>
      <c r="T198" s="53"/>
      <c r="U198" s="377" t="s">
        <v>1428</v>
      </c>
      <c r="V198" s="358"/>
      <c r="W198" s="361"/>
      <c r="X198" s="450">
        <f>OBRA!AR197</f>
        <v>0</v>
      </c>
      <c r="Y198" s="309"/>
      <c r="Z198" s="309"/>
      <c r="AA198" s="5"/>
      <c r="AB198" s="313"/>
      <c r="AC198" s="317">
        <f>OBRA!BW197</f>
        <v>0</v>
      </c>
      <c r="AD198" s="352"/>
      <c r="AE198" s="352"/>
    </row>
    <row r="199" spans="1:31" ht="75" hidden="1" customHeight="1">
      <c r="A199" s="22" t="s">
        <v>2206</v>
      </c>
      <c r="B199" s="809" t="str">
        <f>GRAL!B200</f>
        <v>2015-2018</v>
      </c>
      <c r="C199" s="16">
        <f>OBRA!J198</f>
        <v>2016</v>
      </c>
      <c r="D199" s="1415"/>
      <c r="E199" s="18" t="str">
        <f>OBRA!M198</f>
        <v>3X1 PARA MIGRANTES</v>
      </c>
      <c r="F199" s="478"/>
      <c r="G199" s="358"/>
      <c r="H199" s="433"/>
      <c r="I199" s="358"/>
      <c r="J199" s="54" t="str">
        <f>OBRA!W198</f>
        <v>-</v>
      </c>
      <c r="K199" s="55" t="str">
        <f>OBRA!X198</f>
        <v>-</v>
      </c>
      <c r="L199" s="33" t="str">
        <f>OBRA!N198</f>
        <v>P3X1-14-PIS-0559-16</v>
      </c>
      <c r="M199" s="2" t="str">
        <f>OBRA!O198</f>
        <v>CONVENIO</v>
      </c>
      <c r="N199" s="3" t="str">
        <f>OBRA!P198</f>
        <v>REHABILITACION DE RED DE AGUA POTABLE EN CALLE RAMON CORONA DESDE PINO SUAREZ HASTA ZONA FEDERAL DEL LAGO, EN LA LOCALIDAD DE SAN PEDRO TESISTAN</v>
      </c>
      <c r="O199" s="3"/>
      <c r="P199" s="6">
        <f>OBRA!S198</f>
        <v>42583</v>
      </c>
      <c r="Q199" s="4">
        <f>OBRA!R198</f>
        <v>100336</v>
      </c>
      <c r="R199" s="5" t="str">
        <f>OBRA!T198</f>
        <v>-</v>
      </c>
      <c r="S199" s="11" t="str">
        <f>OBRA!U198</f>
        <v>-</v>
      </c>
      <c r="T199" s="53"/>
      <c r="U199" s="377" t="s">
        <v>1428</v>
      </c>
      <c r="V199" s="358"/>
      <c r="W199" s="361"/>
      <c r="X199" s="450">
        <f>OBRA!AR198</f>
        <v>0</v>
      </c>
      <c r="Y199" s="309"/>
      <c r="Z199" s="309"/>
      <c r="AA199" s="5"/>
      <c r="AB199" s="313"/>
      <c r="AC199" s="317">
        <f>OBRA!BW198</f>
        <v>0</v>
      </c>
      <c r="AD199" s="352"/>
      <c r="AE199" s="352"/>
    </row>
    <row r="200" spans="1:31" ht="75" hidden="1" customHeight="1">
      <c r="A200" s="22" t="s">
        <v>2206</v>
      </c>
      <c r="B200" s="809" t="str">
        <f>GRAL!B201</f>
        <v>2015-2018</v>
      </c>
      <c r="C200" s="16">
        <f>OBRA!J199</f>
        <v>2016</v>
      </c>
      <c r="D200" s="1415"/>
      <c r="E200" s="18" t="str">
        <f>OBRA!M199</f>
        <v>3X1 PARA MIGRANTES</v>
      </c>
      <c r="F200" s="478"/>
      <c r="G200" s="358"/>
      <c r="H200" s="433"/>
      <c r="I200" s="358"/>
      <c r="J200" s="54" t="str">
        <f>OBRA!W199</f>
        <v>-</v>
      </c>
      <c r="K200" s="55" t="str">
        <f>OBRA!X199</f>
        <v>-</v>
      </c>
      <c r="L200" s="33" t="str">
        <f>OBRA!N199</f>
        <v>P3X1-14-PIS-0564-16</v>
      </c>
      <c r="M200" s="2" t="str">
        <f>OBRA!O199</f>
        <v>CONVENIO</v>
      </c>
      <c r="N200" s="3" t="str">
        <f>OBRA!P199</f>
        <v xml:space="preserve">REHABILITACION DE RED DE DRENAJE EN CALLE GUADALUPE VICTORIA DESDE HIDALGO HASTA ZONA FEDERAL DEL LAGO, EN LA LOCALIDAD DE SAN PEDRO TESISTAN </v>
      </c>
      <c r="O200" s="3"/>
      <c r="P200" s="6">
        <f>OBRA!S199</f>
        <v>42583</v>
      </c>
      <c r="Q200" s="4">
        <f>OBRA!R199</f>
        <v>214516</v>
      </c>
      <c r="R200" s="5" t="str">
        <f>OBRA!T199</f>
        <v>-</v>
      </c>
      <c r="S200" s="11" t="str">
        <f>OBRA!U199</f>
        <v>-</v>
      </c>
      <c r="T200" s="53"/>
      <c r="U200" s="377" t="s">
        <v>1428</v>
      </c>
      <c r="V200" s="358"/>
      <c r="W200" s="361"/>
      <c r="X200" s="450">
        <f>OBRA!AR199</f>
        <v>0</v>
      </c>
      <c r="Y200" s="309"/>
      <c r="Z200" s="309"/>
      <c r="AA200" s="5"/>
      <c r="AB200" s="313"/>
      <c r="AC200" s="317">
        <f>OBRA!BW199</f>
        <v>0</v>
      </c>
      <c r="AD200" s="352"/>
      <c r="AE200" s="352"/>
    </row>
    <row r="201" spans="1:31" ht="60" hidden="1" customHeight="1">
      <c r="A201" s="22" t="s">
        <v>2206</v>
      </c>
      <c r="B201" s="809" t="str">
        <f>GRAL!B202</f>
        <v>2015-2018</v>
      </c>
      <c r="C201" s="16">
        <f>OBRA!J200</f>
        <v>2016</v>
      </c>
      <c r="D201" s="1415"/>
      <c r="E201" s="18" t="str">
        <f>OBRA!M200</f>
        <v>3X1 PARA MIGRANTES</v>
      </c>
      <c r="F201" s="478"/>
      <c r="G201" s="358"/>
      <c r="H201" s="433"/>
      <c r="I201" s="358"/>
      <c r="J201" s="54" t="str">
        <f>OBRA!W200</f>
        <v>-</v>
      </c>
      <c r="K201" s="55" t="str">
        <f>OBRA!X200</f>
        <v>-</v>
      </c>
      <c r="L201" s="33" t="str">
        <f>OBRA!N200</f>
        <v>P3X1-14-PIS-0562-16</v>
      </c>
      <c r="M201" s="2" t="str">
        <f>OBRA!O200</f>
        <v>CONVENIO</v>
      </c>
      <c r="N201" s="3" t="str">
        <f>OBRA!P200</f>
        <v>CONSTRUCCION DE DRENAJE PLUVIAL EN CALLE PRIVADA CAMICHINES EN LA LOCALIDAD DE JOCOTEPEC DEL MUNICIPIO JOCOTEPEC, JALISCO</v>
      </c>
      <c r="O201" s="3"/>
      <c r="P201" s="6">
        <f>OBRA!S200</f>
        <v>42583</v>
      </c>
      <c r="Q201" s="4">
        <f>OBRA!R200</f>
        <v>233400</v>
      </c>
      <c r="R201" s="5" t="str">
        <f>OBRA!T200</f>
        <v>-</v>
      </c>
      <c r="S201" s="11" t="str">
        <f>OBRA!U200</f>
        <v>-</v>
      </c>
      <c r="T201" s="53"/>
      <c r="U201" s="377" t="s">
        <v>1428</v>
      </c>
      <c r="V201" s="358"/>
      <c r="W201" s="361"/>
      <c r="X201" s="450">
        <f>OBRA!AR200</f>
        <v>0</v>
      </c>
      <c r="Y201" s="309"/>
      <c r="Z201" s="309"/>
      <c r="AA201" s="5"/>
      <c r="AB201" s="313"/>
      <c r="AC201" s="317">
        <f>OBRA!BW200</f>
        <v>0</v>
      </c>
      <c r="AD201" s="352"/>
      <c r="AE201" s="352"/>
    </row>
    <row r="202" spans="1:31" ht="75" hidden="1" customHeight="1">
      <c r="A202" s="22" t="s">
        <v>2206</v>
      </c>
      <c r="B202" s="809" t="str">
        <f>GRAL!B203</f>
        <v>2015-2018</v>
      </c>
      <c r="C202" s="16">
        <f>OBRA!J201</f>
        <v>2016</v>
      </c>
      <c r="D202" s="1415"/>
      <c r="E202" s="18" t="str">
        <f>OBRA!M201</f>
        <v>3X1 PARA MIGRANTES</v>
      </c>
      <c r="F202" s="13"/>
      <c r="G202" s="358"/>
      <c r="H202" s="433"/>
      <c r="I202" s="358"/>
      <c r="J202" s="54" t="str">
        <f>OBRA!W201</f>
        <v>-</v>
      </c>
      <c r="K202" s="55" t="str">
        <f>OBRA!X201</f>
        <v>-</v>
      </c>
      <c r="L202" s="33" t="str">
        <f>OBRA!N201</f>
        <v>P3X1-14-PIS-0558-16</v>
      </c>
      <c r="M202" s="2" t="str">
        <f>OBRA!O201</f>
        <v>CONVENIO</v>
      </c>
      <c r="N202" s="3" t="str">
        <f>OBRA!P201</f>
        <v xml:space="preserve">REHABILITACION DE RED DE DRENAJE EN CALLE GUADALUPE VICTORIA DESDE HIDALGO HASTA ZONA FEDERAL DEL LAGO, EN LA LOCALIDAD DE SAN PEDRO TESISTAN </v>
      </c>
      <c r="O202" s="3"/>
      <c r="P202" s="6">
        <f>OBRA!S201</f>
        <v>42583</v>
      </c>
      <c r="Q202" s="4">
        <f>OBRA!R201</f>
        <v>136120</v>
      </c>
      <c r="R202" s="5" t="str">
        <f>OBRA!T201</f>
        <v>-</v>
      </c>
      <c r="S202" s="11" t="str">
        <f>OBRA!U201</f>
        <v>-</v>
      </c>
      <c r="T202" s="53"/>
      <c r="U202" s="377" t="s">
        <v>1428</v>
      </c>
      <c r="V202" s="358"/>
      <c r="W202" s="361"/>
      <c r="X202" s="450">
        <f>OBRA!AR201</f>
        <v>0</v>
      </c>
      <c r="Y202" s="309"/>
      <c r="Z202" s="309"/>
      <c r="AA202" s="5"/>
      <c r="AB202" s="313"/>
      <c r="AC202" s="317">
        <f>OBRA!BW201</f>
        <v>0</v>
      </c>
      <c r="AD202" s="352"/>
      <c r="AE202" s="352"/>
    </row>
    <row r="203" spans="1:31" ht="90" hidden="1" customHeight="1">
      <c r="A203" s="22" t="s">
        <v>2206</v>
      </c>
      <c r="B203" s="809" t="str">
        <f>GRAL!B204</f>
        <v>2015-2018</v>
      </c>
      <c r="C203" s="16">
        <f>OBRA!J202</f>
        <v>2016</v>
      </c>
      <c r="D203" s="1415"/>
      <c r="E203" s="18" t="str">
        <f>OBRA!M202</f>
        <v>3X1 PARA MIGRANTES</v>
      </c>
      <c r="F203" s="478"/>
      <c r="G203" s="358"/>
      <c r="H203" s="433"/>
      <c r="I203" s="358"/>
      <c r="J203" s="54" t="str">
        <f>OBRA!W202</f>
        <v>-</v>
      </c>
      <c r="K203" s="55" t="str">
        <f>OBRA!X202</f>
        <v>-</v>
      </c>
      <c r="L203" s="33" t="str">
        <f>OBRA!N202</f>
        <v>P3X1-14-PIS-0566-16</v>
      </c>
      <c r="M203" s="2" t="str">
        <f>OBRA!O202</f>
        <v>CONVENIO</v>
      </c>
      <c r="N203" s="3" t="str">
        <f>OBRA!P202</f>
        <v>REHABILITACION DE RED DE DRENAJE EN CALLE RIVERA DEL LAGO DEL PARQUE LINEAL HASTA CALLE CHUECA EN LA LOCALIDAD DE CHANTEPEC (EL CHANTE) DEL MUNICIPIO JOCOTEPEC, JALISCO</v>
      </c>
      <c r="O203" s="3"/>
      <c r="P203" s="6">
        <f>OBRA!S202</f>
        <v>42583</v>
      </c>
      <c r="Q203" s="4">
        <f>OBRA!R202</f>
        <v>525186</v>
      </c>
      <c r="R203" s="5" t="str">
        <f>OBRA!T202</f>
        <v>-</v>
      </c>
      <c r="S203" s="11" t="str">
        <f>OBRA!U202</f>
        <v>-</v>
      </c>
      <c r="T203" s="53"/>
      <c r="U203" s="377" t="s">
        <v>1428</v>
      </c>
      <c r="V203" s="358"/>
      <c r="W203" s="361"/>
      <c r="X203" s="450">
        <f>OBRA!AR202</f>
        <v>0</v>
      </c>
      <c r="Y203" s="309"/>
      <c r="Z203" s="309"/>
      <c r="AA203" s="5"/>
      <c r="AB203" s="313"/>
      <c r="AC203" s="317">
        <f>OBRA!BW202</f>
        <v>0</v>
      </c>
      <c r="AD203" s="352"/>
      <c r="AE203" s="352"/>
    </row>
    <row r="204" spans="1:31" ht="75" hidden="1" customHeight="1">
      <c r="A204" s="22" t="s">
        <v>2206</v>
      </c>
      <c r="B204" s="809" t="str">
        <f>GRAL!B205</f>
        <v>2015-2018</v>
      </c>
      <c r="C204" s="16">
        <f>OBRA!J203</f>
        <v>2016</v>
      </c>
      <c r="D204" s="1415"/>
      <c r="E204" s="18" t="str">
        <f>OBRA!M203</f>
        <v>3X1 PARA MIGRANTES</v>
      </c>
      <c r="F204" s="478"/>
      <c r="G204" s="358"/>
      <c r="H204" s="433"/>
      <c r="I204" s="358"/>
      <c r="J204" s="54" t="str">
        <f>OBRA!W203</f>
        <v>-</v>
      </c>
      <c r="K204" s="55" t="str">
        <f>OBRA!X203</f>
        <v>-</v>
      </c>
      <c r="L204" s="33" t="str">
        <f>OBRA!N203</f>
        <v>P3X1-14-PIS-0556-16</v>
      </c>
      <c r="M204" s="2" t="str">
        <f>OBRA!O203</f>
        <v>CONVENIO</v>
      </c>
      <c r="N204" s="3" t="str">
        <f>OBRA!P203</f>
        <v>REHABILITACION DE RED DE DRENAJE CALLE INSURGENTES PRIMERA ETAPA EN LA LOCALIDAD DE ZAPOTITAN DE HIDALGO DEL MUNICIPIO JOCOTEPEC, JALISCO</v>
      </c>
      <c r="O204" s="3"/>
      <c r="P204" s="6">
        <f>OBRA!S203</f>
        <v>42583</v>
      </c>
      <c r="Q204" s="4">
        <f>OBRA!R203</f>
        <v>678342</v>
      </c>
      <c r="R204" s="5" t="str">
        <f>OBRA!T203</f>
        <v>-</v>
      </c>
      <c r="S204" s="11" t="str">
        <f>OBRA!U203</f>
        <v>-</v>
      </c>
      <c r="T204" s="53"/>
      <c r="U204" s="377" t="s">
        <v>1428</v>
      </c>
      <c r="V204" s="358"/>
      <c r="W204" s="361"/>
      <c r="X204" s="450">
        <f>OBRA!AR203</f>
        <v>0</v>
      </c>
      <c r="Y204" s="309"/>
      <c r="Z204" s="309"/>
      <c r="AA204" s="5"/>
      <c r="AB204" s="313"/>
      <c r="AC204" s="317">
        <f>OBRA!BW203</f>
        <v>0</v>
      </c>
      <c r="AD204" s="352"/>
      <c r="AE204" s="352"/>
    </row>
    <row r="205" spans="1:31" ht="45" hidden="1" customHeight="1">
      <c r="A205" s="22" t="s">
        <v>2206</v>
      </c>
      <c r="B205" s="809" t="str">
        <f>GRAL!B206</f>
        <v>2015-2018</v>
      </c>
      <c r="C205" s="16">
        <f>OBRA!J204</f>
        <v>2016</v>
      </c>
      <c r="D205" s="1415"/>
      <c r="E205" s="18" t="str">
        <f>OBRA!M204</f>
        <v>3X1 PARA MIGRANTES</v>
      </c>
      <c r="F205" s="478"/>
      <c r="G205" s="358"/>
      <c r="H205" s="433"/>
      <c r="I205" s="358"/>
      <c r="J205" s="54" t="str">
        <f>OBRA!W204</f>
        <v>-</v>
      </c>
      <c r="K205" s="55" t="str">
        <f>OBRA!X204</f>
        <v>-</v>
      </c>
      <c r="L205" s="33" t="str">
        <f>OBRA!N204</f>
        <v>P3X1-14-PIS-0560-16</v>
      </c>
      <c r="M205" s="2" t="str">
        <f>OBRA!O204</f>
        <v>CONVENIO</v>
      </c>
      <c r="N205" s="3" t="str">
        <f>OBRA!P204</f>
        <v>EMPEDRADO AHOGADO EN CEMENTO EN CALLE INSURGENTES PRIMERA ETAPA, ZAPOTITAN DE HIDALGO</v>
      </c>
      <c r="O205" s="3"/>
      <c r="P205" s="6">
        <f>OBRA!S204</f>
        <v>42583</v>
      </c>
      <c r="Q205" s="4">
        <f>OBRA!R204</f>
        <v>2426000</v>
      </c>
      <c r="R205" s="5" t="str">
        <f>OBRA!T204</f>
        <v>-</v>
      </c>
      <c r="S205" s="11" t="str">
        <f>OBRA!U204</f>
        <v>-</v>
      </c>
      <c r="T205" s="53"/>
      <c r="U205" s="377" t="s">
        <v>1428</v>
      </c>
      <c r="V205" s="358"/>
      <c r="W205" s="361"/>
      <c r="X205" s="450">
        <f>OBRA!AR204</f>
        <v>0</v>
      </c>
      <c r="Y205" s="309"/>
      <c r="Z205" s="309"/>
      <c r="AA205" s="5"/>
      <c r="AB205" s="313"/>
      <c r="AC205" s="317">
        <f>OBRA!BW204</f>
        <v>0</v>
      </c>
      <c r="AD205" s="352"/>
      <c r="AE205" s="352"/>
    </row>
    <row r="206" spans="1:31" ht="105" hidden="1" customHeight="1">
      <c r="A206" s="22" t="s">
        <v>2206</v>
      </c>
      <c r="B206" s="809" t="str">
        <f>GRAL!B207</f>
        <v>2015-2018</v>
      </c>
      <c r="C206" s="16">
        <f>OBRA!J205</f>
        <v>2016</v>
      </c>
      <c r="D206" s="1415"/>
      <c r="E206" s="18" t="str">
        <f>OBRA!M205</f>
        <v>3X1 PARA MIGRANTES</v>
      </c>
      <c r="F206" s="478"/>
      <c r="G206" s="358"/>
      <c r="H206" s="433"/>
      <c r="I206" s="358"/>
      <c r="J206" s="54" t="str">
        <f>OBRA!W205</f>
        <v>-</v>
      </c>
      <c r="K206" s="55" t="str">
        <f>OBRA!X205</f>
        <v>-</v>
      </c>
      <c r="L206" s="33" t="str">
        <f>OBRA!N205</f>
        <v>P3X1-14-PIS-0567-16</v>
      </c>
      <c r="M206" s="2" t="str">
        <f>OBRA!O205</f>
        <v>CONVENIO</v>
      </c>
      <c r="N206" s="3" t="str">
        <f>OBRA!P205</f>
        <v>COLOCACION DE EMPEDRADO AHOGADO EN CEMENTO EN CALLE RAMON CORONA DESDE PINO SUAREZ HASTA ZONA FEDERAL DEL LAGO EN LA LOCALIDAD DE SAN PEDRO TESISTAN DEL MUNICIPIO JOCOTEPEC, JALISCO</v>
      </c>
      <c r="O206" s="3"/>
      <c r="P206" s="6">
        <f>OBRA!S205</f>
        <v>42583</v>
      </c>
      <c r="Q206" s="4">
        <f>OBRA!R205</f>
        <v>236752</v>
      </c>
      <c r="R206" s="5" t="str">
        <f>OBRA!T205</f>
        <v>-</v>
      </c>
      <c r="S206" s="11" t="str">
        <f>OBRA!U205</f>
        <v>-</v>
      </c>
      <c r="T206" s="53"/>
      <c r="U206" s="377" t="s">
        <v>1428</v>
      </c>
      <c r="V206" s="358"/>
      <c r="W206" s="361"/>
      <c r="X206" s="450">
        <f>OBRA!AR205</f>
        <v>0</v>
      </c>
      <c r="Y206" s="309"/>
      <c r="Z206" s="309"/>
      <c r="AA206" s="5"/>
      <c r="AB206" s="313"/>
      <c r="AC206" s="317">
        <f>OBRA!BW205</f>
        <v>0</v>
      </c>
      <c r="AD206" s="352"/>
      <c r="AE206" s="352"/>
    </row>
    <row r="207" spans="1:31" ht="90" hidden="1" customHeight="1">
      <c r="A207" s="22" t="s">
        <v>2206</v>
      </c>
      <c r="B207" s="809" t="str">
        <f>GRAL!B208</f>
        <v>2015-2018</v>
      </c>
      <c r="C207" s="16">
        <f>OBRA!J206</f>
        <v>2016</v>
      </c>
      <c r="D207" s="1415"/>
      <c r="E207" s="18" t="str">
        <f>OBRA!M206</f>
        <v>3X1 PARA MIGRANTES</v>
      </c>
      <c r="F207" s="478"/>
      <c r="G207" s="358"/>
      <c r="H207" s="433"/>
      <c r="I207" s="358"/>
      <c r="J207" s="54" t="str">
        <f>OBRA!W206</f>
        <v>-</v>
      </c>
      <c r="K207" s="55" t="str">
        <f>OBRA!X206</f>
        <v>-</v>
      </c>
      <c r="L207" s="33" t="str">
        <f>OBRA!N206</f>
        <v>P3X1-14-PIS-0561-16</v>
      </c>
      <c r="M207" s="2" t="str">
        <f>OBRA!O206</f>
        <v>CONVENIO</v>
      </c>
      <c r="N207" s="3" t="str">
        <f>OBRA!P206</f>
        <v>COLOCACIÓN DE EMPEDRADO AHOGADO EN CEMENTO EN CALLE GUADALUPE VICTORIA DESDE HIDALGO HASTA ZONA FEDERAL DEL LAGO, EN LA LOCALIDAD DE SAN PEDRO TESISTAN</v>
      </c>
      <c r="O207" s="3"/>
      <c r="P207" s="6">
        <f>OBRA!S206</f>
        <v>42583</v>
      </c>
      <c r="Q207" s="4">
        <f>OBRA!R206</f>
        <v>259860</v>
      </c>
      <c r="R207" s="5" t="str">
        <f>OBRA!T206</f>
        <v>-</v>
      </c>
      <c r="S207" s="11" t="str">
        <f>OBRA!U206</f>
        <v>-</v>
      </c>
      <c r="T207" s="53"/>
      <c r="U207" s="377" t="s">
        <v>1428</v>
      </c>
      <c r="V207" s="358"/>
      <c r="W207" s="361"/>
      <c r="X207" s="450">
        <f>OBRA!AR206</f>
        <v>0</v>
      </c>
      <c r="Y207" s="309"/>
      <c r="Z207" s="309"/>
      <c r="AA207" s="5"/>
      <c r="AB207" s="313"/>
      <c r="AC207" s="317">
        <f>OBRA!BW206</f>
        <v>0</v>
      </c>
      <c r="AD207" s="352"/>
      <c r="AE207" s="352"/>
    </row>
    <row r="208" spans="1:31" ht="30" hidden="1" customHeight="1">
      <c r="A208" s="22" t="s">
        <v>2206</v>
      </c>
      <c r="B208" s="809" t="str">
        <f>GRAL!B209</f>
        <v>2015-2018</v>
      </c>
      <c r="C208" s="16">
        <f>OBRA!J207</f>
        <v>2017</v>
      </c>
      <c r="D208" s="1415"/>
      <c r="E208" s="18" t="str">
        <f>OBRA!M207</f>
        <v>FONDEREG</v>
      </c>
      <c r="F208" s="478"/>
      <c r="G208" s="358" t="s">
        <v>68</v>
      </c>
      <c r="H208" s="433" t="s">
        <v>68</v>
      </c>
      <c r="I208" s="358" t="s">
        <v>68</v>
      </c>
      <c r="J208" s="54" t="str">
        <f>OBRA!W207</f>
        <v>N/A</v>
      </c>
      <c r="K208" s="55" t="str">
        <f>OBRA!X207</f>
        <v>-</v>
      </c>
      <c r="L208" s="33" t="str">
        <f>OBRA!N207</f>
        <v>FONDEREG 2017/05 SURESTE/121</v>
      </c>
      <c r="M208" s="2" t="str">
        <f>OBRA!O207</f>
        <v>CONVENIO</v>
      </c>
      <c r="N208" s="3" t="str">
        <f>OBRA!P207</f>
        <v>REHABILITACIÓN DE IMAGEN URBANA DE LA CALLE DONATO GUERRA, ENTRE CALLE HIDALGO Y CALLE INDEPENDENCIA 1 ERA ETAPA EN LA CABECERA MUNICIPAL DE JOCOTEPEC</v>
      </c>
      <c r="O208" s="3"/>
      <c r="P208" s="6">
        <f>OBRA!S207</f>
        <v>42898</v>
      </c>
      <c r="Q208" s="4">
        <f>OBRA!R207</f>
        <v>2068965.52</v>
      </c>
      <c r="R208" s="5" t="str">
        <f>OBRA!T207</f>
        <v>-</v>
      </c>
      <c r="S208" s="11" t="str">
        <f>OBRA!U207</f>
        <v>-</v>
      </c>
      <c r="T208" s="53"/>
      <c r="U208" s="377" t="s">
        <v>1428</v>
      </c>
      <c r="V208" s="358"/>
      <c r="W208" s="361"/>
      <c r="X208" s="450">
        <f>OBRA!AR207</f>
        <v>0</v>
      </c>
      <c r="Y208" s="309"/>
      <c r="Z208" s="309"/>
      <c r="AA208" s="5"/>
      <c r="AB208" s="313"/>
      <c r="AC208" s="317">
        <f>OBRA!BW207</f>
        <v>0</v>
      </c>
      <c r="AD208" s="352"/>
      <c r="AE208" s="352"/>
    </row>
    <row r="209" spans="1:31" ht="30" hidden="1" customHeight="1">
      <c r="A209" s="22" t="s">
        <v>2206</v>
      </c>
      <c r="B209" s="809" t="str">
        <f>GRAL!B210</f>
        <v>2015-2018</v>
      </c>
      <c r="C209" s="16">
        <f>OBRA!J208</f>
        <v>2017</v>
      </c>
      <c r="D209" s="1415"/>
      <c r="E209" s="18" t="str">
        <f>OBRA!M208</f>
        <v>FOCOCI</v>
      </c>
      <c r="F209" s="478"/>
      <c r="G209" s="358" t="s">
        <v>68</v>
      </c>
      <c r="H209" s="433" t="s">
        <v>68</v>
      </c>
      <c r="I209" s="358" t="s">
        <v>68</v>
      </c>
      <c r="J209" s="54" t="str">
        <f>OBRA!W208</f>
        <v>N/A</v>
      </c>
      <c r="K209" s="55" t="str">
        <f>OBRA!X208</f>
        <v>-</v>
      </c>
      <c r="L209" s="33" t="str">
        <f>OBRA!N208</f>
        <v>-</v>
      </c>
      <c r="M209" s="2" t="str">
        <f>OBRA!O208</f>
        <v>CONVENIO</v>
      </c>
      <c r="N209" s="3" t="str">
        <f>OBRA!P208</f>
        <v>REHABILITACIÓN DE IMAGEN URBANA DE CALLE DONATO GUERRA ENTRE HIDALGO Y GUADALUPE VICTORIA EN LA CABECERA MUNICIPAL, MUNICIPIO DE JOCOTEPEC, JALISCO</v>
      </c>
      <c r="O209" s="3"/>
      <c r="P209" s="6">
        <f>OBRA!S208</f>
        <v>42879</v>
      </c>
      <c r="Q209" s="4">
        <f>OBRA!R208</f>
        <v>2940000</v>
      </c>
      <c r="R209" s="5" t="str">
        <f>OBRA!T208</f>
        <v>-</v>
      </c>
      <c r="S209" s="11" t="str">
        <f>OBRA!U208</f>
        <v>-</v>
      </c>
      <c r="T209" s="53"/>
      <c r="U209" s="377" t="s">
        <v>1428</v>
      </c>
      <c r="V209" s="358"/>
      <c r="W209" s="361"/>
      <c r="X209" s="450">
        <f>OBRA!AR208</f>
        <v>0</v>
      </c>
      <c r="Y209" s="309"/>
      <c r="Z209" s="309"/>
      <c r="AA209" s="5"/>
      <c r="AB209" s="313"/>
      <c r="AC209" s="317">
        <f>OBRA!BW208</f>
        <v>0</v>
      </c>
      <c r="AD209" s="352"/>
      <c r="AE209" s="352"/>
    </row>
    <row r="210" spans="1:31" ht="30" hidden="1" customHeight="1">
      <c r="A210" s="22" t="s">
        <v>2206</v>
      </c>
      <c r="B210" s="809" t="str">
        <f>GRAL!B211</f>
        <v>2015-2018</v>
      </c>
      <c r="C210" s="16">
        <f>OBRA!J209</f>
        <v>2017</v>
      </c>
      <c r="D210" s="1415"/>
      <c r="E210" s="18" t="str">
        <f>OBRA!M209</f>
        <v xml:space="preserve">PROYECTOS DESARROLLO REGIONAL </v>
      </c>
      <c r="F210" s="478"/>
      <c r="G210" s="358" t="s">
        <v>68</v>
      </c>
      <c r="H210" s="433" t="s">
        <v>68</v>
      </c>
      <c r="I210" s="358" t="s">
        <v>68</v>
      </c>
      <c r="J210" s="54" t="str">
        <f>OBRA!W209</f>
        <v>N/A</v>
      </c>
      <c r="K210" s="55" t="str">
        <f>OBRA!X209</f>
        <v>-</v>
      </c>
      <c r="L210" s="33" t="str">
        <f>OBRA!N209</f>
        <v xml:space="preserve">PROYECTOS DESARROLLO REGIONAL </v>
      </c>
      <c r="M210" s="2" t="str">
        <f>OBRA!O209</f>
        <v>CONVENIO</v>
      </c>
      <c r="N210" s="3" t="str">
        <f>OBRA!P209</f>
        <v>-</v>
      </c>
      <c r="O210" s="3"/>
      <c r="P210" s="6">
        <f>OBRA!S209</f>
        <v>42863</v>
      </c>
      <c r="Q210" s="4">
        <f>OBRA!R209</f>
        <v>2910056.73</v>
      </c>
      <c r="R210" s="5" t="str">
        <f>OBRA!T209</f>
        <v>-</v>
      </c>
      <c r="S210" s="11" t="str">
        <f>OBRA!U209</f>
        <v>-</v>
      </c>
      <c r="T210" s="53"/>
      <c r="U210" s="377" t="s">
        <v>1428</v>
      </c>
      <c r="V210" s="358"/>
      <c r="W210" s="361"/>
      <c r="X210" s="450">
        <f>OBRA!AR209</f>
        <v>0</v>
      </c>
      <c r="Y210" s="309"/>
      <c r="Z210" s="309"/>
      <c r="AA210" s="5"/>
      <c r="AB210" s="313"/>
      <c r="AC210" s="317">
        <f>OBRA!BW209</f>
        <v>0</v>
      </c>
      <c r="AD210" s="352"/>
      <c r="AE210" s="352"/>
    </row>
    <row r="211" spans="1:31" ht="30" hidden="1" customHeight="1">
      <c r="A211" s="22" t="s">
        <v>2206</v>
      </c>
      <c r="B211" s="809" t="str">
        <f>GRAL!B212</f>
        <v>2015-2018</v>
      </c>
      <c r="C211" s="16">
        <f>OBRA!J210</f>
        <v>2017</v>
      </c>
      <c r="D211" s="1415"/>
      <c r="E211" s="18" t="str">
        <f>OBRA!M210</f>
        <v xml:space="preserve">PROYECTOS DESARROLLO REGIONAL </v>
      </c>
      <c r="F211" s="478"/>
      <c r="G211" s="358" t="s">
        <v>68</v>
      </c>
      <c r="H211" s="433" t="s">
        <v>68</v>
      </c>
      <c r="I211" s="358" t="s">
        <v>68</v>
      </c>
      <c r="J211" s="54" t="str">
        <f>OBRA!W210</f>
        <v>N/A</v>
      </c>
      <c r="K211" s="55" t="str">
        <f>OBRA!X210</f>
        <v>-</v>
      </c>
      <c r="L211" s="33" t="str">
        <f>OBRA!N210</f>
        <v>PROYECTOS DESARROLLO REGIONAL B</v>
      </c>
      <c r="M211" s="2" t="str">
        <f>OBRA!O210</f>
        <v>CONVENIO</v>
      </c>
      <c r="N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OBRA!S210</f>
        <v>42885</v>
      </c>
      <c r="Q211" s="4">
        <f>OBRA!R210</f>
        <v>3089943.27</v>
      </c>
      <c r="R211" s="5" t="str">
        <f>OBRA!T210</f>
        <v>-</v>
      </c>
      <c r="S211" s="11" t="str">
        <f>OBRA!U210</f>
        <v>-</v>
      </c>
      <c r="T211" s="53"/>
      <c r="U211" s="377" t="s">
        <v>1428</v>
      </c>
      <c r="V211" s="358"/>
      <c r="W211" s="361"/>
      <c r="X211" s="450">
        <f>OBRA!AR210</f>
        <v>0</v>
      </c>
      <c r="Y211" s="309"/>
      <c r="Z211" s="309"/>
      <c r="AA211" s="5"/>
      <c r="AB211" s="313"/>
      <c r="AC211" s="317">
        <f>OBRA!BW210</f>
        <v>0</v>
      </c>
      <c r="AD211" s="352"/>
      <c r="AE211" s="352"/>
    </row>
    <row r="212" spans="1:31" ht="30" hidden="1" customHeight="1">
      <c r="A212" s="22" t="s">
        <v>2206</v>
      </c>
      <c r="B212" s="809" t="str">
        <f>GRAL!B213</f>
        <v>2015-2018</v>
      </c>
      <c r="C212" s="16">
        <f>OBRA!J211</f>
        <v>2017</v>
      </c>
      <c r="D212" s="1415"/>
      <c r="E212" s="17" t="str">
        <f>OBRA!M211</f>
        <v>CUENTA CORRIENTE</v>
      </c>
      <c r="F212" s="13" t="s">
        <v>1428</v>
      </c>
      <c r="G212" s="358"/>
      <c r="H212" s="433"/>
      <c r="I212" s="358"/>
      <c r="J212" s="54" t="str">
        <f>OBRA!W211</f>
        <v>N/A</v>
      </c>
      <c r="K212" s="55" t="str">
        <f>OBRA!X211</f>
        <v>ARQ. JAIME CONDE GOMEZ</v>
      </c>
      <c r="L212" s="33" t="str">
        <f>OBRA!N211</f>
        <v>DOP/AD/001/2017</v>
      </c>
      <c r="M212" s="2" t="str">
        <f>OBRA!O211</f>
        <v>ADMINISTRACIÓN DIRECTA</v>
      </c>
      <c r="N212" s="3" t="str">
        <f>OBRA!P211</f>
        <v>CONSTRUCCIÓN DE BANQUETAS, MACHUELOS Y AREA DE DESACELERACIÓN 1ERA. ETAPA EN C. VICENTE GUERRERO ENTRE PRIVADA CAMICHINES Y C. CHURUBUSCO, LADO NORTE, EN LA CABECERA MUNICIPAL, DEL MUNICIPIO DE JOCOTEPEC, JALISCO</v>
      </c>
      <c r="O212" s="3"/>
      <c r="P212" s="6">
        <f>OBRA!S211</f>
        <v>42755</v>
      </c>
      <c r="Q212" s="4">
        <f>OBRA!R211</f>
        <v>162823.91</v>
      </c>
      <c r="R212" s="5">
        <f>OBRA!T211</f>
        <v>42740</v>
      </c>
      <c r="S212" s="11">
        <f>OBRA!U211</f>
        <v>42746</v>
      </c>
      <c r="T212" s="53"/>
      <c r="U212" s="377" t="s">
        <v>1428</v>
      </c>
      <c r="V212" s="358"/>
      <c r="W212" s="361"/>
      <c r="X212" s="450">
        <f>OBRA!AR211</f>
        <v>0</v>
      </c>
      <c r="Y212" s="309"/>
      <c r="Z212" s="309"/>
      <c r="AA212" s="5"/>
      <c r="AB212" s="313"/>
      <c r="AC212" s="317">
        <f>OBRA!BW211</f>
        <v>0</v>
      </c>
      <c r="AD212" s="352"/>
      <c r="AE212" s="352"/>
    </row>
    <row r="213" spans="1:31" ht="30" hidden="1" customHeight="1">
      <c r="A213" s="22" t="s">
        <v>2206</v>
      </c>
      <c r="B213" s="809" t="str">
        <f>GRAL!B214</f>
        <v>2015-2018</v>
      </c>
      <c r="C213" s="16">
        <f>OBRA!J212</f>
        <v>2017</v>
      </c>
      <c r="D213" s="1415"/>
      <c r="E213" s="17" t="str">
        <f>OBRA!M212</f>
        <v>CUENTA CORRIENTE</v>
      </c>
      <c r="F213" s="478" t="s">
        <v>1428</v>
      </c>
      <c r="G213" s="358"/>
      <c r="H213" s="433"/>
      <c r="I213" s="358"/>
      <c r="J213" s="54" t="str">
        <f>OBRA!W212</f>
        <v>N/A</v>
      </c>
      <c r="K213" s="55" t="str">
        <f>OBRA!X212</f>
        <v>ARQ. JAIME CONDE GOMEZ</v>
      </c>
      <c r="L213" s="33" t="str">
        <f>OBRA!N212</f>
        <v>DOP/AD/002/2017</v>
      </c>
      <c r="M213" s="2" t="str">
        <f>OBRA!O212</f>
        <v>ADMINISTRACIÓN DIRECTA</v>
      </c>
      <c r="N213" s="3" t="str">
        <f>OBRA!P212</f>
        <v>CONSTRUCCION DE 80 URNAS PARA RESTOS Y CENIZAS HUMANAS EN EL PANTEÓN DE SAN JUAN COSALA, DEL MUNICIPIO DE JOCOTEPEC, JALISCO</v>
      </c>
      <c r="O213" s="3"/>
      <c r="P213" s="6">
        <f>OBRA!S212</f>
        <v>42872</v>
      </c>
      <c r="Q213" s="4">
        <f>OBRA!R212</f>
        <v>313594.21000000002</v>
      </c>
      <c r="R213" s="5">
        <f>OBRA!T212</f>
        <v>42893</v>
      </c>
      <c r="S213" s="11">
        <f>OBRA!U212</f>
        <v>43046</v>
      </c>
      <c r="T213" s="53"/>
      <c r="U213" s="377" t="s">
        <v>1428</v>
      </c>
      <c r="V213" s="358"/>
      <c r="W213" s="361"/>
      <c r="X213" s="450">
        <f>OBRA!AR212</f>
        <v>0</v>
      </c>
      <c r="Y213" s="309"/>
      <c r="Z213" s="309"/>
      <c r="AA213" s="5"/>
      <c r="AB213" s="313"/>
      <c r="AC213" s="317">
        <f>OBRA!BW212</f>
        <v>0</v>
      </c>
      <c r="AD213" s="352"/>
      <c r="AE213" s="352"/>
    </row>
    <row r="214" spans="1:31" ht="30" hidden="1" customHeight="1">
      <c r="A214" s="22" t="s">
        <v>2206</v>
      </c>
      <c r="B214" s="809" t="str">
        <f>GRAL!B215</f>
        <v>2015-2018</v>
      </c>
      <c r="C214" s="16">
        <f>OBRA!J213</f>
        <v>2017</v>
      </c>
      <c r="D214" s="1415"/>
      <c r="E214" s="17" t="str">
        <f>OBRA!M213</f>
        <v>CUENTA CORRIENTE</v>
      </c>
      <c r="F214" s="478" t="s">
        <v>1428</v>
      </c>
      <c r="G214" s="358"/>
      <c r="H214" s="433"/>
      <c r="I214" s="358"/>
      <c r="J214" s="54" t="str">
        <f>OBRA!W213</f>
        <v>N/A</v>
      </c>
      <c r="K214" s="55" t="str">
        <f>OBRA!X213</f>
        <v>ING. RIGOBERTO OLMEDO RAMOS</v>
      </c>
      <c r="L214" s="33" t="str">
        <f>OBRA!N213</f>
        <v>DOP/AD/003/2017</v>
      </c>
      <c r="M214" s="2" t="str">
        <f>OBRA!O213</f>
        <v>ADMINISTRACIÓN DIRECTA</v>
      </c>
      <c r="N214" s="3" t="str">
        <f>OBRA!P213</f>
        <v>CONCLUSION DE COLECTOR DE ALEJAMIENTO DEL DRENAJE SANITARIO, EN LA LOCALIDAD DE HUEJOTITAN, DEL MUNICIPIO DE JOCOTEPEC, JALISCO</v>
      </c>
      <c r="O214" s="3"/>
      <c r="P214" s="6">
        <f>OBRA!S213</f>
        <v>42947</v>
      </c>
      <c r="Q214" s="4">
        <f>OBRA!R213</f>
        <v>129065</v>
      </c>
      <c r="R214" s="5">
        <f>OBRA!T213</f>
        <v>42948</v>
      </c>
      <c r="S214" s="11">
        <f>OBRA!U213</f>
        <v>42959</v>
      </c>
      <c r="T214" s="53"/>
      <c r="U214" s="377" t="s">
        <v>1428</v>
      </c>
      <c r="V214" s="358"/>
      <c r="W214" s="361"/>
      <c r="X214" s="450">
        <f>OBRA!AR213</f>
        <v>0</v>
      </c>
      <c r="Y214" s="309"/>
      <c r="Z214" s="309"/>
      <c r="AA214" s="5"/>
      <c r="AB214" s="313"/>
      <c r="AC214" s="317">
        <f>OBRA!BW213</f>
        <v>0</v>
      </c>
      <c r="AD214" s="352"/>
      <c r="AE214" s="352"/>
    </row>
    <row r="215" spans="1:31" ht="30" hidden="1" customHeight="1">
      <c r="A215" s="22" t="s">
        <v>2206</v>
      </c>
      <c r="B215" s="809" t="str">
        <f>GRAL!B216</f>
        <v>2015-2018</v>
      </c>
      <c r="C215" s="16">
        <f>OBRA!J214</f>
        <v>2017</v>
      </c>
      <c r="D215" s="1415"/>
      <c r="E215" s="17" t="str">
        <f>OBRA!M214</f>
        <v>CUENTA CORRIENTE</v>
      </c>
      <c r="F215" s="478"/>
      <c r="G215" s="358"/>
      <c r="H215" s="433"/>
      <c r="I215" s="358"/>
      <c r="J215" s="54" t="str">
        <f>OBRA!W214</f>
        <v>N/A</v>
      </c>
      <c r="K215" s="55" t="str">
        <f>OBRA!X214</f>
        <v>ING. RIGOBERTO OLMEDO RAMOS</v>
      </c>
      <c r="L215" s="33" t="str">
        <f>OBRA!N214</f>
        <v>DOP/AD/004/2017</v>
      </c>
      <c r="M215" s="2" t="str">
        <f>OBRA!O214</f>
        <v>ADMINISTRACIÓN DIRECTA</v>
      </c>
      <c r="N215" s="3" t="str">
        <f>OBRA!P214</f>
        <v>CONSTRUCCION DE RED DE AGUA POTABLE EN CALLE PRIVADA MUNICIPAL SAN BARTOLOME EN EL CONDOMINO VISTAS DEL ANGEL EN LA DELEGACION DE SAN JUAN COSALA, DEL MUNICIPIO DE JOCOTEPEC, JALISCO.</v>
      </c>
      <c r="O215" s="3"/>
      <c r="P215" s="6">
        <f>OBRA!S214</f>
        <v>42947</v>
      </c>
      <c r="Q215" s="4">
        <f>OBRA!R214</f>
        <v>75540.72</v>
      </c>
      <c r="R215" s="5">
        <f>OBRA!T214</f>
        <v>42947</v>
      </c>
      <c r="S215" s="11">
        <f>OBRA!U214</f>
        <v>42959</v>
      </c>
      <c r="T215" s="53"/>
      <c r="U215" s="377" t="s">
        <v>1428</v>
      </c>
      <c r="V215" s="358"/>
      <c r="W215" s="361"/>
      <c r="X215" s="450">
        <f>OBRA!AR214</f>
        <v>0</v>
      </c>
      <c r="Y215" s="309"/>
      <c r="Z215" s="309"/>
      <c r="AA215" s="5"/>
      <c r="AB215" s="313"/>
      <c r="AC215" s="317">
        <f>OBRA!BW214</f>
        <v>0</v>
      </c>
      <c r="AD215" s="352"/>
      <c r="AE215" s="352"/>
    </row>
    <row r="216" spans="1:31" ht="30" hidden="1" customHeight="1">
      <c r="A216" s="22" t="s">
        <v>2206</v>
      </c>
      <c r="B216" s="809" t="str">
        <f>GRAL!B217</f>
        <v>2015-2018</v>
      </c>
      <c r="C216" s="16">
        <f>OBRA!J215</f>
        <v>2017</v>
      </c>
      <c r="D216" s="1415"/>
      <c r="E216" s="17" t="str">
        <f>OBRA!M215</f>
        <v>CUENTA CORRIENTE</v>
      </c>
      <c r="F216" s="478"/>
      <c r="G216" s="358"/>
      <c r="H216" s="433"/>
      <c r="I216" s="358"/>
      <c r="J216" s="54" t="str">
        <f>OBRA!W215</f>
        <v>N/A</v>
      </c>
      <c r="K216" s="55" t="str">
        <f>OBRA!X215</f>
        <v>ING. J. GUADALUPE IBARRA RAMIREZ</v>
      </c>
      <c r="L216" s="33" t="str">
        <f>OBRA!N215</f>
        <v>DOP/AD/005/2017</v>
      </c>
      <c r="M216" s="2" t="str">
        <f>OBRA!O215</f>
        <v>ADMINISTRACIÓN DIRECTA</v>
      </c>
      <c r="N216" s="3" t="str">
        <f>OBRA!P215</f>
        <v>ADECUACION DEL PARQUE EN CAMPO DE FUTBOL UBICADO EN LA CALLE BENITO JUAREZ, EN LA LOCALIDAD DE POTRERILLOS, DEL MUNICIPIO DE JOCOTEPEC, JALISCO</v>
      </c>
      <c r="O216" s="3"/>
      <c r="P216" s="6">
        <f>OBRA!S215</f>
        <v>42947</v>
      </c>
      <c r="Q216" s="4">
        <f>OBRA!R215</f>
        <v>266570.25</v>
      </c>
      <c r="R216" s="5">
        <f>OBRA!T215</f>
        <v>42947</v>
      </c>
      <c r="S216" s="11">
        <f>OBRA!U215</f>
        <v>43008</v>
      </c>
      <c r="T216" s="53"/>
      <c r="U216" s="377" t="s">
        <v>1428</v>
      </c>
      <c r="V216" s="358"/>
      <c r="W216" s="361"/>
      <c r="X216" s="450">
        <f>OBRA!AR215</f>
        <v>0</v>
      </c>
      <c r="Y216" s="309"/>
      <c r="Z216" s="309"/>
      <c r="AA216" s="5"/>
      <c r="AB216" s="313"/>
      <c r="AC216" s="317">
        <f>OBRA!BW215</f>
        <v>0</v>
      </c>
      <c r="AD216" s="352"/>
      <c r="AE216" s="352"/>
    </row>
    <row r="217" spans="1:31" s="104" customFormat="1" ht="30" hidden="1" customHeight="1">
      <c r="A217" s="81" t="s">
        <v>2206</v>
      </c>
      <c r="B217" s="820" t="str">
        <f>GRAL!B218</f>
        <v>2012-2015</v>
      </c>
      <c r="C217" s="82">
        <f>OBRA!J216</f>
        <v>2017</v>
      </c>
      <c r="D217" s="781"/>
      <c r="E217" s="97">
        <f>OBRA!M216</f>
        <v>0</v>
      </c>
      <c r="F217" s="479"/>
      <c r="G217" s="824"/>
      <c r="H217" s="823"/>
      <c r="I217" s="824"/>
      <c r="J217" s="151" t="str">
        <f>OBRA!W216</f>
        <v>-</v>
      </c>
      <c r="K217" s="152">
        <f>OBRA!X216</f>
        <v>0</v>
      </c>
      <c r="L217" s="308" t="str">
        <f>OBRA!N216</f>
        <v>DOP/AD/006/2017</v>
      </c>
      <c r="M217" s="186" t="str">
        <f>OBRA!O216</f>
        <v>CANCELADA</v>
      </c>
      <c r="N217" s="106">
        <f>OBRA!P216</f>
        <v>0</v>
      </c>
      <c r="O217" s="125"/>
      <c r="P217" s="87">
        <f>OBRA!S216</f>
        <v>0</v>
      </c>
      <c r="Q217" s="86">
        <f>OBRA!R216</f>
        <v>0</v>
      </c>
      <c r="R217" s="88">
        <f>OBRA!T216</f>
        <v>0</v>
      </c>
      <c r="S217" s="89">
        <f>OBRA!U216</f>
        <v>0</v>
      </c>
      <c r="T217" s="91"/>
      <c r="U217" s="688" t="s">
        <v>1428</v>
      </c>
      <c r="V217" s="824"/>
      <c r="W217" s="825"/>
      <c r="X217" s="826">
        <f>OBRA!AR216</f>
        <v>0</v>
      </c>
      <c r="Y217" s="311"/>
      <c r="Z217" s="311"/>
      <c r="AA217" s="88"/>
      <c r="AB217" s="1855"/>
      <c r="AC217" s="467">
        <f>OBRA!BW216</f>
        <v>0</v>
      </c>
      <c r="AD217" s="354"/>
      <c r="AE217" s="354"/>
    </row>
    <row r="218" spans="1:31" ht="30" hidden="1" customHeight="1">
      <c r="A218" s="22" t="s">
        <v>2206</v>
      </c>
      <c r="B218" s="809" t="str">
        <f>GRAL!B219</f>
        <v>2015-2018</v>
      </c>
      <c r="C218" s="16">
        <f>OBRA!J217</f>
        <v>2017</v>
      </c>
      <c r="D218" s="1415"/>
      <c r="E218" s="17" t="str">
        <f>OBRA!M217</f>
        <v>CUENTA CORRIENTE</v>
      </c>
      <c r="F218" s="478"/>
      <c r="G218" s="358"/>
      <c r="H218" s="433"/>
      <c r="I218" s="358"/>
      <c r="J218" s="54" t="str">
        <f>OBRA!W217</f>
        <v>N/A</v>
      </c>
      <c r="K218" s="55" t="str">
        <f>OBRA!X217</f>
        <v>ING. JUAN MANUEL GARCIA ESCOTO</v>
      </c>
      <c r="L218" s="33" t="str">
        <f>OBRA!N217</f>
        <v>DOP/AD/007/2017</v>
      </c>
      <c r="M218" s="2" t="str">
        <f>OBRA!O217</f>
        <v>ADMINISTRACIÓN DIRECTA</v>
      </c>
      <c r="N218" s="3" t="str">
        <f>OBRA!P217</f>
        <v>CONSTRUCCION DE LINEA DE AGUA POTABLE EN LA CALLE CUAUHTEMOC, EN LA LOCALIDAD DE POTRERILLOS DEL MUNICIPIO DE JOCOTEPEC, JALISCO</v>
      </c>
      <c r="O218" s="3"/>
      <c r="P218" s="6">
        <f>OBRA!S217</f>
        <v>43046</v>
      </c>
      <c r="Q218" s="4">
        <f>OBRA!R217</f>
        <v>80202.34</v>
      </c>
      <c r="R218" s="5">
        <f>OBRA!T217</f>
        <v>43054</v>
      </c>
      <c r="S218" s="11">
        <f>OBRA!U217</f>
        <v>43084</v>
      </c>
      <c r="T218" s="53"/>
      <c r="U218" s="377" t="s">
        <v>1428</v>
      </c>
      <c r="V218" s="358"/>
      <c r="W218" s="361"/>
      <c r="X218" s="450">
        <f>OBRA!AR217</f>
        <v>0</v>
      </c>
      <c r="Y218" s="309"/>
      <c r="Z218" s="309"/>
      <c r="AA218" s="5"/>
      <c r="AB218" s="313"/>
      <c r="AC218" s="317">
        <f>OBRA!BW217</f>
        <v>0</v>
      </c>
      <c r="AD218" s="352"/>
      <c r="AE218" s="352"/>
    </row>
    <row r="219" spans="1:31" ht="30" hidden="1" customHeight="1">
      <c r="A219" s="22" t="s">
        <v>2206</v>
      </c>
      <c r="B219" s="809" t="str">
        <f>GRAL!B220</f>
        <v>2015-2018</v>
      </c>
      <c r="C219" s="16">
        <f>OBRA!J218</f>
        <v>2017</v>
      </c>
      <c r="D219" s="1415"/>
      <c r="E219" s="17" t="str">
        <f>OBRA!M218</f>
        <v>RAMO 33</v>
      </c>
      <c r="F219" s="478"/>
      <c r="G219" s="358"/>
      <c r="H219" s="433"/>
      <c r="I219" s="358"/>
      <c r="J219" s="54" t="str">
        <f>OBRA!W218</f>
        <v>N/A</v>
      </c>
      <c r="K219" s="55" t="str">
        <f>OBRA!X218</f>
        <v>ING. ANGEL ALBERTO HERNANDEZ MORA</v>
      </c>
      <c r="L219" s="33" t="str">
        <f>OBRA!N218</f>
        <v>DOP/AD/008/2017</v>
      </c>
      <c r="M219" s="2" t="str">
        <f>OBRA!O218</f>
        <v>ADMINISTRACIÓN DIRECTA</v>
      </c>
      <c r="N219" s="3" t="str">
        <f>OBRA!P218</f>
        <v>CONSTRUCCION DE RED DE DRENAJE EN C. ZARAGOZA PARA CONECTARLO A CALLE VICENTE GUERRERO PONIENTE EN LA CABECERA MUNICIPAL DEL MUNICIPIO DE JOCOTEPEC, JALISCO</v>
      </c>
      <c r="O219" s="3"/>
      <c r="P219" s="6">
        <f>OBRA!S218</f>
        <v>43054</v>
      </c>
      <c r="Q219" s="4">
        <f>OBRA!R218</f>
        <v>121598.89</v>
      </c>
      <c r="R219" s="5">
        <f>OBRA!T218</f>
        <v>43052</v>
      </c>
      <c r="S219" s="11">
        <f>OBRA!U218</f>
        <v>43066</v>
      </c>
      <c r="T219" s="53"/>
      <c r="U219" s="377" t="s">
        <v>1428</v>
      </c>
      <c r="V219" s="358"/>
      <c r="W219" s="361"/>
      <c r="X219" s="450">
        <f>OBRA!AR218</f>
        <v>0</v>
      </c>
      <c r="Y219" s="309"/>
      <c r="Z219" s="309"/>
      <c r="AA219" s="5"/>
      <c r="AB219" s="313"/>
      <c r="AC219" s="317">
        <f>OBRA!BW218</f>
        <v>0</v>
      </c>
      <c r="AD219" s="352"/>
      <c r="AE219" s="352"/>
    </row>
    <row r="220" spans="1:31" ht="30" hidden="1" customHeight="1">
      <c r="A220" s="22" t="s">
        <v>2206</v>
      </c>
      <c r="B220" s="809" t="str">
        <f>GRAL!B221</f>
        <v>2015-2018</v>
      </c>
      <c r="C220" s="16">
        <f>OBRA!J219</f>
        <v>2017</v>
      </c>
      <c r="D220" s="1415"/>
      <c r="E220" s="17" t="str">
        <f>OBRA!M219</f>
        <v>RAMO 33</v>
      </c>
      <c r="F220" s="478"/>
      <c r="G220" s="358"/>
      <c r="H220" s="433"/>
      <c r="I220" s="358"/>
      <c r="J220" s="54" t="str">
        <f>OBRA!W219</f>
        <v>N/A</v>
      </c>
      <c r="K220" s="55" t="str">
        <f>OBRA!X219</f>
        <v>ING. ANGEL ALBERTO HERNANDEZ MORA</v>
      </c>
      <c r="L220" s="33" t="str">
        <f>OBRA!N219</f>
        <v>DOP/AD/009/2017</v>
      </c>
      <c r="M220" s="2" t="str">
        <f>OBRA!O219</f>
        <v>ADMINISTRACIÓN DIRECTA</v>
      </c>
      <c r="N220" s="3" t="str">
        <f>OBRA!P219</f>
        <v>CONSTRUCCION DE LINEA DE AGUA POTABLE EN CALLE EMILIANO ZAPATA ENTRE PIPILA Y SANTA ISABEL DE LA LOCALIDAD DE ZAPOTITAN DE HIDALGO, DEL MUNICIPIO DE JOCOTEPEC, JALISCO</v>
      </c>
      <c r="O220" s="3"/>
      <c r="P220" s="6">
        <f>OBRA!S219</f>
        <v>43078</v>
      </c>
      <c r="Q220" s="4">
        <f>OBRA!R219</f>
        <v>54161.63</v>
      </c>
      <c r="R220" s="5">
        <f>OBRA!T219</f>
        <v>43078</v>
      </c>
      <c r="S220" s="11">
        <f>OBRA!U219</f>
        <v>43099</v>
      </c>
      <c r="T220" s="53"/>
      <c r="U220" s="377" t="s">
        <v>1428</v>
      </c>
      <c r="V220" s="358"/>
      <c r="W220" s="361"/>
      <c r="X220" s="450">
        <f>OBRA!AR219</f>
        <v>0</v>
      </c>
      <c r="Y220" s="309"/>
      <c r="Z220" s="309"/>
      <c r="AA220" s="5"/>
      <c r="AB220" s="313"/>
      <c r="AC220" s="317">
        <f>OBRA!BW219</f>
        <v>0</v>
      </c>
      <c r="AD220" s="352"/>
      <c r="AE220" s="352"/>
    </row>
    <row r="221" spans="1:31" ht="30" hidden="1" customHeight="1">
      <c r="A221" s="22" t="s">
        <v>2206</v>
      </c>
      <c r="B221" s="809" t="str">
        <f>GRAL!B222</f>
        <v>2015-2018</v>
      </c>
      <c r="C221" s="16">
        <f>OBRA!J220</f>
        <v>2017</v>
      </c>
      <c r="D221" s="1415"/>
      <c r="E221" s="17" t="str">
        <f>OBRA!M220</f>
        <v>RAMO 33</v>
      </c>
      <c r="F221" s="478"/>
      <c r="G221" s="358"/>
      <c r="H221" s="433"/>
      <c r="I221" s="358"/>
      <c r="J221" s="54" t="str">
        <f>OBRA!W220</f>
        <v>N/A</v>
      </c>
      <c r="K221" s="55" t="str">
        <f>OBRA!X220</f>
        <v>ING. ANGEL ALBERTO HERNANDEZ MORA</v>
      </c>
      <c r="L221" s="33" t="str">
        <f>OBRA!N220</f>
        <v>DOP/AD/010/2017</v>
      </c>
      <c r="M221" s="2" t="str">
        <f>OBRA!O220</f>
        <v>ADMINISTRACIÓN DIRECTA</v>
      </c>
      <c r="N221" s="3" t="str">
        <f>OBRA!P220</f>
        <v>CONSTRUCCIÓN DE LINEA DE DRENAJE EN CALLE EMILIANO ZAPATA ENTRE PIPILA Y SANTA ISABEL DE LA LOCALIDAD DE ZAPOTITAN DE HIDALGO, DEL MUNICIPIO, JALISCO.</v>
      </c>
      <c r="O221" s="3"/>
      <c r="P221" s="6">
        <f>OBRA!S220</f>
        <v>43078</v>
      </c>
      <c r="Q221" s="4">
        <f>OBRA!R220</f>
        <v>72083.75</v>
      </c>
      <c r="R221" s="5">
        <f>OBRA!T220</f>
        <v>43078</v>
      </c>
      <c r="S221" s="11">
        <f>OBRA!U220</f>
        <v>43099</v>
      </c>
      <c r="T221" s="53"/>
      <c r="U221" s="377" t="s">
        <v>1428</v>
      </c>
      <c r="V221" s="358"/>
      <c r="W221" s="361"/>
      <c r="X221" s="450">
        <f>OBRA!AR220</f>
        <v>0</v>
      </c>
      <c r="Y221" s="309"/>
      <c r="Z221" s="309"/>
      <c r="AA221" s="5"/>
      <c r="AB221" s="313"/>
      <c r="AC221" s="317">
        <f>OBRA!BW220</f>
        <v>0</v>
      </c>
      <c r="AD221" s="352"/>
      <c r="AE221" s="352"/>
    </row>
    <row r="222" spans="1:31" ht="30" hidden="1" customHeight="1">
      <c r="A222" s="22" t="s">
        <v>2206</v>
      </c>
      <c r="B222" s="809" t="str">
        <f>GRAL!B223</f>
        <v>2015-2018</v>
      </c>
      <c r="C222" s="16">
        <f>OBRA!J221</f>
        <v>2017</v>
      </c>
      <c r="D222" s="1415"/>
      <c r="E222" s="17" t="str">
        <f>OBRA!M221</f>
        <v>CUENTA CORRIENTE</v>
      </c>
      <c r="F222" s="478"/>
      <c r="G222" s="358"/>
      <c r="H222" s="433"/>
      <c r="I222" s="358"/>
      <c r="J222" s="54" t="str">
        <f>OBRA!W221</f>
        <v>N/A</v>
      </c>
      <c r="K222" s="55" t="str">
        <f>OBRA!X221</f>
        <v>ARQ. JAIME CONDE GOMEZ</v>
      </c>
      <c r="L222" s="33" t="str">
        <f>OBRA!N221</f>
        <v>DOP/AD/011/2017</v>
      </c>
      <c r="M222" s="2" t="str">
        <f>OBRA!O221</f>
        <v>ADMINISTRACIÓN DIRECTA</v>
      </c>
      <c r="N222" s="3" t="str">
        <f>OBRA!P221</f>
        <v>MEJORAMIENTO DEL MALECON DE LA LOCALIDAD DE SAN JUAN COSALA, DEL MUNICIPIO DE JOCOTEPEC, JALISCO</v>
      </c>
      <c r="O222" s="3"/>
      <c r="P222" s="6">
        <f>OBRA!S221</f>
        <v>42986</v>
      </c>
      <c r="Q222" s="4">
        <f>OBRA!R221</f>
        <v>574043.4</v>
      </c>
      <c r="R222" s="5">
        <f>OBRA!T221</f>
        <v>42989</v>
      </c>
      <c r="S222" s="11">
        <f>OBRA!U221</f>
        <v>43099</v>
      </c>
      <c r="T222" s="53"/>
      <c r="U222" s="377" t="s">
        <v>1428</v>
      </c>
      <c r="V222" s="358"/>
      <c r="W222" s="361"/>
      <c r="X222" s="450">
        <f>OBRA!AR221</f>
        <v>0</v>
      </c>
      <c r="Y222" s="309"/>
      <c r="Z222" s="309"/>
      <c r="AA222" s="5"/>
      <c r="AB222" s="313"/>
      <c r="AC222" s="317">
        <f>OBRA!BW221</f>
        <v>0</v>
      </c>
      <c r="AD222" s="352"/>
      <c r="AE222" s="352"/>
    </row>
    <row r="223" spans="1:31" s="104" customFormat="1" ht="30" hidden="1" customHeight="1">
      <c r="A223" s="81" t="s">
        <v>2206</v>
      </c>
      <c r="B223" s="820" t="str">
        <f>GRAL!B224</f>
        <v>2012-2015</v>
      </c>
      <c r="C223" s="82">
        <f>OBRA!J222</f>
        <v>2017</v>
      </c>
      <c r="D223" s="781"/>
      <c r="E223" s="97" t="str">
        <f>OBRA!M222</f>
        <v>RAMO 33</v>
      </c>
      <c r="F223" s="479"/>
      <c r="G223" s="824"/>
      <c r="H223" s="823"/>
      <c r="I223" s="824"/>
      <c r="J223" s="151" t="str">
        <f>OBRA!W222</f>
        <v>-</v>
      </c>
      <c r="K223" s="152">
        <f>OBRA!X222</f>
        <v>0</v>
      </c>
      <c r="L223" s="308" t="str">
        <f>OBRA!N222</f>
        <v>DOP/AD/012/2017</v>
      </c>
      <c r="M223" s="186" t="str">
        <f>OBRA!O222</f>
        <v>CANCELADA</v>
      </c>
      <c r="N223" s="106" t="str">
        <f>OBRA!P222</f>
        <v>REHABILITACION DE LINEA DE AGUA POTABLE EN CALLE INDEPENDENCIA ENTRE CARRETERA Y CERRADA, EN LA LOCALIDAD DE SAN JUAN COSALA, DEL MUNICIPIO DE JOCOTEPEC, JALISCO</v>
      </c>
      <c r="O223" s="125"/>
      <c r="P223" s="87">
        <f>OBRA!S222</f>
        <v>0</v>
      </c>
      <c r="Q223" s="86">
        <f>OBRA!R222</f>
        <v>46522.58</v>
      </c>
      <c r="R223" s="88">
        <f>OBRA!T222</f>
        <v>42979</v>
      </c>
      <c r="S223" s="89">
        <f>OBRA!U222</f>
        <v>42734</v>
      </c>
      <c r="T223" s="91"/>
      <c r="U223" s="688" t="s">
        <v>1428</v>
      </c>
      <c r="V223" s="824"/>
      <c r="W223" s="825"/>
      <c r="X223" s="826">
        <f>OBRA!AR222</f>
        <v>0</v>
      </c>
      <c r="Y223" s="311"/>
      <c r="Z223" s="311"/>
      <c r="AA223" s="88"/>
      <c r="AB223" s="1855"/>
      <c r="AC223" s="467">
        <f>OBRA!BW222</f>
        <v>0</v>
      </c>
      <c r="AD223" s="354"/>
      <c r="AE223" s="354"/>
    </row>
    <row r="224" spans="1:31" s="104" customFormat="1" ht="30" hidden="1" customHeight="1">
      <c r="A224" s="81" t="s">
        <v>2206</v>
      </c>
      <c r="B224" s="820" t="str">
        <f>GRAL!B225</f>
        <v>2012-2015</v>
      </c>
      <c r="C224" s="82">
        <f>OBRA!J223</f>
        <v>2017</v>
      </c>
      <c r="D224" s="781"/>
      <c r="E224" s="97" t="str">
        <f>OBRA!M223</f>
        <v>RAMO 33</v>
      </c>
      <c r="F224" s="479"/>
      <c r="G224" s="824"/>
      <c r="H224" s="823"/>
      <c r="I224" s="824"/>
      <c r="J224" s="151" t="str">
        <f>OBRA!W223</f>
        <v>-</v>
      </c>
      <c r="K224" s="152">
        <f>OBRA!X223</f>
        <v>0</v>
      </c>
      <c r="L224" s="308" t="str">
        <f>OBRA!N223</f>
        <v>DOP/AD/013/2017</v>
      </c>
      <c r="M224" s="186" t="str">
        <f>OBRA!O223</f>
        <v>CANCELADA</v>
      </c>
      <c r="N224" s="106" t="str">
        <f>OBRA!P223</f>
        <v>FABRICACION DE EMPEDRADO AHOGADO EN CEMENTO EN CALLE INDEPENDENCIA, EN LA LOCALIDAD DE SAN JUAN COSALA, DEL MUNICIPIO DE JOCOTEPEC, JALISCO</v>
      </c>
      <c r="O224" s="125"/>
      <c r="P224" s="87">
        <f>OBRA!S223</f>
        <v>0</v>
      </c>
      <c r="Q224" s="86">
        <f>OBRA!R223</f>
        <v>107544.91</v>
      </c>
      <c r="R224" s="88">
        <f>OBRA!T223</f>
        <v>43070</v>
      </c>
      <c r="S224" s="89">
        <f>OBRA!U223</f>
        <v>43099</v>
      </c>
      <c r="T224" s="91"/>
      <c r="U224" s="688" t="s">
        <v>1428</v>
      </c>
      <c r="V224" s="824"/>
      <c r="W224" s="825"/>
      <c r="X224" s="826">
        <f>OBRA!AR223</f>
        <v>0</v>
      </c>
      <c r="Y224" s="311"/>
      <c r="Z224" s="311"/>
      <c r="AA224" s="88"/>
      <c r="AB224" s="1855"/>
      <c r="AC224" s="467">
        <f>OBRA!BW223</f>
        <v>0</v>
      </c>
      <c r="AD224" s="354"/>
      <c r="AE224" s="354"/>
    </row>
    <row r="225" spans="1:31" ht="30" hidden="1" customHeight="1">
      <c r="A225" s="22" t="s">
        <v>2206</v>
      </c>
      <c r="B225" s="809" t="str">
        <f>GRAL!B226</f>
        <v>2015-2018</v>
      </c>
      <c r="C225" s="16">
        <f>OBRA!J224</f>
        <v>2017</v>
      </c>
      <c r="D225" s="1415"/>
      <c r="E225" s="17" t="str">
        <f>OBRA!M224</f>
        <v>CUENTA CORRIENTE</v>
      </c>
      <c r="F225" s="478"/>
      <c r="G225" s="358"/>
      <c r="H225" s="433"/>
      <c r="I225" s="358"/>
      <c r="J225" s="54" t="str">
        <f>OBRA!W224</f>
        <v>N/A</v>
      </c>
      <c r="K225" s="55" t="str">
        <f>OBRA!X224</f>
        <v>ING. JUAN MANUEL GARCIA ESCOTO</v>
      </c>
      <c r="L225" s="33" t="str">
        <f>OBRA!N224</f>
        <v>DOP/AD/014/2017</v>
      </c>
      <c r="M225" s="2" t="str">
        <f>OBRA!O224</f>
        <v>ADMINISTRACIÓN DIRECTA</v>
      </c>
      <c r="N225" s="3" t="str">
        <f>OBRA!P224</f>
        <v>OBRA CIVIL COMPLEMENTARIA PARA LA INSTALACIÓN DE CARCAMO DE BOMBEO DE LA PLANTA DE TRATAMIENTO DEL MALECON,  EN LA CABECERA MUNICIPAL, DEÑ MUNICIPIO DE JOCOTEPEC, JALISCO</v>
      </c>
      <c r="O225" s="3"/>
      <c r="P225" s="6">
        <f>OBRA!S224</f>
        <v>43078</v>
      </c>
      <c r="Q225" s="4">
        <f>OBRA!R224</f>
        <v>60000</v>
      </c>
      <c r="R225" s="5">
        <f>OBRA!T224</f>
        <v>43078</v>
      </c>
      <c r="S225" s="11">
        <f>OBRA!U224</f>
        <v>43099</v>
      </c>
      <c r="T225" s="53"/>
      <c r="U225" s="377" t="s">
        <v>1428</v>
      </c>
      <c r="V225" s="358"/>
      <c r="W225" s="361"/>
      <c r="X225" s="450">
        <f>OBRA!AR224</f>
        <v>0</v>
      </c>
      <c r="Y225" s="309"/>
      <c r="Z225" s="309"/>
      <c r="AA225" s="5"/>
      <c r="AB225" s="313"/>
      <c r="AC225" s="317">
        <f>OBRA!BW224</f>
        <v>0</v>
      </c>
      <c r="AD225" s="352"/>
      <c r="AE225" s="352"/>
    </row>
    <row r="226" spans="1:31" s="104" customFormat="1" ht="30" hidden="1" customHeight="1">
      <c r="A226" s="81" t="s">
        <v>2206</v>
      </c>
      <c r="B226" s="820" t="str">
        <f>GRAL!B227</f>
        <v>2012-2015</v>
      </c>
      <c r="C226" s="82">
        <f>OBRA!J225</f>
        <v>2017</v>
      </c>
      <c r="D226" s="781"/>
      <c r="E226" s="97">
        <f>OBRA!M225</f>
        <v>0</v>
      </c>
      <c r="F226" s="479"/>
      <c r="G226" s="824"/>
      <c r="H226" s="823"/>
      <c r="I226" s="824"/>
      <c r="J226" s="151" t="str">
        <f>OBRA!W225</f>
        <v>-</v>
      </c>
      <c r="K226" s="152">
        <f>OBRA!X225</f>
        <v>0</v>
      </c>
      <c r="L226" s="308" t="str">
        <f>OBRA!N225</f>
        <v>DOP/AD/015/2017</v>
      </c>
      <c r="M226" s="186" t="str">
        <f>OBRA!O225</f>
        <v>CANCELADA</v>
      </c>
      <c r="N226" s="106">
        <f>OBRA!P225</f>
        <v>0</v>
      </c>
      <c r="O226" s="125"/>
      <c r="P226" s="87">
        <f>OBRA!S225</f>
        <v>0</v>
      </c>
      <c r="Q226" s="86">
        <f>OBRA!R225</f>
        <v>0</v>
      </c>
      <c r="R226" s="88">
        <f>OBRA!T225</f>
        <v>0</v>
      </c>
      <c r="S226" s="89">
        <f>OBRA!U225</f>
        <v>0</v>
      </c>
      <c r="T226" s="91"/>
      <c r="U226" s="688" t="s">
        <v>1428</v>
      </c>
      <c r="V226" s="824"/>
      <c r="W226" s="825"/>
      <c r="X226" s="826">
        <f>OBRA!AR225</f>
        <v>0</v>
      </c>
      <c r="Y226" s="311"/>
      <c r="Z226" s="311"/>
      <c r="AA226" s="88"/>
      <c r="AB226" s="1855"/>
      <c r="AC226" s="467">
        <f>OBRA!BW225</f>
        <v>0</v>
      </c>
      <c r="AD226" s="354"/>
      <c r="AE226" s="354"/>
    </row>
    <row r="227" spans="1:31" ht="354" hidden="1" customHeight="1">
      <c r="A227" s="22" t="s">
        <v>2206</v>
      </c>
      <c r="B227" s="809" t="str">
        <f>GRAL!B228</f>
        <v>2015-2018</v>
      </c>
      <c r="C227" s="16">
        <f>OBRA!J226</f>
        <v>2017</v>
      </c>
      <c r="D227" s="1415"/>
      <c r="E227" s="430" t="str">
        <f>OBRA!M226</f>
        <v>CUENTA CORRIENTE</v>
      </c>
      <c r="F227" s="217" t="s">
        <v>1428</v>
      </c>
      <c r="G227" s="969"/>
      <c r="H227" s="878"/>
      <c r="I227" s="507"/>
      <c r="J227" s="54" t="str">
        <f>OBRA!W226</f>
        <v>ASFALTOS GUADALAJARA, S.A.P.I. DE C.V.</v>
      </c>
      <c r="K227" s="55" t="str">
        <f>OBRA!X226</f>
        <v>ING. ANGEL ALBERTO HERNANDEZ MORA</v>
      </c>
      <c r="L227" s="33" t="str">
        <f>OBRA!N226</f>
        <v>GMJ 001C OP/2017</v>
      </c>
      <c r="M227" s="2" t="str">
        <f>OBRA!O226</f>
        <v>ADJUDICACIÓN DIRECTA</v>
      </c>
      <c r="N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6"/>
      <c r="P227" s="67">
        <f>OBRA!S226</f>
        <v>42737</v>
      </c>
      <c r="Q227" s="79">
        <f>OBRA!R226</f>
        <v>1499890.33</v>
      </c>
      <c r="R227" s="5">
        <f>OBRA!T226</f>
        <v>42740</v>
      </c>
      <c r="S227" s="11">
        <f>OBRA!U226</f>
        <v>42746</v>
      </c>
      <c r="T227" s="53"/>
      <c r="U227" s="62" t="s">
        <v>1428</v>
      </c>
      <c r="V227" s="507"/>
      <c r="W227" s="877"/>
      <c r="X227" s="523">
        <f>OBRA!AR226</f>
        <v>299978.06</v>
      </c>
      <c r="Y227" s="5"/>
      <c r="Z227" s="309"/>
      <c r="AA227" s="5"/>
      <c r="AB227" s="313"/>
      <c r="AC227" s="317">
        <f>OBRA!BW226</f>
        <v>0</v>
      </c>
      <c r="AD227" s="352"/>
      <c r="AE227" s="352" t="s">
        <v>551</v>
      </c>
    </row>
    <row r="228" spans="1:31" ht="355.5" hidden="1" customHeight="1">
      <c r="A228" s="22" t="s">
        <v>2206</v>
      </c>
      <c r="B228" s="809" t="str">
        <f>GRAL!B229</f>
        <v>2015-2018</v>
      </c>
      <c r="C228" s="16">
        <f>OBRA!J227</f>
        <v>2017</v>
      </c>
      <c r="D228" s="783"/>
      <c r="E228" s="1" t="str">
        <f>OBRA!M227</f>
        <v>CUENTA CORRIENTE</v>
      </c>
      <c r="F228" s="550" t="s">
        <v>1428</v>
      </c>
      <c r="G228" s="969"/>
      <c r="H228" s="878"/>
      <c r="I228" s="507"/>
      <c r="J228" s="54" t="str">
        <f>OBRA!W227</f>
        <v>ASFALTOS GUADALAJARA, S.A.P.I. DE C.V.</v>
      </c>
      <c r="K228" s="55" t="str">
        <f>OBRA!X227</f>
        <v>ING. ANGEL ALBERTO HERNANDEZ MORA</v>
      </c>
      <c r="L228" s="33" t="str">
        <f>OBRA!N227</f>
        <v>GMJ 002C OP/2017</v>
      </c>
      <c r="M228" s="2" t="str">
        <f>OBRA!O227</f>
        <v>ADJUDICACIÓN DIRECTA</v>
      </c>
      <c r="N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6"/>
      <c r="P228" s="67">
        <f>OBRA!S227</f>
        <v>42747</v>
      </c>
      <c r="Q228" s="79">
        <f>OBRA!R227</f>
        <v>1316020.1499999999</v>
      </c>
      <c r="R228" s="5">
        <f>OBRA!T227</f>
        <v>42747</v>
      </c>
      <c r="S228" s="11">
        <f>OBRA!U227</f>
        <v>42837</v>
      </c>
      <c r="T228" s="53"/>
      <c r="U228" s="62" t="s">
        <v>1428</v>
      </c>
      <c r="V228" s="507"/>
      <c r="W228" s="877"/>
      <c r="X228" s="523">
        <f>OBRA!AR227</f>
        <v>263204.02</v>
      </c>
      <c r="Y228" s="5"/>
      <c r="Z228" s="309"/>
      <c r="AA228" s="5"/>
      <c r="AB228" s="313"/>
      <c r="AC228" s="317">
        <f>OBRA!BW227</f>
        <v>0</v>
      </c>
      <c r="AD228" s="352"/>
      <c r="AE228" s="352" t="s">
        <v>551</v>
      </c>
    </row>
    <row r="229" spans="1:31" ht="126.75" hidden="1" customHeight="1">
      <c r="A229" s="22" t="s">
        <v>2206</v>
      </c>
      <c r="B229" s="809" t="str">
        <f>GRAL!B230</f>
        <v>2015-2018</v>
      </c>
      <c r="C229" s="16">
        <f>OBRA!J228</f>
        <v>2017</v>
      </c>
      <c r="D229" s="783"/>
      <c r="E229" s="1" t="str">
        <f>OBRA!M228</f>
        <v>RAMO 33</v>
      </c>
      <c r="F229" s="17" t="s">
        <v>1428</v>
      </c>
      <c r="G229" s="507"/>
      <c r="H229" s="878"/>
      <c r="I229" s="507"/>
      <c r="J229" s="54" t="str">
        <f>OBRA!W228</f>
        <v>ING. SERGIO CABRERA</v>
      </c>
      <c r="K229" s="55" t="str">
        <f>OBRA!X228</f>
        <v>ING. ANGEL ALBERTO HERNANDEZ MORA</v>
      </c>
      <c r="L229" s="33" t="str">
        <f>OBRA!N228</f>
        <v>GMJ 003C OP/2017</v>
      </c>
      <c r="M229" s="2" t="str">
        <f>OBRA!O228</f>
        <v>ADJUDICACIÓN DIRECTA</v>
      </c>
      <c r="N229" s="3" t="str">
        <f>OBRA!P228</f>
        <v>REHABILITACIÓN DE LÍNEA DE DRENAJE EN CALLES PROLONGACIÓN GONZALEZ ORTEGA, CABECERA MUNICIPAL DE JOCOTEPEC JALISCO</v>
      </c>
      <c r="O229" s="464"/>
      <c r="P229" s="6">
        <f>OBRA!S228</f>
        <v>42857</v>
      </c>
      <c r="Q229" s="4">
        <f>OBRA!R228</f>
        <v>626112.69999999995</v>
      </c>
      <c r="R229" s="5">
        <f>OBRA!T228</f>
        <v>42860</v>
      </c>
      <c r="S229" s="11">
        <f>OBRA!U228</f>
        <v>42880</v>
      </c>
      <c r="T229" s="53"/>
      <c r="U229" s="377" t="s">
        <v>1428</v>
      </c>
      <c r="V229" s="507"/>
      <c r="W229" s="1229"/>
      <c r="X229" s="279">
        <f>OBRA!AR228</f>
        <v>125222.54</v>
      </c>
      <c r="Y229" s="5">
        <v>125222.54</v>
      </c>
      <c r="Z229" s="309"/>
      <c r="AA229" s="5"/>
      <c r="AB229" s="313"/>
      <c r="AC229" s="317">
        <f>OBRA!BW228</f>
        <v>0</v>
      </c>
      <c r="AD229" s="352"/>
      <c r="AE229" s="352" t="s">
        <v>551</v>
      </c>
    </row>
    <row r="230" spans="1:31" ht="153" hidden="1" customHeight="1">
      <c r="A230" s="22" t="s">
        <v>2206</v>
      </c>
      <c r="B230" s="809" t="str">
        <f>GRAL!B231</f>
        <v>2015-2018</v>
      </c>
      <c r="C230" s="16">
        <f>OBRA!J229</f>
        <v>2017</v>
      </c>
      <c r="D230" s="783"/>
      <c r="E230" s="1" t="str">
        <f>OBRA!M229</f>
        <v>RAMO 33</v>
      </c>
      <c r="F230" s="17" t="s">
        <v>1428</v>
      </c>
      <c r="G230" s="507"/>
      <c r="H230" s="878"/>
      <c r="I230" s="507"/>
      <c r="J230" s="54" t="str">
        <f>OBRA!W229</f>
        <v>ING. SERGIO CABRERA</v>
      </c>
      <c r="K230" s="55" t="str">
        <f>OBRA!X229</f>
        <v>ING. ANGEL ALBERTO HERNANDEZ MORA</v>
      </c>
      <c r="L230" s="33" t="str">
        <f>OBRA!N229</f>
        <v>GMJ 004C OP/2017</v>
      </c>
      <c r="M230" s="2" t="str">
        <f>OBRA!O229</f>
        <v>ADJUDICACIÓN DIRECTA</v>
      </c>
      <c r="N230" s="3" t="str">
        <f>OBRA!P229</f>
        <v>REHABILITACIÓN DE RED DE AGUA POTABLE EN CALLE PROLONGACIÓN GONZÁLEZ ORTEGA, CABECERA MUNICIPAL DE JOCOTEPEC JALISCO</v>
      </c>
      <c r="O230" s="464"/>
      <c r="P230" s="6">
        <f>OBRA!S229</f>
        <v>42857</v>
      </c>
      <c r="Q230" s="4">
        <f>OBRA!R229</f>
        <v>475018.98</v>
      </c>
      <c r="R230" s="5">
        <f>OBRA!T229</f>
        <v>42860</v>
      </c>
      <c r="S230" s="11">
        <f>OBRA!U229</f>
        <v>42885</v>
      </c>
      <c r="T230" s="53"/>
      <c r="U230" s="377" t="s">
        <v>1428</v>
      </c>
      <c r="V230" s="507"/>
      <c r="W230" s="1229"/>
      <c r="X230" s="279">
        <f>OBRA!AR229</f>
        <v>95003.78</v>
      </c>
      <c r="Y230" s="5"/>
      <c r="Z230" s="309"/>
      <c r="AA230" s="5"/>
      <c r="AB230" s="313"/>
      <c r="AC230" s="317">
        <f>OBRA!BW229</f>
        <v>0</v>
      </c>
      <c r="AD230" s="352"/>
      <c r="AE230" s="352" t="s">
        <v>551</v>
      </c>
    </row>
    <row r="231" spans="1:31" ht="102" hidden="1" customHeight="1">
      <c r="A231" s="22" t="s">
        <v>2206</v>
      </c>
      <c r="B231" s="809" t="str">
        <f>GRAL!B232</f>
        <v>2015-2018</v>
      </c>
      <c r="C231" s="16">
        <f>OBRA!J230</f>
        <v>2017</v>
      </c>
      <c r="D231" s="1415"/>
      <c r="E231" s="430" t="str">
        <f>OBRA!M230</f>
        <v>RAMO 33</v>
      </c>
      <c r="F231" s="13" t="s">
        <v>1428</v>
      </c>
      <c r="G231" s="1225"/>
      <c r="H231" s="1226"/>
      <c r="I231" s="507"/>
      <c r="J231" s="54" t="str">
        <f>OBRA!W230</f>
        <v>ING. SERGIO CABRERA</v>
      </c>
      <c r="K231" s="55" t="str">
        <f>OBRA!X230</f>
        <v>ING. ANGEL ALBERTO HERNANDEZ MORA</v>
      </c>
      <c r="L231" s="33" t="str">
        <f>OBRA!N230</f>
        <v>GMJ 005C OP/2017</v>
      </c>
      <c r="M231" s="2" t="str">
        <f>OBRA!O230</f>
        <v>ADJUDICACIÓN DIRECTA</v>
      </c>
      <c r="N231" s="3" t="str">
        <f>OBRA!P230</f>
        <v>CONSTRUCCIÓN DE HUELLAS DE CONCRETO EN CALLE PROLONGACIÓN GONZALEZ ORTEGA, CABECERA MUNICIPAL DE JOCOTEPEC JALISCO</v>
      </c>
      <c r="O231" s="466"/>
      <c r="P231" s="67">
        <f>OBRA!S230</f>
        <v>42857</v>
      </c>
      <c r="Q231" s="79">
        <f>OBRA!R230</f>
        <v>383419.34</v>
      </c>
      <c r="R231" s="5">
        <f>OBRA!T230</f>
        <v>42861</v>
      </c>
      <c r="S231" s="11">
        <f>OBRA!U230</f>
        <v>42901</v>
      </c>
      <c r="T231" s="53"/>
      <c r="U231" s="62" t="s">
        <v>1428</v>
      </c>
      <c r="V231" s="587"/>
      <c r="W231" s="1226"/>
      <c r="X231" s="642">
        <f>OBRA!AR230</f>
        <v>76683.86</v>
      </c>
      <c r="Y231" s="5"/>
      <c r="Z231" s="309"/>
      <c r="AA231" s="5"/>
      <c r="AB231" s="313"/>
      <c r="AC231" s="317">
        <f>OBRA!BW230</f>
        <v>0</v>
      </c>
      <c r="AD231" s="352"/>
      <c r="AE231" s="352" t="s">
        <v>551</v>
      </c>
    </row>
    <row r="232" spans="1:31" ht="48" hidden="1" customHeight="1">
      <c r="A232" s="22" t="s">
        <v>2206</v>
      </c>
      <c r="B232" s="809" t="str">
        <f>GRAL!B233</f>
        <v>2015-2018</v>
      </c>
      <c r="C232" s="16">
        <f>OBRA!J231</f>
        <v>2017</v>
      </c>
      <c r="D232" s="1415"/>
      <c r="E232" s="17" t="str">
        <f>OBRA!M231</f>
        <v>RAMO 33</v>
      </c>
      <c r="F232" s="17" t="s">
        <v>1428</v>
      </c>
      <c r="G232" s="1225"/>
      <c r="H232" s="1226"/>
      <c r="I232" s="507"/>
      <c r="J232" s="54" t="str">
        <f>OBRA!W231</f>
        <v xml:space="preserve">GRUPO DESARROLLADOR INMOBILIARIO CEMERAMA S.A. DE C.V. </v>
      </c>
      <c r="K232" s="55" t="str">
        <f>OBRA!X231</f>
        <v>LIC. SALVADOR CONTRERAS OLGUÍN</v>
      </c>
      <c r="L232" s="33" t="str">
        <f>OBRA!N231</f>
        <v>GMJ 006C OP/2017</v>
      </c>
      <c r="M232" s="2" t="str">
        <f>OBRA!O231</f>
        <v>ADJUDICACIÓN DIRECTA</v>
      </c>
      <c r="N232" s="3" t="str">
        <f>OBRA!P231</f>
        <v>CONSTRUCCIÓN DE RED DE DRENAJE DE POZO A CALLE JUAREZ</v>
      </c>
      <c r="O232" s="464"/>
      <c r="P232" s="67">
        <f>OBRA!S231</f>
        <v>42858</v>
      </c>
      <c r="Q232" s="4">
        <f>OBRA!R231</f>
        <v>167666.94</v>
      </c>
      <c r="R232" s="5">
        <f>OBRA!T231</f>
        <v>42859</v>
      </c>
      <c r="S232" s="11">
        <f>OBRA!U231</f>
        <v>42875</v>
      </c>
      <c r="T232" s="53"/>
      <c r="U232" s="377" t="s">
        <v>1428</v>
      </c>
      <c r="V232" s="587"/>
      <c r="W232" s="1226"/>
      <c r="X232" s="642">
        <f>OBRA!AR231</f>
        <v>33533.379999999997</v>
      </c>
      <c r="Y232" s="5"/>
      <c r="Z232" s="309"/>
      <c r="AA232" s="5"/>
      <c r="AB232" s="313"/>
      <c r="AC232" s="317">
        <f>OBRA!BW231</f>
        <v>0</v>
      </c>
      <c r="AD232" s="352"/>
      <c r="AE232" s="352" t="s">
        <v>551</v>
      </c>
    </row>
    <row r="233" spans="1:31" ht="101.25" hidden="1" customHeight="1">
      <c r="A233" s="22" t="s">
        <v>2206</v>
      </c>
      <c r="B233" s="809" t="str">
        <f>GRAL!B234</f>
        <v>2015-2018</v>
      </c>
      <c r="C233" s="16">
        <f>OBRA!J232</f>
        <v>2017</v>
      </c>
      <c r="D233" s="1415"/>
      <c r="E233" s="17" t="str">
        <f>OBRA!M232</f>
        <v>RAMO 33</v>
      </c>
      <c r="F233" s="17" t="s">
        <v>1428</v>
      </c>
      <c r="G233" s="1225"/>
      <c r="H233" s="1226"/>
      <c r="I233" s="507"/>
      <c r="J233" s="54" t="str">
        <f>OBRA!W232</f>
        <v xml:space="preserve">GRUPO DESARROLLADOR INMOBILIARIO CEMERAMA S.A. DE C.V. </v>
      </c>
      <c r="K233" s="55" t="str">
        <f>OBRA!X232</f>
        <v>LIC. SALVADOR CONTRERAS OLGUÍN</v>
      </c>
      <c r="L233" s="33" t="str">
        <f>OBRA!N232</f>
        <v>GMJ 007C OP/2017</v>
      </c>
      <c r="M233" s="2" t="str">
        <f>OBRA!O232</f>
        <v>ADJUDICACIÓN DIRECTA</v>
      </c>
      <c r="N233" s="3" t="str">
        <f>OBRA!P232</f>
        <v>CONSTRUCCIÓN DE LÍNEA ALIMENTADORA DE AGUA POTABLE DEL POZO A LA RED MUNICIPAL DE LA CALLE MORELOS DELEGACION DEL CHANTE</v>
      </c>
      <c r="O233" s="464"/>
      <c r="P233" s="67">
        <f>OBRA!S232</f>
        <v>42857</v>
      </c>
      <c r="Q233" s="4">
        <f>OBRA!R232</f>
        <v>336153.85</v>
      </c>
      <c r="R233" s="5">
        <f>OBRA!T232</f>
        <v>42868</v>
      </c>
      <c r="S233" s="11">
        <f>OBRA!U232</f>
        <v>42899</v>
      </c>
      <c r="T233" s="53"/>
      <c r="U233" s="377" t="s">
        <v>1428</v>
      </c>
      <c r="V233" s="587"/>
      <c r="W233" s="1226"/>
      <c r="X233" s="642">
        <f>OBRA!AR232</f>
        <v>67230.759999999995</v>
      </c>
      <c r="Y233" s="5"/>
      <c r="Z233" s="309"/>
      <c r="AA233" s="5"/>
      <c r="AB233" s="313"/>
      <c r="AC233" s="317">
        <f>OBRA!BW232</f>
        <v>0</v>
      </c>
      <c r="AD233" s="352"/>
      <c r="AE233" s="352" t="s">
        <v>551</v>
      </c>
    </row>
    <row r="234" spans="1:31" ht="102" hidden="1" customHeight="1">
      <c r="A234" s="22" t="s">
        <v>2206</v>
      </c>
      <c r="B234" s="809" t="str">
        <f>GRAL!B235</f>
        <v>2015-2018</v>
      </c>
      <c r="C234" s="16">
        <f>OBRA!J233</f>
        <v>2017</v>
      </c>
      <c r="D234" s="1415"/>
      <c r="E234" s="17" t="str">
        <f>OBRA!M233</f>
        <v>RAMO 33</v>
      </c>
      <c r="F234" s="17" t="s">
        <v>1428</v>
      </c>
      <c r="G234" s="507"/>
      <c r="H234" s="878"/>
      <c r="I234" s="507"/>
      <c r="J234" s="54" t="str">
        <f>OBRA!W233</f>
        <v>CONSTRUCCIONES VIKBRAK, S.A. DE C.V.</v>
      </c>
      <c r="K234" s="55" t="str">
        <f>OBRA!X233</f>
        <v>ARQ. JAIME CONDE GOMEZ</v>
      </c>
      <c r="L234" s="33" t="str">
        <f>OBRA!N233</f>
        <v>GMJ 008C OP/2017</v>
      </c>
      <c r="M234" s="2" t="str">
        <f>OBRA!O233</f>
        <v>ADJUDICACIÓN DIRECTA</v>
      </c>
      <c r="N234" s="3" t="str">
        <f>OBRA!P233</f>
        <v>REHABILITACIÓN DE RED DE DRENAJE EN CALLE NIÑOS HEROES DE INVIERNO A PROLONGACIÓN ALDAMA, EN LA CABECERA MUNICIPAL DE JOCOTEPEC JALISCO</v>
      </c>
      <c r="O234" s="464"/>
      <c r="P234" s="67">
        <f>OBRA!S233</f>
        <v>42857</v>
      </c>
      <c r="Q234" s="4">
        <f>OBRA!R233</f>
        <v>177076.07</v>
      </c>
      <c r="R234" s="5">
        <f>OBRA!T233</f>
        <v>42859</v>
      </c>
      <c r="S234" s="11">
        <f>OBRA!U233</f>
        <v>42890</v>
      </c>
      <c r="T234" s="53"/>
      <c r="U234" s="377" t="s">
        <v>1428</v>
      </c>
      <c r="V234" s="535"/>
      <c r="W234" s="437"/>
      <c r="X234" s="534">
        <f>OBRA!AR233</f>
        <v>0</v>
      </c>
      <c r="Y234" s="5"/>
      <c r="Z234" s="309"/>
      <c r="AA234" s="5"/>
      <c r="AB234" s="313"/>
      <c r="AC234" s="317">
        <f>OBRA!BW233</f>
        <v>0</v>
      </c>
      <c r="AD234" s="352"/>
      <c r="AE234" s="352" t="s">
        <v>1295</v>
      </c>
    </row>
    <row r="235" spans="1:31" ht="96.75" hidden="1" customHeight="1">
      <c r="A235" s="22" t="s">
        <v>2206</v>
      </c>
      <c r="B235" s="809" t="str">
        <f>GRAL!B236</f>
        <v>2015-2018</v>
      </c>
      <c r="C235" s="16">
        <f>OBRA!J234</f>
        <v>2017</v>
      </c>
      <c r="D235" s="1415"/>
      <c r="E235" s="17" t="str">
        <f>OBRA!M234</f>
        <v>RAMO 33</v>
      </c>
      <c r="F235" s="17" t="s">
        <v>1428</v>
      </c>
      <c r="G235" s="507"/>
      <c r="H235" s="878"/>
      <c r="I235" s="507"/>
      <c r="J235" s="54" t="str">
        <f>OBRA!W234</f>
        <v>CONSTRUCCIONES VIKBRAK, S.A. DE C.V.</v>
      </c>
      <c r="K235" s="55" t="str">
        <f>OBRA!X234</f>
        <v>ARQ. JAIME CONDE GOMEZ</v>
      </c>
      <c r="L235" s="33" t="str">
        <f>OBRA!N234</f>
        <v>GMJ 009C OP/2017</v>
      </c>
      <c r="M235" s="2" t="str">
        <f>OBRA!O234</f>
        <v>ADJUDICACIÓN DIRECTA</v>
      </c>
      <c r="N235" s="3" t="str">
        <f>OBRA!P234</f>
        <v>REHABILITACIÓN DE RED DE AGUA POTABLE EN CALLE NIÑOS HEROES, DE INVIERNO A PROLONGACIÓN ALDAMA, EN LA CABECERA MUNICIPAL DE JOCOTEPEC, JALISCO</v>
      </c>
      <c r="O235" s="464"/>
      <c r="P235" s="67">
        <f>OBRA!S234</f>
        <v>42858</v>
      </c>
      <c r="Q235" s="4">
        <f>OBRA!R234</f>
        <v>113674.93</v>
      </c>
      <c r="R235" s="5">
        <f>OBRA!T234</f>
        <v>42870</v>
      </c>
      <c r="S235" s="11">
        <f>OBRA!U234</f>
        <v>42886</v>
      </c>
      <c r="T235" s="53"/>
      <c r="U235" s="377" t="s">
        <v>1428</v>
      </c>
      <c r="V235" s="869"/>
      <c r="W235" s="870"/>
      <c r="X235" s="534">
        <f>OBRA!AR234</f>
        <v>0</v>
      </c>
      <c r="Y235" s="5"/>
      <c r="Z235" s="309"/>
      <c r="AA235" s="5"/>
      <c r="AB235" s="313"/>
      <c r="AC235" s="317">
        <f>OBRA!BW234</f>
        <v>0</v>
      </c>
      <c r="AD235" s="352"/>
      <c r="AE235" s="352" t="s">
        <v>1295</v>
      </c>
    </row>
    <row r="236" spans="1:31" ht="80.25" hidden="1" customHeight="1">
      <c r="A236" s="22" t="s">
        <v>2206</v>
      </c>
      <c r="B236" s="809" t="str">
        <f>GRAL!B237</f>
        <v>2015-2018</v>
      </c>
      <c r="C236" s="16">
        <f>OBRA!J235</f>
        <v>2017</v>
      </c>
      <c r="D236" s="1415"/>
      <c r="E236" s="17" t="str">
        <f>OBRA!M235</f>
        <v>RAMO 33</v>
      </c>
      <c r="F236" s="17" t="s">
        <v>1428</v>
      </c>
      <c r="G236" s="507"/>
      <c r="H236" s="510"/>
      <c r="I236" s="507"/>
      <c r="J236" s="54" t="str">
        <f>OBRA!W235</f>
        <v>CONSTRUCCIONES VIKBRAK, S.A. DE C.V.</v>
      </c>
      <c r="K236" s="55" t="str">
        <f>OBRA!X235</f>
        <v>ARQ. JAIME CONDE GOMEZ</v>
      </c>
      <c r="L236" s="33" t="str">
        <f>OBRA!N235</f>
        <v>GMJ 010C OP/2017</v>
      </c>
      <c r="M236" s="2" t="str">
        <f>OBRA!O235</f>
        <v>ADJUDICACIÓN DIRECTA</v>
      </c>
      <c r="N236" s="3" t="str">
        <f>OBRA!P235</f>
        <v>REHABILITACIÓN DE RED DE DRENAJE EN CALLE INVIERNO DE NIÑOS HEROES A ZARAGOZA, EN LA CABECERA MUNICIPAL</v>
      </c>
      <c r="O236" s="464"/>
      <c r="P236" s="67">
        <f>OBRA!S235</f>
        <v>42857</v>
      </c>
      <c r="Q236" s="4">
        <f>OBRA!R235</f>
        <v>228407.58</v>
      </c>
      <c r="R236" s="5">
        <f>OBRA!T235</f>
        <v>42859</v>
      </c>
      <c r="S236" s="11">
        <f>OBRA!U235</f>
        <v>42890</v>
      </c>
      <c r="T236" s="53"/>
      <c r="U236" s="377" t="s">
        <v>1428</v>
      </c>
      <c r="V236" s="535"/>
      <c r="W236" s="437"/>
      <c r="X236" s="534">
        <f>OBRA!AR235</f>
        <v>0</v>
      </c>
      <c r="Y236" s="5"/>
      <c r="Z236" s="309"/>
      <c r="AA236" s="5"/>
      <c r="AB236" s="313"/>
      <c r="AC236" s="317">
        <f>OBRA!BW235</f>
        <v>0</v>
      </c>
      <c r="AD236" s="352"/>
      <c r="AE236" s="352" t="s">
        <v>1295</v>
      </c>
    </row>
    <row r="237" spans="1:31" ht="82.5" hidden="1" customHeight="1">
      <c r="A237" s="22" t="s">
        <v>2206</v>
      </c>
      <c r="B237" s="809" t="str">
        <f>GRAL!B238</f>
        <v>2015-2018</v>
      </c>
      <c r="C237" s="16">
        <f>OBRA!J236</f>
        <v>2017</v>
      </c>
      <c r="D237" s="1415"/>
      <c r="E237" s="17" t="str">
        <f>OBRA!M236</f>
        <v>RAMO 33</v>
      </c>
      <c r="F237" s="17" t="s">
        <v>1428</v>
      </c>
      <c r="G237" s="507"/>
      <c r="H237" s="878"/>
      <c r="I237" s="507"/>
      <c r="J237" s="54" t="str">
        <f>OBRA!W236</f>
        <v>CONSTRUCCIONES VIKBRAK, S.A. DE C.V.</v>
      </c>
      <c r="K237" s="55" t="str">
        <f>OBRA!X236</f>
        <v>ARQ. JAIME CONDE GOMEZ</v>
      </c>
      <c r="L237" s="33" t="str">
        <f>OBRA!N236</f>
        <v>GMJ 011C OP/2017</v>
      </c>
      <c r="M237" s="2" t="str">
        <f>OBRA!O236</f>
        <v>ADJUDICACIÓN DIRECTA</v>
      </c>
      <c r="N237" s="3" t="str">
        <f>OBRA!P236</f>
        <v>REHABILITACIÓN DE RED DE AGUA POTABLE EN CALLE INVIERNO, DE NIÑOS HEROES A ZARAGOZA, EN LA CABECERA MUNICIPAL DE JOCOTEPEC, JALISCO</v>
      </c>
      <c r="O237" s="464"/>
      <c r="P237" s="67">
        <f>OBRA!S236</f>
        <v>42858</v>
      </c>
      <c r="Q237" s="4">
        <f>OBRA!R236</f>
        <v>147033.21</v>
      </c>
      <c r="R237" s="5">
        <f>OBRA!T236</f>
        <v>42870</v>
      </c>
      <c r="S237" s="11">
        <f>OBRA!U236</f>
        <v>42886</v>
      </c>
      <c r="T237" s="53"/>
      <c r="U237" s="377" t="s">
        <v>1428</v>
      </c>
      <c r="V237" s="869"/>
      <c r="W237" s="870"/>
      <c r="X237" s="534">
        <f>OBRA!AR236</f>
        <v>0</v>
      </c>
      <c r="Y237" s="5"/>
      <c r="Z237" s="309"/>
      <c r="AA237" s="5"/>
      <c r="AB237" s="313"/>
      <c r="AC237" s="317">
        <f>OBRA!BW236</f>
        <v>0</v>
      </c>
      <c r="AD237" s="352"/>
      <c r="AE237" s="352" t="s">
        <v>1295</v>
      </c>
    </row>
    <row r="238" spans="1:31" ht="87.75" hidden="1" customHeight="1">
      <c r="A238" s="22" t="s">
        <v>2206</v>
      </c>
      <c r="B238" s="809" t="str">
        <f>GRAL!B239</f>
        <v>2015-2018</v>
      </c>
      <c r="C238" s="16">
        <f>OBRA!J237</f>
        <v>2017</v>
      </c>
      <c r="D238" s="1415"/>
      <c r="E238" s="17" t="str">
        <f>OBRA!M237</f>
        <v>RAMO 33</v>
      </c>
      <c r="F238" s="17" t="s">
        <v>1428</v>
      </c>
      <c r="G238" s="507"/>
      <c r="H238" s="878"/>
      <c r="I238" s="507"/>
      <c r="J238" s="54" t="str">
        <f>OBRA!W237</f>
        <v>CONSTRUCCIONES VIKBRAK, S.A. DE C.V.</v>
      </c>
      <c r="K238" s="55" t="str">
        <f>OBRA!X237</f>
        <v>ARQ. JAIME CONDE GOMEZ</v>
      </c>
      <c r="L238" s="33" t="str">
        <f>OBRA!N237</f>
        <v>GMJ 012C OP/2017</v>
      </c>
      <c r="M238" s="2" t="str">
        <f>OBRA!O237</f>
        <v>ADJUDICACIÓN DIRECTA</v>
      </c>
      <c r="N238" s="3" t="str">
        <f>OBRA!P237</f>
        <v>REHABILITACIÓN DE RED DE DRENAJE EN CALLE ZARAGOZA DE INVIERNO A OTOÑO, EN LA CABECERA MUNICIPAL DE JOCOTEPEC JALISCO</v>
      </c>
      <c r="O238" s="464"/>
      <c r="P238" s="67">
        <f>OBRA!S237</f>
        <v>42858</v>
      </c>
      <c r="Q238" s="4">
        <f>OBRA!R237</f>
        <v>81517.39</v>
      </c>
      <c r="R238" s="5">
        <f>OBRA!T237</f>
        <v>42859</v>
      </c>
      <c r="S238" s="11">
        <f>OBRA!U237</f>
        <v>42890</v>
      </c>
      <c r="T238" s="53"/>
      <c r="U238" s="377" t="s">
        <v>1428</v>
      </c>
      <c r="V238" s="869"/>
      <c r="W238" s="870"/>
      <c r="X238" s="534">
        <f>OBRA!AR237</f>
        <v>0</v>
      </c>
      <c r="Y238" s="5"/>
      <c r="Z238" s="309"/>
      <c r="AA238" s="5"/>
      <c r="AB238" s="313"/>
      <c r="AC238" s="317">
        <f>OBRA!BW237</f>
        <v>0</v>
      </c>
      <c r="AD238" s="352"/>
      <c r="AE238" s="352" t="s">
        <v>1295</v>
      </c>
    </row>
    <row r="239" spans="1:31" ht="110.25" hidden="1" customHeight="1">
      <c r="A239" s="22" t="s">
        <v>2206</v>
      </c>
      <c r="B239" s="809" t="str">
        <f>GRAL!B240</f>
        <v>2015-2018</v>
      </c>
      <c r="C239" s="16">
        <f>OBRA!J238</f>
        <v>2017</v>
      </c>
      <c r="D239" s="1415"/>
      <c r="E239" s="17" t="str">
        <f>OBRA!M238</f>
        <v>RAMO 33</v>
      </c>
      <c r="F239" s="17" t="s">
        <v>1428</v>
      </c>
      <c r="G239" s="507"/>
      <c r="H239" s="878"/>
      <c r="I239" s="507"/>
      <c r="J239" s="54" t="str">
        <f>OBRA!W238</f>
        <v>CONSTRUCCIONES VIKBRAK, S.A. DE C.V.</v>
      </c>
      <c r="K239" s="55" t="str">
        <f>OBRA!X238</f>
        <v>ARQ. JAIME CONDE GOMEZ</v>
      </c>
      <c r="L239" s="33" t="str">
        <f>OBRA!N238</f>
        <v>GMJ 013C OP/2017</v>
      </c>
      <c r="M239" s="2" t="str">
        <f>OBRA!O238</f>
        <v>ADJUDICACIÓN DIRECTA</v>
      </c>
      <c r="N239" s="3" t="str">
        <f>OBRA!P238</f>
        <v>REHABILITACIÓN DE RED DE AGUA POTABLE EN CALLE ZARAGOZA DE INVIERNO A OTOÑO, EN LA CABECERA MUNICIPAL DE JOCOTEPEC, JALISCO</v>
      </c>
      <c r="O239" s="464"/>
      <c r="P239" s="67">
        <f>OBRA!S238</f>
        <v>42858</v>
      </c>
      <c r="Q239" s="4">
        <f>OBRA!R238</f>
        <v>52148.39</v>
      </c>
      <c r="R239" s="5">
        <f>OBRA!T238</f>
        <v>42870</v>
      </c>
      <c r="S239" s="11">
        <f>OBRA!U238</f>
        <v>42886</v>
      </c>
      <c r="T239" s="53"/>
      <c r="U239" s="377" t="s">
        <v>1428</v>
      </c>
      <c r="V239" s="869"/>
      <c r="W239" s="870"/>
      <c r="X239" s="534">
        <f>OBRA!AR238</f>
        <v>0</v>
      </c>
      <c r="Y239" s="5"/>
      <c r="Z239" s="309"/>
      <c r="AA239" s="5"/>
      <c r="AB239" s="313"/>
      <c r="AC239" s="317">
        <f>OBRA!BW238</f>
        <v>0</v>
      </c>
      <c r="AD239" s="352"/>
      <c r="AE239" s="352" t="s">
        <v>1295</v>
      </c>
    </row>
    <row r="240" spans="1:31" ht="115.5" hidden="1" customHeight="1">
      <c r="A240" s="22" t="s">
        <v>2206</v>
      </c>
      <c r="B240" s="809" t="str">
        <f>GRAL!B241</f>
        <v>2015-2018</v>
      </c>
      <c r="C240" s="16">
        <f>OBRA!J239</f>
        <v>2017</v>
      </c>
      <c r="D240" s="1415"/>
      <c r="E240" s="17" t="str">
        <f>OBRA!M239</f>
        <v>RAMO 33</v>
      </c>
      <c r="F240" s="17" t="s">
        <v>1428</v>
      </c>
      <c r="G240" s="507"/>
      <c r="H240" s="878"/>
      <c r="I240" s="507"/>
      <c r="J240" s="54" t="str">
        <f>OBRA!W239</f>
        <v>SERVICIOS ARQUITECTÓNICOS MOAPAL S.A. DE C.V.</v>
      </c>
      <c r="K240" s="55" t="str">
        <f>OBRA!X239</f>
        <v>ING. J. GUADALUPE IBARRA RAMIREZ</v>
      </c>
      <c r="L240" s="33" t="str">
        <f>OBRA!N239</f>
        <v>GMJ 014C OP/2017</v>
      </c>
      <c r="M240" s="2" t="str">
        <f>OBRA!O239</f>
        <v>ADJUDICACIÓN DIRECTA</v>
      </c>
      <c r="N240" s="3" t="str">
        <f>OBRA!P239</f>
        <v>REHABILITACIÓN DE RED DE DRENAJE EN CALLE VENUSTIANO CARRANZA DE PRIMAVERA A ITURBIDE, EN LA CABECERA MUNICIPAL DE JOCOTEPEC, JALISCO</v>
      </c>
      <c r="O240" s="464"/>
      <c r="P240" s="67">
        <f>OBRA!S239</f>
        <v>42888</v>
      </c>
      <c r="Q240" s="4">
        <f>OBRA!R239</f>
        <v>206557.32</v>
      </c>
      <c r="R240" s="5">
        <f>OBRA!T239</f>
        <v>42888</v>
      </c>
      <c r="S240" s="11">
        <f>OBRA!U239</f>
        <v>42902</v>
      </c>
      <c r="T240" s="53"/>
      <c r="U240" s="377" t="s">
        <v>1428</v>
      </c>
      <c r="V240" s="507"/>
      <c r="W240" s="1230"/>
      <c r="X240" s="340">
        <f>OBRA!AR239</f>
        <v>20655.73</v>
      </c>
      <c r="Y240" s="5"/>
      <c r="Z240" s="309"/>
      <c r="AA240" s="5"/>
      <c r="AB240" s="313"/>
      <c r="AC240" s="317">
        <f>OBRA!BW239</f>
        <v>0</v>
      </c>
      <c r="AD240" s="352"/>
      <c r="AE240" s="352" t="s">
        <v>551</v>
      </c>
    </row>
    <row r="241" spans="1:31" ht="112.5" hidden="1" customHeight="1">
      <c r="A241" s="22" t="s">
        <v>2206</v>
      </c>
      <c r="B241" s="809" t="str">
        <f>GRAL!B242</f>
        <v>2015-2018</v>
      </c>
      <c r="C241" s="16">
        <f>OBRA!J240</f>
        <v>2017</v>
      </c>
      <c r="D241" s="1415"/>
      <c r="E241" s="17" t="str">
        <f>OBRA!M240</f>
        <v>RAMO 33</v>
      </c>
      <c r="F241" s="17" t="s">
        <v>1428</v>
      </c>
      <c r="G241" s="507"/>
      <c r="H241" s="881"/>
      <c r="I241" s="1227"/>
      <c r="J241" s="54" t="str">
        <f>OBRA!W240</f>
        <v>SERVICIOS ARQUITECTÓNICOS MOAPAL S.A. DE C.V.</v>
      </c>
      <c r="K241" s="55" t="str">
        <f>OBRA!X240</f>
        <v>ING. J. GUADALUPE IBARRA RAMIREZ</v>
      </c>
      <c r="L241" s="33" t="str">
        <f>OBRA!N240</f>
        <v>GMJ 015C OP/2017</v>
      </c>
      <c r="M241" s="2" t="str">
        <f>OBRA!O240</f>
        <v>ADJUDICACIÓN DIRECTA</v>
      </c>
      <c r="N241" s="3" t="str">
        <f>OBRA!P240</f>
        <v>REHABILITACIÓN DE RED DE AGUA POTABLE EN CALLE VENUSTIANO CARRANZA DE PRIMAVERA A ITURBIDE, EN LA CABECERA MUNICIPAL DE JOCOTEPEC, JALISCO</v>
      </c>
      <c r="O241" s="464"/>
      <c r="P241" s="67">
        <f>OBRA!S240</f>
        <v>42887</v>
      </c>
      <c r="Q241" s="4">
        <f>OBRA!R240</f>
        <v>125546.81</v>
      </c>
      <c r="R241" s="5">
        <f>OBRA!T240</f>
        <v>42888</v>
      </c>
      <c r="S241" s="11">
        <f>OBRA!U240</f>
        <v>42902</v>
      </c>
      <c r="T241" s="53"/>
      <c r="U241" s="377" t="s">
        <v>1428</v>
      </c>
      <c r="V241" s="507"/>
      <c r="W241" s="1229"/>
      <c r="X241" s="340">
        <f>OBRA!AR240</f>
        <v>12554.68</v>
      </c>
      <c r="Y241" s="5"/>
      <c r="Z241" s="309"/>
      <c r="AA241" s="5"/>
      <c r="AB241" s="313"/>
      <c r="AC241" s="317">
        <f>OBRA!BW240</f>
        <v>0</v>
      </c>
      <c r="AD241" s="352"/>
      <c r="AE241" s="352" t="s">
        <v>551</v>
      </c>
    </row>
    <row r="242" spans="1:31" ht="86.25" hidden="1" customHeight="1">
      <c r="A242" s="22" t="s">
        <v>2206</v>
      </c>
      <c r="B242" s="809" t="str">
        <f>GRAL!B243</f>
        <v>2015-2018</v>
      </c>
      <c r="C242" s="16">
        <f>OBRA!J241</f>
        <v>2017</v>
      </c>
      <c r="D242" s="1415"/>
      <c r="E242" s="17" t="str">
        <f>OBRA!M241</f>
        <v>CUENTA CORRIENTE</v>
      </c>
      <c r="F242" s="38" t="s">
        <v>1428</v>
      </c>
      <c r="G242" s="507"/>
      <c r="H242" s="878"/>
      <c r="I242" s="507"/>
      <c r="J242" s="54" t="str">
        <f>OBRA!W241</f>
        <v>ARGUELLES ARQUITECTOS S.A. DE C.V.</v>
      </c>
      <c r="K242" s="55" t="str">
        <f>OBRA!X241</f>
        <v>ARQ. JAIME CONDE GOMEZ</v>
      </c>
      <c r="L242" s="33" t="str">
        <f>OBRA!N241</f>
        <v>GMJ 016C OP/2017</v>
      </c>
      <c r="M242" s="2" t="str">
        <f>OBRA!O241</f>
        <v>ADJUDICACIÓN DIRECTA</v>
      </c>
      <c r="N242" s="3" t="str">
        <f>OBRA!P241</f>
        <v>CONSTRUCCIÓN DE LA AMPLIACIÓN DEL PANTEON MUNICIPAL, PRIMERA ETAPA EN LA CABECERA MUNICIPAL DE JOCOTEPEC, JALISCO</v>
      </c>
      <c r="O242" s="504"/>
      <c r="P242" s="67">
        <f>OBRA!S241</f>
        <v>42893</v>
      </c>
      <c r="Q242" s="4">
        <f>OBRA!R241</f>
        <v>1570967.83</v>
      </c>
      <c r="R242" s="5">
        <f>OBRA!T241</f>
        <v>42905</v>
      </c>
      <c r="S242" s="11">
        <f>OBRA!U241</f>
        <v>43027</v>
      </c>
      <c r="T242" s="53"/>
      <c r="U242" s="377" t="s">
        <v>1428</v>
      </c>
      <c r="V242" s="587"/>
      <c r="W242" s="1231"/>
      <c r="X242" s="659">
        <f>OBRA!AR241</f>
        <v>628386.98</v>
      </c>
      <c r="Y242" s="5"/>
      <c r="Z242" s="309"/>
      <c r="AA242" s="5"/>
      <c r="AB242" s="313"/>
      <c r="AC242" s="317">
        <f>OBRA!BW241</f>
        <v>0</v>
      </c>
      <c r="AD242" s="352"/>
      <c r="AE242" s="352" t="s">
        <v>551</v>
      </c>
    </row>
    <row r="243" spans="1:31" ht="114.75" hidden="1" customHeight="1">
      <c r="A243" s="22" t="s">
        <v>2206</v>
      </c>
      <c r="B243" s="809" t="str">
        <f>GRAL!B244</f>
        <v>2015-2018</v>
      </c>
      <c r="C243" s="16">
        <f>OBRA!J242</f>
        <v>2017</v>
      </c>
      <c r="D243" s="1415"/>
      <c r="E243" s="17" t="str">
        <f>OBRA!M242</f>
        <v>RAMO 33</v>
      </c>
      <c r="F243" s="394" t="s">
        <v>1428</v>
      </c>
      <c r="G243" s="507"/>
      <c r="H243" s="878"/>
      <c r="I243" s="507"/>
      <c r="J243" s="54" t="str">
        <f>OBRA!W242</f>
        <v>ING. SERGIO CABRERA</v>
      </c>
      <c r="K243" s="55" t="str">
        <f>OBRA!X242</f>
        <v>ING. J. GUADALUPE IBARRA RAMIREZ</v>
      </c>
      <c r="L243" s="33" t="str">
        <f>OBRA!N242</f>
        <v>GMJ 017C OP/2017</v>
      </c>
      <c r="M243" s="2" t="str">
        <f>OBRA!O242</f>
        <v>ADJUDICACIÓN DIRECTA</v>
      </c>
      <c r="N243" s="3" t="str">
        <f>OBRA!P242</f>
        <v>REHABILITACIÓN DE RED DE DRENAJE EN CALLE VERNANO DE ANDADOR JESÚS MORALES A 21 DE MARZO, EN LA CABECERA MUNICIPAL DE JOCOTEPEC, JALISCO</v>
      </c>
      <c r="O243" s="464"/>
      <c r="P243" s="67">
        <f>OBRA!S242</f>
        <v>42902</v>
      </c>
      <c r="Q243" s="4">
        <f>OBRA!R242</f>
        <v>143878.99</v>
      </c>
      <c r="R243" s="5">
        <f>OBRA!T242</f>
        <v>42907</v>
      </c>
      <c r="S243" s="11">
        <f>OBRA!U242</f>
        <v>42968</v>
      </c>
      <c r="T243" s="53"/>
      <c r="U243" s="377" t="s">
        <v>1428</v>
      </c>
      <c r="V243" s="535"/>
      <c r="W243" s="437"/>
      <c r="X243" s="659">
        <f>OBRA!AR242</f>
        <v>64745.52</v>
      </c>
      <c r="Y243" s="5"/>
      <c r="Z243" s="309"/>
      <c r="AA243" s="5"/>
      <c r="AB243" s="313"/>
      <c r="AC243" s="317">
        <f>OBRA!BW242</f>
        <v>0</v>
      </c>
      <c r="AD243" s="352"/>
      <c r="AE243" s="352" t="s">
        <v>1295</v>
      </c>
    </row>
    <row r="244" spans="1:31" ht="93" hidden="1" customHeight="1">
      <c r="A244" s="22" t="s">
        <v>2206</v>
      </c>
      <c r="B244" s="809" t="str">
        <f>GRAL!B245</f>
        <v>2015-2018</v>
      </c>
      <c r="C244" s="16">
        <f>OBRA!J243</f>
        <v>2017</v>
      </c>
      <c r="D244" s="1415"/>
      <c r="E244" s="17" t="str">
        <f>OBRA!M243</f>
        <v>RAMO 33</v>
      </c>
      <c r="F244" s="17" t="s">
        <v>1428</v>
      </c>
      <c r="G244" s="507"/>
      <c r="H244" s="878"/>
      <c r="I244" s="507"/>
      <c r="J244" s="54" t="str">
        <f>OBRA!W243</f>
        <v>ING. SERGIO CABRERA</v>
      </c>
      <c r="K244" s="55" t="str">
        <f>OBRA!X243</f>
        <v>ING. J. GUADALUPE IBARRA RAMIREZ</v>
      </c>
      <c r="L244" s="33" t="str">
        <f>OBRA!N243</f>
        <v>GMJ 018C OP/2017</v>
      </c>
      <c r="M244" s="2" t="str">
        <f>OBRA!O243</f>
        <v>ADJUDICACIÓN DIRECTA</v>
      </c>
      <c r="N244" s="3" t="str">
        <f>OBRA!P243</f>
        <v>REHABILITACIÓN DE RED DE AGUA POTABLE EN CALLE VERANO DE ANDADOR JESÚS MORALES A 21 DE MARZO, EN LA CABECERA MUNICIPAL DE JOCOTEPEC, JALISCO</v>
      </c>
      <c r="O244" s="464"/>
      <c r="P244" s="67">
        <f>OBRA!S243</f>
        <v>42902</v>
      </c>
      <c r="Q244" s="4">
        <f>OBRA!R243</f>
        <v>88991.13</v>
      </c>
      <c r="R244" s="5">
        <f>OBRA!T243</f>
        <v>42907</v>
      </c>
      <c r="S244" s="11">
        <f>OBRA!U243</f>
        <v>42968</v>
      </c>
      <c r="T244" s="53"/>
      <c r="U244" s="377" t="s">
        <v>1428</v>
      </c>
      <c r="V244" s="869"/>
      <c r="W244" s="1231"/>
      <c r="X244" s="659">
        <f>OBRA!AR243</f>
        <v>31146.89</v>
      </c>
      <c r="Y244" s="5"/>
      <c r="Z244" s="309"/>
      <c r="AA244" s="5"/>
      <c r="AB244" s="313"/>
      <c r="AC244" s="317">
        <f>OBRA!BW243</f>
        <v>0</v>
      </c>
      <c r="AD244" s="352"/>
      <c r="AE244" s="352" t="s">
        <v>1295</v>
      </c>
    </row>
    <row r="245" spans="1:31" ht="99.75" hidden="1" customHeight="1">
      <c r="A245" s="22" t="s">
        <v>2206</v>
      </c>
      <c r="B245" s="809" t="str">
        <f>GRAL!B246</f>
        <v>2015-2018</v>
      </c>
      <c r="C245" s="16">
        <f>OBRA!J244</f>
        <v>2017</v>
      </c>
      <c r="D245" s="1415"/>
      <c r="E245" s="17" t="str">
        <f>OBRA!M244</f>
        <v>RAMO 33</v>
      </c>
      <c r="F245" s="17" t="s">
        <v>1428</v>
      </c>
      <c r="G245" s="507"/>
      <c r="H245" s="878"/>
      <c r="I245" s="507"/>
      <c r="J245" s="54" t="str">
        <f>OBRA!W244</f>
        <v>ING. SERGIO CABRERA</v>
      </c>
      <c r="K245" s="55" t="str">
        <f>OBRA!X244</f>
        <v>ING. J. GUADALUPE IBARRA RAMIREZ</v>
      </c>
      <c r="L245" s="33" t="str">
        <f>OBRA!N244</f>
        <v>GMJ 019C OP/2017</v>
      </c>
      <c r="M245" s="2" t="str">
        <f>OBRA!O244</f>
        <v>ADJUDICACIÓN DIRECTA</v>
      </c>
      <c r="N245" s="3" t="str">
        <f>OBRA!P244</f>
        <v>REHABILITACIÓN DE RED DE DRENAJE EN CALLE VERANO, DE 21 DE MARZO A 20 DE NOVIEMBRE, EN LA CABECERA MUNICIPAL DE JOCOTEPEC, JALISCO</v>
      </c>
      <c r="O245" s="464"/>
      <c r="P245" s="67">
        <f>OBRA!S244</f>
        <v>42902</v>
      </c>
      <c r="Q245" s="4">
        <f>OBRA!R244</f>
        <v>120964.57</v>
      </c>
      <c r="R245" s="5">
        <f>OBRA!T244</f>
        <v>42907</v>
      </c>
      <c r="S245" s="11">
        <f>OBRA!U244</f>
        <v>42968</v>
      </c>
      <c r="T245" s="53"/>
      <c r="U245" s="377" t="s">
        <v>1428</v>
      </c>
      <c r="V245" s="869"/>
      <c r="W245" s="1231"/>
      <c r="X245" s="280">
        <f>OBRA!AR244</f>
        <v>54434.039999999994</v>
      </c>
      <c r="Y245" s="5"/>
      <c r="Z245" s="309"/>
      <c r="AA245" s="5"/>
      <c r="AB245" s="313"/>
      <c r="AC245" s="317">
        <f>OBRA!BW244</f>
        <v>0</v>
      </c>
      <c r="AD245" s="352"/>
      <c r="AE245" s="352" t="s">
        <v>1295</v>
      </c>
    </row>
    <row r="246" spans="1:31" ht="123" hidden="1" customHeight="1">
      <c r="A246" s="22" t="s">
        <v>2206</v>
      </c>
      <c r="B246" s="809" t="str">
        <f>GRAL!B247</f>
        <v>2015-2018</v>
      </c>
      <c r="C246" s="16">
        <f>OBRA!J245</f>
        <v>2017</v>
      </c>
      <c r="D246" s="1415"/>
      <c r="E246" s="17" t="str">
        <f>OBRA!M245</f>
        <v>RAMO 33</v>
      </c>
      <c r="F246" s="17" t="s">
        <v>1428</v>
      </c>
      <c r="G246" s="507"/>
      <c r="H246" s="878"/>
      <c r="I246" s="507"/>
      <c r="J246" s="54" t="str">
        <f>OBRA!W245</f>
        <v>ING. SERGIO CABRERA</v>
      </c>
      <c r="K246" s="55" t="str">
        <f>OBRA!X245</f>
        <v>ING. J. GUADALUPE IBARRA RAMIREZ</v>
      </c>
      <c r="L246" s="33" t="str">
        <f>OBRA!N245</f>
        <v>GMJ 020C OP/2017</v>
      </c>
      <c r="M246" s="2" t="str">
        <f>OBRA!O245</f>
        <v>ADJUDICACIÓN DIRECTA</v>
      </c>
      <c r="N246" s="3" t="str">
        <f>OBRA!P245</f>
        <v>REHABILITACIÓN DE RED DE AGUA POTABLE EN CALLE VERANO, DE 21 DE MARZO A 20 DE NOVIEMBRE, EN LA CABECERA MUNICIPAL DE JOCOTEPEC, JALISCO</v>
      </c>
      <c r="O246" s="464"/>
      <c r="P246" s="67">
        <f>OBRA!S245</f>
        <v>42902</v>
      </c>
      <c r="Q246" s="4">
        <f>OBRA!R245</f>
        <v>77992.240000000005</v>
      </c>
      <c r="R246" s="5">
        <f>OBRA!T245</f>
        <v>42907</v>
      </c>
      <c r="S246" s="11">
        <f>OBRA!U245</f>
        <v>42968</v>
      </c>
      <c r="T246" s="53"/>
      <c r="U246" s="377" t="s">
        <v>1428</v>
      </c>
      <c r="V246" s="869"/>
      <c r="W246" s="1231"/>
      <c r="X246" s="280">
        <f>OBRA!AR245</f>
        <v>27297.280000000002</v>
      </c>
      <c r="Y246" s="5"/>
      <c r="Z246" s="309"/>
      <c r="AA246" s="5"/>
      <c r="AB246" s="313"/>
      <c r="AC246" s="317">
        <f>OBRA!BW245</f>
        <v>0</v>
      </c>
      <c r="AD246" s="352"/>
      <c r="AE246" s="352" t="s">
        <v>1295</v>
      </c>
    </row>
    <row r="247" spans="1:31" ht="102" hidden="1" customHeight="1">
      <c r="A247" s="22" t="s">
        <v>2206</v>
      </c>
      <c r="B247" s="809" t="str">
        <f>GRAL!B248</f>
        <v>2015-2018</v>
      </c>
      <c r="C247" s="16">
        <f>OBRA!J246</f>
        <v>2017</v>
      </c>
      <c r="D247" s="1415"/>
      <c r="E247" s="17" t="str">
        <f>OBRA!M246</f>
        <v>RAMO 33</v>
      </c>
      <c r="F247" s="17" t="s">
        <v>1428</v>
      </c>
      <c r="G247" s="507"/>
      <c r="H247" s="878"/>
      <c r="I247" s="507"/>
      <c r="J247" s="54" t="str">
        <f>OBRA!W246</f>
        <v>GILCO INGENIERIA S.A. DE C.V.</v>
      </c>
      <c r="K247" s="55" t="str">
        <f>OBRA!X246</f>
        <v>ING. J. GUADALUPE IBARRA RAMIREZ</v>
      </c>
      <c r="L247" s="33" t="str">
        <f>OBRA!N246</f>
        <v>GMJ 021C OP/2017</v>
      </c>
      <c r="M247" s="2" t="str">
        <f>OBRA!O246</f>
        <v>ADJUDICACIÓN DIRECTA</v>
      </c>
      <c r="N247" s="3" t="str">
        <f>OBRA!P246</f>
        <v>REHABILITACIÓN DE RED DE DRENAJE EN CALLE VERANO DE 20 DE NOVIEMBRE A VENUSTIANO CARRANZA EN LA CABECERA MUNICIPAL, DE JOCOTEPEC, JALISCO</v>
      </c>
      <c r="O247" s="504"/>
      <c r="P247" s="67">
        <f>OBRA!S246</f>
        <v>42944</v>
      </c>
      <c r="Q247" s="4">
        <f>OBRA!R246</f>
        <v>125684.46</v>
      </c>
      <c r="R247" s="5">
        <f>OBRA!T246</f>
        <v>42948</v>
      </c>
      <c r="S247" s="11">
        <f>OBRA!U246</f>
        <v>42978</v>
      </c>
      <c r="T247" s="53"/>
      <c r="U247" s="377" t="s">
        <v>1428</v>
      </c>
      <c r="V247" s="587"/>
      <c r="W247" s="1231"/>
      <c r="X247" s="659">
        <f>OBRA!AR246</f>
        <v>56558.020000000004</v>
      </c>
      <c r="Y247" s="5"/>
      <c r="Z247" s="309"/>
      <c r="AA247" s="5"/>
      <c r="AB247" s="313"/>
      <c r="AC247" s="317">
        <f>OBRA!BW246</f>
        <v>0</v>
      </c>
      <c r="AD247" s="352"/>
      <c r="AE247" s="352" t="s">
        <v>551</v>
      </c>
    </row>
    <row r="248" spans="1:31" ht="105.75" hidden="1" customHeight="1">
      <c r="A248" s="22" t="s">
        <v>2206</v>
      </c>
      <c r="B248" s="809" t="str">
        <f>GRAL!B249</f>
        <v>2015-2018</v>
      </c>
      <c r="C248" s="16">
        <f>OBRA!J247</f>
        <v>2017</v>
      </c>
      <c r="D248" s="1415"/>
      <c r="E248" s="17" t="str">
        <f>OBRA!M247</f>
        <v>RAMO 33</v>
      </c>
      <c r="F248" s="17" t="s">
        <v>1428</v>
      </c>
      <c r="G248" s="507"/>
      <c r="H248" s="878"/>
      <c r="I248" s="507"/>
      <c r="J248" s="54" t="str">
        <f>OBRA!W247</f>
        <v>GILCO INGENIERIA S.A. DE C.V.</v>
      </c>
      <c r="K248" s="55" t="str">
        <f>OBRA!X247</f>
        <v>ING. J. GUADALUPE IBARRA RAMIREZ</v>
      </c>
      <c r="L248" s="33" t="str">
        <f>OBRA!N247</f>
        <v>GMJ 022C OP/2017</v>
      </c>
      <c r="M248" s="2" t="str">
        <f>OBRA!O247</f>
        <v>ADJUDICACIÓN DIRECTA</v>
      </c>
      <c r="N248" s="3" t="str">
        <f>OBRA!P247</f>
        <v>REHABILITACIÓN DE RED DE AGUA POTABLE EN CALLE VERANO DE 20 DE NOVIEMBRE A VENUSTIANO CARRANZA, EN LA CABECERA MUNICIPAL, DE JOCOTEPEC, JALISCO</v>
      </c>
      <c r="O248" s="504"/>
      <c r="P248" s="67">
        <f>OBRA!S247</f>
        <v>42944</v>
      </c>
      <c r="Q248" s="4">
        <f>OBRA!R247</f>
        <v>79897.39</v>
      </c>
      <c r="R248" s="5">
        <f>OBRA!T247</f>
        <v>42948</v>
      </c>
      <c r="S248" s="11">
        <f>OBRA!U247</f>
        <v>42978</v>
      </c>
      <c r="T248" s="53"/>
      <c r="U248" s="377" t="s">
        <v>1428</v>
      </c>
      <c r="V248" s="869"/>
      <c r="W248" s="870"/>
      <c r="X248" s="280">
        <f>OBRA!AR247</f>
        <v>19974.349999999999</v>
      </c>
      <c r="Y248" s="5"/>
      <c r="Z248" s="309"/>
      <c r="AA248" s="5"/>
      <c r="AB248" s="313"/>
      <c r="AC248" s="317">
        <f>OBRA!BW247</f>
        <v>0</v>
      </c>
      <c r="AD248" s="352"/>
      <c r="AE248" s="352" t="s">
        <v>1295</v>
      </c>
    </row>
    <row r="249" spans="1:31" ht="107.25" hidden="1" customHeight="1">
      <c r="A249" s="22" t="s">
        <v>2206</v>
      </c>
      <c r="B249" s="809" t="str">
        <f>GRAL!B250</f>
        <v>2015-2018</v>
      </c>
      <c r="C249" s="16">
        <f>OBRA!J248</f>
        <v>2017</v>
      </c>
      <c r="D249" s="1415"/>
      <c r="E249" s="17" t="str">
        <f>OBRA!M248</f>
        <v>RAMO 33</v>
      </c>
      <c r="F249" s="17" t="s">
        <v>1428</v>
      </c>
      <c r="G249" s="507"/>
      <c r="H249" s="878"/>
      <c r="I249" s="507"/>
      <c r="J249" s="54" t="str">
        <f>OBRA!W248</f>
        <v>GILCO INGENIERIA S.A. DE C.V.</v>
      </c>
      <c r="K249" s="55" t="str">
        <f>OBRA!X248</f>
        <v>ING. J. GUADALUPE IBARRA RAMIREZ</v>
      </c>
      <c r="L249" s="33" t="str">
        <f>OBRA!N248</f>
        <v>GMJ 023C OP/2017</v>
      </c>
      <c r="M249" s="2" t="str">
        <f>OBRA!O248</f>
        <v>ADJUDICACIÓN DIRECTA</v>
      </c>
      <c r="N249" s="3" t="str">
        <f>OBRA!P248</f>
        <v>REHABILITACIÓN DE RED DE DRENAJE EN CALLE VERANO DE VENUSTIANO CARRANZA A FRANCISCO VILLA, EN LA CABECERA MUNICIPAL, DE JOCOTEPEC, JALISCO</v>
      </c>
      <c r="O249" s="504"/>
      <c r="P249" s="67">
        <f>OBRA!S248</f>
        <v>42957</v>
      </c>
      <c r="Q249" s="4">
        <f>OBRA!R248</f>
        <v>119278.43</v>
      </c>
      <c r="R249" s="5">
        <f>OBRA!T248</f>
        <v>42961</v>
      </c>
      <c r="S249" s="11">
        <f>OBRA!U248</f>
        <v>42994</v>
      </c>
      <c r="T249" s="53"/>
      <c r="U249" s="377" t="s">
        <v>1428</v>
      </c>
      <c r="V249" s="587"/>
      <c r="W249" s="1231"/>
      <c r="X249" s="659">
        <f>OBRA!AR248</f>
        <v>53675.289999999994</v>
      </c>
      <c r="Y249" s="5"/>
      <c r="Z249" s="309"/>
      <c r="AA249" s="5"/>
      <c r="AB249" s="313"/>
      <c r="AC249" s="317">
        <f>OBRA!BW248</f>
        <v>0</v>
      </c>
      <c r="AD249" s="352"/>
      <c r="AE249" s="352" t="s">
        <v>551</v>
      </c>
    </row>
    <row r="250" spans="1:31" ht="112.5" hidden="1" customHeight="1">
      <c r="A250" s="22" t="s">
        <v>2206</v>
      </c>
      <c r="B250" s="809" t="str">
        <f>GRAL!B251</f>
        <v>2015-2018</v>
      </c>
      <c r="C250" s="16">
        <f>OBRA!J249</f>
        <v>2017</v>
      </c>
      <c r="D250" s="1415"/>
      <c r="E250" s="17" t="str">
        <f>OBRA!M249</f>
        <v>RAMO 33</v>
      </c>
      <c r="F250" s="17" t="s">
        <v>1428</v>
      </c>
      <c r="G250" s="507"/>
      <c r="H250" s="878"/>
      <c r="I250" s="507"/>
      <c r="J250" s="54" t="str">
        <f>OBRA!W249</f>
        <v>GILCO INGENIERIA S.A. DE C.V.</v>
      </c>
      <c r="K250" s="55" t="str">
        <f>OBRA!X249</f>
        <v>ING. J. GUADALUPE IBARRA RAMIREZ</v>
      </c>
      <c r="L250" s="33" t="str">
        <f>OBRA!N249</f>
        <v>GMJ 024C OP/2017</v>
      </c>
      <c r="M250" s="2" t="str">
        <f>OBRA!O249</f>
        <v>ADJUDICACIÓN DIRECTA</v>
      </c>
      <c r="N250" s="3" t="str">
        <f>OBRA!P249</f>
        <v>REHABILITACIÓN DE RED DE AGUA POTABLE EN CALLE VERANO DE VENUSTIANO CARRANZA A FRANCISCO VILLA, EN LA CABECERA MUNICIPAL, DE JOCOTEPEC, JALISCO</v>
      </c>
      <c r="O250" s="504"/>
      <c r="P250" s="67">
        <f>OBRA!S249</f>
        <v>42957</v>
      </c>
      <c r="Q250" s="4">
        <f>OBRA!R249</f>
        <v>77217.95</v>
      </c>
      <c r="R250" s="5">
        <f>OBRA!T249</f>
        <v>42961</v>
      </c>
      <c r="S250" s="11">
        <f>OBRA!U249</f>
        <v>42994</v>
      </c>
      <c r="T250" s="53"/>
      <c r="U250" s="377" t="s">
        <v>1428</v>
      </c>
      <c r="V250" s="869"/>
      <c r="W250" s="870"/>
      <c r="X250" s="659">
        <f>OBRA!AR249</f>
        <v>34748.090000000004</v>
      </c>
      <c r="Y250" s="5"/>
      <c r="Z250" s="309"/>
      <c r="AA250" s="5"/>
      <c r="AB250" s="313"/>
      <c r="AC250" s="317">
        <f>OBRA!BW249</f>
        <v>0</v>
      </c>
      <c r="AD250" s="352"/>
      <c r="AE250" s="352" t="s">
        <v>1295</v>
      </c>
    </row>
    <row r="251" spans="1:31" ht="108" hidden="1" customHeight="1">
      <c r="A251" s="22" t="s">
        <v>2206</v>
      </c>
      <c r="B251" s="809" t="str">
        <f>GRAL!B252</f>
        <v>2015-2018</v>
      </c>
      <c r="C251" s="16">
        <f>OBRA!J250</f>
        <v>2017</v>
      </c>
      <c r="D251" s="1415"/>
      <c r="E251" s="17" t="str">
        <f>OBRA!M250</f>
        <v>RAMO 33</v>
      </c>
      <c r="F251" s="17" t="s">
        <v>1428</v>
      </c>
      <c r="G251" s="507"/>
      <c r="H251" s="878"/>
      <c r="I251" s="507"/>
      <c r="J251" s="54" t="str">
        <f>OBRA!W250</f>
        <v>GILCO INGENIERIA S.A. DE C.V.</v>
      </c>
      <c r="K251" s="55" t="str">
        <f>OBRA!X250</f>
        <v>ING. J. GUADALUPE IBARRA RAMIREZ</v>
      </c>
      <c r="L251" s="33" t="str">
        <f>OBRA!N250</f>
        <v>GMJ 025C OP/2017</v>
      </c>
      <c r="M251" s="2" t="str">
        <f>OBRA!O250</f>
        <v>ADJUDICACIÓN DIRECTA</v>
      </c>
      <c r="N251" s="3" t="str">
        <f>OBRA!P250</f>
        <v>REHABILITACIÓN DE RED DE DRENAJE EN CALLE VERANO DE FRANCISCO VILLA A LAZARO CARDENAS, EN LA CABECERA MUNICIPAL, DE JOCOTEPEC, JALISCO</v>
      </c>
      <c r="O251" s="504"/>
      <c r="P251" s="67">
        <f>OBRA!S250</f>
        <v>42977</v>
      </c>
      <c r="Q251" s="4">
        <f>OBRA!R250</f>
        <v>101100.81</v>
      </c>
      <c r="R251" s="5">
        <f>OBRA!T250</f>
        <v>42982</v>
      </c>
      <c r="S251" s="11">
        <f>OBRA!U250</f>
        <v>43008</v>
      </c>
      <c r="T251" s="53"/>
      <c r="U251" s="377" t="s">
        <v>1428</v>
      </c>
      <c r="V251" s="587"/>
      <c r="W251" s="1231"/>
      <c r="X251" s="659">
        <f>OBRA!AR250</f>
        <v>45495.360000000001</v>
      </c>
      <c r="Y251" s="5"/>
      <c r="Z251" s="309"/>
      <c r="AA251" s="5"/>
      <c r="AB251" s="313"/>
      <c r="AC251" s="317">
        <f>OBRA!BW250</f>
        <v>0</v>
      </c>
      <c r="AD251" s="352"/>
      <c r="AE251" s="352" t="s">
        <v>551</v>
      </c>
    </row>
    <row r="252" spans="1:31" ht="109.5" hidden="1" customHeight="1">
      <c r="A252" s="22" t="s">
        <v>2206</v>
      </c>
      <c r="B252" s="809" t="str">
        <f>GRAL!B253</f>
        <v>2015-2018</v>
      </c>
      <c r="C252" s="16">
        <f>OBRA!J251</f>
        <v>2017</v>
      </c>
      <c r="D252" s="1415"/>
      <c r="E252" s="17" t="str">
        <f>OBRA!M251</f>
        <v>RAMO 33</v>
      </c>
      <c r="F252" s="17" t="s">
        <v>1428</v>
      </c>
      <c r="G252" s="507"/>
      <c r="H252" s="878"/>
      <c r="I252" s="507"/>
      <c r="J252" s="54" t="str">
        <f>OBRA!W251</f>
        <v>GILCO INGENIERIA S.A. DE C.V.</v>
      </c>
      <c r="K252" s="55" t="str">
        <f>OBRA!X251</f>
        <v>ING. J. GUADALUPE IBARRA RAMIREZ</v>
      </c>
      <c r="L252" s="33" t="str">
        <f>OBRA!N251</f>
        <v>GMJ 026C OP/2017</v>
      </c>
      <c r="M252" s="2" t="str">
        <f>OBRA!O251</f>
        <v>ADJUDICACIÓN DIRECTA</v>
      </c>
      <c r="N252" s="3" t="str">
        <f>OBRA!P251</f>
        <v>REHABILITACIÓN DE RED DE AGUA POTABLE EN CALLE VERANO DE FRANCISCO VILLA  A LAZARO CARDENAS, EN LA CABECERA MUNICIPAL, DE JOCOTEPEC, JALISCO</v>
      </c>
      <c r="O252" s="504"/>
      <c r="P252" s="67">
        <f>OBRA!S251</f>
        <v>42977</v>
      </c>
      <c r="Q252" s="4">
        <f>OBRA!R251</f>
        <v>62348.13</v>
      </c>
      <c r="R252" s="5">
        <f>OBRA!T251</f>
        <v>42982</v>
      </c>
      <c r="S252" s="11">
        <f>OBRA!U251</f>
        <v>43008</v>
      </c>
      <c r="T252" s="53"/>
      <c r="U252" s="377" t="s">
        <v>1428</v>
      </c>
      <c r="V252" s="587"/>
      <c r="W252" s="1231"/>
      <c r="X252" s="340">
        <f>OBRA!AR251</f>
        <v>28056.65</v>
      </c>
      <c r="Y252" s="5"/>
      <c r="Z252" s="309"/>
      <c r="AA252" s="5"/>
      <c r="AB252" s="313"/>
      <c r="AC252" s="317">
        <f>OBRA!BW251</f>
        <v>0</v>
      </c>
      <c r="AD252" s="352"/>
      <c r="AE252" s="352" t="s">
        <v>551</v>
      </c>
    </row>
    <row r="253" spans="1:31" ht="180" hidden="1" customHeight="1">
      <c r="A253" s="22" t="s">
        <v>2206</v>
      </c>
      <c r="B253" s="809" t="str">
        <f>GRAL!B254</f>
        <v>2015-2018</v>
      </c>
      <c r="C253" s="16">
        <f>OBRA!J252</f>
        <v>2017</v>
      </c>
      <c r="D253" s="1415"/>
      <c r="E253" s="18" t="str">
        <f>OBRA!M252</f>
        <v>Fondo de proyectos para el Desarrollo Regional</v>
      </c>
      <c r="F253" s="604" t="s">
        <v>1933</v>
      </c>
      <c r="G253" s="507"/>
      <c r="H253" s="878"/>
      <c r="I253" s="507"/>
      <c r="J253" s="54" t="str">
        <f>OBRA!W252</f>
        <v>SERVICIOS ARQUITECTÓNICOS MOAPAL S.A. DE C.V.</v>
      </c>
      <c r="K253" s="55" t="str">
        <f>OBRA!X252</f>
        <v>ING. J. GUADALUPE IBARRA RAMIREZ</v>
      </c>
      <c r="L253" s="33" t="str">
        <f>OBRA!N252</f>
        <v>GMJ 027C OP/2017</v>
      </c>
      <c r="M253" s="2" t="str">
        <f>OBRA!O252</f>
        <v>ADJUDICACIÓN DIRECTA</v>
      </c>
      <c r="N253" s="3" t="str">
        <f>OBRA!P252</f>
        <v>PROYECTO CONSTRUCCIÓN DE EMPEDRADO AHOGADO EN CEMENTO CON HUELLAS DE CONCRETO HIDRÁULICO Y CONSTRUCCIÓN DE  BANQUETAS  EN LA CALLE VENUSTIANO CARRANZA, DE ITURBIDE A PRIMAVERA, EN LA CABECERA MUNICIPAL DE JOCOTEPEC, JALISCO</v>
      </c>
      <c r="O253" s="464"/>
      <c r="P253" s="67">
        <f>OBRA!S252</f>
        <v>42895</v>
      </c>
      <c r="Q253" s="4">
        <f>OBRA!R252</f>
        <v>527048.46</v>
      </c>
      <c r="R253" s="5">
        <f>OBRA!T252</f>
        <v>42901</v>
      </c>
      <c r="S253" s="11">
        <f>OBRA!U252</f>
        <v>42922</v>
      </c>
      <c r="T253" s="53"/>
      <c r="U253" s="377" t="s">
        <v>1428</v>
      </c>
      <c r="V253" s="869"/>
      <c r="W253" s="870"/>
      <c r="X253" s="534">
        <f>OBRA!AR252</f>
        <v>52704.84</v>
      </c>
      <c r="Y253" s="5"/>
      <c r="Z253" s="309"/>
      <c r="AA253" s="5"/>
      <c r="AB253" s="313"/>
      <c r="AC253" s="317">
        <f>OBRA!BW252</f>
        <v>0</v>
      </c>
      <c r="AD253" s="352"/>
      <c r="AE253" s="352" t="s">
        <v>1295</v>
      </c>
    </row>
    <row r="254" spans="1:31" ht="306.75" hidden="1" customHeight="1">
      <c r="A254" s="22" t="s">
        <v>2206</v>
      </c>
      <c r="B254" s="809" t="str">
        <f>GRAL!B255</f>
        <v>2015-2018</v>
      </c>
      <c r="C254" s="16">
        <f>OBRA!J253</f>
        <v>2017</v>
      </c>
      <c r="D254" s="1415"/>
      <c r="E254" s="18" t="str">
        <f>OBRA!M253</f>
        <v>Fondo de proyectos para el Desarrollo Regional</v>
      </c>
      <c r="F254" s="604" t="s">
        <v>1934</v>
      </c>
      <c r="G254" s="507"/>
      <c r="H254" s="878"/>
      <c r="I254" s="507"/>
      <c r="J254" s="54" t="str">
        <f>OBRA!W253</f>
        <v>ING. SERGIO CABRERA</v>
      </c>
      <c r="K254" s="55" t="str">
        <f>OBRA!X253</f>
        <v>ING. J. GUADALUPE IBARRA RAMIREZ</v>
      </c>
      <c r="L254" s="33" t="str">
        <f>OBRA!N253</f>
        <v>GMJ 028C OP/2017</v>
      </c>
      <c r="M254" s="2" t="str">
        <f>OBRA!O253</f>
        <v>ADJUDICACIÓN DIRECTA</v>
      </c>
      <c r="N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4"/>
      <c r="P254" s="67">
        <f>OBRA!S253</f>
        <v>42951</v>
      </c>
      <c r="Q254" s="4">
        <f>OBRA!R253</f>
        <v>887214.12</v>
      </c>
      <c r="R254" s="5">
        <f>OBRA!T253</f>
        <v>42955</v>
      </c>
      <c r="S254" s="11">
        <f>OBRA!U253</f>
        <v>42986</v>
      </c>
      <c r="T254" s="53"/>
      <c r="U254" s="62" t="s">
        <v>1428</v>
      </c>
      <c r="V254" s="587"/>
      <c r="W254" s="1231"/>
      <c r="X254" s="340">
        <f>OBRA!AR253</f>
        <v>177442.82</v>
      </c>
      <c r="Y254" s="5"/>
      <c r="Z254" s="309"/>
      <c r="AA254" s="5"/>
      <c r="AB254" s="313"/>
      <c r="AC254" s="317" t="str">
        <f>OBRA!BW253</f>
        <v>CONV 2</v>
      </c>
      <c r="AD254" s="352"/>
      <c r="AE254" s="352" t="s">
        <v>551</v>
      </c>
    </row>
    <row r="255" spans="1:31" ht="289.5" hidden="1" customHeight="1">
      <c r="A255" s="22" t="s">
        <v>2206</v>
      </c>
      <c r="B255" s="809" t="str">
        <f>GRAL!B256</f>
        <v>2015-2018</v>
      </c>
      <c r="C255" s="16">
        <f>OBRA!J254</f>
        <v>2017</v>
      </c>
      <c r="D255" s="1415"/>
      <c r="E255" s="18" t="str">
        <f>OBRA!M254</f>
        <v>Fondo de proyectos para el Desarrollo Regional</v>
      </c>
      <c r="F255" s="604" t="s">
        <v>1934</v>
      </c>
      <c r="G255" s="507"/>
      <c r="H255" s="878"/>
      <c r="I255" s="507"/>
      <c r="J255" s="54" t="str">
        <f>OBRA!W254</f>
        <v>GILCO INGENIERIA S.A. DE C.V.</v>
      </c>
      <c r="K255" s="55" t="str">
        <f>OBRA!X254</f>
        <v>ING. J. GUADALUPE IBARRA RAMIREZ</v>
      </c>
      <c r="L255" s="33" t="str">
        <f>OBRA!N254</f>
        <v>GMJ 029C OP/2017</v>
      </c>
      <c r="M255" s="2" t="str">
        <f>OBRA!O254</f>
        <v>ADJUDICACIÓN DIRECTA</v>
      </c>
      <c r="N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4"/>
      <c r="P255" s="67">
        <f>OBRA!S254</f>
        <v>43021</v>
      </c>
      <c r="Q255" s="4">
        <f>OBRA!R254</f>
        <v>197219.12</v>
      </c>
      <c r="R255" s="5">
        <f>OBRA!T254</f>
        <v>43038</v>
      </c>
      <c r="S255" s="11">
        <f>OBRA!U254</f>
        <v>43100</v>
      </c>
      <c r="T255" s="53"/>
      <c r="U255" s="377" t="s">
        <v>1428</v>
      </c>
      <c r="V255" s="869"/>
      <c r="W255" s="870"/>
      <c r="X255" s="534">
        <f>OBRA!AR254</f>
        <v>0</v>
      </c>
      <c r="Y255" s="5"/>
      <c r="Z255" s="309"/>
      <c r="AA255" s="5"/>
      <c r="AB255" s="313"/>
      <c r="AC255" s="317">
        <f>OBRA!BW254</f>
        <v>0</v>
      </c>
      <c r="AD255" s="352"/>
      <c r="AE255" s="352" t="s">
        <v>1295</v>
      </c>
    </row>
    <row r="256" spans="1:31" ht="215.25" hidden="1" customHeight="1">
      <c r="A256" s="22" t="s">
        <v>2206</v>
      </c>
      <c r="B256" s="809" t="str">
        <f>GRAL!B257</f>
        <v>2015-2018</v>
      </c>
      <c r="C256" s="16">
        <f>OBRA!J255</f>
        <v>2017</v>
      </c>
      <c r="D256" s="1415"/>
      <c r="E256" s="18" t="str">
        <f>OBRA!M255</f>
        <v>Fondo de proyectos para el Desarrollo Regional</v>
      </c>
      <c r="F256" s="604" t="s">
        <v>1934</v>
      </c>
      <c r="G256" s="507"/>
      <c r="H256" s="878"/>
      <c r="I256" s="507"/>
      <c r="J256" s="54" t="str">
        <f>OBRA!W255</f>
        <v>A&amp;G URBANIZADORA S.A. DE C.V.</v>
      </c>
      <c r="K256" s="55" t="str">
        <f>OBRA!X255</f>
        <v>ING. J. GUADALUPE IBARRA RAMIREZ</v>
      </c>
      <c r="L256" s="33" t="str">
        <f>OBRA!N255</f>
        <v>GMJ 030C OP/2017</v>
      </c>
      <c r="M256" s="2" t="str">
        <f>OBRA!O255</f>
        <v>ADJUDICACIÓN DIRECTA</v>
      </c>
      <c r="N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4"/>
      <c r="P256" s="67">
        <f>OBRA!S255</f>
        <v>43021</v>
      </c>
      <c r="Q256" s="4">
        <f>OBRA!R255</f>
        <v>1185389.8899999999</v>
      </c>
      <c r="R256" s="5">
        <f>OBRA!T255</f>
        <v>43031</v>
      </c>
      <c r="S256" s="11">
        <f>OBRA!U255</f>
        <v>43100</v>
      </c>
      <c r="T256" s="53"/>
      <c r="U256" s="377" t="s">
        <v>1428</v>
      </c>
      <c r="V256" s="587"/>
      <c r="W256" s="1231"/>
      <c r="X256" s="279">
        <f>OBRA!AR255</f>
        <v>533425.44999999995</v>
      </c>
      <c r="Y256" s="5"/>
      <c r="Z256" s="309"/>
      <c r="AA256" s="5"/>
      <c r="AB256" s="313"/>
      <c r="AC256" s="317">
        <f>OBRA!BW255</f>
        <v>0</v>
      </c>
      <c r="AD256" s="352"/>
      <c r="AE256" s="352" t="s">
        <v>551</v>
      </c>
    </row>
    <row r="257" spans="1:31" ht="167.25" hidden="1" customHeight="1">
      <c r="A257" s="22" t="s">
        <v>2206</v>
      </c>
      <c r="B257" s="809" t="str">
        <f>GRAL!B258</f>
        <v>2015-2018</v>
      </c>
      <c r="C257" s="16">
        <f>OBRA!J256</f>
        <v>2017</v>
      </c>
      <c r="D257" s="1415"/>
      <c r="E257" s="18" t="str">
        <f>OBRA!M256</f>
        <v>Fondo de proyectos para el Desarrollo Regional</v>
      </c>
      <c r="F257" s="604" t="s">
        <v>1933</v>
      </c>
      <c r="G257" s="507"/>
      <c r="H257" s="878"/>
      <c r="I257" s="507"/>
      <c r="J257" s="54" t="str">
        <f>OBRA!W256</f>
        <v>CONSTRUCCIONES VIKBRAK, S.A. DE C.V.</v>
      </c>
      <c r="K257" s="55" t="str">
        <f>OBRA!X256</f>
        <v>ING. J. GUADALUPE IBARRA RAMIREZ</v>
      </c>
      <c r="L257" s="33" t="str">
        <f>OBRA!N256</f>
        <v>GMJ 031C OP/2017</v>
      </c>
      <c r="M257" s="2" t="str">
        <f>OBRA!O256</f>
        <v>ADJUDICACIÓN DIRECTA</v>
      </c>
      <c r="N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O257" s="504"/>
      <c r="P257" s="67">
        <f>OBRA!S256</f>
        <v>42926</v>
      </c>
      <c r="Q257" s="4">
        <f>OBRA!R256</f>
        <v>227599.71</v>
      </c>
      <c r="R257" s="5">
        <f>OBRA!T256</f>
        <v>42928</v>
      </c>
      <c r="S257" s="11">
        <f>OBRA!U256</f>
        <v>43035</v>
      </c>
      <c r="T257" s="53"/>
      <c r="U257" s="377" t="s">
        <v>1428</v>
      </c>
      <c r="V257" s="587"/>
      <c r="W257" s="1231"/>
      <c r="X257" s="279">
        <f>OBRA!AR256</f>
        <v>45519.94</v>
      </c>
      <c r="Y257" s="5"/>
      <c r="Z257" s="309"/>
      <c r="AA257" s="5"/>
      <c r="AB257" s="313"/>
      <c r="AC257" s="317">
        <f>OBRA!BW256</f>
        <v>0</v>
      </c>
      <c r="AD257" s="352"/>
      <c r="AE257" s="352" t="s">
        <v>1295</v>
      </c>
    </row>
    <row r="258" spans="1:31" ht="195.75" hidden="1" customHeight="1">
      <c r="A258" s="22" t="s">
        <v>2206</v>
      </c>
      <c r="B258" s="809" t="str">
        <f>GRAL!B259</f>
        <v>2015-2018</v>
      </c>
      <c r="C258" s="16">
        <f>OBRA!J257</f>
        <v>2017</v>
      </c>
      <c r="D258" s="1415"/>
      <c r="E258" s="18" t="str">
        <f>OBRA!M257</f>
        <v>Fondo de proyectos para el Desarrollo Regional</v>
      </c>
      <c r="F258" s="604" t="s">
        <v>1933</v>
      </c>
      <c r="G258" s="507"/>
      <c r="H258" s="878"/>
      <c r="I258" s="507"/>
      <c r="J258" s="54" t="str">
        <f>OBRA!W257</f>
        <v>COLYEST S.A. DE C.V.</v>
      </c>
      <c r="K258" s="55" t="str">
        <f>OBRA!X257</f>
        <v>ING. J. GUADALUPE IBARRA RAMIREZ</v>
      </c>
      <c r="L258" s="33" t="str">
        <f>OBRA!N257</f>
        <v>GMJ 032C OP/2017</v>
      </c>
      <c r="M258" s="2" t="str">
        <f>OBRA!O257</f>
        <v>ADJUDICACIÓN DIRECTA</v>
      </c>
      <c r="N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4"/>
      <c r="P258" s="67">
        <f>OBRA!S257</f>
        <v>42927</v>
      </c>
      <c r="Q258" s="79">
        <f>OBRA!R257</f>
        <v>1522376.56</v>
      </c>
      <c r="R258" s="5">
        <f>OBRA!T257</f>
        <v>42928</v>
      </c>
      <c r="S258" s="11">
        <f>OBRA!U257</f>
        <v>43035</v>
      </c>
      <c r="T258" s="53"/>
      <c r="U258" s="62" t="s">
        <v>1428</v>
      </c>
      <c r="V258" s="587"/>
      <c r="W258" s="1231"/>
      <c r="X258" s="280">
        <f>OBRA!AR257</f>
        <v>152237.65</v>
      </c>
      <c r="Y258" s="5"/>
      <c r="Z258" s="309"/>
      <c r="AA258" s="5"/>
      <c r="AB258" s="313"/>
      <c r="AC258" s="317">
        <f>OBRA!BW257</f>
        <v>0</v>
      </c>
      <c r="AD258" s="352"/>
      <c r="AE258" s="352" t="s">
        <v>1295</v>
      </c>
    </row>
    <row r="259" spans="1:31" ht="76.5" hidden="1" customHeight="1">
      <c r="A259" s="22" t="s">
        <v>2206</v>
      </c>
      <c r="B259" s="809" t="str">
        <f>GRAL!B260</f>
        <v>2015-2018</v>
      </c>
      <c r="C259" s="16">
        <f>OBRA!J258</f>
        <v>2017</v>
      </c>
      <c r="D259" s="1415"/>
      <c r="E259" s="17" t="str">
        <f>OBRA!M258</f>
        <v>RAMO 33</v>
      </c>
      <c r="F259" s="478" t="s">
        <v>1428</v>
      </c>
      <c r="G259" s="868"/>
      <c r="H259" s="878"/>
      <c r="I259" s="507"/>
      <c r="J259" s="54" t="str">
        <f>OBRA!W258</f>
        <v>ING. SERGIO CABRERA</v>
      </c>
      <c r="K259" s="55" t="str">
        <f>OBRA!X258</f>
        <v>ING. J. GUADALUPE IBARRA RAMIREZ</v>
      </c>
      <c r="L259" s="33" t="str">
        <f>OBRA!N258</f>
        <v>GMJ 033C OP/2017</v>
      </c>
      <c r="M259" s="2" t="str">
        <f>OBRA!O258</f>
        <v>ADJUDICACIÓN DIRECTA</v>
      </c>
      <c r="N259" s="3" t="str">
        <f>OBRA!P258</f>
        <v>REHABILITACION DE RED DE DRENAJE EN CALLE 21 DE MARZO, DE OTOÑO A PRIMAVERA, EN EL MUNICIPIO DE JOCOTEPEC, JALISCO</v>
      </c>
      <c r="O259" s="504"/>
      <c r="P259" s="67">
        <f>OBRA!S258</f>
        <v>43028</v>
      </c>
      <c r="Q259" s="79">
        <f>OBRA!R258</f>
        <v>275105.09999999998</v>
      </c>
      <c r="R259" s="5">
        <f>OBRA!T258</f>
        <v>43031</v>
      </c>
      <c r="S259" s="11">
        <f>OBRA!U258</f>
        <v>43039</v>
      </c>
      <c r="T259" s="53"/>
      <c r="U259" s="62" t="s">
        <v>1428</v>
      </c>
      <c r="V259" s="587"/>
      <c r="W259" s="1231"/>
      <c r="X259" s="642">
        <f>OBRA!AR258</f>
        <v>55021.02</v>
      </c>
      <c r="Y259" s="5"/>
      <c r="Z259" s="309"/>
      <c r="AA259" s="5"/>
      <c r="AB259" s="313"/>
      <c r="AC259" s="317">
        <f>OBRA!BW258</f>
        <v>0</v>
      </c>
      <c r="AD259" s="352"/>
      <c r="AE259" s="352" t="s">
        <v>1295</v>
      </c>
    </row>
    <row r="260" spans="1:31" ht="76.5" hidden="1" customHeight="1">
      <c r="A260" s="22" t="s">
        <v>2206</v>
      </c>
      <c r="B260" s="809" t="str">
        <f>GRAL!B261</f>
        <v>2015-2018</v>
      </c>
      <c r="C260" s="16">
        <f>OBRA!J259</f>
        <v>2017</v>
      </c>
      <c r="D260" s="1415"/>
      <c r="E260" s="17" t="str">
        <f>OBRA!M259</f>
        <v>RAMO 33</v>
      </c>
      <c r="F260" s="478" t="s">
        <v>1428</v>
      </c>
      <c r="G260" s="507"/>
      <c r="H260" s="878"/>
      <c r="I260" s="507"/>
      <c r="J260" s="661" t="str">
        <f>OBRA!W259</f>
        <v>ING. SERGIO CABRERA</v>
      </c>
      <c r="K260" s="408" t="str">
        <f>OBRA!X259</f>
        <v>ING. J. GUADALUPE IBARRA RAMIREZ</v>
      </c>
      <c r="L260" s="241" t="str">
        <f>OBRA!N259</f>
        <v>GMJ 034C OP/2017</v>
      </c>
      <c r="M260" s="388" t="str">
        <f>OBRA!O259</f>
        <v>ADJUDICACIÓN DIRECTA</v>
      </c>
      <c r="N260" s="683" t="str">
        <f>OBRA!P259</f>
        <v>REHABILITACIÓN DE RED DE AGUA POTABLE EN CALLE 21 DE MARZO DE OTOÑO A PRIMAVERA, EN EL MUNICIPIO DE JOCOTEPEC, JALISCO</v>
      </c>
      <c r="O260" s="633"/>
      <c r="P260" s="670">
        <f>OBRA!S259</f>
        <v>43028</v>
      </c>
      <c r="Q260" s="196">
        <f>OBRA!R259</f>
        <v>185828.12</v>
      </c>
      <c r="R260" s="58">
        <f>OBRA!T259</f>
        <v>43035</v>
      </c>
      <c r="S260" s="59">
        <f>OBRA!U259</f>
        <v>43041</v>
      </c>
      <c r="T260" s="1339"/>
      <c r="U260" s="377" t="s">
        <v>1428</v>
      </c>
      <c r="V260" s="587"/>
      <c r="W260" s="1231"/>
      <c r="X260" s="642">
        <f>OBRA!AR259</f>
        <v>37165.620000000003</v>
      </c>
      <c r="Y260" s="5"/>
      <c r="Z260" s="309"/>
      <c r="AA260" s="5"/>
      <c r="AB260" s="313"/>
      <c r="AC260" s="317">
        <f>OBRA!BW259</f>
        <v>0</v>
      </c>
      <c r="AD260" s="352"/>
      <c r="AE260" s="352" t="s">
        <v>551</v>
      </c>
    </row>
    <row r="261" spans="1:31" ht="104.25" hidden="1" customHeight="1">
      <c r="A261" s="22" t="s">
        <v>2206</v>
      </c>
      <c r="B261" s="809" t="str">
        <f>GRAL!B262</f>
        <v>2015-2018</v>
      </c>
      <c r="C261" s="16">
        <f>OBRA!J260</f>
        <v>2017</v>
      </c>
      <c r="D261" s="1415"/>
      <c r="E261" s="17" t="str">
        <f>OBRA!M260</f>
        <v>RAMO 33</v>
      </c>
      <c r="F261" s="478" t="s">
        <v>1428</v>
      </c>
      <c r="G261" s="507"/>
      <c r="H261" s="878"/>
      <c r="I261" s="507"/>
      <c r="J261" s="54" t="str">
        <f>OBRA!W260</f>
        <v>ING. SERGIO CABRERA</v>
      </c>
      <c r="K261" s="55" t="str">
        <f>OBRA!X260</f>
        <v>ING. ANGEL ALBERTO HERNANDEZ MORA</v>
      </c>
      <c r="L261" s="33" t="str">
        <f>OBRA!N260</f>
        <v>GMJ 035C OP/2017</v>
      </c>
      <c r="M261" s="2" t="str">
        <f>OBRA!O260</f>
        <v>ADJUDICACIÓN DIRECTA</v>
      </c>
      <c r="N261" s="3" t="str">
        <f>OBRA!P260</f>
        <v>REHABILITACIÓN DE RED DE DRENAJE EN PRIVADA LIBERTAD, EN LA AGENCIA MUNICIPAL DE NEXTIPAC, DEL MUNICIPIO DE JOCOTEPEC, JALISCO</v>
      </c>
      <c r="O261" s="504"/>
      <c r="P261" s="67">
        <f>OBRA!S260</f>
        <v>42954</v>
      </c>
      <c r="Q261" s="4">
        <f>OBRA!R260</f>
        <v>181893.05</v>
      </c>
      <c r="R261" s="5">
        <f>OBRA!T260</f>
        <v>42956</v>
      </c>
      <c r="S261" s="11">
        <f>OBRA!U260</f>
        <v>42970</v>
      </c>
      <c r="T261" s="53"/>
      <c r="U261" s="377" t="s">
        <v>1428</v>
      </c>
      <c r="V261" s="587"/>
      <c r="W261" s="705"/>
      <c r="X261" s="340">
        <f>OBRA!AR260</f>
        <v>36378.6</v>
      </c>
      <c r="Y261" s="5"/>
      <c r="Z261" s="309"/>
      <c r="AA261" s="5"/>
      <c r="AB261" s="313"/>
      <c r="AC261" s="317">
        <f>OBRA!BW260</f>
        <v>0</v>
      </c>
      <c r="AD261" s="352"/>
      <c r="AE261" s="352" t="s">
        <v>551</v>
      </c>
    </row>
    <row r="262" spans="1:31" ht="105.75" hidden="1" customHeight="1">
      <c r="A262" s="22" t="s">
        <v>2206</v>
      </c>
      <c r="B262" s="809" t="str">
        <f>GRAL!B263</f>
        <v>2015-2018</v>
      </c>
      <c r="C262" s="16">
        <f>OBRA!J261</f>
        <v>2017</v>
      </c>
      <c r="D262" s="1415"/>
      <c r="E262" s="17" t="str">
        <f>OBRA!M261</f>
        <v>RAMO 33</v>
      </c>
      <c r="F262" s="478" t="s">
        <v>1428</v>
      </c>
      <c r="G262" s="507"/>
      <c r="H262" s="878"/>
      <c r="I262" s="507"/>
      <c r="J262" s="54" t="str">
        <f>OBRA!W261</f>
        <v>ING. SERGIO CABRERA</v>
      </c>
      <c r="K262" s="55" t="str">
        <f>OBRA!X261</f>
        <v>ING. ANGEL ALBERTO HERNANDEZ MORA</v>
      </c>
      <c r="L262" s="33" t="str">
        <f>OBRA!N261</f>
        <v>GMJ 036C OP/2017</v>
      </c>
      <c r="M262" s="2" t="str">
        <f>OBRA!O261</f>
        <v>ADJUDICACIÓN DIRECTA</v>
      </c>
      <c r="N262" s="3" t="str">
        <f>OBRA!P261</f>
        <v>CONSTRUCCIÓN DE EMPEDRADO ECOLOGICO EN PRIVADA LIBERTAD, EN LA AGENCIA MUNICIPAL DE NEXTIPAC, DEL MUNICIPIO DE JOCOTEPEC, JALISCO</v>
      </c>
      <c r="O262" s="504"/>
      <c r="P262" s="67">
        <f>OBRA!S261</f>
        <v>42968</v>
      </c>
      <c r="Q262" s="4">
        <f>OBRA!R261</f>
        <v>237009.82</v>
      </c>
      <c r="R262" s="5">
        <f>OBRA!T261</f>
        <v>42970</v>
      </c>
      <c r="S262" s="11">
        <f>OBRA!U261</f>
        <v>42985</v>
      </c>
      <c r="T262" s="53"/>
      <c r="U262" s="377" t="s">
        <v>1428</v>
      </c>
      <c r="V262" s="587"/>
      <c r="W262" s="587"/>
      <c r="X262" s="280">
        <f>OBRA!AR261</f>
        <v>23700.98</v>
      </c>
      <c r="Y262" s="5"/>
      <c r="Z262" s="309"/>
      <c r="AA262" s="5"/>
      <c r="AB262" s="313"/>
      <c r="AC262" s="317">
        <f>OBRA!BW261</f>
        <v>0</v>
      </c>
      <c r="AD262" s="352"/>
      <c r="AE262" s="352" t="s">
        <v>1295</v>
      </c>
    </row>
    <row r="263" spans="1:31" ht="90.75" hidden="1" customHeight="1">
      <c r="A263" s="22" t="s">
        <v>2206</v>
      </c>
      <c r="B263" s="809" t="str">
        <f>GRAL!B264</f>
        <v>2015-2018</v>
      </c>
      <c r="C263" s="16">
        <f>OBRA!J262</f>
        <v>2017</v>
      </c>
      <c r="D263" s="1415"/>
      <c r="E263" s="17" t="str">
        <f>OBRA!M262</f>
        <v>RAMO 33</v>
      </c>
      <c r="F263" s="478" t="s">
        <v>1428</v>
      </c>
      <c r="G263" s="507"/>
      <c r="H263" s="878"/>
      <c r="I263" s="507"/>
      <c r="J263" s="54" t="str">
        <f>OBRA!W262</f>
        <v>ING. SERGIO CABRERA</v>
      </c>
      <c r="K263" s="55" t="str">
        <f>OBRA!X262</f>
        <v>ING. ANGEL ALBERTO HERNANDEZ MORA</v>
      </c>
      <c r="L263" s="33" t="str">
        <f>OBRA!N262</f>
        <v>GMJ 037C OP/2017</v>
      </c>
      <c r="M263" s="2" t="str">
        <f>OBRA!O262</f>
        <v>ADJUDICACIÓN DIRECTA</v>
      </c>
      <c r="N263" s="3" t="str">
        <f>OBRA!P262</f>
        <v>REHABILITACIÓN DE RED DE DRENAJE EN CALLE LIBERTAD, EN LA AGENCIA MUNICIPAL DE NEXTIPAC, DEL MUNICIPIO DE JOCOTEPEC</v>
      </c>
      <c r="O263" s="504"/>
      <c r="P263" s="6">
        <f>OBRA!S262</f>
        <v>42948</v>
      </c>
      <c r="Q263" s="4">
        <f>OBRA!R262</f>
        <v>93422.64</v>
      </c>
      <c r="R263" s="5">
        <f>OBRA!T262</f>
        <v>42950</v>
      </c>
      <c r="S263" s="11">
        <f>OBRA!U262</f>
        <v>42957</v>
      </c>
      <c r="T263" s="53"/>
      <c r="U263" s="377" t="s">
        <v>1428</v>
      </c>
      <c r="V263" s="587"/>
      <c r="W263" s="705"/>
      <c r="X263" s="279">
        <f>OBRA!AR262</f>
        <v>18684.52</v>
      </c>
      <c r="Y263" s="5"/>
      <c r="Z263" s="309"/>
      <c r="AA263" s="5"/>
      <c r="AB263" s="313"/>
      <c r="AC263" s="317">
        <f>OBRA!BW262</f>
        <v>0</v>
      </c>
      <c r="AD263" s="352"/>
      <c r="AE263" s="352" t="s">
        <v>551</v>
      </c>
    </row>
    <row r="264" spans="1:31" ht="102.75" hidden="1" customHeight="1">
      <c r="A264" s="22" t="s">
        <v>2206</v>
      </c>
      <c r="B264" s="809" t="str">
        <f>GRAL!B265</f>
        <v>2015-2018</v>
      </c>
      <c r="C264" s="16">
        <f>OBRA!J263</f>
        <v>2017</v>
      </c>
      <c r="D264" s="1415"/>
      <c r="E264" s="17" t="str">
        <f>OBRA!M263</f>
        <v>RAMO 33</v>
      </c>
      <c r="F264" s="478" t="s">
        <v>1428</v>
      </c>
      <c r="G264" s="507"/>
      <c r="H264" s="878"/>
      <c r="I264" s="507"/>
      <c r="J264" s="54" t="str">
        <f>OBRA!W263</f>
        <v>ING. SERGIO CABRERA</v>
      </c>
      <c r="K264" s="55" t="str">
        <f>OBRA!X263</f>
        <v>ING. ANGEL ALBERTO HERNANDEZ MORA</v>
      </c>
      <c r="L264" s="33" t="str">
        <f>OBRA!N263</f>
        <v>GMJ 038C OP/2017</v>
      </c>
      <c r="M264" s="2" t="str">
        <f>OBRA!O263</f>
        <v>ADJUDICACIÓN DIRECTA</v>
      </c>
      <c r="N264" s="3" t="str">
        <f>OBRA!P263</f>
        <v xml:space="preserve">CONSTRUCCIÓN DE EMPEDRADO AHOGADO EN CEMENTO EN CALLE LIBERTAD, EN LA AGENCIA MUNICIPAL DE NEXTIPAC, DEL MUNICIPIO DE JOCOTEPEC, JALISCO </v>
      </c>
      <c r="O264" s="504"/>
      <c r="P264" s="6">
        <f>OBRA!S263</f>
        <v>42983</v>
      </c>
      <c r="Q264" s="4">
        <f>OBRA!R263</f>
        <v>329150.28999999998</v>
      </c>
      <c r="R264" s="5">
        <f>OBRA!T263</f>
        <v>42985</v>
      </c>
      <c r="S264" s="11">
        <f>OBRA!U263</f>
        <v>42995</v>
      </c>
      <c r="T264" s="53"/>
      <c r="U264" s="377" t="s">
        <v>1428</v>
      </c>
      <c r="V264" s="587"/>
      <c r="W264" s="705"/>
      <c r="X264" s="279">
        <f>OBRA!AR263</f>
        <v>65830.039999999994</v>
      </c>
      <c r="Y264" s="5"/>
      <c r="Z264" s="309"/>
      <c r="AA264" s="5"/>
      <c r="AB264" s="313"/>
      <c r="AC264" s="317">
        <f>OBRA!BW263</f>
        <v>0</v>
      </c>
      <c r="AD264" s="352"/>
      <c r="AE264" s="352" t="s">
        <v>551</v>
      </c>
    </row>
    <row r="265" spans="1:31" s="104" customFormat="1" ht="30" hidden="1" customHeight="1">
      <c r="A265" s="81" t="s">
        <v>2206</v>
      </c>
      <c r="B265" s="820" t="str">
        <f>GRAL!B266</f>
        <v>2012-2015</v>
      </c>
      <c r="C265" s="82">
        <f>OBRA!J264</f>
        <v>2017</v>
      </c>
      <c r="D265" s="781"/>
      <c r="E265" s="97">
        <f>OBRA!M264</f>
        <v>0</v>
      </c>
      <c r="F265" s="479" t="s">
        <v>1428</v>
      </c>
      <c r="G265" s="354"/>
      <c r="H265" s="96"/>
      <c r="I265" s="354"/>
      <c r="J265" s="151">
        <f>OBRA!W264</f>
        <v>0</v>
      </c>
      <c r="K265" s="152">
        <f>OBRA!X264</f>
        <v>0</v>
      </c>
      <c r="L265" s="308" t="str">
        <f>OBRA!N264</f>
        <v>GMJ 039C OP/2017</v>
      </c>
      <c r="M265" s="186" t="str">
        <f>OBRA!O264</f>
        <v>CANCELADA</v>
      </c>
      <c r="N265" s="106" t="str">
        <f>OBRA!P264</f>
        <v>CANCELADO</v>
      </c>
      <c r="O265" s="125"/>
      <c r="P265" s="87">
        <f>OBRA!S264</f>
        <v>0</v>
      </c>
      <c r="Q265" s="86">
        <f>OBRA!R264</f>
        <v>0</v>
      </c>
      <c r="R265" s="88">
        <f>OBRA!T264</f>
        <v>0</v>
      </c>
      <c r="S265" s="89">
        <f>OBRA!U264</f>
        <v>0</v>
      </c>
      <c r="T265" s="91"/>
      <c r="U265" s="688" t="s">
        <v>1428</v>
      </c>
      <c r="V265" s="311"/>
      <c r="W265" s="89"/>
      <c r="X265" s="284">
        <f>OBRA!AR264</f>
        <v>0</v>
      </c>
      <c r="Y265" s="311"/>
      <c r="Z265" s="311"/>
      <c r="AA265" s="88"/>
      <c r="AB265" s="1855"/>
      <c r="AC265" s="467">
        <f>OBRA!BW264</f>
        <v>0</v>
      </c>
      <c r="AD265" s="354"/>
      <c r="AE265" s="354"/>
    </row>
    <row r="266" spans="1:31" ht="105" hidden="1" customHeight="1">
      <c r="A266" s="22" t="s">
        <v>2206</v>
      </c>
      <c r="B266" s="809" t="str">
        <f>GRAL!B267</f>
        <v>2015-2018</v>
      </c>
      <c r="C266" s="16">
        <f>OBRA!J265</f>
        <v>2017</v>
      </c>
      <c r="D266" s="1415"/>
      <c r="E266" s="17" t="str">
        <f>OBRA!M265</f>
        <v>RAMO 33</v>
      </c>
      <c r="F266" s="478" t="s">
        <v>1428</v>
      </c>
      <c r="G266" s="507"/>
      <c r="H266" s="878"/>
      <c r="I266" s="507"/>
      <c r="J266" s="54" t="str">
        <f>OBRA!W265</f>
        <v>SERVICIOS ARQUITECTÓNICOS MOAPAL S.A. DE C.V.</v>
      </c>
      <c r="K266" s="55" t="str">
        <f>OBRA!X265</f>
        <v>ING. ANGEL ALBERTO HERNANDEZ MORA</v>
      </c>
      <c r="L266" s="33" t="str">
        <f>OBRA!N265</f>
        <v>GMJ 040C OP/2017</v>
      </c>
      <c r="M266" s="2" t="str">
        <f>OBRA!O265</f>
        <v>ADJUDICACIÓN DIRECTA</v>
      </c>
      <c r="N266" s="3" t="str">
        <f>OBRA!P265</f>
        <v>CONSTRUCCIÓN DE RED DE DRENAJE EN EL BARRIO CONOCIDO COMO EL TORIL EN LA LOCALIDAD DE ZAPOTITAN DE HIDALGO DEL MUNICIPIO DE JOCOTEPEC, JALISCO</v>
      </c>
      <c r="O266" s="504"/>
      <c r="P266" s="6">
        <f>OBRA!S265</f>
        <v>42965</v>
      </c>
      <c r="Q266" s="4">
        <f>OBRA!R265</f>
        <v>965876.67</v>
      </c>
      <c r="R266" s="5">
        <f>OBRA!T265</f>
        <v>42968</v>
      </c>
      <c r="S266" s="11">
        <f>OBRA!U265</f>
        <v>43000</v>
      </c>
      <c r="T266" s="53"/>
      <c r="U266" s="377" t="s">
        <v>1428</v>
      </c>
      <c r="V266" s="587"/>
      <c r="W266" s="877"/>
      <c r="X266" s="340">
        <f>OBRA!AR265</f>
        <v>96587.66</v>
      </c>
      <c r="Y266" s="5"/>
      <c r="Z266" s="309"/>
      <c r="AA266" s="5"/>
      <c r="AB266" s="313"/>
      <c r="AC266" s="317">
        <f>OBRA!BW265</f>
        <v>0</v>
      </c>
      <c r="AD266" s="352"/>
      <c r="AE266" s="352" t="s">
        <v>551</v>
      </c>
    </row>
    <row r="267" spans="1:31" ht="105" hidden="1" customHeight="1">
      <c r="A267" s="22" t="s">
        <v>2206</v>
      </c>
      <c r="B267" s="809" t="str">
        <f>GRAL!B268</f>
        <v>2015-2018</v>
      </c>
      <c r="C267" s="16">
        <f>OBRA!J266</f>
        <v>2017</v>
      </c>
      <c r="D267" s="1415"/>
      <c r="E267" s="17" t="str">
        <f>OBRA!M266</f>
        <v>RAMO 33</v>
      </c>
      <c r="F267" s="478" t="s">
        <v>1428</v>
      </c>
      <c r="G267" s="969"/>
      <c r="H267" s="878"/>
      <c r="I267" s="507"/>
      <c r="J267" s="54" t="str">
        <f>OBRA!W266</f>
        <v xml:space="preserve">GRUPO DESARROLLADOR INMOBILIARIO CEMERAMA S.A. DE C.V. </v>
      </c>
      <c r="K267" s="55" t="str">
        <f>OBRA!X266</f>
        <v>LIC. SALVADOR CONTRERAS OLGUÍN</v>
      </c>
      <c r="L267" s="33" t="str">
        <f>OBRA!N266</f>
        <v>GMJ 041C OP/2017</v>
      </c>
      <c r="M267" s="2" t="str">
        <f>OBRA!O266</f>
        <v>ADJUDICACIÓN DIRECTA</v>
      </c>
      <c r="N267" s="3" t="str">
        <f>OBRA!P266</f>
        <v>CONSTRUCCIÓN DE CASETA DE CONTROL Y CUARTO DE CLORACIÓN PARA EL POZO DE LA PLAZOLETA EL CHANTE, DELEGACIÓN DE CHANTEPEC, JOCOTEPEC JALISCO</v>
      </c>
      <c r="O267" s="504"/>
      <c r="P267" s="6">
        <f>OBRA!S266</f>
        <v>42948</v>
      </c>
      <c r="Q267" s="4">
        <f>OBRA!R266</f>
        <v>185695.33</v>
      </c>
      <c r="R267" s="5">
        <f>OBRA!T266</f>
        <v>42950</v>
      </c>
      <c r="S267" s="11">
        <f>OBRA!U266</f>
        <v>42978</v>
      </c>
      <c r="T267" s="53"/>
      <c r="U267" s="377" t="s">
        <v>1428</v>
      </c>
      <c r="V267" s="507"/>
      <c r="W267" s="877"/>
      <c r="X267" s="279">
        <f>OBRA!AR266</f>
        <v>37139.06</v>
      </c>
      <c r="Y267" s="5"/>
      <c r="Z267" s="309"/>
      <c r="AA267" s="5"/>
      <c r="AB267" s="313"/>
      <c r="AC267" s="317">
        <f>OBRA!BW266</f>
        <v>0</v>
      </c>
      <c r="AD267" s="352"/>
      <c r="AE267" s="352" t="s">
        <v>551</v>
      </c>
    </row>
    <row r="268" spans="1:31" ht="105" hidden="1" customHeight="1">
      <c r="A268" s="22" t="s">
        <v>2206</v>
      </c>
      <c r="B268" s="809" t="str">
        <f>GRAL!B269</f>
        <v>2015-2018</v>
      </c>
      <c r="C268" s="16">
        <f>OBRA!J267</f>
        <v>-2016</v>
      </c>
      <c r="D268" s="1415"/>
      <c r="E268" s="17" t="str">
        <f>OBRA!M267</f>
        <v>RAMO 33</v>
      </c>
      <c r="F268" s="478" t="s">
        <v>1428</v>
      </c>
      <c r="G268" s="502" t="s">
        <v>1947</v>
      </c>
      <c r="H268" s="524" t="s">
        <v>1949</v>
      </c>
      <c r="I268" s="502" t="s">
        <v>1948</v>
      </c>
      <c r="J268" s="54" t="str">
        <f>OBRA!W267</f>
        <v>ENERGIAS RENOVABLES DE LA RIVERA S.A. DE C.V</v>
      </c>
      <c r="K268" s="55" t="str">
        <f>OBRA!X267</f>
        <v>ING. RIGOBERTO OLMEDO RAMOS</v>
      </c>
      <c r="L268" s="33" t="str">
        <f>OBRA!N267</f>
        <v>GMJ 042C OP/2017</v>
      </c>
      <c r="M268" s="2" t="str">
        <f>OBRA!O267</f>
        <v>ADJUDICACIÓN DIRECTA</v>
      </c>
      <c r="N268" s="3" t="str">
        <f>OBRA!P267</f>
        <v>ELECTRIFICACIÓN DE MEDIA Y BAJA TENSIÓN Y TRANSFORMADOR PARA EL POZO DE LA PLAZOLETA, EN LA LOCALIDAD DE CHANTEPEC,  DEL MUNICIPIO DE  JOCOTEPEC, JALISCO</v>
      </c>
      <c r="O268" s="504" t="s">
        <v>1946</v>
      </c>
      <c r="P268" s="6">
        <f>OBRA!S267</f>
        <v>42951</v>
      </c>
      <c r="Q268" s="4">
        <f>OBRA!R267</f>
        <v>360000</v>
      </c>
      <c r="R268" s="5">
        <f>OBRA!T267</f>
        <v>42954</v>
      </c>
      <c r="S268" s="11">
        <f>OBRA!U267</f>
        <v>42973</v>
      </c>
      <c r="T268" s="53"/>
      <c r="U268" s="377" t="s">
        <v>1428</v>
      </c>
      <c r="V268" s="499" t="s">
        <v>1950</v>
      </c>
      <c r="W268" s="597" t="s">
        <v>2265</v>
      </c>
      <c r="X268" s="279">
        <f>OBRA!AR267</f>
        <v>72000</v>
      </c>
      <c r="Y268" s="5"/>
      <c r="Z268" s="309"/>
      <c r="AA268" s="5"/>
      <c r="AB268" s="313"/>
      <c r="AC268" s="317">
        <f>OBRA!BW267</f>
        <v>0</v>
      </c>
      <c r="AD268" s="352"/>
      <c r="AE268" s="352" t="s">
        <v>551</v>
      </c>
    </row>
    <row r="269" spans="1:31" ht="105" hidden="1" customHeight="1">
      <c r="A269" s="22" t="s">
        <v>2206</v>
      </c>
      <c r="B269" s="809" t="str">
        <f>GRAL!B270</f>
        <v>2015-2018</v>
      </c>
      <c r="C269" s="16">
        <f>OBRA!J268</f>
        <v>2017</v>
      </c>
      <c r="D269" s="1415"/>
      <c r="E269" s="17" t="str">
        <f>OBRA!M268</f>
        <v>CUENTA CORRIENTE</v>
      </c>
      <c r="F269" s="478" t="s">
        <v>1428</v>
      </c>
      <c r="G269" s="868"/>
      <c r="H269" s="878"/>
      <c r="I269" s="507"/>
      <c r="J269" s="661" t="str">
        <f>OBRA!W268</f>
        <v>ELECTRIFICACIONES MUGA, S.A. DE C.V.</v>
      </c>
      <c r="K269" s="55" t="str">
        <f>OBRA!X268</f>
        <v>C. DANIEL RODRIGUEZ VALENZUELA</v>
      </c>
      <c r="L269" s="33" t="str">
        <f>OBRA!N268</f>
        <v>GMJ 043C OP/2017</v>
      </c>
      <c r="M269" s="2" t="str">
        <f>OBRA!O268</f>
        <v>ADJUDICACIÓN DIRECTA</v>
      </c>
      <c r="N269" s="3" t="str">
        <f>OBRA!P268</f>
        <v>ELECTRIFICACIÓN DE LA SUBDIVICION DE LAS AREAS DE CESION DE VISTA DEL ANGEL, EN LA LOCALIDAD DE SAN JUAN COSALA DEL MUNICIPIO DE JOCOTEPEC, JALISCO</v>
      </c>
      <c r="O269" s="504"/>
      <c r="P269" s="67">
        <f>OBRA!S268</f>
        <v>42916</v>
      </c>
      <c r="Q269" s="4">
        <f>OBRA!R268</f>
        <v>729291.31</v>
      </c>
      <c r="R269" s="5">
        <f>OBRA!T268</f>
        <v>42917</v>
      </c>
      <c r="S269" s="11">
        <f>OBRA!U268</f>
        <v>43158</v>
      </c>
      <c r="T269" s="53"/>
      <c r="U269" s="377" t="s">
        <v>1428</v>
      </c>
      <c r="V269" s="587"/>
      <c r="W269" s="870"/>
      <c r="X269" s="280">
        <f>OBRA!AR268</f>
        <v>0</v>
      </c>
      <c r="Y269" s="5"/>
      <c r="Z269" s="309"/>
      <c r="AA269" s="5"/>
      <c r="AB269" s="313"/>
      <c r="AC269" s="317">
        <f>OBRA!BW268</f>
        <v>0</v>
      </c>
      <c r="AD269" s="352"/>
      <c r="AE269" s="352" t="s">
        <v>1295</v>
      </c>
    </row>
    <row r="270" spans="1:31" s="104" customFormat="1" ht="30" hidden="1" customHeight="1">
      <c r="A270" s="81" t="s">
        <v>2206</v>
      </c>
      <c r="B270" s="820" t="str">
        <f>GRAL!B271</f>
        <v>2012-2015</v>
      </c>
      <c r="C270" s="82">
        <f>OBRA!J269</f>
        <v>2017</v>
      </c>
      <c r="D270" s="781"/>
      <c r="E270" s="97">
        <f>OBRA!M269</f>
        <v>0</v>
      </c>
      <c r="F270" s="479" t="s">
        <v>1428</v>
      </c>
      <c r="G270" s="354"/>
      <c r="H270" s="96"/>
      <c r="I270" s="354"/>
      <c r="J270" s="151" t="str">
        <f>OBRA!W269</f>
        <v>-</v>
      </c>
      <c r="K270" s="152" t="str">
        <f>OBRA!X269</f>
        <v>-</v>
      </c>
      <c r="L270" s="308" t="str">
        <f>OBRA!N269</f>
        <v>GMJ 044C OP/2017</v>
      </c>
      <c r="M270" s="186" t="str">
        <f>OBRA!O269</f>
        <v>CANCELADA</v>
      </c>
      <c r="N270" s="106">
        <f>OBRA!P269</f>
        <v>0</v>
      </c>
      <c r="O270" s="125"/>
      <c r="P270" s="87">
        <f>OBRA!S269</f>
        <v>0</v>
      </c>
      <c r="Q270" s="86">
        <f>OBRA!R269</f>
        <v>0</v>
      </c>
      <c r="R270" s="88">
        <f>OBRA!T269</f>
        <v>0</v>
      </c>
      <c r="S270" s="89">
        <f>OBRA!U269</f>
        <v>0</v>
      </c>
      <c r="T270" s="91"/>
      <c r="U270" s="688" t="s">
        <v>1428</v>
      </c>
      <c r="V270" s="311"/>
      <c r="W270" s="89"/>
      <c r="X270" s="284">
        <f>OBRA!AR269</f>
        <v>0</v>
      </c>
      <c r="Y270" s="88"/>
      <c r="Z270" s="311"/>
      <c r="AA270" s="88"/>
      <c r="AB270" s="1855"/>
      <c r="AC270" s="467">
        <f>OBRA!BW269</f>
        <v>0</v>
      </c>
      <c r="AD270" s="354"/>
      <c r="AE270" s="354"/>
    </row>
    <row r="271" spans="1:31" ht="30" hidden="1" customHeight="1">
      <c r="A271" s="22" t="s">
        <v>2206</v>
      </c>
      <c r="B271" s="809" t="str">
        <f>GRAL!B272</f>
        <v>2015-2018</v>
      </c>
      <c r="C271" s="16">
        <f>OBRA!J270</f>
        <v>2017</v>
      </c>
      <c r="D271" s="1415"/>
      <c r="E271" s="17" t="str">
        <f>OBRA!M270</f>
        <v>FONDEREG</v>
      </c>
      <c r="F271" s="478"/>
      <c r="G271" s="352"/>
      <c r="H271" s="1"/>
      <c r="I271" s="352"/>
      <c r="J271" s="54" t="str">
        <f>OBRA!W270</f>
        <v xml:space="preserve">GRUPO DESARROLLADOR INMOBILIARIO CEMERAMA S.A. DE C.V. </v>
      </c>
      <c r="K271" s="55" t="str">
        <f>OBRA!X270</f>
        <v xml:space="preserve">LIC. SALVADOR CONTRERAS </v>
      </c>
      <c r="L271" s="33" t="str">
        <f>OBRA!N270</f>
        <v>GMJ 045C OP/2017</v>
      </c>
      <c r="M271" s="2" t="str">
        <f>OBRA!O270</f>
        <v>INVITACIÓN</v>
      </c>
      <c r="N271" s="3" t="str">
        <f>OBRA!P270</f>
        <v>REHABILITACIÓN DE IMAGEN URBANA Y ACONDICIONAMIENTO DE LA CALLE DONATO GUERRA ENTRE CALLE HIDALGO Y CALLE INDEPENDENCIA 1ERA ETAPA EN LA CABECERA MUNICIPAL DE JOCOTEPEC, JALISCO, DEL PROGRAMA FONDEREG 2017</v>
      </c>
      <c r="O271" s="3"/>
      <c r="P271" s="6">
        <f>OBRA!S270</f>
        <v>42976</v>
      </c>
      <c r="Q271" s="4">
        <f>OBRA!R270</f>
        <v>3445881.8</v>
      </c>
      <c r="R271" s="5">
        <f>OBRA!T270</f>
        <v>42979</v>
      </c>
      <c r="S271" s="11">
        <f>OBRA!U270</f>
        <v>43054</v>
      </c>
      <c r="T271" s="53"/>
      <c r="U271" s="377" t="s">
        <v>1428</v>
      </c>
      <c r="V271" s="309"/>
      <c r="W271" s="11"/>
      <c r="X271" s="279">
        <f>OBRA!AR270</f>
        <v>1550258.96</v>
      </c>
      <c r="Y271" s="309"/>
      <c r="Z271" s="309"/>
      <c r="AA271" s="5"/>
      <c r="AB271" s="313"/>
      <c r="AC271" s="317">
        <f>OBRA!BW270</f>
        <v>0</v>
      </c>
      <c r="AD271" s="352"/>
      <c r="AE271" s="352"/>
    </row>
    <row r="272" spans="1:31" ht="30" hidden="1" customHeight="1">
      <c r="A272" s="22" t="s">
        <v>2206</v>
      </c>
      <c r="B272" s="809" t="str">
        <f>GRAL!B273</f>
        <v>2015-2018</v>
      </c>
      <c r="C272" s="16">
        <f>OBRA!J271</f>
        <v>2017</v>
      </c>
      <c r="D272" s="1415"/>
      <c r="E272" s="17" t="str">
        <f>OBRA!M271</f>
        <v>FOCOCI</v>
      </c>
      <c r="F272" s="478"/>
      <c r="G272" s="352"/>
      <c r="H272" s="1"/>
      <c r="I272" s="352"/>
      <c r="J272" s="54" t="str">
        <f>OBRA!W271</f>
        <v>PROYECCION INTEGRAL ZURE S.A. DE C.V.</v>
      </c>
      <c r="K272" s="55" t="str">
        <f>OBRA!X271</f>
        <v xml:space="preserve">LIC. SALVADOR CONTRERAS </v>
      </c>
      <c r="L272" s="33" t="str">
        <f>OBRA!N271</f>
        <v>GMJ 046C OP/2017</v>
      </c>
      <c r="M272" s="2" t="str">
        <f>OBRA!O271</f>
        <v>INVITACIÓN</v>
      </c>
      <c r="N272" s="3" t="str">
        <f>OBRA!P271</f>
        <v>REHABILITACIÓN DE IMAGEN URBANA Y ACONDICIONAMIENTO DE LA CALLE DONATO GUERRA ENTRE CALLE HIDALGO Y CALLE GUADALUPE VICTORIA, 1ER ETAPA, EN LA CABECERA MUNICIPAL DEL MUNICIPIO DE JOCOTEPEC, JALISCO</v>
      </c>
      <c r="O272" s="3"/>
      <c r="P272" s="6">
        <f>OBRA!S271</f>
        <v>42949</v>
      </c>
      <c r="Q272" s="4">
        <f>OBRA!R271</f>
        <v>2995704.85</v>
      </c>
      <c r="R272" s="5">
        <f>OBRA!T271</f>
        <v>42982</v>
      </c>
      <c r="S272" s="11">
        <f>OBRA!U271</f>
        <v>43049</v>
      </c>
      <c r="T272" s="53"/>
      <c r="U272" s="377" t="s">
        <v>1428</v>
      </c>
      <c r="V272" s="309"/>
      <c r="W272" s="11"/>
      <c r="X272" s="279">
        <f>OBRA!AR271</f>
        <v>591940.96</v>
      </c>
      <c r="Y272" s="309"/>
      <c r="Z272" s="309"/>
      <c r="AA272" s="5"/>
      <c r="AB272" s="313"/>
      <c r="AC272" s="317">
        <f>OBRA!BW271</f>
        <v>0</v>
      </c>
      <c r="AD272" s="352"/>
      <c r="AE272" s="352"/>
    </row>
    <row r="273" spans="1:31" ht="141.75" hidden="1" customHeight="1">
      <c r="A273" s="22" t="s">
        <v>2206</v>
      </c>
      <c r="B273" s="809" t="str">
        <f>GRAL!B274</f>
        <v>2015-2018</v>
      </c>
      <c r="C273" s="16">
        <f>OBRA!J272</f>
        <v>-2016</v>
      </c>
      <c r="D273" s="1415"/>
      <c r="E273" s="17" t="str">
        <f>OBRA!M272</f>
        <v>FOREMODA</v>
      </c>
      <c r="F273" s="604" t="s">
        <v>1963</v>
      </c>
      <c r="G273" s="502" t="s">
        <v>1969</v>
      </c>
      <c r="H273" s="524" t="s">
        <v>1971</v>
      </c>
      <c r="I273" s="502" t="s">
        <v>1970</v>
      </c>
      <c r="J273" s="54" t="str">
        <f>OBRA!W272</f>
        <v>CONSTRUCTORA DALMA S.A. DE C.V.</v>
      </c>
      <c r="K273" s="55" t="str">
        <f>OBRA!X272</f>
        <v>ARQ. FRANCISCO SALAZAR</v>
      </c>
      <c r="L273" s="33" t="str">
        <f>OBRA!N272</f>
        <v>GMJ 047C OP/2017</v>
      </c>
      <c r="M273" s="2" t="str">
        <f>OBRA!O272</f>
        <v>ADJUDICACIÓN DIRECTA</v>
      </c>
      <c r="N273" s="3" t="str">
        <f>OBRA!P272</f>
        <v>AMPLIACION DE LA PRIMERA TEMPORADA DEL PROYECTO DE RESTAURACIÓN Y CONSERVACION DEL ANTIGUO TEMPLO DE INDIOS (HOSPITALITO DE SAN JUAN COSALA) EN LA DELEGACION DE SAN JUAN COSALA, DEL MUNICIPIO DE JOCOTEPEC</v>
      </c>
      <c r="O273" s="504" t="s">
        <v>1966</v>
      </c>
      <c r="P273" s="6">
        <f>OBRA!S272</f>
        <v>42943</v>
      </c>
      <c r="Q273" s="4">
        <f>OBRA!R272</f>
        <v>440000</v>
      </c>
      <c r="R273" s="5">
        <f>OBRA!T272</f>
        <v>43017</v>
      </c>
      <c r="S273" s="11">
        <f>OBRA!U272</f>
        <v>43087</v>
      </c>
      <c r="T273" s="53"/>
      <c r="U273" s="377"/>
      <c r="V273" s="502" t="s">
        <v>1972</v>
      </c>
      <c r="W273" s="613" t="s">
        <v>2266</v>
      </c>
      <c r="X273" s="279">
        <f>OBRA!AR272</f>
        <v>396000</v>
      </c>
      <c r="Y273" s="5"/>
      <c r="Z273" s="309"/>
      <c r="AA273" s="5"/>
      <c r="AB273" s="313"/>
      <c r="AC273" s="317">
        <f>OBRA!BW272</f>
        <v>0</v>
      </c>
      <c r="AD273" s="352"/>
      <c r="AE273" s="352" t="s">
        <v>551</v>
      </c>
    </row>
    <row r="274" spans="1:31" ht="96" hidden="1" customHeight="1">
      <c r="A274" s="22" t="s">
        <v>2206</v>
      </c>
      <c r="B274" s="809" t="str">
        <f>GRAL!B275</f>
        <v>2015-2018</v>
      </c>
      <c r="C274" s="16">
        <f>OBRA!J273</f>
        <v>2017</v>
      </c>
      <c r="D274" s="1415"/>
      <c r="E274" s="17" t="str">
        <f>OBRA!M273</f>
        <v>CUENTA CORRIENTE</v>
      </c>
      <c r="F274" s="13" t="s">
        <v>1428</v>
      </c>
      <c r="G274" s="507"/>
      <c r="H274" s="878"/>
      <c r="I274" s="507"/>
      <c r="J274" s="54" t="str">
        <f>OBRA!W273</f>
        <v>ASFALTOS GUADALAJARA, S.A.P.I. DE C.V.</v>
      </c>
      <c r="K274" s="55" t="str">
        <f>OBRA!X273</f>
        <v>ING. ANGEL ALBERTO HERNANDEZ MORA</v>
      </c>
      <c r="L274" s="33" t="str">
        <f>OBRA!N273</f>
        <v>GMJ 048C OP/2017</v>
      </c>
      <c r="M274" s="2" t="str">
        <f>OBRA!O273</f>
        <v>ADJUDICACIÓN DIRECTA</v>
      </c>
      <c r="N274" s="3" t="str">
        <f>OBRA!P273</f>
        <v>REENCARPETAMIENTO Y BACHEO EN VARIAS CALLES EN LA LOCALIDAD DE ZAPOTITAN DE HIDALGO, MUNICIPIO DE JOCOTEPEC, JALISCO</v>
      </c>
      <c r="O274" s="504"/>
      <c r="P274" s="6">
        <f>OBRA!S273</f>
        <v>42977</v>
      </c>
      <c r="Q274" s="4">
        <f>OBRA!R273</f>
        <v>1254850.92</v>
      </c>
      <c r="R274" s="5">
        <f>OBRA!T273</f>
        <v>42977</v>
      </c>
      <c r="S274" s="11">
        <f>OBRA!U273</f>
        <v>43008</v>
      </c>
      <c r="T274" s="53"/>
      <c r="U274" s="377" t="s">
        <v>1428</v>
      </c>
      <c r="V274" s="587"/>
      <c r="W274" s="1231"/>
      <c r="X274" s="279">
        <f>OBRA!AR273</f>
        <v>250970.18</v>
      </c>
      <c r="Y274" s="5"/>
      <c r="Z274" s="309"/>
      <c r="AA274" s="5"/>
      <c r="AB274" s="313"/>
      <c r="AC274" s="317">
        <f>OBRA!BW273</f>
        <v>0</v>
      </c>
      <c r="AD274" s="352"/>
      <c r="AE274" s="352" t="s">
        <v>551</v>
      </c>
    </row>
    <row r="275" spans="1:31" ht="81.75" hidden="1" customHeight="1">
      <c r="A275" s="22" t="s">
        <v>2206</v>
      </c>
      <c r="B275" s="809" t="str">
        <f>GRAL!B276</f>
        <v>2015-2018</v>
      </c>
      <c r="C275" s="16">
        <f>OBRA!J274</f>
        <v>2017</v>
      </c>
      <c r="D275" s="1415"/>
      <c r="E275" s="17" t="str">
        <f>OBRA!M274</f>
        <v>CUENTA CORRIENTE</v>
      </c>
      <c r="F275" s="478" t="s">
        <v>1428</v>
      </c>
      <c r="G275" s="507"/>
      <c r="H275" s="878"/>
      <c r="I275" s="507"/>
      <c r="J275" s="54" t="str">
        <f>OBRA!W274</f>
        <v>ASFALTOS GUADALAJARA, S.A.P.I. DE C.V.</v>
      </c>
      <c r="K275" s="55" t="str">
        <f>OBRA!X274</f>
        <v>ING. ANGEL ALBERTO HERNANDEZ MORA</v>
      </c>
      <c r="L275" s="33" t="str">
        <f>OBRA!N274</f>
        <v>GMJ 049C OP/2017</v>
      </c>
      <c r="M275" s="2" t="str">
        <f>OBRA!O274</f>
        <v>ADJUDICACIÓN DIRECTA</v>
      </c>
      <c r="N275" s="3" t="str">
        <f>OBRA!P274</f>
        <v>REENCARPETAMIENTO Y BACHEO EN VARIAS CALLES DE LA CABECERA MUNICIPAL, DEL MUNICIPIO DE JOCOTEPEC, JALISCO</v>
      </c>
      <c r="O275" s="504"/>
      <c r="P275" s="6">
        <f>OBRA!S274</f>
        <v>42977</v>
      </c>
      <c r="Q275" s="4">
        <f>OBRA!R274</f>
        <v>1053156.1299999999</v>
      </c>
      <c r="R275" s="5">
        <f>OBRA!T274</f>
        <v>42977</v>
      </c>
      <c r="S275" s="11">
        <f>OBRA!U274</f>
        <v>43053</v>
      </c>
      <c r="T275" s="53"/>
      <c r="U275" s="377" t="s">
        <v>1428</v>
      </c>
      <c r="V275" s="587"/>
      <c r="W275" s="1231"/>
      <c r="X275" s="279">
        <f>OBRA!AR274</f>
        <v>210631.22</v>
      </c>
      <c r="Y275" s="5"/>
      <c r="Z275" s="309"/>
      <c r="AA275" s="5"/>
      <c r="AB275" s="313"/>
      <c r="AC275" s="317">
        <f>OBRA!BW274</f>
        <v>0</v>
      </c>
      <c r="AD275" s="352"/>
      <c r="AE275" s="352" t="s">
        <v>551</v>
      </c>
    </row>
    <row r="276" spans="1:31" ht="106.5" hidden="1" customHeight="1">
      <c r="A276" s="22" t="s">
        <v>2206</v>
      </c>
      <c r="B276" s="809" t="str">
        <f>GRAL!B277</f>
        <v>2015-2018</v>
      </c>
      <c r="C276" s="16">
        <f>OBRA!J275</f>
        <v>2017</v>
      </c>
      <c r="D276" s="1415"/>
      <c r="E276" s="17" t="str">
        <f>OBRA!M275</f>
        <v>CUENTA CORRIENTE</v>
      </c>
      <c r="F276" s="478" t="s">
        <v>1428</v>
      </c>
      <c r="G276" s="507"/>
      <c r="H276" s="878"/>
      <c r="I276" s="507"/>
      <c r="J276" s="54" t="str">
        <f>OBRA!W275</f>
        <v>ASFALTOS GUADALAJARA, S.A.P.I. DE C.V.</v>
      </c>
      <c r="K276" s="55" t="str">
        <f>OBRA!X275</f>
        <v>ING. ANGEL ALBERTO HERNANDEZ MORA</v>
      </c>
      <c r="L276" s="33" t="str">
        <f>OBRA!N275</f>
        <v>GMJ 050C OP/2017</v>
      </c>
      <c r="M276" s="2" t="str">
        <f>OBRA!O275</f>
        <v>ADJUDICACIÓN DIRECTA</v>
      </c>
      <c r="N276" s="3" t="str">
        <f>OBRA!P275</f>
        <v>REENCARPETAMIENTO Y BACHEO EN VARIAS CALLES EN LA LOCALIDAD DE SAN CRISTOBAL ZAPOTITLAN, DEL MUNICIPIO DE JOCOTEPEC, JALISCO</v>
      </c>
      <c r="O276" s="504"/>
      <c r="P276" s="6">
        <f>OBRA!S275</f>
        <v>43007</v>
      </c>
      <c r="Q276" s="4">
        <f>OBRA!R275</f>
        <v>614358.76</v>
      </c>
      <c r="R276" s="5">
        <f>OBRA!T275</f>
        <v>43010</v>
      </c>
      <c r="S276" s="11">
        <f>OBRA!U275</f>
        <v>43017</v>
      </c>
      <c r="T276" s="53"/>
      <c r="U276" s="377" t="s">
        <v>1428</v>
      </c>
      <c r="V276" s="587"/>
      <c r="W276" s="1231"/>
      <c r="X276" s="279">
        <f>OBRA!AR275</f>
        <v>122871.76</v>
      </c>
      <c r="Y276" s="5"/>
      <c r="Z276" s="309"/>
      <c r="AA276" s="5"/>
      <c r="AB276" s="313"/>
      <c r="AC276" s="317">
        <f>OBRA!BW275</f>
        <v>0</v>
      </c>
      <c r="AD276" s="352"/>
      <c r="AE276" s="352" t="s">
        <v>551</v>
      </c>
    </row>
    <row r="277" spans="1:31" ht="162" hidden="1" customHeight="1">
      <c r="A277" s="22" t="s">
        <v>2206</v>
      </c>
      <c r="B277" s="809" t="str">
        <f>GRAL!B278</f>
        <v>2015-2018</v>
      </c>
      <c r="C277" s="16">
        <f>OBRA!J276</f>
        <v>2017</v>
      </c>
      <c r="D277" s="1415"/>
      <c r="E277" s="18" t="str">
        <f>OBRA!M276</f>
        <v>Fondo de proyectos para el Desarrollo Regional</v>
      </c>
      <c r="F277" s="604" t="s">
        <v>1933</v>
      </c>
      <c r="G277" s="507"/>
      <c r="H277" s="878"/>
      <c r="I277" s="507"/>
      <c r="J277" s="54" t="str">
        <f>OBRA!W276</f>
        <v>ING. SERGIO CABRERA</v>
      </c>
      <c r="K277" s="55" t="str">
        <f>OBRA!X276</f>
        <v>ING. J. GUADALUPE IBARRA RAMIREZ</v>
      </c>
      <c r="L277" s="33" t="str">
        <f>OBRA!N276</f>
        <v>GMJ 051C OP/2017</v>
      </c>
      <c r="M277" s="2" t="str">
        <f>OBRA!O276</f>
        <v>ADJUDICACIÓN DIRECTA</v>
      </c>
      <c r="N277" s="3" t="str">
        <f>OBRA!P276</f>
        <v>PROYECTO CONSTRUCCIÓN DE ASFALTO, CONSTRUCCION CUNETAS Y CONSTRUCCIÓN DE BANQUETAS EN LA CALLE NIÑOS HEROES DEL LIBRAMIENTO A CALLE PROL. ALDAMA, EN LA CABECERA MUNICIPAL DEL JOCOTEPEC, JALISCO.</v>
      </c>
      <c r="O277" s="504"/>
      <c r="P277" s="67">
        <f>OBRA!S276</f>
        <v>42992</v>
      </c>
      <c r="Q277" s="4">
        <f>OBRA!R276</f>
        <v>607706.15</v>
      </c>
      <c r="R277" s="5">
        <f>OBRA!T276</f>
        <v>43059</v>
      </c>
      <c r="S277" s="11">
        <f>OBRA!U276</f>
        <v>43084</v>
      </c>
      <c r="T277" s="53"/>
      <c r="U277" s="377" t="s">
        <v>1428</v>
      </c>
      <c r="V277" s="587"/>
      <c r="W277" s="1231"/>
      <c r="X277" s="279">
        <f>OBRA!AR276</f>
        <v>121541.22</v>
      </c>
      <c r="Y277" s="5"/>
      <c r="Z277" s="309"/>
      <c r="AA277" s="5"/>
      <c r="AB277" s="313"/>
      <c r="AC277" s="317">
        <f>OBRA!BW276</f>
        <v>0</v>
      </c>
      <c r="AD277" s="352"/>
      <c r="AE277" s="352" t="s">
        <v>1295</v>
      </c>
    </row>
    <row r="278" spans="1:31" s="104" customFormat="1" ht="15" hidden="1" customHeight="1">
      <c r="A278" s="81" t="s">
        <v>2206</v>
      </c>
      <c r="B278" s="820" t="str">
        <f>GRAL!B279</f>
        <v>2012-2015</v>
      </c>
      <c r="C278" s="82">
        <f>OBRA!J277</f>
        <v>2017</v>
      </c>
      <c r="D278" s="781"/>
      <c r="E278" s="97">
        <f>OBRA!M277</f>
        <v>0</v>
      </c>
      <c r="F278" s="479"/>
      <c r="G278" s="827"/>
      <c r="H278" s="96"/>
      <c r="I278" s="354"/>
      <c r="J278" s="151">
        <f>OBRA!W277</f>
        <v>0</v>
      </c>
      <c r="K278" s="152">
        <f>OBRA!X277</f>
        <v>0</v>
      </c>
      <c r="L278" s="308" t="str">
        <f>OBRA!N277</f>
        <v>GMJ 052C OP/2017</v>
      </c>
      <c r="M278" s="186" t="str">
        <f>OBRA!O277</f>
        <v>CANCELADA</v>
      </c>
      <c r="N278" s="106" t="str">
        <f>OBRA!P277</f>
        <v>CANCELADO</v>
      </c>
      <c r="O278" s="812"/>
      <c r="P278" s="87">
        <f>OBRA!S277</f>
        <v>0</v>
      </c>
      <c r="Q278" s="86">
        <f>OBRA!R277</f>
        <v>0</v>
      </c>
      <c r="R278" s="88">
        <f>OBRA!T277</f>
        <v>0</v>
      </c>
      <c r="S278" s="89">
        <f>OBRA!U277</f>
        <v>0</v>
      </c>
      <c r="T278" s="91"/>
      <c r="U278" s="688" t="s">
        <v>1428</v>
      </c>
      <c r="V278" s="311"/>
      <c r="W278" s="89"/>
      <c r="X278" s="284">
        <f>OBRA!AR277</f>
        <v>0</v>
      </c>
      <c r="Y278" s="311"/>
      <c r="Z278" s="311"/>
      <c r="AA278" s="88"/>
      <c r="AB278" s="1855"/>
      <c r="AC278" s="467">
        <f>OBRA!BW277</f>
        <v>0</v>
      </c>
      <c r="AD278" s="354"/>
      <c r="AE278" s="354"/>
    </row>
    <row r="279" spans="1:31" ht="81.75" hidden="1" customHeight="1">
      <c r="A279" s="22" t="s">
        <v>2206</v>
      </c>
      <c r="B279" s="809" t="str">
        <f>GRAL!B280</f>
        <v>2015-2018</v>
      </c>
      <c r="C279" s="16">
        <f>OBRA!J278</f>
        <v>-2016</v>
      </c>
      <c r="D279" s="1415"/>
      <c r="E279" s="17" t="str">
        <f>OBRA!M278</f>
        <v>RAMO 33</v>
      </c>
      <c r="F279" s="478" t="s">
        <v>1428</v>
      </c>
      <c r="G279" s="502" t="s">
        <v>1981</v>
      </c>
      <c r="H279" s="524" t="s">
        <v>1983</v>
      </c>
      <c r="I279" s="502" t="s">
        <v>1982</v>
      </c>
      <c r="J279" s="54" t="str">
        <f>OBRA!W278</f>
        <v>C. JESSICA MONSERRAT RIVERA TORRES</v>
      </c>
      <c r="K279" s="55" t="str">
        <f>OBRA!X278</f>
        <v>ING. RIGOBERTO OLMEDO RAMOS</v>
      </c>
      <c r="L279" s="33" t="str">
        <f>OBRA!N278</f>
        <v>GMJ 053C OP/2017</v>
      </c>
      <c r="M279" s="2" t="str">
        <f>OBRA!O278</f>
        <v>ADJUDICACIÓN DIRECTA</v>
      </c>
      <c r="N279" s="3" t="str">
        <f>OBRA!P278</f>
        <v>EQUIPAMIENTO  DE POZO PROFUNDO EN LA CALLE JUAREZ, EN LA LOCALIDAD DE CHANTEPEC, DEL MUNICIPIO DE JOCOTEPEC, JALISCO</v>
      </c>
      <c r="O279" s="504" t="s">
        <v>1980</v>
      </c>
      <c r="P279" s="6">
        <f>OBRA!S278</f>
        <v>43000</v>
      </c>
      <c r="Q279" s="4">
        <f>OBRA!R278</f>
        <v>335569.36</v>
      </c>
      <c r="R279" s="5">
        <f>OBRA!T278</f>
        <v>43003</v>
      </c>
      <c r="S279" s="11">
        <f>OBRA!U278</f>
        <v>43023</v>
      </c>
      <c r="T279" s="53"/>
      <c r="U279" s="377" t="s">
        <v>1428</v>
      </c>
      <c r="V279" s="499" t="s">
        <v>1984</v>
      </c>
      <c r="W279" s="597" t="s">
        <v>2267</v>
      </c>
      <c r="X279" s="642">
        <f>OBRA!AR278</f>
        <v>41949.270000000004</v>
      </c>
      <c r="Y279" s="5"/>
      <c r="Z279" s="309"/>
      <c r="AA279" s="5"/>
      <c r="AB279" s="313"/>
      <c r="AC279" s="317">
        <f>OBRA!BW278</f>
        <v>0</v>
      </c>
      <c r="AD279" s="352"/>
      <c r="AE279" s="352" t="s">
        <v>551</v>
      </c>
    </row>
    <row r="280" spans="1:31" ht="111" hidden="1" customHeight="1">
      <c r="A280" s="22" t="s">
        <v>2206</v>
      </c>
      <c r="B280" s="809" t="str">
        <f>GRAL!B281</f>
        <v>2015-2018</v>
      </c>
      <c r="C280" s="16">
        <f>OBRA!J279</f>
        <v>2017</v>
      </c>
      <c r="D280" s="1415"/>
      <c r="E280" s="17" t="str">
        <f>OBRA!M279</f>
        <v>CUENTA CORRIENTE</v>
      </c>
      <c r="F280" s="478" t="s">
        <v>1428</v>
      </c>
      <c r="G280" s="507"/>
      <c r="H280" s="507"/>
      <c r="I280" s="507"/>
      <c r="J280" s="54" t="str">
        <f>OBRA!W279</f>
        <v>ING. MANUEL PALOS VACA</v>
      </c>
      <c r="K280" s="55" t="str">
        <f>OBRA!X279</f>
        <v>ING. ANGEL ALBERTO HERNANDEZ MORA</v>
      </c>
      <c r="L280" s="33" t="str">
        <f>OBRA!N279</f>
        <v>GMJ 054C OP/2017</v>
      </c>
      <c r="M280" s="2" t="str">
        <f>OBRA!O279</f>
        <v>ADJUDICACIÓN DIRECTA</v>
      </c>
      <c r="N280" s="3" t="str">
        <f>OBRA!P279</f>
        <v>ADECUACION DE CUNETA Y REEMPEDRADO AHOGADO EN CEMENTO EN LA CALLE LOS GUAYABOS EN LA AGENCIA MUNICIPAL DE NEXTIPAC, DEL MUNICIPIO DE JOCOTEPEC, JALISCO</v>
      </c>
      <c r="O280" s="502"/>
      <c r="P280" s="6">
        <f>OBRA!S279</f>
        <v>42979</v>
      </c>
      <c r="Q280" s="4">
        <f>OBRA!R279</f>
        <v>240397.92</v>
      </c>
      <c r="R280" s="5">
        <f>OBRA!T279</f>
        <v>42980</v>
      </c>
      <c r="S280" s="11">
        <f>OBRA!U279</f>
        <v>43007</v>
      </c>
      <c r="T280" s="53"/>
      <c r="U280" s="377" t="s">
        <v>1428</v>
      </c>
      <c r="V280" s="507"/>
      <c r="W280" s="507"/>
      <c r="X280" s="279">
        <f>OBRA!AR279</f>
        <v>55772.3</v>
      </c>
      <c r="Y280" s="5"/>
      <c r="Z280" s="309"/>
      <c r="AA280" s="5"/>
      <c r="AB280" s="313"/>
      <c r="AC280" s="317">
        <f>OBRA!BW279</f>
        <v>0</v>
      </c>
      <c r="AD280" s="352"/>
      <c r="AE280" s="352" t="s">
        <v>1295</v>
      </c>
    </row>
    <row r="281" spans="1:31" ht="139.5" hidden="1" customHeight="1">
      <c r="A281" s="22" t="s">
        <v>2206</v>
      </c>
      <c r="B281" s="809" t="str">
        <f>GRAL!B282</f>
        <v>2015-2018</v>
      </c>
      <c r="C281" s="16">
        <f>OBRA!J280</f>
        <v>2017</v>
      </c>
      <c r="D281" s="1415"/>
      <c r="E281" s="17" t="str">
        <f>OBRA!M280</f>
        <v>CUENTA CORRIENTE</v>
      </c>
      <c r="F281" s="478" t="s">
        <v>1428</v>
      </c>
      <c r="G281" s="507"/>
      <c r="H281" s="878"/>
      <c r="I281" s="507"/>
      <c r="J281" s="54" t="str">
        <f>OBRA!W280</f>
        <v>AGUA Y SANEAMIENTO AMBIENTAL S.A. DE C.V.</v>
      </c>
      <c r="K281" s="55" t="str">
        <f>OBRA!X280</f>
        <v>ING. JUAN MANUEL GARCIA ESCOTO</v>
      </c>
      <c r="L281" s="33" t="str">
        <f>OBRA!N280</f>
        <v>GMJ 055C OP/2017</v>
      </c>
      <c r="M281" s="2" t="str">
        <f>OBRA!O280</f>
        <v>ADJUDICACIÓN DIRECTA</v>
      </c>
      <c r="N281" s="3" t="str">
        <f>OBRA!P280</f>
        <v>SUMINISTRO Y COLOCACION DE CARCAMO DE BOMBEO PREFABRICADO DE CONCRETO ARMADO MARCA ASA-JET, PARA EL COLECTOR SANITARIO DEL MALECON EN LA CABECERA MUNICIPAL DEL MUNICIPIO DE JOCOTEPEC, JALISCO</v>
      </c>
      <c r="O281" s="464"/>
      <c r="P281" s="67">
        <f>OBRA!S280</f>
        <v>43052</v>
      </c>
      <c r="Q281" s="4">
        <f>OBRA!R280</f>
        <v>743056.9</v>
      </c>
      <c r="R281" s="5">
        <f>OBRA!T280</f>
        <v>43061</v>
      </c>
      <c r="S281" s="11">
        <f>OBRA!U280</f>
        <v>43084</v>
      </c>
      <c r="T281" s="52"/>
      <c r="U281" s="497" t="s">
        <v>2268</v>
      </c>
      <c r="V281" s="507"/>
      <c r="W281" s="877"/>
      <c r="X281" s="279">
        <f>OBRA!AR280</f>
        <v>520139.83</v>
      </c>
      <c r="Y281" s="5"/>
      <c r="Z281" s="309"/>
      <c r="AA281" s="5"/>
      <c r="AB281" s="313"/>
      <c r="AC281" s="317">
        <f>OBRA!BW280</f>
        <v>0</v>
      </c>
      <c r="AD281" s="352"/>
      <c r="AE281" s="352" t="s">
        <v>551</v>
      </c>
    </row>
    <row r="282" spans="1:31" ht="125.25" hidden="1" customHeight="1">
      <c r="A282" s="22" t="s">
        <v>2206</v>
      </c>
      <c r="B282" s="809" t="str">
        <f>GRAL!B283</f>
        <v>2015-2018</v>
      </c>
      <c r="C282" s="16">
        <f>OBRA!J281</f>
        <v>2017</v>
      </c>
      <c r="D282" s="1415"/>
      <c r="E282" s="17" t="str">
        <f>OBRA!M281</f>
        <v>RAMO 33</v>
      </c>
      <c r="F282" s="478" t="s">
        <v>1428</v>
      </c>
      <c r="G282" s="507"/>
      <c r="H282" s="529"/>
      <c r="I282" s="507"/>
      <c r="J282" s="54" t="str">
        <f>OBRA!W281</f>
        <v>C. JOSÉ MIGUEL GARCIA VALLE</v>
      </c>
      <c r="K282" s="55" t="str">
        <f>OBRA!X281</f>
        <v>ARQ. JAIME CONDE GOMEZ</v>
      </c>
      <c r="L282" s="33" t="str">
        <f>OBRA!N281</f>
        <v>GMJ 056C OP/2017</v>
      </c>
      <c r="M282" s="2" t="str">
        <f>OBRA!O281</f>
        <v>ADJUDICACIÓN DIRECTA</v>
      </c>
      <c r="N282" s="3" t="str">
        <f>OBRA!P281</f>
        <v>REHABILITACION DE LINEA DE DRENAJE EN CALLE VICENTE GUERRERO ENTRE CARRETERA E HIDALGO CON REPOSICIÓN DE SUPERFICIE DE RODAMIENTO, EN LA LOCALIDAD DE SAN JUAN COSALA, ºDEL MUNICIPIO DE JOCOTEPEC, JALISCO</v>
      </c>
      <c r="O282" s="504"/>
      <c r="P282" s="6">
        <f>OBRA!S281</f>
        <v>43047</v>
      </c>
      <c r="Q282" s="4">
        <f>OBRA!R281</f>
        <v>493878.63</v>
      </c>
      <c r="R282" s="5">
        <f>OBRA!T281</f>
        <v>43048</v>
      </c>
      <c r="S282" s="11">
        <f>OBRA!U281</f>
        <v>43086</v>
      </c>
      <c r="T282" s="53"/>
      <c r="U282" s="377" t="s">
        <v>1428</v>
      </c>
      <c r="V282" s="535"/>
      <c r="W282" s="1231"/>
      <c r="X282" s="659">
        <f>OBRA!AR281</f>
        <v>54551.4</v>
      </c>
      <c r="Y282" s="5"/>
      <c r="Z282" s="309"/>
      <c r="AA282" s="5"/>
      <c r="AB282" s="313"/>
      <c r="AC282" s="317">
        <f>OBRA!BW281</f>
        <v>0</v>
      </c>
      <c r="AD282" s="352"/>
      <c r="AE282" s="352" t="s">
        <v>1295</v>
      </c>
    </row>
    <row r="283" spans="1:31" ht="141.75" hidden="1" customHeight="1">
      <c r="A283" s="22" t="s">
        <v>2206</v>
      </c>
      <c r="B283" s="809" t="str">
        <f>GRAL!B284</f>
        <v>2015-2018</v>
      </c>
      <c r="C283" s="16">
        <f>OBRA!J282</f>
        <v>2017</v>
      </c>
      <c r="D283" s="1415"/>
      <c r="E283" s="17" t="str">
        <f>OBRA!M282</f>
        <v>RAMO 33</v>
      </c>
      <c r="F283" s="478" t="s">
        <v>1428</v>
      </c>
      <c r="G283" s="507"/>
      <c r="H283" s="878"/>
      <c r="I283" s="507"/>
      <c r="J283" s="54" t="str">
        <f>OBRA!W282</f>
        <v>C. JOSÉ MIGUEL GARCIA VALLE</v>
      </c>
      <c r="K283" s="55" t="str">
        <f>OBRA!X282</f>
        <v>ARQ. JAIME CONDE GOMEZ</v>
      </c>
      <c r="L283" s="33" t="str">
        <f>OBRA!N282</f>
        <v>GMJ 057C OP/2017</v>
      </c>
      <c r="M283" s="2" t="str">
        <f>OBRA!O282</f>
        <v>ADJUDICACIÓN DIRECTA</v>
      </c>
      <c r="N283" s="3" t="str">
        <f>OBRA!P282</f>
        <v>REHABILITACION DE LINEA DE AGUA POTABLE EN CALLE VICENTE GUERRERO ENTRE CARRETERA E HIDALGO CON REPOSICIÓN DE SUPERFICIE DE RODAMIENTO, EN LA LOCALIDAD DE SAN JUAN COSALA, DEL MUNICIPIO DE JOCOTEPEC, JALISCO</v>
      </c>
      <c r="O283" s="504"/>
      <c r="P283" s="6">
        <f>OBRA!S282</f>
        <v>43047</v>
      </c>
      <c r="Q283" s="4">
        <f>OBRA!R282</f>
        <v>515747.25</v>
      </c>
      <c r="R283" s="5">
        <f>OBRA!T282</f>
        <v>43048</v>
      </c>
      <c r="S283" s="11">
        <f>OBRA!U282</f>
        <v>43081</v>
      </c>
      <c r="T283" s="53"/>
      <c r="U283" s="377" t="s">
        <v>1428</v>
      </c>
      <c r="V283" s="508"/>
      <c r="W283" s="1231"/>
      <c r="X283" s="659">
        <f>OBRA!AR282</f>
        <v>514393.58999999997</v>
      </c>
      <c r="Y283" s="5"/>
      <c r="Z283" s="309"/>
      <c r="AA283" s="5"/>
      <c r="AB283" s="313"/>
      <c r="AC283" s="317">
        <f>OBRA!BW282</f>
        <v>0</v>
      </c>
      <c r="AD283" s="352"/>
      <c r="AE283" s="352" t="s">
        <v>1295</v>
      </c>
    </row>
    <row r="284" spans="1:31" ht="98.25" hidden="1" customHeight="1">
      <c r="A284" s="22" t="s">
        <v>2206</v>
      </c>
      <c r="B284" s="809" t="str">
        <f>GRAL!B285</f>
        <v>2015-2018</v>
      </c>
      <c r="C284" s="16">
        <f>OBRA!J283</f>
        <v>2017</v>
      </c>
      <c r="D284" s="1415"/>
      <c r="E284" s="17" t="str">
        <f>OBRA!M283</f>
        <v>RAMO 33</v>
      </c>
      <c r="F284" s="478" t="s">
        <v>1428</v>
      </c>
      <c r="G284" s="507"/>
      <c r="H284" s="878"/>
      <c r="I284" s="507"/>
      <c r="J284" s="54" t="str">
        <f>OBRA!W283</f>
        <v>ING. PEDRO TOPETE LOPEZ</v>
      </c>
      <c r="K284" s="55" t="str">
        <f>OBRA!X283</f>
        <v>ING. ANGEL ALBERTO HERNANDEZ MORA</v>
      </c>
      <c r="L284" s="33" t="str">
        <f>OBRA!N283</f>
        <v>GMJ 058C OP/2017</v>
      </c>
      <c r="M284" s="2" t="str">
        <f>OBRA!O283</f>
        <v>ADJUDICACIÓN DIRECTA</v>
      </c>
      <c r="N284" s="3" t="str">
        <f>OBRA!P283</f>
        <v>REHABILITACIÓN DE LINEA DE AGUA POTABLE EN CALLE CHAPULTEPEC ENTRE PRIVADA SAN MIGUEL Y CALLE CERRADA, EN LA AGENCIA MUNICIPAL "LA LOMA"</v>
      </c>
      <c r="O284" s="464"/>
      <c r="P284" s="6">
        <f>OBRA!S283</f>
        <v>43046</v>
      </c>
      <c r="Q284" s="4">
        <f>OBRA!R283</f>
        <v>392640.25</v>
      </c>
      <c r="R284" s="5">
        <f>OBRA!T283</f>
        <v>43047</v>
      </c>
      <c r="S284" s="11">
        <f>OBRA!U283</f>
        <v>43078</v>
      </c>
      <c r="T284" s="53"/>
      <c r="U284" s="377" t="s">
        <v>1428</v>
      </c>
      <c r="V284" s="507"/>
      <c r="W284" s="507"/>
      <c r="X284" s="340">
        <f>OBRA!AR283</f>
        <v>180243.78999999998</v>
      </c>
      <c r="Y284" s="5"/>
      <c r="Z284" s="309"/>
      <c r="AA284" s="5"/>
      <c r="AB284" s="313"/>
      <c r="AC284" s="317">
        <f>OBRA!BW283</f>
        <v>0</v>
      </c>
      <c r="AD284" s="352"/>
      <c r="AE284" s="352" t="s">
        <v>551</v>
      </c>
    </row>
    <row r="285" spans="1:31" ht="244.5" hidden="1" customHeight="1">
      <c r="A285" s="22" t="s">
        <v>2206</v>
      </c>
      <c r="B285" s="809" t="str">
        <f>GRAL!B286</f>
        <v>2015-2018</v>
      </c>
      <c r="C285" s="16">
        <f>OBRA!J284</f>
        <v>2017</v>
      </c>
      <c r="D285" s="1415"/>
      <c r="E285" s="18" t="str">
        <f>OBRA!M284</f>
        <v>Fondo de proyectos para el Desarrollo Regional</v>
      </c>
      <c r="F285" s="604" t="s">
        <v>1934</v>
      </c>
      <c r="G285" s="507"/>
      <c r="H285" s="878"/>
      <c r="I285" s="507"/>
      <c r="J285" s="54" t="str">
        <f>OBRA!W284</f>
        <v>ING. SERGIO CABRERA</v>
      </c>
      <c r="K285" s="55" t="str">
        <f>OBRA!X284</f>
        <v>ING. J. GUADALUPE IBARRA RAMIREZ</v>
      </c>
      <c r="L285" s="33" t="str">
        <f>OBRA!N284</f>
        <v>GMJ 059C OP/2017</v>
      </c>
      <c r="M285" s="2" t="str">
        <f>OBRA!O284</f>
        <v>ADJUDICACIÓN DIRECTA</v>
      </c>
      <c r="N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4"/>
      <c r="P285" s="67">
        <f>OBRA!S284</f>
        <v>43038</v>
      </c>
      <c r="Q285" s="4">
        <f>OBRA!R284</f>
        <v>794788.72</v>
      </c>
      <c r="R285" s="5">
        <f>OBRA!T284</f>
        <v>43061</v>
      </c>
      <c r="S285" s="11">
        <f>OBRA!U284</f>
        <v>43084</v>
      </c>
      <c r="T285" s="53"/>
      <c r="U285" s="377" t="s">
        <v>1428</v>
      </c>
      <c r="V285" s="587"/>
      <c r="W285" s="1231"/>
      <c r="X285" s="279">
        <f>OBRA!AR284</f>
        <v>158957.74</v>
      </c>
      <c r="Y285" s="5"/>
      <c r="Z285" s="309"/>
      <c r="AA285" s="5"/>
      <c r="AB285" s="313"/>
      <c r="AC285" s="317">
        <f>OBRA!BW284</f>
        <v>0</v>
      </c>
      <c r="AD285" s="352"/>
      <c r="AE285" s="352" t="s">
        <v>551</v>
      </c>
    </row>
    <row r="286" spans="1:31" ht="93" hidden="1" customHeight="1">
      <c r="A286" s="22" t="s">
        <v>2206</v>
      </c>
      <c r="B286" s="809" t="str">
        <f>GRAL!B287</f>
        <v>2015-2018</v>
      </c>
      <c r="C286" s="16">
        <f>OBRA!J285</f>
        <v>2017</v>
      </c>
      <c r="D286" s="1415"/>
      <c r="E286" s="17" t="str">
        <f>OBRA!M285</f>
        <v>CUENTA CORRIENTE</v>
      </c>
      <c r="F286" s="478" t="s">
        <v>1428</v>
      </c>
      <c r="G286" s="507"/>
      <c r="H286" s="878"/>
      <c r="I286" s="507"/>
      <c r="J286" s="54" t="str">
        <f>OBRA!W285</f>
        <v>ASFALTOS GUADALAJARA, S.A.P.I. DE C.V.</v>
      </c>
      <c r="K286" s="55" t="str">
        <f>OBRA!X285</f>
        <v>ING. ANGEL ALBERTO HERNANDEZ MORA</v>
      </c>
      <c r="L286" s="33" t="str">
        <f>OBRA!N285</f>
        <v>GMJ 060C OP/2017</v>
      </c>
      <c r="M286" s="2" t="str">
        <f>OBRA!O285</f>
        <v>ADJUDICACIÓN DIRECTA</v>
      </c>
      <c r="N286" s="3" t="str">
        <f>OBRA!P285</f>
        <v>REENCARPETAMIENTO Y BACHEO ASFALTICO EN VARIAS CALLES EN LA CABECERA MUNICIPAL, DE JOCOTEPEC, JALISCO</v>
      </c>
      <c r="O286" s="504"/>
      <c r="P286" s="6">
        <f>OBRA!S285</f>
        <v>43059</v>
      </c>
      <c r="Q286" s="4">
        <f>OBRA!R285</f>
        <v>773560.6</v>
      </c>
      <c r="R286" s="5">
        <f>OBRA!T285</f>
        <v>43059</v>
      </c>
      <c r="S286" s="11">
        <f>OBRA!U285</f>
        <v>43075</v>
      </c>
      <c r="T286" s="53"/>
      <c r="U286" s="377" t="s">
        <v>1428</v>
      </c>
      <c r="V286" s="507"/>
      <c r="W286" s="877"/>
      <c r="X286" s="279">
        <f>OBRA!AR285</f>
        <v>154712.12</v>
      </c>
      <c r="Y286" s="5"/>
      <c r="Z286" s="309"/>
      <c r="AA286" s="5"/>
      <c r="AB286" s="313"/>
      <c r="AC286" s="317">
        <f>OBRA!BW285</f>
        <v>0</v>
      </c>
      <c r="AD286" s="352"/>
      <c r="AE286" s="352" t="s">
        <v>551</v>
      </c>
    </row>
    <row r="287" spans="1:31" ht="120.75" hidden="1" customHeight="1">
      <c r="A287" s="22" t="s">
        <v>2206</v>
      </c>
      <c r="B287" s="809" t="str">
        <f>GRAL!B288</f>
        <v>2015-2018</v>
      </c>
      <c r="C287" s="16">
        <f>OBRA!J286</f>
        <v>2017</v>
      </c>
      <c r="D287" s="1415"/>
      <c r="E287" s="17" t="str">
        <f>OBRA!M286</f>
        <v>RAMO 33</v>
      </c>
      <c r="F287" s="478" t="s">
        <v>1428</v>
      </c>
      <c r="G287" s="507"/>
      <c r="H287" s="878"/>
      <c r="I287" s="507"/>
      <c r="J287" s="54" t="str">
        <f>OBRA!W286</f>
        <v>C. NORMA GORETY DOMINGUEZ CALVARIO</v>
      </c>
      <c r="K287" s="55" t="str">
        <f>OBRA!X286</f>
        <v>ING. JUAN MANUEL GARCIA ESCOTO</v>
      </c>
      <c r="L287" s="33" t="str">
        <f>OBRA!N286</f>
        <v>GMJ 061C OP/2017</v>
      </c>
      <c r="M287" s="2" t="str">
        <f>OBRA!O286</f>
        <v>ADJUDICACIÓN DIRECTA</v>
      </c>
      <c r="N287" s="3" t="str">
        <f>OBRA!P286</f>
        <v>REHABILITACION DE LINEA DE DRENAJE EN CALLE MORELOS PONIENTE ENTRE ZARAGOZA Y PANTEON  CON REPOSICIÓN DE SUPERFICIE DE RODAMIENTO EN LA CABECERA MUNICIPAL DEL MUNICIPIO DE JOCOTEPEC, JALISCO</v>
      </c>
      <c r="O287" s="504"/>
      <c r="P287" s="6">
        <f>OBRA!S286</f>
        <v>43078</v>
      </c>
      <c r="Q287" s="4">
        <f>OBRA!R286</f>
        <v>928575.62</v>
      </c>
      <c r="R287" s="5">
        <f>OBRA!T286</f>
        <v>43078</v>
      </c>
      <c r="S287" s="11">
        <f>OBRA!U286</f>
        <v>43099</v>
      </c>
      <c r="T287" s="53"/>
      <c r="U287" s="377" t="s">
        <v>1428</v>
      </c>
      <c r="V287" s="587"/>
      <c r="W287" s="1231"/>
      <c r="X287" s="340">
        <f>OBRA!AR286</f>
        <v>417859.01999999996</v>
      </c>
      <c r="Y287" s="5"/>
      <c r="Z287" s="309"/>
      <c r="AA287" s="5"/>
      <c r="AB287" s="313"/>
      <c r="AC287" s="317">
        <f>OBRA!BW286</f>
        <v>0</v>
      </c>
      <c r="AD287" s="352"/>
      <c r="AE287" s="352" t="s">
        <v>551</v>
      </c>
    </row>
    <row r="288" spans="1:31" ht="142.5" hidden="1" customHeight="1">
      <c r="A288" s="22" t="s">
        <v>2206</v>
      </c>
      <c r="B288" s="809" t="str">
        <f>GRAL!B289</f>
        <v>2015-2018</v>
      </c>
      <c r="C288" s="16">
        <f>OBRA!J287</f>
        <v>2017</v>
      </c>
      <c r="D288" s="1415"/>
      <c r="E288" s="17" t="str">
        <f>OBRA!M287</f>
        <v>RAMO 33</v>
      </c>
      <c r="F288" s="478" t="s">
        <v>1428</v>
      </c>
      <c r="G288" s="507"/>
      <c r="H288" s="878"/>
      <c r="I288" s="507"/>
      <c r="J288" s="54" t="str">
        <f>OBRA!W287</f>
        <v>C. NORMA GORETY DOMINGUEZ CALVARIO</v>
      </c>
      <c r="K288" s="55" t="str">
        <f>OBRA!X287</f>
        <v>ING. JUAN MANUEL GARCIA ESCOTO</v>
      </c>
      <c r="L288" s="33" t="str">
        <f>OBRA!N287</f>
        <v>GMJ 062C OP/2017</v>
      </c>
      <c r="M288" s="2" t="str">
        <f>OBRA!O287</f>
        <v>ADJUDICACIÓN DIRECTA</v>
      </c>
      <c r="N288" s="3" t="str">
        <f>OBRA!P287</f>
        <v>REHABILITACION DE LINEA DE  AGUA POTABLE EN CALLE MORELOS PONIENTE ENTRE ZARAGOZA Y PANTEON  CON REPOSICIÓN DE SUPERFICIE DE RODAMIENTO EN LA CABECERA MUNICIPAL DEL MUNICIPIO DE JOCOTEPEC, JALISCO</v>
      </c>
      <c r="O288" s="504"/>
      <c r="P288" s="6">
        <f>OBRA!S287</f>
        <v>43078</v>
      </c>
      <c r="Q288" s="4">
        <f>OBRA!R287</f>
        <v>831598.75</v>
      </c>
      <c r="R288" s="5">
        <f>OBRA!T287</f>
        <v>43078</v>
      </c>
      <c r="S288" s="11">
        <f>OBRA!U287</f>
        <v>43099</v>
      </c>
      <c r="T288" s="53"/>
      <c r="U288" s="377" t="s">
        <v>1428</v>
      </c>
      <c r="V288" s="587"/>
      <c r="W288" s="1231"/>
      <c r="X288" s="340">
        <f>OBRA!AR287</f>
        <v>374219.42</v>
      </c>
      <c r="Y288" s="5"/>
      <c r="Z288" s="309"/>
      <c r="AA288" s="5"/>
      <c r="AB288" s="313"/>
      <c r="AC288" s="317">
        <f>OBRA!BW287</f>
        <v>0</v>
      </c>
      <c r="AD288" s="352"/>
      <c r="AE288" s="352" t="s">
        <v>551</v>
      </c>
    </row>
    <row r="289" spans="1:31" ht="122.25" hidden="1" customHeight="1">
      <c r="A289" s="22" t="s">
        <v>2206</v>
      </c>
      <c r="B289" s="809" t="str">
        <f>GRAL!B290</f>
        <v>2015-2018</v>
      </c>
      <c r="C289" s="16">
        <f>OBRA!J288</f>
        <v>2017</v>
      </c>
      <c r="D289" s="1415"/>
      <c r="E289" s="17" t="str">
        <f>OBRA!M288</f>
        <v>RAMO 33</v>
      </c>
      <c r="F289" s="478" t="s">
        <v>1428</v>
      </c>
      <c r="G289" s="507"/>
      <c r="H289" s="507"/>
      <c r="I289" s="507"/>
      <c r="J289" s="54" t="str">
        <f>OBRA!W288</f>
        <v>ING. PEDRO TOPETE LOPEZ</v>
      </c>
      <c r="K289" s="55" t="str">
        <f>OBRA!X288</f>
        <v>ING. ANGEL ALBERTO HERNANDEZ MORA</v>
      </c>
      <c r="L289" s="33" t="str">
        <f>OBRA!N288</f>
        <v>GMJ 063C OP/2017</v>
      </c>
      <c r="M289" s="2" t="str">
        <f>OBRA!O288</f>
        <v>ADJUDICACIÓN DIRECTA</v>
      </c>
      <c r="N289" s="3" t="str">
        <f>OBRA!P288</f>
        <v>REHABILITACION DE LINEA DE AGUA POTABLE EN CALLE CHAPULTEPEC ENTRE DEPOSITO Y  PRIVADA SAN MIGUEL 2DA ETAPA EN LA AGENCIA MUNCIPAL “LA LOMA”  DEL MUNICIPIO DE JOCOTEPEC, JALISCO</v>
      </c>
      <c r="O289" s="504"/>
      <c r="P289" s="6">
        <f>OBRA!S288</f>
        <v>43078</v>
      </c>
      <c r="Q289" s="4">
        <f>OBRA!R288</f>
        <v>394058.8</v>
      </c>
      <c r="R289" s="5">
        <f>OBRA!T288</f>
        <v>43078</v>
      </c>
      <c r="S289" s="11">
        <f>OBRA!U288</f>
        <v>43099</v>
      </c>
      <c r="T289" s="53"/>
      <c r="U289" s="377" t="s">
        <v>1428</v>
      </c>
      <c r="V289" s="587"/>
      <c r="W289" s="507"/>
      <c r="X289" s="280">
        <f>OBRA!AR288</f>
        <v>176988.21</v>
      </c>
      <c r="Y289" s="5"/>
      <c r="Z289" s="309"/>
      <c r="AA289" s="5"/>
      <c r="AB289" s="313"/>
      <c r="AC289" s="317">
        <f>OBRA!BW288</f>
        <v>0</v>
      </c>
      <c r="AD289" s="352"/>
      <c r="AE289" s="352" t="s">
        <v>551</v>
      </c>
    </row>
    <row r="290" spans="1:31" ht="108" hidden="1" customHeight="1">
      <c r="A290" s="22" t="s">
        <v>2206</v>
      </c>
      <c r="B290" s="809" t="str">
        <f>GRAL!B291</f>
        <v>2015-2018</v>
      </c>
      <c r="C290" s="16">
        <f>OBRA!J289</f>
        <v>2017</v>
      </c>
      <c r="D290" s="1415"/>
      <c r="E290" s="17" t="str">
        <f>OBRA!M289</f>
        <v>RAMO 33</v>
      </c>
      <c r="F290" s="478" t="s">
        <v>1428</v>
      </c>
      <c r="G290" s="507"/>
      <c r="H290" s="878"/>
      <c r="I290" s="507"/>
      <c r="J290" s="54" t="str">
        <f>OBRA!W289</f>
        <v>C. JOSÉ MIGUEL GARCIA VALLE</v>
      </c>
      <c r="K290" s="55" t="str">
        <f>OBRA!X289</f>
        <v>LIC. SALVADOR CONTRERAS OLGUÍN</v>
      </c>
      <c r="L290" s="33" t="str">
        <f>OBRA!N289</f>
        <v>GMJ 064C OP/2017</v>
      </c>
      <c r="M290" s="2" t="str">
        <f>OBRA!O289</f>
        <v>ADJUDICACIÓN DIRECTA</v>
      </c>
      <c r="N290" s="3" t="str">
        <f>OBRA!P289</f>
        <v>REHABILITACION DE LINEA DE AGUA POTABLE EN CALLE INDEPENDENCIA ENTRE CARRETERA Y CERRADA EN LA LOCALIDAD DE SAN JUAN COSALA, DEL MUNICIPIO DE JOCOTEPEC, JALISCO</v>
      </c>
      <c r="O290" s="504"/>
      <c r="P290" s="6">
        <f>OBRA!S289</f>
        <v>43077</v>
      </c>
      <c r="Q290" s="4">
        <f>OBRA!R289</f>
        <v>46522.28</v>
      </c>
      <c r="R290" s="5">
        <f>OBRA!T289</f>
        <v>43078</v>
      </c>
      <c r="S290" s="11">
        <f>OBRA!U289</f>
        <v>43099</v>
      </c>
      <c r="T290" s="53"/>
      <c r="U290" s="377" t="s">
        <v>1428</v>
      </c>
      <c r="V290" s="507"/>
      <c r="W290" s="877"/>
      <c r="X290" s="280">
        <f>OBRA!AR289</f>
        <v>9304.52</v>
      </c>
      <c r="Y290" s="5"/>
      <c r="Z290" s="309"/>
      <c r="AA290" s="5"/>
      <c r="AB290" s="313"/>
      <c r="AC290" s="317">
        <f>OBRA!BW289</f>
        <v>0</v>
      </c>
      <c r="AD290" s="352"/>
      <c r="AE290" s="352" t="s">
        <v>551</v>
      </c>
    </row>
    <row r="291" spans="1:31" ht="96.75" hidden="1" customHeight="1">
      <c r="A291" s="22" t="s">
        <v>2206</v>
      </c>
      <c r="B291" s="809" t="str">
        <f>GRAL!B292</f>
        <v>2015-2018</v>
      </c>
      <c r="C291" s="16">
        <f>OBRA!J290</f>
        <v>2017</v>
      </c>
      <c r="D291" s="1415"/>
      <c r="E291" s="17" t="str">
        <f>OBRA!M290</f>
        <v>RAMO 33</v>
      </c>
      <c r="F291" s="478" t="s">
        <v>1428</v>
      </c>
      <c r="G291" s="507"/>
      <c r="H291" s="878"/>
      <c r="I291" s="507"/>
      <c r="J291" s="54" t="str">
        <f>OBRA!W290</f>
        <v>C. JOSÉ MIGUEL GARCIA VALLE</v>
      </c>
      <c r="K291" s="55" t="str">
        <f>OBRA!X290</f>
        <v>LIC. SALVADOR CONTRERAS OLGUÍN</v>
      </c>
      <c r="L291" s="33" t="str">
        <f>OBRA!N290</f>
        <v>GMJ 065C OP/2017</v>
      </c>
      <c r="M291" s="2" t="str">
        <f>OBRA!O290</f>
        <v>ADJUDICACIÓN DIRECTA</v>
      </c>
      <c r="N291" s="3" t="str">
        <f>OBRA!P290</f>
        <v>FABRICACION DE EMPEDRADO AHOGADO EN CONCRETO EN CALLE INDEPENDENCIA, EN  LA LOCALIDAD  DE SAN JUAN COSALA, DEL MUNICIPIO DE JOCOTEPEC, JALISCO</v>
      </c>
      <c r="O291" s="504"/>
      <c r="P291" s="6">
        <f>OBRA!S290</f>
        <v>43077</v>
      </c>
      <c r="Q291" s="4">
        <f>OBRA!R290</f>
        <v>107544.91</v>
      </c>
      <c r="R291" s="5">
        <f>OBRA!T290</f>
        <v>43078</v>
      </c>
      <c r="S291" s="11">
        <f>OBRA!U290</f>
        <v>43099</v>
      </c>
      <c r="T291" s="53"/>
      <c r="U291" s="377" t="s">
        <v>1428</v>
      </c>
      <c r="V291" s="507"/>
      <c r="W291" s="877"/>
      <c r="X291" s="280">
        <f>OBRA!AR290</f>
        <v>21508.98</v>
      </c>
      <c r="Y291" s="5"/>
      <c r="Z291" s="309"/>
      <c r="AA291" s="5"/>
      <c r="AB291" s="313"/>
      <c r="AC291" s="317">
        <f>OBRA!BW290</f>
        <v>0</v>
      </c>
      <c r="AD291" s="352"/>
      <c r="AE291" s="352" t="s">
        <v>551</v>
      </c>
    </row>
    <row r="292" spans="1:31" ht="30" hidden="1" customHeight="1">
      <c r="A292" s="22" t="s">
        <v>2206</v>
      </c>
      <c r="B292" s="809" t="str">
        <f>GRAL!B293</f>
        <v>2015-2018</v>
      </c>
      <c r="C292" s="16">
        <f>OBRA!J291</f>
        <v>2018</v>
      </c>
      <c r="D292" s="1415"/>
      <c r="E292" s="17" t="str">
        <f>OBRA!M291</f>
        <v>FONDEREG</v>
      </c>
      <c r="F292" s="478" t="s">
        <v>1428</v>
      </c>
      <c r="G292" s="502"/>
      <c r="H292" s="524"/>
      <c r="I292" s="502"/>
      <c r="J292" s="54" t="str">
        <f>OBRA!W291</f>
        <v>N/A</v>
      </c>
      <c r="K292" s="55" t="str">
        <f>OBRA!X291</f>
        <v>-</v>
      </c>
      <c r="L292" s="33" t="str">
        <f>OBRA!N291</f>
        <v>FONDEREG 2018/05 SURESTE/054</v>
      </c>
      <c r="M292" s="2" t="str">
        <f>OBRA!O291</f>
        <v>CONVENIO</v>
      </c>
      <c r="N292" s="3" t="str">
        <f>OBRA!P291</f>
        <v>"REHABILITACIÓN DE IMAGEN URBANA DE CALLE VICENTE GUERRERO EN EL INGRESO PONIENTE A JOCOTEPEC, DE LA CALLE INDEPENDENCIA A LA CALLE PASEOS DE LA ROSAS, EN LA CABECERA MUNICIPAL DE JOCOTEPEC, JALISCO.</v>
      </c>
      <c r="O292" s="504"/>
      <c r="P292" s="6">
        <f>OBRA!S291</f>
        <v>43223</v>
      </c>
      <c r="Q292" s="4">
        <f>OBRA!R291</f>
        <v>1634531.02</v>
      </c>
      <c r="R292" s="5" t="str">
        <f>OBRA!T291</f>
        <v>-</v>
      </c>
      <c r="S292" s="11" t="str">
        <f>OBRA!U291</f>
        <v>-</v>
      </c>
      <c r="T292" s="53"/>
      <c r="U292" s="377" t="s">
        <v>1428</v>
      </c>
      <c r="V292" s="502"/>
      <c r="W292" s="613"/>
      <c r="X292" s="280">
        <f>OBRA!AR291</f>
        <v>0</v>
      </c>
      <c r="Y292" s="5"/>
      <c r="Z292" s="309"/>
      <c r="AA292" s="5"/>
      <c r="AB292" s="313"/>
      <c r="AC292" s="317">
        <f>OBRA!BW291</f>
        <v>0</v>
      </c>
      <c r="AD292" s="352"/>
      <c r="AE292" s="352" t="s">
        <v>551</v>
      </c>
    </row>
    <row r="293" spans="1:31" ht="30" hidden="1" customHeight="1">
      <c r="A293" s="22" t="s">
        <v>2206</v>
      </c>
      <c r="B293" s="809" t="str">
        <f>GRAL!B294</f>
        <v>2015-2018</v>
      </c>
      <c r="C293" s="16">
        <f>OBRA!J292</f>
        <v>2018</v>
      </c>
      <c r="D293" s="1415"/>
      <c r="E293" s="17" t="str">
        <f>OBRA!M292</f>
        <v>FONDEREG</v>
      </c>
      <c r="F293" s="478" t="s">
        <v>1428</v>
      </c>
      <c r="G293" s="502"/>
      <c r="H293" s="524"/>
      <c r="I293" s="502"/>
      <c r="J293" s="54" t="str">
        <f>OBRA!W292</f>
        <v>N/A</v>
      </c>
      <c r="K293" s="55" t="str">
        <f>OBRA!X292</f>
        <v>-</v>
      </c>
      <c r="L293" s="33" t="str">
        <f>OBRA!N292</f>
        <v>FONDEREG 2018/05 SURESTE/055</v>
      </c>
      <c r="M293" s="2" t="str">
        <f>OBRA!O292</f>
        <v>CONVENIO</v>
      </c>
      <c r="N293" s="3" t="str">
        <f>OBRA!P292</f>
        <v xml:space="preserve">CONSTRUCCIÓN DE ALUMBRADO PÚBLICO EN LA CARRETERA JOCOTEPEC-CHAPALA DE LA CALLE LIBERTAD (NEXTIPAC) HASTA CALLE JUÁREZ (CHANTEPEC), 1RA. ETAPA EN EL INGRESO ORIENTE A LA CABECERA MUNICIPAL DE JOCOTEPEC, JALISCO. </v>
      </c>
      <c r="O293" s="504"/>
      <c r="P293" s="6">
        <f>OBRA!S292</f>
        <v>43223</v>
      </c>
      <c r="Q293" s="4">
        <f>OBRA!R292</f>
        <v>724057.5</v>
      </c>
      <c r="R293" s="5" t="str">
        <f>OBRA!T292</f>
        <v>-</v>
      </c>
      <c r="S293" s="11" t="str">
        <f>OBRA!U292</f>
        <v>-</v>
      </c>
      <c r="T293" s="53"/>
      <c r="U293" s="377" t="s">
        <v>1428</v>
      </c>
      <c r="V293" s="502"/>
      <c r="W293" s="613"/>
      <c r="X293" s="280">
        <f>OBRA!AR292</f>
        <v>0</v>
      </c>
      <c r="Y293" s="5"/>
      <c r="Z293" s="309"/>
      <c r="AA293" s="5"/>
      <c r="AB293" s="313"/>
      <c r="AC293" s="317">
        <f>OBRA!BW292</f>
        <v>0</v>
      </c>
      <c r="AD293" s="352"/>
      <c r="AE293" s="352" t="s">
        <v>551</v>
      </c>
    </row>
    <row r="294" spans="1:31" ht="30" hidden="1" customHeight="1">
      <c r="A294" s="22" t="s">
        <v>2206</v>
      </c>
      <c r="B294" s="809" t="str">
        <f>GRAL!B295</f>
        <v>2015-2018</v>
      </c>
      <c r="C294" s="16">
        <f>OBRA!J293</f>
        <v>2018</v>
      </c>
      <c r="D294" s="1415"/>
      <c r="E294" s="17" t="str">
        <f>OBRA!M293</f>
        <v xml:space="preserve">PROYECTOS DESARROLLO REGIONAL </v>
      </c>
      <c r="F294" s="478" t="s">
        <v>1428</v>
      </c>
      <c r="G294" s="502"/>
      <c r="H294" s="524"/>
      <c r="I294" s="502"/>
      <c r="J294" s="54" t="str">
        <f>OBRA!W293</f>
        <v>N/A</v>
      </c>
      <c r="K294" s="55" t="str">
        <f>OBRA!X293</f>
        <v>-</v>
      </c>
      <c r="L294" s="33" t="str">
        <f>OBRA!N293</f>
        <v>-</v>
      </c>
      <c r="M294" s="2" t="str">
        <f>OBRA!O293</f>
        <v>CONVENIO</v>
      </c>
      <c r="N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4"/>
      <c r="P294" s="6">
        <f>OBRA!S293</f>
        <v>43199</v>
      </c>
      <c r="Q294" s="4">
        <f>OBRA!R293</f>
        <v>2900000</v>
      </c>
      <c r="R294" s="5" t="str">
        <f>OBRA!T293</f>
        <v>-</v>
      </c>
      <c r="S294" s="11" t="str">
        <f>OBRA!U293</f>
        <v>-</v>
      </c>
      <c r="T294" s="53"/>
      <c r="U294" s="377" t="s">
        <v>1428</v>
      </c>
      <c r="V294" s="502"/>
      <c r="W294" s="613"/>
      <c r="X294" s="280">
        <f>OBRA!AR293</f>
        <v>0</v>
      </c>
      <c r="Y294" s="5"/>
      <c r="Z294" s="309"/>
      <c r="AA294" s="5"/>
      <c r="AB294" s="313"/>
      <c r="AC294" s="317">
        <f>OBRA!BW293</f>
        <v>0</v>
      </c>
      <c r="AD294" s="352"/>
      <c r="AE294" s="352" t="s">
        <v>551</v>
      </c>
    </row>
    <row r="295" spans="1:31" ht="35.25" hidden="1" customHeight="1">
      <c r="A295" s="22" t="s">
        <v>2206</v>
      </c>
      <c r="B295" s="809" t="str">
        <f>GRAL!B293</f>
        <v>2015-2018</v>
      </c>
      <c r="C295" s="16">
        <f>OBRA!J294</f>
        <v>2018</v>
      </c>
      <c r="D295" s="1415"/>
      <c r="E295" s="17" t="str">
        <f>OBRA!M294</f>
        <v>CUENTA CORRIENTE</v>
      </c>
      <c r="F295" s="478"/>
      <c r="G295" s="352"/>
      <c r="H295" s="1"/>
      <c r="I295" s="352"/>
      <c r="J295" s="54" t="str">
        <f>OBRA!W294</f>
        <v>N/A</v>
      </c>
      <c r="K295" s="55" t="str">
        <f>OBRA!X294</f>
        <v>ING. JUAN MANUEL GARCIA ESCOTO</v>
      </c>
      <c r="L295" s="33" t="str">
        <f>OBRA!N294</f>
        <v>DOP/AD/001/2018</v>
      </c>
      <c r="M295" s="2" t="str">
        <f>OBRA!O294</f>
        <v>ADMINISTRACIÓN DIRECTA</v>
      </c>
      <c r="N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OBRA!S294</f>
        <v>43133</v>
      </c>
      <c r="Q295" s="4">
        <f>OBRA!R294</f>
        <v>89200</v>
      </c>
      <c r="R295" s="5">
        <f>OBRA!T294</f>
        <v>43143</v>
      </c>
      <c r="S295" s="11">
        <f>OBRA!U294</f>
        <v>43210</v>
      </c>
      <c r="T295" s="53"/>
      <c r="U295" s="377" t="s">
        <v>1428</v>
      </c>
      <c r="V295" s="309"/>
      <c r="W295" s="11"/>
      <c r="X295" s="280">
        <f>OBRA!AR294</f>
        <v>0</v>
      </c>
      <c r="Y295" s="309"/>
      <c r="Z295" s="309"/>
      <c r="AA295" s="5"/>
      <c r="AB295" s="313"/>
      <c r="AC295" s="317">
        <f>OBRA!BW294</f>
        <v>0</v>
      </c>
      <c r="AD295" s="352"/>
      <c r="AE295" s="352"/>
    </row>
    <row r="296" spans="1:31" ht="15" hidden="1" customHeight="1">
      <c r="A296" s="22" t="s">
        <v>2206</v>
      </c>
      <c r="B296" s="809" t="str">
        <f>GRAL!B297</f>
        <v>2015-2018</v>
      </c>
      <c r="C296" s="16">
        <f>OBRA!J295</f>
        <v>2018</v>
      </c>
      <c r="D296" s="1415"/>
      <c r="E296" s="17" t="str">
        <f>OBRA!M295</f>
        <v>CUENTA CORRIENTE</v>
      </c>
      <c r="F296" s="478"/>
      <c r="G296" s="352"/>
      <c r="H296" s="1"/>
      <c r="I296" s="352"/>
      <c r="J296" s="54" t="str">
        <f>OBRA!W295</f>
        <v>N/A</v>
      </c>
      <c r="K296" s="55" t="str">
        <f>OBRA!X295</f>
        <v>ING. JUAN MANUEL GARCIA ESCOTO</v>
      </c>
      <c r="L296" s="33" t="str">
        <f>OBRA!N295</f>
        <v>DOP/AD/002/2018</v>
      </c>
      <c r="M296" s="2" t="str">
        <f>OBRA!O295</f>
        <v>ADMINISTRACIÓN DIRECTA</v>
      </c>
      <c r="N296" s="3" t="str">
        <f>OBRA!P295</f>
        <v>MOTOCONFORMACION DE VARIAS CALLES Y FABRICACION DE EMPEDRADO EN CALLE MORELOS, EN LA AGENCIA MUNICIPAL DEL EL SAUZ, DEL MUNICIPIO DE JOCOTEPEC, JALISCO</v>
      </c>
      <c r="O296" s="3"/>
      <c r="P296" s="6">
        <f>OBRA!S295</f>
        <v>43133</v>
      </c>
      <c r="Q296" s="4">
        <f>OBRA!R295</f>
        <v>187043.52</v>
      </c>
      <c r="R296" s="5">
        <f>OBRA!T295</f>
        <v>43137</v>
      </c>
      <c r="S296" s="11">
        <f>OBRA!U295</f>
        <v>43210</v>
      </c>
      <c r="T296" s="53"/>
      <c r="U296" s="377" t="s">
        <v>1428</v>
      </c>
      <c r="V296" s="309"/>
      <c r="W296" s="11"/>
      <c r="X296" s="280">
        <f>OBRA!AR295</f>
        <v>0</v>
      </c>
      <c r="Y296" s="309"/>
      <c r="Z296" s="309"/>
      <c r="AA296" s="5"/>
      <c r="AB296" s="313"/>
      <c r="AC296" s="317">
        <f>OBRA!BW295</f>
        <v>0</v>
      </c>
      <c r="AD296" s="352"/>
      <c r="AE296" s="352"/>
    </row>
    <row r="297" spans="1:31" ht="15" hidden="1" customHeight="1">
      <c r="A297" s="22" t="s">
        <v>2206</v>
      </c>
      <c r="B297" s="809" t="str">
        <f>GRAL!B298</f>
        <v>2015-2018</v>
      </c>
      <c r="C297" s="16">
        <f>OBRA!J296</f>
        <v>2018</v>
      </c>
      <c r="D297" s="1415"/>
      <c r="E297" s="17" t="str">
        <f>OBRA!M296</f>
        <v>CUENTA CORRIENTE</v>
      </c>
      <c r="F297" s="478"/>
      <c r="G297" s="352"/>
      <c r="H297" s="1"/>
      <c r="I297" s="352"/>
      <c r="J297" s="54" t="str">
        <f>OBRA!W296</f>
        <v>N/A</v>
      </c>
      <c r="K297" s="55" t="str">
        <f>OBRA!X296</f>
        <v>ING. JUAN MANUEL GARCIA ESCOTO</v>
      </c>
      <c r="L297" s="33" t="str">
        <f>OBRA!N296</f>
        <v>DOP/AD/003/2018</v>
      </c>
      <c r="M297" s="2" t="str">
        <f>OBRA!O296</f>
        <v>ADMINISTRACIÓN DIRECTA</v>
      </c>
      <c r="N297" s="3" t="str">
        <f>OBRA!P296</f>
        <v>MANO DE OBRA PARA LA SUSTITUCIÓN DE LINEA DE CONDUCCIÓN DE AGUA POTABLE DE 3" EN LA CALLE CHAPULTEPEC DE CHURUBUSCO AL TANQUE DE DEPOSITO, EN LA AGENCIA MUNICIPAL DE LA LOMA, EN LA CABECERA MUNICIPAL DEL MUNICIPIO DE JOCOTEPEC, JALISCO</v>
      </c>
      <c r="O297" s="3"/>
      <c r="P297" s="6">
        <f>OBRA!S296</f>
        <v>43130</v>
      </c>
      <c r="Q297" s="4">
        <f>OBRA!R296</f>
        <v>22000</v>
      </c>
      <c r="R297" s="5">
        <f>OBRA!T296</f>
        <v>43131</v>
      </c>
      <c r="S297" s="11">
        <f>OBRA!U296</f>
        <v>43159</v>
      </c>
      <c r="T297" s="53"/>
      <c r="U297" s="377" t="s">
        <v>1428</v>
      </c>
      <c r="V297" s="309"/>
      <c r="W297" s="11"/>
      <c r="X297" s="280">
        <f>OBRA!AR296</f>
        <v>0</v>
      </c>
      <c r="Y297" s="309"/>
      <c r="Z297" s="309"/>
      <c r="AA297" s="5"/>
      <c r="AB297" s="313"/>
      <c r="AC297" s="317">
        <f>OBRA!BW296</f>
        <v>0</v>
      </c>
      <c r="AD297" s="352"/>
      <c r="AE297" s="352"/>
    </row>
    <row r="298" spans="1:31" ht="15" hidden="1" customHeight="1">
      <c r="A298" s="22" t="s">
        <v>2206</v>
      </c>
      <c r="B298" s="809" t="str">
        <f>GRAL!B299</f>
        <v>2015-2018</v>
      </c>
      <c r="C298" s="16">
        <f>OBRA!J297</f>
        <v>2018</v>
      </c>
      <c r="D298" s="1415"/>
      <c r="E298" s="17" t="str">
        <f>OBRA!M297</f>
        <v>CUENTA CORRIENTE</v>
      </c>
      <c r="F298" s="478"/>
      <c r="G298" s="352"/>
      <c r="H298" s="1"/>
      <c r="I298" s="352"/>
      <c r="J298" s="54" t="str">
        <f>OBRA!W297</f>
        <v>N/A</v>
      </c>
      <c r="K298" s="55" t="str">
        <f>OBRA!X297</f>
        <v>ARQ. JAIME CONDE GOMEZ</v>
      </c>
      <c r="L298" s="33" t="str">
        <f>OBRA!N297</f>
        <v>DOP/AD/004/2018</v>
      </c>
      <c r="M298" s="2" t="str">
        <f>OBRA!O297</f>
        <v>ADMINISTRACIÓN DIRECTA</v>
      </c>
      <c r="N298" s="3" t="str">
        <f>OBRA!P297</f>
        <v>REHABILITACION DE AREA DE MATANZA EN EL RASTRO MUNICIPAL, EN LA CABECERA MUNICIPAL DEL MUNICIPIO DE JOCOTEPEC, JALISCO</v>
      </c>
      <c r="O298" s="3"/>
      <c r="P298" s="6">
        <f>OBRA!S297</f>
        <v>43140</v>
      </c>
      <c r="Q298" s="4">
        <f>OBRA!R297</f>
        <v>187044.63</v>
      </c>
      <c r="R298" s="5">
        <f>OBRA!T297</f>
        <v>43143</v>
      </c>
      <c r="S298" s="11">
        <f>OBRA!U297</f>
        <v>43245</v>
      </c>
      <c r="T298" s="53"/>
      <c r="U298" s="377" t="s">
        <v>1428</v>
      </c>
      <c r="V298" s="309"/>
      <c r="W298" s="11"/>
      <c r="X298" s="280">
        <f>OBRA!AR297</f>
        <v>0</v>
      </c>
      <c r="Y298" s="309"/>
      <c r="Z298" s="309"/>
      <c r="AA298" s="5"/>
      <c r="AB298" s="313"/>
      <c r="AC298" s="317">
        <f>OBRA!BW297</f>
        <v>0</v>
      </c>
      <c r="AD298" s="352"/>
      <c r="AE298" s="352"/>
    </row>
    <row r="299" spans="1:31" s="104" customFormat="1" ht="15" hidden="1" customHeight="1">
      <c r="A299" s="81" t="s">
        <v>2206</v>
      </c>
      <c r="B299" s="820" t="str">
        <f>GRAL!B300</f>
        <v>2015-2018</v>
      </c>
      <c r="C299" s="82">
        <f>OBRA!J298</f>
        <v>2018</v>
      </c>
      <c r="D299" s="781"/>
      <c r="E299" s="97">
        <f>OBRA!M298</f>
        <v>0</v>
      </c>
      <c r="F299" s="479"/>
      <c r="G299" s="354"/>
      <c r="H299" s="96"/>
      <c r="I299" s="354"/>
      <c r="J299" s="151" t="str">
        <f>OBRA!W298</f>
        <v>-</v>
      </c>
      <c r="K299" s="152">
        <f>OBRA!X298</f>
        <v>0</v>
      </c>
      <c r="L299" s="308" t="str">
        <f>OBRA!N298</f>
        <v>DOP/AD/005/2018</v>
      </c>
      <c r="M299" s="186" t="str">
        <f>OBRA!O298</f>
        <v>CANCELADA</v>
      </c>
      <c r="N299" s="106">
        <f>OBRA!P298</f>
        <v>0</v>
      </c>
      <c r="O299" s="125"/>
      <c r="P299" s="87">
        <f>OBRA!S298</f>
        <v>0</v>
      </c>
      <c r="Q299" s="86">
        <f>OBRA!R298</f>
        <v>0</v>
      </c>
      <c r="R299" s="88">
        <f>OBRA!T298</f>
        <v>0</v>
      </c>
      <c r="S299" s="89">
        <f>OBRA!U298</f>
        <v>0</v>
      </c>
      <c r="T299" s="91"/>
      <c r="U299" s="688" t="s">
        <v>1428</v>
      </c>
      <c r="V299" s="311"/>
      <c r="W299" s="89"/>
      <c r="X299" s="828">
        <f>OBRA!AR298</f>
        <v>0</v>
      </c>
      <c r="Y299" s="311"/>
      <c r="Z299" s="311"/>
      <c r="AA299" s="88"/>
      <c r="AB299" s="1855"/>
      <c r="AC299" s="467">
        <f>OBRA!BW298</f>
        <v>0</v>
      </c>
      <c r="AD299" s="354"/>
      <c r="AE299" s="354"/>
    </row>
    <row r="300" spans="1:31" ht="15" hidden="1" customHeight="1">
      <c r="A300" s="22" t="s">
        <v>2206</v>
      </c>
      <c r="B300" s="809" t="str">
        <f>GRAL!B301</f>
        <v>2015-2018</v>
      </c>
      <c r="C300" s="16">
        <f>OBRA!J299</f>
        <v>2018</v>
      </c>
      <c r="D300" s="1415"/>
      <c r="E300" s="17" t="str">
        <f>OBRA!M299</f>
        <v>CUENTA CORRIENTE</v>
      </c>
      <c r="F300" s="478"/>
      <c r="G300" s="352"/>
      <c r="H300" s="1"/>
      <c r="I300" s="352"/>
      <c r="J300" s="54" t="str">
        <f>OBRA!W299</f>
        <v>N/A</v>
      </c>
      <c r="K300" s="55" t="str">
        <f>OBRA!X299</f>
        <v>-</v>
      </c>
      <c r="L300" s="33" t="str">
        <f>OBRA!N299</f>
        <v>DOP/AD/006/2018</v>
      </c>
      <c r="M300" s="2" t="str">
        <f>OBRA!O299</f>
        <v>ADMINISTRACIÓN DIRECTA</v>
      </c>
      <c r="N300" s="3" t="str">
        <f>OBRA!P299</f>
        <v>CONSTRUCCION DE LINEA DE DRENAJE EN LA CALLE AV DEL TRABAJO Y CALLES SIN NOMBRE, EN EL BARRIO DEL POTRERITO, EN LA LOCALIDAD DE HUEJOTITAN</v>
      </c>
      <c r="O300" s="3"/>
      <c r="P300" s="6">
        <f>OBRA!S299</f>
        <v>43199</v>
      </c>
      <c r="Q300" s="4">
        <f>OBRA!R299</f>
        <v>2900000</v>
      </c>
      <c r="R300" s="5" t="str">
        <f>OBRA!T299</f>
        <v>-</v>
      </c>
      <c r="S300" s="11" t="str">
        <f>OBRA!U299</f>
        <v>-</v>
      </c>
      <c r="T300" s="53"/>
      <c r="U300" s="377" t="s">
        <v>1428</v>
      </c>
      <c r="V300" s="309"/>
      <c r="W300" s="11"/>
      <c r="X300" s="280">
        <f>OBRA!AR299</f>
        <v>0</v>
      </c>
      <c r="Y300" s="309"/>
      <c r="Z300" s="309"/>
      <c r="AA300" s="5"/>
      <c r="AB300" s="313"/>
      <c r="AC300" s="317">
        <f>OBRA!BW299</f>
        <v>0</v>
      </c>
      <c r="AD300" s="352"/>
      <c r="AE300" s="352"/>
    </row>
    <row r="301" spans="1:31" s="104" customFormat="1" ht="15" hidden="1" customHeight="1">
      <c r="A301" s="81" t="s">
        <v>2206</v>
      </c>
      <c r="B301" s="820" t="str">
        <f>GRAL!B302</f>
        <v>2015-2018</v>
      </c>
      <c r="C301" s="82">
        <f>OBRA!J300</f>
        <v>2018</v>
      </c>
      <c r="D301" s="781"/>
      <c r="E301" s="97" t="str">
        <f>OBRA!M300</f>
        <v>RAMO 33</v>
      </c>
      <c r="F301" s="479"/>
      <c r="G301" s="354"/>
      <c r="H301" s="96"/>
      <c r="I301" s="354"/>
      <c r="J301" s="151" t="str">
        <f>OBRA!W300</f>
        <v>-</v>
      </c>
      <c r="K301" s="152" t="str">
        <f>OBRA!X300</f>
        <v>ING. J. GUADALUPE IBARRA RAMIREZ</v>
      </c>
      <c r="L301" s="308" t="str">
        <f>OBRA!N300</f>
        <v>DOP/AD/007/2018</v>
      </c>
      <c r="M301" s="186" t="str">
        <f>OBRA!O300</f>
        <v>CANCELADA</v>
      </c>
      <c r="N301" s="106" t="str">
        <f>OBRA!P300</f>
        <v>PUENTE PEATONAL, C. LIBERTAD, ZDH</v>
      </c>
      <c r="O301" s="125"/>
      <c r="P301" s="87">
        <f>OBRA!S300</f>
        <v>0</v>
      </c>
      <c r="Q301" s="86">
        <f>OBRA!R300</f>
        <v>0</v>
      </c>
      <c r="R301" s="88">
        <f>OBRA!T300</f>
        <v>0</v>
      </c>
      <c r="S301" s="89">
        <f>OBRA!U300</f>
        <v>0</v>
      </c>
      <c r="T301" s="91"/>
      <c r="U301" s="688" t="s">
        <v>1428</v>
      </c>
      <c r="V301" s="311"/>
      <c r="W301" s="89"/>
      <c r="X301" s="828">
        <f>OBRA!AR300</f>
        <v>0</v>
      </c>
      <c r="Y301" s="311"/>
      <c r="Z301" s="311"/>
      <c r="AA301" s="88"/>
      <c r="AB301" s="1855"/>
      <c r="AC301" s="467">
        <f>OBRA!BW300</f>
        <v>0</v>
      </c>
      <c r="AD301" s="354"/>
      <c r="AE301" s="354"/>
    </row>
    <row r="302" spans="1:31" s="104" customFormat="1" ht="15" hidden="1" customHeight="1">
      <c r="A302" s="81" t="s">
        <v>2206</v>
      </c>
      <c r="B302" s="820" t="str">
        <f>GRAL!B303</f>
        <v>2015-2018</v>
      </c>
      <c r="C302" s="82">
        <f>OBRA!J301</f>
        <v>2018</v>
      </c>
      <c r="D302" s="781"/>
      <c r="E302" s="97">
        <f>OBRA!M301</f>
        <v>0</v>
      </c>
      <c r="F302" s="479"/>
      <c r="G302" s="354"/>
      <c r="H302" s="96"/>
      <c r="I302" s="354"/>
      <c r="J302" s="151" t="str">
        <f>OBRA!W301</f>
        <v>-</v>
      </c>
      <c r="K302" s="152">
        <f>OBRA!X301</f>
        <v>0</v>
      </c>
      <c r="L302" s="308" t="str">
        <f>OBRA!N301</f>
        <v>DOP/AD/008/2018</v>
      </c>
      <c r="M302" s="186" t="str">
        <f>OBRA!O301</f>
        <v>CANCELADA</v>
      </c>
      <c r="N302" s="106">
        <f>OBRA!P301</f>
        <v>0</v>
      </c>
      <c r="O302" s="125"/>
      <c r="P302" s="87">
        <f>OBRA!S301</f>
        <v>0</v>
      </c>
      <c r="Q302" s="86">
        <f>OBRA!R301</f>
        <v>0</v>
      </c>
      <c r="R302" s="88">
        <f>OBRA!T301</f>
        <v>0</v>
      </c>
      <c r="S302" s="89">
        <f>OBRA!U301</f>
        <v>0</v>
      </c>
      <c r="T302" s="91"/>
      <c r="U302" s="688" t="s">
        <v>1428</v>
      </c>
      <c r="V302" s="311"/>
      <c r="W302" s="89"/>
      <c r="X302" s="828">
        <f>OBRA!AR301</f>
        <v>0</v>
      </c>
      <c r="Y302" s="311"/>
      <c r="Z302" s="311"/>
      <c r="AA302" s="88"/>
      <c r="AB302" s="1855"/>
      <c r="AC302" s="467">
        <f>OBRA!BW301</f>
        <v>0</v>
      </c>
      <c r="AD302" s="354"/>
      <c r="AE302" s="354"/>
    </row>
    <row r="303" spans="1:31" s="104" customFormat="1" ht="15" hidden="1" customHeight="1">
      <c r="A303" s="81" t="s">
        <v>2206</v>
      </c>
      <c r="B303" s="820" t="str">
        <f>GRAL!B304</f>
        <v>2015-2018</v>
      </c>
      <c r="C303" s="82">
        <f>OBRA!J302</f>
        <v>2018</v>
      </c>
      <c r="D303" s="781"/>
      <c r="E303" s="97">
        <f>OBRA!M302</f>
        <v>0</v>
      </c>
      <c r="F303" s="479"/>
      <c r="G303" s="354"/>
      <c r="H303" s="96"/>
      <c r="I303" s="354"/>
      <c r="J303" s="151" t="str">
        <f>OBRA!W302</f>
        <v>-</v>
      </c>
      <c r="K303" s="152">
        <f>OBRA!X302</f>
        <v>0</v>
      </c>
      <c r="L303" s="308" t="str">
        <f>OBRA!N302</f>
        <v>DOP/AD/009/2018</v>
      </c>
      <c r="M303" s="186" t="str">
        <f>OBRA!O302</f>
        <v>CANCELADA</v>
      </c>
      <c r="N303" s="106">
        <f>OBRA!P302</f>
        <v>0</v>
      </c>
      <c r="O303" s="125"/>
      <c r="P303" s="87">
        <f>OBRA!S302</f>
        <v>0</v>
      </c>
      <c r="Q303" s="86">
        <f>OBRA!R302</f>
        <v>0</v>
      </c>
      <c r="R303" s="88">
        <f>OBRA!T302</f>
        <v>0</v>
      </c>
      <c r="S303" s="89">
        <f>OBRA!U302</f>
        <v>0</v>
      </c>
      <c r="T303" s="91"/>
      <c r="U303" s="688" t="s">
        <v>1428</v>
      </c>
      <c r="V303" s="311"/>
      <c r="W303" s="89"/>
      <c r="X303" s="828">
        <f>OBRA!AR302</f>
        <v>0</v>
      </c>
      <c r="Y303" s="311"/>
      <c r="Z303" s="311"/>
      <c r="AA303" s="88"/>
      <c r="AB303" s="1855"/>
      <c r="AC303" s="467">
        <f>OBRA!BW302</f>
        <v>0</v>
      </c>
      <c r="AD303" s="354"/>
      <c r="AE303" s="354"/>
    </row>
    <row r="304" spans="1:31" ht="15" hidden="1" customHeight="1">
      <c r="A304" s="22" t="s">
        <v>2206</v>
      </c>
      <c r="B304" s="809" t="str">
        <f>GRAL!B305</f>
        <v>2015-2018</v>
      </c>
      <c r="C304" s="16">
        <f>OBRA!J303</f>
        <v>2018</v>
      </c>
      <c r="D304" s="1415"/>
      <c r="E304" s="17" t="str">
        <f>OBRA!M303</f>
        <v>RAMO 33</v>
      </c>
      <c r="F304" s="478"/>
      <c r="G304" s="352"/>
      <c r="H304" s="1"/>
      <c r="I304" s="352"/>
      <c r="J304" s="54" t="str">
        <f>OBRA!W303</f>
        <v>N/A</v>
      </c>
      <c r="K304" s="55" t="str">
        <f>OBRA!X303</f>
        <v>ING. J. GUADALUPE IBARRA RAMIREZ</v>
      </c>
      <c r="L304" s="33" t="str">
        <f>OBRA!N303</f>
        <v>DOP/AD/010/2018</v>
      </c>
      <c r="M304" s="2" t="str">
        <f>OBRA!O303</f>
        <v>ADMINISTRACIÓN DIRECTA</v>
      </c>
      <c r="N304" s="3" t="str">
        <f>OBRA!P303</f>
        <v>FABRICACION DE EMPEDRADO AHOGADO EN CEMENTO EN CALLE VERANO ENTRE NIÑOS HEROES Y ZARAGOZA, EN LA CABECERA MUNICIPAL DEL MUNICIPIO DE JOCOTEPEC, JALISCO</v>
      </c>
      <c r="O304" s="3"/>
      <c r="P304" s="6">
        <f>OBRA!S303</f>
        <v>43228</v>
      </c>
      <c r="Q304" s="4">
        <f>OBRA!R303</f>
        <v>606708.96</v>
      </c>
      <c r="R304" s="5">
        <f>OBRA!T303</f>
        <v>43229</v>
      </c>
      <c r="S304" s="11">
        <f>OBRA!U303</f>
        <v>43262</v>
      </c>
      <c r="T304" s="53"/>
      <c r="U304" s="377" t="s">
        <v>1428</v>
      </c>
      <c r="V304" s="309"/>
      <c r="W304" s="11"/>
      <c r="X304" s="280">
        <f>OBRA!AR303</f>
        <v>0</v>
      </c>
      <c r="Y304" s="309"/>
      <c r="Z304" s="309"/>
      <c r="AA304" s="5"/>
      <c r="AB304" s="313"/>
      <c r="AC304" s="317">
        <f>OBRA!BW303</f>
        <v>0</v>
      </c>
      <c r="AD304" s="352"/>
      <c r="AE304" s="352"/>
    </row>
    <row r="305" spans="1:31" ht="15" hidden="1" customHeight="1">
      <c r="A305" s="22" t="s">
        <v>2206</v>
      </c>
      <c r="B305" s="809" t="str">
        <f>GRAL!B306</f>
        <v>2015-2018</v>
      </c>
      <c r="C305" s="16">
        <f>OBRA!J304</f>
        <v>2018</v>
      </c>
      <c r="D305" s="1415"/>
      <c r="E305" s="17" t="str">
        <f>OBRA!M304</f>
        <v>Fondo de proyectos para el Desarrollo Regional</v>
      </c>
      <c r="F305" s="478"/>
      <c r="G305" s="352"/>
      <c r="H305" s="1"/>
      <c r="I305" s="352"/>
      <c r="J305" s="54" t="str">
        <f>OBRA!W304</f>
        <v>N/A</v>
      </c>
      <c r="K305" s="55" t="str">
        <f>OBRA!X304</f>
        <v>ING. J. GUADALUPE IBARRA RAMIREZ</v>
      </c>
      <c r="L305" s="33" t="str">
        <f>OBRA!N304</f>
        <v>DOP/AD/011/2018</v>
      </c>
      <c r="M305" s="2" t="str">
        <f>OBRA!O304</f>
        <v>ADMINISTRACIÓN DIRECTA</v>
      </c>
      <c r="N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OBRA!S304</f>
        <v>43241</v>
      </c>
      <c r="Q305" s="4">
        <f>OBRA!R304</f>
        <v>989000</v>
      </c>
      <c r="R305" s="5">
        <f>OBRA!T304</f>
        <v>43257</v>
      </c>
      <c r="S305" s="11">
        <f>OBRA!U304</f>
        <v>43322</v>
      </c>
      <c r="T305" s="53"/>
      <c r="U305" s="377" t="s">
        <v>1428</v>
      </c>
      <c r="V305" s="309"/>
      <c r="W305" s="11"/>
      <c r="X305" s="280">
        <f>OBRA!AR304</f>
        <v>0</v>
      </c>
      <c r="Y305" s="309"/>
      <c r="Z305" s="309"/>
      <c r="AA305" s="5"/>
      <c r="AB305" s="313"/>
      <c r="AC305" s="317">
        <f>OBRA!BW304</f>
        <v>0</v>
      </c>
      <c r="AD305" s="352"/>
      <c r="AE305" s="352"/>
    </row>
    <row r="306" spans="1:31" ht="15" hidden="1" customHeight="1">
      <c r="A306" s="22" t="s">
        <v>2206</v>
      </c>
      <c r="B306" s="809" t="str">
        <f>GRAL!B307</f>
        <v>2015-2018</v>
      </c>
      <c r="C306" s="16">
        <f>OBRA!J305</f>
        <v>2018</v>
      </c>
      <c r="D306" s="1415"/>
      <c r="E306" s="17" t="str">
        <f>OBRA!M305</f>
        <v>CUENTA CORRIENTE</v>
      </c>
      <c r="F306" s="478"/>
      <c r="G306" s="352"/>
      <c r="H306" s="1"/>
      <c r="I306" s="352"/>
      <c r="J306" s="54" t="str">
        <f>OBRA!W305</f>
        <v>N/A</v>
      </c>
      <c r="K306" s="55" t="str">
        <f>OBRA!X305</f>
        <v>ING. J. GUADALUPE IBARRA RAMIREZ</v>
      </c>
      <c r="L306" s="33" t="str">
        <f>OBRA!N305</f>
        <v>DOP/AD/012/2018</v>
      </c>
      <c r="M306" s="2" t="str">
        <f>OBRA!O305</f>
        <v>ADMINISTRACIÓN DIRECTA</v>
      </c>
      <c r="N306" s="3" t="str">
        <f>OBRA!P305</f>
        <v>REHABILITACIÓN DE RED DE DRENAJE EN LA CALLE JUAREZ Y 24 DE FEBRERO EN LA DELEGACION DE HUEJOTITAN, DEL MUNICIPIO DE JOCOTEPEC, JALISCO.</v>
      </c>
      <c r="O306" s="3"/>
      <c r="P306" s="6">
        <f>OBRA!S305</f>
        <v>43257</v>
      </c>
      <c r="Q306" s="4">
        <f>OBRA!R305</f>
        <v>354409.68</v>
      </c>
      <c r="R306" s="5">
        <f>OBRA!T305</f>
        <v>43257</v>
      </c>
      <c r="S306" s="11">
        <f>OBRA!U305</f>
        <v>43318</v>
      </c>
      <c r="T306" s="53"/>
      <c r="U306" s="377" t="s">
        <v>1428</v>
      </c>
      <c r="V306" s="309"/>
      <c r="W306" s="11"/>
      <c r="X306" s="280">
        <f>OBRA!AR305</f>
        <v>0</v>
      </c>
      <c r="Y306" s="309"/>
      <c r="Z306" s="309"/>
      <c r="AA306" s="5"/>
      <c r="AB306" s="313"/>
      <c r="AC306" s="317">
        <f>OBRA!BW305</f>
        <v>0</v>
      </c>
      <c r="AD306" s="352"/>
      <c r="AE306" s="352"/>
    </row>
    <row r="307" spans="1:31" ht="15" hidden="1" customHeight="1">
      <c r="A307" s="22" t="s">
        <v>2206</v>
      </c>
      <c r="B307" s="809" t="str">
        <f>GRAL!B308</f>
        <v>2015-2018</v>
      </c>
      <c r="C307" s="16">
        <f>OBRA!J306</f>
        <v>2018</v>
      </c>
      <c r="D307" s="1415"/>
      <c r="E307" s="17" t="str">
        <f>OBRA!M306</f>
        <v>CUENTA CORRIENTE</v>
      </c>
      <c r="F307" s="478"/>
      <c r="G307" s="352"/>
      <c r="H307" s="1"/>
      <c r="I307" s="352"/>
      <c r="J307" s="54" t="str">
        <f>OBRA!W306</f>
        <v>N/A</v>
      </c>
      <c r="K307" s="55" t="str">
        <f>OBRA!X306</f>
        <v>ING. J. GUADALUPE IBARRA RAMIREZ</v>
      </c>
      <c r="L307" s="33" t="str">
        <f>OBRA!N306</f>
        <v>DOP/AD/013/2018</v>
      </c>
      <c r="M307" s="2" t="str">
        <f>OBRA!O306</f>
        <v>ADMINISTRACIÓN DIRECTA</v>
      </c>
      <c r="N307" s="3" t="str">
        <f>OBRA!P306</f>
        <v>REHABILITACION DE RED DE AGUA POTABLE EN LA CALLE JUAREZ Y 24 DE FEBRERO EN LA DELEGACION DE HUEJOTITAN, DEL MUNICIPIO DE JOCOTEPEC, JALISCO.</v>
      </c>
      <c r="O307" s="3"/>
      <c r="P307" s="6">
        <f>OBRA!S306</f>
        <v>43257</v>
      </c>
      <c r="Q307" s="4">
        <f>OBRA!R306</f>
        <v>95341.6</v>
      </c>
      <c r="R307" s="5">
        <f>OBRA!T306</f>
        <v>43257</v>
      </c>
      <c r="S307" s="11">
        <f>OBRA!U306</f>
        <v>43318</v>
      </c>
      <c r="T307" s="53"/>
      <c r="U307" s="377" t="s">
        <v>1428</v>
      </c>
      <c r="V307" s="309"/>
      <c r="W307" s="11"/>
      <c r="X307" s="280">
        <f>OBRA!AR306</f>
        <v>0</v>
      </c>
      <c r="Y307" s="309"/>
      <c r="Z307" s="309"/>
      <c r="AA307" s="5"/>
      <c r="AB307" s="313"/>
      <c r="AC307" s="317">
        <f>OBRA!BW306</f>
        <v>0</v>
      </c>
      <c r="AD307" s="352"/>
      <c r="AE307" s="352"/>
    </row>
    <row r="308" spans="1:31" ht="15" hidden="1" customHeight="1">
      <c r="A308" s="22" t="s">
        <v>2206</v>
      </c>
      <c r="B308" s="809" t="str">
        <f>GRAL!B309</f>
        <v>2015-2018</v>
      </c>
      <c r="C308" s="16">
        <f>OBRA!J307</f>
        <v>2018</v>
      </c>
      <c r="D308" s="1415"/>
      <c r="E308" s="17" t="str">
        <f>OBRA!M307</f>
        <v>RAMO 33</v>
      </c>
      <c r="F308" s="478"/>
      <c r="G308" s="352"/>
      <c r="H308" s="1"/>
      <c r="I308" s="352"/>
      <c r="J308" s="54" t="str">
        <f>OBRA!W307</f>
        <v>N/A</v>
      </c>
      <c r="K308" s="55" t="str">
        <f>OBRA!X307</f>
        <v>ARQ. CESAR ANTONIO ALONSO JIMENEZ</v>
      </c>
      <c r="L308" s="33" t="str">
        <f>OBRA!N307</f>
        <v>DOP/AD/014/2018</v>
      </c>
      <c r="M308" s="2" t="str">
        <f>OBRA!O307</f>
        <v>ADMINISTRACIÓN DIRECTA</v>
      </c>
      <c r="N308" s="3" t="str">
        <f>OBRA!P307</f>
        <v>CONSTRUCCIÓN DE LINEA DE DRENAJE EN CALLE DAVID MIRANDA 120 ML DE CALLE VENUSTIANO CARRANZA HACIA EL PONIENTE, EN LA LOCALIDAD DE ZAPOTITAN DE HIDALGO, DEL MUNICIPIO DE JOCOTEPEC, JALISCO.</v>
      </c>
      <c r="O308" s="3"/>
      <c r="P308" s="6">
        <f>OBRA!S307</f>
        <v>43257</v>
      </c>
      <c r="Q308" s="4">
        <f>OBRA!R307</f>
        <v>114935.87</v>
      </c>
      <c r="R308" s="5">
        <f>OBRA!T307</f>
        <v>43273</v>
      </c>
      <c r="S308" s="11">
        <f>OBRA!U307</f>
        <v>43294</v>
      </c>
      <c r="T308" s="53"/>
      <c r="U308" s="377" t="s">
        <v>1428</v>
      </c>
      <c r="V308" s="309"/>
      <c r="W308" s="11"/>
      <c r="X308" s="280">
        <f>OBRA!AR307</f>
        <v>0</v>
      </c>
      <c r="Y308" s="309"/>
      <c r="Z308" s="309"/>
      <c r="AA308" s="5"/>
      <c r="AB308" s="313"/>
      <c r="AC308" s="317">
        <f>OBRA!BW307</f>
        <v>0</v>
      </c>
      <c r="AD308" s="352"/>
      <c r="AE308" s="352"/>
    </row>
    <row r="309" spans="1:31" s="104" customFormat="1" ht="15" hidden="1" customHeight="1">
      <c r="A309" s="81" t="s">
        <v>2206</v>
      </c>
      <c r="B309" s="820" t="str">
        <f>GRAL!B310</f>
        <v>2015-2018</v>
      </c>
      <c r="C309" s="82">
        <f>OBRA!J308</f>
        <v>2018</v>
      </c>
      <c r="D309" s="781"/>
      <c r="E309" s="97" t="str">
        <f>OBRA!M308</f>
        <v>RAMO 33</v>
      </c>
      <c r="F309" s="479"/>
      <c r="G309" s="354"/>
      <c r="H309" s="96"/>
      <c r="I309" s="354"/>
      <c r="J309" s="151" t="str">
        <f>OBRA!W308</f>
        <v>-</v>
      </c>
      <c r="K309" s="152" t="str">
        <f>OBRA!X308</f>
        <v>-</v>
      </c>
      <c r="L309" s="308" t="str">
        <f>OBRA!N308</f>
        <v>DOP/AD/015/2018</v>
      </c>
      <c r="M309" s="186" t="str">
        <f>OBRA!O308</f>
        <v>CANCELADA</v>
      </c>
      <c r="N309" s="106" t="str">
        <f>OBRA!P308</f>
        <v>FABRICACION DE BANQUETAS EN CALLE "EL HUASOYO" EN LA LOCALIDAD DE CHANTEPEC, DEL MUNICIPIO DE JOCOTEPEC, JALISCO</v>
      </c>
      <c r="O309" s="125"/>
      <c r="P309" s="87">
        <f>OBRA!S308</f>
        <v>43276</v>
      </c>
      <c r="Q309" s="86">
        <f>OBRA!R308</f>
        <v>88593.05</v>
      </c>
      <c r="R309" s="88">
        <f>OBRA!T308</f>
        <v>43276</v>
      </c>
      <c r="S309" s="89">
        <f>OBRA!U308</f>
        <v>43288</v>
      </c>
      <c r="T309" s="91"/>
      <c r="U309" s="688" t="s">
        <v>1428</v>
      </c>
      <c r="V309" s="311"/>
      <c r="W309" s="89"/>
      <c r="X309" s="828">
        <f>OBRA!AR308</f>
        <v>0</v>
      </c>
      <c r="Y309" s="311"/>
      <c r="Z309" s="311"/>
      <c r="AA309" s="88"/>
      <c r="AB309" s="1855"/>
      <c r="AC309" s="467">
        <f>OBRA!BW308</f>
        <v>0</v>
      </c>
      <c r="AD309" s="354"/>
      <c r="AE309" s="354"/>
    </row>
    <row r="310" spans="1:31" ht="15" hidden="1" customHeight="1">
      <c r="A310" s="22" t="s">
        <v>2206</v>
      </c>
      <c r="B310" s="809" t="str">
        <f>GRAL!B311</f>
        <v>2015-2018</v>
      </c>
      <c r="C310" s="16">
        <f>OBRA!J309</f>
        <v>2018</v>
      </c>
      <c r="D310" s="1415"/>
      <c r="E310" s="17" t="str">
        <f>OBRA!M309</f>
        <v>Fondo de proyectos para el Desarrollo Regional</v>
      </c>
      <c r="F310" s="478"/>
      <c r="G310" s="352"/>
      <c r="H310" s="1"/>
      <c r="I310" s="352"/>
      <c r="J310" s="54" t="str">
        <f>OBRA!W309</f>
        <v>N/A</v>
      </c>
      <c r="K310" s="55" t="str">
        <f>OBRA!X309</f>
        <v>ING. J. GUADALUPE IBARRA RAMIREZ</v>
      </c>
      <c r="L310" s="33" t="str">
        <f>OBRA!N309</f>
        <v>DOP/AD/016/2018</v>
      </c>
      <c r="M310" s="2" t="str">
        <f>OBRA!O309</f>
        <v>ADMINISTRACIÓN DIRECTA</v>
      </c>
      <c r="N310" s="3" t="str">
        <f>OBRA!P309</f>
        <v>CONSTRUCCION DE EMPEDRADO AHOGADO EN  CEMENTO, CONSTRUCCION DE HUELLAS DE CONCRETO, Y CONSTRUCCION DE GUARNICION DE LA CALLE CUAUHTEMOC, EN LA LOCALIDAD DE POTRERILLOS DEL MUNICIPIO DE JOCOTEPEC, JALISCO</v>
      </c>
      <c r="O310" s="3"/>
      <c r="P310" s="6">
        <f>OBRA!S309</f>
        <v>43251</v>
      </c>
      <c r="Q310" s="4">
        <f>OBRA!R309</f>
        <v>989000</v>
      </c>
      <c r="R310" s="5">
        <f>OBRA!T309</f>
        <v>43252</v>
      </c>
      <c r="S310" s="11">
        <f>OBRA!U309</f>
        <v>43311</v>
      </c>
      <c r="T310" s="53"/>
      <c r="U310" s="377" t="s">
        <v>1428</v>
      </c>
      <c r="V310" s="309"/>
      <c r="W310" s="11"/>
      <c r="X310" s="280">
        <f>OBRA!AR309</f>
        <v>0</v>
      </c>
      <c r="Y310" s="309"/>
      <c r="Z310" s="309"/>
      <c r="AA310" s="5"/>
      <c r="AB310" s="313"/>
      <c r="AC310" s="317" t="str">
        <f>OBRA!BW309</f>
        <v>FOTOS FIN</v>
      </c>
      <c r="AD310" s="352"/>
      <c r="AE310" s="352"/>
    </row>
    <row r="311" spans="1:31" ht="15" hidden="1" customHeight="1">
      <c r="A311" s="22" t="s">
        <v>2206</v>
      </c>
      <c r="B311" s="809" t="str">
        <f>GRAL!B312</f>
        <v>2015-2018</v>
      </c>
      <c r="C311" s="16">
        <f>OBRA!J310</f>
        <v>2018</v>
      </c>
      <c r="D311" s="1415"/>
      <c r="E311" s="17" t="str">
        <f>OBRA!M310</f>
        <v>Fondo de proyectos para el Desarrollo Regional</v>
      </c>
      <c r="F311" s="478"/>
      <c r="G311" s="352"/>
      <c r="H311" s="1"/>
      <c r="I311" s="352"/>
      <c r="J311" s="54" t="str">
        <f>OBRA!W310</f>
        <v>N/A</v>
      </c>
      <c r="K311" s="55" t="str">
        <f>OBRA!X310</f>
        <v>ING. JUAN MANUEL GARCIA ESCOTO</v>
      </c>
      <c r="L311" s="33" t="str">
        <f>OBRA!N310</f>
        <v>DOP/AD/017/2018</v>
      </c>
      <c r="M311" s="2" t="str">
        <f>OBRA!O310</f>
        <v>ADMINISTRACIÓN DIRECTA</v>
      </c>
      <c r="N311" s="3" t="str">
        <f>OBRA!P310</f>
        <v>PROYECTO CONSTRUCCION DE EMPEDRADO AHOGADO EN CEMENTO, CONSTRUCCION DE FRANJA DE ADOQUIN Y CONSTRUCCIÓN DE GUARNICIÓN DE LA CALLE RAMON CORONA DE LA LOCALIDAD DE SAN CRISTOBAL ZAPOTITLAN, DEL MUNICIPIO DE JOCOTEPEC, JALISCO</v>
      </c>
      <c r="O311" s="3"/>
      <c r="P311" s="6">
        <f>OBRA!S310</f>
        <v>43262</v>
      </c>
      <c r="Q311" s="4">
        <f>OBRA!R310</f>
        <v>900000</v>
      </c>
      <c r="R311" s="5">
        <f>OBRA!T310</f>
        <v>43266</v>
      </c>
      <c r="S311" s="11">
        <f>OBRA!U310</f>
        <v>43329</v>
      </c>
      <c r="T311" s="53"/>
      <c r="U311" s="377" t="s">
        <v>1428</v>
      </c>
      <c r="V311" s="309"/>
      <c r="W311" s="11"/>
      <c r="X311" s="280">
        <f>OBRA!AR310</f>
        <v>0</v>
      </c>
      <c r="Y311" s="309"/>
      <c r="Z311" s="309"/>
      <c r="AA311" s="5"/>
      <c r="AB311" s="313"/>
      <c r="AC311" s="317" t="str">
        <f>OBRA!BW310</f>
        <v>FOTOS FIN</v>
      </c>
      <c r="AD311" s="352"/>
      <c r="AE311" s="352"/>
    </row>
    <row r="312" spans="1:31" ht="15" hidden="1" customHeight="1">
      <c r="A312" s="22" t="s">
        <v>2206</v>
      </c>
      <c r="B312" s="809" t="str">
        <f>GRAL!B313</f>
        <v>2015-2018</v>
      </c>
      <c r="C312" s="16">
        <f>OBRA!J311</f>
        <v>2018</v>
      </c>
      <c r="D312" s="1415"/>
      <c r="E312" s="17" t="str">
        <f>OBRA!M311</f>
        <v>RAMO 33</v>
      </c>
      <c r="F312" s="478"/>
      <c r="G312" s="352"/>
      <c r="H312" s="1"/>
      <c r="I312" s="352"/>
      <c r="J312" s="54" t="str">
        <f>OBRA!W311</f>
        <v>N/A</v>
      </c>
      <c r="K312" s="55" t="str">
        <f>OBRA!X311</f>
        <v>-</v>
      </c>
      <c r="L312" s="33" t="str">
        <f>OBRA!N311</f>
        <v>DOP/AD/018/2018</v>
      </c>
      <c r="M312" s="2" t="str">
        <f>OBRA!O311</f>
        <v>CANCELADA</v>
      </c>
      <c r="N312" s="3" t="str">
        <f>OBRA!P311</f>
        <v>CONSTRUCCION DE EMPEDRADO ECOLOGICO EN LA PRIVADA LA VAQUITA EN LA LOCALIDAD DE CHANTEPEC, DEL MUNICIPIO DE JOCOTEPEC, JALISCO".</v>
      </c>
      <c r="O312" s="3"/>
      <c r="P312" s="6">
        <f>OBRA!S311</f>
        <v>43326</v>
      </c>
      <c r="Q312" s="4">
        <f>OBRA!R311</f>
        <v>46185.599999999999</v>
      </c>
      <c r="R312" s="5">
        <f>OBRA!T311</f>
        <v>43326</v>
      </c>
      <c r="S312" s="11">
        <f>OBRA!U311</f>
        <v>43357</v>
      </c>
      <c r="T312" s="53"/>
      <c r="U312" s="377" t="s">
        <v>1428</v>
      </c>
      <c r="V312" s="309"/>
      <c r="W312" s="11"/>
      <c r="X312" s="280">
        <f>OBRA!AR311</f>
        <v>0</v>
      </c>
      <c r="Y312" s="309"/>
      <c r="Z312" s="309"/>
      <c r="AA312" s="5"/>
      <c r="AB312" s="313"/>
      <c r="AC312" s="317">
        <f>OBRA!BW311</f>
        <v>0</v>
      </c>
      <c r="AD312" s="352"/>
      <c r="AE312" s="352"/>
    </row>
    <row r="313" spans="1:31" s="104" customFormat="1" ht="15" hidden="1" customHeight="1">
      <c r="A313" s="81" t="s">
        <v>2206</v>
      </c>
      <c r="B313" s="820" t="str">
        <f>GRAL!B314</f>
        <v>2015-2018</v>
      </c>
      <c r="C313" s="82">
        <f>OBRA!J312</f>
        <v>2018</v>
      </c>
      <c r="D313" s="781"/>
      <c r="E313" s="97">
        <f>OBRA!M312</f>
        <v>0</v>
      </c>
      <c r="F313" s="479"/>
      <c r="G313" s="354"/>
      <c r="H313" s="96"/>
      <c r="I313" s="354"/>
      <c r="J313" s="151" t="str">
        <f>OBRA!W312</f>
        <v>N/A</v>
      </c>
      <c r="K313" s="152" t="str">
        <f>OBRA!X312</f>
        <v>-</v>
      </c>
      <c r="L313" s="308" t="str">
        <f>OBRA!N312</f>
        <v>DOP/AD/019/2018</v>
      </c>
      <c r="M313" s="186" t="str">
        <f>OBRA!O312</f>
        <v>CANCELADA</v>
      </c>
      <c r="N313" s="106">
        <f>OBRA!P312</f>
        <v>0</v>
      </c>
      <c r="O313" s="125"/>
      <c r="P313" s="87">
        <f>OBRA!S312</f>
        <v>0</v>
      </c>
      <c r="Q313" s="86">
        <f>OBRA!R312</f>
        <v>0</v>
      </c>
      <c r="R313" s="88">
        <f>OBRA!T312</f>
        <v>0</v>
      </c>
      <c r="S313" s="89">
        <f>OBRA!U312</f>
        <v>0</v>
      </c>
      <c r="T313" s="91"/>
      <c r="U313" s="688" t="s">
        <v>1428</v>
      </c>
      <c r="V313" s="311"/>
      <c r="W313" s="89"/>
      <c r="X313" s="828">
        <f>OBRA!AR312</f>
        <v>0</v>
      </c>
      <c r="Y313" s="311"/>
      <c r="Z313" s="311"/>
      <c r="AA313" s="88"/>
      <c r="AB313" s="1855"/>
      <c r="AC313" s="467">
        <f>OBRA!BW312</f>
        <v>0</v>
      </c>
      <c r="AD313" s="354"/>
      <c r="AE313" s="354"/>
    </row>
    <row r="314" spans="1:31" ht="30" hidden="1" customHeight="1">
      <c r="A314" s="22" t="s">
        <v>2206</v>
      </c>
      <c r="B314" s="809" t="str">
        <f>GRAL!B315</f>
        <v>2015-2018</v>
      </c>
      <c r="C314" s="16">
        <f>OBRA!J313</f>
        <v>2018</v>
      </c>
      <c r="D314" s="1415"/>
      <c r="E314" s="17" t="str">
        <f>OBRA!M313</f>
        <v>CUENTA CORRIENTE</v>
      </c>
      <c r="F314" s="478"/>
      <c r="G314" s="352"/>
      <c r="H314" s="1"/>
      <c r="I314" s="352"/>
      <c r="J314" s="54" t="str">
        <f>OBRA!W313</f>
        <v>N/A</v>
      </c>
      <c r="K314" s="55" t="str">
        <f>OBRA!X313</f>
        <v>-</v>
      </c>
      <c r="L314" s="33" t="str">
        <f>OBRA!N313</f>
        <v>DOP/AD/020/2018</v>
      </c>
      <c r="M314" s="2" t="str">
        <f>OBRA!O313</f>
        <v>ADMINISTRACIÓN DIRECTA</v>
      </c>
      <c r="N314" s="3" t="str">
        <f>OBRA!P313</f>
        <v>TRABAJOS DE DESASOLVE EN LOS ARROYOS DEL MUNICIPIO DE JOCOTEPEC, JALISCO</v>
      </c>
      <c r="O314" s="3"/>
      <c r="P314" s="6">
        <f>OBRA!S313</f>
        <v>43349</v>
      </c>
      <c r="Q314" s="4">
        <f>OBRA!R313</f>
        <v>33408</v>
      </c>
      <c r="R314" s="5">
        <f>OBRA!T313</f>
        <v>43350</v>
      </c>
      <c r="S314" s="11">
        <f>OBRA!U313</f>
        <v>43365</v>
      </c>
      <c r="T314" s="53"/>
      <c r="U314" s="377" t="s">
        <v>1428</v>
      </c>
      <c r="V314" s="309"/>
      <c r="W314" s="11"/>
      <c r="X314" s="280">
        <f>OBRA!AR313</f>
        <v>0</v>
      </c>
      <c r="Y314" s="309"/>
      <c r="Z314" s="309"/>
      <c r="AA314" s="5"/>
      <c r="AB314" s="313"/>
      <c r="AC314" s="317">
        <f>OBRA!BW313</f>
        <v>0</v>
      </c>
      <c r="AD314" s="352"/>
      <c r="AE314" s="352"/>
    </row>
    <row r="315" spans="1:31" ht="138.75" hidden="1" customHeight="1">
      <c r="A315" s="22" t="s">
        <v>2206</v>
      </c>
      <c r="B315" s="809" t="str">
        <f>GRAL!B316</f>
        <v>2015-2018</v>
      </c>
      <c r="C315" s="16">
        <f>OBRA!J314</f>
        <v>2018</v>
      </c>
      <c r="D315" s="1415"/>
      <c r="E315" s="17" t="str">
        <f>OBRA!M314</f>
        <v>RAMO 33</v>
      </c>
      <c r="F315" s="478" t="s">
        <v>1428</v>
      </c>
      <c r="G315" s="507"/>
      <c r="H315" s="878"/>
      <c r="I315" s="507"/>
      <c r="J315" s="54" t="str">
        <f>OBRA!W314</f>
        <v>C. NORMA GORETY DOMINGUEZ CALVARIO</v>
      </c>
      <c r="K315" s="55" t="str">
        <f>OBRA!X314</f>
        <v>ING. JUAN MANUEL GARCIA ESCOTO</v>
      </c>
      <c r="L315" s="33" t="str">
        <f>OBRA!N314</f>
        <v>GMJ 001C OP/2018</v>
      </c>
      <c r="M315" s="2" t="str">
        <f>OBRA!O314</f>
        <v>ADJUDICACIÓN DIRECTA</v>
      </c>
      <c r="N315" s="3" t="str">
        <f>OBRA!P314</f>
        <v>SUSTITUCIÓN DE SUPERFICIE DE RODAMIENTO EN LA CALLE MORELOS ENTRE ZARAGOZA Y PANTEON, CAMBIO DE EMPEDRADO NORMAL POR ADOQUIN, EN LA CABECERA MUNICIPAL DEL MUNICIPIO DE JOCOTEPEC, JALISCO</v>
      </c>
      <c r="O315" s="504" t="s">
        <v>3488</v>
      </c>
      <c r="P315" s="6">
        <f>OBRA!S314</f>
        <v>43137</v>
      </c>
      <c r="Q315" s="4">
        <f>OBRA!R314</f>
        <v>844622.8</v>
      </c>
      <c r="R315" s="5">
        <f>OBRA!T314</f>
        <v>43137</v>
      </c>
      <c r="S315" s="11">
        <f>OBRA!U314</f>
        <v>43168</v>
      </c>
      <c r="T315" s="1352" t="s">
        <v>3816</v>
      </c>
      <c r="U315" s="62" t="s">
        <v>1428</v>
      </c>
      <c r="V315" s="587"/>
      <c r="W315" s="1231"/>
      <c r="X315" s="988">
        <f>OBRA!AR314</f>
        <v>168924.56</v>
      </c>
      <c r="Y315" s="309"/>
      <c r="Z315" s="309"/>
      <c r="AA315" s="5"/>
      <c r="AB315" s="313"/>
      <c r="AC315" s="317">
        <f>OBRA!BW314</f>
        <v>0</v>
      </c>
      <c r="AD315" s="352"/>
      <c r="AE315" s="352"/>
    </row>
    <row r="316" spans="1:31" ht="15" hidden="1" customHeight="1">
      <c r="A316" s="22" t="s">
        <v>2206</v>
      </c>
      <c r="B316" s="809" t="str">
        <f>GRAL!B317</f>
        <v>2015-2018</v>
      </c>
      <c r="C316" s="16">
        <f>OBRA!J315</f>
        <v>2018</v>
      </c>
      <c r="D316" s="1415"/>
      <c r="E316" s="17" t="str">
        <f>OBRA!M315</f>
        <v>RAMO 33</v>
      </c>
      <c r="F316" s="478"/>
      <c r="G316" s="352"/>
      <c r="H316" s="1"/>
      <c r="I316" s="352"/>
      <c r="J316" s="54" t="str">
        <f>OBRA!W315</f>
        <v xml:space="preserve">DRABSA CONSTRUCTORA S.A. DE C.V. </v>
      </c>
      <c r="K316" s="55" t="str">
        <f>OBRA!X315</f>
        <v>ING. JUAN MANUEL GARCIA ESCOTO</v>
      </c>
      <c r="L316" s="33" t="str">
        <f>OBRA!N315</f>
        <v>GMJ 002C OP/2018</v>
      </c>
      <c r="M316" s="2" t="str">
        <f>OBRA!O315</f>
        <v>POR INVITACION RESTRINGIDA</v>
      </c>
      <c r="N316" s="3" t="str">
        <f>OBRA!P315</f>
        <v>REHABILITACION DE LINEA DE DRENAJE EN CALLE ZARAGOZA ENTRE AVENIDA DEL TRABAJO Y CERRADA, (CAMPO DE FUTBOL), CON REPOSICION DE SUPERFICIE DE RODAMIENTO, EN LA LOCALIDAD DE ZAPOTITAN DE HIDALGO DEL MUNICIPIO DE JOCOTEPEC, JALISCO</v>
      </c>
      <c r="O316" s="504"/>
      <c r="P316" s="6">
        <f>OBRA!S315</f>
        <v>43208</v>
      </c>
      <c r="Q316" s="4">
        <f>OBRA!R315</f>
        <v>1341538.44</v>
      </c>
      <c r="R316" s="5">
        <f>OBRA!T315</f>
        <v>43209</v>
      </c>
      <c r="S316" s="11">
        <f>OBRA!U315</f>
        <v>43239</v>
      </c>
      <c r="T316" s="53"/>
      <c r="U316" s="377" t="s">
        <v>1428</v>
      </c>
      <c r="V316" s="309"/>
      <c r="W316" s="11"/>
      <c r="X316" s="280">
        <f>OBRA!AR315</f>
        <v>469538.44999999995</v>
      </c>
      <c r="Y316" s="309"/>
      <c r="Z316" s="309"/>
      <c r="AA316" s="5"/>
      <c r="AB316" s="313"/>
      <c r="AC316" s="317">
        <f>OBRA!BW315</f>
        <v>0</v>
      </c>
      <c r="AD316" s="352"/>
      <c r="AE316" s="352"/>
    </row>
    <row r="317" spans="1:31" ht="15" hidden="1" customHeight="1">
      <c r="A317" s="22" t="s">
        <v>2206</v>
      </c>
      <c r="B317" s="809" t="str">
        <f>GRAL!B318</f>
        <v>2015-2018</v>
      </c>
      <c r="C317" s="16">
        <f>OBRA!J316</f>
        <v>2018</v>
      </c>
      <c r="D317" s="1415"/>
      <c r="E317" s="17" t="str">
        <f>OBRA!M316</f>
        <v>RAMO 33</v>
      </c>
      <c r="F317" s="478"/>
      <c r="G317" s="352"/>
      <c r="H317" s="1"/>
      <c r="I317" s="352"/>
      <c r="J317" s="54" t="str">
        <f>OBRA!W316</f>
        <v xml:space="preserve">DRABSA CONSTRUCTORA S.A. DE C.V. </v>
      </c>
      <c r="K317" s="55" t="str">
        <f>OBRA!X316</f>
        <v>ING. JUAN MANUEL GARCIA ESCOTO</v>
      </c>
      <c r="L317" s="33" t="str">
        <f>OBRA!N316</f>
        <v>GMJ 003C OP/2018</v>
      </c>
      <c r="M317" s="2" t="str">
        <f>OBRA!O316</f>
        <v>POR INVITACION RESTRINGIDA</v>
      </c>
      <c r="N317" s="3" t="str">
        <f>OBRA!P316</f>
        <v>REHABILITACION DE LINEA DE AGUA POTABLE EN CALLE ZARAGOZA ENTRE AVENIDA DEL TRABAJO Y CERRADA, (CAMPO DE FUTBOL), CON REPOSICION DE SUPERFICIE DE RODAMIENTO, EN LA LOCALIDAD DE ZAPOTITAN DE HIDALGO, DEL MUNICIPIO DE JOCOTEPEC, JALISCO</v>
      </c>
      <c r="O317" s="504"/>
      <c r="P317" s="6">
        <f>OBRA!S316</f>
        <v>43208</v>
      </c>
      <c r="Q317" s="4">
        <f>OBRA!R316</f>
        <v>1303478.02</v>
      </c>
      <c r="R317" s="5">
        <f>OBRA!T316</f>
        <v>43208</v>
      </c>
      <c r="S317" s="11">
        <f>OBRA!U316</f>
        <v>43239</v>
      </c>
      <c r="T317" s="53"/>
      <c r="U317" s="377" t="s">
        <v>1428</v>
      </c>
      <c r="V317" s="309"/>
      <c r="W317" s="11"/>
      <c r="X317" s="280">
        <f>OBRA!AR316</f>
        <v>130347.8</v>
      </c>
      <c r="Y317" s="309"/>
      <c r="Z317" s="309"/>
      <c r="AA317" s="5"/>
      <c r="AB317" s="313"/>
      <c r="AC317" s="317">
        <f>OBRA!BW316</f>
        <v>0</v>
      </c>
      <c r="AD317" s="352"/>
      <c r="AE317" s="352"/>
    </row>
    <row r="318" spans="1:31" ht="91.5" hidden="1" customHeight="1">
      <c r="A318" s="22" t="s">
        <v>2206</v>
      </c>
      <c r="B318" s="809" t="str">
        <f>GRAL!B319</f>
        <v>2015-2018</v>
      </c>
      <c r="C318" s="16">
        <f>OBRA!J317</f>
        <v>2018</v>
      </c>
      <c r="D318" s="1415"/>
      <c r="E318" s="17" t="str">
        <f>OBRA!M317</f>
        <v>CUENTA CORRIENTE</v>
      </c>
      <c r="F318" s="478" t="s">
        <v>1428</v>
      </c>
      <c r="G318" s="502" t="s">
        <v>3667</v>
      </c>
      <c r="H318" s="495" t="s">
        <v>3667</v>
      </c>
      <c r="I318" s="502" t="s">
        <v>3667</v>
      </c>
      <c r="J318" s="54" t="str">
        <f>OBRA!W317</f>
        <v>JOSE LUIS RANGEL GALVEZ</v>
      </c>
      <c r="K318" s="55" t="str">
        <f>OBRA!X317</f>
        <v>ARQ. CESAR ANTONIO ALONSO JIMENEZ</v>
      </c>
      <c r="L318" s="33" t="str">
        <f>OBRA!N317</f>
        <v>GMJ 004C OP/2018</v>
      </c>
      <c r="M318" s="2" t="str">
        <f>OBRA!O317</f>
        <v>ADJUDICACIÓN DIRECTA</v>
      </c>
      <c r="N318" s="3" t="str">
        <f>OBRA!P317</f>
        <v>CONSTRUCCION DE AMPLIACIÓN DEL PANTEON 2DA ETAPA EN LA CABECERA MUNICIPAL, DEL MUNICIPIO DE JOCOTEPEC, JALISCO</v>
      </c>
      <c r="O318" s="504" t="s">
        <v>3488</v>
      </c>
      <c r="P318" s="6">
        <f>OBRA!S317</f>
        <v>43224</v>
      </c>
      <c r="Q318" s="4">
        <f>OBRA!R317</f>
        <v>500000</v>
      </c>
      <c r="R318" s="5">
        <f>OBRA!T317</f>
        <v>43228</v>
      </c>
      <c r="S318" s="11">
        <f>OBRA!U317</f>
        <v>43321</v>
      </c>
      <c r="T318" s="207" t="s">
        <v>3815</v>
      </c>
      <c r="U318" s="377" t="s">
        <v>1428</v>
      </c>
      <c r="V318" s="535"/>
      <c r="W318" s="437"/>
      <c r="X318" s="987">
        <f>OBRA!AR317</f>
        <v>125000</v>
      </c>
      <c r="Y318" s="309"/>
      <c r="Z318" s="309"/>
      <c r="AA318" s="5"/>
      <c r="AB318" s="313"/>
      <c r="AC318" s="317">
        <f>OBRA!BW317</f>
        <v>0</v>
      </c>
      <c r="AD318" s="352"/>
      <c r="AE318" s="352"/>
    </row>
    <row r="319" spans="1:31" ht="141.75" hidden="1" customHeight="1">
      <c r="A319" s="22" t="s">
        <v>2206</v>
      </c>
      <c r="B319" s="809" t="str">
        <f>GRAL!B320</f>
        <v>2015-2018</v>
      </c>
      <c r="C319" s="16">
        <f>OBRA!J318</f>
        <v>2018</v>
      </c>
      <c r="D319" s="1415"/>
      <c r="E319" s="17" t="str">
        <f>OBRA!M318</f>
        <v>RAMO 33</v>
      </c>
      <c r="F319" s="478" t="s">
        <v>1428</v>
      </c>
      <c r="G319" s="502" t="s">
        <v>3668</v>
      </c>
      <c r="H319" s="524" t="s">
        <v>3668</v>
      </c>
      <c r="I319" s="502" t="s">
        <v>3668</v>
      </c>
      <c r="J319" s="54" t="str">
        <f>OBRA!W318</f>
        <v xml:space="preserve">GRUPO DESARROLLADOR INMOBILIARIO CEMERAMA S.A. DE C.V. </v>
      </c>
      <c r="K319" s="55" t="str">
        <f>OBRA!X318</f>
        <v>LIC. SALVADOR CONTRERAS OLGUÍN</v>
      </c>
      <c r="L319" s="33" t="str">
        <f>OBRA!N318</f>
        <v>GMJ 005C OP/2018</v>
      </c>
      <c r="M319" s="2" t="str">
        <f>OBRA!O318</f>
        <v>ADJUDICACIÓN DIRECTA</v>
      </c>
      <c r="N319" s="3" t="str">
        <f>OBRA!P318</f>
        <v>AMPLIACION DE RED DE AGUA POTABLE DE 2 I/2" A 4" EN LA LATERAL DE CARRETERA CHAPALA-JOCOTEPEC, ENTRE LA CALLE ITURBIDE A CALLE NARCIZO MENDOZA EN LA LOCALIDAD DE SAN JUAN COSALA, DEL MUNICIPIO DE JOCOTEPEC, JALISCO</v>
      </c>
      <c r="O319" s="504" t="s">
        <v>3488</v>
      </c>
      <c r="P319" s="67">
        <f>OBRA!S318</f>
        <v>43221</v>
      </c>
      <c r="Q319" s="79">
        <f>OBRA!R318</f>
        <v>688990.42</v>
      </c>
      <c r="R319" s="5">
        <f>OBRA!T318</f>
        <v>43224</v>
      </c>
      <c r="S319" s="11">
        <f>OBRA!U318</f>
        <v>43285</v>
      </c>
      <c r="T319" s="1352" t="s">
        <v>3816</v>
      </c>
      <c r="U319" s="62" t="s">
        <v>1428</v>
      </c>
      <c r="V319" s="499" t="s">
        <v>3668</v>
      </c>
      <c r="W319" s="597" t="s">
        <v>3668</v>
      </c>
      <c r="X319" s="987">
        <f>OBRA!AR318</f>
        <v>68899.039999999994</v>
      </c>
      <c r="Y319" s="309"/>
      <c r="Z319" s="309"/>
      <c r="AA319" s="5"/>
      <c r="AB319" s="313"/>
      <c r="AC319" s="317">
        <f>OBRA!BW318</f>
        <v>0</v>
      </c>
      <c r="AD319" s="352"/>
      <c r="AE319" s="352"/>
    </row>
    <row r="320" spans="1:31" ht="134.25" hidden="1" customHeight="1">
      <c r="A320" s="22" t="s">
        <v>2206</v>
      </c>
      <c r="B320" s="809" t="str">
        <f>GRAL!B321</f>
        <v>2015-2018</v>
      </c>
      <c r="C320" s="16">
        <f>OBRA!J319</f>
        <v>2018</v>
      </c>
      <c r="D320" s="1415"/>
      <c r="E320" s="17" t="str">
        <f>OBRA!M319</f>
        <v>RAMO 33</v>
      </c>
      <c r="F320" s="478" t="s">
        <v>1428</v>
      </c>
      <c r="G320" s="507"/>
      <c r="H320" s="524" t="s">
        <v>3669</v>
      </c>
      <c r="I320" s="502" t="s">
        <v>3669</v>
      </c>
      <c r="J320" s="54" t="str">
        <f>OBRA!W319</f>
        <v>ING. MACIEL MOZQUEDA GONZALEZ</v>
      </c>
      <c r="K320" s="55" t="str">
        <f>OBRA!X319</f>
        <v>ARQ. CESAR ANTONIO ALONSO JIMENEZ</v>
      </c>
      <c r="L320" s="33" t="str">
        <f>OBRA!N319</f>
        <v>GMJ 006C OP/2018</v>
      </c>
      <c r="M320" s="2" t="str">
        <f>OBRA!O319</f>
        <v>ADJUDICACIÓN DIRECTA</v>
      </c>
      <c r="N320" s="3" t="str">
        <f>OBRA!P319</f>
        <v>REHABILITACION DE LINEA DE AGUA POTABLE EN CALLE CARDENAL DESDE CARRETERA AL PANTEON, CON REPOSICION DE EMPEDRADO NORMAL EN LA LOCALIDAD DE SAN JUAN COSALA, DEL MUNICIPIO DE JOCOTEPEC, JALISCO</v>
      </c>
      <c r="O320" s="504" t="s">
        <v>3488</v>
      </c>
      <c r="P320" s="67">
        <f>OBRA!S319</f>
        <v>43255</v>
      </c>
      <c r="Q320" s="79">
        <f>OBRA!R319</f>
        <v>343705.8</v>
      </c>
      <c r="R320" s="5">
        <f>OBRA!T319</f>
        <v>43257</v>
      </c>
      <c r="S320" s="11">
        <f>OBRA!U319</f>
        <v>43322</v>
      </c>
      <c r="T320" s="1352" t="s">
        <v>3816</v>
      </c>
      <c r="U320" s="62" t="s">
        <v>1428</v>
      </c>
      <c r="V320" s="499" t="s">
        <v>3669</v>
      </c>
      <c r="W320" s="597" t="s">
        <v>3669</v>
      </c>
      <c r="X320" s="988">
        <f>OBRA!AR319</f>
        <v>68741.16</v>
      </c>
      <c r="Y320" s="309"/>
      <c r="Z320" s="309"/>
      <c r="AA320" s="5"/>
      <c r="AB320" s="313"/>
      <c r="AC320" s="317">
        <f>OBRA!BW319</f>
        <v>0</v>
      </c>
      <c r="AD320" s="352"/>
      <c r="AE320" s="352"/>
    </row>
    <row r="321" spans="1:31" s="104" customFormat="1" ht="15" hidden="1" customHeight="1">
      <c r="A321" s="81" t="s">
        <v>2206</v>
      </c>
      <c r="B321" s="820" t="str">
        <f>GRAL!B322</f>
        <v>2015-2018</v>
      </c>
      <c r="C321" s="82">
        <f>OBRA!J320</f>
        <v>2018</v>
      </c>
      <c r="D321" s="781"/>
      <c r="E321" s="97">
        <f>OBRA!M320</f>
        <v>0</v>
      </c>
      <c r="F321" s="479"/>
      <c r="G321" s="354"/>
      <c r="H321" s="96"/>
      <c r="I321" s="354"/>
      <c r="J321" s="151" t="str">
        <f>OBRA!W320</f>
        <v>-</v>
      </c>
      <c r="K321" s="152" t="str">
        <f>OBRA!X320</f>
        <v>-</v>
      </c>
      <c r="L321" s="308" t="str">
        <f>OBRA!N320</f>
        <v>GMJ 007C OP/2018</v>
      </c>
      <c r="M321" s="186" t="str">
        <f>OBRA!O320</f>
        <v>CANCELADA</v>
      </c>
      <c r="N321" s="106">
        <f>OBRA!P320</f>
        <v>0</v>
      </c>
      <c r="O321" s="812"/>
      <c r="P321" s="87">
        <f>OBRA!S320</f>
        <v>0</v>
      </c>
      <c r="Q321" s="86">
        <f>OBRA!R320</f>
        <v>0</v>
      </c>
      <c r="R321" s="88">
        <f>OBRA!T320</f>
        <v>0</v>
      </c>
      <c r="S321" s="89">
        <f>OBRA!U320</f>
        <v>0</v>
      </c>
      <c r="T321" s="91"/>
      <c r="U321" s="688" t="s">
        <v>1428</v>
      </c>
      <c r="V321" s="311"/>
      <c r="W321" s="89"/>
      <c r="X321" s="828">
        <f>OBRA!AR320</f>
        <v>0</v>
      </c>
      <c r="Y321" s="311"/>
      <c r="Z321" s="311"/>
      <c r="AA321" s="88"/>
      <c r="AB321" s="1855"/>
      <c r="AC321" s="467">
        <f>OBRA!BW320</f>
        <v>0</v>
      </c>
      <c r="AD321" s="354"/>
      <c r="AE321" s="354"/>
    </row>
    <row r="322" spans="1:31" ht="145.5" hidden="1" customHeight="1">
      <c r="A322" s="22" t="s">
        <v>2206</v>
      </c>
      <c r="B322" s="809" t="str">
        <f>GRAL!B323</f>
        <v>2015-2018</v>
      </c>
      <c r="C322" s="16">
        <f>OBRA!J321</f>
        <v>2018</v>
      </c>
      <c r="D322" s="1415"/>
      <c r="E322" s="17" t="str">
        <f>OBRA!M321</f>
        <v>RAMO 33</v>
      </c>
      <c r="F322" s="478" t="s">
        <v>1428</v>
      </c>
      <c r="G322" s="502" t="s">
        <v>3670</v>
      </c>
      <c r="H322" s="524" t="s">
        <v>3670</v>
      </c>
      <c r="I322" s="502" t="s">
        <v>3670</v>
      </c>
      <c r="J322" s="54" t="str">
        <f>OBRA!W321</f>
        <v xml:space="preserve">GRUPO DESARROLLADOR INMOBILIARIO CEMERAMA S.A. DE C.V. </v>
      </c>
      <c r="K322" s="55" t="str">
        <f>OBRA!X321</f>
        <v>LIC. SALVADOR CONTRERAS OLGUÍN</v>
      </c>
      <c r="L322" s="33" t="str">
        <f>OBRA!N321</f>
        <v>GMJ 008C OP/2018</v>
      </c>
      <c r="M322" s="2" t="str">
        <f>OBRA!O321</f>
        <v>ADJUDICACIÓN DIRECTA</v>
      </c>
      <c r="N322" s="3" t="str">
        <f>OBRA!P321</f>
        <v>REHABILITACION DE LA LINEA DE DRENAJE EN LA CALLE HIDALGO DESDE CALLE VICENTE GUERRERO HASTA EMPEDRADO AHOGADO EXISTENTE EN LA LOCALIDAD DE SAN JUAN COSALA, DEL MUNICIPIO DE JOCOTEPEC, JALISCO</v>
      </c>
      <c r="O322" s="504" t="s">
        <v>3488</v>
      </c>
      <c r="P322" s="6">
        <f>OBRA!S321</f>
        <v>43222</v>
      </c>
      <c r="Q322" s="4">
        <f>OBRA!R321</f>
        <v>142361.85</v>
      </c>
      <c r="R322" s="5">
        <f>OBRA!T321</f>
        <v>43224</v>
      </c>
      <c r="S322" s="11">
        <f>OBRA!U321</f>
        <v>43255</v>
      </c>
      <c r="T322" s="1352" t="s">
        <v>3816</v>
      </c>
      <c r="U322" s="377" t="s">
        <v>1428</v>
      </c>
      <c r="V322" s="535"/>
      <c r="W322" s="597" t="s">
        <v>3670</v>
      </c>
      <c r="X322" s="988">
        <f>OBRA!AR321</f>
        <v>393883.2</v>
      </c>
      <c r="Y322" s="309"/>
      <c r="Z322" s="309"/>
      <c r="AA322" s="5"/>
      <c r="AB322" s="313"/>
      <c r="AC322" s="317">
        <f>OBRA!BW321</f>
        <v>0</v>
      </c>
      <c r="AD322" s="352"/>
      <c r="AE322" s="352"/>
    </row>
    <row r="323" spans="1:31" ht="160.5" hidden="1" customHeight="1">
      <c r="A323" s="22" t="s">
        <v>2206</v>
      </c>
      <c r="B323" s="809" t="str">
        <f>GRAL!B324</f>
        <v>2015-2018</v>
      </c>
      <c r="C323" s="16">
        <f>OBRA!J322</f>
        <v>2018</v>
      </c>
      <c r="D323" s="1415"/>
      <c r="E323" s="17" t="str">
        <f>OBRA!M322</f>
        <v>FONDEREG</v>
      </c>
      <c r="F323" s="658" t="s">
        <v>3665</v>
      </c>
      <c r="G323" s="502" t="s">
        <v>3674</v>
      </c>
      <c r="H323" s="524" t="s">
        <v>3674</v>
      </c>
      <c r="I323" s="502" t="s">
        <v>3674</v>
      </c>
      <c r="J323" s="54" t="str">
        <f>OBRA!W322</f>
        <v>ING. JOSE VALENTIN ZARATE RIVERA</v>
      </c>
      <c r="K323" s="55" t="str">
        <f>OBRA!X322</f>
        <v>ING. JUAN MANUEL GARCIA ESCOTO</v>
      </c>
      <c r="L323" s="33" t="str">
        <f>OBRA!N322</f>
        <v>GMJ 009C OP/2018</v>
      </c>
      <c r="M323" s="2" t="str">
        <f>OBRA!O322</f>
        <v>ADJUDICACIÓN DIRECTA</v>
      </c>
      <c r="N323" s="3" t="str">
        <f>OBRA!P322</f>
        <v>REHABILITACION DE IMAGEN URBANA DE CALLE VICENTE GUERRERO, EN EL INGRESO PONIENTE A JOCOTEPEC, DE LA CALLE INDEPENDENCIA A LA CALLE PASEO DE LAS ROSAS (ALUMBRADO PUBLICO) EN LA CABECERA MUNICIPAL DEL MUNICIPIO DE JOCOTEPEC, JALISCO</v>
      </c>
      <c r="O323" s="504" t="s">
        <v>3488</v>
      </c>
      <c r="P323" s="67">
        <f>OBRA!S322</f>
        <v>43253</v>
      </c>
      <c r="Q323" s="79">
        <f>OBRA!R322</f>
        <v>526676.22</v>
      </c>
      <c r="R323" s="5">
        <f>OBRA!T322</f>
        <v>43261</v>
      </c>
      <c r="S323" s="11">
        <f>OBRA!U322</f>
        <v>43322</v>
      </c>
      <c r="T323" s="1352" t="s">
        <v>3816</v>
      </c>
      <c r="U323" s="502" t="s">
        <v>3674</v>
      </c>
      <c r="V323" s="498" t="s">
        <v>3674</v>
      </c>
      <c r="W323" s="597" t="s">
        <v>3674</v>
      </c>
      <c r="X323" s="988">
        <f>OBRA!AR322</f>
        <v>105335.24</v>
      </c>
      <c r="Y323" s="309"/>
      <c r="Z323" s="309"/>
      <c r="AA323" s="5"/>
      <c r="AB323" s="313"/>
      <c r="AC323" s="317">
        <f>OBRA!BW322</f>
        <v>0</v>
      </c>
      <c r="AD323" s="352"/>
      <c r="AE323" s="352" t="s">
        <v>551</v>
      </c>
    </row>
    <row r="324" spans="1:31" ht="113.25" hidden="1" customHeight="1">
      <c r="A324" s="22" t="s">
        <v>2206</v>
      </c>
      <c r="B324" s="809" t="str">
        <f>GRAL!B325</f>
        <v>2015-2018</v>
      </c>
      <c r="C324" s="16">
        <f>OBRA!J323</f>
        <v>2018</v>
      </c>
      <c r="D324" s="1415"/>
      <c r="E324" s="17" t="str">
        <f>OBRA!M323</f>
        <v>RAMO 33</v>
      </c>
      <c r="F324" s="478" t="s">
        <v>1428</v>
      </c>
      <c r="G324" s="502" t="s">
        <v>3671</v>
      </c>
      <c r="H324" s="524" t="s">
        <v>3671</v>
      </c>
      <c r="I324" s="502" t="s">
        <v>3671</v>
      </c>
      <c r="J324" s="54" t="str">
        <f>OBRA!W323</f>
        <v>LIC. CARLOS MANUEL PELAYO CERVERA</v>
      </c>
      <c r="K324" s="55" t="str">
        <f>OBRA!X323</f>
        <v>ARQ. CESAR ANTONIO ALONSO JIMENEZ</v>
      </c>
      <c r="L324" s="33" t="str">
        <f>OBRA!N323</f>
        <v>GMJ 010C OP/2018</v>
      </c>
      <c r="M324" s="2" t="str">
        <f>OBRA!O323</f>
        <v>ADJUDICACIÓN DIRECTA</v>
      </c>
      <c r="N324" s="3" t="str">
        <f>OBRA!P323</f>
        <v>REHABILITACION DE RED DE AGUA POTABLE EN LA CALLE EMILIANO ZAPATA, EN LA LOCALIDAD DE ZAPOTITAN DE HIDALGO DEL MUNICIPIO DE JOCOTEPEC, JALISCO</v>
      </c>
      <c r="O324" s="504" t="s">
        <v>3488</v>
      </c>
      <c r="P324" s="67">
        <f>OBRA!S323</f>
        <v>43242</v>
      </c>
      <c r="Q324" s="79">
        <f>OBRA!R323</f>
        <v>177478.77</v>
      </c>
      <c r="R324" s="5">
        <f>OBRA!T323</f>
        <v>43243</v>
      </c>
      <c r="S324" s="11">
        <f>OBRA!U323</f>
        <v>43283</v>
      </c>
      <c r="T324" s="1352" t="s">
        <v>3816</v>
      </c>
      <c r="U324" s="62" t="s">
        <v>1428</v>
      </c>
      <c r="V324" s="499" t="s">
        <v>3671</v>
      </c>
      <c r="W324" s="597" t="s">
        <v>3671</v>
      </c>
      <c r="X324" s="987">
        <f>OBRA!AR323</f>
        <v>0</v>
      </c>
      <c r="Y324" s="309"/>
      <c r="Z324" s="309"/>
      <c r="AA324" s="5"/>
      <c r="AB324" s="313"/>
      <c r="AC324" s="317">
        <f>OBRA!BW323</f>
        <v>0</v>
      </c>
      <c r="AD324" s="352"/>
      <c r="AE324" s="352"/>
    </row>
    <row r="325" spans="1:31" ht="107.25" hidden="1" customHeight="1">
      <c r="A325" s="22" t="s">
        <v>2206</v>
      </c>
      <c r="B325" s="809" t="str">
        <f>GRAL!B326</f>
        <v>2015-2018</v>
      </c>
      <c r="C325" s="16">
        <f>OBRA!J324</f>
        <v>2018</v>
      </c>
      <c r="D325" s="1415"/>
      <c r="E325" s="17" t="str">
        <f>OBRA!M324</f>
        <v>RAMO 33</v>
      </c>
      <c r="F325" s="478" t="s">
        <v>1428</v>
      </c>
      <c r="G325" s="502" t="s">
        <v>3672</v>
      </c>
      <c r="H325" s="524" t="s">
        <v>3672</v>
      </c>
      <c r="I325" s="502" t="s">
        <v>3672</v>
      </c>
      <c r="J325" s="54" t="str">
        <f>OBRA!W324</f>
        <v>LIC. CARLOS MANUEL PELAYO CERVERA</v>
      </c>
      <c r="K325" s="55" t="str">
        <f>OBRA!X324</f>
        <v>ARQ. CESAR ANTONIO ALONSO JIMENEZ</v>
      </c>
      <c r="L325" s="33" t="str">
        <f>OBRA!N324</f>
        <v>GMJ 011C OP/2018</v>
      </c>
      <c r="M325" s="2" t="str">
        <f>OBRA!O324</f>
        <v>ADJUDICACIÓN DIRECTA</v>
      </c>
      <c r="N325" s="3" t="str">
        <f>OBRA!P324</f>
        <v>REHABILITACION DE LINEA DE DRENAJE EN LA CALLE EMILIANO ZAPATA, EN LA LOCALIDAD DE ZAPOTITAN DE HIDALGO DEL MUNICIPIO DE JOCOTEPEC, JALISCO</v>
      </c>
      <c r="O325" s="504" t="s">
        <v>3489</v>
      </c>
      <c r="P325" s="67">
        <f>OBRA!S324</f>
        <v>43242</v>
      </c>
      <c r="Q325" s="79">
        <f>OBRA!R324</f>
        <v>247048.85</v>
      </c>
      <c r="R325" s="5">
        <f>OBRA!T324</f>
        <v>43243</v>
      </c>
      <c r="S325" s="11">
        <f>OBRA!U324</f>
        <v>43283</v>
      </c>
      <c r="T325" s="1352" t="s">
        <v>3816</v>
      </c>
      <c r="U325" s="62" t="s">
        <v>1428</v>
      </c>
      <c r="V325" s="499" t="s">
        <v>3672</v>
      </c>
      <c r="W325" s="597" t="s">
        <v>3672</v>
      </c>
      <c r="X325" s="987">
        <f>OBRA!AR324</f>
        <v>24704.880000000001</v>
      </c>
      <c r="Y325" s="309"/>
      <c r="Z325" s="309"/>
      <c r="AA325" s="5"/>
      <c r="AB325" s="313"/>
      <c r="AC325" s="317">
        <f>OBRA!BW324</f>
        <v>0</v>
      </c>
      <c r="AD325" s="352"/>
      <c r="AE325" s="352"/>
    </row>
    <row r="326" spans="1:31" ht="171.75" hidden="1" customHeight="1">
      <c r="A326" s="22" t="s">
        <v>2206</v>
      </c>
      <c r="B326" s="809" t="str">
        <f>GRAL!B327</f>
        <v>2015-2018</v>
      </c>
      <c r="C326" s="16">
        <f>OBRA!J325</f>
        <v>2018</v>
      </c>
      <c r="D326" s="1415"/>
      <c r="E326" s="17" t="str">
        <f>OBRA!M325</f>
        <v>FONDEREG</v>
      </c>
      <c r="F326" s="658" t="s">
        <v>3665</v>
      </c>
      <c r="G326" s="502" t="s">
        <v>3673</v>
      </c>
      <c r="H326" s="524" t="s">
        <v>3673</v>
      </c>
      <c r="I326" s="502" t="s">
        <v>3673</v>
      </c>
      <c r="J326" s="54" t="str">
        <f>OBRA!W325</f>
        <v>BIRMEK CONSTRUCCIONES S.A. DE C.V.</v>
      </c>
      <c r="K326" s="55" t="str">
        <f>OBRA!X325</f>
        <v>ING. RIGOBERTO OLMEDO RAMOS</v>
      </c>
      <c r="L326" s="33" t="str">
        <f>OBRA!N325</f>
        <v>GMJ 012C OP/2018</v>
      </c>
      <c r="M326" s="2" t="str">
        <f>OBRA!O325</f>
        <v>ADJUDICACIÓN DIRECTA</v>
      </c>
      <c r="N326" s="3" t="str">
        <f>OBRA!P325</f>
        <v>CONSTRUCCION DE ALUMBRADO PUBLICO EN  LA CARRETERA JOCOTEPEC-CHAPALA DE LA CALLE LIBERTAD (NEXTIPAC), HASTA CALLE JUAREZ (CHANTEPEC), 1RA ETAPA EN EL INGRESO ORIENTE, A LA CABECERA MUNICIPAL, DEL MUNICIPIO DE  JOCOTEPEC, JALISCO,</v>
      </c>
      <c r="O326" s="504" t="s">
        <v>3489</v>
      </c>
      <c r="P326" s="67">
        <f>OBRA!S325</f>
        <v>43304</v>
      </c>
      <c r="Q326" s="79">
        <f>OBRA!R325</f>
        <v>724057.5</v>
      </c>
      <c r="R326" s="5">
        <f>OBRA!T325</f>
        <v>43306</v>
      </c>
      <c r="S326" s="11">
        <f>OBRA!U325</f>
        <v>43342</v>
      </c>
      <c r="T326" s="1352" t="s">
        <v>3816</v>
      </c>
      <c r="U326" s="502" t="s">
        <v>3673</v>
      </c>
      <c r="V326" s="498" t="s">
        <v>3673</v>
      </c>
      <c r="W326" s="597" t="s">
        <v>3673</v>
      </c>
      <c r="X326" s="988">
        <f>OBRA!AR325</f>
        <v>144810.44</v>
      </c>
      <c r="Y326" s="309"/>
      <c r="Z326" s="309"/>
      <c r="AA326" s="5"/>
      <c r="AB326" s="313"/>
      <c r="AC326" s="317">
        <f>OBRA!BW325</f>
        <v>0</v>
      </c>
      <c r="AD326" s="352"/>
      <c r="AE326" s="352" t="s">
        <v>551</v>
      </c>
    </row>
    <row r="327" spans="1:31" ht="15" hidden="1" customHeight="1">
      <c r="A327" s="22" t="s">
        <v>2206</v>
      </c>
      <c r="B327" s="809" t="str">
        <f>GRAL!B328</f>
        <v>2015-2018</v>
      </c>
      <c r="C327" s="16">
        <f>OBRA!J326</f>
        <v>2018</v>
      </c>
      <c r="D327" s="1415"/>
      <c r="E327" s="17" t="str">
        <f>OBRA!M326</f>
        <v>FONDEREG</v>
      </c>
      <c r="F327" s="478"/>
      <c r="G327" s="352"/>
      <c r="H327" s="1"/>
      <c r="I327" s="352"/>
      <c r="J327" s="54" t="str">
        <f>OBRA!W326</f>
        <v>ING. SERGIO CABRERA</v>
      </c>
      <c r="K327" s="55" t="str">
        <f>OBRA!X326</f>
        <v>ING. JUAN MANUEL GARCIA ESCOTO</v>
      </c>
      <c r="L327" s="33" t="str">
        <f>OBRA!N326</f>
        <v>GMJ 013C OP/2018</v>
      </c>
      <c r="M327" s="2" t="str">
        <f>OBRA!O326</f>
        <v>POR INVITACION RESTRINGIDA</v>
      </c>
      <c r="N327" s="3" t="str">
        <f>OBRA!P326</f>
        <v>REHABILITACION DE IMAGEN URBANA DE LA CALLE VICENTE GUERRERO EN EL INGRESO PONIENTE A JOCOTEPEC, DE LA CALLE INDEPENDENCIA A LA CALLE PASEO DE LAS ROSAS, EN LA CABECERA MUNICIPAL DEL MUNICIPIO DE JOCOTEPEC, JALISCO</v>
      </c>
      <c r="O327" s="3"/>
      <c r="P327" s="6">
        <f>OBRA!S326</f>
        <v>43240</v>
      </c>
      <c r="Q327" s="4">
        <f>OBRA!R326</f>
        <v>2197542.15</v>
      </c>
      <c r="R327" s="5">
        <f>OBRA!T326</f>
        <v>43248</v>
      </c>
      <c r="S327" s="11">
        <f>OBRA!U326</f>
        <v>43288</v>
      </c>
      <c r="T327" s="53"/>
      <c r="U327" s="377" t="s">
        <v>1428</v>
      </c>
      <c r="V327" s="309"/>
      <c r="W327" s="11"/>
      <c r="X327" s="280">
        <f>OBRA!AR326</f>
        <v>988893.95</v>
      </c>
      <c r="Y327" s="309"/>
      <c r="Z327" s="309"/>
      <c r="AA327" s="5"/>
      <c r="AB327" s="313"/>
      <c r="AC327" s="317">
        <f>OBRA!BW326</f>
        <v>0</v>
      </c>
      <c r="AD327" s="352"/>
      <c r="AE327" s="352"/>
    </row>
    <row r="328" spans="1:31" s="104" customFormat="1" ht="15" hidden="1" customHeight="1">
      <c r="A328" s="81" t="s">
        <v>2206</v>
      </c>
      <c r="B328" s="820" t="str">
        <f>GRAL!B329</f>
        <v>2015-2018</v>
      </c>
      <c r="C328" s="82">
        <f>OBRA!J327</f>
        <v>2018</v>
      </c>
      <c r="D328" s="781"/>
      <c r="E328" s="97" t="str">
        <f>OBRA!M327</f>
        <v>Fondo de proyectos para el Desarrollo Regional</v>
      </c>
      <c r="F328" s="479"/>
      <c r="G328" s="354"/>
      <c r="H328" s="96"/>
      <c r="I328" s="354"/>
      <c r="J328" s="151" t="str">
        <f>OBRA!W327</f>
        <v>ING. SERGIO CABRERA</v>
      </c>
      <c r="K328" s="152" t="str">
        <f>OBRA!X327</f>
        <v>ING. J. GUADALUPE IBARRA RAMIREZ</v>
      </c>
      <c r="L328" s="308" t="str">
        <f>OBRA!N327</f>
        <v>GMJ 014C OP/2018</v>
      </c>
      <c r="M328" s="186" t="str">
        <f>OBRA!O327</f>
        <v>CANCELADA</v>
      </c>
      <c r="N328" s="106" t="str">
        <f>OBRA!P327</f>
        <v>CONSTRUCCION DE EMPEDRADO AHOGADO EN CEMENTO, CONSTRUCCION DE HUELLAS DE CONCRETO Y CONSTRUCCION DE GUARNICIÓN DE LA CALLE CUAUHTEMOC, EN LA LOCALIDAD DE POTRERILLOS DEL MUNICIPIO DE JOCOTEPEC, JALISCO.</v>
      </c>
      <c r="O328" s="125"/>
      <c r="P328" s="87">
        <f>OBRA!S327</f>
        <v>43251</v>
      </c>
      <c r="Q328" s="86">
        <f>OBRA!R327</f>
        <v>989000</v>
      </c>
      <c r="R328" s="88">
        <f>OBRA!T327</f>
        <v>43252</v>
      </c>
      <c r="S328" s="89">
        <f>OBRA!U327</f>
        <v>43301</v>
      </c>
      <c r="T328" s="91"/>
      <c r="U328" s="688" t="s">
        <v>1428</v>
      </c>
      <c r="V328" s="311"/>
      <c r="W328" s="89"/>
      <c r="X328" s="828">
        <f>OBRA!AR327</f>
        <v>346150</v>
      </c>
      <c r="Y328" s="311"/>
      <c r="Z328" s="311"/>
      <c r="AA328" s="88"/>
      <c r="AB328" s="1855"/>
      <c r="AC328" s="467">
        <f>OBRA!BW327</f>
        <v>0</v>
      </c>
      <c r="AD328" s="354"/>
      <c r="AE328" s="354"/>
    </row>
    <row r="329" spans="1:31" ht="132" hidden="1" customHeight="1">
      <c r="A329" s="22" t="s">
        <v>2206</v>
      </c>
      <c r="B329" s="809" t="str">
        <f>GRAL!B330</f>
        <v>2015-2018</v>
      </c>
      <c r="C329" s="16">
        <f>OBRA!J328</f>
        <v>2018</v>
      </c>
      <c r="D329" s="1415"/>
      <c r="E329" s="17" t="str">
        <f>OBRA!M328</f>
        <v>RAMO 33</v>
      </c>
      <c r="F329" s="478" t="s">
        <v>1428</v>
      </c>
      <c r="G329" s="502" t="s">
        <v>3675</v>
      </c>
      <c r="H329" s="524" t="s">
        <v>3675</v>
      </c>
      <c r="I329" s="502" t="s">
        <v>3675</v>
      </c>
      <c r="J329" s="54" t="str">
        <f>OBRA!W328</f>
        <v>ING. MACIEL MOZQUEDA GONZALEZ</v>
      </c>
      <c r="K329" s="55" t="str">
        <f>OBRA!X328</f>
        <v>ARQ. CESAR ANTONIO ALONSO JIMENEZ</v>
      </c>
      <c r="L329" s="33" t="str">
        <f>OBRA!N328</f>
        <v>GMJ 015C OP/2018</v>
      </c>
      <c r="M329" s="2" t="str">
        <f>OBRA!O328</f>
        <v>ADJUDICACIÓN DIRECTA</v>
      </c>
      <c r="N329" s="3" t="str">
        <f>OBRA!P328</f>
        <v>REHABILITACION DE LINEA DE DRENAJE EN CALLE CARDENAL DESDE CARRETERA AL PANTEON, CON REPOSICION DE EMPEDRADO NORMAL EN LA LOCALIDAD DE SAN JUAN COSALA, DEL MUNICIPIO DE JOCOTEPEC, JALISCO.</v>
      </c>
      <c r="O329" s="504" t="s">
        <v>3489</v>
      </c>
      <c r="P329" s="67">
        <f>OBRA!S328</f>
        <v>43255</v>
      </c>
      <c r="Q329" s="79">
        <f>OBRA!R328</f>
        <v>398019.86</v>
      </c>
      <c r="R329" s="5">
        <f>OBRA!T328</f>
        <v>43257</v>
      </c>
      <c r="S329" s="11">
        <f>OBRA!U328</f>
        <v>43322</v>
      </c>
      <c r="T329" s="1352" t="s">
        <v>3816</v>
      </c>
      <c r="U329" s="62" t="s">
        <v>1428</v>
      </c>
      <c r="V329" s="499" t="s">
        <v>3675</v>
      </c>
      <c r="W329" s="597" t="s">
        <v>3675</v>
      </c>
      <c r="X329" s="988">
        <f>OBRA!AR328</f>
        <v>78541.47</v>
      </c>
      <c r="Y329" s="309"/>
      <c r="Z329" s="309"/>
      <c r="AA329" s="5"/>
      <c r="AB329" s="313"/>
      <c r="AC329" s="317">
        <f>OBRA!BW328</f>
        <v>0</v>
      </c>
      <c r="AD329" s="352"/>
      <c r="AE329" s="352" t="s">
        <v>551</v>
      </c>
    </row>
    <row r="330" spans="1:31" ht="125.25" hidden="1" customHeight="1">
      <c r="A330" s="22" t="s">
        <v>2206</v>
      </c>
      <c r="B330" s="809" t="str">
        <f>GRAL!B331</f>
        <v>2015-2018</v>
      </c>
      <c r="C330" s="16">
        <f>OBRA!J329</f>
        <v>2018</v>
      </c>
      <c r="D330" s="1415"/>
      <c r="E330" s="17" t="str">
        <f>OBRA!M329</f>
        <v>CUENTA CORRIENTE</v>
      </c>
      <c r="F330" s="478" t="s">
        <v>1428</v>
      </c>
      <c r="G330" s="507"/>
      <c r="H330" s="878"/>
      <c r="I330" s="507"/>
      <c r="J330" s="54" t="str">
        <f>OBRA!W329</f>
        <v>C. NORMA GORETY DOMINGUEZ CALVARIO</v>
      </c>
      <c r="K330" s="55" t="str">
        <f>OBRA!X329</f>
        <v>ING. JUAN MANUEL GARCIA ESCOTO</v>
      </c>
      <c r="L330" s="33" t="str">
        <f>OBRA!N329</f>
        <v>GMJ 016C OP/2018</v>
      </c>
      <c r="M330" s="2" t="str">
        <f>OBRA!O329</f>
        <v>ADJUDICACIÓN DIRECTA</v>
      </c>
      <c r="N330" s="3" t="str">
        <f>OBRA!P329</f>
        <v>OBRAS COMPLEMENTARIAS PARA LA CONSTRUCCION DE LA SUPERFICIE DE RODAMIENTO DE LA CALLE MORELOS PONIENTE ENTRE ZARAGOZA Y PANTEON, EN LA CABECERA MUNICIPAL</v>
      </c>
      <c r="O330" s="504" t="s">
        <v>3489</v>
      </c>
      <c r="P330" s="67">
        <f>OBRA!S329</f>
        <v>43102</v>
      </c>
      <c r="Q330" s="79">
        <f>OBRA!R329</f>
        <v>816694.91</v>
      </c>
      <c r="R330" s="5">
        <f>OBRA!T329</f>
        <v>43104</v>
      </c>
      <c r="S330" s="11">
        <f>OBRA!U329</f>
        <v>43120</v>
      </c>
      <c r="T330" s="207" t="s">
        <v>3815</v>
      </c>
      <c r="U330" s="62" t="s">
        <v>1428</v>
      </c>
      <c r="V330" s="587"/>
      <c r="W330" s="1231"/>
      <c r="X330" s="988">
        <f>OBRA!AR329</f>
        <v>162698.40000000002</v>
      </c>
      <c r="Y330" s="309"/>
      <c r="Z330" s="309"/>
      <c r="AA330" s="5"/>
      <c r="AB330" s="313"/>
      <c r="AC330" s="317">
        <f>OBRA!BW329</f>
        <v>0</v>
      </c>
      <c r="AD330" s="352"/>
      <c r="AE330" s="352"/>
    </row>
    <row r="331" spans="1:31" ht="117.75" hidden="1" customHeight="1">
      <c r="A331" s="22" t="s">
        <v>2206</v>
      </c>
      <c r="B331" s="809" t="str">
        <f>GRAL!B332</f>
        <v>2015-2018</v>
      </c>
      <c r="C331" s="16">
        <f>OBRA!J330</f>
        <v>2018</v>
      </c>
      <c r="D331" s="1415"/>
      <c r="E331" s="17" t="str">
        <f>OBRA!M330</f>
        <v>CUENTA CORRIENTE</v>
      </c>
      <c r="F331" s="478" t="s">
        <v>1428</v>
      </c>
      <c r="G331" s="502" t="s">
        <v>3676</v>
      </c>
      <c r="H331" s="524" t="s">
        <v>3676</v>
      </c>
      <c r="I331" s="502" t="s">
        <v>3676</v>
      </c>
      <c r="J331" s="54" t="str">
        <f>OBRA!W330</f>
        <v>C. JOSÉ MIGUEL GARCIA VALLE</v>
      </c>
      <c r="K331" s="55" t="str">
        <f>OBRA!X330</f>
        <v>ING. JUAN MANUEL GARCIA ESCOTO</v>
      </c>
      <c r="L331" s="33" t="str">
        <f>OBRA!N330</f>
        <v>GMJ 017C OP/2018</v>
      </c>
      <c r="M331" s="2" t="str">
        <f>OBRA!O330</f>
        <v>ADJUDICACIÓN DIRECTA</v>
      </c>
      <c r="N331" s="3" t="str">
        <f>OBRA!P330</f>
        <v>CONSTRUCCION DE MACHUELOS Y BANQUETAS EN LA CALLE MORELOS DE ZARAGOZA AL PANTEON EN LA CABECERA MUNICIPAL, DEL MUNICIPIO DE JOCOTEPEC, JALISCO</v>
      </c>
      <c r="O331" s="504" t="s">
        <v>3489</v>
      </c>
      <c r="P331" s="67">
        <f>OBRA!S330</f>
        <v>43116</v>
      </c>
      <c r="Q331" s="79">
        <f>OBRA!R330</f>
        <v>1079507.02</v>
      </c>
      <c r="R331" s="5">
        <f>OBRA!T330</f>
        <v>43117</v>
      </c>
      <c r="S331" s="11">
        <f>OBRA!U330</f>
        <v>43155</v>
      </c>
      <c r="T331" s="207" t="s">
        <v>3815</v>
      </c>
      <c r="U331" s="62" t="s">
        <v>1428</v>
      </c>
      <c r="V331" s="499" t="s">
        <v>3676</v>
      </c>
      <c r="W331" s="597" t="s">
        <v>3676</v>
      </c>
      <c r="X331" s="988">
        <f>OBRA!AR330</f>
        <v>215901.01</v>
      </c>
      <c r="Y331" s="309"/>
      <c r="Z331" s="309"/>
      <c r="AA331" s="5"/>
      <c r="AB331" s="313"/>
      <c r="AC331" s="317">
        <f>OBRA!BW330</f>
        <v>0</v>
      </c>
      <c r="AD331" s="352"/>
      <c r="AE331" s="352" t="s">
        <v>551</v>
      </c>
    </row>
    <row r="332" spans="1:31" ht="108" hidden="1" customHeight="1">
      <c r="A332" s="22" t="s">
        <v>2206</v>
      </c>
      <c r="B332" s="809" t="str">
        <f>GRAL!B333</f>
        <v>2015-2018</v>
      </c>
      <c r="C332" s="16">
        <f>OBRA!J331</f>
        <v>2018</v>
      </c>
      <c r="D332" s="1415"/>
      <c r="E332" s="17" t="str">
        <f>OBRA!M331</f>
        <v>CUENTA CORRIENTE</v>
      </c>
      <c r="F332" s="478" t="s">
        <v>1428</v>
      </c>
      <c r="G332" s="502" t="s">
        <v>3677</v>
      </c>
      <c r="H332" s="524" t="s">
        <v>3677</v>
      </c>
      <c r="I332" s="502" t="s">
        <v>3677</v>
      </c>
      <c r="J332" s="54" t="str">
        <f>OBRA!W331</f>
        <v>C. NORMA GORETY DOMINGUEZ CALVARIO</v>
      </c>
      <c r="K332" s="55" t="str">
        <f>OBRA!X331</f>
        <v>ING. JUAN MANUEL GARCIA ESCOTO</v>
      </c>
      <c r="L332" s="33" t="str">
        <f>OBRA!N331</f>
        <v>GMJ 018C OP/2018</v>
      </c>
      <c r="M332" s="2" t="str">
        <f>OBRA!O331</f>
        <v>ADJUDICACIÓN DIRECTA</v>
      </c>
      <c r="N332" s="3" t="str">
        <f>OBRA!P331</f>
        <v>REHABILITACION DE IMAGEN URBANA EN CALLE MORELOS PONIENTE ENTRE ZARAGOZA Y PANTEON, EN LA CABECERA MUNICIPAL DEL MUNICIPIO DE JOCOTEPEC, JALISCO</v>
      </c>
      <c r="O332" s="504" t="s">
        <v>3489</v>
      </c>
      <c r="P332" s="67">
        <f>OBRA!S331</f>
        <v>43123</v>
      </c>
      <c r="Q332" s="79">
        <f>OBRA!R331</f>
        <v>550277.97</v>
      </c>
      <c r="R332" s="5">
        <f>OBRA!T331</f>
        <v>43157</v>
      </c>
      <c r="S332" s="11">
        <f>OBRA!U331</f>
        <v>43169</v>
      </c>
      <c r="T332" s="207" t="s">
        <v>3815</v>
      </c>
      <c r="U332" s="62" t="s">
        <v>1428</v>
      </c>
      <c r="V332" s="499" t="s">
        <v>3677</v>
      </c>
      <c r="W332" s="597" t="s">
        <v>3677</v>
      </c>
      <c r="X332" s="988">
        <f>OBRA!AR331</f>
        <v>96019.58</v>
      </c>
      <c r="Y332" s="309"/>
      <c r="Z332" s="309"/>
      <c r="AA332" s="5"/>
      <c r="AB332" s="313"/>
      <c r="AC332" s="317">
        <f>OBRA!BW331</f>
        <v>0</v>
      </c>
      <c r="AD332" s="352"/>
      <c r="AE332" s="352" t="s">
        <v>551</v>
      </c>
    </row>
    <row r="333" spans="1:31" ht="165.75" hidden="1" customHeight="1">
      <c r="A333" s="22" t="s">
        <v>2206</v>
      </c>
      <c r="B333" s="809" t="str">
        <f>GRAL!B334</f>
        <v>2015-2018</v>
      </c>
      <c r="C333" s="16">
        <f>OBRA!J332</f>
        <v>2018</v>
      </c>
      <c r="D333" s="1415"/>
      <c r="E333" s="17" t="str">
        <f>OBRA!M332</f>
        <v>RAMO 33</v>
      </c>
      <c r="F333" s="478" t="s">
        <v>1428</v>
      </c>
      <c r="G333" s="502" t="s">
        <v>3678</v>
      </c>
      <c r="H333" s="524" t="s">
        <v>3678</v>
      </c>
      <c r="I333" s="496" t="s">
        <v>3678</v>
      </c>
      <c r="J333" s="54" t="str">
        <f>OBRA!W332</f>
        <v>C. NORMA GORETY DOMINGUEZ CALVARIO</v>
      </c>
      <c r="K333" s="55" t="str">
        <f>OBRA!X332</f>
        <v>ING. JUAN MANUEL GARCIA ESCOTO</v>
      </c>
      <c r="L333" s="33" t="str">
        <f>OBRA!N332</f>
        <v>GMJ 019C OP/2018</v>
      </c>
      <c r="M333" s="2" t="str">
        <f>OBRA!O332</f>
        <v>ADJUDICACIÓN DIRECTA</v>
      </c>
      <c r="N333" s="3" t="str">
        <f>OBRA!P332</f>
        <v>REHABILITACION DE LINEA DE AGUA POTABLE EN CALLE MORELOS PONIENTE ENTRE ZARAGOZA Y PANTEON CON REPOSICION DE SUPERFICIE DE RODAMIENTO, (OBRAS COMPLEMENTARIAS) EN LA CABECERA MUNICIPAL, DEL MUNICIPIO DE JOCOTEPEC, JALISCO</v>
      </c>
      <c r="O333" s="504" t="s">
        <v>3489</v>
      </c>
      <c r="P333" s="67">
        <f>OBRA!S332</f>
        <v>43105</v>
      </c>
      <c r="Q333" s="79">
        <f>OBRA!R332</f>
        <v>35653.230000000003</v>
      </c>
      <c r="R333" s="5">
        <f>OBRA!T332</f>
        <v>43108</v>
      </c>
      <c r="S333" s="11">
        <f>OBRA!U332</f>
        <v>43120</v>
      </c>
      <c r="T333" s="1352" t="s">
        <v>3816</v>
      </c>
      <c r="U333" s="62" t="s">
        <v>1428</v>
      </c>
      <c r="V333" s="499" t="s">
        <v>3678</v>
      </c>
      <c r="W333" s="597" t="s">
        <v>3678</v>
      </c>
      <c r="X333" s="988">
        <f>OBRA!AR332</f>
        <v>7130.64</v>
      </c>
      <c r="Y333" s="309"/>
      <c r="Z333" s="309"/>
      <c r="AA333" s="5"/>
      <c r="AB333" s="313"/>
      <c r="AC333" s="317">
        <f>OBRA!BW332</f>
        <v>0</v>
      </c>
      <c r="AD333" s="352"/>
      <c r="AE333" s="352" t="s">
        <v>551</v>
      </c>
    </row>
    <row r="334" spans="1:31" ht="140.25" hidden="1" customHeight="1">
      <c r="A334" s="22" t="s">
        <v>2206</v>
      </c>
      <c r="B334" s="809" t="str">
        <f>GRAL!B335</f>
        <v>2015-2018</v>
      </c>
      <c r="C334" s="16">
        <f>OBRA!J333</f>
        <v>2018</v>
      </c>
      <c r="D334" s="1415"/>
      <c r="E334" s="17" t="str">
        <f>OBRA!M333</f>
        <v>RAMO 33</v>
      </c>
      <c r="F334" s="478" t="s">
        <v>1428</v>
      </c>
      <c r="G334" s="502" t="s">
        <v>3679</v>
      </c>
      <c r="H334" s="524" t="s">
        <v>3679</v>
      </c>
      <c r="I334" s="502" t="s">
        <v>3679</v>
      </c>
      <c r="J334" s="54" t="str">
        <f>OBRA!W333</f>
        <v>C. JOSÉ MIGUEL GARCIA VALLE</v>
      </c>
      <c r="K334" s="55" t="str">
        <f>OBRA!X333</f>
        <v>ARQ. JAIME CONDE GOMEZ</v>
      </c>
      <c r="L334" s="33" t="str">
        <f>OBRA!N333</f>
        <v>GMJ 020C OP/2018</v>
      </c>
      <c r="M334" s="2" t="str">
        <f>OBRA!O333</f>
        <v>ADJUDICACIÓN DIRECTA</v>
      </c>
      <c r="N334" s="3" t="str">
        <f>OBRA!P333</f>
        <v>REHABILITACION DE LINEA DE ABASTECIMIENTO DE AGUA POTABLE DE 8" EN LA CALLE VICENTE GUERRERO ENTRE CARRETERA E HIDALGO EN LA LOCALIDAD DE SAN JUAN COSALA DEL MUNICIPIO DE JOCOTEPEC, JALISCO</v>
      </c>
      <c r="O334" s="504" t="s">
        <v>3489</v>
      </c>
      <c r="P334" s="67">
        <f>OBRA!S333</f>
        <v>43258</v>
      </c>
      <c r="Q334" s="79">
        <f>OBRA!R333</f>
        <v>142196.43</v>
      </c>
      <c r="R334" s="5">
        <f>OBRA!T333</f>
        <v>43258</v>
      </c>
      <c r="S334" s="11">
        <f>OBRA!U333</f>
        <v>43287</v>
      </c>
      <c r="T334" s="1352" t="s">
        <v>3816</v>
      </c>
      <c r="U334" s="62" t="s">
        <v>1428</v>
      </c>
      <c r="V334" s="499" t="s">
        <v>3679</v>
      </c>
      <c r="W334" s="597" t="s">
        <v>3679</v>
      </c>
      <c r="X334" s="988">
        <f>OBRA!AR333</f>
        <v>28439.279999999999</v>
      </c>
      <c r="Y334" s="309"/>
      <c r="Z334" s="309"/>
      <c r="AA334" s="5"/>
      <c r="AB334" s="313"/>
      <c r="AC334" s="317">
        <f>OBRA!BW333</f>
        <v>0</v>
      </c>
      <c r="AD334" s="352"/>
      <c r="AE334" s="352" t="s">
        <v>551</v>
      </c>
    </row>
    <row r="335" spans="1:31" ht="110.25" hidden="1" customHeight="1">
      <c r="A335" s="22" t="s">
        <v>2206</v>
      </c>
      <c r="B335" s="809" t="str">
        <f>GRAL!B336</f>
        <v>2015-2018</v>
      </c>
      <c r="C335" s="16">
        <f>OBRA!J334</f>
        <v>2018</v>
      </c>
      <c r="D335" s="1415"/>
      <c r="E335" s="17" t="str">
        <f>OBRA!M334</f>
        <v>RAMO 33</v>
      </c>
      <c r="F335" s="478" t="s">
        <v>1428</v>
      </c>
      <c r="G335" s="507"/>
      <c r="H335" s="878"/>
      <c r="I335" s="507"/>
      <c r="J335" s="54" t="str">
        <f>OBRA!W334</f>
        <v>C. JOSÉ MIGUEL GARCIA VALLE</v>
      </c>
      <c r="K335" s="55" t="str">
        <f>OBRA!X334</f>
        <v>LIC. SALVADOR CONTRERAS OLGUÍN</v>
      </c>
      <c r="L335" s="33" t="str">
        <f>OBRA!N334</f>
        <v>GMJ 021C OP/2018</v>
      </c>
      <c r="M335" s="2" t="str">
        <f>OBRA!O334</f>
        <v>ADJUDICACIÓN DIRECTA</v>
      </c>
      <c r="N335" s="3" t="str">
        <f>OBRA!P334</f>
        <v>REHABILITACION DE LINEA DE AGUA POTABLE EN CALLE INDEPENDENCIA EN LA LOCALIDAD DE SAN JUAN COSALA DEL MUNICIPIO DE JOCOTEPEC, JALISCO.</v>
      </c>
      <c r="O335" s="466" t="s">
        <v>3490</v>
      </c>
      <c r="P335" s="6">
        <f>OBRA!S334</f>
        <v>43258</v>
      </c>
      <c r="Q335" s="4">
        <f>OBRA!R334</f>
        <v>32872.07</v>
      </c>
      <c r="R335" s="5">
        <f>OBRA!T334</f>
        <v>43262</v>
      </c>
      <c r="S335" s="11">
        <f>OBRA!U334</f>
        <v>43267</v>
      </c>
      <c r="T335" s="1352" t="s">
        <v>3816</v>
      </c>
      <c r="U335" s="377" t="s">
        <v>1428</v>
      </c>
      <c r="V335" s="507"/>
      <c r="W335" s="507"/>
      <c r="X335" s="988">
        <f>OBRA!AR334</f>
        <v>6574.41</v>
      </c>
      <c r="Y335" s="309"/>
      <c r="Z335" s="309"/>
      <c r="AA335" s="5"/>
      <c r="AB335" s="313"/>
      <c r="AC335" s="317">
        <f>OBRA!BW334</f>
        <v>0</v>
      </c>
      <c r="AD335" s="352"/>
      <c r="AE335" s="352"/>
    </row>
    <row r="336" spans="1:31" ht="150" hidden="1" customHeight="1">
      <c r="A336" s="22" t="s">
        <v>2206</v>
      </c>
      <c r="B336" s="809" t="str">
        <f>GRAL!B337</f>
        <v>2015-2018</v>
      </c>
      <c r="C336" s="16">
        <f>OBRA!J335</f>
        <v>2018</v>
      </c>
      <c r="D336" s="1415"/>
      <c r="E336" s="17" t="str">
        <f>OBRA!M335</f>
        <v>CUENTA CORRIENTE</v>
      </c>
      <c r="F336" s="478" t="s">
        <v>1428</v>
      </c>
      <c r="G336" s="163"/>
      <c r="H336" s="524" t="s">
        <v>3680</v>
      </c>
      <c r="I336" s="163"/>
      <c r="J336" s="54" t="str">
        <f>OBRA!W335</f>
        <v xml:space="preserve">GRUPO DESARROLLADOR INMOBILIARIO CEMERAMA S.A. DE C.V. </v>
      </c>
      <c r="K336" s="55" t="str">
        <f>OBRA!X335</f>
        <v>ING. JUAN MANUEL GARCIA ESCOTO</v>
      </c>
      <c r="L336" s="33" t="str">
        <f>OBRA!N335</f>
        <v>GMJ 022C OP/2018</v>
      </c>
      <c r="M336" s="2" t="str">
        <f>OBRA!O335</f>
        <v>ADJUDICACIÓN DIRECTA</v>
      </c>
      <c r="N336" s="3" t="str">
        <f>OBRA!P335</f>
        <v>OBRAS COMPLEMENTARIAS EN LA CALLE DONATO GUERRA DE CALLE HIDALGO A CALLE INDEPENDENCIA (URBANIZACIÓN, AGUA POTABLE Y DRENAJE), EN LA CABECERA MUNICIPAL DEL MUNICIPIO DE JOCOTEPEC, JALISCO</v>
      </c>
      <c r="O336" s="466" t="s">
        <v>3490</v>
      </c>
      <c r="P336" s="6">
        <f>OBRA!S335</f>
        <v>43274</v>
      </c>
      <c r="Q336" s="4">
        <f>OBRA!R335</f>
        <v>243028.37</v>
      </c>
      <c r="R336" s="5">
        <f>OBRA!T335</f>
        <v>43274</v>
      </c>
      <c r="S336" s="11">
        <f>OBRA!U335</f>
        <v>43304</v>
      </c>
      <c r="T336" s="207" t="s">
        <v>3815</v>
      </c>
      <c r="U336" s="377" t="s">
        <v>1428</v>
      </c>
      <c r="V336" s="535"/>
      <c r="W336" s="597" t="s">
        <v>3680</v>
      </c>
      <c r="X336" s="988">
        <f>OBRA!AR335</f>
        <v>48605.66</v>
      </c>
      <c r="Y336" s="309"/>
      <c r="Z336" s="309"/>
      <c r="AA336" s="5"/>
      <c r="AB336" s="313"/>
      <c r="AC336" s="317">
        <f>OBRA!BW335</f>
        <v>0</v>
      </c>
      <c r="AD336" s="352"/>
      <c r="AE336" s="352"/>
    </row>
    <row r="337" spans="1:31" ht="198.75" hidden="1" customHeight="1">
      <c r="A337" s="22" t="s">
        <v>2206</v>
      </c>
      <c r="B337" s="809" t="str">
        <f>GRAL!B338</f>
        <v>2015-2018</v>
      </c>
      <c r="C337" s="16">
        <f>OBRA!J336</f>
        <v>2018</v>
      </c>
      <c r="D337" s="1415"/>
      <c r="E337" s="17" t="str">
        <f>OBRA!M336</f>
        <v>CUENTA CORRIENTE</v>
      </c>
      <c r="F337" s="478" t="s">
        <v>1428</v>
      </c>
      <c r="G337" s="507"/>
      <c r="H337" s="878"/>
      <c r="I337" s="163"/>
      <c r="J337" s="54" t="str">
        <f>OBRA!W336</f>
        <v xml:space="preserve">DRABSA CONSTRUCTORA S.A. DE C.V. </v>
      </c>
      <c r="K337" s="55" t="str">
        <f>OBRA!X336</f>
        <v>ING. JUAN MANUEL GARCIA ESCOTO</v>
      </c>
      <c r="L337" s="33" t="str">
        <f>OBRA!N336</f>
        <v>GMJ 023C OP/2018</v>
      </c>
      <c r="M337" s="2" t="str">
        <f>OBRA!O336</f>
        <v>ADJUDICACIÓN DIRECTA</v>
      </c>
      <c r="N337" s="3" t="str">
        <f>OBRA!P336</f>
        <v>CONSTRUCCION DE EMPEDRADO AHOGADO EN CEMENTO CON HUELLA DE ADOQUIN, BANQUETAS Y GUARNICIONES, EN CALLE RAMON CORONA 2DA. ETAPA(DEL CRUCE DEL CALLEJON RAMON CORONA AL PANTEON), EN LA LOCALIDAD DE SAN CRISTOBAL ZAPOTITLAN, DEL MUNICIPIO DE JOCOTEPEC, JALISCO</v>
      </c>
      <c r="O337" s="466" t="s">
        <v>3490</v>
      </c>
      <c r="P337" s="6">
        <f>OBRA!S336</f>
        <v>43300</v>
      </c>
      <c r="Q337" s="4">
        <f>OBRA!R336</f>
        <v>1099823.45</v>
      </c>
      <c r="R337" s="5">
        <f>OBRA!T336</f>
        <v>43300</v>
      </c>
      <c r="S337" s="11">
        <f>OBRA!U336</f>
        <v>43364</v>
      </c>
      <c r="T337" s="207" t="s">
        <v>3815</v>
      </c>
      <c r="U337" s="62" t="s">
        <v>1428</v>
      </c>
      <c r="V337" s="587"/>
      <c r="W337" s="1231"/>
      <c r="X337" s="988">
        <f>OBRA!AR336</f>
        <v>384938.19999999995</v>
      </c>
      <c r="Y337" s="309"/>
      <c r="Z337" s="309"/>
      <c r="AA337" s="5"/>
      <c r="AB337" s="313"/>
      <c r="AC337" s="317">
        <f>OBRA!BW336</f>
        <v>0</v>
      </c>
      <c r="AD337" s="352"/>
      <c r="AE337" s="352"/>
    </row>
    <row r="338" spans="1:31" ht="15" hidden="1" customHeight="1">
      <c r="A338" s="22" t="s">
        <v>2206</v>
      </c>
      <c r="B338" s="809" t="str">
        <f>GRAL!B339</f>
        <v>2015-2018</v>
      </c>
      <c r="C338" s="16">
        <f>OBRA!J337</f>
        <v>2018</v>
      </c>
      <c r="D338" s="1415"/>
      <c r="E338" s="17" t="str">
        <f>OBRA!M337</f>
        <v>FOCOCI</v>
      </c>
      <c r="F338" s="478"/>
      <c r="G338" s="352"/>
      <c r="H338" s="1"/>
      <c r="I338" s="352"/>
      <c r="J338" s="54" t="str">
        <f>OBRA!W337</f>
        <v>DRABSA CONSTRUCTORA S.A. DE C.V.</v>
      </c>
      <c r="K338" s="55" t="str">
        <f>OBRA!X337</f>
        <v>ING. RIGOBERTO OLMEDO RAMOS</v>
      </c>
      <c r="L338" s="19" t="str">
        <f>OBRA!N337</f>
        <v>GMJ 024C OP/2018</v>
      </c>
      <c r="M338" s="2" t="str">
        <f>OBRA!O337</f>
        <v>POR INVITACION RESTRINGIDA</v>
      </c>
      <c r="N338" s="3" t="str">
        <f>OBRA!P337</f>
        <v>REHABILITACION DE IMAGEN URBANA DE CALLE HIDALGO SUR, ENTRE VICENTE GUERRERO Y DONATO GUERRA EN LA CABECERA MUNICIPAL,DEL MUNICIPIO DE JOCOTEPEC, JALISCO</v>
      </c>
      <c r="O338" s="3"/>
      <c r="P338" s="6">
        <f>OBRA!S337</f>
        <v>43307</v>
      </c>
      <c r="Q338" s="4">
        <f>OBRA!R337</f>
        <v>2940000</v>
      </c>
      <c r="R338" s="5">
        <f>OBRA!T337</f>
        <v>43311</v>
      </c>
      <c r="S338" s="11">
        <f>OBRA!U337</f>
        <v>43373</v>
      </c>
      <c r="T338" s="53"/>
      <c r="U338" s="377" t="s">
        <v>1428</v>
      </c>
      <c r="V338" s="309"/>
      <c r="W338" s="11"/>
      <c r="X338" s="279">
        <f>OBRA!AR337</f>
        <v>1029000</v>
      </c>
      <c r="Y338" s="309"/>
      <c r="Z338" s="309"/>
      <c r="AA338" s="5"/>
      <c r="AB338" s="313"/>
      <c r="AC338" s="317">
        <f>OBRA!BW337</f>
        <v>0</v>
      </c>
      <c r="AD338" s="352"/>
      <c r="AE338" s="352"/>
    </row>
    <row r="339" spans="1:31" ht="84" hidden="1" customHeight="1">
      <c r="A339" s="22" t="s">
        <v>2206</v>
      </c>
      <c r="B339" s="809" t="str">
        <f>GRAL!B340</f>
        <v>2015-2018</v>
      </c>
      <c r="C339" s="16">
        <f>OBRA!J338</f>
        <v>2018</v>
      </c>
      <c r="D339" s="1415"/>
      <c r="E339" s="17" t="str">
        <f>OBRA!M338</f>
        <v>RAMO 33</v>
      </c>
      <c r="F339" s="478" t="s">
        <v>1428</v>
      </c>
      <c r="G339" s="502" t="s">
        <v>3681</v>
      </c>
      <c r="H339" s="524" t="s">
        <v>3681</v>
      </c>
      <c r="I339" s="502" t="s">
        <v>3681</v>
      </c>
      <c r="J339" s="54" t="str">
        <f>OBRA!W338</f>
        <v>BIRMEK CONSTRUCCIONES S.A. DE C.V.</v>
      </c>
      <c r="K339" s="55" t="str">
        <f>OBRA!X338</f>
        <v>ING. LUIS RIGOBERTO OLMEDO NAVARRO</v>
      </c>
      <c r="L339" s="33" t="str">
        <f>OBRA!N338</f>
        <v>GMJ 025C OP/2018</v>
      </c>
      <c r="M339" s="2" t="str">
        <f>OBRA!O338</f>
        <v>ADJUDICACIÓN DIRECTA</v>
      </c>
      <c r="N339" s="3" t="str">
        <f>OBRA!P338</f>
        <v>ELECTRIFICACION DE POZO DE PROFUNDO EL DOMINGUILLO EN LA LOCALIDAD DE SAN JUAN COSALA, DEL MUNICIPIO DE JOCOTEPEC, JALISCO</v>
      </c>
      <c r="O339" s="466" t="s">
        <v>3490</v>
      </c>
      <c r="P339" s="67">
        <f>OBRA!S338</f>
        <v>43326</v>
      </c>
      <c r="Q339" s="79">
        <f>OBRA!R338</f>
        <v>452456.16</v>
      </c>
      <c r="R339" s="5">
        <f>OBRA!T338</f>
        <v>43326</v>
      </c>
      <c r="S339" s="11">
        <f>OBRA!U338</f>
        <v>43357</v>
      </c>
      <c r="T339" s="1352" t="s">
        <v>3816</v>
      </c>
      <c r="U339" s="62" t="s">
        <v>1428</v>
      </c>
      <c r="V339" s="466" t="s">
        <v>3681</v>
      </c>
      <c r="W339" s="1295" t="s">
        <v>3681</v>
      </c>
      <c r="X339" s="988">
        <f>OBRA!AR338</f>
        <v>90491.24</v>
      </c>
      <c r="Y339" s="309"/>
      <c r="Z339" s="309"/>
      <c r="AA339" s="5"/>
      <c r="AB339" s="313"/>
      <c r="AC339" s="317">
        <f>OBRA!BW338</f>
        <v>0</v>
      </c>
      <c r="AD339" s="352"/>
      <c r="AE339" s="352" t="s">
        <v>551</v>
      </c>
    </row>
    <row r="340" spans="1:31" ht="82.5" hidden="1" customHeight="1">
      <c r="A340" s="22" t="s">
        <v>2206</v>
      </c>
      <c r="B340" s="809" t="str">
        <f>GRAL!B341</f>
        <v>2015-2018</v>
      </c>
      <c r="C340" s="16">
        <f>OBRA!J339</f>
        <v>2018</v>
      </c>
      <c r="D340" s="1415"/>
      <c r="E340" s="17" t="str">
        <f>OBRA!M339</f>
        <v>RAMO 33</v>
      </c>
      <c r="F340" s="478" t="s">
        <v>1428</v>
      </c>
      <c r="G340" s="502" t="s">
        <v>3682</v>
      </c>
      <c r="H340" s="524" t="s">
        <v>3682</v>
      </c>
      <c r="I340" s="502" t="s">
        <v>3682</v>
      </c>
      <c r="J340" s="54" t="str">
        <f>OBRA!W339</f>
        <v xml:space="preserve">OBRAS Y EQUIPAMIENTOS HIDRAULICOS S.A. DE C.V. </v>
      </c>
      <c r="K340" s="55" t="str">
        <f>OBRA!X339</f>
        <v>ING. LUIS RIGOBERTO OLMEDO NAVARRO</v>
      </c>
      <c r="L340" s="33" t="str">
        <f>OBRA!N339</f>
        <v>GMJ 026C OP/2018</v>
      </c>
      <c r="M340" s="2" t="str">
        <f>OBRA!O339</f>
        <v>ADJUDICACIÓN DIRECTA</v>
      </c>
      <c r="N340" s="3" t="str">
        <f>OBRA!P339</f>
        <v>EQUIPAMIENTO  DE POZO PROFUNDO EL DOMINGUILLO EN LA LOCALIDAD DE SAN JUAN COSALA, DEL MUNICIPIO DE JOCOTEPEC, JALISCO</v>
      </c>
      <c r="O340" s="466" t="s">
        <v>3490</v>
      </c>
      <c r="P340" s="67">
        <f>OBRA!S339</f>
        <v>43326</v>
      </c>
      <c r="Q340" s="79">
        <f>OBRA!R339</f>
        <v>412725.64</v>
      </c>
      <c r="R340" s="5">
        <f>OBRA!T339</f>
        <v>43326</v>
      </c>
      <c r="S340" s="11">
        <f>OBRA!U339</f>
        <v>43357</v>
      </c>
      <c r="T340" s="1352" t="s">
        <v>3816</v>
      </c>
      <c r="U340" s="62" t="s">
        <v>1428</v>
      </c>
      <c r="V340" s="466" t="s">
        <v>3682</v>
      </c>
      <c r="W340" s="1295" t="s">
        <v>3682</v>
      </c>
      <c r="X340" s="988">
        <f>OBRA!AR339</f>
        <v>41242.559999999998</v>
      </c>
      <c r="Y340" s="309"/>
      <c r="Z340" s="309"/>
      <c r="AA340" s="5"/>
      <c r="AB340" s="313"/>
      <c r="AC340" s="317">
        <f>OBRA!BW339</f>
        <v>0</v>
      </c>
      <c r="AD340" s="352"/>
      <c r="AE340" s="352" t="s">
        <v>551</v>
      </c>
    </row>
    <row r="341" spans="1:31" ht="144" hidden="1" customHeight="1">
      <c r="A341" s="22" t="s">
        <v>2206</v>
      </c>
      <c r="B341" s="809" t="str">
        <f>GRAL!B342</f>
        <v>2015-2018</v>
      </c>
      <c r="C341" s="16">
        <f>OBRA!J340</f>
        <v>2018</v>
      </c>
      <c r="D341" s="1415"/>
      <c r="E341" s="17" t="str">
        <f>OBRA!M340</f>
        <v>RAMO 33</v>
      </c>
      <c r="F341" s="478" t="s">
        <v>1428</v>
      </c>
      <c r="G341" s="502" t="s">
        <v>3683</v>
      </c>
      <c r="H341" s="524" t="s">
        <v>3683</v>
      </c>
      <c r="I341" s="502" t="s">
        <v>3683</v>
      </c>
      <c r="J341" s="54" t="str">
        <f>OBRA!W340</f>
        <v>BRAILOGA CONSTRUCTORES S.A. DE C.V.</v>
      </c>
      <c r="K341" s="55" t="str">
        <f>OBRA!X340</f>
        <v>ARQ. CESAR ANTONIO ALONSO JIMENEZ</v>
      </c>
      <c r="L341" s="33" t="str">
        <f>OBRA!N340</f>
        <v>GMJ 027C OP/2018</v>
      </c>
      <c r="M341" s="2" t="str">
        <f>OBRA!O340</f>
        <v>ADJUDICACIÓN DIRECTA</v>
      </c>
      <c r="N341" s="3" t="str">
        <f>OBRA!P340</f>
        <v>REHABILITACION DE LINEA DE DRENAJE EN CALLE XOCHILT DE CARRETERA A C. CUAUHTEMOC, PRIMERA ETAPA CON REPOSICION DE SUPERFICIE DE RODAMIENO EN LA LOCALIDAD DE CHANTEPEC, DEL MUNICIPIO DE JOCOTEPEC, JALISCO</v>
      </c>
      <c r="O341" s="466" t="s">
        <v>3490</v>
      </c>
      <c r="P341" s="67">
        <f>OBRA!S340</f>
        <v>43326</v>
      </c>
      <c r="Q341" s="79">
        <f>OBRA!R340</f>
        <v>732027.5</v>
      </c>
      <c r="R341" s="5">
        <f>OBRA!T340</f>
        <v>43326</v>
      </c>
      <c r="S341" s="11">
        <f>OBRA!U340</f>
        <v>43348</v>
      </c>
      <c r="T341" s="1352" t="s">
        <v>3816</v>
      </c>
      <c r="U341" s="62" t="s">
        <v>1428</v>
      </c>
      <c r="V341" s="466" t="s">
        <v>3683</v>
      </c>
      <c r="W341" s="699" t="s">
        <v>3683</v>
      </c>
      <c r="X341" s="988">
        <f>OBRA!AR340</f>
        <v>327920.73</v>
      </c>
      <c r="Y341" s="309"/>
      <c r="Z341" s="309"/>
      <c r="AA341" s="5"/>
      <c r="AB341" s="313"/>
      <c r="AC341" s="317">
        <f>OBRA!BW340</f>
        <v>0</v>
      </c>
      <c r="AD341" s="352"/>
      <c r="AE341" s="352" t="s">
        <v>551</v>
      </c>
    </row>
    <row r="342" spans="1:31" ht="105.75" hidden="1" customHeight="1">
      <c r="A342" s="22" t="s">
        <v>2206</v>
      </c>
      <c r="B342" s="809" t="str">
        <f>GRAL!B343</f>
        <v>2015-2018</v>
      </c>
      <c r="C342" s="16">
        <f>OBRA!J341</f>
        <v>2018</v>
      </c>
      <c r="D342" s="1415"/>
      <c r="E342" s="17" t="str">
        <f>OBRA!M341</f>
        <v>RAMO 33</v>
      </c>
      <c r="F342" s="478" t="s">
        <v>1428</v>
      </c>
      <c r="G342" s="502" t="s">
        <v>3684</v>
      </c>
      <c r="H342" s="524" t="s">
        <v>3684</v>
      </c>
      <c r="I342" s="502" t="s">
        <v>3684</v>
      </c>
      <c r="J342" s="54" t="str">
        <f>OBRA!W341</f>
        <v xml:space="preserve">GRUPO DESARROLLADOR INMOBILIARIO CEMERAMA S.A. DE C.V. </v>
      </c>
      <c r="K342" s="55" t="str">
        <f>OBRA!X341</f>
        <v>LIC. SALVADOR CONTRERAS OLGUÍN</v>
      </c>
      <c r="L342" s="33" t="str">
        <f>OBRA!N341</f>
        <v>GMJ 028C OP/2018</v>
      </c>
      <c r="M342" s="2" t="str">
        <f>OBRA!O341</f>
        <v>ADJUDICACIÓN DIRECTA</v>
      </c>
      <c r="N342" s="3" t="str">
        <f>OBRA!P341</f>
        <v>CONSTRUCCION DE CASETA DE CONTROL Y CLORACIÓN EN EL POZO EL DOMINGUILLO EN LA LOCALIDAD DE SAN JUAN COSALA, DEL MUNICIPIO DE JOCOTEPEC, JALISCO</v>
      </c>
      <c r="O342" s="466" t="s">
        <v>3490</v>
      </c>
      <c r="P342" s="67">
        <f>OBRA!S341</f>
        <v>43326</v>
      </c>
      <c r="Q342" s="79">
        <f>OBRA!R341</f>
        <v>87399.62</v>
      </c>
      <c r="R342" s="5">
        <f>OBRA!T341</f>
        <v>43333</v>
      </c>
      <c r="S342" s="11">
        <f>OBRA!U341</f>
        <v>43358</v>
      </c>
      <c r="T342" s="1352" t="s">
        <v>3816</v>
      </c>
      <c r="U342" s="62" t="s">
        <v>1428</v>
      </c>
      <c r="V342" s="502" t="s">
        <v>3684</v>
      </c>
      <c r="W342" s="614" t="s">
        <v>3684</v>
      </c>
      <c r="X342" s="988">
        <f>OBRA!AR341</f>
        <v>17479.919999999998</v>
      </c>
      <c r="Y342" s="309"/>
      <c r="Z342" s="309"/>
      <c r="AA342" s="5"/>
      <c r="AB342" s="313"/>
      <c r="AC342" s="317">
        <f>OBRA!BW341</f>
        <v>0</v>
      </c>
      <c r="AD342" s="352"/>
      <c r="AE342" s="352" t="s">
        <v>551</v>
      </c>
    </row>
    <row r="343" spans="1:31" ht="162.75" hidden="1" customHeight="1">
      <c r="A343" s="22" t="s">
        <v>2206</v>
      </c>
      <c r="B343" s="809" t="str">
        <f>GRAL!B344</f>
        <v>2015-2018</v>
      </c>
      <c r="C343" s="16">
        <f>OBRA!J342</f>
        <v>2018</v>
      </c>
      <c r="D343" s="1415"/>
      <c r="E343" s="17" t="str">
        <f>OBRA!M342</f>
        <v>RAMO 33</v>
      </c>
      <c r="F343" s="478" t="s">
        <v>1428</v>
      </c>
      <c r="G343" s="502" t="s">
        <v>3685</v>
      </c>
      <c r="H343" s="524" t="s">
        <v>3685</v>
      </c>
      <c r="I343" s="502" t="s">
        <v>3685</v>
      </c>
      <c r="J343" s="54" t="str">
        <f>OBRA!W342</f>
        <v>BRAILOGA CONSTRUCTORES S.A. DE C.V.</v>
      </c>
      <c r="K343" s="55" t="str">
        <f>OBRA!X342</f>
        <v>ARQ. CESAR ANTONIO ALONSO JIMENEZ</v>
      </c>
      <c r="L343" s="33" t="str">
        <f>OBRA!N342</f>
        <v>GMJ 029C OP/2018</v>
      </c>
      <c r="M343" s="2" t="str">
        <f>OBRA!O342</f>
        <v>ADJUDICACIÓN DIRECTA</v>
      </c>
      <c r="N343" s="3" t="str">
        <f>OBRA!P342</f>
        <v>REHABILITACION DE LINEA DE ABASTECIMIENTO DE AGUA POTABLE DE 4" EN CALLE XOCHILT DE CARRETERA A C. CUAUHTEMOC, PRIMERA ETAPA CON REPOSICION DE SUPERFICIE DE RODAMIENTO EN LA LOCALIDAD DE CHANTEPEC, DEL MUNICIPIO DE JOCOTEPEC, JALISCO</v>
      </c>
      <c r="O343" s="466" t="s">
        <v>3490</v>
      </c>
      <c r="P343" s="67">
        <f>OBRA!S342</f>
        <v>43346</v>
      </c>
      <c r="Q343" s="79">
        <f>OBRA!R342</f>
        <v>458709.95</v>
      </c>
      <c r="R343" s="5">
        <f>OBRA!T342</f>
        <v>43349</v>
      </c>
      <c r="S343" s="11">
        <f>OBRA!U342</f>
        <v>43367</v>
      </c>
      <c r="T343" s="1352" t="s">
        <v>3816</v>
      </c>
      <c r="U343" s="62" t="s">
        <v>1428</v>
      </c>
      <c r="V343" s="466" t="s">
        <v>3685</v>
      </c>
      <c r="W343" s="699" t="s">
        <v>3685</v>
      </c>
      <c r="X343" s="988">
        <f>OBRA!AR342</f>
        <v>207461.57</v>
      </c>
      <c r="Y343" s="309"/>
      <c r="Z343" s="309"/>
      <c r="AA343" s="5"/>
      <c r="AB343" s="313"/>
      <c r="AC343" s="317">
        <f>OBRA!BW342</f>
        <v>0</v>
      </c>
      <c r="AD343" s="352"/>
      <c r="AE343" s="352" t="s">
        <v>551</v>
      </c>
    </row>
    <row r="344" spans="1:31" ht="151.5" hidden="1" customHeight="1">
      <c r="A344" s="22" t="s">
        <v>2206</v>
      </c>
      <c r="B344" s="809" t="str">
        <f>GRAL!B345</f>
        <v>2015-2018</v>
      </c>
      <c r="C344" s="16">
        <f>OBRA!J343</f>
        <v>2018</v>
      </c>
      <c r="D344" s="1415"/>
      <c r="E344" s="17" t="str">
        <f>OBRA!M343</f>
        <v>RAMO 33</v>
      </c>
      <c r="F344" s="478" t="s">
        <v>1428</v>
      </c>
      <c r="G344" s="502" t="s">
        <v>3686</v>
      </c>
      <c r="H344" s="524" t="s">
        <v>3686</v>
      </c>
      <c r="I344" s="502" t="s">
        <v>3686</v>
      </c>
      <c r="J344" s="54" t="str">
        <f>OBRA!W343</f>
        <v>C. JOSÉ MIGUEL GARCIA VALLE</v>
      </c>
      <c r="K344" s="55" t="str">
        <f>OBRA!X343</f>
        <v>ARQ. CESAR ANTONIO ALONSO JIMENEZ</v>
      </c>
      <c r="L344" s="33" t="str">
        <f>OBRA!N343</f>
        <v>GMJ 030C OP/2018</v>
      </c>
      <c r="M344" s="2" t="str">
        <f>OBRA!O343</f>
        <v>ADJUDICACIÓN DIRECTA</v>
      </c>
      <c r="N344" s="3" t="str">
        <f>OBRA!P343</f>
        <v>REHABILITACION DE LINEA DE AGUA POTABLE EN CALLE XOCHILT DE CARRETERA A CALLE CUAUHTEMOC, PRIMERA ETAPA CON REPOSICION DE SUPERFICIE DE RODAMIENTO LA LOCALIDAD DE CHANTEPEC, DEL MUNICIPIO DE JOCOTPEC, JALISCO</v>
      </c>
      <c r="O344" s="466" t="s">
        <v>3490</v>
      </c>
      <c r="P344" s="67">
        <f>OBRA!S343</f>
        <v>43326</v>
      </c>
      <c r="Q344" s="79">
        <f>OBRA!R343</f>
        <v>615855.56999999995</v>
      </c>
      <c r="R344" s="5">
        <f>OBRA!T343</f>
        <v>43326</v>
      </c>
      <c r="S344" s="11">
        <f>OBRA!U343</f>
        <v>43348</v>
      </c>
      <c r="T344" s="1352" t="s">
        <v>3816</v>
      </c>
      <c r="U344" s="62" t="s">
        <v>1428</v>
      </c>
      <c r="V344" s="466" t="s">
        <v>3686</v>
      </c>
      <c r="W344" s="1295" t="s">
        <v>3686</v>
      </c>
      <c r="X344" s="988">
        <f>OBRA!AR343</f>
        <v>277684.53000000003</v>
      </c>
      <c r="Y344" s="309"/>
      <c r="Z344" s="309"/>
      <c r="AA344" s="5"/>
      <c r="AB344" s="313"/>
      <c r="AC344" s="317">
        <f>OBRA!BW343</f>
        <v>0</v>
      </c>
      <c r="AD344" s="352"/>
      <c r="AE344" s="352" t="s">
        <v>551</v>
      </c>
    </row>
    <row r="345" spans="1:31" ht="153.75" hidden="1" customHeight="1">
      <c r="A345" s="22" t="s">
        <v>2206</v>
      </c>
      <c r="B345" s="809" t="str">
        <f>GRAL!B346</f>
        <v>2015-2018</v>
      </c>
      <c r="C345" s="16">
        <f>OBRA!J344</f>
        <v>2018</v>
      </c>
      <c r="D345" s="1415"/>
      <c r="E345" s="17" t="str">
        <f>OBRA!M344</f>
        <v>RAMO 33</v>
      </c>
      <c r="F345" s="478" t="s">
        <v>1428</v>
      </c>
      <c r="G345" s="502" t="s">
        <v>3687</v>
      </c>
      <c r="H345" s="524" t="s">
        <v>3687</v>
      </c>
      <c r="I345" s="163"/>
      <c r="J345" s="54" t="str">
        <f>OBRA!W344</f>
        <v>C. NORMA GORETY DOMINGUEZ CALVARIO</v>
      </c>
      <c r="K345" s="55" t="str">
        <f>OBRA!X344</f>
        <v>ING. JUAN MANUEL GARCIA ESCOTO</v>
      </c>
      <c r="L345" s="33" t="str">
        <f>OBRA!N344</f>
        <v>GMJ 031C OP/2018</v>
      </c>
      <c r="M345" s="2" t="str">
        <f>OBRA!O344</f>
        <v>ADJUDICACIÓN DIRECTA</v>
      </c>
      <c r="N345" s="3" t="str">
        <f>OBRA!P344</f>
        <v>REHABILITACION DE LINEA DE AGUA POTABLE EN CALLE CHURUBUSCO ENTRE CHAPULTEPEC Y CERRADA CON REPOSICION DE EMPEDRADO EXISTENTE EN LA LOCALIDAD DE LA LOMA DEL MUNICIPIO DE JOCOTEPEC, JALISCO</v>
      </c>
      <c r="O345" s="466" t="s">
        <v>3490</v>
      </c>
      <c r="P345" s="6">
        <f>OBRA!S344</f>
        <v>43320</v>
      </c>
      <c r="Q345" s="4">
        <f>OBRA!R344</f>
        <v>413195.74</v>
      </c>
      <c r="R345" s="5">
        <f>OBRA!T344</f>
        <v>43322</v>
      </c>
      <c r="S345" s="11">
        <f>OBRA!U344</f>
        <v>43341</v>
      </c>
      <c r="T345" s="1352" t="s">
        <v>3816</v>
      </c>
      <c r="U345" s="377" t="s">
        <v>1428</v>
      </c>
      <c r="V345" s="466" t="s">
        <v>3687</v>
      </c>
      <c r="W345" s="699" t="s">
        <v>3687</v>
      </c>
      <c r="X345" s="988">
        <f>OBRA!AR344</f>
        <v>82552.760000000009</v>
      </c>
      <c r="Y345" s="309"/>
      <c r="Z345" s="309"/>
      <c r="AA345" s="5"/>
      <c r="AB345" s="313"/>
      <c r="AC345" s="317">
        <f>OBRA!BW344</f>
        <v>0</v>
      </c>
      <c r="AD345" s="352"/>
      <c r="AE345" s="352"/>
    </row>
    <row r="346" spans="1:31" ht="120" hidden="1" customHeight="1">
      <c r="A346" s="22" t="s">
        <v>2206</v>
      </c>
      <c r="B346" s="809" t="str">
        <f>GRAL!B347</f>
        <v>2015-2018</v>
      </c>
      <c r="C346" s="16">
        <f>OBRA!J345</f>
        <v>2018</v>
      </c>
      <c r="D346" s="1415"/>
      <c r="E346" s="17" t="str">
        <f>OBRA!M345</f>
        <v>RAMO 33</v>
      </c>
      <c r="F346" s="478" t="s">
        <v>1428</v>
      </c>
      <c r="G346" s="163"/>
      <c r="H346" s="524" t="s">
        <v>3688</v>
      </c>
      <c r="I346" s="163"/>
      <c r="J346" s="54" t="str">
        <f>OBRA!W345</f>
        <v>ING. SERGIO CABRERA</v>
      </c>
      <c r="K346" s="55" t="str">
        <f>OBRA!X345</f>
        <v>ING. JUAN MANUEL GARCIA ESCOTO</v>
      </c>
      <c r="L346" s="33" t="str">
        <f>OBRA!N345</f>
        <v>GMJ 032C OP/2018</v>
      </c>
      <c r="M346" s="2" t="str">
        <f>OBRA!O345</f>
        <v>ADJUDICACIÓN DIRECTA</v>
      </c>
      <c r="N346" s="3" t="str">
        <f>OBRA!P345</f>
        <v>CONSTRUCCION DE LINEA DE DRENAJE DE 125 ML QUE VA A CONECTAR POR LA PARTE ORIENTE AL FRACCIONAMIENTO PASEO DEL CARDENAL EN SAN JUAN COSALA</v>
      </c>
      <c r="O346" s="466" t="s">
        <v>3490</v>
      </c>
      <c r="P346" s="6">
        <f>OBRA!S345</f>
        <v>43329</v>
      </c>
      <c r="Q346" s="4">
        <f>OBRA!R345</f>
        <v>229200</v>
      </c>
      <c r="R346" s="5">
        <f>OBRA!T345</f>
        <v>43332</v>
      </c>
      <c r="S346" s="11">
        <f>OBRA!U345</f>
        <v>43353</v>
      </c>
      <c r="T346" s="1352" t="s">
        <v>3816</v>
      </c>
      <c r="U346" s="377" t="s">
        <v>1428</v>
      </c>
      <c r="V346" s="466" t="s">
        <v>3688</v>
      </c>
      <c r="W346" s="699" t="s">
        <v>3688</v>
      </c>
      <c r="X346" s="987">
        <f>OBRA!AR345</f>
        <v>57300</v>
      </c>
      <c r="Y346" s="309"/>
      <c r="Z346" s="309"/>
      <c r="AA346" s="5"/>
      <c r="AB346" s="313"/>
      <c r="AC346" s="317">
        <f>OBRA!BW345</f>
        <v>0</v>
      </c>
      <c r="AD346" s="352"/>
      <c r="AE346" s="352"/>
    </row>
    <row r="347" spans="1:31" ht="15" hidden="1" customHeight="1">
      <c r="A347" s="22" t="s">
        <v>2206</v>
      </c>
      <c r="B347" s="809" t="str">
        <f>GRAL!B348</f>
        <v>2018-2021</v>
      </c>
      <c r="C347" s="16">
        <f>OBRA!J346</f>
        <v>2018</v>
      </c>
      <c r="D347" s="1415"/>
      <c r="E347" s="17" t="str">
        <f>OBRA!M346</f>
        <v>RAMO 33</v>
      </c>
      <c r="F347" s="478"/>
      <c r="G347" s="352"/>
      <c r="H347" s="1"/>
      <c r="I347" s="352"/>
      <c r="J347" s="54" t="str">
        <f>OBRA!W346</f>
        <v>N/A</v>
      </c>
      <c r="K347" s="55" t="str">
        <f>OBRA!X346</f>
        <v>ARQ. JAIME CONDE GOMEZ</v>
      </c>
      <c r="L347" s="19" t="str">
        <f>OBRA!N346</f>
        <v>DOP/AD/001/2018</v>
      </c>
      <c r="M347" s="2" t="str">
        <f>OBRA!O346</f>
        <v>ADMINISTRACIÓN DIRECTA</v>
      </c>
      <c r="N347" s="3" t="str">
        <f>OBRA!P346</f>
        <v>"CONSTRUCCIÓN DE LÍNEA DE AGUA POTABLE EN CALLE EL DOMINGUILLO (RED DE ABASTECIMIENTO)", EN LA LOCALIDAD DE SAN JUAN COSALA, DEL MUNICIPIO DE JOCOTEPEC, JALISCO</v>
      </c>
      <c r="O347" s="3"/>
      <c r="P347" s="6">
        <f>OBRA!S346</f>
        <v>43431</v>
      </c>
      <c r="Q347" s="4">
        <f>OBRA!R346</f>
        <v>257552.49</v>
      </c>
      <c r="R347" s="5">
        <f>OBRA!T346</f>
        <v>43431</v>
      </c>
      <c r="S347" s="11">
        <f>OBRA!U346</f>
        <v>43456</v>
      </c>
      <c r="T347" s="53"/>
      <c r="U347" s="377" t="s">
        <v>1428</v>
      </c>
      <c r="V347" s="309"/>
      <c r="W347" s="11"/>
      <c r="X347" s="279">
        <f>OBRA!AR346</f>
        <v>0</v>
      </c>
      <c r="Y347" s="309"/>
      <c r="Z347" s="309"/>
      <c r="AA347" s="5"/>
      <c r="AB347" s="313"/>
      <c r="AC347" s="317">
        <f>OBRA!BW346</f>
        <v>0</v>
      </c>
      <c r="AD347" s="352"/>
      <c r="AE347" s="352"/>
    </row>
    <row r="348" spans="1:31" ht="15" hidden="1" customHeight="1">
      <c r="A348" s="22" t="s">
        <v>2206</v>
      </c>
      <c r="B348" s="809" t="str">
        <f>GRAL!B349</f>
        <v>2018-2021</v>
      </c>
      <c r="C348" s="16">
        <f>OBRA!J347</f>
        <v>2018</v>
      </c>
      <c r="D348" s="1415"/>
      <c r="E348" s="17" t="str">
        <f>OBRA!M347</f>
        <v>RAMO 33</v>
      </c>
      <c r="F348" s="478"/>
      <c r="G348" s="352"/>
      <c r="H348" s="1"/>
      <c r="I348" s="352"/>
      <c r="J348" s="54" t="str">
        <f>OBRA!W347</f>
        <v>N/A</v>
      </c>
      <c r="K348" s="55" t="str">
        <f>OBRA!X347</f>
        <v>ARQ. JAIME CONDE GOMEZ</v>
      </c>
      <c r="L348" s="19" t="str">
        <f>OBRA!N347</f>
        <v>DOP/AD/002/2018</v>
      </c>
      <c r="M348" s="2" t="str">
        <f>OBRA!O347</f>
        <v>ADMINISTRACIÓN DIRECTA</v>
      </c>
      <c r="N348" s="3" t="str">
        <f>OBRA!P347</f>
        <v>"CONSTRUCCIÓN DE LÍNEA DE AGUA POTABLE EN CALLE EL DOMINGUILLO (RED DE DISTRIBUCCIÓN)", EN LA LOCALIDAD DE SAN JUAN COSALA, DEL MUNICIPIO DE JOCOTEPEC, JALISCO</v>
      </c>
      <c r="O348" s="3"/>
      <c r="P348" s="6">
        <f>OBRA!S347</f>
        <v>43434</v>
      </c>
      <c r="Q348" s="4">
        <f>OBRA!R347</f>
        <v>352132.79</v>
      </c>
      <c r="R348" s="5">
        <f>OBRA!T347</f>
        <v>43434</v>
      </c>
      <c r="S348" s="11">
        <f>OBRA!U347</f>
        <v>43456</v>
      </c>
      <c r="T348" s="53"/>
      <c r="U348" s="377" t="s">
        <v>1428</v>
      </c>
      <c r="V348" s="309"/>
      <c r="W348" s="11"/>
      <c r="X348" s="279">
        <f>OBRA!AR347</f>
        <v>0</v>
      </c>
      <c r="Y348" s="309"/>
      <c r="Z348" s="309"/>
      <c r="AA348" s="5"/>
      <c r="AB348" s="313"/>
      <c r="AC348" s="317">
        <f>OBRA!BW347</f>
        <v>0</v>
      </c>
      <c r="AD348" s="352"/>
      <c r="AE348" s="352"/>
    </row>
    <row r="349" spans="1:31" ht="15" hidden="1" customHeight="1">
      <c r="A349" s="22" t="s">
        <v>2206</v>
      </c>
      <c r="B349" s="809" t="str">
        <f>GRAL!B350</f>
        <v>2018-2021</v>
      </c>
      <c r="C349" s="16">
        <f>OBRA!J348</f>
        <v>2018</v>
      </c>
      <c r="D349" s="1415"/>
      <c r="E349" s="17" t="str">
        <f>OBRA!M348</f>
        <v>RAMO 33</v>
      </c>
      <c r="F349" s="478"/>
      <c r="G349" s="352"/>
      <c r="H349" s="1"/>
      <c r="I349" s="352"/>
      <c r="J349" s="54" t="str">
        <f>OBRA!W348</f>
        <v>N/A</v>
      </c>
      <c r="K349" s="55" t="str">
        <f>OBRA!X348</f>
        <v>ARQ. JAIME CONDE GOMEZ</v>
      </c>
      <c r="L349" s="19" t="str">
        <f>OBRA!N348</f>
        <v>DOP/AD/003/2018</v>
      </c>
      <c r="M349" s="2" t="str">
        <f>OBRA!O348</f>
        <v>ADMINISTRACIÓN DIRECTA</v>
      </c>
      <c r="N349" s="3" t="str">
        <f>OBRA!P348</f>
        <v>"REHABILITACIÓN DE RED DE DRENAJE EN CALLE PLAYAS DE LA LAGUNA CON REPOSICIÓN DE EMPEDRADO", EN LA AGENCIA MUNICIPAL DE CHANTEPEC, DEL MUNICIPIO DE JOCOTEPEC, JALISCO</v>
      </c>
      <c r="O349" s="3"/>
      <c r="P349" s="6">
        <f>OBRA!S348</f>
        <v>43449</v>
      </c>
      <c r="Q349" s="4">
        <f>OBRA!R348</f>
        <v>301076.28999999998</v>
      </c>
      <c r="R349" s="5">
        <f>OBRA!T348</f>
        <v>43449</v>
      </c>
      <c r="S349" s="11">
        <f>OBRA!U348</f>
        <v>43465</v>
      </c>
      <c r="T349" s="53"/>
      <c r="U349" s="377" t="s">
        <v>1428</v>
      </c>
      <c r="V349" s="309"/>
      <c r="W349" s="11"/>
      <c r="X349" s="279">
        <f>OBRA!AR348</f>
        <v>0</v>
      </c>
      <c r="Y349" s="309"/>
      <c r="Z349" s="309"/>
      <c r="AA349" s="5"/>
      <c r="AB349" s="313"/>
      <c r="AC349" s="317">
        <f>OBRA!BW348</f>
        <v>0</v>
      </c>
      <c r="AD349" s="352"/>
      <c r="AE349" s="352"/>
    </row>
    <row r="350" spans="1:31" ht="15" hidden="1" customHeight="1">
      <c r="A350" s="22" t="s">
        <v>2206</v>
      </c>
      <c r="B350" s="809" t="str">
        <f>GRAL!B351</f>
        <v>2018-2021</v>
      </c>
      <c r="C350" s="16">
        <f>OBRA!J349</f>
        <v>2018</v>
      </c>
      <c r="D350" s="1415"/>
      <c r="E350" s="17" t="str">
        <f>OBRA!M349</f>
        <v>RAMO 33</v>
      </c>
      <c r="F350" s="478"/>
      <c r="G350" s="352"/>
      <c r="H350" s="1"/>
      <c r="I350" s="352"/>
      <c r="J350" s="54" t="str">
        <f>OBRA!W349</f>
        <v>N/A</v>
      </c>
      <c r="K350" s="55" t="str">
        <f>OBRA!X349</f>
        <v>ARQ. JAIME CONDE GOMEZ</v>
      </c>
      <c r="L350" s="19" t="str">
        <f>OBRA!N349</f>
        <v>DOP/AD/004/2018</v>
      </c>
      <c r="M350" s="2" t="str">
        <f>OBRA!O349</f>
        <v>ADMINISTRACIÓN DIRECTA</v>
      </c>
      <c r="N350" s="3" t="str">
        <f>OBRA!P349</f>
        <v>"REHABILITACIÓN DE LÍNEA DE AGUA POTABLE EN CALLE PLAYAS DE LA LAGUNA CON REPOSICIÓN DE SUPERFICIE DE RODAMIENTO", EN LA AGENCIA MUNICIPAL DE CHANTEPEC, DEL MUNICIPIO DE JOCOTEPEC, JALISCO</v>
      </c>
      <c r="O350" s="3"/>
      <c r="P350" s="6">
        <f>OBRA!S349</f>
        <v>43449</v>
      </c>
      <c r="Q350" s="4">
        <f>OBRA!R349</f>
        <v>212579.41</v>
      </c>
      <c r="R350" s="5">
        <f>OBRA!T349</f>
        <v>43449</v>
      </c>
      <c r="S350" s="11">
        <f>OBRA!U349</f>
        <v>43465</v>
      </c>
      <c r="T350" s="53"/>
      <c r="U350" s="377" t="s">
        <v>1428</v>
      </c>
      <c r="V350" s="309"/>
      <c r="W350" s="11"/>
      <c r="X350" s="279">
        <f>OBRA!AR349</f>
        <v>0</v>
      </c>
      <c r="Y350" s="309"/>
      <c r="Z350" s="309"/>
      <c r="AA350" s="5"/>
      <c r="AB350" s="313"/>
      <c r="AC350" s="317">
        <f>OBRA!BW349</f>
        <v>0</v>
      </c>
      <c r="AD350" s="352"/>
      <c r="AE350" s="352"/>
    </row>
    <row r="351" spans="1:31" ht="15" hidden="1" customHeight="1">
      <c r="A351" s="22" t="s">
        <v>2206</v>
      </c>
      <c r="B351" s="809" t="str">
        <f>GRAL!B352</f>
        <v>2018-2021</v>
      </c>
      <c r="C351" s="16">
        <f>OBRA!J350</f>
        <v>2019</v>
      </c>
      <c r="D351" s="1415"/>
      <c r="E351" s="17" t="str">
        <f>OBRA!M350</f>
        <v>C.E.A.</v>
      </c>
      <c r="F351" s="478"/>
      <c r="G351" s="352"/>
      <c r="H351" s="1"/>
      <c r="I351" s="352"/>
      <c r="J351" s="54" t="str">
        <f>OBRA!W350</f>
        <v>N/A</v>
      </c>
      <c r="K351" s="55" t="str">
        <f>OBRA!X350</f>
        <v>ING. JUAN MANUEL GARCIA ESCOTO</v>
      </c>
      <c r="L351" s="19" t="str">
        <f>OBRA!N350</f>
        <v>CEA-PERF-003/2019</v>
      </c>
      <c r="M351" s="2" t="str">
        <f>OBRA!O350</f>
        <v>CONVENIO</v>
      </c>
      <c r="N351" s="3" t="str">
        <f>OBRA!P350</f>
        <v>PERFORACIÓN DE POZO PROFUNDO PARA AGUA POTABLE EN LA LOCALIDAD DE EL MOLINO, MUNICIPIO DE JOCOTEPEC, JALISCO".</v>
      </c>
      <c r="O351" s="3"/>
      <c r="P351" s="6">
        <f>OBRA!S350</f>
        <v>43689</v>
      </c>
      <c r="Q351" s="4">
        <f>OBRA!R350</f>
        <v>885535.63</v>
      </c>
      <c r="R351" s="5">
        <f>OBRA!T350</f>
        <v>43690</v>
      </c>
      <c r="S351" s="11">
        <f>OBRA!U350</f>
        <v>43812</v>
      </c>
      <c r="T351" s="53"/>
      <c r="U351" s="377" t="s">
        <v>1428</v>
      </c>
      <c r="V351" s="309"/>
      <c r="W351" s="11"/>
      <c r="X351" s="279">
        <f>OBRA!AR350</f>
        <v>0</v>
      </c>
      <c r="Y351" s="309"/>
      <c r="Z351" s="309"/>
      <c r="AA351" s="5"/>
      <c r="AB351" s="313"/>
      <c r="AC351" s="317">
        <f>OBRA!BW350</f>
        <v>0</v>
      </c>
      <c r="AD351" s="352"/>
      <c r="AE351" s="352"/>
    </row>
    <row r="352" spans="1:31" ht="15" hidden="1" customHeight="1">
      <c r="A352" s="22" t="s">
        <v>2206</v>
      </c>
      <c r="B352" s="809" t="str">
        <f>GRAL!B353</f>
        <v>2018-2021</v>
      </c>
      <c r="C352" s="16">
        <f>OBRA!J351</f>
        <v>2019</v>
      </c>
      <c r="D352" s="1415"/>
      <c r="E352" s="17" t="str">
        <f>OBRA!M351</f>
        <v>P.I.D.</v>
      </c>
      <c r="F352" s="478"/>
      <c r="G352" s="352"/>
      <c r="H352" s="1"/>
      <c r="I352" s="352"/>
      <c r="J352" s="54" t="str">
        <f>OBRA!W351</f>
        <v>N/A</v>
      </c>
      <c r="K352" s="55" t="str">
        <f>OBRA!X351</f>
        <v>-</v>
      </c>
      <c r="L352" s="19" t="str">
        <f>OBRA!N351</f>
        <v>CONVENIO JOCOTEPEC PID 2019</v>
      </c>
      <c r="M352" s="2" t="str">
        <f>OBRA!O351</f>
        <v>CONVENIO</v>
      </c>
      <c r="N352" s="3" t="str">
        <f>OBRA!P351</f>
        <v>ESTABLECIMIENTO DE DOS PUNTOS INOCUOS DE DESEMBARQUE (PID)"</v>
      </c>
      <c r="O352" s="3"/>
      <c r="P352" s="6">
        <f>OBRA!S351</f>
        <v>43677</v>
      </c>
      <c r="Q352" s="4">
        <f>OBRA!R351</f>
        <v>2551506.64</v>
      </c>
      <c r="R352" s="5">
        <f>OBRA!T351</f>
        <v>43677</v>
      </c>
      <c r="S352" s="11">
        <f>OBRA!U351</f>
        <v>43830</v>
      </c>
      <c r="T352" s="53"/>
      <c r="U352" s="377" t="s">
        <v>1428</v>
      </c>
      <c r="V352" s="309"/>
      <c r="W352" s="11"/>
      <c r="X352" s="279">
        <f>OBRA!AR351</f>
        <v>0</v>
      </c>
      <c r="Y352" s="309"/>
      <c r="Z352" s="309"/>
      <c r="AA352" s="5"/>
      <c r="AB352" s="313"/>
      <c r="AC352" s="317">
        <f>OBRA!BW351</f>
        <v>0</v>
      </c>
      <c r="AD352" s="352"/>
      <c r="AE352" s="352"/>
    </row>
    <row r="353" spans="1:31" ht="15" hidden="1" customHeight="1">
      <c r="A353" s="22" t="s">
        <v>2206</v>
      </c>
      <c r="B353" s="809" t="str">
        <f>GRAL!B354</f>
        <v>2018-2021</v>
      </c>
      <c r="C353" s="16">
        <f>OBRA!J352</f>
        <v>2019</v>
      </c>
      <c r="D353" s="1415"/>
      <c r="E353" s="17" t="str">
        <f>OBRA!M352</f>
        <v>RASTRO DIGNO / CTA-CTE</v>
      </c>
      <c r="F353" s="478"/>
      <c r="G353" s="352"/>
      <c r="H353" s="1"/>
      <c r="I353" s="352"/>
      <c r="J353" s="54" t="str">
        <f>OBRA!W352</f>
        <v>N/A</v>
      </c>
      <c r="K353" s="55" t="str">
        <f>OBRA!X352</f>
        <v>ARQ. JAIME CONDE GOMEZ</v>
      </c>
      <c r="L353" s="19" t="str">
        <f>OBRA!N352</f>
        <v>CONVENIO RASTRO DIGNO 2019</v>
      </c>
      <c r="M353" s="2" t="str">
        <f>OBRA!O352</f>
        <v>CONVENIO</v>
      </c>
      <c r="N353" s="3" t="str">
        <f>OBRA!P352</f>
        <v>PROGRAMA DE MEJORAMIENTO DE INSTALACIONES DE SACRIFICIO DE GANADO "RASTRO DIGNO" EJERCICIO FISCAL 2019</v>
      </c>
      <c r="O353" s="3"/>
      <c r="P353" s="6">
        <f>OBRA!S352</f>
        <v>43687</v>
      </c>
      <c r="Q353" s="4">
        <f>OBRA!R352</f>
        <v>4496816.92</v>
      </c>
      <c r="R353" s="5" t="str">
        <f>OBRA!T352</f>
        <v>-</v>
      </c>
      <c r="S353" s="11">
        <f>OBRA!U352</f>
        <v>43830</v>
      </c>
      <c r="T353" s="53"/>
      <c r="U353" s="377" t="s">
        <v>1428</v>
      </c>
      <c r="V353" s="309"/>
      <c r="W353" s="11"/>
      <c r="X353" s="279">
        <f>OBRA!AR352</f>
        <v>0</v>
      </c>
      <c r="Y353" s="309"/>
      <c r="Z353" s="309"/>
      <c r="AA353" s="5"/>
      <c r="AB353" s="313"/>
      <c r="AC353" s="317">
        <f>OBRA!BW352</f>
        <v>0</v>
      </c>
      <c r="AD353" s="352"/>
      <c r="AE353" s="352"/>
    </row>
    <row r="354" spans="1:31" ht="15" hidden="1" customHeight="1">
      <c r="A354" s="22" t="s">
        <v>2206</v>
      </c>
      <c r="B354" s="809" t="str">
        <f>GRAL!B355</f>
        <v>2018-2021</v>
      </c>
      <c r="C354" s="16">
        <f>OBRA!J353</f>
        <v>2019</v>
      </c>
      <c r="D354" s="1415"/>
      <c r="E354" s="17" t="str">
        <f>OBRA!M353</f>
        <v>CUENTA CORRIENTE</v>
      </c>
      <c r="F354" s="478"/>
      <c r="G354" s="352"/>
      <c r="H354" s="1"/>
      <c r="I354" s="352"/>
      <c r="J354" s="54" t="str">
        <f>OBRA!W353</f>
        <v>N/A</v>
      </c>
      <c r="K354" s="55" t="str">
        <f>OBRA!X353</f>
        <v>ING. RIGOBERTO OLMEDO RAMOS</v>
      </c>
      <c r="L354" s="19" t="str">
        <f>OBRA!N353</f>
        <v>DOP/AD/001/2019</v>
      </c>
      <c r="M354" s="2" t="str">
        <f>OBRA!O353</f>
        <v>ADMINISTRACIÓN DIRECTA</v>
      </c>
      <c r="N354" s="3" t="str">
        <f>OBRA!P353</f>
        <v>DEMOLICIÓN DE UN BIEN INMUEBLE UBICADO EN LA CALLE PEDRO MORENO NORTE NÚMERO 183, CRUCE CON CALLE LIBERTAD Y AVENIDA DE LOS MAESTROS CONOCIDO COMO UBR "UNIDAD BÁSICA DE REHABILITACIÓN" EN LA CABECERA MUNICIPAL DE JOCOTEPEC, JALISCO.</v>
      </c>
      <c r="O354" s="3"/>
      <c r="P354" s="6">
        <f>OBRA!S353</f>
        <v>43524</v>
      </c>
      <c r="Q354" s="4">
        <f>OBRA!R353</f>
        <v>250000</v>
      </c>
      <c r="R354" s="5">
        <f>OBRA!T353</f>
        <v>43529</v>
      </c>
      <c r="S354" s="11">
        <f>OBRA!U353</f>
        <v>43555</v>
      </c>
      <c r="T354" s="53"/>
      <c r="U354" s="377" t="s">
        <v>1428</v>
      </c>
      <c r="V354" s="309"/>
      <c r="W354" s="11"/>
      <c r="X354" s="279">
        <f>OBRA!AR353</f>
        <v>0</v>
      </c>
      <c r="Y354" s="309"/>
      <c r="Z354" s="309"/>
      <c r="AA354" s="5"/>
      <c r="AB354" s="313"/>
      <c r="AC354" s="317">
        <f>OBRA!BW353</f>
        <v>0</v>
      </c>
      <c r="AD354" s="352"/>
      <c r="AE354" s="352"/>
    </row>
    <row r="355" spans="1:31" s="104" customFormat="1" ht="15" hidden="1" customHeight="1">
      <c r="A355" s="81" t="s">
        <v>2206</v>
      </c>
      <c r="B355" s="820" t="str">
        <f>GRAL!B356</f>
        <v>2018-2021</v>
      </c>
      <c r="C355" s="82">
        <f>OBRA!J354</f>
        <v>2019</v>
      </c>
      <c r="D355" s="781"/>
      <c r="E355" s="97" t="str">
        <f>OBRA!M354</f>
        <v>CUENTA CORRIENTE</v>
      </c>
      <c r="F355" s="479"/>
      <c r="G355" s="354"/>
      <c r="H355" s="96"/>
      <c r="I355" s="354"/>
      <c r="J355" s="151" t="str">
        <f>OBRA!W354</f>
        <v>-</v>
      </c>
      <c r="K355" s="152" t="str">
        <f>OBRA!X354</f>
        <v>LIC. SALVADOR CONTRERAS OLGUÍN</v>
      </c>
      <c r="L355" s="84" t="str">
        <f>OBRA!N354</f>
        <v>DOP/AD/002/2019</v>
      </c>
      <c r="M355" s="85" t="str">
        <f>OBRA!O354</f>
        <v>CANCELADA</v>
      </c>
      <c r="N355" s="125" t="str">
        <f>OBRA!P354</f>
        <v>"CONSERVACIÓN Y MANTENIMIENTO DE HUELLAS DE ADOQUÍN EN CALLE MATAMOROS SUR DE C. DONATO GUERRA A HOSPITAL DE URGENCIAS" EN LA CABECERA MUNICIPAL DE JOCOTEPEPC, JALISCO"</v>
      </c>
      <c r="O355" s="125"/>
      <c r="P355" s="87" t="str">
        <f>OBRA!S354</f>
        <v>-</v>
      </c>
      <c r="Q355" s="86">
        <f>OBRA!R354</f>
        <v>75251.929999999993</v>
      </c>
      <c r="R355" s="88" t="str">
        <f>OBRA!T354</f>
        <v>-</v>
      </c>
      <c r="S355" s="89" t="str">
        <f>OBRA!U354</f>
        <v>-</v>
      </c>
      <c r="T355" s="91"/>
      <c r="U355" s="688" t="s">
        <v>1428</v>
      </c>
      <c r="V355" s="311"/>
      <c r="W355" s="89"/>
      <c r="X355" s="284">
        <f>OBRA!AR354</f>
        <v>0</v>
      </c>
      <c r="Y355" s="311"/>
      <c r="Z355" s="311"/>
      <c r="AA355" s="88"/>
      <c r="AB355" s="1855"/>
      <c r="AC355" s="467" t="str">
        <f>OBRA!BW354</f>
        <v>-</v>
      </c>
      <c r="AD355" s="354"/>
      <c r="AE355" s="354"/>
    </row>
    <row r="356" spans="1:31" s="104" customFormat="1" ht="15" hidden="1" customHeight="1">
      <c r="A356" s="81" t="s">
        <v>2206</v>
      </c>
      <c r="B356" s="820" t="str">
        <f>GRAL!B357</f>
        <v>2018-2021</v>
      </c>
      <c r="C356" s="82">
        <f>OBRA!J355</f>
        <v>2019</v>
      </c>
      <c r="D356" s="781"/>
      <c r="E356" s="97" t="str">
        <f>OBRA!M355</f>
        <v>CUENTA CORRIENTE</v>
      </c>
      <c r="F356" s="479"/>
      <c r="G356" s="354"/>
      <c r="H356" s="96"/>
      <c r="I356" s="354"/>
      <c r="J356" s="151" t="str">
        <f>OBRA!W355</f>
        <v>-</v>
      </c>
      <c r="K356" s="152" t="str">
        <f>OBRA!X355</f>
        <v>LIC. SALVADOR CONTRERAS OLGUÍN</v>
      </c>
      <c r="L356" s="84" t="str">
        <f>OBRA!N355</f>
        <v>DOP/AD/003/2019</v>
      </c>
      <c r="M356" s="85" t="str">
        <f>OBRA!O355</f>
        <v>CANCELADA</v>
      </c>
      <c r="N356" s="125" t="str">
        <f>OBRA!P355</f>
        <v>CONSERVACIÓN Y MANTENIMIENTO INCLUYENTE DE BANQUETA Y ACCESO HOSPITAL DE URGENCIAS" EN LA CABECERA MUNICIPAL DE JOCOTEPEC, JALISCO</v>
      </c>
      <c r="O356" s="125"/>
      <c r="P356" s="87" t="str">
        <f>OBRA!S355</f>
        <v>-</v>
      </c>
      <c r="Q356" s="86">
        <f>OBRA!R355</f>
        <v>140710.85999999999</v>
      </c>
      <c r="R356" s="88" t="str">
        <f>OBRA!T355</f>
        <v>-</v>
      </c>
      <c r="S356" s="89" t="str">
        <f>OBRA!U355</f>
        <v>-</v>
      </c>
      <c r="T356" s="91"/>
      <c r="U356" s="688" t="s">
        <v>1428</v>
      </c>
      <c r="V356" s="311"/>
      <c r="W356" s="89"/>
      <c r="X356" s="284">
        <f>OBRA!AR355</f>
        <v>0</v>
      </c>
      <c r="Y356" s="311"/>
      <c r="Z356" s="311"/>
      <c r="AA356" s="88"/>
      <c r="AB356" s="1855"/>
      <c r="AC356" s="467" t="str">
        <f>OBRA!BW355</f>
        <v>-</v>
      </c>
      <c r="AD356" s="354"/>
      <c r="AE356" s="354"/>
    </row>
    <row r="357" spans="1:31" ht="15" hidden="1" customHeight="1">
      <c r="A357" s="22" t="s">
        <v>2206</v>
      </c>
      <c r="B357" s="809" t="str">
        <f>GRAL!B358</f>
        <v>2018-2021</v>
      </c>
      <c r="C357" s="16">
        <f>OBRA!J356</f>
        <v>2019</v>
      </c>
      <c r="D357" s="1415"/>
      <c r="E357" s="17" t="str">
        <f>OBRA!M356</f>
        <v>CUENTA CORRIENTE</v>
      </c>
      <c r="F357" s="478"/>
      <c r="G357" s="352"/>
      <c r="H357" s="1"/>
      <c r="I357" s="352"/>
      <c r="J357" s="54" t="str">
        <f>OBRA!W356</f>
        <v>N/A</v>
      </c>
      <c r="K357" s="55" t="str">
        <f>OBRA!X356</f>
        <v>LIC. SALVADOR CONTRERAS OLGUÍN</v>
      </c>
      <c r="L357" s="19" t="str">
        <f>OBRA!N356</f>
        <v>DOP/AD/004/2019</v>
      </c>
      <c r="M357" s="2" t="str">
        <f>OBRA!O356</f>
        <v>ADMINISTRACIÓN DIRECTA</v>
      </c>
      <c r="N357" s="3" t="str">
        <f>OBRA!P356</f>
        <v>CONSTRUCCIÓN DE RAMPAS INCLUYENTES EN LA DELEGACIÓN, DE SAN JUAN COSALA" DE LA CABECERA MUNICIPAL DE JOCOTEPEC, JALISCO.</v>
      </c>
      <c r="O357" s="3"/>
      <c r="P357" s="6">
        <f>OBRA!S356</f>
        <v>43588</v>
      </c>
      <c r="Q357" s="4">
        <f>OBRA!R356</f>
        <v>22876.2</v>
      </c>
      <c r="R357" s="5">
        <f>OBRA!T356</f>
        <v>43592</v>
      </c>
      <c r="S357" s="11">
        <f>OBRA!U356</f>
        <v>43623</v>
      </c>
      <c r="T357" s="53"/>
      <c r="U357" s="377" t="s">
        <v>1428</v>
      </c>
      <c r="V357" s="309"/>
      <c r="W357" s="11"/>
      <c r="X357" s="279">
        <f>OBRA!AR356</f>
        <v>0</v>
      </c>
      <c r="Y357" s="309"/>
      <c r="Z357" s="309"/>
      <c r="AA357" s="5"/>
      <c r="AB357" s="313"/>
      <c r="AC357" s="317">
        <f>OBRA!BW356</f>
        <v>0</v>
      </c>
      <c r="AD357" s="352"/>
      <c r="AE357" s="352"/>
    </row>
    <row r="358" spans="1:31" ht="15" hidden="1" customHeight="1">
      <c r="A358" s="22" t="s">
        <v>2206</v>
      </c>
      <c r="B358" s="809" t="str">
        <f>GRAL!B359</f>
        <v>2018-2021</v>
      </c>
      <c r="C358" s="16">
        <f>OBRA!J357</f>
        <v>2019</v>
      </c>
      <c r="D358" s="1415"/>
      <c r="E358" s="17" t="str">
        <f>OBRA!M357</f>
        <v>CUENTA CORRIENTE</v>
      </c>
      <c r="F358" s="478"/>
      <c r="G358" s="352"/>
      <c r="H358" s="1"/>
      <c r="I358" s="352"/>
      <c r="J358" s="54" t="str">
        <f>OBRA!W357</f>
        <v>N/A</v>
      </c>
      <c r="K358" s="55" t="str">
        <f>OBRA!X357</f>
        <v>LIC. SALVADOR CONTRERAS OLGUÍN</v>
      </c>
      <c r="L358" s="19" t="str">
        <f>OBRA!N357</f>
        <v>DOP/AD/005/2019</v>
      </c>
      <c r="M358" s="2" t="str">
        <f>OBRA!O357</f>
        <v>ADMINISTRACIÓN DIRECTA</v>
      </c>
      <c r="N358" s="3" t="str">
        <f>OBRA!P357</f>
        <v>CONSTRUCCIÓN DE ASTA DE BANDERA DE 10 MTS DE ALURA EN LA PLAZA PRINCIPAL" EN LA DELEGACIÓN DE SAN JUAN COSALA, DE LA CABECERA MUNICIPAL DE JOCOTEPEC, JALISCO.</v>
      </c>
      <c r="O358" s="3"/>
      <c r="P358" s="6">
        <f>OBRA!S357</f>
        <v>43588</v>
      </c>
      <c r="Q358" s="4">
        <f>OBRA!R357</f>
        <v>18491.009999999998</v>
      </c>
      <c r="R358" s="5">
        <f>OBRA!T357</f>
        <v>43592</v>
      </c>
      <c r="S358" s="11">
        <f>OBRA!U357</f>
        <v>43623</v>
      </c>
      <c r="T358" s="53"/>
      <c r="U358" s="377" t="s">
        <v>1428</v>
      </c>
      <c r="V358" s="309"/>
      <c r="W358" s="11"/>
      <c r="X358" s="279">
        <f>OBRA!AR357</f>
        <v>0</v>
      </c>
      <c r="Y358" s="309"/>
      <c r="Z358" s="309"/>
      <c r="AA358" s="5"/>
      <c r="AB358" s="313"/>
      <c r="AC358" s="317">
        <f>OBRA!BW357</f>
        <v>0</v>
      </c>
      <c r="AD358" s="352"/>
      <c r="AE358" s="352"/>
    </row>
    <row r="359" spans="1:31" ht="15" hidden="1" customHeight="1">
      <c r="A359" s="22" t="s">
        <v>2206</v>
      </c>
      <c r="B359" s="809" t="str">
        <f>GRAL!B360</f>
        <v>2018-2021</v>
      </c>
      <c r="C359" s="16">
        <f>OBRA!J358</f>
        <v>2019</v>
      </c>
      <c r="D359" s="1415"/>
      <c r="E359" s="17" t="str">
        <f>OBRA!M358</f>
        <v>CUENTA CORRIENTE</v>
      </c>
      <c r="F359" s="478"/>
      <c r="G359" s="352"/>
      <c r="H359" s="1"/>
      <c r="I359" s="352"/>
      <c r="J359" s="54" t="str">
        <f>OBRA!W358</f>
        <v>N/A</v>
      </c>
      <c r="K359" s="55" t="str">
        <f>OBRA!X358</f>
        <v>LIC. SALVADOR CONTRERAS OLGUÍN</v>
      </c>
      <c r="L359" s="19" t="str">
        <f>OBRA!N358</f>
        <v>DOP/AD/006/2019</v>
      </c>
      <c r="M359" s="2" t="str">
        <f>OBRA!O358</f>
        <v>ADMINISTRACIÓN DIRECTA</v>
      </c>
      <c r="N359" s="3" t="str">
        <f>OBRA!P358</f>
        <v>"FABRICACIÓN DE APLANADO EN MURO PONIENTE DE LA PLAZA PRINCIPAL" EN LA DELEGACIÓN, DE SAN JUAN COSALA, DE LA CABECERA MUNICIPAL DE JOCOTEPEC, JALISCO</v>
      </c>
      <c r="O359" s="3"/>
      <c r="P359" s="6">
        <f>OBRA!S358</f>
        <v>43588</v>
      </c>
      <c r="Q359" s="4">
        <f>OBRA!R358</f>
        <v>13050.14</v>
      </c>
      <c r="R359" s="5">
        <f>OBRA!T358</f>
        <v>43592</v>
      </c>
      <c r="S359" s="11">
        <f>OBRA!U358</f>
        <v>43623</v>
      </c>
      <c r="T359" s="53"/>
      <c r="U359" s="377" t="s">
        <v>1428</v>
      </c>
      <c r="V359" s="309"/>
      <c r="W359" s="11"/>
      <c r="X359" s="279">
        <f>OBRA!AR358</f>
        <v>0</v>
      </c>
      <c r="Y359" s="309"/>
      <c r="Z359" s="309"/>
      <c r="AA359" s="5"/>
      <c r="AB359" s="313"/>
      <c r="AC359" s="317">
        <f>OBRA!BW358</f>
        <v>0</v>
      </c>
      <c r="AD359" s="352"/>
      <c r="AE359" s="352"/>
    </row>
    <row r="360" spans="1:31" ht="15" hidden="1" customHeight="1">
      <c r="A360" s="22" t="s">
        <v>2206</v>
      </c>
      <c r="B360" s="809" t="str">
        <f>GRAL!B361</f>
        <v>2018-2021</v>
      </c>
      <c r="C360" s="16">
        <f>OBRA!J359</f>
        <v>2019</v>
      </c>
      <c r="D360" s="1415"/>
      <c r="E360" s="17" t="str">
        <f>OBRA!M359</f>
        <v>CUENTA CORRIENTE</v>
      </c>
      <c r="F360" s="478"/>
      <c r="G360" s="352"/>
      <c r="H360" s="1"/>
      <c r="I360" s="352"/>
      <c r="J360" s="54" t="str">
        <f>OBRA!W359</f>
        <v>N/A</v>
      </c>
      <c r="K360" s="55" t="str">
        <f>OBRA!X359</f>
        <v>ING. LUIS RIGOBERTO OLMEDO NAVARRO</v>
      </c>
      <c r="L360" s="19" t="str">
        <f>OBRA!N359</f>
        <v>DOP/AD/007/2019</v>
      </c>
      <c r="M360" s="2" t="str">
        <f>OBRA!O359</f>
        <v>ADMINISTRACIÓN DIRECTA</v>
      </c>
      <c r="N360" s="3" t="str">
        <f>OBRA!P359</f>
        <v>"MANTENIMIENTO Y CONSERVACIÓN CON MAQUINARIA PESADA DE CALLES Y CAMINOS EN LAS AGENCIAS, DELEGACIONES Y CABECERA DEL MUNICIPIO DE JOCOTEPEC, JALISCO"</v>
      </c>
      <c r="O360" s="3"/>
      <c r="P360" s="6">
        <f>OBRA!S359</f>
        <v>43647</v>
      </c>
      <c r="Q360" s="4">
        <f>OBRA!R359</f>
        <v>200000</v>
      </c>
      <c r="R360" s="5">
        <f>OBRA!T359</f>
        <v>43647</v>
      </c>
      <c r="S360" s="11">
        <f>OBRA!U359</f>
        <v>43830</v>
      </c>
      <c r="T360" s="53"/>
      <c r="U360" s="377" t="s">
        <v>1428</v>
      </c>
      <c r="V360" s="309"/>
      <c r="W360" s="11"/>
      <c r="X360" s="279">
        <f>OBRA!AR359</f>
        <v>0</v>
      </c>
      <c r="Y360" s="309"/>
      <c r="Z360" s="309"/>
      <c r="AA360" s="5"/>
      <c r="AB360" s="313"/>
      <c r="AC360" s="317">
        <f>OBRA!BW359</f>
        <v>0</v>
      </c>
      <c r="AD360" s="352"/>
      <c r="AE360" s="352"/>
    </row>
    <row r="361" spans="1:31" ht="15" hidden="1" customHeight="1">
      <c r="A361" s="22" t="s">
        <v>2206</v>
      </c>
      <c r="B361" s="809" t="str">
        <f>GRAL!B362</f>
        <v>2018-2021</v>
      </c>
      <c r="C361" s="16">
        <f>OBRA!J360</f>
        <v>2019</v>
      </c>
      <c r="D361" s="1415"/>
      <c r="E361" s="17" t="str">
        <f>OBRA!M360</f>
        <v>CEA / CUENTA CORRIENTE</v>
      </c>
      <c r="F361" s="478"/>
      <c r="G361" s="352"/>
      <c r="H361" s="1"/>
      <c r="I361" s="352"/>
      <c r="J361" s="54" t="str">
        <f>OBRA!W360</f>
        <v>N/A</v>
      </c>
      <c r="K361" s="55" t="str">
        <f>OBRA!X360</f>
        <v>ING. JUAN MANUEL GARCIA ESCOTO</v>
      </c>
      <c r="L361" s="19" t="str">
        <f>OBRA!N360</f>
        <v>DOP/AD/008/2019</v>
      </c>
      <c r="M361" s="2" t="str">
        <f>OBRA!O360</f>
        <v>ADMINISTRACIÓN DIRECTA</v>
      </c>
      <c r="N361" s="3" t="str">
        <f>OBRA!P360</f>
        <v>"LA COMPRA DE MATERIALES E INSUMOS NECESARIOS" PARA LA PERFORACIÓN DE POZO PROFUNDO EN LA AGENCIA MUNICIPAL DE EL MOLINO, DEL MUNICIPIO DE JOCOTEPEC, JALISCO.</v>
      </c>
      <c r="O361" s="3"/>
      <c r="P361" s="6">
        <f>OBRA!S360</f>
        <v>43683</v>
      </c>
      <c r="Q361" s="4">
        <f>OBRA!R360</f>
        <v>800000</v>
      </c>
      <c r="R361" s="5">
        <f>OBRA!T360</f>
        <v>43689</v>
      </c>
      <c r="S361" s="11">
        <f>OBRA!U360</f>
        <v>43830</v>
      </c>
      <c r="T361" s="53"/>
      <c r="U361" s="377" t="s">
        <v>1428</v>
      </c>
      <c r="V361" s="309"/>
      <c r="W361" s="11"/>
      <c r="X361" s="279">
        <f>OBRA!AR360</f>
        <v>0</v>
      </c>
      <c r="Y361" s="309"/>
      <c r="Z361" s="309"/>
      <c r="AA361" s="5"/>
      <c r="AB361" s="313"/>
      <c r="AC361" s="317">
        <f>OBRA!BW360</f>
        <v>0</v>
      </c>
      <c r="AD361" s="352"/>
      <c r="AE361" s="352"/>
    </row>
    <row r="362" spans="1:31" ht="15" hidden="1" customHeight="1">
      <c r="A362" s="22" t="s">
        <v>2206</v>
      </c>
      <c r="B362" s="809" t="str">
        <f>GRAL!B363</f>
        <v>2018-2021</v>
      </c>
      <c r="C362" s="16">
        <f>OBRA!J361</f>
        <v>2019</v>
      </c>
      <c r="D362" s="1415"/>
      <c r="E362" s="17" t="str">
        <f>OBRA!M361</f>
        <v>CUENTA CORRIENTE</v>
      </c>
      <c r="F362" s="478"/>
      <c r="G362" s="352"/>
      <c r="H362" s="1"/>
      <c r="I362" s="352"/>
      <c r="J362" s="54" t="str">
        <f>OBRA!W361</f>
        <v>N/A</v>
      </c>
      <c r="K362" s="55" t="str">
        <f>OBRA!X361</f>
        <v>ING. JUAN MANUEL GARCIA ESCOTO</v>
      </c>
      <c r="L362" s="19" t="str">
        <f>OBRA!N361</f>
        <v>DOP/AD/009/2019</v>
      </c>
      <c r="M362" s="2" t="str">
        <f>OBRA!O361</f>
        <v>ADMINISTRACIÓN DIRECTA</v>
      </c>
      <c r="N362" s="3" t="str">
        <f>OBRA!P361</f>
        <v>"CONSTRUCCION DE EMPEDRADOS ECOLÓGICOS, AHOGADOS EN CEMENTO Y CON HUELLAS, EN VARIAS CALLES DE LA AGENCIA MUNICIPAL DE EL MOLINO". DEL MUNICIPIO DE JOCOTEPEC, JALISCO.</v>
      </c>
      <c r="O362" s="3"/>
      <c r="P362" s="6">
        <f>OBRA!S361</f>
        <v>43686</v>
      </c>
      <c r="Q362" s="4">
        <f>OBRA!R361</f>
        <v>750000</v>
      </c>
      <c r="R362" s="5">
        <f>OBRA!T361</f>
        <v>43689</v>
      </c>
      <c r="S362" s="11">
        <f>OBRA!U361</f>
        <v>43830</v>
      </c>
      <c r="T362" s="53"/>
      <c r="U362" s="377" t="s">
        <v>1428</v>
      </c>
      <c r="V362" s="309"/>
      <c r="W362" s="11"/>
      <c r="X362" s="279">
        <f>OBRA!AR361</f>
        <v>0</v>
      </c>
      <c r="Y362" s="309"/>
      <c r="Z362" s="309"/>
      <c r="AA362" s="5"/>
      <c r="AB362" s="313"/>
      <c r="AC362" s="317">
        <f>OBRA!BW361</f>
        <v>0</v>
      </c>
      <c r="AD362" s="352"/>
      <c r="AE362" s="352"/>
    </row>
    <row r="363" spans="1:31" ht="15" hidden="1" customHeight="1">
      <c r="A363" s="22" t="s">
        <v>2206</v>
      </c>
      <c r="B363" s="809" t="str">
        <f>GRAL!B364</f>
        <v>2018-2021</v>
      </c>
      <c r="C363" s="16">
        <f>OBRA!J362</f>
        <v>2019</v>
      </c>
      <c r="D363" s="1415"/>
      <c r="E363" s="17" t="str">
        <f>OBRA!M362</f>
        <v>CUENTA CORRIENTE</v>
      </c>
      <c r="F363" s="478"/>
      <c r="G363" s="352"/>
      <c r="H363" s="1"/>
      <c r="I363" s="352"/>
      <c r="J363" s="54" t="str">
        <f>OBRA!W362</f>
        <v>N/A</v>
      </c>
      <c r="K363" s="55" t="str">
        <f>OBRA!X362</f>
        <v>ING. J. GUADALUPE IBARRA RAMIREZ</v>
      </c>
      <c r="L363" s="19" t="str">
        <f>OBRA!N362</f>
        <v>DOP/AD/010/2019</v>
      </c>
      <c r="M363" s="2" t="str">
        <f>OBRA!O362</f>
        <v>ADMINISTRACIÓN DIRECTA</v>
      </c>
      <c r="N363" s="3" t="str">
        <f>OBRA!P362</f>
        <v>"CONSTRUCCIÓN DE LÍNEAS HIDROSANITARIAS EN CALLE EXTRAMUROS DE PRIVADA A CARRETERA," EN SAN PEDRO TESISTAN, DEL MUNICIPIO DE JOCOTEPEC, JALISCO.</v>
      </c>
      <c r="O363" s="3"/>
      <c r="P363" s="6">
        <f>OBRA!S362</f>
        <v>43707</v>
      </c>
      <c r="Q363" s="4">
        <f>OBRA!R362</f>
        <v>518279.12</v>
      </c>
      <c r="R363" s="5">
        <f>OBRA!T362</f>
        <v>43710</v>
      </c>
      <c r="S363" s="11">
        <f>OBRA!U362</f>
        <v>43798</v>
      </c>
      <c r="T363" s="53"/>
      <c r="U363" s="377" t="s">
        <v>1428</v>
      </c>
      <c r="V363" s="309"/>
      <c r="W363" s="11"/>
      <c r="X363" s="279">
        <f>OBRA!AR362</f>
        <v>0</v>
      </c>
      <c r="Y363" s="309"/>
      <c r="Z363" s="309"/>
      <c r="AA363" s="5"/>
      <c r="AB363" s="313"/>
      <c r="AC363" s="317">
        <f>OBRA!BW362</f>
        <v>0</v>
      </c>
      <c r="AD363" s="352"/>
      <c r="AE363" s="352"/>
    </row>
    <row r="364" spans="1:31" ht="15" hidden="1" customHeight="1">
      <c r="A364" s="22" t="s">
        <v>2206</v>
      </c>
      <c r="B364" s="809" t="str">
        <f>GRAL!B365</f>
        <v>2018-2021</v>
      </c>
      <c r="C364" s="16">
        <f>OBRA!J363</f>
        <v>2019</v>
      </c>
      <c r="D364" s="1415"/>
      <c r="E364" s="17" t="str">
        <f>OBRA!M363</f>
        <v>RAMO 33</v>
      </c>
      <c r="F364" s="478"/>
      <c r="G364" s="352"/>
      <c r="H364" s="1"/>
      <c r="I364" s="352"/>
      <c r="J364" s="54" t="str">
        <f>OBRA!W363</f>
        <v>N/A</v>
      </c>
      <c r="K364" s="55" t="str">
        <f>OBRA!X363</f>
        <v>ING. J. GUADALUPE IBARRA RAMIREZ</v>
      </c>
      <c r="L364" s="19" t="str">
        <f>OBRA!N363</f>
        <v>DOP/AD/011/2019</v>
      </c>
      <c r="M364" s="2" t="str">
        <f>OBRA!O363</f>
        <v>ADMINISTRACIÓN DIRECTA</v>
      </c>
      <c r="N364" s="3" t="str">
        <f>OBRA!P363</f>
        <v>"REHABILITACIÓN DE RED DE AGUA POTABLE CON REPOSICIÓN DE SUPERFICIE DE RODAMIENTO EN CALLE HIDALGO ENTRE ALDAMA Y FILOSOFOS", EN LA CABECERA MUNICIPAL DE JOCOTEPEC, JALISCO.</v>
      </c>
      <c r="O364" s="3"/>
      <c r="P364" s="6">
        <f>OBRA!S363</f>
        <v>43754</v>
      </c>
      <c r="Q364" s="4">
        <f>OBRA!R363</f>
        <v>661528.31999999995</v>
      </c>
      <c r="R364" s="5">
        <f>OBRA!T363</f>
        <v>43759</v>
      </c>
      <c r="S364" s="11">
        <f>OBRA!U363</f>
        <v>43814</v>
      </c>
      <c r="T364" s="53"/>
      <c r="U364" s="377" t="s">
        <v>1428</v>
      </c>
      <c r="V364" s="309"/>
      <c r="W364" s="11"/>
      <c r="X364" s="279">
        <f>OBRA!AR363</f>
        <v>0</v>
      </c>
      <c r="Y364" s="309"/>
      <c r="Z364" s="309"/>
      <c r="AA364" s="5"/>
      <c r="AB364" s="313"/>
      <c r="AC364" s="317">
        <f>OBRA!BW363</f>
        <v>0</v>
      </c>
      <c r="AD364" s="352"/>
      <c r="AE364" s="352"/>
    </row>
    <row r="365" spans="1:31" ht="15" hidden="1" customHeight="1">
      <c r="A365" s="22" t="s">
        <v>2206</v>
      </c>
      <c r="B365" s="809" t="str">
        <f>GRAL!B366</f>
        <v>2018-2021</v>
      </c>
      <c r="C365" s="16">
        <f>OBRA!J364</f>
        <v>2019</v>
      </c>
      <c r="D365" s="1415"/>
      <c r="E365" s="17" t="str">
        <f>OBRA!M364</f>
        <v>RAMO 33</v>
      </c>
      <c r="F365" s="478"/>
      <c r="G365" s="352"/>
      <c r="H365" s="1"/>
      <c r="I365" s="352"/>
      <c r="J365" s="54" t="str">
        <f>OBRA!W364</f>
        <v>N/A</v>
      </c>
      <c r="K365" s="55" t="str">
        <f>OBRA!X364</f>
        <v>ING. J. GUADALUPE IBARRA RAMIREZ</v>
      </c>
      <c r="L365" s="19" t="str">
        <f>OBRA!N364</f>
        <v>DOP/AD/012/2019</v>
      </c>
      <c r="M365" s="2" t="str">
        <f>OBRA!O364</f>
        <v>ADMINISTRACIÓN DIRECTA</v>
      </c>
      <c r="N365" s="3" t="str">
        <f>OBRA!P364</f>
        <v>"REHABILITACIÓN DE RED DE DRENAJE CON REPOSICIÓN DE SUPERFICIE DE RODAMIENTO EN CALLE HIDALGO ENTRE ALDAMA Y FILOSOFOS", EN LA CABECERA MUNICIPAL DE JOCOTEPEC, JALISCO.</v>
      </c>
      <c r="O365" s="3"/>
      <c r="P365" s="6">
        <f>OBRA!S364</f>
        <v>43754</v>
      </c>
      <c r="Q365" s="4">
        <f>OBRA!R364</f>
        <v>886200.09</v>
      </c>
      <c r="R365" s="5">
        <f>OBRA!T364</f>
        <v>43759</v>
      </c>
      <c r="S365" s="11">
        <f>OBRA!U364</f>
        <v>43814</v>
      </c>
      <c r="T365" s="53"/>
      <c r="U365" s="377" t="s">
        <v>1428</v>
      </c>
      <c r="V365" s="309"/>
      <c r="W365" s="11"/>
      <c r="X365" s="279">
        <f>OBRA!AR364</f>
        <v>0</v>
      </c>
      <c r="Y365" s="309"/>
      <c r="Z365" s="309"/>
      <c r="AA365" s="5"/>
      <c r="AB365" s="313"/>
      <c r="AC365" s="317">
        <f>OBRA!BW364</f>
        <v>0</v>
      </c>
      <c r="AD365" s="352"/>
      <c r="AE365" s="352"/>
    </row>
    <row r="366" spans="1:31" ht="15" hidden="1" customHeight="1">
      <c r="A366" s="22" t="s">
        <v>2206</v>
      </c>
      <c r="B366" s="809" t="str">
        <f>GRAL!B367</f>
        <v>2018-2021</v>
      </c>
      <c r="C366" s="16">
        <f>OBRA!J365</f>
        <v>2019</v>
      </c>
      <c r="D366" s="1415"/>
      <c r="E366" s="17" t="str">
        <f>OBRA!M365</f>
        <v>RAMO 33</v>
      </c>
      <c r="F366" s="478"/>
      <c r="G366" s="352"/>
      <c r="H366" s="1"/>
      <c r="I366" s="352"/>
      <c r="J366" s="54" t="str">
        <f>OBRA!W365</f>
        <v>N/A</v>
      </c>
      <c r="K366" s="55" t="str">
        <f>OBRA!X365</f>
        <v>ING. J. GUADALUPE IBARRA RAMIREZ</v>
      </c>
      <c r="L366" s="19" t="str">
        <f>OBRA!N365</f>
        <v>DOP/AD/013/2019</v>
      </c>
      <c r="M366" s="2" t="str">
        <f>OBRA!O365</f>
        <v>ADMINISTRACIÓN DIRECTA</v>
      </c>
      <c r="N366" s="3" t="str">
        <f>OBRA!P365</f>
        <v>"REHABILITACIÓN DE TOMAS DOMICILIARIAS CON REPOSICIÓN DE SUPERFICIE DE RODAMIENTO EN CALLE LA PAZ ENTRE CALLES ITURBIDE E INDEPENDENCIA" EN LA LOCALIDAD DE SAN JUAN CÓSALA, DEL MUNICIPIO DE JOCOTEPEC, JALISCO.</v>
      </c>
      <c r="O366" s="3"/>
      <c r="P366" s="6">
        <f>OBRA!S365</f>
        <v>43773</v>
      </c>
      <c r="Q366" s="4">
        <f>OBRA!R365</f>
        <v>316991.96999999997</v>
      </c>
      <c r="R366" s="5">
        <f>OBRA!T365</f>
        <v>43775</v>
      </c>
      <c r="S366" s="11">
        <f>OBRA!U365</f>
        <v>43798</v>
      </c>
      <c r="T366" s="53"/>
      <c r="U366" s="377" t="s">
        <v>1428</v>
      </c>
      <c r="V366" s="309"/>
      <c r="W366" s="11"/>
      <c r="X366" s="279">
        <f>OBRA!AR365</f>
        <v>0</v>
      </c>
      <c r="Y366" s="309"/>
      <c r="Z366" s="309"/>
      <c r="AA366" s="5"/>
      <c r="AB366" s="313"/>
      <c r="AC366" s="317">
        <f>OBRA!BW365</f>
        <v>0</v>
      </c>
      <c r="AD366" s="352"/>
      <c r="AE366" s="352"/>
    </row>
    <row r="367" spans="1:31" ht="15" hidden="1" customHeight="1">
      <c r="A367" s="22" t="s">
        <v>2206</v>
      </c>
      <c r="B367" s="809" t="str">
        <f>GRAL!B368</f>
        <v>2018-2021</v>
      </c>
      <c r="C367" s="16">
        <f>OBRA!J366</f>
        <v>2019</v>
      </c>
      <c r="D367" s="1415"/>
      <c r="E367" s="17" t="str">
        <f>OBRA!M366</f>
        <v>RAMO 33</v>
      </c>
      <c r="F367" s="478"/>
      <c r="G367" s="352"/>
      <c r="H367" s="1"/>
      <c r="I367" s="352"/>
      <c r="J367" s="54" t="str">
        <f>OBRA!W366</f>
        <v>N/A</v>
      </c>
      <c r="K367" s="55" t="str">
        <f>OBRA!X366</f>
        <v>ING. J. GUADALUPE IBARRA RAMIREZ</v>
      </c>
      <c r="L367" s="19" t="str">
        <f>OBRA!N366</f>
        <v>DOP/AD/014/2019</v>
      </c>
      <c r="M367" s="2" t="str">
        <f>OBRA!O366</f>
        <v>ADMINISTRACIÓN DIRECTA</v>
      </c>
      <c r="N367" s="3" t="str">
        <f>OBRA!P366</f>
        <v>"REHABILITACIÓN DE DESCARGAS DOMICILIARIAS DE DRENAJE SANITARIO CON REPOSICIÓN DE SUPERFICIE DE RODAMIENTO EN CALLE LA PAZ ENTRE CALLES ITURBIDE E INDEPENDENCIA", EN LA LOCALIDAD DE SAN JUAN CÓSALA, DEL MUNICIPIO DE JOCOTEPEC, JALISCO.</v>
      </c>
      <c r="O367" s="3"/>
      <c r="P367" s="6">
        <f>OBRA!S366</f>
        <v>43773</v>
      </c>
      <c r="Q367" s="4">
        <f>OBRA!R366</f>
        <v>387742.07</v>
      </c>
      <c r="R367" s="5">
        <f>OBRA!T366</f>
        <v>43775</v>
      </c>
      <c r="S367" s="11">
        <f>OBRA!U366</f>
        <v>43798</v>
      </c>
      <c r="T367" s="53"/>
      <c r="U367" s="377" t="s">
        <v>1428</v>
      </c>
      <c r="V367" s="309"/>
      <c r="W367" s="11"/>
      <c r="X367" s="279">
        <f>OBRA!AR366</f>
        <v>0</v>
      </c>
      <c r="Y367" s="309"/>
      <c r="Z367" s="309"/>
      <c r="AA367" s="5"/>
      <c r="AB367" s="313"/>
      <c r="AC367" s="317">
        <f>OBRA!BW366</f>
        <v>0</v>
      </c>
      <c r="AD367" s="352"/>
      <c r="AE367" s="352"/>
    </row>
    <row r="368" spans="1:31" ht="15" hidden="1" customHeight="1">
      <c r="A368" s="22" t="s">
        <v>2206</v>
      </c>
      <c r="B368" s="809" t="str">
        <f>GRAL!B369</f>
        <v>2018-2021</v>
      </c>
      <c r="C368" s="16">
        <f>OBRA!J367</f>
        <v>2019</v>
      </c>
      <c r="D368" s="1415"/>
      <c r="E368" s="17" t="str">
        <f>OBRA!M367</f>
        <v>RAMO 33</v>
      </c>
      <c r="F368" s="478"/>
      <c r="G368" s="352"/>
      <c r="H368" s="1"/>
      <c r="I368" s="352"/>
      <c r="J368" s="54" t="str">
        <f>OBRA!W367</f>
        <v>N/A</v>
      </c>
      <c r="K368" s="55" t="str">
        <f>OBRA!X367</f>
        <v>ING. J. GUADALUPE IBARRA RAMIREZ</v>
      </c>
      <c r="L368" s="19" t="str">
        <f>OBRA!N367</f>
        <v>DOP/AD/015/2019</v>
      </c>
      <c r="M368" s="2" t="str">
        <f>OBRA!O367</f>
        <v>ADMINISTRACIÓN DIRECTA</v>
      </c>
      <c r="N368" s="3" t="str">
        <f>OBRA!P367</f>
        <v>"REHABILITACIÓN DE RED DE AGUA POTABLE CON REPOSICIÓN DE SUPERFICIE DE RODAMIENTO EN CALLE LA PAZ ENTRE CALLES ITURBIDE E INDEPENDENCIA", EN LA LOCALIDAD DE SAN JUAN CÓSALA, DEL MUNICIPIO DE JOCOTEPEC, JALISCO.</v>
      </c>
      <c r="O368" s="3"/>
      <c r="P368" s="6">
        <f>OBRA!S367</f>
        <v>43773</v>
      </c>
      <c r="Q368" s="4">
        <f>OBRA!R367</f>
        <v>758777.4</v>
      </c>
      <c r="R368" s="5">
        <f>OBRA!T367</f>
        <v>43775</v>
      </c>
      <c r="S368" s="11">
        <f>OBRA!U367</f>
        <v>43798</v>
      </c>
      <c r="T368" s="53"/>
      <c r="U368" s="377" t="s">
        <v>1428</v>
      </c>
      <c r="V368" s="309"/>
      <c r="W368" s="11"/>
      <c r="X368" s="279">
        <f>OBRA!AR367</f>
        <v>0</v>
      </c>
      <c r="Y368" s="309"/>
      <c r="Z368" s="309"/>
      <c r="AA368" s="5"/>
      <c r="AB368" s="313"/>
      <c r="AC368" s="317">
        <f>OBRA!BW367</f>
        <v>0</v>
      </c>
      <c r="AD368" s="352"/>
      <c r="AE368" s="352"/>
    </row>
    <row r="369" spans="1:31" s="104" customFormat="1" ht="15" hidden="1" customHeight="1">
      <c r="A369" s="81" t="s">
        <v>2206</v>
      </c>
      <c r="B369" s="820" t="str">
        <f>GRAL!B370</f>
        <v>2018-2021</v>
      </c>
      <c r="C369" s="82">
        <f>OBRA!J368</f>
        <v>2019</v>
      </c>
      <c r="D369" s="781"/>
      <c r="E369" s="97">
        <f>OBRA!M368</f>
        <v>0</v>
      </c>
      <c r="F369" s="479"/>
      <c r="G369" s="354"/>
      <c r="H369" s="96"/>
      <c r="I369" s="354"/>
      <c r="J369" s="151" t="str">
        <f>OBRA!W368</f>
        <v>-</v>
      </c>
      <c r="K369" s="152">
        <f>OBRA!X368</f>
        <v>0</v>
      </c>
      <c r="L369" s="84" t="str">
        <f>OBRA!N368</f>
        <v>DOP/AD/016/2019</v>
      </c>
      <c r="M369" s="85" t="str">
        <f>OBRA!O368</f>
        <v>CANCELADA</v>
      </c>
      <c r="N369" s="125">
        <f>OBRA!P368</f>
        <v>0</v>
      </c>
      <c r="O369" s="125"/>
      <c r="P369" s="87">
        <f>OBRA!S368</f>
        <v>0</v>
      </c>
      <c r="Q369" s="86">
        <f>OBRA!R368</f>
        <v>0</v>
      </c>
      <c r="R369" s="88">
        <f>OBRA!T368</f>
        <v>0</v>
      </c>
      <c r="S369" s="89">
        <f>OBRA!U368</f>
        <v>0</v>
      </c>
      <c r="T369" s="91"/>
      <c r="U369" s="688" t="s">
        <v>1428</v>
      </c>
      <c r="V369" s="311"/>
      <c r="W369" s="89"/>
      <c r="X369" s="284">
        <f>OBRA!AR368</f>
        <v>0</v>
      </c>
      <c r="Y369" s="311"/>
      <c r="Z369" s="311"/>
      <c r="AA369" s="88"/>
      <c r="AB369" s="1855"/>
      <c r="AC369" s="467">
        <f>OBRA!BW368</f>
        <v>0</v>
      </c>
      <c r="AD369" s="354"/>
      <c r="AE369" s="354"/>
    </row>
    <row r="370" spans="1:31" ht="15" hidden="1" customHeight="1">
      <c r="A370" s="22" t="s">
        <v>2206</v>
      </c>
      <c r="B370" s="809" t="str">
        <f>GRAL!B371</f>
        <v>2018-2021</v>
      </c>
      <c r="C370" s="16">
        <f>OBRA!J369</f>
        <v>2019</v>
      </c>
      <c r="D370" s="1415"/>
      <c r="E370" s="17" t="str">
        <f>OBRA!M369</f>
        <v>P.I.D.</v>
      </c>
      <c r="F370" s="478"/>
      <c r="G370" s="352"/>
      <c r="H370" s="1"/>
      <c r="I370" s="352"/>
      <c r="J370" s="54" t="str">
        <f>OBRA!W369</f>
        <v>N/A</v>
      </c>
      <c r="K370" s="55" t="str">
        <f>OBRA!X369</f>
        <v>ARQ. CESAR ANTONIO ALONSO JIMENEZ</v>
      </c>
      <c r="L370" s="19" t="str">
        <f>OBRA!N369</f>
        <v>DOP/AD/017/2019</v>
      </c>
      <c r="M370" s="2" t="str">
        <f>OBRA!O369</f>
        <v>ADMINISTRACIÓN DIRECTA</v>
      </c>
      <c r="N370" s="3" t="str">
        <f>OBRA!P369</f>
        <v>"CONSTRUCCIÓN DE PUNTO INOCUO DE DESEMBARQUE EN LA CALLE 5 DE MAYO" EN LA LOCALIDAD DE SAN JUAN COSALA, DEL MUNICIPIO DE JOCOTEPEC, JALISCO.</v>
      </c>
      <c r="O370" s="3"/>
      <c r="P370" s="6">
        <f>OBRA!S369</f>
        <v>43784</v>
      </c>
      <c r="Q370" s="4">
        <f>OBRA!R369</f>
        <v>1248920.79</v>
      </c>
      <c r="R370" s="5">
        <f>OBRA!T369</f>
        <v>43784</v>
      </c>
      <c r="S370" s="11">
        <f>OBRA!U369</f>
        <v>43814</v>
      </c>
      <c r="T370" s="53"/>
      <c r="U370" s="377" t="s">
        <v>1428</v>
      </c>
      <c r="V370" s="309"/>
      <c r="W370" s="11"/>
      <c r="X370" s="279">
        <f>OBRA!AR369</f>
        <v>0</v>
      </c>
      <c r="Y370" s="309"/>
      <c r="Z370" s="309"/>
      <c r="AA370" s="5"/>
      <c r="AB370" s="313"/>
      <c r="AC370" s="317">
        <f>OBRA!BW369</f>
        <v>0</v>
      </c>
      <c r="AD370" s="352"/>
      <c r="AE370" s="352"/>
    </row>
    <row r="371" spans="1:31" ht="15" hidden="1" customHeight="1">
      <c r="A371" s="22" t="s">
        <v>2206</v>
      </c>
      <c r="B371" s="809" t="str">
        <f>GRAL!B372</f>
        <v>2018-2021</v>
      </c>
      <c r="C371" s="16">
        <f>OBRA!J370</f>
        <v>2019</v>
      </c>
      <c r="D371" s="1415"/>
      <c r="E371" s="17" t="str">
        <f>OBRA!M370</f>
        <v>RAMO 33</v>
      </c>
      <c r="F371" s="478"/>
      <c r="G371" s="352"/>
      <c r="H371" s="1"/>
      <c r="I371" s="352"/>
      <c r="J371" s="54" t="str">
        <f>OBRA!W370</f>
        <v>N/A</v>
      </c>
      <c r="K371" s="55" t="str">
        <f>OBRA!X370</f>
        <v>ING. J. GUADALUPE IBARRA RAMIREZ</v>
      </c>
      <c r="L371" s="19" t="str">
        <f>OBRA!N370</f>
        <v>DOP/AD/018/2019</v>
      </c>
      <c r="M371" s="2" t="str">
        <f>OBRA!O370</f>
        <v>ADMINISTRACIÓN DIRECTA</v>
      </c>
      <c r="N371" s="3" t="str">
        <f>OBRA!P370</f>
        <v>"REHABILITACIÓN DE LÍNEA DE DISTRIBUCIÓN DE 6" DE AGUA POTABLE, EN CALLE NIÑOS HÉROES DE CALLE ITURBIDE A CALLE VERANO", EN LA CABECERA MUNICIPAL DE JOCOTEPEC, JALISCO.</v>
      </c>
      <c r="O371" s="3"/>
      <c r="P371" s="6">
        <f>OBRA!S370</f>
        <v>43791</v>
      </c>
      <c r="Q371" s="4">
        <f>OBRA!R370</f>
        <v>125964.92</v>
      </c>
      <c r="R371" s="5">
        <f>OBRA!T370</f>
        <v>43792</v>
      </c>
      <c r="S371" s="11">
        <f>OBRA!U370</f>
        <v>43814</v>
      </c>
      <c r="T371" s="53"/>
      <c r="U371" s="377" t="s">
        <v>1428</v>
      </c>
      <c r="V371" s="309"/>
      <c r="W371" s="11"/>
      <c r="X371" s="279">
        <f>OBRA!AR370</f>
        <v>0</v>
      </c>
      <c r="Y371" s="309"/>
      <c r="Z371" s="309"/>
      <c r="AA371" s="5"/>
      <c r="AB371" s="313"/>
      <c r="AC371" s="317">
        <f>OBRA!BW370</f>
        <v>0</v>
      </c>
      <c r="AD371" s="352"/>
      <c r="AE371" s="352"/>
    </row>
    <row r="372" spans="1:31" s="104" customFormat="1" ht="15" hidden="1" customHeight="1">
      <c r="A372" s="81" t="s">
        <v>2206</v>
      </c>
      <c r="B372" s="820" t="str">
        <f>GRAL!B373</f>
        <v>2018-2021</v>
      </c>
      <c r="C372" s="82">
        <f>OBRA!J371</f>
        <v>2019</v>
      </c>
      <c r="D372" s="781"/>
      <c r="E372" s="97">
        <f>OBRA!M371</f>
        <v>0</v>
      </c>
      <c r="F372" s="479"/>
      <c r="G372" s="354"/>
      <c r="H372" s="96"/>
      <c r="I372" s="354"/>
      <c r="J372" s="151" t="str">
        <f>OBRA!W371</f>
        <v>-</v>
      </c>
      <c r="K372" s="152">
        <f>OBRA!X371</f>
        <v>0</v>
      </c>
      <c r="L372" s="84" t="str">
        <f>OBRA!N371</f>
        <v>DOP/AD/019/2019</v>
      </c>
      <c r="M372" s="85" t="str">
        <f>OBRA!O371</f>
        <v>CANCELADA</v>
      </c>
      <c r="N372" s="125">
        <f>OBRA!P371</f>
        <v>0</v>
      </c>
      <c r="O372" s="125"/>
      <c r="P372" s="87">
        <f>OBRA!S371</f>
        <v>0</v>
      </c>
      <c r="Q372" s="86">
        <f>OBRA!R371</f>
        <v>0</v>
      </c>
      <c r="R372" s="88">
        <f>OBRA!T371</f>
        <v>0</v>
      </c>
      <c r="S372" s="89">
        <f>OBRA!U371</f>
        <v>0</v>
      </c>
      <c r="T372" s="91"/>
      <c r="U372" s="688" t="s">
        <v>1428</v>
      </c>
      <c r="V372" s="311"/>
      <c r="W372" s="89"/>
      <c r="X372" s="284">
        <f>OBRA!AR371</f>
        <v>0</v>
      </c>
      <c r="Y372" s="311"/>
      <c r="Z372" s="311"/>
      <c r="AA372" s="88"/>
      <c r="AB372" s="1855"/>
      <c r="AC372" s="467">
        <f>OBRA!BW371</f>
        <v>0</v>
      </c>
      <c r="AD372" s="354"/>
      <c r="AE372" s="354"/>
    </row>
    <row r="373" spans="1:31" ht="15" hidden="1" customHeight="1">
      <c r="A373" s="22" t="s">
        <v>2206</v>
      </c>
      <c r="B373" s="809" t="str">
        <f>GRAL!B374</f>
        <v>2018-2021</v>
      </c>
      <c r="C373" s="16">
        <f>OBRA!J372</f>
        <v>2019</v>
      </c>
      <c r="D373" s="1415"/>
      <c r="E373" s="17" t="str">
        <f>OBRA!M372</f>
        <v>RAMO 33</v>
      </c>
      <c r="F373" s="478"/>
      <c r="G373" s="352"/>
      <c r="H373" s="1"/>
      <c r="I373" s="352"/>
      <c r="J373" s="54" t="str">
        <f>OBRA!W372</f>
        <v>N/A</v>
      </c>
      <c r="K373" s="55" t="str">
        <f>OBRA!X372</f>
        <v>ING. JUAN MANUEL GARCIA ESCOTO</v>
      </c>
      <c r="L373" s="19" t="str">
        <f>OBRA!N372</f>
        <v>DOP/AD/020/2019</v>
      </c>
      <c r="M373" s="2" t="str">
        <f>OBRA!O372</f>
        <v>ADMINISTRACIÓN DIRECTA</v>
      </c>
      <c r="N373" s="3" t="str">
        <f>OBRA!P372</f>
        <v>"REPOSICIÓN DE TOMAS DOMICILIARIAS DE AGUA POTABLE EN CALLE VERANO ENTRE CALLES NIÑOS HÉROES Y LÓPEZ RAYÓN EN LA CABECERA MUNICIPAL DE JOCOTEPEC, JALISCO.</v>
      </c>
      <c r="O373" s="3"/>
      <c r="P373" s="6">
        <f>OBRA!S372</f>
        <v>43791</v>
      </c>
      <c r="Q373" s="4">
        <f>OBRA!R372</f>
        <v>24608.01</v>
      </c>
      <c r="R373" s="5">
        <f>OBRA!T372</f>
        <v>43792</v>
      </c>
      <c r="S373" s="11">
        <f>OBRA!U372</f>
        <v>43814</v>
      </c>
      <c r="T373" s="53"/>
      <c r="U373" s="377" t="s">
        <v>1428</v>
      </c>
      <c r="V373" s="309"/>
      <c r="W373" s="11"/>
      <c r="X373" s="279">
        <f>OBRA!AR372</f>
        <v>0</v>
      </c>
      <c r="Y373" s="309"/>
      <c r="Z373" s="309"/>
      <c r="AA373" s="5"/>
      <c r="AB373" s="313"/>
      <c r="AC373" s="317">
        <f>OBRA!BW372</f>
        <v>0</v>
      </c>
      <c r="AD373" s="352"/>
      <c r="AE373" s="352"/>
    </row>
    <row r="374" spans="1:31" ht="15" hidden="1" customHeight="1">
      <c r="A374" s="22" t="s">
        <v>2206</v>
      </c>
      <c r="B374" s="809" t="str">
        <f>GRAL!B375</f>
        <v>2018-2021</v>
      </c>
      <c r="C374" s="16">
        <f>OBRA!J373</f>
        <v>2019</v>
      </c>
      <c r="D374" s="1415"/>
      <c r="E374" s="17" t="str">
        <f>OBRA!M373</f>
        <v>P.I.D.</v>
      </c>
      <c r="F374" s="478"/>
      <c r="G374" s="352"/>
      <c r="H374" s="1"/>
      <c r="I374" s="352"/>
      <c r="J374" s="54" t="str">
        <f>OBRA!W373</f>
        <v>N/A</v>
      </c>
      <c r="K374" s="55">
        <f>OBRA!X373</f>
        <v>0</v>
      </c>
      <c r="L374" s="19" t="str">
        <f>OBRA!N373</f>
        <v>DOP/AD/021/2019</v>
      </c>
      <c r="M374" s="2" t="str">
        <f>OBRA!O373</f>
        <v>CANCELADA</v>
      </c>
      <c r="N374" s="3" t="str">
        <f>OBRA!P373</f>
        <v>"CONSTRUCCIÓN DE PUNTO INOCUO DE DESEMBARQUE EN LA CALLE MORELOS" EN EL ÁREA DE DONACIÓN DEL FRACCIONAMIENTO "JARDINES DE JOCOTEPEC" EN LA CABECERA MUNICIPAL DE JOCOTEPEC, JALISCO.</v>
      </c>
      <c r="O374" s="3"/>
      <c r="P374" s="6">
        <f>OBRA!S373</f>
        <v>0</v>
      </c>
      <c r="Q374" s="4">
        <f>OBRA!R373</f>
        <v>1302585.8500000001</v>
      </c>
      <c r="R374" s="5">
        <f>OBRA!T373</f>
        <v>0</v>
      </c>
      <c r="S374" s="11">
        <f>OBRA!U373</f>
        <v>0</v>
      </c>
      <c r="T374" s="53"/>
      <c r="U374" s="377" t="s">
        <v>1428</v>
      </c>
      <c r="V374" s="309"/>
      <c r="W374" s="11"/>
      <c r="X374" s="279">
        <f>OBRA!AR373</f>
        <v>0</v>
      </c>
      <c r="Y374" s="309"/>
      <c r="Z374" s="309"/>
      <c r="AA374" s="5"/>
      <c r="AB374" s="313"/>
      <c r="AC374" s="317">
        <f>OBRA!BW373</f>
        <v>0</v>
      </c>
      <c r="AD374" s="352"/>
      <c r="AE374" s="352"/>
    </row>
    <row r="375" spans="1:31" ht="15" hidden="1" customHeight="1">
      <c r="A375" s="22" t="s">
        <v>2206</v>
      </c>
      <c r="B375" s="809" t="str">
        <f>GRAL!B376</f>
        <v>2018-2021</v>
      </c>
      <c r="C375" s="16">
        <f>OBRA!J374</f>
        <v>2019</v>
      </c>
      <c r="D375" s="1415"/>
      <c r="E375" s="17" t="str">
        <f>OBRA!M374</f>
        <v>RAMO 33</v>
      </c>
      <c r="F375" s="478"/>
      <c r="G375" s="352"/>
      <c r="H375" s="1"/>
      <c r="I375" s="352"/>
      <c r="J375" s="54" t="str">
        <f>OBRA!W374</f>
        <v>N/A</v>
      </c>
      <c r="K375" s="55" t="str">
        <f>OBRA!X374</f>
        <v>ING. J. GUADALUPE IBARRA RAMIREZ</v>
      </c>
      <c r="L375" s="19" t="str">
        <f>OBRA!N374</f>
        <v>DOP/AD/022/2019</v>
      </c>
      <c r="M375" s="2" t="str">
        <f>OBRA!O374</f>
        <v>ADMINISTRACIÓN DIRECTA</v>
      </c>
      <c r="N375" s="3" t="str">
        <f>OBRA!P374</f>
        <v>REHABILITACIÓN DE RED DE DRENAJE SANITARIO EN CALLE LA PAZ ENTRE TACUBA Y VICENTE GUERRERO", EN LA LOCALIDAD DE SAN JUAN CÓSALA, DEL MUNICIPIO DE JOCOTEPEC, JALISCO.</v>
      </c>
      <c r="O375" s="3"/>
      <c r="P375" s="6">
        <f>OBRA!S374</f>
        <v>43819</v>
      </c>
      <c r="Q375" s="4">
        <f>OBRA!R374</f>
        <v>232200.43</v>
      </c>
      <c r="R375" s="5">
        <f>OBRA!T374</f>
        <v>43819</v>
      </c>
      <c r="S375" s="11">
        <f>OBRA!U374</f>
        <v>43830</v>
      </c>
      <c r="T375" s="53"/>
      <c r="U375" s="377" t="s">
        <v>1428</v>
      </c>
      <c r="V375" s="309"/>
      <c r="W375" s="11"/>
      <c r="X375" s="279">
        <f>OBRA!AR374</f>
        <v>0</v>
      </c>
      <c r="Y375" s="309"/>
      <c r="Z375" s="309"/>
      <c r="AA375" s="5"/>
      <c r="AB375" s="313"/>
      <c r="AC375" s="317">
        <f>OBRA!BW374</f>
        <v>0</v>
      </c>
      <c r="AD375" s="352"/>
      <c r="AE375" s="352"/>
    </row>
    <row r="376" spans="1:31" ht="15" hidden="1" customHeight="1">
      <c r="A376" s="22" t="s">
        <v>2206</v>
      </c>
      <c r="B376" s="809" t="str">
        <f>GRAL!B377</f>
        <v>2018-2021</v>
      </c>
      <c r="C376" s="16">
        <f>OBRA!J375</f>
        <v>2019</v>
      </c>
      <c r="D376" s="1415"/>
      <c r="E376" s="17">
        <f>OBRA!M375</f>
        <v>0</v>
      </c>
      <c r="F376" s="478"/>
      <c r="G376" s="352"/>
      <c r="H376" s="1"/>
      <c r="I376" s="352"/>
      <c r="J376" s="54" t="str">
        <f>OBRA!W375</f>
        <v>N/A</v>
      </c>
      <c r="K376" s="55">
        <f>OBRA!X375</f>
        <v>0</v>
      </c>
      <c r="L376" s="19" t="str">
        <f>OBRA!N375</f>
        <v>DOP/AD/023/2019</v>
      </c>
      <c r="M376" s="2" t="str">
        <f>OBRA!O375</f>
        <v>CANCELADA</v>
      </c>
      <c r="N376" s="3">
        <f>OBRA!P375</f>
        <v>0</v>
      </c>
      <c r="O376" s="3"/>
      <c r="P376" s="6">
        <f>OBRA!S375</f>
        <v>0</v>
      </c>
      <c r="Q376" s="4">
        <f>OBRA!R375</f>
        <v>0</v>
      </c>
      <c r="R376" s="5">
        <f>OBRA!T375</f>
        <v>0</v>
      </c>
      <c r="S376" s="11">
        <f>OBRA!U375</f>
        <v>0</v>
      </c>
      <c r="T376" s="53"/>
      <c r="U376" s="377" t="s">
        <v>1428</v>
      </c>
      <c r="V376" s="309"/>
      <c r="W376" s="11"/>
      <c r="X376" s="279">
        <f>OBRA!AR375</f>
        <v>0</v>
      </c>
      <c r="Y376" s="309"/>
      <c r="Z376" s="309"/>
      <c r="AA376" s="5"/>
      <c r="AB376" s="313"/>
      <c r="AC376" s="317">
        <f>OBRA!BW375</f>
        <v>0</v>
      </c>
      <c r="AD376" s="352"/>
      <c r="AE376" s="352"/>
    </row>
    <row r="377" spans="1:31" ht="15" hidden="1" customHeight="1">
      <c r="A377" s="22" t="s">
        <v>2206</v>
      </c>
      <c r="B377" s="809" t="str">
        <f>GRAL!B378</f>
        <v>2018-2021</v>
      </c>
      <c r="C377" s="16">
        <f>OBRA!J376</f>
        <v>2019</v>
      </c>
      <c r="D377" s="1415"/>
      <c r="E377" s="17" t="str">
        <f>OBRA!M376</f>
        <v>RAMO 33</v>
      </c>
      <c r="F377" s="478"/>
      <c r="G377" s="352"/>
      <c r="H377" s="1"/>
      <c r="I377" s="352"/>
      <c r="J377" s="54" t="str">
        <f>OBRA!W376</f>
        <v>N/A</v>
      </c>
      <c r="K377" s="55" t="str">
        <f>OBRA!X376</f>
        <v>LIC. SALVADOR CONTRERAS OLGUÍN</v>
      </c>
      <c r="L377" s="19" t="str">
        <f>OBRA!N376</f>
        <v>DOP/AD/024/2019</v>
      </c>
      <c r="M377" s="2" t="str">
        <f>OBRA!O376</f>
        <v>ADMINISTRACIÓN DIRECTA</v>
      </c>
      <c r="N377" s="3" t="str">
        <f>OBRA!P376</f>
        <v>"CONSTRUCCIÓN DE BANQUETAS 2DA. ETAPA EN LA CALLE MORELOS", EN LA LOCALIDAD DE CHANTEPEC, DEL MUNICIPIO DE JOCOTEPEC, JALISCO.</v>
      </c>
      <c r="O377" s="3"/>
      <c r="P377" s="6">
        <f>OBRA!S376</f>
        <v>43801</v>
      </c>
      <c r="Q377" s="4">
        <f>OBRA!R376</f>
        <v>11470</v>
      </c>
      <c r="R377" s="5">
        <f>OBRA!T376</f>
        <v>43825</v>
      </c>
      <c r="S377" s="11">
        <f>OBRA!U376</f>
        <v>43830</v>
      </c>
      <c r="T377" s="53"/>
      <c r="U377" s="377" t="s">
        <v>1428</v>
      </c>
      <c r="V377" s="309"/>
      <c r="W377" s="11"/>
      <c r="X377" s="279">
        <f>OBRA!AR376</f>
        <v>0</v>
      </c>
      <c r="Y377" s="309"/>
      <c r="Z377" s="309"/>
      <c r="AA377" s="5"/>
      <c r="AB377" s="313"/>
      <c r="AC377" s="317">
        <f>OBRA!BW376</f>
        <v>0</v>
      </c>
      <c r="AD377" s="352"/>
      <c r="AE377" s="352"/>
    </row>
    <row r="378" spans="1:31" ht="15" hidden="1" customHeight="1">
      <c r="A378" s="22" t="s">
        <v>2206</v>
      </c>
      <c r="B378" s="809" t="str">
        <f>GRAL!B379</f>
        <v>2018-2021</v>
      </c>
      <c r="C378" s="16">
        <f>OBRA!J377</f>
        <v>2019</v>
      </c>
      <c r="D378" s="1415"/>
      <c r="E378" s="17">
        <f>OBRA!M377</f>
        <v>0</v>
      </c>
      <c r="F378" s="478"/>
      <c r="G378" s="352"/>
      <c r="H378" s="1"/>
      <c r="I378" s="352"/>
      <c r="J378" s="54" t="str">
        <f>OBRA!W377</f>
        <v>-</v>
      </c>
      <c r="K378" s="55">
        <f>OBRA!X377</f>
        <v>0</v>
      </c>
      <c r="L378" s="19" t="str">
        <f>OBRA!N377</f>
        <v>DOP/AD/025/2019</v>
      </c>
      <c r="M378" s="2" t="str">
        <f>OBRA!O377</f>
        <v>CANCELADA</v>
      </c>
      <c r="N378" s="3">
        <f>OBRA!P377</f>
        <v>0</v>
      </c>
      <c r="O378" s="3"/>
      <c r="P378" s="6">
        <f>OBRA!S377</f>
        <v>0</v>
      </c>
      <c r="Q378" s="4">
        <f>OBRA!R377</f>
        <v>0</v>
      </c>
      <c r="R378" s="5">
        <f>OBRA!T377</f>
        <v>0</v>
      </c>
      <c r="S378" s="11">
        <f>OBRA!U377</f>
        <v>0</v>
      </c>
      <c r="T378" s="53"/>
      <c r="U378" s="377" t="s">
        <v>1428</v>
      </c>
      <c r="V378" s="309"/>
      <c r="W378" s="11"/>
      <c r="X378" s="279">
        <f>OBRA!AR377</f>
        <v>0</v>
      </c>
      <c r="Y378" s="309"/>
      <c r="Z378" s="309"/>
      <c r="AA378" s="5"/>
      <c r="AB378" s="313"/>
      <c r="AC378" s="317">
        <f>OBRA!BW377</f>
        <v>0</v>
      </c>
      <c r="AD378" s="352"/>
      <c r="AE378" s="352"/>
    </row>
    <row r="379" spans="1:31" ht="15" hidden="1" customHeight="1">
      <c r="A379" s="22" t="s">
        <v>2206</v>
      </c>
      <c r="B379" s="809" t="str">
        <f>GRAL!B380</f>
        <v>2018-2021</v>
      </c>
      <c r="C379" s="16">
        <f>OBRA!J378</f>
        <v>2019</v>
      </c>
      <c r="D379" s="1415"/>
      <c r="E379" s="17" t="str">
        <f>OBRA!M378</f>
        <v>RASTRO DIGNO / CTA-CTE</v>
      </c>
      <c r="F379" s="478"/>
      <c r="G379" s="352"/>
      <c r="H379" s="1"/>
      <c r="I379" s="352"/>
      <c r="J379" s="54" t="str">
        <f>OBRA!W378</f>
        <v>BIOESTERES DE MÉXICO S.A. DE C.V.</v>
      </c>
      <c r="K379" s="55" t="str">
        <f>OBRA!X378</f>
        <v>ARQ. JAIME CONDE GOMEZ</v>
      </c>
      <c r="L379" s="19" t="str">
        <f>OBRA!N378</f>
        <v>RASTRO DIGNO 2019</v>
      </c>
      <c r="M379" s="2" t="str">
        <f>OBRA!O378</f>
        <v>ADQUISICIÓN</v>
      </c>
      <c r="N379" s="3" t="str">
        <f>OBRA!P378</f>
        <v>ADQUISICIÓN DE: "UN REACTOR ANAEROBIO UASB-IC, PARA EL SISTEMA DE AGUAS RESIDUALES DEL RASTRO MUNICIPAL" DE LA CABECERA MUNICIPAL DE JOCOTEPEC, JALISCO.</v>
      </c>
      <c r="O379" s="504" t="s">
        <v>3493</v>
      </c>
      <c r="P379" s="6">
        <f>OBRA!S378</f>
        <v>43776</v>
      </c>
      <c r="Q379" s="4">
        <f>OBRA!R378</f>
        <v>1688681.79</v>
      </c>
      <c r="R379" s="5">
        <f>OBRA!T378</f>
        <v>43783</v>
      </c>
      <c r="S379" s="11">
        <f>OBRA!U378</f>
        <v>43814</v>
      </c>
      <c r="T379" s="53"/>
      <c r="U379" s="377" t="s">
        <v>1428</v>
      </c>
      <c r="V379" s="309"/>
      <c r="W379" s="11"/>
      <c r="X379" s="279">
        <f>OBRA!AR378</f>
        <v>0</v>
      </c>
      <c r="Y379" s="309"/>
      <c r="Z379" s="309"/>
      <c r="AA379" s="5"/>
      <c r="AB379" s="313"/>
      <c r="AC379" s="317">
        <f>OBRA!BW378</f>
        <v>0</v>
      </c>
      <c r="AD379" s="352"/>
      <c r="AE379" s="352"/>
    </row>
    <row r="380" spans="1:31" ht="15" hidden="1" customHeight="1">
      <c r="A380" s="22" t="s">
        <v>2206</v>
      </c>
      <c r="B380" s="809" t="str">
        <f>GRAL!B381</f>
        <v>2018-2021</v>
      </c>
      <c r="C380" s="16">
        <f>OBRA!J379</f>
        <v>2019</v>
      </c>
      <c r="D380" s="1415"/>
      <c r="E380" s="17" t="str">
        <f>OBRA!M379</f>
        <v>P.I.D.</v>
      </c>
      <c r="F380" s="478"/>
      <c r="G380" s="352"/>
      <c r="H380" s="1"/>
      <c r="I380" s="352"/>
      <c r="J380" s="54" t="str">
        <f>OBRA!W379</f>
        <v>C. JESÚS RAMÍREZ JIMÉNEZ</v>
      </c>
      <c r="K380" s="55" t="str">
        <f>OBRA!X379</f>
        <v>LIC. SALVADOR CONTRERAS OLGUÍN</v>
      </c>
      <c r="L380" s="19" t="str">
        <f>OBRA!N379</f>
        <v>PID/2019 - NEXTIPAC</v>
      </c>
      <c r="M380" s="2" t="str">
        <f>OBRA!O379</f>
        <v>ADQUISICIÓN</v>
      </c>
      <c r="N380" s="3" t="str">
        <f>OBRA!P379</f>
        <v>ADQUISICIÓN DE: UN MUELLE FLOTANTE Y ESTACIÓN DE RECICLADO, PARA LA LOCALIDAD DE NEXTIPAC.</v>
      </c>
      <c r="O380" s="504" t="s">
        <v>3493</v>
      </c>
      <c r="P380" s="6">
        <f>OBRA!S379</f>
        <v>43759</v>
      </c>
      <c r="Q380" s="4">
        <f>OBRA!R379</f>
        <v>256520.08</v>
      </c>
      <c r="R380" s="5" t="str">
        <f>OBRA!T379</f>
        <v>-</v>
      </c>
      <c r="S380" s="11" t="str">
        <f>OBRA!U379</f>
        <v>-</v>
      </c>
      <c r="T380" s="53"/>
      <c r="U380" s="377" t="s">
        <v>1428</v>
      </c>
      <c r="V380" s="309"/>
      <c r="W380" s="11"/>
      <c r="X380" s="279">
        <f>OBRA!AR379</f>
        <v>0</v>
      </c>
      <c r="Y380" s="309"/>
      <c r="Z380" s="309"/>
      <c r="AA380" s="5"/>
      <c r="AB380" s="313"/>
      <c r="AC380" s="317">
        <f>OBRA!BW379</f>
        <v>0</v>
      </c>
      <c r="AD380" s="352"/>
      <c r="AE380" s="352"/>
    </row>
    <row r="381" spans="1:31" ht="15" hidden="1" customHeight="1">
      <c r="A381" s="22" t="s">
        <v>2206</v>
      </c>
      <c r="B381" s="809" t="str">
        <f>GRAL!B382</f>
        <v>2018-2021</v>
      </c>
      <c r="C381" s="16">
        <f>OBRA!J380</f>
        <v>2019</v>
      </c>
      <c r="D381" s="1415"/>
      <c r="E381" s="17" t="str">
        <f>OBRA!M380</f>
        <v>P.I.D.</v>
      </c>
      <c r="F381" s="478"/>
      <c r="G381" s="352"/>
      <c r="H381" s="1"/>
      <c r="I381" s="352"/>
      <c r="J381" s="54" t="str">
        <f>OBRA!W380</f>
        <v>C. JESÚS RAMÍREZ JIMÉNEZ</v>
      </c>
      <c r="K381" s="55" t="str">
        <f>OBRA!X380</f>
        <v>ARQ. CESAR ANTONIO ALONSO JIMENEZ</v>
      </c>
      <c r="L381" s="19" t="str">
        <f>OBRA!N380</f>
        <v>PID/2019 - SJC</v>
      </c>
      <c r="M381" s="2" t="str">
        <f>OBRA!O380</f>
        <v>ADQUISICIÓN</v>
      </c>
      <c r="N381" s="3" t="str">
        <f>OBRA!P380</f>
        <v>ADQUISICIÓN DE: UN MUELLE FLOTANTE Y ESTACIÓN DE RECICLADO, PARA LA LOCALIDAD DE SAN JUAN CÓSALA.</v>
      </c>
      <c r="O381" s="504" t="s">
        <v>3493</v>
      </c>
      <c r="P381" s="6">
        <f>OBRA!S380</f>
        <v>43759</v>
      </c>
      <c r="Q381" s="4">
        <f>OBRA!R380</f>
        <v>256520.08</v>
      </c>
      <c r="R381" s="5" t="str">
        <f>OBRA!T380</f>
        <v>-</v>
      </c>
      <c r="S381" s="11" t="str">
        <f>OBRA!U380</f>
        <v>-</v>
      </c>
      <c r="T381" s="53"/>
      <c r="U381" s="377" t="s">
        <v>1428</v>
      </c>
      <c r="V381" s="309"/>
      <c r="W381" s="11"/>
      <c r="X381" s="279">
        <f>OBRA!AR380</f>
        <v>0</v>
      </c>
      <c r="Y381" s="309"/>
      <c r="Z381" s="309"/>
      <c r="AA381" s="5"/>
      <c r="AB381" s="313"/>
      <c r="AC381" s="317">
        <f>OBRA!BW380</f>
        <v>0</v>
      </c>
      <c r="AD381" s="352"/>
      <c r="AE381" s="352"/>
    </row>
    <row r="382" spans="1:31" ht="15" hidden="1" customHeight="1">
      <c r="A382" s="22" t="s">
        <v>2206</v>
      </c>
      <c r="B382" s="809" t="str">
        <f>GRAL!B383</f>
        <v>2018-2021</v>
      </c>
      <c r="C382" s="16">
        <f>OBRA!J381</f>
        <v>2019</v>
      </c>
      <c r="D382" s="1415"/>
      <c r="E382" s="17" t="str">
        <f>OBRA!M381</f>
        <v>CUENTA CORRIENTE</v>
      </c>
      <c r="F382" s="478"/>
      <c r="G382" s="352"/>
      <c r="H382" s="1"/>
      <c r="I382" s="352"/>
      <c r="J382" s="54" t="str">
        <f>OBRA!W381</f>
        <v>C. VICENTE NAVARRO RUIZ</v>
      </c>
      <c r="K382" s="55" t="str">
        <f>OBRA!X381</f>
        <v>-</v>
      </c>
      <c r="L382" s="19" t="str">
        <f>OBRA!N381</f>
        <v>CTA-CTE/2019</v>
      </c>
      <c r="M382" s="2" t="str">
        <f>OBRA!O381</f>
        <v>ARRENDAMIENTO</v>
      </c>
      <c r="N382" s="3" t="str">
        <f>OBRA!P381</f>
        <v>ARRENTAMIENTO DEL: INMUEBLE UBICADO EN CALLE HIDALGO Nº 12, EN LA LOCALIDAD DEL MOLINO, PERTENECIENTE AL MUNICIPIO DE JOCOTEPEC, JALISCO.</v>
      </c>
      <c r="O382" s="541"/>
      <c r="P382" s="6">
        <f>OBRA!S381</f>
        <v>43699</v>
      </c>
      <c r="Q382" s="4">
        <f>OBRA!R381</f>
        <v>4800</v>
      </c>
      <c r="R382" s="5">
        <f>OBRA!T381</f>
        <v>43699</v>
      </c>
      <c r="S382" s="11">
        <f>OBRA!U381</f>
        <v>43821</v>
      </c>
      <c r="T382" s="53"/>
      <c r="U382" s="377" t="s">
        <v>1428</v>
      </c>
      <c r="V382" s="309"/>
      <c r="W382" s="11"/>
      <c r="X382" s="279">
        <f>OBRA!AR381</f>
        <v>0</v>
      </c>
      <c r="Y382" s="309"/>
      <c r="Z382" s="309"/>
      <c r="AA382" s="5"/>
      <c r="AB382" s="313"/>
      <c r="AC382" s="317">
        <f>OBRA!BW381</f>
        <v>0</v>
      </c>
      <c r="AD382" s="352"/>
      <c r="AE382" s="352"/>
    </row>
    <row r="383" spans="1:31" ht="149.25" hidden="1" customHeight="1">
      <c r="A383" s="22" t="s">
        <v>2206</v>
      </c>
      <c r="B383" s="809" t="str">
        <f>GRAL!B384</f>
        <v>2018-2021</v>
      </c>
      <c r="C383" s="16">
        <f>OBRA!J382</f>
        <v>2019</v>
      </c>
      <c r="D383" s="1415"/>
      <c r="E383" s="17" t="str">
        <f>OBRA!M382</f>
        <v>RAMO 33</v>
      </c>
      <c r="F383" s="478" t="s">
        <v>1428</v>
      </c>
      <c r="G383" s="1108"/>
      <c r="H383" s="219"/>
      <c r="I383" s="1108"/>
      <c r="J383" s="54" t="str">
        <f>OBRA!W382</f>
        <v>CONSTRUCTORA PIMONT S.A. DE C.V.</v>
      </c>
      <c r="K383" s="55" t="str">
        <f>OBRA!X382</f>
        <v>-</v>
      </c>
      <c r="L383" s="33" t="str">
        <f>OBRA!N382</f>
        <v>LEVANTAMIENTOS TOPOGRAFICOS</v>
      </c>
      <c r="M383" s="2" t="str">
        <f>OBRA!O382</f>
        <v>SERVICIOS</v>
      </c>
      <c r="N383" s="3" t="str">
        <f>OBRA!P382</f>
        <v>CONTRATACIÓN DE LA PRESTACIÓN DE SERVICIOS PROFECIONALES para realización de levantamientos topograficos y propuestas de rasantes, en los proyectos del programa FAIS RAMO 33-Ejercicio Fiscal-2019, en las ZONAS ZAP del Municipio de Jocotepec, Jalisco.</v>
      </c>
      <c r="O383" s="466" t="s">
        <v>3492</v>
      </c>
      <c r="P383" s="6">
        <f>OBRA!S382</f>
        <v>43637</v>
      </c>
      <c r="Q383" s="4">
        <f>OBRA!R382</f>
        <v>250096</v>
      </c>
      <c r="R383" s="5">
        <f>OBRA!T382</f>
        <v>43640</v>
      </c>
      <c r="S383" s="11">
        <f>OBRA!U382</f>
        <v>43830</v>
      </c>
      <c r="T383" s="53"/>
      <c r="U383" s="377" t="s">
        <v>1428</v>
      </c>
      <c r="V383" s="508"/>
      <c r="W383" s="509"/>
      <c r="X383" s="1201">
        <f>OBRA!AR382</f>
        <v>0</v>
      </c>
      <c r="Y383" s="309"/>
      <c r="Z383" s="309"/>
      <c r="AA383" s="5"/>
      <c r="AB383" s="313"/>
      <c r="AC383" s="317">
        <f>OBRA!BW382</f>
        <v>0</v>
      </c>
      <c r="AD383" s="352"/>
      <c r="AE383" s="352"/>
    </row>
    <row r="384" spans="1:31" ht="186.75" hidden="1" customHeight="1">
      <c r="A384" s="22" t="s">
        <v>2206</v>
      </c>
      <c r="B384" s="809" t="str">
        <f>GRAL!B385</f>
        <v>2018-2021</v>
      </c>
      <c r="C384" s="16">
        <f>OBRA!J383</f>
        <v>2019</v>
      </c>
      <c r="D384" s="1415"/>
      <c r="E384" s="17" t="str">
        <f>OBRA!M383</f>
        <v>RAMO 33</v>
      </c>
      <c r="F384" s="478" t="s">
        <v>1428</v>
      </c>
      <c r="G384" s="466" t="s">
        <v>3693</v>
      </c>
      <c r="H384" s="524" t="s">
        <v>3693</v>
      </c>
      <c r="I384" s="699" t="s">
        <v>3693</v>
      </c>
      <c r="J384" s="54" t="str">
        <f>OBRA!W383</f>
        <v>CONSTRUCTORA PIMONT S.A. DE C.V.</v>
      </c>
      <c r="K384" s="55" t="str">
        <f>OBRA!X383</f>
        <v>ING. J. GUADALUPE IBARRA RAMIREZ</v>
      </c>
      <c r="L384" s="33" t="str">
        <f>OBRA!N383</f>
        <v>GMJ 001 C-OP/2019</v>
      </c>
      <c r="M384" s="2" t="str">
        <f>OBRA!O383</f>
        <v>ADJUDICACIÓN DIRECTA</v>
      </c>
      <c r="N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6" t="s">
        <v>3494</v>
      </c>
      <c r="P384" s="67">
        <f>OBRA!S383</f>
        <v>43529</v>
      </c>
      <c r="Q384" s="79">
        <f>OBRA!R383</f>
        <v>731445.69</v>
      </c>
      <c r="R384" s="5">
        <f>OBRA!T383</f>
        <v>43530</v>
      </c>
      <c r="S384" s="11">
        <f>OBRA!U383</f>
        <v>43616</v>
      </c>
      <c r="T384" s="1352" t="s">
        <v>3816</v>
      </c>
      <c r="U384" s="62" t="s">
        <v>1428</v>
      </c>
      <c r="V384" s="466" t="s">
        <v>3693</v>
      </c>
      <c r="W384" s="699" t="s">
        <v>3693</v>
      </c>
      <c r="X384" s="986">
        <f>OBRA!AR383</f>
        <v>146289.12</v>
      </c>
      <c r="Y384" s="309"/>
      <c r="Z384" s="309"/>
      <c r="AA384" s="5"/>
      <c r="AB384" s="313"/>
      <c r="AC384" s="317">
        <f>OBRA!BW383</f>
        <v>0</v>
      </c>
      <c r="AD384" s="1"/>
      <c r="AE384" s="352" t="s">
        <v>551</v>
      </c>
    </row>
    <row r="385" spans="1:31" ht="98.25" hidden="1" customHeight="1">
      <c r="A385" s="22" t="s">
        <v>2206</v>
      </c>
      <c r="B385" s="809" t="str">
        <f>GRAL!B386</f>
        <v>2018-2021</v>
      </c>
      <c r="C385" s="16">
        <f>OBRA!J384</f>
        <v>2019</v>
      </c>
      <c r="D385" s="1415"/>
      <c r="E385" s="17" t="str">
        <f>OBRA!M384</f>
        <v>CUENTA CORRIENTE</v>
      </c>
      <c r="F385" s="478" t="s">
        <v>1428</v>
      </c>
      <c r="G385" s="466" t="s">
        <v>3694</v>
      </c>
      <c r="H385" s="524" t="s">
        <v>3694</v>
      </c>
      <c r="I385" s="699" t="s">
        <v>3694</v>
      </c>
      <c r="J385" s="54" t="str">
        <f>OBRA!W384</f>
        <v>CONSTRUCTORA PIMONT S.A. DE C.V.</v>
      </c>
      <c r="K385" s="55" t="str">
        <f>OBRA!X384</f>
        <v>LIC. SALVADOR CONTRERAS OLGUÍN</v>
      </c>
      <c r="L385" s="33" t="str">
        <f>OBRA!N384</f>
        <v>GMJ 002 C-OP/2019</v>
      </c>
      <c r="M385" s="2" t="str">
        <f>OBRA!O384</f>
        <v>ADJUDICACIÓN DIRECTA</v>
      </c>
      <c r="N385" s="3" t="str">
        <f>OBRA!P384</f>
        <v>"CONSERVACIÓN Y MANTENIMIENTO INCLUYENTE DE BANQUETA Y ACCESO A HOSPITAL DE URGENCIAS EN LA CABECERA MUNICIPAL DE JOCOTEPEC, JALISCO"</v>
      </c>
      <c r="O385" s="466" t="s">
        <v>3494</v>
      </c>
      <c r="P385" s="67">
        <f>OBRA!S384</f>
        <v>43592</v>
      </c>
      <c r="Q385" s="79">
        <f>OBRA!R384</f>
        <v>140710.85999999999</v>
      </c>
      <c r="R385" s="5">
        <f>OBRA!T384</f>
        <v>43593</v>
      </c>
      <c r="S385" s="11">
        <f>OBRA!U384</f>
        <v>43624</v>
      </c>
      <c r="T385" s="207" t="s">
        <v>3815</v>
      </c>
      <c r="U385" s="62" t="s">
        <v>1428</v>
      </c>
      <c r="V385" s="466" t="s">
        <v>3694</v>
      </c>
      <c r="W385" s="699" t="s">
        <v>3694</v>
      </c>
      <c r="X385" s="986">
        <f>OBRA!AR384</f>
        <v>118142.16</v>
      </c>
      <c r="Y385" s="309"/>
      <c r="Z385" s="309"/>
      <c r="AA385" s="5"/>
      <c r="AB385" s="313"/>
      <c r="AC385" s="317">
        <f>OBRA!BW384</f>
        <v>0</v>
      </c>
      <c r="AD385" s="1"/>
      <c r="AE385" s="352" t="s">
        <v>551</v>
      </c>
    </row>
    <row r="386" spans="1:31" ht="99.95" hidden="1" customHeight="1">
      <c r="A386" s="22" t="s">
        <v>2206</v>
      </c>
      <c r="B386" s="809" t="str">
        <f>GRAL!B387</f>
        <v>2018-2021</v>
      </c>
      <c r="C386" s="16">
        <f>OBRA!J385</f>
        <v>2019</v>
      </c>
      <c r="D386" s="1415"/>
      <c r="E386" s="17" t="str">
        <f>OBRA!M385</f>
        <v>RAMO 33</v>
      </c>
      <c r="F386" s="478" t="s">
        <v>1428</v>
      </c>
      <c r="G386" s="466" t="s">
        <v>3695</v>
      </c>
      <c r="H386" s="524" t="s">
        <v>3695</v>
      </c>
      <c r="I386" s="699" t="s">
        <v>3695</v>
      </c>
      <c r="J386" s="54" t="str">
        <f>OBRA!W385</f>
        <v>ARQUITECTURA INGENIERÍA MENDPAD S.A. DE C.V.</v>
      </c>
      <c r="K386" s="55" t="str">
        <f>OBRA!X385</f>
        <v>LIC. SALVADOR CONTRERAS OLGUÍN</v>
      </c>
      <c r="L386" s="33" t="str">
        <f>OBRA!N385</f>
        <v>GMJ 003 C-OP/2019</v>
      </c>
      <c r="M386" s="2" t="str">
        <f>OBRA!O385</f>
        <v>CANCELADA</v>
      </c>
      <c r="N386" s="3" t="str">
        <f>OBRA!P385</f>
        <v>"REHABILITACIÓN DE LÍNEAS HIDROSANITARIAS EN LA CALLE PRIVADA MORELOS DELEGACIÓN DE SAN JUAN COSALA MUNICIPIO DE JOCOTEPEC, JALISCO".</v>
      </c>
      <c r="O386" s="466" t="s">
        <v>3494</v>
      </c>
      <c r="P386" s="67">
        <f>OBRA!S385</f>
        <v>43609</v>
      </c>
      <c r="Q386" s="79">
        <f>OBRA!R385</f>
        <v>400650.13</v>
      </c>
      <c r="R386" s="5">
        <f>OBRA!T385</f>
        <v>43612</v>
      </c>
      <c r="S386" s="11">
        <f>OBRA!U385</f>
        <v>43629</v>
      </c>
      <c r="T386" s="1352" t="s">
        <v>3816</v>
      </c>
      <c r="U386" s="62" t="s">
        <v>1428</v>
      </c>
      <c r="V386" s="466" t="s">
        <v>3695</v>
      </c>
      <c r="W386" s="699" t="s">
        <v>3695</v>
      </c>
      <c r="X386" s="986">
        <f>OBRA!AR385</f>
        <v>80130.02</v>
      </c>
      <c r="Y386" s="309"/>
      <c r="Z386" s="309"/>
      <c r="AA386" s="5"/>
      <c r="AB386" s="313"/>
      <c r="AC386" s="317">
        <f>OBRA!BW385</f>
        <v>0</v>
      </c>
      <c r="AD386" s="352"/>
      <c r="AE386" s="352" t="s">
        <v>551</v>
      </c>
    </row>
    <row r="387" spans="1:31" ht="99.95" hidden="1" customHeight="1">
      <c r="A387" s="22" t="s">
        <v>2206</v>
      </c>
      <c r="B387" s="809" t="str">
        <f>GRAL!B388</f>
        <v>2018-2021</v>
      </c>
      <c r="C387" s="16">
        <f>OBRA!J386</f>
        <v>2019</v>
      </c>
      <c r="D387" s="1415"/>
      <c r="E387" s="17" t="str">
        <f>OBRA!M386</f>
        <v>RAMO 33</v>
      </c>
      <c r="F387" s="478" t="s">
        <v>1428</v>
      </c>
      <c r="G387" s="466" t="s">
        <v>3696</v>
      </c>
      <c r="H387" s="524" t="s">
        <v>3696</v>
      </c>
      <c r="I387" s="699" t="s">
        <v>3696</v>
      </c>
      <c r="J387" s="54" t="str">
        <f>OBRA!W386</f>
        <v>CONSTRUCTORA PIMONT S.A. DE C.V.</v>
      </c>
      <c r="K387" s="55" t="str">
        <f>OBRA!X386</f>
        <v>LIC. SALVADOR CONTRERAS OLGUÍN</v>
      </c>
      <c r="L387" s="33" t="str">
        <f>OBRA!N386</f>
        <v>GMJ 004 C-OP/2019</v>
      </c>
      <c r="M387" s="2" t="str">
        <f>OBRA!O386</f>
        <v>ADJUDICACIÓN DIRECTA</v>
      </c>
      <c r="N387" s="3" t="str">
        <f>OBRA!P386</f>
        <v>"CONSTRUCCIÓN DE BANQUETAS EN CALLE CUAUHTÉMOC, DELEGACIÓN DEL CHANTE, MUNICIPIO DE JOCOTEPEC, JALISCO</v>
      </c>
      <c r="O387" s="466" t="s">
        <v>3494</v>
      </c>
      <c r="P387" s="67">
        <f>OBRA!S386</f>
        <v>43609</v>
      </c>
      <c r="Q387" s="79">
        <f>OBRA!R386</f>
        <v>149018.54</v>
      </c>
      <c r="R387" s="5">
        <f>OBRA!T386</f>
        <v>43612</v>
      </c>
      <c r="S387" s="11">
        <f>OBRA!U386</f>
        <v>43626</v>
      </c>
      <c r="T387" s="1352" t="s">
        <v>3816</v>
      </c>
      <c r="U387" s="62" t="s">
        <v>1428</v>
      </c>
      <c r="V387" s="466" t="s">
        <v>3696</v>
      </c>
      <c r="W387" s="699" t="s">
        <v>3696</v>
      </c>
      <c r="X387" s="986">
        <f>OBRA!AR386</f>
        <v>29803.7</v>
      </c>
      <c r="Y387" s="309"/>
      <c r="Z387" s="309"/>
      <c r="AA387" s="5"/>
      <c r="AB387" s="313"/>
      <c r="AC387" s="317">
        <f>OBRA!BW386</f>
        <v>0</v>
      </c>
      <c r="AD387" s="1"/>
      <c r="AE387" s="352" t="s">
        <v>551</v>
      </c>
    </row>
    <row r="388" spans="1:31" ht="143.25" hidden="1" customHeight="1">
      <c r="A388" s="22" t="s">
        <v>2206</v>
      </c>
      <c r="B388" s="809" t="str">
        <f>GRAL!B389</f>
        <v>2018-2021</v>
      </c>
      <c r="C388" s="16">
        <f>OBRA!J387</f>
        <v>2019</v>
      </c>
      <c r="D388" s="1415"/>
      <c r="E388" s="17" t="str">
        <f>OBRA!M387</f>
        <v>RAMO 33</v>
      </c>
      <c r="F388" s="478" t="s">
        <v>1428</v>
      </c>
      <c r="G388" s="466" t="s">
        <v>3697</v>
      </c>
      <c r="H388" s="524" t="s">
        <v>3697</v>
      </c>
      <c r="I388" s="699" t="s">
        <v>3697</v>
      </c>
      <c r="J388" s="54" t="str">
        <f>OBRA!W387</f>
        <v>SIFRAL INGENIERIA S.A. DE C.V.</v>
      </c>
      <c r="K388" s="55" t="str">
        <f>OBRA!X387</f>
        <v>ING. J. GUADALUPE IBARRA RAMIREZ</v>
      </c>
      <c r="L388" s="33" t="str">
        <f>OBRA!N387</f>
        <v>GMJ 005 C-OP/2019</v>
      </c>
      <c r="M388" s="2" t="str">
        <f>OBRA!O387</f>
        <v>ADJUDICACIÓN DIRECTA</v>
      </c>
      <c r="N388" s="3" t="str">
        <f>OBRA!P387</f>
        <v xml:space="preserve">"REHABILITACIÓN DE LINEAS DE AGUA POTABLE EN CALLE 20 DE NOVIEMBRE DE ITURBIDE A PRIMAVERA CON REPOSICIÓN DE SUPERFICIE DE RODAMIENTO", CABECERA MUNICIPAL DEL MUNICIPIO DE JOCOTEPEC, JALISCO. </v>
      </c>
      <c r="O388" s="466" t="s">
        <v>3494</v>
      </c>
      <c r="P388" s="67">
        <f>OBRA!S387</f>
        <v>43606</v>
      </c>
      <c r="Q388" s="79">
        <f>OBRA!R387</f>
        <v>603785.16</v>
      </c>
      <c r="R388" s="5">
        <f>OBRA!T387</f>
        <v>43608</v>
      </c>
      <c r="S388" s="11">
        <f>OBRA!U387</f>
        <v>43677</v>
      </c>
      <c r="T388" s="1352" t="s">
        <v>3816</v>
      </c>
      <c r="U388" s="62" t="s">
        <v>1428</v>
      </c>
      <c r="V388" s="499" t="s">
        <v>3697</v>
      </c>
      <c r="W388" s="597" t="s">
        <v>3697</v>
      </c>
      <c r="X388" s="988">
        <f>OBRA!AR387</f>
        <v>271444.19</v>
      </c>
      <c r="Y388" s="309"/>
      <c r="Z388" s="309"/>
      <c r="AA388" s="5"/>
      <c r="AB388" s="313"/>
      <c r="AC388" s="317">
        <f>OBRA!BW387</f>
        <v>0</v>
      </c>
      <c r="AD388" s="1"/>
      <c r="AE388" s="352" t="s">
        <v>551</v>
      </c>
    </row>
    <row r="389" spans="1:31" ht="144.75" hidden="1" customHeight="1">
      <c r="A389" s="22" t="s">
        <v>2206</v>
      </c>
      <c r="B389" s="809" t="str">
        <f>GRAL!B390</f>
        <v>2018-2021</v>
      </c>
      <c r="C389" s="16">
        <f>OBRA!J388</f>
        <v>2019</v>
      </c>
      <c r="D389" s="1415"/>
      <c r="E389" s="17" t="str">
        <f>OBRA!M388</f>
        <v>RAMO 33</v>
      </c>
      <c r="F389" s="478" t="s">
        <v>1428</v>
      </c>
      <c r="G389" s="466" t="s">
        <v>3698</v>
      </c>
      <c r="H389" s="524" t="s">
        <v>3698</v>
      </c>
      <c r="I389" s="699" t="s">
        <v>3698</v>
      </c>
      <c r="J389" s="54" t="str">
        <f>OBRA!W388</f>
        <v>SIFRAL INGENIERIA S.A. DE C.V.</v>
      </c>
      <c r="K389" s="55" t="str">
        <f>OBRA!X388</f>
        <v>ING. J. GUADALUPE IBARRA RAMIREZ</v>
      </c>
      <c r="L389" s="33" t="str">
        <f>OBRA!N388</f>
        <v>GMJ 006 C-OP/2019</v>
      </c>
      <c r="M389" s="2" t="str">
        <f>OBRA!O388</f>
        <v>ADJUDICACIÓN DIRECTA</v>
      </c>
      <c r="N389" s="3" t="str">
        <f>OBRA!P388</f>
        <v>"REHABILITACIÓN DE LÍNEA DE DRENAJE SANITARIO EN CALLE 20 DE NOVIEMBRE DE ITURBIDE A PRIMAVERA CON REPOSICIÓN DE SUPERFICIE DE RODAMIENTO", EN CABECERA MUNICIPAL DEL MUNICIPIO DE JOCOTEPEC, JALISCO.</v>
      </c>
      <c r="O389" s="466" t="s">
        <v>3494</v>
      </c>
      <c r="P389" s="67">
        <f>OBRA!S388</f>
        <v>43606</v>
      </c>
      <c r="Q389" s="79">
        <f>OBRA!R388</f>
        <v>619003.23</v>
      </c>
      <c r="R389" s="5">
        <f>OBRA!T388</f>
        <v>43608</v>
      </c>
      <c r="S389" s="11">
        <f>OBRA!U388</f>
        <v>43677</v>
      </c>
      <c r="T389" s="1352" t="s">
        <v>3816</v>
      </c>
      <c r="U389" s="62" t="s">
        <v>1428</v>
      </c>
      <c r="V389" s="499" t="s">
        <v>3698</v>
      </c>
      <c r="W389" s="597" t="s">
        <v>3698</v>
      </c>
      <c r="X389" s="988">
        <f>OBRA!AR388</f>
        <v>278285.78000000003</v>
      </c>
      <c r="Y389" s="309"/>
      <c r="Z389" s="309"/>
      <c r="AA389" s="5"/>
      <c r="AB389" s="313"/>
      <c r="AC389" s="317">
        <f>OBRA!BW388</f>
        <v>0</v>
      </c>
      <c r="AD389" s="1"/>
      <c r="AE389" s="352" t="s">
        <v>551</v>
      </c>
    </row>
    <row r="390" spans="1:31" ht="113.25" hidden="1" customHeight="1">
      <c r="A390" s="22" t="s">
        <v>2206</v>
      </c>
      <c r="B390" s="809" t="str">
        <f>GRAL!B391</f>
        <v>2018-2021</v>
      </c>
      <c r="C390" s="16">
        <f>OBRA!J389</f>
        <v>2019</v>
      </c>
      <c r="D390" s="1415"/>
      <c r="E390" s="17" t="str">
        <f>OBRA!M389</f>
        <v>RAMO 33</v>
      </c>
      <c r="F390" s="478" t="s">
        <v>1428</v>
      </c>
      <c r="G390" s="466" t="s">
        <v>3699</v>
      </c>
      <c r="H390" s="524" t="s">
        <v>3699</v>
      </c>
      <c r="I390" s="699" t="s">
        <v>3699</v>
      </c>
      <c r="J390" s="54" t="str">
        <f>OBRA!W389</f>
        <v>ING. OCTAVIO AUGUSTO GONZALEZ TREJO</v>
      </c>
      <c r="K390" s="55" t="str">
        <f>OBRA!X389</f>
        <v>LIC. SALVADOR CONTRERAS OLGUÍN</v>
      </c>
      <c r="L390" s="33" t="str">
        <f>OBRA!N389</f>
        <v>GMJ 007 C-OP/2019</v>
      </c>
      <c r="M390" s="2" t="str">
        <f>OBRA!O389</f>
        <v>CANCELADA</v>
      </c>
      <c r="N390" s="3" t="str">
        <f>OBRA!P389</f>
        <v>"CONSTRUCCIÓN DE EMPEDRADO AHOGADO EN HUELLAS DE CONCRETO MR-42 EN CALLE CARDENAL NORTE", EN LA LOCALIDAD DE SAN JUAN COSALA, MUNICIPIO DE JOCOTEPEC, JALISCO.</v>
      </c>
      <c r="O390" s="466" t="s">
        <v>3494</v>
      </c>
      <c r="P390" s="67">
        <f>OBRA!S389</f>
        <v>43606</v>
      </c>
      <c r="Q390" s="79">
        <f>OBRA!R389</f>
        <v>949742.46</v>
      </c>
      <c r="R390" s="5">
        <f>OBRA!T389</f>
        <v>43612</v>
      </c>
      <c r="S390" s="11">
        <f>OBRA!U389</f>
        <v>43643</v>
      </c>
      <c r="T390" s="1352" t="s">
        <v>3816</v>
      </c>
      <c r="U390" s="62" t="s">
        <v>1428</v>
      </c>
      <c r="V390" s="466" t="s">
        <v>3699</v>
      </c>
      <c r="W390" s="699" t="s">
        <v>3699</v>
      </c>
      <c r="X390" s="986">
        <f>OBRA!AR389</f>
        <v>427384.1</v>
      </c>
      <c r="Y390" s="309"/>
      <c r="Z390" s="309"/>
      <c r="AA390" s="5"/>
      <c r="AB390" s="313"/>
      <c r="AC390" s="317">
        <f>OBRA!BW389</f>
        <v>0</v>
      </c>
      <c r="AD390" s="352"/>
      <c r="AE390" s="352" t="s">
        <v>551</v>
      </c>
    </row>
    <row r="391" spans="1:31" ht="93" hidden="1" customHeight="1">
      <c r="A391" s="22" t="s">
        <v>2206</v>
      </c>
      <c r="B391" s="809" t="str">
        <f>GRAL!B392</f>
        <v>2018-2021</v>
      </c>
      <c r="C391" s="16">
        <f>OBRA!J390</f>
        <v>2019</v>
      </c>
      <c r="D391" s="1415"/>
      <c r="E391" s="17" t="str">
        <f>OBRA!M390</f>
        <v>CUENTA CORRIENTE</v>
      </c>
      <c r="F391" s="478" t="s">
        <v>1428</v>
      </c>
      <c r="G391" s="466" t="s">
        <v>3700</v>
      </c>
      <c r="H391" s="524" t="s">
        <v>3700</v>
      </c>
      <c r="I391" s="699" t="s">
        <v>3700</v>
      </c>
      <c r="J391" s="54" t="str">
        <f>OBRA!W390</f>
        <v>ING. OCTAVIO AUGUSTO GONZALEZ TREJO</v>
      </c>
      <c r="K391" s="55" t="str">
        <f>OBRA!X390</f>
        <v>ING. RIGOBERTO OLMEDO RAMOS</v>
      </c>
      <c r="L391" s="33" t="str">
        <f>OBRA!N390</f>
        <v>GMJ 008 C-OP/2019</v>
      </c>
      <c r="M391" s="2" t="str">
        <f>OBRA!O390</f>
        <v>ADJUDICACIÓN DIRECTA</v>
      </c>
      <c r="N391" s="3" t="str">
        <f>OBRA!P390</f>
        <v>"CONSTRUCCION DE DEPOSITO PARA ALMACENAMIENTO DE AGUA POTABLE", EN LA LOCALIDAD DE HUEJOTITAN, MUNICIPIO DE JOCOTEPEC, JALISCO.</v>
      </c>
      <c r="O391" s="466" t="s">
        <v>3494</v>
      </c>
      <c r="P391" s="67">
        <f>OBRA!S390</f>
        <v>43606</v>
      </c>
      <c r="Q391" s="79">
        <f>OBRA!R390</f>
        <v>643537.42000000004</v>
      </c>
      <c r="R391" s="5">
        <f>OBRA!T390</f>
        <v>43614</v>
      </c>
      <c r="S391" s="11">
        <f>OBRA!U390</f>
        <v>43675</v>
      </c>
      <c r="T391" s="207" t="s">
        <v>3815</v>
      </c>
      <c r="U391" s="62" t="s">
        <v>1428</v>
      </c>
      <c r="V391" s="499" t="s">
        <v>3700</v>
      </c>
      <c r="W391" s="597" t="s">
        <v>3700</v>
      </c>
      <c r="X391" s="988">
        <f>OBRA!AR390</f>
        <v>289591.83999999997</v>
      </c>
      <c r="Y391" s="309"/>
      <c r="Z391" s="309"/>
      <c r="AA391" s="5"/>
      <c r="AB391" s="313"/>
      <c r="AC391" s="317">
        <f>OBRA!BW390</f>
        <v>0</v>
      </c>
      <c r="AD391" s="1"/>
      <c r="AE391" s="352" t="s">
        <v>551</v>
      </c>
    </row>
    <row r="392" spans="1:31" ht="109.5" hidden="1" customHeight="1">
      <c r="A392" s="22" t="s">
        <v>2206</v>
      </c>
      <c r="B392" s="809" t="str">
        <f>GRAL!B393</f>
        <v>2018-2021</v>
      </c>
      <c r="C392" s="16">
        <f>OBRA!J391</f>
        <v>2019</v>
      </c>
      <c r="D392" s="1415"/>
      <c r="E392" s="17" t="str">
        <f>OBRA!M391</f>
        <v>CUENTA CORRIENTE</v>
      </c>
      <c r="F392" s="478" t="s">
        <v>1428</v>
      </c>
      <c r="G392" s="496" t="s">
        <v>3701</v>
      </c>
      <c r="H392" s="495" t="s">
        <v>3701</v>
      </c>
      <c r="I392" s="496" t="s">
        <v>3701</v>
      </c>
      <c r="J392" s="54" t="str">
        <f>OBRA!W391</f>
        <v>ING. OCTAVIO AUGUSTO GONZALEZ TREJO</v>
      </c>
      <c r="K392" s="55" t="str">
        <f>OBRA!X391</f>
        <v>ING. JUAN MANUEL GARCIA ESCOTO</v>
      </c>
      <c r="L392" s="33" t="str">
        <f>OBRA!N391</f>
        <v>GMJ 009 C-OP/2019</v>
      </c>
      <c r="M392" s="2" t="str">
        <f>OBRA!O391</f>
        <v>ADJUDICACIÓN DIRECTA</v>
      </c>
      <c r="N392" s="3" t="str">
        <f>OBRA!P391</f>
        <v>CONSTRUCCIÓN DE PLATAFORMA Y CAMINO DE ACCESO AL PREDIO DEL DEPOSITO DE AGUA EN ZONA NORTE DE LA CABECERA MUNICIPAL DE JOCOTEPEC, JALISCO.</v>
      </c>
      <c r="O392" s="466" t="s">
        <v>3494</v>
      </c>
      <c r="P392" s="67">
        <f>OBRA!S391</f>
        <v>43607</v>
      </c>
      <c r="Q392" s="79">
        <f>OBRA!R391</f>
        <v>413006.4</v>
      </c>
      <c r="R392" s="5">
        <f>OBRA!T391</f>
        <v>43619</v>
      </c>
      <c r="S392" s="11">
        <f>OBRA!U391</f>
        <v>43645</v>
      </c>
      <c r="T392" s="207" t="s">
        <v>3815</v>
      </c>
      <c r="U392" s="62" t="s">
        <v>1428</v>
      </c>
      <c r="V392" s="499" t="s">
        <v>3701</v>
      </c>
      <c r="W392" s="597" t="s">
        <v>3701</v>
      </c>
      <c r="X392" s="986">
        <f>OBRA!AR391</f>
        <v>82601.279999999999</v>
      </c>
      <c r="Y392" s="309"/>
      <c r="Z392" s="309"/>
      <c r="AA392" s="5"/>
      <c r="AB392" s="313"/>
      <c r="AC392" s="317">
        <f>OBRA!BW391</f>
        <v>0</v>
      </c>
      <c r="AD392" s="1"/>
      <c r="AE392" s="352" t="s">
        <v>551</v>
      </c>
    </row>
    <row r="393" spans="1:31" ht="108.75" hidden="1" customHeight="1">
      <c r="A393" s="22" t="s">
        <v>2206</v>
      </c>
      <c r="B393" s="809" t="str">
        <f>GRAL!B394</f>
        <v>2018-2021</v>
      </c>
      <c r="C393" s="16">
        <f>OBRA!J392</f>
        <v>2019</v>
      </c>
      <c r="D393" s="1415"/>
      <c r="E393" s="17" t="str">
        <f>OBRA!M392</f>
        <v>CUENTA CORRIENTE</v>
      </c>
      <c r="F393" s="478" t="s">
        <v>1428</v>
      </c>
      <c r="G393" s="910" t="s">
        <v>3702</v>
      </c>
      <c r="H393" s="495" t="s">
        <v>3702</v>
      </c>
      <c r="I393" s="910" t="s">
        <v>3702</v>
      </c>
      <c r="J393" s="54" t="str">
        <f>OBRA!W392</f>
        <v>CONSTRUCTORA PIMONT S.A. DE C.V.</v>
      </c>
      <c r="K393" s="55" t="str">
        <f>OBRA!X392</f>
        <v>ING. J. GUADALUPE IBARRA RAMIREZ</v>
      </c>
      <c r="L393" s="33" t="str">
        <f>OBRA!N392</f>
        <v>GMJ 010 C-OP/2019</v>
      </c>
      <c r="M393" s="2" t="str">
        <f>OBRA!O392</f>
        <v>ADJUDICACIÓN DIRECTA</v>
      </c>
      <c r="N393" s="3" t="str">
        <f>OBRA!P392</f>
        <v>"CONSTRUCCIÓN DE DEPOSITO PARA ALMACENAMIENTO DE AGUA POTABLE", EN LA ZONA NORTE DE LA CABECERA MUNICIPAL DE JOCOTEPEC, JALISCO.</v>
      </c>
      <c r="O393" s="466" t="s">
        <v>3494</v>
      </c>
      <c r="P393" s="67">
        <f>OBRA!S392</f>
        <v>43637</v>
      </c>
      <c r="Q393" s="79">
        <f>OBRA!R392</f>
        <v>1649201.51</v>
      </c>
      <c r="R393" s="5">
        <f>OBRA!T392</f>
        <v>43640</v>
      </c>
      <c r="S393" s="11">
        <f>OBRA!U392</f>
        <v>43707</v>
      </c>
      <c r="T393" s="207" t="s">
        <v>3815</v>
      </c>
      <c r="U393" s="62" t="s">
        <v>1428</v>
      </c>
      <c r="V393" s="1300" t="s">
        <v>3702</v>
      </c>
      <c r="W393" s="699" t="s">
        <v>3702</v>
      </c>
      <c r="X393" s="988">
        <f>OBRA!AR392</f>
        <v>164920.15</v>
      </c>
      <c r="Y393" s="309"/>
      <c r="Z393" s="309"/>
      <c r="AA393" s="5"/>
      <c r="AB393" s="313"/>
      <c r="AC393" s="317">
        <f>OBRA!BW392</f>
        <v>0</v>
      </c>
      <c r="AD393" s="1"/>
      <c r="AE393" s="352" t="s">
        <v>551</v>
      </c>
    </row>
    <row r="394" spans="1:31" ht="112.5" hidden="1" customHeight="1">
      <c r="A394" s="22" t="s">
        <v>2206</v>
      </c>
      <c r="B394" s="809" t="str">
        <f>GRAL!B395</f>
        <v>2018-2021</v>
      </c>
      <c r="C394" s="16">
        <f>OBRA!J393</f>
        <v>2019</v>
      </c>
      <c r="D394" s="1415"/>
      <c r="E394" s="17" t="str">
        <f>OBRA!M393</f>
        <v>CUENTA CORRIENTE</v>
      </c>
      <c r="F394" s="478" t="s">
        <v>1428</v>
      </c>
      <c r="G394" s="496" t="s">
        <v>3703</v>
      </c>
      <c r="H394" s="495" t="s">
        <v>3703</v>
      </c>
      <c r="I394" s="496" t="s">
        <v>3703</v>
      </c>
      <c r="J394" s="54" t="str">
        <f>OBRA!W393</f>
        <v xml:space="preserve">CONSTRUCTORA Y EDIFICACIONES REMI Y ASOCIADOS S.A. DE C.V. </v>
      </c>
      <c r="K394" s="55" t="str">
        <f>OBRA!X393</f>
        <v>ING. RIGOBERTO OLMEDO RAMOS</v>
      </c>
      <c r="L394" s="33" t="str">
        <f>OBRA!N393</f>
        <v>GMJ 011 C-OP/2019</v>
      </c>
      <c r="M394" s="2" t="str">
        <f>OBRA!O393</f>
        <v>ADJUDICACIÓN DIRECTA</v>
      </c>
      <c r="N394" s="3" t="str">
        <f>OBRA!P393</f>
        <v>"CONSTRUCCIÓN DE DEPOSITO PARA ALMACENAMIENTO DE AGUA POTABLE", EN LA LOCALIDAD DE SAN CRISTOBAL ZAPOTITLAN, MUNICIPIO DE JOCOTEPEC, JALISCO.</v>
      </c>
      <c r="O394" s="466" t="s">
        <v>3495</v>
      </c>
      <c r="P394" s="67">
        <f>OBRA!S393</f>
        <v>43705</v>
      </c>
      <c r="Q394" s="79">
        <f>OBRA!R393</f>
        <v>643537.42000000004</v>
      </c>
      <c r="R394" s="5">
        <f>OBRA!T393</f>
        <v>43710</v>
      </c>
      <c r="S394" s="11">
        <f>OBRA!U393</f>
        <v>43785</v>
      </c>
      <c r="T394" s="207" t="s">
        <v>3815</v>
      </c>
      <c r="U394" s="62" t="s">
        <v>1428</v>
      </c>
      <c r="V394" s="1300" t="s">
        <v>3703</v>
      </c>
      <c r="W394" s="699" t="s">
        <v>3703</v>
      </c>
      <c r="X394" s="988">
        <f>OBRA!AR393</f>
        <v>225238.09999999998</v>
      </c>
      <c r="Y394" s="309"/>
      <c r="Z394" s="309"/>
      <c r="AA394" s="5"/>
      <c r="AB394" s="313"/>
      <c r="AC394" s="317">
        <f>OBRA!BW393</f>
        <v>0</v>
      </c>
      <c r="AD394" s="1"/>
      <c r="AE394" s="352" t="s">
        <v>551</v>
      </c>
    </row>
    <row r="395" spans="1:31" s="104" customFormat="1" ht="16.5" hidden="1" customHeight="1">
      <c r="A395" s="81" t="s">
        <v>2206</v>
      </c>
      <c r="B395" s="820" t="str">
        <f>GRAL!B396</f>
        <v>2018-2021</v>
      </c>
      <c r="C395" s="82">
        <f>OBRA!J394</f>
        <v>2019</v>
      </c>
      <c r="D395" s="781"/>
      <c r="E395" s="97">
        <f>OBRA!M394</f>
        <v>0</v>
      </c>
      <c r="F395" s="479"/>
      <c r="G395" s="354"/>
      <c r="H395" s="96"/>
      <c r="I395" s="354"/>
      <c r="J395" s="151">
        <f>OBRA!W394</f>
        <v>0</v>
      </c>
      <c r="K395" s="152">
        <f>OBRA!X394</f>
        <v>0</v>
      </c>
      <c r="L395" s="90" t="str">
        <f>OBRA!N394</f>
        <v>GMJ 012 C-OP/2019</v>
      </c>
      <c r="M395" s="85" t="str">
        <f>OBRA!O394</f>
        <v>CANCELADA</v>
      </c>
      <c r="N395" s="125">
        <f>OBRA!P394</f>
        <v>0</v>
      </c>
      <c r="O395" s="811"/>
      <c r="P395" s="87">
        <f>OBRA!S394</f>
        <v>0</v>
      </c>
      <c r="Q395" s="86">
        <f>OBRA!R394</f>
        <v>0</v>
      </c>
      <c r="R395" s="88">
        <f>OBRA!T394</f>
        <v>0</v>
      </c>
      <c r="S395" s="89">
        <f>OBRA!U394</f>
        <v>0</v>
      </c>
      <c r="T395" s="91"/>
      <c r="U395" s="688" t="s">
        <v>1428</v>
      </c>
      <c r="V395" s="311"/>
      <c r="W395" s="89"/>
      <c r="X395" s="284">
        <f>OBRA!AR394</f>
        <v>0</v>
      </c>
      <c r="Y395" s="311"/>
      <c r="Z395" s="311"/>
      <c r="AA395" s="88"/>
      <c r="AB395" s="1855"/>
      <c r="AC395" s="467">
        <f>OBRA!BW394</f>
        <v>0</v>
      </c>
      <c r="AD395" s="354"/>
      <c r="AE395" s="354"/>
    </row>
    <row r="396" spans="1:31" ht="103.5" hidden="1" customHeight="1">
      <c r="A396" s="22" t="s">
        <v>2206</v>
      </c>
      <c r="B396" s="809" t="str">
        <f>GRAL!B397</f>
        <v>2018-2021</v>
      </c>
      <c r="C396" s="16">
        <f>OBRA!J395</f>
        <v>2019</v>
      </c>
      <c r="D396" s="1415"/>
      <c r="E396" s="17" t="str">
        <f>OBRA!M395</f>
        <v>RAMO 33</v>
      </c>
      <c r="F396" s="478" t="s">
        <v>1428</v>
      </c>
      <c r="G396" s="466" t="s">
        <v>3704</v>
      </c>
      <c r="H396" s="524" t="s">
        <v>3704</v>
      </c>
      <c r="I396" s="699" t="s">
        <v>3704</v>
      </c>
      <c r="J396" s="54" t="str">
        <f>OBRA!W395</f>
        <v>CONSTRUCTORA PIMONT S.A. DE C.V.</v>
      </c>
      <c r="K396" s="55" t="str">
        <f>OBRA!X395</f>
        <v>LIC. SALVADOR CONTRERAS OLGUÍN</v>
      </c>
      <c r="L396" s="33" t="str">
        <f>OBRA!N395</f>
        <v>GMJ 013 C-OP/2019</v>
      </c>
      <c r="M396" s="2" t="str">
        <f>OBRA!O395</f>
        <v>ADJUDICACIÓN DIRECTA</v>
      </c>
      <c r="N396" s="3" t="str">
        <f>OBRA!P395</f>
        <v>"CONSTRUCCIÓN DE EMPEDRADO ECOLOGICO EN LA CALLE PRIVADA MORELOS, DELEGACIÓN DE CHANTE, MUNICIPIO DE JOCOTEPEC, JALISCO".</v>
      </c>
      <c r="O396" s="466" t="s">
        <v>3495</v>
      </c>
      <c r="P396" s="67">
        <f>OBRA!S395</f>
        <v>43626</v>
      </c>
      <c r="Q396" s="79">
        <f>OBRA!R395</f>
        <v>75313.95</v>
      </c>
      <c r="R396" s="5">
        <f>OBRA!T395</f>
        <v>43627</v>
      </c>
      <c r="S396" s="11">
        <f>OBRA!U395</f>
        <v>43637</v>
      </c>
      <c r="T396" s="1352" t="s">
        <v>3816</v>
      </c>
      <c r="U396" s="62" t="s">
        <v>1428</v>
      </c>
      <c r="V396" s="466" t="s">
        <v>3704</v>
      </c>
      <c r="W396" s="699" t="s">
        <v>3704</v>
      </c>
      <c r="X396" s="986">
        <f>OBRA!AR395</f>
        <v>15062.78</v>
      </c>
      <c r="Y396" s="309"/>
      <c r="Z396" s="309"/>
      <c r="AA396" s="5"/>
      <c r="AB396" s="313"/>
      <c r="AC396" s="317">
        <f>OBRA!BW395</f>
        <v>0</v>
      </c>
      <c r="AD396" s="1"/>
      <c r="AE396" s="352" t="s">
        <v>551</v>
      </c>
    </row>
    <row r="397" spans="1:31" ht="91.5" hidden="1" customHeight="1">
      <c r="A397" s="22" t="s">
        <v>2206</v>
      </c>
      <c r="B397" s="809" t="str">
        <f>GRAL!B398</f>
        <v>2018-2021</v>
      </c>
      <c r="C397" s="16">
        <f>OBRA!J396</f>
        <v>2019</v>
      </c>
      <c r="D397" s="1415"/>
      <c r="E397" s="17" t="str">
        <f>OBRA!M396</f>
        <v>RAMO 33</v>
      </c>
      <c r="F397" s="478" t="s">
        <v>1428</v>
      </c>
      <c r="G397" s="466" t="s">
        <v>3706</v>
      </c>
      <c r="H397" s="524" t="s">
        <v>3706</v>
      </c>
      <c r="I397" s="699" t="s">
        <v>3706</v>
      </c>
      <c r="J397" s="54" t="str">
        <f>OBRA!W396</f>
        <v>INGENIERÍA ARQUITECTURA MENDPAD S.A. DE C.V.</v>
      </c>
      <c r="K397" s="55" t="str">
        <f>OBRA!X396</f>
        <v>LIC. SALVADOR CONTRERAS OLGUÍN</v>
      </c>
      <c r="L397" s="33" t="str">
        <f>OBRA!N396</f>
        <v>GMJ 014 C-OP/2019</v>
      </c>
      <c r="M397" s="2" t="str">
        <f>OBRA!O396</f>
        <v>ADJUDICACIÓN DIRECTA</v>
      </c>
      <c r="N397" s="3" t="str">
        <f>OBRA!P396</f>
        <v>"CONSTRUCCIÓN DE BANQUETAS EN CALLE CUAUHTÉMOC, 2ª ETAPA, DELEGACIÓN DEL CHANTE, MUNICIPIO DE JOCOTEPEC, JALISCO</v>
      </c>
      <c r="O397" s="466" t="s">
        <v>3495</v>
      </c>
      <c r="P397" s="67">
        <f>OBRA!S396</f>
        <v>43670</v>
      </c>
      <c r="Q397" s="79">
        <f>OBRA!R396</f>
        <v>179219.86</v>
      </c>
      <c r="R397" s="5">
        <f>OBRA!T396</f>
        <v>43671</v>
      </c>
      <c r="S397" s="11">
        <f>OBRA!U396</f>
        <v>43687</v>
      </c>
      <c r="T397" s="1352" t="s">
        <v>3816</v>
      </c>
      <c r="U397" s="62" t="s">
        <v>1428</v>
      </c>
      <c r="V397" s="466" t="s">
        <v>3706</v>
      </c>
      <c r="W397" s="699" t="s">
        <v>3706</v>
      </c>
      <c r="X397" s="987">
        <f>OBRA!AR396</f>
        <v>17921.98</v>
      </c>
      <c r="Y397" s="309"/>
      <c r="Z397" s="309"/>
      <c r="AA397" s="5"/>
      <c r="AB397" s="313"/>
      <c r="AC397" s="317">
        <f>OBRA!BW396</f>
        <v>0</v>
      </c>
      <c r="AD397" s="1"/>
      <c r="AE397" s="352"/>
    </row>
    <row r="398" spans="1:31" ht="111.75" hidden="1" customHeight="1">
      <c r="A398" s="22" t="s">
        <v>2206</v>
      </c>
      <c r="B398" s="809" t="str">
        <f>GRAL!B399</f>
        <v>2018-2021</v>
      </c>
      <c r="C398" s="16">
        <f>OBRA!J397</f>
        <v>2019</v>
      </c>
      <c r="D398" s="1415"/>
      <c r="E398" s="17" t="str">
        <f>OBRA!M397</f>
        <v>RAMO 33</v>
      </c>
      <c r="F398" s="478" t="s">
        <v>1428</v>
      </c>
      <c r="G398" s="466" t="s">
        <v>3707</v>
      </c>
      <c r="H398" s="524" t="s">
        <v>3707</v>
      </c>
      <c r="I398" s="699" t="s">
        <v>3707</v>
      </c>
      <c r="J398" s="54" t="str">
        <f>OBRA!W397</f>
        <v>GALJACK ARQUITECTOS  Y CONSTRUCCIONES S.A. DE C.V.</v>
      </c>
      <c r="K398" s="55" t="str">
        <f>OBRA!X397</f>
        <v>LIC. SALVADOR CONTRERAS OLGUÍN</v>
      </c>
      <c r="L398" s="33" t="str">
        <f>OBRA!N397</f>
        <v>GMJ 015 C-OP/2019</v>
      </c>
      <c r="M398" s="2" t="str">
        <f>OBRA!O397</f>
        <v>ADJUDICACIÓN DIRECTA</v>
      </c>
      <c r="N398" s="3" t="str">
        <f>OBRA!P397</f>
        <v>REHABILITACIÓN DE LINEA DE AGUA POTABLE EN LA CALLE PRIVADA CARDENAL DE CARDENAL A CERRADA, EN LA DELEGACIÓN DE SAN JUAN COSALA, JOCOTEPEC, JALISCO.</v>
      </c>
      <c r="O398" s="466" t="s">
        <v>3495</v>
      </c>
      <c r="P398" s="67">
        <f>OBRA!S397</f>
        <v>43694</v>
      </c>
      <c r="Q398" s="79">
        <f>OBRA!R397</f>
        <v>77778.12</v>
      </c>
      <c r="R398" s="5">
        <f>OBRA!T397</f>
        <v>43703</v>
      </c>
      <c r="S398" s="11">
        <f>OBRA!U397</f>
        <v>43742</v>
      </c>
      <c r="T398" s="1352" t="s">
        <v>3816</v>
      </c>
      <c r="U398" s="62" t="s">
        <v>1428</v>
      </c>
      <c r="V398" s="499" t="s">
        <v>3707</v>
      </c>
      <c r="W398" s="1301" t="s">
        <v>3707</v>
      </c>
      <c r="X398" s="986">
        <f>OBRA!AR397</f>
        <v>35000.15</v>
      </c>
      <c r="Y398" s="309"/>
      <c r="Z398" s="309"/>
      <c r="AA398" s="5"/>
      <c r="AB398" s="313"/>
      <c r="AC398" s="317">
        <f>OBRA!BW397</f>
        <v>0</v>
      </c>
      <c r="AD398" s="1"/>
      <c r="AE398" s="352" t="s">
        <v>551</v>
      </c>
    </row>
    <row r="399" spans="1:31" ht="126" hidden="1" customHeight="1">
      <c r="A399" s="22" t="s">
        <v>2206</v>
      </c>
      <c r="B399" s="809" t="str">
        <f>GRAL!B400</f>
        <v>2018-2021</v>
      </c>
      <c r="C399" s="16">
        <f>OBRA!J398</f>
        <v>2019</v>
      </c>
      <c r="D399" s="1415"/>
      <c r="E399" s="17" t="str">
        <f>OBRA!M398</f>
        <v>RAMO 33</v>
      </c>
      <c r="F399" s="478" t="s">
        <v>1428</v>
      </c>
      <c r="G399" s="466" t="s">
        <v>3708</v>
      </c>
      <c r="H399" s="524" t="s">
        <v>3708</v>
      </c>
      <c r="I399" s="699" t="s">
        <v>3708</v>
      </c>
      <c r="J399" s="54" t="str">
        <f>OBRA!W398</f>
        <v>GALJACK ARQUITECTOS S.A. DE C.V.</v>
      </c>
      <c r="K399" s="55" t="str">
        <f>OBRA!X398</f>
        <v>LIC. SALVADOR CONTRERAS OLGUÍN</v>
      </c>
      <c r="L399" s="33" t="str">
        <f>OBRA!N398</f>
        <v>GMJ 016 C-OP/2019</v>
      </c>
      <c r="M399" s="2" t="str">
        <f>OBRA!O398</f>
        <v>ADJUDICACIÓN DIRECTA</v>
      </c>
      <c r="N399" s="3" t="str">
        <f>OBRA!P398</f>
        <v>REHABILITACION DE LINEA DE DRENAJE SANITARIO, EN LA CALLE PRIVADA CARDENAL DE CARDENAL A CERRADA, EN SAN JUAN COSALA, EN EL MUNICIPIO DE JOCOTEPEC, JALISCO.</v>
      </c>
      <c r="O399" s="466" t="s">
        <v>3495</v>
      </c>
      <c r="P399" s="67">
        <f>OBRA!S398</f>
        <v>43694</v>
      </c>
      <c r="Q399" s="79">
        <f>OBRA!R398</f>
        <v>108744.95</v>
      </c>
      <c r="R399" s="5">
        <f>OBRA!T398</f>
        <v>43703</v>
      </c>
      <c r="S399" s="11">
        <f>OBRA!U398</f>
        <v>43742</v>
      </c>
      <c r="T399" s="1352" t="s">
        <v>3816</v>
      </c>
      <c r="U399" s="62" t="s">
        <v>1428</v>
      </c>
      <c r="V399" s="466" t="s">
        <v>3708</v>
      </c>
      <c r="W399" s="699" t="s">
        <v>3708</v>
      </c>
      <c r="X399" s="988">
        <f>OBRA!AR398</f>
        <v>48935.22</v>
      </c>
      <c r="Y399" s="309"/>
      <c r="Z399" s="309"/>
      <c r="AA399" s="5"/>
      <c r="AB399" s="313"/>
      <c r="AC399" s="317">
        <f>OBRA!BW398</f>
        <v>0</v>
      </c>
      <c r="AD399" s="1"/>
      <c r="AE399" s="352" t="s">
        <v>551</v>
      </c>
    </row>
    <row r="400" spans="1:31" ht="133.5" hidden="1" customHeight="1">
      <c r="A400" s="22" t="s">
        <v>2206</v>
      </c>
      <c r="B400" s="809" t="str">
        <f>GRAL!B401</f>
        <v>2018-2021</v>
      </c>
      <c r="C400" s="16">
        <f>OBRA!J399</f>
        <v>2019</v>
      </c>
      <c r="D400" s="1415"/>
      <c r="E400" s="17" t="str">
        <f>OBRA!M399</f>
        <v>RAMO 33</v>
      </c>
      <c r="F400" s="478" t="s">
        <v>1428</v>
      </c>
      <c r="G400" s="496" t="s">
        <v>3709</v>
      </c>
      <c r="H400" s="495" t="s">
        <v>3709</v>
      </c>
      <c r="I400" s="496" t="s">
        <v>3709</v>
      </c>
      <c r="J400" s="54" t="str">
        <f>OBRA!W399</f>
        <v>ALSERCON SA DE CV</v>
      </c>
      <c r="K400" s="55" t="str">
        <f>OBRA!X399</f>
        <v>ING. J. GUADALUPE IBARRA RAMIREZ</v>
      </c>
      <c r="L400" s="33" t="str">
        <f>OBRA!N399</f>
        <v>GMJ 017 C-OP/2019</v>
      </c>
      <c r="M400" s="2" t="str">
        <f>OBRA!O399</f>
        <v>ADJUDICACIÓN DIRECTA</v>
      </c>
      <c r="N400" s="3" t="str">
        <f>OBRA!P399</f>
        <v>"REHABILITACIÓN DE LÍNEA DE DRENAJE CON REPOSICIÓN DE SUPERFICIE DE RODAMIENTO EN LA CALLE NIÑOS HEROES ENTRE CALLES ITURBIDE Y VERANO", EN LA CABECERA MUNICIPAL DE JOCOTEPEC, JALISCO.</v>
      </c>
      <c r="O400" s="466" t="s">
        <v>3495</v>
      </c>
      <c r="P400" s="67">
        <f>OBRA!S399</f>
        <v>43707</v>
      </c>
      <c r="Q400" s="79">
        <f>OBRA!R399</f>
        <v>983216.32</v>
      </c>
      <c r="R400" s="5">
        <f>OBRA!T399</f>
        <v>43710</v>
      </c>
      <c r="S400" s="11">
        <f>OBRA!U399</f>
        <v>43785</v>
      </c>
      <c r="T400" s="1352" t="s">
        <v>3816</v>
      </c>
      <c r="U400" s="62" t="s">
        <v>1428</v>
      </c>
      <c r="V400" s="466" t="s">
        <v>3709</v>
      </c>
      <c r="W400" s="597" t="s">
        <v>3709</v>
      </c>
      <c r="X400" s="988">
        <f>OBRA!AR399</f>
        <v>442447.33999999997</v>
      </c>
      <c r="Y400" s="309"/>
      <c r="Z400" s="309"/>
      <c r="AA400" s="5"/>
      <c r="AB400" s="313"/>
      <c r="AC400" s="317">
        <f>OBRA!BW399</f>
        <v>0</v>
      </c>
      <c r="AD400" s="1"/>
      <c r="AE400" s="352" t="s">
        <v>551</v>
      </c>
    </row>
    <row r="401" spans="1:31" ht="141.75" hidden="1" customHeight="1">
      <c r="A401" s="22" t="s">
        <v>2206</v>
      </c>
      <c r="B401" s="809" t="str">
        <f>GRAL!B402</f>
        <v>2018-2021</v>
      </c>
      <c r="C401" s="16">
        <f>OBRA!J400</f>
        <v>2019</v>
      </c>
      <c r="D401" s="1415"/>
      <c r="E401" s="17" t="str">
        <f>OBRA!M400</f>
        <v>RAMO 33</v>
      </c>
      <c r="F401" s="478" t="s">
        <v>1428</v>
      </c>
      <c r="G401" s="496" t="s">
        <v>3710</v>
      </c>
      <c r="H401" s="495" t="s">
        <v>3710</v>
      </c>
      <c r="I401" s="496" t="s">
        <v>3710</v>
      </c>
      <c r="J401" s="54" t="str">
        <f>OBRA!W400</f>
        <v>ALSERCON SA DE CV</v>
      </c>
      <c r="K401" s="55" t="str">
        <f>OBRA!X400</f>
        <v>ING. J. GUADALUPE IBARRA RAMIREZ</v>
      </c>
      <c r="L401" s="33" t="str">
        <f>OBRA!N400</f>
        <v>GMJ 018 C-OP/2019</v>
      </c>
      <c r="M401" s="2" t="str">
        <f>OBRA!O400</f>
        <v>ADJUDICACIÓN DIRECTA</v>
      </c>
      <c r="N401" s="3" t="str">
        <f>OBRA!P400</f>
        <v>"REHABILITACIÓN DE RED DE AGUA POTABLE CON REPOSICIÓN DE SUPERFICIE DE RODAMIENTO EN LA CALLE NIÑOS HEROES ENTRE CALLES ITURBIDE Y VERANO", EN LA CABECERA MUNICIPAL DE JOCOTEPEC, JALISCO.</v>
      </c>
      <c r="O401" s="466" t="s">
        <v>3495</v>
      </c>
      <c r="P401" s="67">
        <f>OBRA!S400</f>
        <v>43707</v>
      </c>
      <c r="Q401" s="79">
        <f>OBRA!R400</f>
        <v>872749.01</v>
      </c>
      <c r="R401" s="5">
        <f>OBRA!T400</f>
        <v>43710</v>
      </c>
      <c r="S401" s="11">
        <f>OBRA!U400</f>
        <v>43785</v>
      </c>
      <c r="T401" s="1352" t="s">
        <v>3816</v>
      </c>
      <c r="U401" s="62" t="s">
        <v>1428</v>
      </c>
      <c r="V401" s="499" t="s">
        <v>3710</v>
      </c>
      <c r="W401" s="597" t="s">
        <v>3710</v>
      </c>
      <c r="X401" s="988">
        <f>OBRA!AR400</f>
        <v>392737.05000000005</v>
      </c>
      <c r="Y401" s="309"/>
      <c r="Z401" s="309"/>
      <c r="AA401" s="5"/>
      <c r="AB401" s="313"/>
      <c r="AC401" s="317">
        <f>OBRA!BW400</f>
        <v>0</v>
      </c>
      <c r="AD401" s="1"/>
      <c r="AE401" s="352" t="s">
        <v>551</v>
      </c>
    </row>
    <row r="402" spans="1:31" ht="117.75" hidden="1" customHeight="1">
      <c r="A402" s="22" t="s">
        <v>2206</v>
      </c>
      <c r="B402" s="809" t="str">
        <f>GRAL!B403</f>
        <v>2018-2021</v>
      </c>
      <c r="C402" s="16">
        <f>OBRA!J401</f>
        <v>2019</v>
      </c>
      <c r="D402" s="1415"/>
      <c r="E402" s="17" t="str">
        <f>OBRA!M401</f>
        <v>RAMO 33</v>
      </c>
      <c r="F402" s="478" t="s">
        <v>1428</v>
      </c>
      <c r="G402" s="496" t="s">
        <v>3711</v>
      </c>
      <c r="H402" s="495" t="s">
        <v>3711</v>
      </c>
      <c r="I402" s="496" t="s">
        <v>3711</v>
      </c>
      <c r="J402" s="54" t="str">
        <f>OBRA!W401</f>
        <v>INGENIERÍA ARQUITECTURA MENDPAD S.A. DE C.V.</v>
      </c>
      <c r="K402" s="55" t="str">
        <f>OBRA!X401</f>
        <v>LIC. SALVADOR CONTRERAS OLGUÍN</v>
      </c>
      <c r="L402" s="33" t="str">
        <f>OBRA!N401</f>
        <v>GMJ 019 C-OP/2019</v>
      </c>
      <c r="M402" s="2" t="str">
        <f>OBRA!O401</f>
        <v>ADJUDICACIÓN DIRECTA</v>
      </c>
      <c r="N402" s="3" t="str">
        <f>OBRA!P401</f>
        <v>"REHABILITACIÓN RED DE DRENAJE SANITARIO EN LA CALLE PRIVADA ZARAGOZA DE CALLE ZARAGOZA A CERRADA DELEGACIÓN DE SAN JUAN COSALA MUNICIPIO DE JOCOTEPEC, JALISCO".</v>
      </c>
      <c r="O402" s="466" t="s">
        <v>3495</v>
      </c>
      <c r="P402" s="67">
        <f>OBRA!S401</f>
        <v>43707</v>
      </c>
      <c r="Q402" s="79">
        <f>OBRA!R401</f>
        <v>99707.9</v>
      </c>
      <c r="R402" s="5">
        <f>OBRA!T401</f>
        <v>43710</v>
      </c>
      <c r="S402" s="11">
        <f>OBRA!U401</f>
        <v>43731</v>
      </c>
      <c r="T402" s="1352" t="s">
        <v>3816</v>
      </c>
      <c r="U402" s="62" t="s">
        <v>1428</v>
      </c>
      <c r="V402" s="499" t="s">
        <v>3711</v>
      </c>
      <c r="W402" s="597" t="s">
        <v>3711</v>
      </c>
      <c r="X402" s="988">
        <f>OBRA!AR401</f>
        <v>43579.32</v>
      </c>
      <c r="Y402" s="309"/>
      <c r="Z402" s="309"/>
      <c r="AA402" s="5"/>
      <c r="AB402" s="313"/>
      <c r="AC402" s="317">
        <f>OBRA!BW401</f>
        <v>0</v>
      </c>
      <c r="AD402" s="1"/>
      <c r="AE402" s="352" t="s">
        <v>551</v>
      </c>
    </row>
    <row r="403" spans="1:31" ht="117.75" hidden="1" customHeight="1">
      <c r="A403" s="22" t="s">
        <v>2206</v>
      </c>
      <c r="B403" s="809" t="str">
        <f>GRAL!B404</f>
        <v>2018-2021</v>
      </c>
      <c r="C403" s="16">
        <f>OBRA!J402</f>
        <v>2019</v>
      </c>
      <c r="D403" s="1415"/>
      <c r="E403" s="17" t="str">
        <f>OBRA!M402</f>
        <v>RAMO 33</v>
      </c>
      <c r="F403" s="478" t="s">
        <v>1428</v>
      </c>
      <c r="G403" s="496" t="s">
        <v>3711</v>
      </c>
      <c r="H403" s="495" t="s">
        <v>3711</v>
      </c>
      <c r="I403" s="496" t="s">
        <v>3711</v>
      </c>
      <c r="J403" s="54" t="str">
        <f>OBRA!W402</f>
        <v>INGENIERÍA ARQUITECTURA MENDPAD S.A. DE C.V.</v>
      </c>
      <c r="K403" s="55" t="str">
        <f>OBRA!X402</f>
        <v>LIC. SALVADOR CONTRERAS OLGUÍN</v>
      </c>
      <c r="L403" s="33" t="str">
        <f>OBRA!N402</f>
        <v>GMJ 019 C-OP/2019</v>
      </c>
      <c r="M403" s="2" t="str">
        <f>OBRA!O402</f>
        <v>ADJUDICACIÓN DIRECTA</v>
      </c>
      <c r="N403" s="3" t="str">
        <f>OBRA!P402</f>
        <v>"REHABILITACIÓN DE RED DE AGUA POTABLE EN PRIVADA ZARAGOZA DE CALLE ZARAGOZA A CERRADA DELEGACIÓN DE SAN JUAN COSALA MUNICIPIO DE JOCOTEPEC, JALISCO".</v>
      </c>
      <c r="O403" s="466" t="s">
        <v>3495</v>
      </c>
      <c r="P403" s="67">
        <f>OBRA!S402</f>
        <v>43707</v>
      </c>
      <c r="Q403" s="79">
        <f>OBRA!R402</f>
        <v>118188.71</v>
      </c>
      <c r="R403" s="5">
        <f>OBRA!T402</f>
        <v>43710</v>
      </c>
      <c r="S403" s="11">
        <f>OBRA!U402</f>
        <v>43731</v>
      </c>
      <c r="T403" s="1352" t="s">
        <v>3816</v>
      </c>
      <c r="U403" s="62" t="s">
        <v>1428</v>
      </c>
      <c r="V403" s="499" t="s">
        <v>3711</v>
      </c>
      <c r="W403" s="597" t="s">
        <v>3711</v>
      </c>
      <c r="X403" s="988">
        <f>OBRA!AR402</f>
        <v>43579.32</v>
      </c>
      <c r="Y403" s="309"/>
      <c r="Z403" s="309"/>
      <c r="AA403" s="5"/>
      <c r="AB403" s="313"/>
      <c r="AC403" s="317">
        <f>OBRA!BW402</f>
        <v>0</v>
      </c>
      <c r="AD403" s="1"/>
      <c r="AE403" s="352" t="s">
        <v>551</v>
      </c>
    </row>
    <row r="404" spans="1:31" ht="108.75" hidden="1" customHeight="1">
      <c r="A404" s="22" t="s">
        <v>2206</v>
      </c>
      <c r="B404" s="809" t="str">
        <f>GRAL!B405</f>
        <v>2018-2021</v>
      </c>
      <c r="C404" s="16">
        <f>OBRA!J403</f>
        <v>2019</v>
      </c>
      <c r="D404" s="1415"/>
      <c r="E404" s="17" t="str">
        <f>OBRA!M403</f>
        <v>RAMO 33</v>
      </c>
      <c r="F404" s="478" t="s">
        <v>1428</v>
      </c>
      <c r="G404" s="466" t="s">
        <v>3712</v>
      </c>
      <c r="H404" s="524" t="s">
        <v>3712</v>
      </c>
      <c r="I404" s="699" t="s">
        <v>3712</v>
      </c>
      <c r="J404" s="54" t="str">
        <f>OBRA!W403</f>
        <v>INGENIERÍA ARQUITECTURA MENDPAD S.A. DE C.V.</v>
      </c>
      <c r="K404" s="55" t="str">
        <f>OBRA!X403</f>
        <v>LIC. SALVADOR CONTRERAS OLGUÍN</v>
      </c>
      <c r="L404" s="33" t="str">
        <f>OBRA!N403</f>
        <v>GMJ 020 C-OP/2019</v>
      </c>
      <c r="M404" s="2" t="str">
        <f>OBRA!O403</f>
        <v>ADJUDICACIÓN DIRECTA</v>
      </c>
      <c r="N404" s="3" t="str">
        <f>OBRA!P403</f>
        <v>"CONSTRUCCIÓN DE RED DE AGUA POTABLE EN CALLE PRIVADA GUADALUPE VICTORIA DELEGACIÓN DE SAN JUAN COSALA MUNICIPIO DE JOCOTEPEC, JALISCO"</v>
      </c>
      <c r="O404" s="466" t="s">
        <v>3495</v>
      </c>
      <c r="P404" s="67">
        <f>OBRA!S403</f>
        <v>43740</v>
      </c>
      <c r="Q404" s="79">
        <f>OBRA!R403</f>
        <v>104942</v>
      </c>
      <c r="R404" s="5">
        <f>OBRA!T403</f>
        <v>43741</v>
      </c>
      <c r="S404" s="11">
        <f>OBRA!U403</f>
        <v>43768</v>
      </c>
      <c r="T404" s="1352" t="s">
        <v>3816</v>
      </c>
      <c r="U404" s="62" t="s">
        <v>1428</v>
      </c>
      <c r="V404" s="466" t="s">
        <v>3712</v>
      </c>
      <c r="W404" s="699" t="s">
        <v>3712</v>
      </c>
      <c r="X404" s="986">
        <f>OBRA!AR403</f>
        <v>20988.400000000001</v>
      </c>
      <c r="Y404" s="309"/>
      <c r="Z404" s="309"/>
      <c r="AA404" s="5"/>
      <c r="AB404" s="313"/>
      <c r="AC404" s="317">
        <f>OBRA!BW403</f>
        <v>0</v>
      </c>
      <c r="AD404" s="1"/>
      <c r="AE404" s="352" t="s">
        <v>551</v>
      </c>
    </row>
    <row r="405" spans="1:31" ht="106.5" hidden="1" customHeight="1">
      <c r="A405" s="22" t="s">
        <v>2206</v>
      </c>
      <c r="B405" s="809" t="str">
        <f>GRAL!B406</f>
        <v>2018-2021</v>
      </c>
      <c r="C405" s="16">
        <f>OBRA!J404</f>
        <v>2019</v>
      </c>
      <c r="D405" s="1415"/>
      <c r="E405" s="17" t="str">
        <f>OBRA!M404</f>
        <v>RAMO 33</v>
      </c>
      <c r="F405" s="478" t="s">
        <v>1428</v>
      </c>
      <c r="G405" s="466" t="s">
        <v>3713</v>
      </c>
      <c r="H405" s="524" t="s">
        <v>3713</v>
      </c>
      <c r="I405" s="699" t="s">
        <v>3713</v>
      </c>
      <c r="J405" s="54" t="str">
        <f>OBRA!W404</f>
        <v>INGENIERÍA ARQUITECTURA MENDPAD S.A. DE C.V.</v>
      </c>
      <c r="K405" s="55" t="str">
        <f>OBRA!X404</f>
        <v>LIC. SALVADOR CONTRERAS OLGUÍN</v>
      </c>
      <c r="L405" s="33" t="str">
        <f>OBRA!N404</f>
        <v>GMJ 021 C-OP/2019</v>
      </c>
      <c r="M405" s="2" t="str">
        <f>OBRA!O404</f>
        <v>ADJUDICACIÓN DIRECTA</v>
      </c>
      <c r="N405" s="3" t="str">
        <f>OBRA!P404</f>
        <v>"CONSTRUCCIÓN DE LÍNEA DE DRENAJE SANITARIO EN CALLE PRIVADA GUADALUPE VICTORIA DELELGACIÓN DE SAN JUAN COSALA MUNICIPIO DE JOCOTEPEC, JALISCO".</v>
      </c>
      <c r="O405" s="466" t="s">
        <v>3496</v>
      </c>
      <c r="P405" s="67">
        <f>OBRA!S404</f>
        <v>43740</v>
      </c>
      <c r="Q405" s="79">
        <f>OBRA!R404</f>
        <v>124713.47</v>
      </c>
      <c r="R405" s="5">
        <f>OBRA!T404</f>
        <v>43741</v>
      </c>
      <c r="S405" s="11">
        <f>OBRA!U404</f>
        <v>43768</v>
      </c>
      <c r="T405" s="1352" t="s">
        <v>3816</v>
      </c>
      <c r="U405" s="62" t="s">
        <v>1428</v>
      </c>
      <c r="V405" s="466" t="s">
        <v>3713</v>
      </c>
      <c r="W405" s="699" t="s">
        <v>3713</v>
      </c>
      <c r="X405" s="986">
        <f>OBRA!AR404</f>
        <v>52536.350000000006</v>
      </c>
      <c r="Y405" s="309"/>
      <c r="Z405" s="309"/>
      <c r="AA405" s="5"/>
      <c r="AB405" s="313"/>
      <c r="AC405" s="317">
        <f>OBRA!BW404</f>
        <v>0</v>
      </c>
      <c r="AD405" s="1"/>
      <c r="AE405" s="352" t="s">
        <v>551</v>
      </c>
    </row>
    <row r="406" spans="1:31" s="104" customFormat="1" ht="30" hidden="1" customHeight="1">
      <c r="A406" s="81" t="s">
        <v>2206</v>
      </c>
      <c r="B406" s="820" t="str">
        <f>GRAL!B407</f>
        <v>2018-2021</v>
      </c>
      <c r="C406" s="82">
        <f>OBRA!J405</f>
        <v>2019</v>
      </c>
      <c r="D406" s="781"/>
      <c r="E406" s="83" t="str">
        <f>OBRA!M405</f>
        <v>RASTRO DIGNO / CTA-CTE</v>
      </c>
      <c r="F406" s="479"/>
      <c r="G406" s="354"/>
      <c r="H406" s="96"/>
      <c r="I406" s="354"/>
      <c r="J406" s="151" t="str">
        <f>OBRA!W405</f>
        <v>C. PAUL ANTONIO VENEGAS GARCÍA</v>
      </c>
      <c r="K406" s="152" t="str">
        <f>OBRA!X405</f>
        <v>ARQ. JAIME CONDE GOMEZ</v>
      </c>
      <c r="L406" s="90" t="str">
        <f>OBRA!N405</f>
        <v>GMJ 022 C-OP/2019</v>
      </c>
      <c r="M406" s="85" t="str">
        <f>OBRA!O405</f>
        <v>CANCELADA</v>
      </c>
      <c r="N406" s="125" t="str">
        <f>OBRA!P405</f>
        <v xml:space="preserve">"CONSTRUCCIÓN DE PLANTA DE TRATAMIENTO INCLUYENDO OBRA CIVIL Y EQUIPAMIENTO EN EL RASTRO MUNICIPAL", EN LA CABECERA MUNICIPAL DE JOCOTEPEC, JALISCO </v>
      </c>
      <c r="O406" s="125"/>
      <c r="P406" s="87">
        <f>OBRA!S405</f>
        <v>43709</v>
      </c>
      <c r="Q406" s="86">
        <f>OBRA!R405</f>
        <v>1688433.48</v>
      </c>
      <c r="R406" s="88">
        <f>OBRA!T405</f>
        <v>43710</v>
      </c>
      <c r="S406" s="89">
        <f>OBRA!U405</f>
        <v>43785</v>
      </c>
      <c r="T406" s="91"/>
      <c r="U406" s="688"/>
      <c r="V406" s="311"/>
      <c r="W406" s="89"/>
      <c r="X406" s="992">
        <f>OBRA!AR405</f>
        <v>0</v>
      </c>
      <c r="Y406" s="311"/>
      <c r="Z406" s="311"/>
      <c r="AA406" s="88"/>
      <c r="AB406" s="1855"/>
      <c r="AC406" s="467">
        <f>OBRA!BW405</f>
        <v>0</v>
      </c>
      <c r="AD406" s="354"/>
      <c r="AE406" s="354"/>
    </row>
    <row r="407" spans="1:31" ht="100.5" hidden="1" customHeight="1">
      <c r="A407" s="22" t="s">
        <v>2206</v>
      </c>
      <c r="B407" s="809" t="str">
        <f>GRAL!B408</f>
        <v>2018-2021</v>
      </c>
      <c r="C407" s="16">
        <f>OBRA!J406</f>
        <v>2019</v>
      </c>
      <c r="D407" s="1415"/>
      <c r="E407" s="18" t="str">
        <f>OBRA!M406</f>
        <v>RASTRO DIGNO / CTA-CTE</v>
      </c>
      <c r="F407" s="605" t="s">
        <v>3705</v>
      </c>
      <c r="G407" s="496" t="s">
        <v>3714</v>
      </c>
      <c r="H407" s="495" t="s">
        <v>3714</v>
      </c>
      <c r="I407" s="496" t="s">
        <v>3714</v>
      </c>
      <c r="J407" s="54" t="str">
        <f>OBRA!W406</f>
        <v>SDT CONSTRUCTORA S.A. DE C.V.</v>
      </c>
      <c r="K407" s="55" t="str">
        <f>OBRA!X406</f>
        <v>ARQ. JAIME CONDE GOMEZ</v>
      </c>
      <c r="L407" s="33" t="str">
        <f>OBRA!N406</f>
        <v>GMJ 023 C-OP/2019</v>
      </c>
      <c r="M407" s="2" t="str">
        <f>OBRA!O406</f>
        <v>ADJUDICACIÓN DIRECTA</v>
      </c>
      <c r="N407" s="3" t="str">
        <f>OBRA!P406</f>
        <v>“CONSTRUCCIÓN DE ÁREA DE CORRALES MÓDULO 1 PRIMERA ETAPA EN EL RASTRO MUNICIPAL”, EN LA CABECERA MUNICIPAL, DE JOCOTEPEC, JALISCO.</v>
      </c>
      <c r="O407" s="466" t="s">
        <v>3496</v>
      </c>
      <c r="P407" s="6">
        <f>OBRA!S406</f>
        <v>43755</v>
      </c>
      <c r="Q407" s="4">
        <f>OBRA!R406</f>
        <v>1393906.05</v>
      </c>
      <c r="R407" s="5">
        <f>OBRA!T406</f>
        <v>43759</v>
      </c>
      <c r="S407" s="11">
        <f>OBRA!U406</f>
        <v>43830</v>
      </c>
      <c r="T407" s="1352" t="s">
        <v>3816</v>
      </c>
      <c r="U407" s="203"/>
      <c r="V407" s="499" t="s">
        <v>3714</v>
      </c>
      <c r="W407" s="597" t="s">
        <v>3714</v>
      </c>
      <c r="X407" s="988">
        <f>OBRA!AR406</f>
        <v>627257.56000000006</v>
      </c>
      <c r="Y407" s="309"/>
      <c r="Z407" s="309"/>
      <c r="AA407" s="5"/>
      <c r="AB407" s="313"/>
      <c r="AC407" s="317">
        <f>OBRA!BW406</f>
        <v>0</v>
      </c>
      <c r="AD407" s="1"/>
      <c r="AE407" s="352"/>
    </row>
    <row r="408" spans="1:31" ht="141.75" hidden="1" customHeight="1">
      <c r="A408" s="22" t="s">
        <v>2206</v>
      </c>
      <c r="B408" s="809" t="str">
        <f>GRAL!B409</f>
        <v>2018-2021</v>
      </c>
      <c r="C408" s="16">
        <f>OBRA!J407</f>
        <v>2019</v>
      </c>
      <c r="D408" s="1415" t="s">
        <v>4021</v>
      </c>
      <c r="E408" s="18" t="str">
        <f>OBRA!M407</f>
        <v>RASTRO DIGNO / CTA-CTE</v>
      </c>
      <c r="F408" s="605" t="s">
        <v>3705</v>
      </c>
      <c r="G408" s="496" t="s">
        <v>3715</v>
      </c>
      <c r="H408" s="495" t="s">
        <v>3715</v>
      </c>
      <c r="I408" s="496" t="s">
        <v>3715</v>
      </c>
      <c r="J408" s="54" t="str">
        <f>OBRA!W407</f>
        <v>DACO, DESARROLLOS ARQUITECTÓNICOS Y CONSTRUCCIÓN OBRA CIVIL S.A. DE C.V.</v>
      </c>
      <c r="K408" s="55" t="str">
        <f>OBRA!X407</f>
        <v>ARQ. JAIME CONDE GOMEZ</v>
      </c>
      <c r="L408" s="33" t="str">
        <f>OBRA!N407</f>
        <v>GMJ 024 C-OP/2019</v>
      </c>
      <c r="M408" s="2" t="str">
        <f>OBRA!O407</f>
        <v>ADJUDICACIÓN DIRECTA</v>
      </c>
      <c r="N408" s="3" t="str">
        <f>OBRA!P407</f>
        <v>“REHABILITACIÓN DE ÁREA DE MATANZA EN ESTRUCTURA Y TECHUMBRE PRIMERA ETAPA EN EL RASTRO MUNICIPAL”, EN LA CABECERA MUNICIPAL, DE JOCOTEPEC, JALISCO.</v>
      </c>
      <c r="O408" s="466" t="s">
        <v>3496</v>
      </c>
      <c r="P408" s="6">
        <f>OBRA!S407</f>
        <v>43755</v>
      </c>
      <c r="Q408" s="4">
        <f>OBRA!R407</f>
        <v>1414229.08</v>
      </c>
      <c r="R408" s="5">
        <f>OBRA!T407</f>
        <v>43759</v>
      </c>
      <c r="S408" s="11">
        <f>OBRA!U407</f>
        <v>43830</v>
      </c>
      <c r="T408" s="1352" t="s">
        <v>3816</v>
      </c>
      <c r="U408" s="203"/>
      <c r="V408" s="499" t="s">
        <v>3715</v>
      </c>
      <c r="W408" s="597" t="s">
        <v>3715</v>
      </c>
      <c r="X408" s="988">
        <f>OBRA!AR407</f>
        <v>636403.09000000008</v>
      </c>
      <c r="Y408" s="309"/>
      <c r="Z408" s="309"/>
      <c r="AA408" s="5"/>
      <c r="AB408" s="313"/>
      <c r="AC408" s="317">
        <f>OBRA!BW407</f>
        <v>0</v>
      </c>
      <c r="AD408" s="1"/>
      <c r="AE408" s="352"/>
    </row>
    <row r="409" spans="1:31" ht="95.25" hidden="1" customHeight="1">
      <c r="A409" s="22" t="s">
        <v>2206</v>
      </c>
      <c r="B409" s="809" t="str">
        <f>GRAL!B410</f>
        <v>2018-2021</v>
      </c>
      <c r="C409" s="16">
        <f>OBRA!J408</f>
        <v>2019</v>
      </c>
      <c r="D409" s="1415"/>
      <c r="E409" s="17" t="str">
        <f>OBRA!M408</f>
        <v>RAMO 33</v>
      </c>
      <c r="F409" s="478" t="s">
        <v>1428</v>
      </c>
      <c r="G409" s="910" t="s">
        <v>3716</v>
      </c>
      <c r="H409" s="495" t="s">
        <v>3716</v>
      </c>
      <c r="I409" s="496" t="s">
        <v>3716</v>
      </c>
      <c r="J409" s="54" t="str">
        <f>OBRA!W408</f>
        <v>AV ATELIER DE ARQUITECTURA S.A. DE C.V.</v>
      </c>
      <c r="K409" s="55" t="str">
        <f>OBRA!X408</f>
        <v>LIC. SALVADOR CONTRERAS OLGUÍN</v>
      </c>
      <c r="L409" s="33" t="str">
        <f>OBRA!N408</f>
        <v>GMJ 025 C-OP/2019</v>
      </c>
      <c r="M409" s="2" t="str">
        <f>OBRA!O408</f>
        <v>ADJUDICACIÓN DIRECTA</v>
      </c>
      <c r="N409" s="3" t="str">
        <f>OBRA!P408</f>
        <v>"REHABILITACIÓN DE RED DE DRENAJE SANITARIO EN CALLE OTOÑO ENTRE CALLE NIÑOS HEROES Y ZARAGOZA" EN LA CABECERA MUNICIPAL DE JOCOTEPEC, JALISCO</v>
      </c>
      <c r="O409" s="466" t="s">
        <v>3496</v>
      </c>
      <c r="P409" s="6">
        <f>OBRA!S408</f>
        <v>43755</v>
      </c>
      <c r="Q409" s="4">
        <f>OBRA!R408</f>
        <v>198328.91</v>
      </c>
      <c r="R409" s="5">
        <f>OBRA!T408</f>
        <v>43759</v>
      </c>
      <c r="S409" s="11">
        <f>OBRA!U408</f>
        <v>43809</v>
      </c>
      <c r="T409" s="1352" t="s">
        <v>3816</v>
      </c>
      <c r="U409" s="62" t="s">
        <v>1428</v>
      </c>
      <c r="V409" s="499" t="s">
        <v>3716</v>
      </c>
      <c r="W409" s="597" t="s">
        <v>3716</v>
      </c>
      <c r="X409" s="988">
        <f>OBRA!AR408</f>
        <v>38382.93</v>
      </c>
      <c r="Y409" s="309"/>
      <c r="Z409" s="309"/>
      <c r="AA409" s="5"/>
      <c r="AB409" s="313"/>
      <c r="AC409" s="317">
        <f>OBRA!BW408</f>
        <v>0</v>
      </c>
      <c r="AD409" s="1"/>
      <c r="AE409" s="352" t="s">
        <v>551</v>
      </c>
    </row>
    <row r="410" spans="1:31" ht="96" hidden="1" customHeight="1">
      <c r="A410" s="22" t="s">
        <v>2206</v>
      </c>
      <c r="B410" s="809" t="str">
        <f>GRAL!B411</f>
        <v>2018-2021</v>
      </c>
      <c r="C410" s="16">
        <f>OBRA!J409</f>
        <v>2019</v>
      </c>
      <c r="D410" s="1415"/>
      <c r="E410" s="17" t="str">
        <f>OBRA!M409</f>
        <v>RAMO 33</v>
      </c>
      <c r="F410" s="478" t="s">
        <v>1428</v>
      </c>
      <c r="G410" s="910" t="s">
        <v>3717</v>
      </c>
      <c r="H410" s="466" t="s">
        <v>3717</v>
      </c>
      <c r="I410" s="496" t="s">
        <v>3717</v>
      </c>
      <c r="J410" s="54" t="str">
        <f>OBRA!W409</f>
        <v>AV ATELIER DE ARQUITECTURA S.A. DE C.V.</v>
      </c>
      <c r="K410" s="55" t="str">
        <f>OBRA!X409</f>
        <v>LIC. SALVADOR CONTRERAS OLGUÍN</v>
      </c>
      <c r="L410" s="33" t="str">
        <f>OBRA!N409</f>
        <v>GMJ 026 C-OP/2019</v>
      </c>
      <c r="M410" s="2" t="str">
        <f>OBRA!O409</f>
        <v>ADJUDICACIÓN DIRECTA</v>
      </c>
      <c r="N410" s="3" t="str">
        <f>OBRA!P409</f>
        <v>"REHABILITACIÓN DE RED DE AGUA POTABLE EN CALLE OTOÑO ENTRE CALLE NIÑOS HEROES Y ZARAGOZA" EN LA CABECERA MUNICIPAL DE JOCOTEPEC, JALISCO</v>
      </c>
      <c r="O410" s="466" t="s">
        <v>3496</v>
      </c>
      <c r="P410" s="6">
        <f>OBRA!S409</f>
        <v>43755</v>
      </c>
      <c r="Q410" s="4">
        <f>OBRA!R409</f>
        <v>135637.59</v>
      </c>
      <c r="R410" s="5">
        <f>OBRA!T409</f>
        <v>43759</v>
      </c>
      <c r="S410" s="11">
        <f>OBRA!U409</f>
        <v>43809</v>
      </c>
      <c r="T410" s="1352" t="s">
        <v>3816</v>
      </c>
      <c r="U410" s="62" t="s">
        <v>1428</v>
      </c>
      <c r="V410" s="499" t="s">
        <v>3717</v>
      </c>
      <c r="W410" s="597" t="s">
        <v>3717</v>
      </c>
      <c r="X410" s="988">
        <f>OBRA!AR409</f>
        <v>27591.190000000002</v>
      </c>
      <c r="Y410" s="309"/>
      <c r="Z410" s="309"/>
      <c r="AA410" s="5"/>
      <c r="AB410" s="313"/>
      <c r="AC410" s="317">
        <f>OBRA!BW409</f>
        <v>0</v>
      </c>
      <c r="AD410" s="1"/>
      <c r="AE410" s="352" t="s">
        <v>551</v>
      </c>
    </row>
    <row r="411" spans="1:31" ht="126" hidden="1" customHeight="1">
      <c r="A411" s="22" t="s">
        <v>2206</v>
      </c>
      <c r="B411" s="809" t="str">
        <f>GRAL!B412</f>
        <v>2018-2021</v>
      </c>
      <c r="C411" s="16">
        <f>OBRA!J410</f>
        <v>2019</v>
      </c>
      <c r="D411" s="1415"/>
      <c r="E411" s="17" t="str">
        <f>OBRA!M410</f>
        <v>RAMO 33</v>
      </c>
      <c r="F411" s="478" t="s">
        <v>1428</v>
      </c>
      <c r="G411" s="496" t="s">
        <v>3718</v>
      </c>
      <c r="H411" s="495" t="s">
        <v>3718</v>
      </c>
      <c r="I411" s="496" t="s">
        <v>3718</v>
      </c>
      <c r="J411" s="54" t="str">
        <f>OBRA!W410</f>
        <v>AV ATELIER DE ARQUITECTURA S.A. DE C.V.</v>
      </c>
      <c r="K411" s="55" t="str">
        <f>OBRA!X410</f>
        <v>LIC. SALVADOR CONTRERAS OLGUÍN</v>
      </c>
      <c r="L411" s="33" t="str">
        <f>OBRA!N410</f>
        <v>GMJ 027 C-OP/2019</v>
      </c>
      <c r="M411" s="2" t="str">
        <f>OBRA!O410</f>
        <v>ADJUDICACIÓN DIRECTA</v>
      </c>
      <c r="N411" s="3" t="str">
        <f>OBRA!P410</f>
        <v>“CONSTRUCCIÓN DE EMPEDRADO AHOGADO EN  CEMENTO EN CALLE OTOÑO ENTRE CALLE NIÑOS HÉROES Y CALLE ZARAGOZA”  EN LA CABECERA MUNICIPAL DE JOCOTEPEC, JALISCO.</v>
      </c>
      <c r="O411" s="466" t="s">
        <v>3496</v>
      </c>
      <c r="P411" s="6">
        <f>OBRA!S410</f>
        <v>43755</v>
      </c>
      <c r="Q411" s="4">
        <f>OBRA!R410</f>
        <v>883708.77</v>
      </c>
      <c r="R411" s="5">
        <f>OBRA!T410</f>
        <v>43759</v>
      </c>
      <c r="S411" s="11">
        <f>OBRA!U410</f>
        <v>43809</v>
      </c>
      <c r="T411" s="1352" t="s">
        <v>3816</v>
      </c>
      <c r="U411" s="62" t="s">
        <v>1428</v>
      </c>
      <c r="V411" s="499" t="s">
        <v>3718</v>
      </c>
      <c r="W411" s="597" t="s">
        <v>3718</v>
      </c>
      <c r="X411" s="988">
        <f>OBRA!AR410</f>
        <v>170988.1</v>
      </c>
      <c r="Y411" s="309"/>
      <c r="Z411" s="309"/>
      <c r="AA411" s="5"/>
      <c r="AB411" s="313"/>
      <c r="AC411" s="317">
        <f>OBRA!BW410</f>
        <v>0</v>
      </c>
      <c r="AD411" s="1"/>
      <c r="AE411" s="352" t="s">
        <v>551</v>
      </c>
    </row>
    <row r="412" spans="1:31" ht="113.25" hidden="1" customHeight="1">
      <c r="A412" s="22" t="s">
        <v>2206</v>
      </c>
      <c r="B412" s="809" t="str">
        <f>GRAL!B413</f>
        <v>2018-2021</v>
      </c>
      <c r="C412" s="16">
        <f>OBRA!J411</f>
        <v>2019</v>
      </c>
      <c r="D412" s="1415"/>
      <c r="E412" s="17" t="str">
        <f>OBRA!M411</f>
        <v>RAMO 33</v>
      </c>
      <c r="F412" s="478" t="s">
        <v>1428</v>
      </c>
      <c r="G412" s="496" t="s">
        <v>3719</v>
      </c>
      <c r="H412" s="495" t="s">
        <v>3719</v>
      </c>
      <c r="I412" s="496" t="s">
        <v>3719</v>
      </c>
      <c r="J412" s="54" t="str">
        <f>OBRA!W411</f>
        <v>GRUPO CONSTRUCTOR HORUS, S.A. DE C.V.</v>
      </c>
      <c r="K412" s="55" t="str">
        <f>OBRA!X411</f>
        <v>ING. J. GUADALUPE IBARRA RAMIREZ</v>
      </c>
      <c r="L412" s="33" t="str">
        <f>OBRA!N411</f>
        <v>GMJ 028 C-OP/2019</v>
      </c>
      <c r="M412" s="2" t="str">
        <f>OBRA!O411</f>
        <v>ADJUDICACIÓN DIRECTA</v>
      </c>
      <c r="N412" s="3" t="str">
        <f>OBRA!P411</f>
        <v>“REHABILITACIÓN DE LÍNEA DE DRENAJE EN LA CALLE INVIERNO ENTRE CALLES FRANCISCO VILLA Y 20 DE NOVIEMBRE”  EN LA CABECERA MUNICIPAL DE JOCOTEPEC, JALISCO.</v>
      </c>
      <c r="O412" s="466" t="s">
        <v>3496</v>
      </c>
      <c r="P412" s="67">
        <f>OBRA!S411</f>
        <v>43754</v>
      </c>
      <c r="Q412" s="79">
        <f>OBRA!R411</f>
        <v>269609.8</v>
      </c>
      <c r="R412" s="5">
        <f>OBRA!T411</f>
        <v>43755</v>
      </c>
      <c r="S412" s="11">
        <f>OBRA!U411</f>
        <v>43799</v>
      </c>
      <c r="T412" s="1352" t="s">
        <v>3816</v>
      </c>
      <c r="U412" s="62" t="s">
        <v>1428</v>
      </c>
      <c r="V412" s="499" t="s">
        <v>3719</v>
      </c>
      <c r="W412" s="1301" t="s">
        <v>3719</v>
      </c>
      <c r="X412" s="986">
        <f>OBRA!AR411</f>
        <v>56556.3</v>
      </c>
      <c r="Y412" s="309"/>
      <c r="Z412" s="309"/>
      <c r="AA412" s="5"/>
      <c r="AB412" s="313"/>
      <c r="AC412" s="317">
        <f>OBRA!BW411</f>
        <v>0</v>
      </c>
      <c r="AD412" s="1"/>
      <c r="AE412" s="352" t="s">
        <v>551</v>
      </c>
    </row>
    <row r="413" spans="1:31" ht="121.5" hidden="1" customHeight="1">
      <c r="A413" s="22" t="s">
        <v>2206</v>
      </c>
      <c r="B413" s="809" t="str">
        <f>GRAL!B414</f>
        <v>2018-2021</v>
      </c>
      <c r="C413" s="16">
        <f>OBRA!J412</f>
        <v>2019</v>
      </c>
      <c r="D413" s="1415"/>
      <c r="E413" s="17" t="str">
        <f>OBRA!M412</f>
        <v>RAMO 33</v>
      </c>
      <c r="F413" s="478" t="s">
        <v>1428</v>
      </c>
      <c r="G413" s="496" t="s">
        <v>3720</v>
      </c>
      <c r="H413" s="495" t="s">
        <v>3720</v>
      </c>
      <c r="I413" s="502" t="s">
        <v>3720</v>
      </c>
      <c r="J413" s="54" t="str">
        <f>OBRA!W412</f>
        <v>GRUPO CONSTRUCTOR HORUS, S.A. DE C.V.</v>
      </c>
      <c r="K413" s="55" t="str">
        <f>OBRA!X412</f>
        <v>ING. J. GUADALUPE IBARRA RAMIREZ</v>
      </c>
      <c r="L413" s="33" t="str">
        <f>OBRA!N412</f>
        <v>GMJ 029 C-OP/2019</v>
      </c>
      <c r="M413" s="2" t="str">
        <f>OBRA!O412</f>
        <v>ADJUDICACIÓN DIRECTA</v>
      </c>
      <c r="N413" s="3" t="str">
        <f>OBRA!P412</f>
        <v>“REHABILITACIÓN DE RED DE AGUA POTABLE EN CALLE INVIERNO ENTRE CALLES FRANCISCO VILLA Y 20 DE NOVIEMBRE”  EN LA CABECERA MUNICIPAL DE JOCOTEPEC, JALISCO.</v>
      </c>
      <c r="O413" s="466" t="s">
        <v>3496</v>
      </c>
      <c r="P413" s="67">
        <f>OBRA!S412</f>
        <v>43754</v>
      </c>
      <c r="Q413" s="79">
        <f>OBRA!R412</f>
        <v>104875.19</v>
      </c>
      <c r="R413" s="5">
        <f>OBRA!T412</f>
        <v>43762</v>
      </c>
      <c r="S413" s="11">
        <f>OBRA!U412</f>
        <v>43799</v>
      </c>
      <c r="T413" s="1352" t="s">
        <v>3816</v>
      </c>
      <c r="U413" s="62" t="s">
        <v>1428</v>
      </c>
      <c r="V413" s="499" t="s">
        <v>3720</v>
      </c>
      <c r="W413" s="597" t="s">
        <v>3720</v>
      </c>
      <c r="X413" s="988">
        <f>OBRA!AR412</f>
        <v>20970.04</v>
      </c>
      <c r="Y413" s="309"/>
      <c r="Z413" s="309"/>
      <c r="AA413" s="5"/>
      <c r="AB413" s="313"/>
      <c r="AC413" s="317">
        <f>OBRA!BW412</f>
        <v>0</v>
      </c>
      <c r="AD413" s="1"/>
      <c r="AE413" s="352" t="s">
        <v>551</v>
      </c>
    </row>
    <row r="414" spans="1:31" ht="117.75" hidden="1" customHeight="1">
      <c r="A414" s="22" t="s">
        <v>2206</v>
      </c>
      <c r="B414" s="809" t="str">
        <f>GRAL!B415</f>
        <v>2018-2021</v>
      </c>
      <c r="C414" s="16">
        <f>OBRA!J413</f>
        <v>2019</v>
      </c>
      <c r="D414" s="1415"/>
      <c r="E414" s="17" t="str">
        <f>OBRA!M413</f>
        <v>RAMO 33</v>
      </c>
      <c r="F414" s="478" t="s">
        <v>1428</v>
      </c>
      <c r="G414" s="496" t="s">
        <v>3840</v>
      </c>
      <c r="H414" s="495" t="s">
        <v>3840</v>
      </c>
      <c r="I414" s="496" t="s">
        <v>3840</v>
      </c>
      <c r="J414" s="54" t="str">
        <f>OBRA!W413</f>
        <v>GRUPO CONSTRUCTOR HORUS, S.A. DE C.V.</v>
      </c>
      <c r="K414" s="55" t="str">
        <f>OBRA!X413</f>
        <v>ING. J. GUADALUPE IBARRA RAMIREZ</v>
      </c>
      <c r="L414" s="33" t="str">
        <f>OBRA!N413</f>
        <v>GMJ 030 C-OP/2019</v>
      </c>
      <c r="M414" s="2" t="str">
        <f>OBRA!O413</f>
        <v>ADJUDICACIÓN DIRECTA</v>
      </c>
      <c r="N414" s="3" t="str">
        <f>OBRA!P413</f>
        <v>“FABRICACIÓN DE EMPEDRADO AHOGADO EN CEMENTO  EN CALLE INVIERNO ENTRE CALLES FRANCISCO VILLA Y 20 DE NOVIEMBRE” EN LA CABECERA MUNICIPAL DE JOCOTEPEC, JALISCO</v>
      </c>
      <c r="O414" s="466" t="s">
        <v>3496</v>
      </c>
      <c r="P414" s="67">
        <f>OBRA!S413</f>
        <v>43754</v>
      </c>
      <c r="Q414" s="79">
        <f>OBRA!R413</f>
        <v>702979.49</v>
      </c>
      <c r="R414" s="5">
        <f>OBRA!T413</f>
        <v>43762</v>
      </c>
      <c r="S414" s="11">
        <f>OBRA!U413</f>
        <v>43799</v>
      </c>
      <c r="T414" s="1352" t="s">
        <v>3816</v>
      </c>
      <c r="U414" s="62" t="s">
        <v>1428</v>
      </c>
      <c r="V414" s="499" t="s">
        <v>3840</v>
      </c>
      <c r="W414" s="597" t="s">
        <v>3840</v>
      </c>
      <c r="X414" s="988">
        <f>OBRA!AR413</f>
        <v>144872.22</v>
      </c>
      <c r="Y414" s="309"/>
      <c r="Z414" s="309"/>
      <c r="AA414" s="5"/>
      <c r="AB414" s="313"/>
      <c r="AC414" s="317">
        <f>OBRA!BW413</f>
        <v>0</v>
      </c>
      <c r="AD414" s="1"/>
      <c r="AE414" s="352"/>
    </row>
    <row r="415" spans="1:31" ht="90" hidden="1" customHeight="1">
      <c r="A415" s="22" t="s">
        <v>2206</v>
      </c>
      <c r="B415" s="809" t="str">
        <f>GRAL!B416</f>
        <v>2018-2021</v>
      </c>
      <c r="C415" s="16">
        <f>OBRA!J414</f>
        <v>2019</v>
      </c>
      <c r="D415" s="1415"/>
      <c r="E415" s="17" t="str">
        <f>OBRA!M414</f>
        <v>RAMO 33</v>
      </c>
      <c r="F415" s="478" t="s">
        <v>1428</v>
      </c>
      <c r="G415" s="910" t="s">
        <v>3721</v>
      </c>
      <c r="H415" s="495" t="s">
        <v>3721</v>
      </c>
      <c r="I415" s="496" t="s">
        <v>3721</v>
      </c>
      <c r="J415" s="54" t="str">
        <f>OBRA!W414</f>
        <v>CONSTRUCTORA PIMONT S.A. DE C.V.</v>
      </c>
      <c r="K415" s="55" t="str">
        <f>OBRA!X414</f>
        <v>LIC. SALVADOR CONTRERAS OLGUÍN</v>
      </c>
      <c r="L415" s="33" t="str">
        <f>OBRA!N414</f>
        <v>GMJ 031 C-OP/2019</v>
      </c>
      <c r="M415" s="2" t="str">
        <f>OBRA!O414</f>
        <v>ADJUDICACIÓN DIRECTA</v>
      </c>
      <c r="N415" s="3" t="str">
        <f>OBRA!P414</f>
        <v>"CONSTRUCCIÓN DE BANQUETAS EN CALLE MORELOS DELEGACIÓN DE CHANTEPEC MUNICIPIO DE JOCOTEPEC, JALISCO".</v>
      </c>
      <c r="O415" s="466" t="s">
        <v>3497</v>
      </c>
      <c r="P415" s="67">
        <f>OBRA!S414</f>
        <v>43754</v>
      </c>
      <c r="Q415" s="79">
        <f>OBRA!R414</f>
        <v>311860.06</v>
      </c>
      <c r="R415" s="5">
        <f>OBRA!T414</f>
        <v>43759</v>
      </c>
      <c r="S415" s="11">
        <f>OBRA!U414</f>
        <v>43790</v>
      </c>
      <c r="T415" s="1352" t="s">
        <v>3816</v>
      </c>
      <c r="U415" s="62" t="s">
        <v>1428</v>
      </c>
      <c r="V415" s="499" t="s">
        <v>3721</v>
      </c>
      <c r="W415" s="597" t="s">
        <v>3721</v>
      </c>
      <c r="X415" s="988">
        <f>OBRA!AR414</f>
        <v>62372</v>
      </c>
      <c r="Y415" s="309"/>
      <c r="Z415" s="309"/>
      <c r="AA415" s="5"/>
      <c r="AB415" s="313"/>
      <c r="AC415" s="317">
        <f>OBRA!BW414</f>
        <v>0</v>
      </c>
      <c r="AD415" s="1"/>
      <c r="AE415" s="352" t="s">
        <v>551</v>
      </c>
    </row>
    <row r="416" spans="1:31" s="104" customFormat="1" ht="15" hidden="1" customHeight="1">
      <c r="A416" s="81" t="s">
        <v>2206</v>
      </c>
      <c r="B416" s="820" t="str">
        <f>GRAL!B417</f>
        <v>2018-2021</v>
      </c>
      <c r="C416" s="82">
        <f>OBRA!J415</f>
        <v>2019</v>
      </c>
      <c r="D416" s="781"/>
      <c r="E416" s="97">
        <f>OBRA!M415</f>
        <v>0</v>
      </c>
      <c r="F416" s="479" t="s">
        <v>1428</v>
      </c>
      <c r="G416" s="354"/>
      <c r="H416" s="96"/>
      <c r="I416" s="354"/>
      <c r="J416" s="151">
        <f>OBRA!W415</f>
        <v>0</v>
      </c>
      <c r="K416" s="152">
        <f>OBRA!X415</f>
        <v>0</v>
      </c>
      <c r="L416" s="90" t="str">
        <f>OBRA!N415</f>
        <v>GMJ 032 C-OP/2019</v>
      </c>
      <c r="M416" s="85" t="str">
        <f>OBRA!O415</f>
        <v>CANCELADA</v>
      </c>
      <c r="N416" s="125">
        <f>OBRA!P415</f>
        <v>0</v>
      </c>
      <c r="O416" s="125"/>
      <c r="P416" s="87">
        <f>OBRA!S415</f>
        <v>0</v>
      </c>
      <c r="Q416" s="86">
        <f>OBRA!R415</f>
        <v>0</v>
      </c>
      <c r="R416" s="88">
        <f>OBRA!T415</f>
        <v>0</v>
      </c>
      <c r="S416" s="89">
        <f>OBRA!U415</f>
        <v>0</v>
      </c>
      <c r="T416" s="91"/>
      <c r="U416" s="688" t="s">
        <v>1428</v>
      </c>
      <c r="V416" s="311"/>
      <c r="W416" s="89"/>
      <c r="X416" s="284">
        <f>OBRA!AR415</f>
        <v>0</v>
      </c>
      <c r="Y416" s="311"/>
      <c r="Z416" s="311"/>
      <c r="AA416" s="88"/>
      <c r="AB416" s="1855"/>
      <c r="AC416" s="467">
        <f>OBRA!BW415</f>
        <v>0</v>
      </c>
      <c r="AD416" s="354"/>
      <c r="AE416" s="354"/>
    </row>
    <row r="417" spans="1:31" s="104" customFormat="1" ht="15" hidden="1" customHeight="1">
      <c r="A417" s="81" t="s">
        <v>2206</v>
      </c>
      <c r="B417" s="820" t="str">
        <f>GRAL!B418</f>
        <v>2018-2021</v>
      </c>
      <c r="C417" s="82">
        <f>OBRA!J416</f>
        <v>2019</v>
      </c>
      <c r="D417" s="781"/>
      <c r="E417" s="97">
        <f>OBRA!M416</f>
        <v>0</v>
      </c>
      <c r="F417" s="479" t="s">
        <v>1428</v>
      </c>
      <c r="G417" s="354"/>
      <c r="H417" s="96"/>
      <c r="I417" s="354"/>
      <c r="J417" s="151">
        <f>OBRA!W416</f>
        <v>0</v>
      </c>
      <c r="K417" s="152">
        <f>OBRA!X416</f>
        <v>0</v>
      </c>
      <c r="L417" s="90" t="str">
        <f>OBRA!N416</f>
        <v>GMJ 033 C-OP/2019</v>
      </c>
      <c r="M417" s="85" t="str">
        <f>OBRA!O416</f>
        <v>CANCELADA</v>
      </c>
      <c r="N417" s="125">
        <f>OBRA!P416</f>
        <v>0</v>
      </c>
      <c r="O417" s="125"/>
      <c r="P417" s="87">
        <f>OBRA!S416</f>
        <v>0</v>
      </c>
      <c r="Q417" s="86">
        <f>OBRA!R416</f>
        <v>0</v>
      </c>
      <c r="R417" s="88">
        <f>OBRA!T416</f>
        <v>0</v>
      </c>
      <c r="S417" s="89">
        <f>OBRA!U416</f>
        <v>0</v>
      </c>
      <c r="T417" s="91"/>
      <c r="U417" s="688" t="s">
        <v>1428</v>
      </c>
      <c r="V417" s="311"/>
      <c r="W417" s="89"/>
      <c r="X417" s="284">
        <f>OBRA!AR416</f>
        <v>0</v>
      </c>
      <c r="Y417" s="311"/>
      <c r="Z417" s="311"/>
      <c r="AA417" s="88"/>
      <c r="AB417" s="1855"/>
      <c r="AC417" s="467">
        <f>OBRA!BW416</f>
        <v>0</v>
      </c>
      <c r="AD417" s="354"/>
      <c r="AE417" s="354"/>
    </row>
    <row r="418" spans="1:31" ht="129" hidden="1" customHeight="1">
      <c r="A418" s="22" t="s">
        <v>2206</v>
      </c>
      <c r="B418" s="809" t="str">
        <f>GRAL!B419</f>
        <v>2018-2021</v>
      </c>
      <c r="C418" s="16">
        <f>OBRA!J417</f>
        <v>2019</v>
      </c>
      <c r="D418" s="1415"/>
      <c r="E418" s="17" t="str">
        <f>OBRA!M417</f>
        <v>RAMO 33</v>
      </c>
      <c r="F418" s="478" t="s">
        <v>1428</v>
      </c>
      <c r="G418" s="571" t="s">
        <v>3722</v>
      </c>
      <c r="H418" s="495" t="s">
        <v>3722</v>
      </c>
      <c r="I418" s="571" t="s">
        <v>3722</v>
      </c>
      <c r="J418" s="54" t="str">
        <f>OBRA!W417</f>
        <v>INGENIERÍA ARQUITECTURA MENDPAD S.A. DE C.V.</v>
      </c>
      <c r="K418" s="55" t="str">
        <f>OBRA!X417</f>
        <v>LIC. SALVADOR CONTRERAS OLGUÍN</v>
      </c>
      <c r="L418" s="33" t="str">
        <f>OBRA!N417</f>
        <v>GMJ 034 C-OP/2019</v>
      </c>
      <c r="M418" s="2" t="str">
        <f>OBRA!O417</f>
        <v>ADJUDICACIÓN DIRECTA</v>
      </c>
      <c r="N418" s="3" t="str">
        <f>OBRA!P417</f>
        <v xml:space="preserve">"CONSTRUCCIÓN DE RED DE DRENAJE SANITARIO, 2DA. ETAPA EN PRIVADA ZARAGOZA DE CALLE ZARAGOZA A CERRADA DELEGACIÓN DE SAN JUAN COSALA MUNICIPIO DE JOCOTEPEC, JALISCO". </v>
      </c>
      <c r="O418" s="466" t="s">
        <v>3497</v>
      </c>
      <c r="P418" s="67">
        <f>OBRA!S417</f>
        <v>43754</v>
      </c>
      <c r="Q418" s="79">
        <f>OBRA!R417</f>
        <v>82700.09</v>
      </c>
      <c r="R418" s="5">
        <f>OBRA!T417</f>
        <v>43755</v>
      </c>
      <c r="S418" s="11">
        <f>OBRA!U417</f>
        <v>43767</v>
      </c>
      <c r="T418" s="1352" t="s">
        <v>3816</v>
      </c>
      <c r="U418" s="62" t="s">
        <v>1428</v>
      </c>
      <c r="V418" s="499" t="s">
        <v>3722</v>
      </c>
      <c r="W418" s="597" t="s">
        <v>3722</v>
      </c>
      <c r="X418" s="986">
        <f>OBRA!AR417</f>
        <v>48335.01</v>
      </c>
      <c r="Y418" s="309"/>
      <c r="Z418" s="309"/>
      <c r="AA418" s="5"/>
      <c r="AB418" s="313"/>
      <c r="AC418" s="317">
        <f>OBRA!BW417</f>
        <v>0</v>
      </c>
      <c r="AD418" s="1"/>
      <c r="AE418" s="352" t="s">
        <v>551</v>
      </c>
    </row>
    <row r="419" spans="1:31" ht="109.5" hidden="1" customHeight="1">
      <c r="A419" s="22" t="s">
        <v>2206</v>
      </c>
      <c r="B419" s="809" t="str">
        <f>GRAL!B420</f>
        <v>2018-2021</v>
      </c>
      <c r="C419" s="16">
        <f>OBRA!J418</f>
        <v>2019</v>
      </c>
      <c r="D419" s="1415"/>
      <c r="E419" s="17" t="str">
        <f>OBRA!M418</f>
        <v>RAMO 33</v>
      </c>
      <c r="F419" s="478" t="s">
        <v>1428</v>
      </c>
      <c r="G419" s="571" t="s">
        <v>3723</v>
      </c>
      <c r="H419" s="495" t="s">
        <v>3723</v>
      </c>
      <c r="I419" s="571" t="s">
        <v>3723</v>
      </c>
      <c r="J419" s="54" t="str">
        <f>OBRA!W418</f>
        <v>INGENIERÍA ARQUITECTURA MENDPAD S.A. DE C.V.</v>
      </c>
      <c r="K419" s="55" t="str">
        <f>OBRA!X418</f>
        <v>LIC. SALVADOR CONTRERAS OLGUÍN</v>
      </c>
      <c r="L419" s="33" t="str">
        <f>OBRA!N418</f>
        <v>GMJ 035 C-OP/2019</v>
      </c>
      <c r="M419" s="2" t="str">
        <f>OBRA!O418</f>
        <v>ADJUDICACIÓN DIRECTA</v>
      </c>
      <c r="N419" s="3" t="str">
        <f>OBRA!P418</f>
        <v>"REHABILITACIÓN DE LÍNEA DE DRENAJE EN CALLE VERANO ENTRE CALLES NIÑOS HÉROES Y LÓPEZ RAYÓN CABECERA MUNICIPAL DE JOCOTEPEC, JALISCO".</v>
      </c>
      <c r="O419" s="466" t="s">
        <v>3497</v>
      </c>
      <c r="P419" s="67">
        <f>OBRA!S418</f>
        <v>43794</v>
      </c>
      <c r="Q419" s="79">
        <f>OBRA!R418</f>
        <v>118488.2</v>
      </c>
      <c r="R419" s="5">
        <f>OBRA!T418</f>
        <v>43795</v>
      </c>
      <c r="S419" s="11">
        <f>OBRA!U418</f>
        <v>43813</v>
      </c>
      <c r="T419" s="1352" t="s">
        <v>3816</v>
      </c>
      <c r="U419" s="62" t="s">
        <v>1428</v>
      </c>
      <c r="V419" s="499" t="s">
        <v>3723</v>
      </c>
      <c r="W419" s="597" t="s">
        <v>3723</v>
      </c>
      <c r="X419" s="988">
        <f>OBRA!AR418</f>
        <v>23697.64</v>
      </c>
      <c r="Y419" s="309"/>
      <c r="Z419" s="309"/>
      <c r="AA419" s="5"/>
      <c r="AB419" s="313"/>
      <c r="AC419" s="317">
        <f>OBRA!BW418</f>
        <v>0</v>
      </c>
      <c r="AD419" s="1"/>
      <c r="AE419" s="352" t="s">
        <v>551</v>
      </c>
    </row>
    <row r="420" spans="1:31" ht="123.75" hidden="1" customHeight="1">
      <c r="A420" s="22" t="s">
        <v>2206</v>
      </c>
      <c r="B420" s="809" t="str">
        <f>GRAL!B421</f>
        <v>2018-2021</v>
      </c>
      <c r="C420" s="16">
        <f>OBRA!J419</f>
        <v>2019</v>
      </c>
      <c r="D420" s="1415"/>
      <c r="E420" s="17" t="str">
        <f>OBRA!M419</f>
        <v>RAMO 33</v>
      </c>
      <c r="F420" s="478" t="s">
        <v>1428</v>
      </c>
      <c r="G420" s="496" t="s">
        <v>3724</v>
      </c>
      <c r="H420" s="495" t="s">
        <v>3724</v>
      </c>
      <c r="I420" s="496" t="s">
        <v>3724</v>
      </c>
      <c r="J420" s="54" t="str">
        <f>OBRA!W419</f>
        <v>INGENIERÍA ARQUITECTURA MENDPAD S.A. DE C.V.</v>
      </c>
      <c r="K420" s="55" t="str">
        <f>OBRA!X419</f>
        <v>LIC. SALVADOR CONTRERAS OLGUÍN</v>
      </c>
      <c r="L420" s="33" t="str">
        <f>OBRA!N419</f>
        <v>GMJ 036 C-OP/2019</v>
      </c>
      <c r="M420" s="2" t="str">
        <f>OBRA!O419</f>
        <v>ADJUDICACIÓN DIRECTA</v>
      </c>
      <c r="N420" s="3" t="str">
        <f>OBRA!P419</f>
        <v>"CONSTRUCCIÓN DE EMPEDRADO AHOGADO EN CEMENTO EN CALLE VERANO ENTRE NIÑOS HÉROES Y EMPEDRADO EXISTENTE CABECERA MUNICIPAL DE JOCOTEPEC, JALISCO".</v>
      </c>
      <c r="O420" s="466" t="s">
        <v>3497</v>
      </c>
      <c r="P420" s="67">
        <f>OBRA!S419</f>
        <v>43794</v>
      </c>
      <c r="Q420" s="79">
        <f>OBRA!R419</f>
        <v>267068.21999999997</v>
      </c>
      <c r="R420" s="5">
        <f>OBRA!T419</f>
        <v>43801</v>
      </c>
      <c r="S420" s="11">
        <f>OBRA!U419</f>
        <v>43830</v>
      </c>
      <c r="T420" s="1352" t="s">
        <v>3816</v>
      </c>
      <c r="U420" s="62" t="s">
        <v>1428</v>
      </c>
      <c r="V420" s="499" t="s">
        <v>3724</v>
      </c>
      <c r="W420" s="597" t="s">
        <v>3724</v>
      </c>
      <c r="X420" s="988">
        <f>OBRA!AR419</f>
        <v>53413.64</v>
      </c>
      <c r="Y420" s="309"/>
      <c r="Z420" s="309"/>
      <c r="AA420" s="5"/>
      <c r="AB420" s="313"/>
      <c r="AC420" s="317">
        <f>OBRA!BW419</f>
        <v>0</v>
      </c>
      <c r="AD420" s="1"/>
      <c r="AE420" s="352" t="s">
        <v>551</v>
      </c>
    </row>
    <row r="421" spans="1:31" ht="93" hidden="1" customHeight="1">
      <c r="A421" s="22" t="s">
        <v>2206</v>
      </c>
      <c r="B421" s="809" t="str">
        <f>GRAL!B423</f>
        <v>2018-2021</v>
      </c>
      <c r="C421" s="16">
        <f>OBRA!J421</f>
        <v>2019</v>
      </c>
      <c r="D421" s="1415" t="s">
        <v>4021</v>
      </c>
      <c r="E421" s="17" t="str">
        <f>OBRA!M421</f>
        <v>P.I.D.</v>
      </c>
      <c r="F421" s="1354" t="s">
        <v>3705</v>
      </c>
      <c r="G421" s="496" t="s">
        <v>3725</v>
      </c>
      <c r="H421" s="495" t="s">
        <v>3725</v>
      </c>
      <c r="I421" s="496" t="s">
        <v>3725</v>
      </c>
      <c r="J421" s="54" t="str">
        <f>OBRA!W421</f>
        <v>CONSTRUCTORA PIMONT S.A. DE C.V.</v>
      </c>
      <c r="K421" s="55" t="str">
        <f>OBRA!X421</f>
        <v>LIC. SALVADOR CONTRERAS OLGUÍN</v>
      </c>
      <c r="L421" s="33" t="str">
        <f>OBRA!N421</f>
        <v>GMJ 038 C-OP/2019</v>
      </c>
      <c r="M421" s="2" t="str">
        <f>OBRA!O421</f>
        <v>ADJUDICACIÓN DIRECTA</v>
      </c>
      <c r="N421" s="3" t="str">
        <f>OBRA!P421</f>
        <v>"CONSTRUCCIÓN DE PUERTO INOCUO DE DESEMBARQUE (P.I.D.) EN LA AGENCIA DE NEXTIPAC MUNICIPIO DE JOCOTEPEC, JALISCO.</v>
      </c>
      <c r="O421" s="466" t="s">
        <v>3497</v>
      </c>
      <c r="P421" s="67">
        <f>OBRA!S421</f>
        <v>43783</v>
      </c>
      <c r="Q421" s="79">
        <f>OBRA!R421</f>
        <v>875313.77</v>
      </c>
      <c r="R421" s="5">
        <f>OBRA!T421</f>
        <v>43784</v>
      </c>
      <c r="S421" s="11">
        <f>OBRA!U421</f>
        <v>43829</v>
      </c>
      <c r="T421" s="1352" t="s">
        <v>3816</v>
      </c>
      <c r="U421" s="62" t="s">
        <v>1428</v>
      </c>
      <c r="V421" s="499" t="s">
        <v>3725</v>
      </c>
      <c r="W421" s="597" t="s">
        <v>3725</v>
      </c>
      <c r="X421" s="988">
        <f>OBRA!AR421</f>
        <v>175062.74</v>
      </c>
      <c r="Y421" s="309"/>
      <c r="Z421" s="309"/>
      <c r="AA421" s="5"/>
      <c r="AB421" s="313"/>
      <c r="AC421" s="317">
        <f>OBRA!BW421</f>
        <v>0</v>
      </c>
      <c r="AD421" s="1"/>
      <c r="AE421" s="352" t="s">
        <v>551</v>
      </c>
    </row>
    <row r="422" spans="1:31" ht="15" hidden="1" customHeight="1">
      <c r="A422" s="22" t="s">
        <v>2206</v>
      </c>
      <c r="B422" s="809" t="str">
        <f>GRAL!B424</f>
        <v>2018-2021</v>
      </c>
      <c r="C422" s="16">
        <f>OBRA!J422</f>
        <v>2020</v>
      </c>
      <c r="D422" s="1415"/>
      <c r="E422" s="17" t="str">
        <f>OBRA!M422</f>
        <v>CEAJ / CUENTA CORRIENTE</v>
      </c>
      <c r="F422" s="478"/>
      <c r="G422" s="352"/>
      <c r="H422" s="1"/>
      <c r="I422" s="352"/>
      <c r="J422" s="54" t="str">
        <f>OBRA!W422</f>
        <v>N/A</v>
      </c>
      <c r="K422" s="55" t="str">
        <f>OBRA!X422</f>
        <v>N/A</v>
      </c>
      <c r="L422" s="19" t="str">
        <f>OBRA!N422</f>
        <v>CEAJ-PERF-002/2020</v>
      </c>
      <c r="M422" s="2" t="str">
        <f>OBRA!O422</f>
        <v>CONVENIO</v>
      </c>
      <c r="N422" s="3" t="str">
        <f>OBRA!P422</f>
        <v>CONVENIO PARA LA PERFORACIÓN DE UN POZO PROFUNDO PARA AGUA POTABLE</v>
      </c>
      <c r="O422" s="3"/>
      <c r="P422" s="6">
        <f>OBRA!S422</f>
        <v>43943</v>
      </c>
      <c r="Q422" s="4">
        <f>OBRA!R422</f>
        <v>962427.31</v>
      </c>
      <c r="R422" s="5" t="str">
        <f>OBRA!T422</f>
        <v>-</v>
      </c>
      <c r="S422" s="11" t="str">
        <f>OBRA!U422</f>
        <v>-</v>
      </c>
      <c r="T422" s="53"/>
      <c r="U422" s="377" t="s">
        <v>1428</v>
      </c>
      <c r="V422" s="309"/>
      <c r="W422" s="11"/>
      <c r="X422" s="986">
        <f>OBRA!AR422</f>
        <v>0</v>
      </c>
      <c r="Y422" s="309"/>
      <c r="Z422" s="309"/>
      <c r="AA422" s="5"/>
      <c r="AB422" s="313"/>
      <c r="AC422" s="317">
        <f>OBRA!BW422</f>
        <v>0</v>
      </c>
      <c r="AD422" s="352"/>
      <c r="AE422" s="352"/>
    </row>
    <row r="423" spans="1:31" ht="15" hidden="1" customHeight="1">
      <c r="A423" s="22" t="s">
        <v>2206</v>
      </c>
      <c r="B423" s="809" t="str">
        <f>GRAL!B425</f>
        <v>2018-2021</v>
      </c>
      <c r="C423" s="16">
        <f>OBRA!J423</f>
        <v>2020</v>
      </c>
      <c r="D423" s="1415"/>
      <c r="E423" s="17" t="str">
        <f>OBRA!M423</f>
        <v>RESCATE AL PATRIMONIO</v>
      </c>
      <c r="F423" s="478"/>
      <c r="G423" s="352"/>
      <c r="H423" s="1"/>
      <c r="I423" s="352"/>
      <c r="J423" s="54" t="str">
        <f>OBRA!W423</f>
        <v>N/A</v>
      </c>
      <c r="K423" s="55" t="str">
        <f>OBRA!X423</f>
        <v>N/A</v>
      </c>
      <c r="L423" s="19" t="str">
        <f>OBRA!N423</f>
        <v>CULTURA 2020</v>
      </c>
      <c r="M423" s="2" t="str">
        <f>OBRA!O423</f>
        <v>CONVENIO</v>
      </c>
      <c r="N423" s="3" t="str">
        <f>OBRA!P423</f>
        <v>REMOZAMIENTO Y MEJORAMIENTO  DE IMAGEN URBANA DEL TEMPLO DEL SEÑOR DEL MONTE</v>
      </c>
      <c r="O423" s="3"/>
      <c r="P423" s="6">
        <f>OBRA!S423</f>
        <v>44162</v>
      </c>
      <c r="Q423" s="4">
        <f>OBRA!R423</f>
        <v>1600000</v>
      </c>
      <c r="R423" s="5" t="str">
        <f>OBRA!T423</f>
        <v>-</v>
      </c>
      <c r="S423" s="11" t="str">
        <f>OBRA!U423</f>
        <v>-</v>
      </c>
      <c r="T423" s="53"/>
      <c r="U423" s="377" t="s">
        <v>1428</v>
      </c>
      <c r="V423" s="309"/>
      <c r="W423" s="11"/>
      <c r="X423" s="986">
        <f>OBRA!AR423</f>
        <v>0</v>
      </c>
      <c r="Y423" s="309"/>
      <c r="Z423" s="309"/>
      <c r="AA423" s="5"/>
      <c r="AB423" s="313"/>
      <c r="AC423" s="317">
        <f>OBRA!BW423</f>
        <v>0</v>
      </c>
      <c r="AD423" s="352"/>
      <c r="AE423" s="352"/>
    </row>
    <row r="424" spans="1:31" ht="15" hidden="1" customHeight="1">
      <c r="A424" s="22" t="s">
        <v>2206</v>
      </c>
      <c r="B424" s="809" t="str">
        <f>GRAL!B426</f>
        <v>2018-2021</v>
      </c>
      <c r="C424" s="16">
        <f>OBRA!J424</f>
        <v>2020</v>
      </c>
      <c r="D424" s="1415"/>
      <c r="E424" s="17" t="str">
        <f>OBRA!M424</f>
        <v>FOCOCI</v>
      </c>
      <c r="F424" s="478"/>
      <c r="G424" s="352"/>
      <c r="H424" s="1"/>
      <c r="I424" s="352"/>
      <c r="J424" s="54" t="str">
        <f>OBRA!W424</f>
        <v>N/A</v>
      </c>
      <c r="K424" s="55" t="str">
        <f>OBRA!X424</f>
        <v>N/A</v>
      </c>
      <c r="L424" s="19" t="str">
        <f>OBRA!N424</f>
        <v>FOCOCI 2020</v>
      </c>
      <c r="M424" s="2" t="str">
        <f>OBRA!O424</f>
        <v>CONVENIO</v>
      </c>
      <c r="N424" s="3" t="str">
        <f>OBRA!P424</f>
        <v>CONSTRUCCIÓN Y EQUIPAMIENTO DE PLAZA PRINCIPAL EN CHANTEPEC, MUNICIPIO DE JOCOTEPEC, JALISCO / INTERVENCIÓN Y RESTAURACIÓN DE MERCADO MUNICIPAL MORELOS, MUNICIPO DE JOCOTEPEC, JALISCO.</v>
      </c>
      <c r="O424" s="3"/>
      <c r="P424" s="6">
        <f>OBRA!S424</f>
        <v>44054</v>
      </c>
      <c r="Q424" s="4">
        <f>OBRA!R424</f>
        <v>20000000</v>
      </c>
      <c r="R424" s="5" t="str">
        <f>OBRA!T424</f>
        <v>-</v>
      </c>
      <c r="S424" s="11" t="str">
        <f>OBRA!U424</f>
        <v>-</v>
      </c>
      <c r="T424" s="53"/>
      <c r="U424" s="377" t="s">
        <v>1428</v>
      </c>
      <c r="V424" s="309"/>
      <c r="W424" s="11"/>
      <c r="X424" s="986">
        <f>OBRA!AR424</f>
        <v>0</v>
      </c>
      <c r="Y424" s="309"/>
      <c r="Z424" s="309"/>
      <c r="AA424" s="5"/>
      <c r="AB424" s="313"/>
      <c r="AC424" s="317">
        <f>OBRA!BW424</f>
        <v>0</v>
      </c>
      <c r="AD424" s="352"/>
      <c r="AE424" s="352"/>
    </row>
    <row r="425" spans="1:31" ht="15" hidden="1" customHeight="1">
      <c r="A425" s="22" t="s">
        <v>2206</v>
      </c>
      <c r="B425" s="809" t="str">
        <f>GRAL!B427</f>
        <v>2018-2021</v>
      </c>
      <c r="C425" s="16">
        <f>OBRA!J425</f>
        <v>2020</v>
      </c>
      <c r="D425" s="1415"/>
      <c r="E425" s="17" t="str">
        <f>OBRA!M425</f>
        <v xml:space="preserve">RASTRO DIGNO </v>
      </c>
      <c r="F425" s="478"/>
      <c r="G425" s="352"/>
      <c r="H425" s="1"/>
      <c r="I425" s="352"/>
      <c r="J425" s="54" t="str">
        <f>OBRA!W425</f>
        <v>N/A</v>
      </c>
      <c r="K425" s="55" t="str">
        <f>OBRA!X425</f>
        <v>N/A</v>
      </c>
      <c r="L425" s="19" t="str">
        <f>OBRA!N425</f>
        <v>RASTRO DIGNO 2020</v>
      </c>
      <c r="M425" s="2" t="str">
        <f>OBRA!O425</f>
        <v>CONVENIO</v>
      </c>
      <c r="N425" s="3" t="str">
        <f>OBRA!P425</f>
        <v>PROGRAMA PARA MEJORAMIENTO DE RASTROS "RASTRO DIGNO", EJERCICIO 2020</v>
      </c>
      <c r="O425" s="3"/>
      <c r="P425" s="6">
        <f>OBRA!S425</f>
        <v>44174</v>
      </c>
      <c r="Q425" s="4">
        <f>OBRA!R425</f>
        <v>2755548.61</v>
      </c>
      <c r="R425" s="5" t="str">
        <f>OBRA!T425</f>
        <v>-</v>
      </c>
      <c r="S425" s="11" t="str">
        <f>OBRA!U425</f>
        <v>-</v>
      </c>
      <c r="T425" s="53"/>
      <c r="U425" s="377" t="s">
        <v>1428</v>
      </c>
      <c r="V425" s="309"/>
      <c r="W425" s="11"/>
      <c r="X425" s="986">
        <f>OBRA!AR425</f>
        <v>0</v>
      </c>
      <c r="Y425" s="309"/>
      <c r="Z425" s="309"/>
      <c r="AA425" s="5"/>
      <c r="AB425" s="313"/>
      <c r="AC425" s="317">
        <f>OBRA!BW425</f>
        <v>0</v>
      </c>
      <c r="AD425" s="352"/>
      <c r="AE425" s="352"/>
    </row>
    <row r="426" spans="1:31" ht="15" hidden="1" customHeight="1">
      <c r="A426" s="22" t="s">
        <v>2206</v>
      </c>
      <c r="B426" s="809" t="str">
        <f>GRAL!B428</f>
        <v>2018-2021</v>
      </c>
      <c r="C426" s="16">
        <f>OBRA!J426</f>
        <v>2020</v>
      </c>
      <c r="D426" s="1415"/>
      <c r="E426" s="17" t="str">
        <f>OBRA!M426</f>
        <v>EMP P/LA REACTIVACIÓN ECONÓMICA EN MPIOS</v>
      </c>
      <c r="F426" s="478"/>
      <c r="G426" s="352"/>
      <c r="H426" s="1"/>
      <c r="I426" s="352"/>
      <c r="J426" s="54" t="str">
        <f>OBRA!W426</f>
        <v>N/A</v>
      </c>
      <c r="K426" s="55" t="str">
        <f>OBRA!X426</f>
        <v>N/A</v>
      </c>
      <c r="L426" s="19" t="str">
        <f>OBRA!N426</f>
        <v>SADER/DGIR/EMP/057/2020</v>
      </c>
      <c r="M426" s="2" t="str">
        <f>OBRA!O426</f>
        <v>CONVENIO</v>
      </c>
      <c r="N426" s="3" t="str">
        <f>OBRA!P426</f>
        <v xml:space="preserve">PROGRAMA DE EMPEDRADOS PARA LA REACTIVACIÓN ECONÓMICA EN MUNICIPIOS </v>
      </c>
      <c r="O426" s="3"/>
      <c r="P426" s="6">
        <f>OBRA!S426</f>
        <v>44085</v>
      </c>
      <c r="Q426" s="4">
        <f>OBRA!R426</f>
        <v>7000000</v>
      </c>
      <c r="R426" s="5" t="str">
        <f>OBRA!T426</f>
        <v>-</v>
      </c>
      <c r="S426" s="11" t="str">
        <f>OBRA!U426</f>
        <v>-</v>
      </c>
      <c r="T426" s="53"/>
      <c r="U426" s="377" t="s">
        <v>1428</v>
      </c>
      <c r="V426" s="309"/>
      <c r="W426" s="11"/>
      <c r="X426" s="986">
        <f>OBRA!AR426</f>
        <v>0</v>
      </c>
      <c r="Y426" s="309"/>
      <c r="Z426" s="309"/>
      <c r="AA426" s="5"/>
      <c r="AB426" s="313"/>
      <c r="AC426" s="317">
        <f>OBRA!BW426</f>
        <v>0</v>
      </c>
      <c r="AD426" s="352"/>
      <c r="AE426" s="352"/>
    </row>
    <row r="427" spans="1:31" ht="15" hidden="1" customHeight="1">
      <c r="A427" s="22" t="s">
        <v>2206</v>
      </c>
      <c r="B427" s="809" t="str">
        <f>GRAL!B429</f>
        <v>2018-2021</v>
      </c>
      <c r="C427" s="16">
        <f>OBRA!J427</f>
        <v>2020</v>
      </c>
      <c r="D427" s="1415"/>
      <c r="E427" s="17" t="str">
        <f>OBRA!M427</f>
        <v>CUENTA CORRIENTE</v>
      </c>
      <c r="F427" s="478"/>
      <c r="G427" s="352"/>
      <c r="H427" s="1"/>
      <c r="I427" s="352"/>
      <c r="J427" s="54" t="str">
        <f>OBRA!W427</f>
        <v>N/A</v>
      </c>
      <c r="K427" s="55" t="str">
        <f>OBRA!X427</f>
        <v>ING. JUAN MANUEL GARCIA ESCOTO</v>
      </c>
      <c r="L427" s="19" t="str">
        <f>OBRA!N427</f>
        <v>DOP/AD/001/2020</v>
      </c>
      <c r="M427" s="2" t="str">
        <f>OBRA!O427</f>
        <v>ADMINISTRACIÓN DIRECTA</v>
      </c>
      <c r="N427" s="3" t="str">
        <f>OBRA!P427</f>
        <v>"ADQUISICION DE MATERIALES PARA LA LINEA DE ALIMENTACION DEL DEPOSITO NUEVO , EN LA LOCALIDAD DE HUEJOTITAN, MUNICIPIO DE JOCOTEPEC, JALISCO"</v>
      </c>
      <c r="O427" s="3"/>
      <c r="P427" s="6">
        <f>OBRA!S427</f>
        <v>43924</v>
      </c>
      <c r="Q427" s="4">
        <f>OBRA!R427</f>
        <v>149601.96</v>
      </c>
      <c r="R427" s="5">
        <f>OBRA!T427</f>
        <v>43893</v>
      </c>
      <c r="S427" s="11">
        <f>OBRA!U427</f>
        <v>43982</v>
      </c>
      <c r="T427" s="53"/>
      <c r="U427" s="377" t="s">
        <v>1428</v>
      </c>
      <c r="V427" s="309"/>
      <c r="W427" s="11"/>
      <c r="X427" s="986">
        <f>OBRA!AR427</f>
        <v>0</v>
      </c>
      <c r="Y427" s="309"/>
      <c r="Z427" s="309"/>
      <c r="AA427" s="5"/>
      <c r="AB427" s="313"/>
      <c r="AC427" s="317">
        <f>OBRA!BW427</f>
        <v>0</v>
      </c>
      <c r="AD427" s="352"/>
      <c r="AE427" s="352"/>
    </row>
    <row r="428" spans="1:31" ht="15" hidden="1" customHeight="1">
      <c r="A428" s="22" t="s">
        <v>2206</v>
      </c>
      <c r="B428" s="809" t="str">
        <f>GRAL!B430</f>
        <v>2018-2021</v>
      </c>
      <c r="C428" s="16">
        <f>OBRA!J428</f>
        <v>2020</v>
      </c>
      <c r="D428" s="1415"/>
      <c r="E428" s="17" t="str">
        <f>OBRA!M428</f>
        <v>CUENTA CORRIENTE</v>
      </c>
      <c r="F428" s="478"/>
      <c r="G428" s="352"/>
      <c r="H428" s="1"/>
      <c r="I428" s="352"/>
      <c r="J428" s="54" t="str">
        <f>OBRA!W428</f>
        <v>N/A</v>
      </c>
      <c r="K428" s="55" t="str">
        <f>OBRA!X428</f>
        <v>HACIENDA MPAL</v>
      </c>
      <c r="L428" s="19" t="str">
        <f>OBRA!N428</f>
        <v>DOP/AD/002/2020</v>
      </c>
      <c r="M428" s="2" t="str">
        <f>OBRA!O428</f>
        <v>ADMINISTRACIÓN DIRECTA</v>
      </c>
      <c r="N428" s="3" t="str">
        <f>OBRA!P428</f>
        <v>"REHABILITACIÓN Y MANTENIMIENTO DE "LA CASA DE CULTURA SAN JUAN COSALA, DEL MUNICIPIO DE JOCOTEPEC, JALISCO.</v>
      </c>
      <c r="O428" s="3"/>
      <c r="P428" s="6">
        <f>OBRA!S428</f>
        <v>43924</v>
      </c>
      <c r="Q428" s="4">
        <f>OBRA!R428</f>
        <v>655000</v>
      </c>
      <c r="R428" s="5">
        <f>OBRA!T428</f>
        <v>43924</v>
      </c>
      <c r="S428" s="11">
        <f>OBRA!U428</f>
        <v>44043</v>
      </c>
      <c r="T428" s="53"/>
      <c r="U428" s="377" t="s">
        <v>1428</v>
      </c>
      <c r="V428" s="309"/>
      <c r="W428" s="11"/>
      <c r="X428" s="986">
        <f>OBRA!AR428</f>
        <v>0</v>
      </c>
      <c r="Y428" s="309"/>
      <c r="Z428" s="309"/>
      <c r="AA428" s="5"/>
      <c r="AB428" s="313"/>
      <c r="AC428" s="317">
        <f>OBRA!BW428</f>
        <v>0</v>
      </c>
      <c r="AD428" s="352"/>
      <c r="AE428" s="352"/>
    </row>
    <row r="429" spans="1:31" ht="15" hidden="1" customHeight="1">
      <c r="A429" s="22" t="s">
        <v>2206</v>
      </c>
      <c r="B429" s="809" t="str">
        <f>GRAL!B431</f>
        <v>2018-2021</v>
      </c>
      <c r="C429" s="16">
        <f>OBRA!J429</f>
        <v>2020</v>
      </c>
      <c r="D429" s="1415"/>
      <c r="E429" s="17" t="str">
        <f>OBRA!M429</f>
        <v>CEAJ / CUENTA CORRIENTE</v>
      </c>
      <c r="F429" s="478"/>
      <c r="G429" s="352"/>
      <c r="H429" s="1"/>
      <c r="I429" s="352"/>
      <c r="J429" s="54" t="str">
        <f>OBRA!W429</f>
        <v>N/A</v>
      </c>
      <c r="K429" s="55" t="str">
        <f>OBRA!X429</f>
        <v>ARQ. JAIME CONDE GOMEZ</v>
      </c>
      <c r="L429" s="19" t="str">
        <f>OBRA!N429</f>
        <v>DOP/AD/003/2020</v>
      </c>
      <c r="M429" s="2" t="str">
        <f>OBRA!O429</f>
        <v>ADMINISTRACIÓN DIRECTA</v>
      </c>
      <c r="N429" s="3" t="str">
        <f>OBRA!P429</f>
        <v>"MATERIALES E INSUMOS NECESARIOS PARA LA PERFORACIÓN DE POZO PROFUNDO EN LA LOCALIDAD DE LAS TROJES, DEL MUNICIPIO DE JOCOTEPEC, JALISCO.</v>
      </c>
      <c r="O429" s="3"/>
      <c r="P429" s="6">
        <f>OBRA!S429</f>
        <v>43945</v>
      </c>
      <c r="Q429" s="4">
        <f>OBRA!R429</f>
        <v>962427.31</v>
      </c>
      <c r="R429" s="5">
        <f>OBRA!T429</f>
        <v>43945</v>
      </c>
      <c r="S429" s="11">
        <f>OBRA!U429</f>
        <v>44098</v>
      </c>
      <c r="T429" s="53"/>
      <c r="U429" s="377" t="s">
        <v>1428</v>
      </c>
      <c r="V429" s="309"/>
      <c r="W429" s="11"/>
      <c r="X429" s="986">
        <f>OBRA!AR429</f>
        <v>0</v>
      </c>
      <c r="Y429" s="309"/>
      <c r="Z429" s="309"/>
      <c r="AA429" s="5"/>
      <c r="AB429" s="313"/>
      <c r="AC429" s="317">
        <f>OBRA!BW429</f>
        <v>0</v>
      </c>
      <c r="AD429" s="352"/>
      <c r="AE429" s="352"/>
    </row>
    <row r="430" spans="1:31" ht="15" hidden="1" customHeight="1">
      <c r="A430" s="22" t="s">
        <v>2206</v>
      </c>
      <c r="B430" s="809" t="str">
        <f>GRAL!B432</f>
        <v>2018-2021</v>
      </c>
      <c r="C430" s="16">
        <f>OBRA!J430</f>
        <v>2020</v>
      </c>
      <c r="D430" s="1415"/>
      <c r="E430" s="17" t="str">
        <f>OBRA!M430</f>
        <v>CUENTA CORRIENTE</v>
      </c>
      <c r="F430" s="478"/>
      <c r="G430" s="352"/>
      <c r="H430" s="1"/>
      <c r="I430" s="352"/>
      <c r="J430" s="54" t="str">
        <f>OBRA!W430</f>
        <v>N/A</v>
      </c>
      <c r="K430" s="55" t="str">
        <f>OBRA!X430</f>
        <v>TESORERÍA</v>
      </c>
      <c r="L430" s="19" t="str">
        <f>OBRA!N430</f>
        <v>DOP/AD/004/2020</v>
      </c>
      <c r="M430" s="2" t="str">
        <f>OBRA!O430</f>
        <v>ADMINISTRACIÓN DIRECTA</v>
      </c>
      <c r="N430" s="3" t="str">
        <f>OBRA!P430</f>
        <v>FABRICACIÓN DE EMPEDRADO NORMAL CON HUELLAS DE CONCRETO EN CALLE LA PAZ ENTRE VICENTE GUERRERO E ITURBIDE" EN LA DELEGACIÓN DE SAN JUAN COSALA, DEL MUNICIPIO DE JOCOTEPEC, JALISCO.</v>
      </c>
      <c r="O430" s="3"/>
      <c r="P430" s="6">
        <f>OBRA!S430</f>
        <v>43910</v>
      </c>
      <c r="Q430" s="4">
        <f>OBRA!R430</f>
        <v>192779.35</v>
      </c>
      <c r="R430" s="5">
        <f>OBRA!T430</f>
        <v>43913</v>
      </c>
      <c r="S430" s="11">
        <f>OBRA!U430</f>
        <v>43960</v>
      </c>
      <c r="T430" s="53"/>
      <c r="U430" s="377" t="s">
        <v>1428</v>
      </c>
      <c r="V430" s="309"/>
      <c r="W430" s="11"/>
      <c r="X430" s="986">
        <f>OBRA!AR430</f>
        <v>0</v>
      </c>
      <c r="Y430" s="309"/>
      <c r="Z430" s="309"/>
      <c r="AA430" s="5"/>
      <c r="AB430" s="313"/>
      <c r="AC430" s="317">
        <f>OBRA!BW430</f>
        <v>0</v>
      </c>
      <c r="AD430" s="352"/>
      <c r="AE430" s="352"/>
    </row>
    <row r="431" spans="1:31" ht="15" hidden="1" customHeight="1">
      <c r="A431" s="22" t="s">
        <v>2206</v>
      </c>
      <c r="B431" s="809" t="str">
        <f>GRAL!B433</f>
        <v>2018-2021</v>
      </c>
      <c r="C431" s="16">
        <f>OBRA!J431</f>
        <v>2020</v>
      </c>
      <c r="D431" s="1415"/>
      <c r="E431" s="17" t="str">
        <f>OBRA!M431</f>
        <v>CUENTA CORRIENTE</v>
      </c>
      <c r="F431" s="478"/>
      <c r="G431" s="352"/>
      <c r="H431" s="1"/>
      <c r="I431" s="352"/>
      <c r="J431" s="54" t="str">
        <f>OBRA!W431</f>
        <v>N/A</v>
      </c>
      <c r="K431" s="55" t="str">
        <f>OBRA!X431</f>
        <v>HACIENDA MPAL</v>
      </c>
      <c r="L431" s="19" t="str">
        <f>OBRA!N431</f>
        <v>DOP/AD/005/2020</v>
      </c>
      <c r="M431" s="2" t="str">
        <f>OBRA!O431</f>
        <v>ADMINISTRACIÓN DIRECTA</v>
      </c>
      <c r="N431" s="3" t="str">
        <f>OBRA!P431</f>
        <v>"ELABORACIÓN DE MURO PERIMETRAL, EN LA CASA DE CULTURA" UBICADA EN LA DELEGACIÓN DE SAN JUAN COSALA, DEL MUNICIPIO DE JOCOTEPEC, JALISCO.</v>
      </c>
      <c r="O431" s="3"/>
      <c r="P431" s="6">
        <f>OBRA!S431</f>
        <v>43924</v>
      </c>
      <c r="Q431" s="4">
        <f>OBRA!R431</f>
        <v>50000</v>
      </c>
      <c r="R431" s="5">
        <f>OBRA!T431</f>
        <v>43924</v>
      </c>
      <c r="S431" s="11">
        <f>OBRA!U431</f>
        <v>43961</v>
      </c>
      <c r="T431" s="53"/>
      <c r="U431" s="377" t="s">
        <v>1428</v>
      </c>
      <c r="V431" s="309"/>
      <c r="W431" s="11"/>
      <c r="X431" s="986">
        <f>OBRA!AR431</f>
        <v>0</v>
      </c>
      <c r="Y431" s="309"/>
      <c r="Z431" s="309"/>
      <c r="AA431" s="5"/>
      <c r="AB431" s="313"/>
      <c r="AC431" s="317">
        <f>OBRA!BW431</f>
        <v>0</v>
      </c>
      <c r="AD431" s="352"/>
      <c r="AE431" s="352"/>
    </row>
    <row r="432" spans="1:31" ht="15" hidden="1" customHeight="1">
      <c r="A432" s="22" t="s">
        <v>2206</v>
      </c>
      <c r="B432" s="809" t="str">
        <f>GRAL!B434</f>
        <v>2018-2021</v>
      </c>
      <c r="C432" s="16">
        <f>OBRA!J432</f>
        <v>2020</v>
      </c>
      <c r="D432" s="1415"/>
      <c r="E432" s="17" t="str">
        <f>OBRA!M432</f>
        <v>RAMO 33</v>
      </c>
      <c r="F432" s="478"/>
      <c r="G432" s="352"/>
      <c r="H432" s="1"/>
      <c r="I432" s="352"/>
      <c r="J432" s="54" t="str">
        <f>OBRA!W432</f>
        <v>N/A</v>
      </c>
      <c r="K432" s="55" t="str">
        <f>OBRA!X432</f>
        <v>ING. J. GUADALUPE IBARRA RAMIREZ</v>
      </c>
      <c r="L432" s="19" t="str">
        <f>OBRA!N432</f>
        <v>DOP/AD/006/2020</v>
      </c>
      <c r="M432" s="2" t="str">
        <f>OBRA!O432</f>
        <v>ADMINISTRACIÓN DIRECTA</v>
      </c>
      <c r="N432" s="3" t="str">
        <f>OBRA!P432</f>
        <v>SUMINISTRO Y COLOCACIÓN DE MACHUELO PRE FABRICADO EN LA CALLE LOS ÁNGELES ENTRE PRIVADA ALDAMA Y CERRADA”, EN LA CABECERA MUNICIPAL DE JOCOTEPEC, JALISCO</v>
      </c>
      <c r="O432" s="3"/>
      <c r="P432" s="6">
        <f>OBRA!S432</f>
        <v>44103</v>
      </c>
      <c r="Q432" s="4">
        <f>OBRA!R432</f>
        <v>42478.36</v>
      </c>
      <c r="R432" s="5">
        <f>OBRA!T432</f>
        <v>44106</v>
      </c>
      <c r="S432" s="11">
        <f>OBRA!U432</f>
        <v>44120</v>
      </c>
      <c r="T432" s="53"/>
      <c r="U432" s="377" t="s">
        <v>1428</v>
      </c>
      <c r="V432" s="309"/>
      <c r="W432" s="11"/>
      <c r="X432" s="986">
        <f>OBRA!AR432</f>
        <v>0</v>
      </c>
      <c r="Y432" s="309"/>
      <c r="Z432" s="309"/>
      <c r="AA432" s="5"/>
      <c r="AB432" s="313"/>
      <c r="AC432" s="317">
        <f>OBRA!BW432</f>
        <v>0</v>
      </c>
      <c r="AD432" s="352"/>
      <c r="AE432" s="352"/>
    </row>
    <row r="433" spans="1:31" ht="15" hidden="1" customHeight="1">
      <c r="A433" s="22" t="s">
        <v>2206</v>
      </c>
      <c r="B433" s="809" t="str">
        <f>GRAL!B435</f>
        <v>2018-2021</v>
      </c>
      <c r="C433" s="16">
        <f>OBRA!J433</f>
        <v>2020</v>
      </c>
      <c r="D433" s="1415"/>
      <c r="E433" s="17" t="str">
        <f>OBRA!M433</f>
        <v>EMP P/LA REACTIVACIÓN ECONÓMICA EN MPIOS</v>
      </c>
      <c r="F433" s="478"/>
      <c r="G433" s="352"/>
      <c r="H433" s="1"/>
      <c r="I433" s="352"/>
      <c r="J433" s="54" t="str">
        <f>OBRA!W433</f>
        <v>N/A</v>
      </c>
      <c r="K433" s="55" t="str">
        <f>OBRA!X433</f>
        <v>ING. J. GUADALUPE IBARRA RAMIREZ</v>
      </c>
      <c r="L433" s="19" t="str">
        <f>OBRA!N433</f>
        <v>DOP/AD/007/2020</v>
      </c>
      <c r="M433" s="2" t="str">
        <f>OBRA!O433</f>
        <v>ADMINISTRACIÓN DIRECTA</v>
      </c>
      <c r="N433" s="3" t="str">
        <f>OBRA!P433</f>
        <v>CONSTRUCCIÓN DE EMPEDRADO ZAMPEADO EN VIALIDAD CALLE JUAREZ DE KM 0+000.00 AL KM 0+126.10, EN LA LOCALIDAD DE LAS TROJES DEL MUNICIPIO DE JOCOTEPEC, JALISCO.</v>
      </c>
      <c r="O433" s="3"/>
      <c r="P433" s="6">
        <f>OBRA!S433</f>
        <v>44089</v>
      </c>
      <c r="Q433" s="4">
        <f>OBRA!R433</f>
        <v>196881.44</v>
      </c>
      <c r="R433" s="5">
        <f>OBRA!T433</f>
        <v>44144</v>
      </c>
      <c r="S433" s="11">
        <f>OBRA!U433</f>
        <v>44191</v>
      </c>
      <c r="T433" s="53"/>
      <c r="U433" s="377" t="s">
        <v>1428</v>
      </c>
      <c r="V433" s="309"/>
      <c r="W433" s="11"/>
      <c r="X433" s="986">
        <f>OBRA!AR433</f>
        <v>0</v>
      </c>
      <c r="Y433" s="309"/>
      <c r="Z433" s="309"/>
      <c r="AA433" s="5"/>
      <c r="AB433" s="313"/>
      <c r="AC433" s="317">
        <f>OBRA!BW433</f>
        <v>0</v>
      </c>
      <c r="AD433" s="352"/>
      <c r="AE433" s="352"/>
    </row>
    <row r="434" spans="1:31" ht="15" hidden="1" customHeight="1">
      <c r="A434" s="22" t="s">
        <v>2206</v>
      </c>
      <c r="B434" s="809" t="str">
        <f>GRAL!B436</f>
        <v>2018-2021</v>
      </c>
      <c r="C434" s="16">
        <f>OBRA!J434</f>
        <v>2020</v>
      </c>
      <c r="D434" s="1415"/>
      <c r="E434" s="17" t="str">
        <f>OBRA!M434</f>
        <v>CTA-CTE / EMP P REACT ECO MPIOS</v>
      </c>
      <c r="F434" s="478"/>
      <c r="G434" s="352"/>
      <c r="H434" s="1"/>
      <c r="I434" s="352"/>
      <c r="J434" s="54" t="str">
        <f>OBRA!W434</f>
        <v>N/A</v>
      </c>
      <c r="K434" s="55">
        <f>OBRA!X434</f>
        <v>0</v>
      </c>
      <c r="L434" s="19" t="str">
        <f>OBRA!N434</f>
        <v>DOP/AD/007-A/2020</v>
      </c>
      <c r="M434" s="2" t="str">
        <f>OBRA!O434</f>
        <v>ADMINISTRACIÓN DIRECTA</v>
      </c>
      <c r="N434" s="3" t="str">
        <f>OBRA!P434</f>
        <v>CONSTRUCCIÓN DE EMPEDRADO ZAMPEADO EN VIALIDAD CALLE JUAREZ DE KM 0+000.00 AL KM 0+126.10, EN LA LOCALIDAD DE LAS TROJES DEL MUNICIPIO DE JOCOTEPEC, JALISCO</v>
      </c>
      <c r="O434" s="3"/>
      <c r="P434" s="6">
        <f>OBRA!S434</f>
        <v>44089</v>
      </c>
      <c r="Q434" s="4">
        <f>OBRA!R434</f>
        <v>283094.36</v>
      </c>
      <c r="R434" s="5">
        <f>OBRA!T434</f>
        <v>44137</v>
      </c>
      <c r="S434" s="11">
        <f>OBRA!U434</f>
        <v>44191</v>
      </c>
      <c r="T434" s="53"/>
      <c r="U434" s="377" t="s">
        <v>1428</v>
      </c>
      <c r="V434" s="309"/>
      <c r="W434" s="11"/>
      <c r="X434" s="986">
        <f>OBRA!AR434</f>
        <v>0</v>
      </c>
      <c r="Y434" s="309"/>
      <c r="Z434" s="309"/>
      <c r="AA434" s="5"/>
      <c r="AB434" s="313"/>
      <c r="AC434" s="317">
        <f>OBRA!BW434</f>
        <v>0</v>
      </c>
      <c r="AD434" s="352"/>
      <c r="AE434" s="352"/>
    </row>
    <row r="435" spans="1:31" ht="15" hidden="1" customHeight="1">
      <c r="A435" s="22" t="s">
        <v>2206</v>
      </c>
      <c r="B435" s="809" t="str">
        <f>GRAL!B437</f>
        <v>2018-2021</v>
      </c>
      <c r="C435" s="16">
        <f>OBRA!J435</f>
        <v>2020</v>
      </c>
      <c r="D435" s="1415"/>
      <c r="E435" s="17" t="str">
        <f>OBRA!M435</f>
        <v>EMP P/LA REACTIVACIÓN ECONÓMICA EN MPIOS</v>
      </c>
      <c r="F435" s="478"/>
      <c r="G435" s="352"/>
      <c r="H435" s="1"/>
      <c r="I435" s="352"/>
      <c r="J435" s="54" t="str">
        <f>OBRA!W435</f>
        <v>N/A</v>
      </c>
      <c r="K435" s="55" t="str">
        <f>OBRA!X435</f>
        <v>ING. J. GUADALUPE IBARRA RAMIREZ</v>
      </c>
      <c r="L435" s="19" t="str">
        <f>OBRA!N435</f>
        <v>DOP/AD/008/2020</v>
      </c>
      <c r="M435" s="2" t="str">
        <f>OBRA!O435</f>
        <v>ADMINISTRACIÓN DIRECTA</v>
      </c>
      <c r="N435" s="3" t="str">
        <f>OBRA!P435</f>
        <v>CONSTRUCCIÓN DE EMPEDRADO ZAMPEADO EN CALLES DE LA DELEGACIÓN DE HUEJOTITAN</v>
      </c>
      <c r="O435" s="3"/>
      <c r="P435" s="6">
        <f>OBRA!S435</f>
        <v>44454</v>
      </c>
      <c r="Q435" s="4">
        <f>OBRA!R435</f>
        <v>1079624.5</v>
      </c>
      <c r="R435" s="5">
        <f>OBRA!T435</f>
        <v>44166</v>
      </c>
      <c r="S435" s="11">
        <f>OBRA!U435</f>
        <v>44196</v>
      </c>
      <c r="T435" s="53"/>
      <c r="U435" s="377" t="s">
        <v>1428</v>
      </c>
      <c r="V435" s="309"/>
      <c r="W435" s="11"/>
      <c r="X435" s="986">
        <f>OBRA!AR435</f>
        <v>0</v>
      </c>
      <c r="Y435" s="309"/>
      <c r="Z435" s="309"/>
      <c r="AA435" s="5"/>
      <c r="AB435" s="313"/>
      <c r="AC435" s="317">
        <f>OBRA!BW435</f>
        <v>0</v>
      </c>
      <c r="AD435" s="352"/>
      <c r="AE435" s="352"/>
    </row>
    <row r="436" spans="1:31" ht="15" hidden="1" customHeight="1">
      <c r="A436" s="22" t="s">
        <v>2206</v>
      </c>
      <c r="B436" s="809" t="str">
        <f>GRAL!B438</f>
        <v>2018-2021</v>
      </c>
      <c r="C436" s="16">
        <f>OBRA!J436</f>
        <v>2020</v>
      </c>
      <c r="D436" s="1415"/>
      <c r="E436" s="17" t="str">
        <f>OBRA!M436</f>
        <v>CTA-CTE / EMP P REACT ECO MPIOS</v>
      </c>
      <c r="F436" s="478"/>
      <c r="G436" s="352"/>
      <c r="H436" s="1"/>
      <c r="I436" s="352"/>
      <c r="J436" s="54" t="str">
        <f>OBRA!W436</f>
        <v>N/A</v>
      </c>
      <c r="K436" s="55">
        <f>OBRA!X436</f>
        <v>0</v>
      </c>
      <c r="L436" s="19" t="str">
        <f>OBRA!N436</f>
        <v>DOP/AD/008-A/2020</v>
      </c>
      <c r="M436" s="2" t="str">
        <f>OBRA!O436</f>
        <v>ADMINISTRACIÓN DIRECTA</v>
      </c>
      <c r="N436" s="3" t="str">
        <f>OBRA!P436</f>
        <v>CONSTRUCCIÓN DE EMPEDRADO ZAMPEADO, EN LA LOCALIDAD DE HUEJOTITAN DEL MUNICIPIO DE JOCOTEPEC, JALISCO.</v>
      </c>
      <c r="O436" s="3"/>
      <c r="P436" s="6">
        <f>OBRA!S436</f>
        <v>44089</v>
      </c>
      <c r="Q436" s="4">
        <f>OBRA!R436</f>
        <v>327960.31</v>
      </c>
      <c r="R436" s="5">
        <f>OBRA!T436</f>
        <v>44166</v>
      </c>
      <c r="S436" s="11">
        <f>OBRA!U436</f>
        <v>44196</v>
      </c>
      <c r="T436" s="53"/>
      <c r="U436" s="377" t="s">
        <v>1428</v>
      </c>
      <c r="V436" s="309"/>
      <c r="W436" s="11"/>
      <c r="X436" s="986">
        <f>OBRA!AR436</f>
        <v>0</v>
      </c>
      <c r="Y436" s="309"/>
      <c r="Z436" s="309"/>
      <c r="AA436" s="5"/>
      <c r="AB436" s="313"/>
      <c r="AC436" s="317">
        <f>OBRA!BW436</f>
        <v>0</v>
      </c>
      <c r="AD436" s="352"/>
      <c r="AE436" s="352"/>
    </row>
    <row r="437" spans="1:31" ht="15" hidden="1" customHeight="1">
      <c r="A437" s="22" t="s">
        <v>2206</v>
      </c>
      <c r="B437" s="809" t="str">
        <f>GRAL!B439</f>
        <v>2018-2021</v>
      </c>
      <c r="C437" s="16">
        <f>OBRA!J437</f>
        <v>2020</v>
      </c>
      <c r="D437" s="1415"/>
      <c r="E437" s="17" t="str">
        <f>OBRA!M437</f>
        <v>EMP P/LA REACTIVACIÓN ECONÓMICA EN MPIOS</v>
      </c>
      <c r="F437" s="478"/>
      <c r="G437" s="352"/>
      <c r="H437" s="1"/>
      <c r="I437" s="352"/>
      <c r="J437" s="54" t="str">
        <f>OBRA!W437</f>
        <v>N/A</v>
      </c>
      <c r="K437" s="55" t="str">
        <f>OBRA!X437</f>
        <v>ING. J. GUADALUPE IBARRA RAMIREZ</v>
      </c>
      <c r="L437" s="19" t="str">
        <f>OBRA!N437</f>
        <v>DOP/AD/009/2020</v>
      </c>
      <c r="M437" s="2" t="str">
        <f>OBRA!O437</f>
        <v>ADMINISTRACIÓN DIRECTA</v>
      </c>
      <c r="N437" s="3" t="str">
        <f>OBRA!P437</f>
        <v>CONSTRUCCIÓN DE EMPEDRADO ZAMPEADO EN VIALIDAD CALLE RAMON CORONA DEL 0+000 AL 0+101.50 ENTRE GALEANA Y FRANCISCO I MADERO,EN LA LOCALIDAD DE POTRERILLOS DEL MUNICIPIO DE JOCOTEPEC, JALISCO.</v>
      </c>
      <c r="O437" s="3"/>
      <c r="P437" s="6">
        <f>OBRA!S437</f>
        <v>44089</v>
      </c>
      <c r="Q437" s="4">
        <f>OBRA!R437</f>
        <v>193929.96</v>
      </c>
      <c r="R437" s="5">
        <f>OBRA!T437</f>
        <v>44140</v>
      </c>
      <c r="S437" s="11">
        <f>OBRA!U437</f>
        <v>44191</v>
      </c>
      <c r="T437" s="53"/>
      <c r="U437" s="377" t="s">
        <v>1428</v>
      </c>
      <c r="V437" s="309"/>
      <c r="W437" s="11"/>
      <c r="X437" s="986">
        <f>OBRA!AR437</f>
        <v>0</v>
      </c>
      <c r="Y437" s="309"/>
      <c r="Z437" s="309"/>
      <c r="AA437" s="5"/>
      <c r="AB437" s="313"/>
      <c r="AC437" s="317">
        <f>OBRA!BW437</f>
        <v>0</v>
      </c>
      <c r="AD437" s="352"/>
      <c r="AE437" s="352"/>
    </row>
    <row r="438" spans="1:31" ht="15" hidden="1" customHeight="1">
      <c r="A438" s="22" t="s">
        <v>2206</v>
      </c>
      <c r="B438" s="809" t="str">
        <f>GRAL!B440</f>
        <v>2018-2021</v>
      </c>
      <c r="C438" s="16">
        <f>OBRA!J438</f>
        <v>2020</v>
      </c>
      <c r="D438" s="1415"/>
      <c r="E438" s="17" t="str">
        <f>OBRA!M438</f>
        <v>EMP P/LA REACTIVACIÓN ECONÓMICA EN MPIOS</v>
      </c>
      <c r="F438" s="478"/>
      <c r="G438" s="352"/>
      <c r="H438" s="1"/>
      <c r="I438" s="352"/>
      <c r="J438" s="54" t="str">
        <f>OBRA!W438</f>
        <v>N/A</v>
      </c>
      <c r="K438" s="55" t="str">
        <f>OBRA!X438</f>
        <v>ING. J. GUADALUPE IBARRA RAMIREZ</v>
      </c>
      <c r="L438" s="19" t="str">
        <f>OBRA!N438</f>
        <v>DOP/AD/009/2020</v>
      </c>
      <c r="M438" s="2" t="str">
        <f>OBRA!O438</f>
        <v>ADMINISTRACIÓN DIRECTA</v>
      </c>
      <c r="N438" s="3" t="str">
        <f>OBRA!P438</f>
        <v>CONSTRUCCIÓN DE EMPEDRADO ZAMPEADO EN VIALIDAD FRANCISCO I MADERO DEL KM 0+000 AL 0+173.50 ENTRE BENITO JUAREZ Y CERRADA, EN LA LOCALIDAD DE POTRERILLOS DEL MUNICIPIO DE JOCOTEPEC, JALISCO.</v>
      </c>
      <c r="O438" s="3"/>
      <c r="P438" s="6">
        <f>OBRA!S438</f>
        <v>44089</v>
      </c>
      <c r="Q438" s="4">
        <f>OBRA!R438</f>
        <v>331496.03999999998</v>
      </c>
      <c r="R438" s="5">
        <f>OBRA!T438</f>
        <v>44140</v>
      </c>
      <c r="S438" s="11">
        <f>OBRA!U438</f>
        <v>44191</v>
      </c>
      <c r="T438" s="53"/>
      <c r="U438" s="377" t="s">
        <v>1428</v>
      </c>
      <c r="V438" s="309"/>
      <c r="W438" s="11"/>
      <c r="X438" s="986">
        <f>OBRA!AR438</f>
        <v>0</v>
      </c>
      <c r="Y438" s="309"/>
      <c r="Z438" s="309"/>
      <c r="AA438" s="5"/>
      <c r="AB438" s="313"/>
      <c r="AC438" s="317">
        <f>OBRA!BW438</f>
        <v>0</v>
      </c>
      <c r="AD438" s="352"/>
      <c r="AE438" s="352"/>
    </row>
    <row r="439" spans="1:31" ht="15" hidden="1" customHeight="1">
      <c r="A439" s="22" t="s">
        <v>2206</v>
      </c>
      <c r="B439" s="809" t="str">
        <f>GRAL!B441</f>
        <v>2018-2021</v>
      </c>
      <c r="C439" s="16">
        <f>OBRA!J439</f>
        <v>2020</v>
      </c>
      <c r="D439" s="1415"/>
      <c r="E439" s="17" t="str">
        <f>OBRA!M439</f>
        <v>CTA-CTE / EMP P REACT ECO MPIOS</v>
      </c>
      <c r="F439" s="478"/>
      <c r="G439" s="352"/>
      <c r="H439" s="1"/>
      <c r="I439" s="352"/>
      <c r="J439" s="54" t="str">
        <f>OBRA!W439</f>
        <v>N/A</v>
      </c>
      <c r="K439" s="55">
        <f>OBRA!X439</f>
        <v>0</v>
      </c>
      <c r="L439" s="19" t="str">
        <f>OBRA!N439</f>
        <v>DOP/AD/009-A/2020</v>
      </c>
      <c r="M439" s="2" t="str">
        <f>OBRA!O439</f>
        <v>ADMINISTRACIÓN DIRECTA</v>
      </c>
      <c r="N439" s="3" t="str">
        <f>OBRA!P439</f>
        <v>CONSTRUCCIÓN DE EMPEDRADO ZAMPEADO, EN LA LOCALIDAD DE POTRERILLOS DEL MUNICIPIO DE JOCOTEPEC, JALISCO</v>
      </c>
      <c r="O439" s="3"/>
      <c r="P439" s="6">
        <f>OBRA!S439</f>
        <v>44089</v>
      </c>
      <c r="Q439" s="4">
        <f>OBRA!R439</f>
        <v>174032.11</v>
      </c>
      <c r="R439" s="5">
        <f>OBRA!T439</f>
        <v>44140</v>
      </c>
      <c r="S439" s="11">
        <f>OBRA!U439</f>
        <v>44191</v>
      </c>
      <c r="T439" s="53"/>
      <c r="U439" s="377" t="s">
        <v>1428</v>
      </c>
      <c r="V439" s="309"/>
      <c r="W439" s="11"/>
      <c r="X439" s="986">
        <f>OBRA!AR439</f>
        <v>0</v>
      </c>
      <c r="Y439" s="309"/>
      <c r="Z439" s="309"/>
      <c r="AA439" s="5"/>
      <c r="AB439" s="313"/>
      <c r="AC439" s="317">
        <f>OBRA!BW439</f>
        <v>0</v>
      </c>
      <c r="AD439" s="352"/>
      <c r="AE439" s="352"/>
    </row>
    <row r="440" spans="1:31" ht="15" hidden="1" customHeight="1">
      <c r="A440" s="22" t="s">
        <v>2206</v>
      </c>
      <c r="B440" s="809" t="str">
        <f>GRAL!B442</f>
        <v>2018-2021</v>
      </c>
      <c r="C440" s="16">
        <f>OBRA!J440</f>
        <v>2020</v>
      </c>
      <c r="D440" s="1415"/>
      <c r="E440" s="17" t="str">
        <f>OBRA!M440</f>
        <v>EMP P/LA REACTIVACIÓN ECONÓMICA EN MPIOS</v>
      </c>
      <c r="F440" s="478"/>
      <c r="G440" s="352"/>
      <c r="H440" s="1"/>
      <c r="I440" s="352"/>
      <c r="J440" s="54" t="str">
        <f>OBRA!W440</f>
        <v>N/A</v>
      </c>
      <c r="K440" s="55" t="str">
        <f>OBRA!X440</f>
        <v>ING. J. GUADALUPE IBARRA RAMIREZ</v>
      </c>
      <c r="L440" s="19" t="str">
        <f>OBRA!N440</f>
        <v>DOP/AD/010/2020</v>
      </c>
      <c r="M440" s="2" t="str">
        <f>OBRA!O440</f>
        <v>ADMINISTRACIÓN DIRECTA</v>
      </c>
      <c r="N440" s="3" t="str">
        <f>OBRA!P440</f>
        <v>CONSTRUCCIÓN DE EMPEDRADO ZAMPEADO EN VIALIDAD AV. DEL TRABAJO DE KM 0+000.00 AL KM 0+215.00 (ENTRE VICENTE GUERRERO Y ALLENDE) SAN CRISTOBAL</v>
      </c>
      <c r="O440" s="3"/>
      <c r="P440" s="6">
        <f>OBRA!S440</f>
        <v>44089</v>
      </c>
      <c r="Q440" s="4">
        <f>OBRA!R440</f>
        <v>410787.6</v>
      </c>
      <c r="R440" s="5">
        <f>OBRA!T440</f>
        <v>44166</v>
      </c>
      <c r="S440" s="11">
        <f>OBRA!U440</f>
        <v>44196</v>
      </c>
      <c r="T440" s="53"/>
      <c r="U440" s="377" t="s">
        <v>1428</v>
      </c>
      <c r="V440" s="309"/>
      <c r="W440" s="11"/>
      <c r="X440" s="986">
        <f>OBRA!AR440</f>
        <v>0</v>
      </c>
      <c r="Y440" s="309"/>
      <c r="Z440" s="309"/>
      <c r="AA440" s="5"/>
      <c r="AB440" s="313"/>
      <c r="AC440" s="317">
        <f>OBRA!BW440</f>
        <v>0</v>
      </c>
      <c r="AD440" s="352"/>
      <c r="AE440" s="352"/>
    </row>
    <row r="441" spans="1:31" ht="15" hidden="1" customHeight="1">
      <c r="A441" s="22" t="s">
        <v>2206</v>
      </c>
      <c r="B441" s="809" t="str">
        <f>GRAL!B443</f>
        <v>2018-2021</v>
      </c>
      <c r="C441" s="16">
        <f>OBRA!J441</f>
        <v>2020</v>
      </c>
      <c r="D441" s="1415"/>
      <c r="E441" s="17" t="str">
        <f>OBRA!M441</f>
        <v>CTA-CTE / EMP P REACT ECO MPIOS</v>
      </c>
      <c r="F441" s="478"/>
      <c r="G441" s="352"/>
      <c r="H441" s="1"/>
      <c r="I441" s="352"/>
      <c r="J441" s="54" t="str">
        <f>OBRA!W441</f>
        <v>N/A</v>
      </c>
      <c r="K441" s="55">
        <f>OBRA!X441</f>
        <v>0</v>
      </c>
      <c r="L441" s="19" t="str">
        <f>OBRA!N441</f>
        <v>DOP/AD/010-A/2020</v>
      </c>
      <c r="M441" s="2" t="str">
        <f>OBRA!O441</f>
        <v>ADMINISTRACIÓN DIRECTA</v>
      </c>
      <c r="N441" s="3" t="str">
        <f>OBRA!P441</f>
        <v>CONSTRUCCIÓN DE EMPEDRADO ZAMPEADO EN VIALIDAD AV. DEL TRABAJO DE KM 0+000.00 AL KM 0+215.00 (ENTRE VICENTE GUERRERO Y ALLENDE), EN LA LOCALIDAD DE SAN CRISTÓBAL ZAPOTITLÁN DEL MUNICIPIO DE JOCOTEPEC, JALISCO.</v>
      </c>
      <c r="O441" s="3"/>
      <c r="P441" s="6">
        <f>OBRA!S441</f>
        <v>44089</v>
      </c>
      <c r="Q441" s="4">
        <f>OBRA!R441</f>
        <v>149317.53</v>
      </c>
      <c r="R441" s="5">
        <f>OBRA!T441</f>
        <v>44166</v>
      </c>
      <c r="S441" s="11">
        <f>OBRA!U441</f>
        <v>44196</v>
      </c>
      <c r="T441" s="53"/>
      <c r="U441" s="377" t="s">
        <v>1428</v>
      </c>
      <c r="V441" s="309"/>
      <c r="W441" s="11"/>
      <c r="X441" s="986">
        <f>OBRA!AR441</f>
        <v>0</v>
      </c>
      <c r="Y441" s="309"/>
      <c r="Z441" s="309"/>
      <c r="AA441" s="5"/>
      <c r="AB441" s="313"/>
      <c r="AC441" s="317">
        <f>OBRA!BW441</f>
        <v>0</v>
      </c>
      <c r="AD441" s="352"/>
      <c r="AE441" s="352"/>
    </row>
    <row r="442" spans="1:31" ht="15" hidden="1" customHeight="1">
      <c r="A442" s="22" t="s">
        <v>2206</v>
      </c>
      <c r="B442" s="809" t="str">
        <f>GRAL!B444</f>
        <v>2018-2021</v>
      </c>
      <c r="C442" s="16">
        <f>OBRA!J442</f>
        <v>2020</v>
      </c>
      <c r="D442" s="1415"/>
      <c r="E442" s="17" t="str">
        <f>OBRA!M442</f>
        <v>EMP P/LA REACTIVACIÓN ECONÓMICA EN MPIOS</v>
      </c>
      <c r="F442" s="478"/>
      <c r="G442" s="352"/>
      <c r="H442" s="1"/>
      <c r="I442" s="352"/>
      <c r="J442" s="54" t="str">
        <f>OBRA!W442</f>
        <v>N/A</v>
      </c>
      <c r="K442" s="55" t="str">
        <f>OBRA!X442</f>
        <v>ING. J. GUADALUPE IBARRA RAMIREZ</v>
      </c>
      <c r="L442" s="19" t="str">
        <f>OBRA!N442</f>
        <v>DOP/AD/011/2020</v>
      </c>
      <c r="M442" s="2" t="str">
        <f>OBRA!O442</f>
        <v>ADMINISTRACIÓN DIRECTA</v>
      </c>
      <c r="N442" s="3" t="str">
        <f>OBRA!P442</f>
        <v>CONSTRUCCIÓN DE EMPEDRADO ZAMPEADO EN CALLES DE LA AGENCIA DE EL SAUZ</v>
      </c>
      <c r="O442" s="3"/>
      <c r="P442" s="6">
        <f>OBRA!S442</f>
        <v>44089</v>
      </c>
      <c r="Q442" s="4">
        <f>OBRA!R442</f>
        <v>781012.26</v>
      </c>
      <c r="R442" s="5">
        <f>OBRA!T442</f>
        <v>44150</v>
      </c>
      <c r="S442" s="11">
        <f>OBRA!U442</f>
        <v>44181</v>
      </c>
      <c r="T442" s="53"/>
      <c r="U442" s="377" t="s">
        <v>1428</v>
      </c>
      <c r="V442" s="309"/>
      <c r="W442" s="11"/>
      <c r="X442" s="986">
        <f>OBRA!AR442</f>
        <v>0</v>
      </c>
      <c r="Y442" s="309"/>
      <c r="Z442" s="309"/>
      <c r="AA442" s="5"/>
      <c r="AB442" s="313"/>
      <c r="AC442" s="317">
        <f>OBRA!BW442</f>
        <v>0</v>
      </c>
      <c r="AD442" s="352"/>
      <c r="AE442" s="352"/>
    </row>
    <row r="443" spans="1:31" ht="15" hidden="1" customHeight="1">
      <c r="A443" s="22" t="s">
        <v>2206</v>
      </c>
      <c r="B443" s="809" t="str">
        <f>GRAL!B445</f>
        <v>2018-2021</v>
      </c>
      <c r="C443" s="16">
        <f>OBRA!J443</f>
        <v>2020</v>
      </c>
      <c r="D443" s="1415"/>
      <c r="E443" s="17" t="str">
        <f>OBRA!M443</f>
        <v>CTA-CTE / EMP P REACT ECO MPIOS</v>
      </c>
      <c r="F443" s="478"/>
      <c r="G443" s="352"/>
      <c r="H443" s="1"/>
      <c r="I443" s="352"/>
      <c r="J443" s="54" t="str">
        <f>OBRA!W443</f>
        <v>N/A</v>
      </c>
      <c r="K443" s="55">
        <f>OBRA!X443</f>
        <v>0</v>
      </c>
      <c r="L443" s="19" t="str">
        <f>OBRA!N443</f>
        <v>DOP/AD/011-A/2020</v>
      </c>
      <c r="M443" s="2" t="str">
        <f>OBRA!O443</f>
        <v>ADMINISTRACIÓN DIRECTA</v>
      </c>
      <c r="N443" s="3" t="str">
        <f>OBRA!P443</f>
        <v>CONSTRUCCIÓN DE EMPEDRADO ZAMPEADO, EN LA AGENCIA DE EL SAUZ</v>
      </c>
      <c r="O443" s="3"/>
      <c r="P443" s="6">
        <f>OBRA!S443</f>
        <v>44089</v>
      </c>
      <c r="Q443" s="4">
        <f>OBRA!R443</f>
        <v>289700.96999999997</v>
      </c>
      <c r="R443" s="5">
        <f>OBRA!T443</f>
        <v>44150</v>
      </c>
      <c r="S443" s="11">
        <f>OBRA!U443</f>
        <v>44181</v>
      </c>
      <c r="T443" s="53"/>
      <c r="U443" s="377" t="s">
        <v>1428</v>
      </c>
      <c r="V443" s="309"/>
      <c r="W443" s="11"/>
      <c r="X443" s="986">
        <f>OBRA!AR443</f>
        <v>0</v>
      </c>
      <c r="Y443" s="309"/>
      <c r="Z443" s="309"/>
      <c r="AA443" s="5"/>
      <c r="AB443" s="313"/>
      <c r="AC443" s="317">
        <f>OBRA!BW443</f>
        <v>0</v>
      </c>
      <c r="AD443" s="352"/>
      <c r="AE443" s="352"/>
    </row>
    <row r="444" spans="1:31" ht="15" hidden="1" customHeight="1">
      <c r="A444" s="22" t="s">
        <v>2206</v>
      </c>
      <c r="B444" s="809" t="str">
        <f>GRAL!B446</f>
        <v>2018-2021</v>
      </c>
      <c r="C444" s="16">
        <f>OBRA!J444</f>
        <v>2020</v>
      </c>
      <c r="D444" s="1415"/>
      <c r="E444" s="17" t="str">
        <f>OBRA!M444</f>
        <v>EMP P/LA REACTIVACIÓN ECONÓMICA EN MPIOS</v>
      </c>
      <c r="F444" s="478"/>
      <c r="G444" s="352"/>
      <c r="H444" s="1"/>
      <c r="I444" s="352"/>
      <c r="J444" s="54" t="str">
        <f>OBRA!W444</f>
        <v>N/A</v>
      </c>
      <c r="K444" s="55" t="str">
        <f>OBRA!X444</f>
        <v>ING. J. GUADALUPE IBARRA RAMIREZ</v>
      </c>
      <c r="L444" s="19" t="str">
        <f>OBRA!N444</f>
        <v>DOP/AD/012/2020</v>
      </c>
      <c r="M444" s="2" t="str">
        <f>OBRA!O444</f>
        <v>ADMINISTRACIÓN DIRECTA</v>
      </c>
      <c r="N444" s="3" t="str">
        <f>OBRA!P444</f>
        <v>CONSTRUCCIÓN DE EMPEDRADO ZAMPEADO EN VIALIDAD ANDADOR PEATONAL ENTRE SAN LUCIANO Y SAN LUCIANO DE ABAJO DE KM 0+000.00 AL KM 0+746.00, SAN LUCIANO</v>
      </c>
      <c r="O444" s="3"/>
      <c r="P444" s="6">
        <f>OBRA!S444</f>
        <v>44089</v>
      </c>
      <c r="Q444" s="4">
        <f>OBRA!R444</f>
        <v>448092.36</v>
      </c>
      <c r="R444" s="5">
        <f>OBRA!T444</f>
        <v>44166</v>
      </c>
      <c r="S444" s="11">
        <f>OBRA!U444</f>
        <v>44196</v>
      </c>
      <c r="T444" s="53"/>
      <c r="U444" s="377" t="s">
        <v>1428</v>
      </c>
      <c r="V444" s="309"/>
      <c r="W444" s="11"/>
      <c r="X444" s="986">
        <f>OBRA!AR444</f>
        <v>0</v>
      </c>
      <c r="Y444" s="309"/>
      <c r="Z444" s="309"/>
      <c r="AA444" s="5"/>
      <c r="AB444" s="313"/>
      <c r="AC444" s="317">
        <f>OBRA!BW444</f>
        <v>0</v>
      </c>
      <c r="AD444" s="352"/>
      <c r="AE444" s="352"/>
    </row>
    <row r="445" spans="1:31" ht="15" hidden="1" customHeight="1">
      <c r="A445" s="22" t="s">
        <v>2206</v>
      </c>
      <c r="B445" s="809" t="str">
        <f>GRAL!B447</f>
        <v>2018-2021</v>
      </c>
      <c r="C445" s="16">
        <f>OBRA!J445</f>
        <v>2020</v>
      </c>
      <c r="D445" s="1415"/>
      <c r="E445" s="17" t="str">
        <f>OBRA!M445</f>
        <v>CTA-CTE / EMP P REACT ECO MPIOS</v>
      </c>
      <c r="F445" s="478"/>
      <c r="G445" s="352"/>
      <c r="H445" s="1"/>
      <c r="I445" s="352"/>
      <c r="J445" s="54" t="str">
        <f>OBRA!W445</f>
        <v>N/A</v>
      </c>
      <c r="K445" s="55">
        <f>OBRA!X445</f>
        <v>0</v>
      </c>
      <c r="L445" s="19" t="str">
        <f>OBRA!N445</f>
        <v>DOP/AD/012-A/2020</v>
      </c>
      <c r="M445" s="2" t="str">
        <f>OBRA!O445</f>
        <v>ADMINISTRACIÓN DIRECTA</v>
      </c>
      <c r="N445" s="3" t="str">
        <f>OBRA!P445</f>
        <v>CONSTRUCCIÓN DE EMPEDRADO ZAMPEADO EN VIALIDAD ANDADOR PEATONAL ENTRE SAN LUCIANO Y SAN LUCIANO DE ABAJO DE KM 0+000.00 AL KM 0+746.00, EN LA LOCALIDAD DE SAN LUCIANO DEL MUNICIPIO DE JOCOTEPEC, JALISCO.</v>
      </c>
      <c r="O445" s="3"/>
      <c r="P445" s="6">
        <f>OBRA!S445</f>
        <v>44089</v>
      </c>
      <c r="Q445" s="4">
        <f>OBRA!R445</f>
        <v>180637.7</v>
      </c>
      <c r="R445" s="5">
        <f>OBRA!T445</f>
        <v>44166</v>
      </c>
      <c r="S445" s="11">
        <f>OBRA!U445</f>
        <v>44196</v>
      </c>
      <c r="T445" s="53"/>
      <c r="U445" s="377" t="s">
        <v>1428</v>
      </c>
      <c r="V445" s="309"/>
      <c r="W445" s="11"/>
      <c r="X445" s="986">
        <f>OBRA!AR445</f>
        <v>0</v>
      </c>
      <c r="Y445" s="309"/>
      <c r="Z445" s="309"/>
      <c r="AA445" s="5"/>
      <c r="AB445" s="313"/>
      <c r="AC445" s="317">
        <f>OBRA!BW445</f>
        <v>0</v>
      </c>
      <c r="AD445" s="352"/>
      <c r="AE445" s="352"/>
    </row>
    <row r="446" spans="1:31" ht="15" hidden="1" customHeight="1">
      <c r="A446" s="22" t="s">
        <v>2206</v>
      </c>
      <c r="B446" s="809" t="str">
        <f>GRAL!B448</f>
        <v>2018-2021</v>
      </c>
      <c r="C446" s="16">
        <f>OBRA!J446</f>
        <v>2020</v>
      </c>
      <c r="D446" s="1415"/>
      <c r="E446" s="17" t="str">
        <f>OBRA!M446</f>
        <v>EMP P/LA REACTIVACIÓN ECONÓMICA EN MPIOS</v>
      </c>
      <c r="F446" s="478"/>
      <c r="G446" s="352"/>
      <c r="H446" s="1"/>
      <c r="I446" s="352"/>
      <c r="J446" s="54" t="str">
        <f>OBRA!W446</f>
        <v>N/A</v>
      </c>
      <c r="K446" s="55" t="str">
        <f>OBRA!X446</f>
        <v>ING. J. GUADALUPE IBARRA RAMIREZ</v>
      </c>
      <c r="L446" s="19" t="str">
        <f>OBRA!N446</f>
        <v>DOP/AD/013/2020</v>
      </c>
      <c r="M446" s="2" t="str">
        <f>OBRA!O446</f>
        <v>ADMINISTRACIÓN DIRECTA</v>
      </c>
      <c r="N446" s="3" t="str">
        <f>OBRA!P446</f>
        <v>CONSTRUCCIÓN DE EMPEDRADO ZAMPEADO, EN CALLES PRIMAVERA, REFUGIO SALAZAR IBARRA, PROF(A) CATALINA VALENCIA Y PBRO MARCOS CASTELLANOS, DEL FRACC. "EL CARRIZAL", EN LA CABECERA MUNICIPAL DE JOCOTEPEC JALISCO.</v>
      </c>
      <c r="O446" s="3"/>
      <c r="P446" s="6">
        <f>OBRA!S446</f>
        <v>44089</v>
      </c>
      <c r="Q446" s="4">
        <f>OBRA!R446</f>
        <v>846155.00000000012</v>
      </c>
      <c r="R446" s="5">
        <f>OBRA!T446</f>
        <v>44139</v>
      </c>
      <c r="S446" s="11">
        <f>OBRA!U446</f>
        <v>44191</v>
      </c>
      <c r="T446" s="53"/>
      <c r="U446" s="377" t="s">
        <v>1428</v>
      </c>
      <c r="V446" s="309"/>
      <c r="W446" s="11"/>
      <c r="X446" s="986">
        <f>OBRA!AR446</f>
        <v>0</v>
      </c>
      <c r="Y446" s="309"/>
      <c r="Z446" s="309"/>
      <c r="AA446" s="5"/>
      <c r="AB446" s="313"/>
      <c r="AC446" s="317">
        <f>OBRA!BW446</f>
        <v>0</v>
      </c>
      <c r="AD446" s="352"/>
      <c r="AE446" s="352"/>
    </row>
    <row r="447" spans="1:31" ht="15" hidden="1" customHeight="1">
      <c r="A447" s="22" t="s">
        <v>2206</v>
      </c>
      <c r="B447" s="809" t="str">
        <f>GRAL!B449</f>
        <v>2018-2021</v>
      </c>
      <c r="C447" s="16">
        <f>OBRA!J447</f>
        <v>2020</v>
      </c>
      <c r="D447" s="1415"/>
      <c r="E447" s="17" t="str">
        <f>OBRA!M447</f>
        <v>CTA-CTE / EMP P REACT ECO MPIOS</v>
      </c>
      <c r="F447" s="478"/>
      <c r="G447" s="352"/>
      <c r="H447" s="1"/>
      <c r="I447" s="352"/>
      <c r="J447" s="54" t="str">
        <f>OBRA!W447</f>
        <v>N/A</v>
      </c>
      <c r="K447" s="55">
        <f>OBRA!X447</f>
        <v>0</v>
      </c>
      <c r="L447" s="19" t="str">
        <f>OBRA!N447</f>
        <v>DOP/AD/013-A/2020</v>
      </c>
      <c r="M447" s="2" t="str">
        <f>OBRA!O447</f>
        <v>ADMINISTRACIÓN DIRECTA</v>
      </c>
      <c r="N447" s="3" t="str">
        <f>OBRA!P447</f>
        <v>CONSTRUCCIÓN DE EMPEDRADO ZAMPEADO, EN FRACC. "EL CARRIZAL", EN LA CABECERA MUNICIPAL DE JOCOTEPEC JALISCO.</v>
      </c>
      <c r="O447" s="3"/>
      <c r="P447" s="6">
        <f>OBRA!S447</f>
        <v>44089</v>
      </c>
      <c r="Q447" s="4">
        <f>OBRA!R447</f>
        <v>219218.46</v>
      </c>
      <c r="R447" s="5">
        <f>OBRA!T447</f>
        <v>44139</v>
      </c>
      <c r="S447" s="11">
        <f>OBRA!U447</f>
        <v>44191</v>
      </c>
      <c r="T447" s="53"/>
      <c r="U447" s="377" t="s">
        <v>1428</v>
      </c>
      <c r="V447" s="309"/>
      <c r="W447" s="11"/>
      <c r="X447" s="986">
        <f>OBRA!AR447</f>
        <v>0</v>
      </c>
      <c r="Y447" s="309"/>
      <c r="Z447" s="309"/>
      <c r="AA447" s="5"/>
      <c r="AB447" s="313"/>
      <c r="AC447" s="317">
        <f>OBRA!BW447</f>
        <v>0</v>
      </c>
      <c r="AD447" s="352"/>
      <c r="AE447" s="352"/>
    </row>
    <row r="448" spans="1:31" ht="15" hidden="1" customHeight="1">
      <c r="A448" s="22" t="s">
        <v>2206</v>
      </c>
      <c r="B448" s="809" t="str">
        <f>GRAL!B450</f>
        <v>2018-2021</v>
      </c>
      <c r="C448" s="16">
        <f>OBRA!J448</f>
        <v>2020</v>
      </c>
      <c r="D448" s="1415"/>
      <c r="E448" s="17" t="str">
        <f>OBRA!M448</f>
        <v>EMP P/LA REACTIVACIÓN ECONÓMICA EN MPIOS</v>
      </c>
      <c r="F448" s="478"/>
      <c r="G448" s="352"/>
      <c r="H448" s="1"/>
      <c r="I448" s="352"/>
      <c r="J448" s="54" t="str">
        <f>OBRA!W448</f>
        <v>N/A</v>
      </c>
      <c r="K448" s="55" t="str">
        <f>OBRA!X448</f>
        <v>ING. J. GUADALUPE IBARRA RAMIREZ</v>
      </c>
      <c r="L448" s="19" t="str">
        <f>OBRA!N448</f>
        <v>DOP/AD/014/2020</v>
      </c>
      <c r="M448" s="2" t="str">
        <f>OBRA!O448</f>
        <v>ADMINISTRACIÓN DIRECTA</v>
      </c>
      <c r="N448" s="3" t="str">
        <f>OBRA!P448</f>
        <v>CONSTRUCCIÓN DE EMPEDRADO ZAMPEADO EN VIALIDAD CALLE HIDALGO SUR DE KM 0+000.00 AL KM 0+170.00 (DE DONATO GUERRA A EMPEDRADO EXISTENTE) CABECERA MUNICIPAL DE JOCOTEPEC, JALISCO.</v>
      </c>
      <c r="O448" s="3"/>
      <c r="P448" s="6">
        <f>OBRA!S448</f>
        <v>44089</v>
      </c>
      <c r="Q448" s="4">
        <f>OBRA!R448</f>
        <v>367959.98</v>
      </c>
      <c r="R448" s="5">
        <f>OBRA!T448</f>
        <v>44172</v>
      </c>
      <c r="S448" s="11">
        <f>OBRA!U448</f>
        <v>44196</v>
      </c>
      <c r="T448" s="53"/>
      <c r="U448" s="377" t="s">
        <v>1428</v>
      </c>
      <c r="V448" s="309"/>
      <c r="W448" s="11"/>
      <c r="X448" s="986">
        <f>OBRA!AR448</f>
        <v>0</v>
      </c>
      <c r="Y448" s="309"/>
      <c r="Z448" s="309"/>
      <c r="AA448" s="5"/>
      <c r="AB448" s="313"/>
      <c r="AC448" s="317">
        <f>OBRA!BW448</f>
        <v>0</v>
      </c>
      <c r="AD448" s="352"/>
      <c r="AE448" s="352"/>
    </row>
    <row r="449" spans="1:31" ht="15" hidden="1" customHeight="1">
      <c r="A449" s="22" t="s">
        <v>2206</v>
      </c>
      <c r="B449" s="809" t="str">
        <f>GRAL!B451</f>
        <v>2018-2021</v>
      </c>
      <c r="C449" s="16">
        <f>OBRA!J449</f>
        <v>2020</v>
      </c>
      <c r="D449" s="1415"/>
      <c r="E449" s="17" t="str">
        <f>OBRA!M449</f>
        <v>CTA-CTE / EMP P REACT ECO MPIOS</v>
      </c>
      <c r="F449" s="478"/>
      <c r="G449" s="352"/>
      <c r="H449" s="1"/>
      <c r="I449" s="352"/>
      <c r="J449" s="54" t="str">
        <f>OBRA!W449</f>
        <v>N/A</v>
      </c>
      <c r="K449" s="55">
        <f>OBRA!X449</f>
        <v>0</v>
      </c>
      <c r="L449" s="19" t="str">
        <f>OBRA!N449</f>
        <v>DOP/AD/014-A/2020</v>
      </c>
      <c r="M449" s="2" t="str">
        <f>OBRA!O449</f>
        <v>ADMINISTRACIÓN DIRECTA</v>
      </c>
      <c r="N449" s="3" t="str">
        <f>OBRA!P449</f>
        <v>CONSTRUCCIÓN DE EMPEDRADO ZAMPEADO EN VIALIDAD CALLE HIDALGO SUR DE KM 0+000.00 AL KM 0+170.00 (DE DONATO GUERRA A EMPEDRADO EXISTENTE), EN LA CEBECERA MUNICIPAL DE JOCOTEPEC, JALISCO.</v>
      </c>
      <c r="O449" s="3"/>
      <c r="P449" s="6">
        <f>OBRA!S449</f>
        <v>44089</v>
      </c>
      <c r="Q449" s="4">
        <f>OBRA!R449</f>
        <v>134912.99</v>
      </c>
      <c r="R449" s="5">
        <f>OBRA!T449</f>
        <v>44172</v>
      </c>
      <c r="S449" s="11">
        <f>OBRA!U449</f>
        <v>44196</v>
      </c>
      <c r="T449" s="53"/>
      <c r="U449" s="377" t="s">
        <v>1428</v>
      </c>
      <c r="V449" s="309"/>
      <c r="W449" s="11"/>
      <c r="X449" s="986">
        <f>OBRA!AR449</f>
        <v>0</v>
      </c>
      <c r="Y449" s="309"/>
      <c r="Z449" s="309"/>
      <c r="AA449" s="5"/>
      <c r="AB449" s="313"/>
      <c r="AC449" s="317">
        <f>OBRA!BW449</f>
        <v>0</v>
      </c>
      <c r="AD449" s="352"/>
      <c r="AE449" s="352"/>
    </row>
    <row r="450" spans="1:31" ht="15" hidden="1" customHeight="1">
      <c r="A450" s="22" t="s">
        <v>2206</v>
      </c>
      <c r="B450" s="809" t="str">
        <f>GRAL!B452</f>
        <v>2018-2021</v>
      </c>
      <c r="C450" s="16">
        <f>OBRA!J450</f>
        <v>2020</v>
      </c>
      <c r="D450" s="1415"/>
      <c r="E450" s="17" t="str">
        <f>OBRA!M450</f>
        <v>EMP P/LA REACTIVACIÓN ECONÓMICA EN MPIOS</v>
      </c>
      <c r="F450" s="478"/>
      <c r="G450" s="352"/>
      <c r="H450" s="1"/>
      <c r="I450" s="352"/>
      <c r="J450" s="54" t="str">
        <f>OBRA!W450</f>
        <v>N/A</v>
      </c>
      <c r="K450" s="55" t="str">
        <f>OBRA!X450</f>
        <v>ING. J. GUADALUPE IBARRA RAMIREZ</v>
      </c>
      <c r="L450" s="19" t="str">
        <f>OBRA!N450</f>
        <v>DOP/AD/015/2020</v>
      </c>
      <c r="M450" s="2" t="str">
        <f>OBRA!O450</f>
        <v>ADMINISTRACIÓN DIRECTA</v>
      </c>
      <c r="N450" s="3" t="str">
        <f>OBRA!P450</f>
        <v>CONSTRUCCIÓN DE EMPEDRADO ZAMPEADO EN CALLES MTRA MARGARITA MIRANDA RAMOS, EDUARDO SOLIS, GILBERTO PARRA PAZ Y MA DEL ROSARIO BERNAL, DEL FRACC. "LAS PALMAS" EN LA CABECERA MUNICIPAL DE JOCOTEPEC, JALISCO.</v>
      </c>
      <c r="O450" s="3"/>
      <c r="P450" s="6">
        <f>OBRA!S450</f>
        <v>44089</v>
      </c>
      <c r="Q450" s="4">
        <f>OBRA!R450</f>
        <v>856034.87000000011</v>
      </c>
      <c r="R450" s="5">
        <f>OBRA!T450</f>
        <v>44153</v>
      </c>
      <c r="S450" s="11">
        <f>OBRA!U450</f>
        <v>44191</v>
      </c>
      <c r="T450" s="53"/>
      <c r="U450" s="377" t="s">
        <v>1428</v>
      </c>
      <c r="V450" s="309"/>
      <c r="W450" s="11"/>
      <c r="X450" s="986">
        <f>OBRA!AR450</f>
        <v>0</v>
      </c>
      <c r="Y450" s="309"/>
      <c r="Z450" s="309"/>
      <c r="AA450" s="5"/>
      <c r="AB450" s="313"/>
      <c r="AC450" s="317">
        <f>OBRA!BW450</f>
        <v>0</v>
      </c>
      <c r="AD450" s="352"/>
      <c r="AE450" s="352"/>
    </row>
    <row r="451" spans="1:31" ht="15" hidden="1" customHeight="1">
      <c r="A451" s="22" t="s">
        <v>2206</v>
      </c>
      <c r="B451" s="809" t="str">
        <f>GRAL!B453</f>
        <v>2018-2021</v>
      </c>
      <c r="C451" s="16">
        <f>OBRA!J451</f>
        <v>2020</v>
      </c>
      <c r="D451" s="1415"/>
      <c r="E451" s="17" t="str">
        <f>OBRA!M451</f>
        <v>EMP P/LA REACTIVACIÓN ECONÓMICA EN MPIOS</v>
      </c>
      <c r="F451" s="478"/>
      <c r="G451" s="352"/>
      <c r="H451" s="1"/>
      <c r="I451" s="352"/>
      <c r="J451" s="54" t="str">
        <f>OBRA!W451</f>
        <v>N/A</v>
      </c>
      <c r="K451" s="55" t="str">
        <f>OBRA!X451</f>
        <v>ING. J. GUADALUPE IBARRA RAMIREZ</v>
      </c>
      <c r="L451" s="19" t="str">
        <f>OBRA!N451</f>
        <v>DOP/AD/015/2020</v>
      </c>
      <c r="M451" s="2" t="str">
        <f>OBRA!O451</f>
        <v>ADMINISTRACIÓN DIRECTA</v>
      </c>
      <c r="N451" s="3" t="str">
        <f>OBRA!P451</f>
        <v>CONSTRUCCIÓN DE EMPEDRADO ZAMPEADO EN VIALIDAD CALLE CHAPULTEPEC DE KM 0+000 AL KM 0+395.65 (ENTRE 1RO DE MAYO Y CHURUBUSCO), EN LA CABECERA MUNICIPAL DE JOCOTEPEC, JALISCO.</v>
      </c>
      <c r="O451" s="3"/>
      <c r="P451" s="6">
        <f>OBRA!S451</f>
        <v>44089</v>
      </c>
      <c r="Q451" s="4">
        <f>OBRA!R451</f>
        <v>196467.44</v>
      </c>
      <c r="R451" s="5">
        <f>OBRA!T451</f>
        <v>44153</v>
      </c>
      <c r="S451" s="11">
        <f>OBRA!U451</f>
        <v>44191</v>
      </c>
      <c r="T451" s="53"/>
      <c r="U451" s="377" t="s">
        <v>1428</v>
      </c>
      <c r="V451" s="309"/>
      <c r="W451" s="11"/>
      <c r="X451" s="986">
        <f>OBRA!AR451</f>
        <v>0</v>
      </c>
      <c r="Y451" s="309"/>
      <c r="Z451" s="309"/>
      <c r="AA451" s="5"/>
      <c r="AB451" s="313"/>
      <c r="AC451" s="317">
        <f>OBRA!BW451</f>
        <v>0</v>
      </c>
      <c r="AD451" s="352"/>
      <c r="AE451" s="352"/>
    </row>
    <row r="452" spans="1:31" ht="15" hidden="1" customHeight="1">
      <c r="A452" s="22" t="s">
        <v>2206</v>
      </c>
      <c r="B452" s="809" t="str">
        <f>GRAL!B454</f>
        <v>2018-2021</v>
      </c>
      <c r="C452" s="16">
        <f>OBRA!J452</f>
        <v>2020</v>
      </c>
      <c r="D452" s="1415"/>
      <c r="E452" s="17" t="str">
        <f>OBRA!M452</f>
        <v>CTA-CTE / EMP P REACT ECO MPIOS</v>
      </c>
      <c r="F452" s="478"/>
      <c r="G452" s="352"/>
      <c r="H452" s="1"/>
      <c r="I452" s="352"/>
      <c r="J452" s="54" t="str">
        <f>OBRA!W452</f>
        <v>N/A</v>
      </c>
      <c r="K452" s="55">
        <f>OBRA!X452</f>
        <v>0</v>
      </c>
      <c r="L452" s="19" t="str">
        <f>OBRA!N452</f>
        <v>DOP/AD/015-A/2020</v>
      </c>
      <c r="M452" s="2" t="str">
        <f>OBRA!O452</f>
        <v>ADMINISTRACIÓN DIRECTA</v>
      </c>
      <c r="N452" s="3" t="str">
        <f>OBRA!P452</f>
        <v>CONSTRUCCIÓN DE EMPEDRADO ZAMPEADO EN FRACC. "LAS PALMAS", EN LA CABECERA MUNICIPAL DE JOCOTEPEC, JALISCO.</v>
      </c>
      <c r="O452" s="3"/>
      <c r="P452" s="6">
        <f>OBRA!S452</f>
        <v>44089</v>
      </c>
      <c r="Q452" s="4">
        <f>OBRA!R452</f>
        <v>230070.08</v>
      </c>
      <c r="R452" s="5">
        <f>OBRA!T452</f>
        <v>44153</v>
      </c>
      <c r="S452" s="11">
        <f>OBRA!U452</f>
        <v>44191</v>
      </c>
      <c r="T452" s="53"/>
      <c r="U452" s="377" t="s">
        <v>1428</v>
      </c>
      <c r="V452" s="309"/>
      <c r="W452" s="11"/>
      <c r="X452" s="986">
        <f>OBRA!AR452</f>
        <v>0</v>
      </c>
      <c r="Y452" s="309"/>
      <c r="Z452" s="309"/>
      <c r="AA452" s="5"/>
      <c r="AB452" s="313"/>
      <c r="AC452" s="317">
        <f>OBRA!BW452</f>
        <v>0</v>
      </c>
      <c r="AD452" s="352"/>
      <c r="AE452" s="352"/>
    </row>
    <row r="453" spans="1:31" ht="15" hidden="1" customHeight="1">
      <c r="A453" s="22" t="s">
        <v>2206</v>
      </c>
      <c r="B453" s="809" t="str">
        <f>GRAL!B455</f>
        <v>2018-2021</v>
      </c>
      <c r="C453" s="16">
        <f>OBRA!J453</f>
        <v>2020</v>
      </c>
      <c r="D453" s="1415"/>
      <c r="E453" s="17" t="str">
        <f>OBRA!M453</f>
        <v>EMP P/LA REACTIVACIÓN ECONÓMICA EN MPIOS</v>
      </c>
      <c r="F453" s="478"/>
      <c r="G453" s="352"/>
      <c r="H453" s="1"/>
      <c r="I453" s="352"/>
      <c r="J453" s="54" t="str">
        <f>OBRA!W453</f>
        <v>N/A</v>
      </c>
      <c r="K453" s="55" t="str">
        <f>OBRA!X453</f>
        <v>ING. J. GUADALUPE IBARRA RAMIREZ</v>
      </c>
      <c r="L453" s="19" t="str">
        <f>OBRA!N453</f>
        <v>DOP/AD/016/2020</v>
      </c>
      <c r="M453" s="2" t="str">
        <f>OBRA!O453</f>
        <v>ADMINISTRACIÓN DIRECTA</v>
      </c>
      <c r="N453" s="3" t="str">
        <f>OBRA!P453</f>
        <v>CONSTRUCCIÓN DE EMPEDRADO ZAMPEADO EN C. INVIERNO, C. LAZARO CARDENAS, C. GONZALEZ ORTEGA Y CHAPULTEPEC EN CABECERA MUNICIPAL DE JOCOTEPEC, JALISCO.</v>
      </c>
      <c r="O453" s="3"/>
      <c r="P453" s="6">
        <f>OBRA!S453</f>
        <v>44089</v>
      </c>
      <c r="Q453" s="4">
        <f>OBRA!R453</f>
        <v>1291558.55</v>
      </c>
      <c r="R453" s="5">
        <f>OBRA!T453</f>
        <v>44139</v>
      </c>
      <c r="S453" s="11">
        <f>OBRA!U453</f>
        <v>44196</v>
      </c>
      <c r="T453" s="53"/>
      <c r="U453" s="377" t="s">
        <v>1428</v>
      </c>
      <c r="V453" s="309"/>
      <c r="W453" s="11"/>
      <c r="X453" s="986">
        <f>OBRA!AR453</f>
        <v>0</v>
      </c>
      <c r="Y453" s="309"/>
      <c r="Z453" s="309"/>
      <c r="AA453" s="5"/>
      <c r="AB453" s="313"/>
      <c r="AC453" s="317">
        <f>OBRA!BW453</f>
        <v>0</v>
      </c>
      <c r="AD453" s="352"/>
      <c r="AE453" s="352"/>
    </row>
    <row r="454" spans="1:31" ht="15" hidden="1" customHeight="1">
      <c r="A454" s="22" t="s">
        <v>2206</v>
      </c>
      <c r="B454" s="809" t="str">
        <f>GRAL!B456</f>
        <v>2018-2021</v>
      </c>
      <c r="C454" s="16">
        <f>OBRA!J454</f>
        <v>2020</v>
      </c>
      <c r="D454" s="1415"/>
      <c r="E454" s="17" t="str">
        <f>OBRA!M454</f>
        <v>CTA-CTE / EMP P REACT ECO MPIOS</v>
      </c>
      <c r="F454" s="478"/>
      <c r="G454" s="352"/>
      <c r="H454" s="1"/>
      <c r="I454" s="352"/>
      <c r="J454" s="54" t="str">
        <f>OBRA!W454</f>
        <v>N/A</v>
      </c>
      <c r="K454" s="55">
        <f>OBRA!X454</f>
        <v>0</v>
      </c>
      <c r="L454" s="19" t="str">
        <f>OBRA!N454</f>
        <v>DOP/AD/016-A/2020</v>
      </c>
      <c r="M454" s="2" t="str">
        <f>OBRA!O454</f>
        <v>ADMINISTRACIÓN DIRECTA</v>
      </c>
      <c r="N454" s="3" t="str">
        <f>OBRA!P454</f>
        <v>CONSTRUCCIÓN DE EMPEDRADO ZAMPEADO EN C. INVIERNO, C. LAZARO CARDENAS, C. GONZALEZ ORTEGA Y CHAPULTEPEC EN CABECERA MUNICIPAL DE JOCOTEPEC, JALISCO.</v>
      </c>
      <c r="O454" s="3"/>
      <c r="P454" s="6">
        <f>OBRA!S454</f>
        <v>44089</v>
      </c>
      <c r="Q454" s="4">
        <f>OBRA!R454</f>
        <v>542961</v>
      </c>
      <c r="R454" s="5">
        <f>OBRA!T454</f>
        <v>44139</v>
      </c>
      <c r="S454" s="11">
        <f>OBRA!U454</f>
        <v>44196</v>
      </c>
      <c r="T454" s="53"/>
      <c r="U454" s="377" t="s">
        <v>1428</v>
      </c>
      <c r="V454" s="309"/>
      <c r="W454" s="11"/>
      <c r="X454" s="986">
        <f>OBRA!AR454</f>
        <v>0</v>
      </c>
      <c r="Y454" s="309"/>
      <c r="Z454" s="309"/>
      <c r="AA454" s="5"/>
      <c r="AB454" s="313"/>
      <c r="AC454" s="317">
        <f>OBRA!BW454</f>
        <v>0</v>
      </c>
      <c r="AD454" s="352"/>
      <c r="AE454" s="352"/>
    </row>
    <row r="455" spans="1:31" ht="15" hidden="1" customHeight="1">
      <c r="A455" s="22" t="s">
        <v>2206</v>
      </c>
      <c r="B455" s="809" t="str">
        <f>GRAL!B457</f>
        <v>2018-2021</v>
      </c>
      <c r="C455" s="16">
        <f>OBRA!J455</f>
        <v>2020</v>
      </c>
      <c r="D455" s="1415"/>
      <c r="E455" s="17" t="str">
        <f>OBRA!M455</f>
        <v>CUENTA CORRIENTE</v>
      </c>
      <c r="F455" s="478"/>
      <c r="G455" s="352"/>
      <c r="H455" s="1"/>
      <c r="I455" s="352"/>
      <c r="J455" s="54" t="str">
        <f>OBRA!W455</f>
        <v xml:space="preserve">CICLOS GIP SC </v>
      </c>
      <c r="K455" s="55" t="str">
        <f>OBRA!X455</f>
        <v>ING. JUAN MANUEL GARCIA ESCOTO</v>
      </c>
      <c r="L455" s="19" t="str">
        <f>OBRA!N455</f>
        <v>C.P.S.P. DOP 001/2020</v>
      </c>
      <c r="M455" s="2" t="str">
        <f>OBRA!O455</f>
        <v>SERVICIOS</v>
      </c>
      <c r="N455" s="3" t="str">
        <f>OBRA!P455</f>
        <v>REGISTRO ELECTRICO VERSIÓN MULTIPARAMETROS, PARA EL PROYECTO DE PERFORACIÓN DE POZO PROFUNDO, EN LA AGENCIA MUNICIPAL DE EL MOLINO, DEL MUNICIPIO DE JOCOTEPEC, JALISCO.</v>
      </c>
      <c r="O455" s="3"/>
      <c r="P455" s="6">
        <f>OBRA!S455</f>
        <v>43864</v>
      </c>
      <c r="Q455" s="4">
        <f>OBRA!R455</f>
        <v>15080</v>
      </c>
      <c r="R455" s="5">
        <f>OBRA!T455</f>
        <v>43865</v>
      </c>
      <c r="S455" s="11">
        <f>OBRA!U455</f>
        <v>43879</v>
      </c>
      <c r="T455" s="53"/>
      <c r="U455" s="377" t="s">
        <v>1428</v>
      </c>
      <c r="V455" s="309"/>
      <c r="W455" s="11"/>
      <c r="X455" s="986">
        <f>OBRA!AR455</f>
        <v>0</v>
      </c>
      <c r="Y455" s="309"/>
      <c r="Z455" s="309"/>
      <c r="AA455" s="5"/>
      <c r="AB455" s="313"/>
      <c r="AC455" s="317">
        <f>OBRA!BW455</f>
        <v>0</v>
      </c>
      <c r="AD455" s="352"/>
      <c r="AE455" s="352"/>
    </row>
    <row r="456" spans="1:31" ht="93" hidden="1" customHeight="1">
      <c r="A456" s="22" t="s">
        <v>45</v>
      </c>
      <c r="B456" s="809" t="str">
        <f>GRAL!B458</f>
        <v>2018-2021</v>
      </c>
      <c r="C456" s="16">
        <f>OBRA!J456</f>
        <v>2020</v>
      </c>
      <c r="D456" s="1415"/>
      <c r="E456" s="17" t="str">
        <f>OBRA!M456</f>
        <v>CUENTA CORRIENTE</v>
      </c>
      <c r="F456" s="1170"/>
      <c r="G456" s="1108"/>
      <c r="H456" s="219"/>
      <c r="I456" s="1108"/>
      <c r="J456" s="54" t="str">
        <f>OBRA!W456</f>
        <v>AJG INGENIERIA, SA DE CV</v>
      </c>
      <c r="K456" s="55" t="str">
        <f>OBRA!X456</f>
        <v>ING. JUAN MANUEL GARCIA ESCOTO</v>
      </c>
      <c r="L456" s="33" t="str">
        <f>OBRA!N456</f>
        <v>C.P.S.P. DOP 002/2020</v>
      </c>
      <c r="M456" s="2" t="str">
        <f>OBRA!O456</f>
        <v>SERVICIOS</v>
      </c>
      <c r="N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4" t="s">
        <v>3022</v>
      </c>
      <c r="P456" s="67">
        <f>OBRA!S456</f>
        <v>44275</v>
      </c>
      <c r="Q456" s="4">
        <f>OBRA!R456</f>
        <v>139246.39999999999</v>
      </c>
      <c r="R456" s="5">
        <f>OBRA!T456</f>
        <v>44287</v>
      </c>
      <c r="S456" s="11">
        <f>OBRA!U456</f>
        <v>44289</v>
      </c>
      <c r="T456" s="53"/>
      <c r="U456" s="377" t="s">
        <v>1428</v>
      </c>
      <c r="V456" s="508"/>
      <c r="W456" s="509"/>
      <c r="X456" s="1199">
        <f>OBRA!AR456</f>
        <v>0</v>
      </c>
      <c r="Y456" s="309"/>
      <c r="Z456" s="309"/>
      <c r="AA456" s="5"/>
      <c r="AB456" s="313"/>
      <c r="AC456" s="317">
        <f>OBRA!BW456</f>
        <v>0</v>
      </c>
      <c r="AD456" s="352"/>
      <c r="AE456" s="352"/>
    </row>
    <row r="457" spans="1:31" ht="113.25" hidden="1" customHeight="1">
      <c r="A457" s="22" t="s">
        <v>45</v>
      </c>
      <c r="B457" s="809" t="str">
        <f>GRAL!B459</f>
        <v>2018-2021</v>
      </c>
      <c r="C457" s="16">
        <f>OBRA!J457</f>
        <v>2020</v>
      </c>
      <c r="D457" s="1415"/>
      <c r="E457" s="17">
        <f>OBRA!M457</f>
        <v>0</v>
      </c>
      <c r="F457" s="1170"/>
      <c r="G457" s="1108"/>
      <c r="H457" s="219"/>
      <c r="I457" s="1108"/>
      <c r="J457" s="54">
        <f>OBRA!W457</f>
        <v>0</v>
      </c>
      <c r="K457" s="55">
        <f>OBRA!X457</f>
        <v>0</v>
      </c>
      <c r="L457" s="33" t="str">
        <f>OBRA!N457</f>
        <v>C.P.S.P. DOP 003/2020</v>
      </c>
      <c r="M457" s="2" t="str">
        <f>OBRA!O457</f>
        <v>CANCELADA</v>
      </c>
      <c r="N457" s="3" t="str">
        <f>OBRA!P457</f>
        <v>CONTRATO CANCELADO</v>
      </c>
      <c r="O457" s="504" t="s">
        <v>3023</v>
      </c>
      <c r="P457" s="67">
        <f>OBRA!S457</f>
        <v>0</v>
      </c>
      <c r="Q457" s="4">
        <f>OBRA!R457</f>
        <v>0</v>
      </c>
      <c r="R457" s="5">
        <f>OBRA!T457</f>
        <v>0</v>
      </c>
      <c r="S457" s="11">
        <f>OBRA!U457</f>
        <v>0</v>
      </c>
      <c r="T457" s="53"/>
      <c r="U457" s="377" t="s">
        <v>1428</v>
      </c>
      <c r="V457" s="508"/>
      <c r="W457" s="509"/>
      <c r="X457" s="1199">
        <f>OBRA!AR457</f>
        <v>0</v>
      </c>
      <c r="Y457" s="309"/>
      <c r="Z457" s="309"/>
      <c r="AA457" s="5"/>
      <c r="AB457" s="313"/>
      <c r="AC457" s="317">
        <f>OBRA!BW457</f>
        <v>0</v>
      </c>
      <c r="AD457" s="352"/>
      <c r="AE457" s="352"/>
    </row>
    <row r="458" spans="1:31" ht="132" hidden="1" customHeight="1">
      <c r="A458" s="22" t="s">
        <v>45</v>
      </c>
      <c r="B458" s="809" t="str">
        <f>GRAL!B461</f>
        <v>2018-2021</v>
      </c>
      <c r="C458" s="16">
        <f>OBRA!J458</f>
        <v>2020</v>
      </c>
      <c r="D458" s="1415"/>
      <c r="E458" s="17" t="str">
        <f>OBRA!M458</f>
        <v>CUENTA CORRIENTE</v>
      </c>
      <c r="F458" s="1170"/>
      <c r="G458" s="1108"/>
      <c r="H458" s="219"/>
      <c r="I458" s="1108"/>
      <c r="J458" s="54" t="str">
        <f>OBRA!W458</f>
        <v>SUPERVISIÓN PROYECTOS Y LABORATORIO PARA LA CONSTRUCCIÓN</v>
      </c>
      <c r="K458" s="55" t="str">
        <f>OBRA!X458</f>
        <v>ING. HECTOR JESUS HERNANDEZ</v>
      </c>
      <c r="L458" s="33" t="str">
        <f>OBRA!N458</f>
        <v>C.P.S.P. DOP 004/2020</v>
      </c>
      <c r="M458" s="2" t="str">
        <f>OBRA!O458</f>
        <v>SERVICIOS</v>
      </c>
      <c r="N458" s="3" t="str">
        <f>OBRA!P458</f>
        <v>ESTUDIOS DE MECÁNICA DE SUELOS Y DE COMPACTACIÓN, CORRESPONDIENTE AL PROYECTO: "REHABILITACIÓN DE IMAGEN URBANA EN CALLE GUADALUPE VICTORIA SUR ENTRE VICENTE GUERRERO Y DONATO GUERRA", EN LA CABECERA MUNICIPAL DE JOCOTEPEC, JALISCO.</v>
      </c>
      <c r="O458" s="504" t="s">
        <v>3024</v>
      </c>
      <c r="P458" s="67">
        <f>OBRA!S458</f>
        <v>43979</v>
      </c>
      <c r="Q458" s="4">
        <f>OBRA!R458</f>
        <v>25520</v>
      </c>
      <c r="R458" s="5" t="str">
        <f>OBRA!T458</f>
        <v>NO APLICA</v>
      </c>
      <c r="S458" s="11" t="str">
        <f>OBRA!U458</f>
        <v>NO APLICA</v>
      </c>
      <c r="T458" s="53"/>
      <c r="U458" s="377" t="s">
        <v>1428</v>
      </c>
      <c r="V458" s="508"/>
      <c r="W458" s="509"/>
      <c r="X458" s="1199">
        <f>OBRA!AR458</f>
        <v>0</v>
      </c>
      <c r="Y458" s="309"/>
      <c r="Z458" s="309"/>
      <c r="AA458" s="5"/>
      <c r="AB458" s="313"/>
      <c r="AC458" s="317">
        <f>OBRA!BW458</f>
        <v>0</v>
      </c>
      <c r="AD458" s="352"/>
      <c r="AE458" s="352"/>
    </row>
    <row r="459" spans="1:31" ht="122.25" hidden="1" customHeight="1">
      <c r="A459" s="22" t="s">
        <v>45</v>
      </c>
      <c r="B459" s="809" t="str">
        <f>GRAL!B462</f>
        <v>2018-2021</v>
      </c>
      <c r="C459" s="16">
        <f>OBRA!J459</f>
        <v>2020</v>
      </c>
      <c r="D459" s="1415"/>
      <c r="E459" s="17" t="str">
        <f>OBRA!M459</f>
        <v>CUENTA CORRIENTE</v>
      </c>
      <c r="F459" s="1170"/>
      <c r="G459" s="1108"/>
      <c r="H459" s="219"/>
      <c r="I459" s="1108"/>
      <c r="J459" s="54" t="str">
        <f>OBRA!W459</f>
        <v>SUPERVISIÓN PROYECTOS Y LABORATORIO PARA LA CONSTRUCCIÓN</v>
      </c>
      <c r="K459" s="55" t="str">
        <f>OBRA!X459</f>
        <v>ING. HECTOR JESUS HERNANDEZ</v>
      </c>
      <c r="L459" s="33" t="str">
        <f>OBRA!N459</f>
        <v>C.P.S.P. DOP 005/2020</v>
      </c>
      <c r="M459" s="2" t="str">
        <f>OBRA!O459</f>
        <v>SERVICIOS</v>
      </c>
      <c r="N459" s="3" t="str">
        <f>OBRA!P459</f>
        <v>ESTUDIOS DE MECÁNICA DE SUELOS, COMPACTACIÓN Y CALCULO ESTRUCTURAL, CORRESPONDIENTE AL PROYECTO: "REHABILITACIÓN DE LA CANCHA UNIDAD DEPORTIVA ZARAGOZA 1ERA. ETAPA", EN LA CABECERA MUNICIPAL DE JOCOTEPEC, JALISCO.</v>
      </c>
      <c r="O459" s="504" t="s">
        <v>3025</v>
      </c>
      <c r="P459" s="67">
        <f>OBRA!S459</f>
        <v>43979</v>
      </c>
      <c r="Q459" s="4">
        <f>OBRA!R459</f>
        <v>36772</v>
      </c>
      <c r="R459" s="5" t="str">
        <f>OBRA!T459</f>
        <v>NO APLICA</v>
      </c>
      <c r="S459" s="11" t="str">
        <f>OBRA!U459</f>
        <v>NO APLICA</v>
      </c>
      <c r="T459" s="53"/>
      <c r="U459" s="377" t="s">
        <v>1428</v>
      </c>
      <c r="V459" s="508"/>
      <c r="W459" s="509"/>
      <c r="X459" s="1199">
        <f>OBRA!AR459</f>
        <v>0</v>
      </c>
      <c r="Y459" s="309"/>
      <c r="Z459" s="309"/>
      <c r="AA459" s="5"/>
      <c r="AB459" s="313"/>
      <c r="AC459" s="317">
        <f>OBRA!BW459</f>
        <v>0</v>
      </c>
      <c r="AD459" s="352"/>
      <c r="AE459" s="352"/>
    </row>
    <row r="460" spans="1:31" ht="117" hidden="1" customHeight="1">
      <c r="A460" s="22" t="s">
        <v>45</v>
      </c>
      <c r="B460" s="809" t="str">
        <f>GRAL!B463</f>
        <v>2018-2021</v>
      </c>
      <c r="C460" s="16">
        <f>OBRA!J460</f>
        <v>2020</v>
      </c>
      <c r="D460" s="1415"/>
      <c r="E460" s="17" t="str">
        <f>OBRA!M460</f>
        <v>CUENTA CORRIENTE</v>
      </c>
      <c r="F460" s="1170"/>
      <c r="G460" s="1108"/>
      <c r="H460" s="219"/>
      <c r="I460" s="1108"/>
      <c r="J460" s="54" t="str">
        <f>OBRA!W460</f>
        <v>SUPERVISIÓN PROYECTOS Y LABORATORIO PARA LA CONSTRUCCIÓN</v>
      </c>
      <c r="K460" s="55" t="str">
        <f>OBRA!X460</f>
        <v>ING. HECTOR JESUS HERNANDEZ</v>
      </c>
      <c r="L460" s="33" t="str">
        <f>OBRA!N460</f>
        <v>C.P.S.P. DOP 006/2020</v>
      </c>
      <c r="M460" s="2" t="str">
        <f>OBRA!O460</f>
        <v>SERVICIOS</v>
      </c>
      <c r="N460" s="3" t="str">
        <f>OBRA!P460</f>
        <v>ESTUDIOS DE MECÁNICA DE SUELOS Y COMPACTACIÓN, CORRESPONDIENTE AL PROYECTO: "REHABILITACIÓN DE CANCHA DE USOS MULTIPLES UBICADA EN EL MALECÓN", EN LA LOCALIDAD DE SAN JUAN COSALA, DEL MUNICIPIO DE JOCOTEPEC, JALISCO.</v>
      </c>
      <c r="O460" s="504" t="s">
        <v>3027</v>
      </c>
      <c r="P460" s="67">
        <f>OBRA!S460</f>
        <v>43979</v>
      </c>
      <c r="Q460" s="4">
        <f>OBRA!R460</f>
        <v>18096</v>
      </c>
      <c r="R460" s="5" t="str">
        <f>OBRA!T460</f>
        <v>NO APLICA</v>
      </c>
      <c r="S460" s="11" t="str">
        <f>OBRA!U460</f>
        <v>NO APLICA</v>
      </c>
      <c r="T460" s="53"/>
      <c r="U460" s="377" t="s">
        <v>1428</v>
      </c>
      <c r="V460" s="508"/>
      <c r="W460" s="509"/>
      <c r="X460" s="1199">
        <f>OBRA!AR460</f>
        <v>0</v>
      </c>
      <c r="Y460" s="309"/>
      <c r="Z460" s="309"/>
      <c r="AA460" s="5"/>
      <c r="AB460" s="313"/>
      <c r="AC460" s="317">
        <f>OBRA!BW460</f>
        <v>0</v>
      </c>
      <c r="AD460" s="352"/>
      <c r="AE460" s="352"/>
    </row>
    <row r="461" spans="1:31" ht="89.25" hidden="1" customHeight="1">
      <c r="A461" s="22" t="s">
        <v>45</v>
      </c>
      <c r="B461" s="809" t="str">
        <f>GRAL!B464</f>
        <v>2018-2021</v>
      </c>
      <c r="C461" s="16">
        <f>OBRA!J461</f>
        <v>2020</v>
      </c>
      <c r="D461" s="1415"/>
      <c r="E461" s="17" t="str">
        <f>OBRA!M461</f>
        <v>CUENTA CORRIENTE</v>
      </c>
      <c r="F461" s="1170"/>
      <c r="G461" s="1108"/>
      <c r="H461" s="219"/>
      <c r="I461" s="1108"/>
      <c r="J461" s="54" t="str">
        <f>OBRA!W461</f>
        <v>SUPERVISIÓN PROYECTOS Y LABORATORIO PARA LA CONSTRUCCIÓN</v>
      </c>
      <c r="K461" s="55" t="str">
        <f>OBRA!X461</f>
        <v>ING. HECTOR JESUS HERNANDEZ</v>
      </c>
      <c r="L461" s="33" t="str">
        <f>OBRA!N461</f>
        <v>C.P.S.P. DOP 007/2020</v>
      </c>
      <c r="M461" s="2" t="str">
        <f>OBRA!O461</f>
        <v>SERVICIOS</v>
      </c>
      <c r="N461" s="3" t="str">
        <f>OBRA!P461</f>
        <v>ESTUDIOS DE MECÁNICA DE SUELOS Y COMPACTACIÓN, CORRESPONDIENTE AL PROYECTO: "CONSTRUCCIÓN DE JARDÍN DE NIÑOS "MIGUEL HIDALGO", EN LA CABECERA MUNICIPAL DE JOCOTEPEC, JALISCO.</v>
      </c>
      <c r="O461" s="504" t="s">
        <v>3028</v>
      </c>
      <c r="P461" s="67">
        <f>OBRA!S461</f>
        <v>43979</v>
      </c>
      <c r="Q461" s="4">
        <f>OBRA!R461</f>
        <v>22772</v>
      </c>
      <c r="R461" s="5" t="str">
        <f>OBRA!T461</f>
        <v>NO APLICA</v>
      </c>
      <c r="S461" s="11" t="str">
        <f>OBRA!U461</f>
        <v>NO APLICA</v>
      </c>
      <c r="T461" s="53"/>
      <c r="U461" s="377" t="s">
        <v>1428</v>
      </c>
      <c r="V461" s="508"/>
      <c r="W461" s="509"/>
      <c r="X461" s="1199">
        <f>OBRA!AR461</f>
        <v>0</v>
      </c>
      <c r="Y461" s="309"/>
      <c r="Z461" s="309"/>
      <c r="AA461" s="5"/>
      <c r="AB461" s="313"/>
      <c r="AC461" s="317">
        <f>OBRA!BW461</f>
        <v>0</v>
      </c>
      <c r="AD461" s="352"/>
      <c r="AE461" s="352"/>
    </row>
    <row r="462" spans="1:31" ht="93.75" hidden="1" customHeight="1">
      <c r="A462" s="22" t="s">
        <v>45</v>
      </c>
      <c r="B462" s="809" t="str">
        <f>GRAL!B465</f>
        <v>2018-2021</v>
      </c>
      <c r="C462" s="16">
        <f>OBRA!J462</f>
        <v>2020</v>
      </c>
      <c r="D462" s="1415"/>
      <c r="E462" s="17" t="str">
        <f>OBRA!M462</f>
        <v>CUENTA CORRIENTE</v>
      </c>
      <c r="F462" s="1170"/>
      <c r="G462" s="1108"/>
      <c r="H462" s="219"/>
      <c r="I462" s="1108"/>
      <c r="J462" s="54" t="str">
        <f>OBRA!W462</f>
        <v>SUPERVISIÓN PROYECTOS Y LABORATORIO PARA LA CONSTRUCCIÓN</v>
      </c>
      <c r="K462" s="55" t="str">
        <f>OBRA!X462</f>
        <v>ING. HECTOR JESUS HERNANDEZ</v>
      </c>
      <c r="L462" s="33" t="str">
        <f>OBRA!N462</f>
        <v>C.P.S.P. DOP 008/2020</v>
      </c>
      <c r="M462" s="2" t="str">
        <f>OBRA!O462</f>
        <v>SERVICIOS</v>
      </c>
      <c r="N462" s="3" t="str">
        <f>OBRA!P462</f>
        <v>ESTUDIOS DE MECÁNICA DE SUELOS Y COMPACTACIÓN, CORRESPONDIENTE AL PROYECTO: "CONSTRUCCIÓN DE JARDÍN DE NIÑOS "ITZCOATL", EN LA LOCALIDAD DE NEXTIPAC. DEL MUNICIPIO DE JOCOTEPEC, JALISCO.</v>
      </c>
      <c r="O462" s="504" t="s">
        <v>3029</v>
      </c>
      <c r="P462" s="67">
        <f>OBRA!S462</f>
        <v>43979</v>
      </c>
      <c r="Q462" s="4">
        <f>OBRA!R462</f>
        <v>22772</v>
      </c>
      <c r="R462" s="5" t="str">
        <f>OBRA!T462</f>
        <v>NO APLICA</v>
      </c>
      <c r="S462" s="11" t="str">
        <f>OBRA!U462</f>
        <v>NO APLICA</v>
      </c>
      <c r="T462" s="53"/>
      <c r="U462" s="377" t="s">
        <v>1428</v>
      </c>
      <c r="V462" s="508"/>
      <c r="W462" s="509"/>
      <c r="X462" s="1199">
        <f>OBRA!AR462</f>
        <v>0</v>
      </c>
      <c r="Y462" s="309"/>
      <c r="Z462" s="309"/>
      <c r="AA462" s="5"/>
      <c r="AB462" s="313"/>
      <c r="AC462" s="317">
        <f>OBRA!BW462</f>
        <v>0</v>
      </c>
      <c r="AD462" s="352"/>
      <c r="AE462" s="352"/>
    </row>
    <row r="463" spans="1:31" ht="95.25" hidden="1" customHeight="1">
      <c r="A463" s="22" t="s">
        <v>45</v>
      </c>
      <c r="B463" s="809" t="str">
        <f>GRAL!B466</f>
        <v>2018-2021</v>
      </c>
      <c r="C463" s="16">
        <f>OBRA!J463</f>
        <v>2020</v>
      </c>
      <c r="D463" s="1415"/>
      <c r="E463" s="17" t="str">
        <f>OBRA!M463</f>
        <v>CUENTA CORRIENTE</v>
      </c>
      <c r="F463" s="1170"/>
      <c r="G463" s="1108"/>
      <c r="H463" s="219"/>
      <c r="I463" s="1108"/>
      <c r="J463" s="54" t="str">
        <f>OBRA!W463</f>
        <v xml:space="preserve">CICLOS GIP SC </v>
      </c>
      <c r="K463" s="55" t="str">
        <f>OBRA!X463</f>
        <v>ING. HECTOR JESUS HERNANDEZ</v>
      </c>
      <c r="L463" s="33" t="str">
        <f>OBRA!N463</f>
        <v>C.P.S.P. DOP 009/2020</v>
      </c>
      <c r="M463" s="2" t="str">
        <f>OBRA!O463</f>
        <v>SERVICIOS</v>
      </c>
      <c r="N463" s="3" t="str">
        <f>OBRA!P463</f>
        <v>REGISTRO ELECTRICO VERSIÓN MULTIPARAMETROS, PARA EL PROYECTO DE PERFORACIÓN DE: PERFORACIÓN DE POZO PROFUNDO, EN LA AGENCIA MUNICIPAL DE LAS TROJES, DEL MUNICIPIO DE JOCOTEPEC, JALISCO.</v>
      </c>
      <c r="O463" s="504" t="s">
        <v>3030</v>
      </c>
      <c r="P463" s="67">
        <f>OBRA!S463</f>
        <v>44050</v>
      </c>
      <c r="Q463" s="4">
        <f>OBRA!R463</f>
        <v>17400</v>
      </c>
      <c r="R463" s="5">
        <f>OBRA!T463</f>
        <v>44050</v>
      </c>
      <c r="S463" s="11">
        <f>OBRA!U463</f>
        <v>44055</v>
      </c>
      <c r="T463" s="53"/>
      <c r="U463" s="377" t="s">
        <v>1428</v>
      </c>
      <c r="V463" s="508"/>
      <c r="W463" s="509"/>
      <c r="X463" s="1199">
        <f>OBRA!AR463</f>
        <v>0</v>
      </c>
      <c r="Y463" s="309"/>
      <c r="Z463" s="309"/>
      <c r="AA463" s="5"/>
      <c r="AB463" s="313"/>
      <c r="AC463" s="317">
        <f>OBRA!BW463</f>
        <v>0</v>
      </c>
      <c r="AD463" s="352"/>
      <c r="AE463" s="352"/>
    </row>
    <row r="464" spans="1:31" ht="117" hidden="1" customHeight="1">
      <c r="A464" s="22" t="s">
        <v>45</v>
      </c>
      <c r="B464" s="809" t="str">
        <f>GRAL!B467</f>
        <v>2018-2021</v>
      </c>
      <c r="C464" s="16">
        <f>OBRA!J464</f>
        <v>2020</v>
      </c>
      <c r="D464" s="1415"/>
      <c r="E464" s="17" t="str">
        <f>OBRA!M464</f>
        <v>CUENTA CORRIENTE</v>
      </c>
      <c r="F464" s="1170"/>
      <c r="G464" s="1108"/>
      <c r="H464" s="219"/>
      <c r="I464" s="1108"/>
      <c r="J464" s="54" t="str">
        <f>OBRA!W464</f>
        <v>SUPERVISIÓN PROYECTOS Y LABORATORIO PARA LA CONSTRUCCIÓN</v>
      </c>
      <c r="K464" s="55" t="str">
        <f>OBRA!X464</f>
        <v>ARQ. EDUARDO ROMERO CARRILLO</v>
      </c>
      <c r="L464" s="33" t="str">
        <f>OBRA!N464</f>
        <v>C.P.S.P. DOP 010/2020</v>
      </c>
      <c r="M464" s="2" t="str">
        <f>OBRA!O464</f>
        <v>SERVICIOS</v>
      </c>
      <c r="N464" s="3" t="str">
        <f>OBRA!P464</f>
        <v>"ESTUDIO DE MECANICA DE SUELOS Y PRUEBAS COMPACTACIÓN", CORRESPONDIENTE AL PROYECTO. "CONSTRUCCIÓN Y EQUIPAMIENTO DE LA PLAZA PRINCIPAL 1ERA ETAPA" DE LA DELEGACIÓN DE CHANTEPEC, DEL MUNICIPIO DE JOCOTEPEC, JALISCO.</v>
      </c>
      <c r="O464" s="541"/>
      <c r="P464" s="6">
        <f>OBRA!S464</f>
        <v>44026</v>
      </c>
      <c r="Q464" s="4">
        <f>OBRA!R464</f>
        <v>34046</v>
      </c>
      <c r="R464" s="5" t="str">
        <f>OBRA!T464</f>
        <v>NO APLICA</v>
      </c>
      <c r="S464" s="11" t="str">
        <f>OBRA!U464</f>
        <v>NO APLICA</v>
      </c>
      <c r="T464" s="53"/>
      <c r="U464" s="377" t="s">
        <v>1428</v>
      </c>
      <c r="V464" s="508"/>
      <c r="W464" s="509"/>
      <c r="X464" s="1199">
        <f>OBRA!AR464</f>
        <v>0</v>
      </c>
      <c r="Y464" s="309"/>
      <c r="Z464" s="309"/>
      <c r="AA464" s="5"/>
      <c r="AB464" s="313"/>
      <c r="AC464" s="317">
        <f>OBRA!BW464</f>
        <v>0</v>
      </c>
      <c r="AD464" s="352"/>
      <c r="AE464" s="352"/>
    </row>
    <row r="465" spans="1:31" ht="57.75" hidden="1" customHeight="1">
      <c r="A465" s="22" t="s">
        <v>45</v>
      </c>
      <c r="B465" s="809" t="str">
        <f>GRAL!B468</f>
        <v>2018-2021</v>
      </c>
      <c r="C465" s="16">
        <f>OBRA!J465</f>
        <v>2020</v>
      </c>
      <c r="D465" s="1415"/>
      <c r="E465" s="17" t="str">
        <f>OBRA!M465</f>
        <v>CUENTA CORRIENTE</v>
      </c>
      <c r="F465" s="1170"/>
      <c r="G465" s="1108"/>
      <c r="H465" s="219"/>
      <c r="I465" s="1108"/>
      <c r="J465" s="54" t="str">
        <f>OBRA!W465</f>
        <v>JUAN MANUEL GARCIA ESCOTO</v>
      </c>
      <c r="K465" s="55" t="str">
        <f>OBRA!X465</f>
        <v>ING. HECTOR JESUS HERNANDEZ</v>
      </c>
      <c r="L465" s="33" t="str">
        <f>OBRA!N465</f>
        <v>C.P.S.P. DOP 011/2020</v>
      </c>
      <c r="M465" s="2" t="str">
        <f>OBRA!O465</f>
        <v>SERVICIOS</v>
      </c>
      <c r="N465" s="3" t="str">
        <f>OBRA!P465</f>
        <v>LEVANTAMIENTO TOPOGRÁFICO DE ÁREA DE DONACIÓN Y UBICACIÓN DEL DEPÓSITO PARA AGUA POTABLE EN LADO NORTE DE LA CABECERA MUNICIPAL DE JOCOTEPEC, JALISCO.</v>
      </c>
      <c r="O465" s="541"/>
      <c r="P465" s="6">
        <f>OBRA!S465</f>
        <v>44454</v>
      </c>
      <c r="Q465" s="4">
        <f>OBRA!R465</f>
        <v>4059.9999999999995</v>
      </c>
      <c r="R465" s="5" t="str">
        <f>OBRA!T465</f>
        <v>NO APLICA</v>
      </c>
      <c r="S465" s="11" t="str">
        <f>OBRA!U465</f>
        <v>NO APLICA</v>
      </c>
      <c r="T465" s="53"/>
      <c r="U465" s="377" t="s">
        <v>1428</v>
      </c>
      <c r="V465" s="508"/>
      <c r="W465" s="509"/>
      <c r="X465" s="1199">
        <f>OBRA!AR465</f>
        <v>0</v>
      </c>
      <c r="Y465" s="309"/>
      <c r="Z465" s="309"/>
      <c r="AA465" s="5"/>
      <c r="AB465" s="313"/>
      <c r="AC465" s="317">
        <f>OBRA!BW465</f>
        <v>0</v>
      </c>
      <c r="AD465" s="352"/>
      <c r="AE465" s="352"/>
    </row>
    <row r="466" spans="1:31" ht="157.5" hidden="1" customHeight="1">
      <c r="A466" s="22" t="s">
        <v>45</v>
      </c>
      <c r="B466" s="809" t="str">
        <f>GRAL!B469</f>
        <v>2018-2021</v>
      </c>
      <c r="C466" s="16">
        <f>OBRA!J466</f>
        <v>2020</v>
      </c>
      <c r="D466" s="1415"/>
      <c r="E466" s="17" t="str">
        <f>OBRA!M466</f>
        <v>CUENTA CORRIENTE</v>
      </c>
      <c r="F466" s="1170"/>
      <c r="G466" s="1108"/>
      <c r="H466" s="219"/>
      <c r="I466" s="1108"/>
      <c r="J466" s="54" t="str">
        <f>OBRA!W466</f>
        <v>AJG INGENIERIA, SA DE CV</v>
      </c>
      <c r="K466" s="55" t="str">
        <f>OBRA!X466</f>
        <v>ING. HECTOR JESUS HERNANDEZ</v>
      </c>
      <c r="L466" s="33" t="str">
        <f>OBRA!N466</f>
        <v>C.P.S.P. DOP 012/2020</v>
      </c>
      <c r="M466" s="2" t="str">
        <f>OBRA!O466</f>
        <v>SERVICIOS</v>
      </c>
      <c r="N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1"/>
      <c r="P466" s="6">
        <f>OBRA!S466</f>
        <v>44082</v>
      </c>
      <c r="Q466" s="4">
        <f>OBRA!R466</f>
        <v>139246</v>
      </c>
      <c r="R466" s="5">
        <f>OBRA!T466</f>
        <v>44088</v>
      </c>
      <c r="S466" s="11">
        <f>OBRA!U466</f>
        <v>44094</v>
      </c>
      <c r="T466" s="53"/>
      <c r="U466" s="377" t="s">
        <v>1428</v>
      </c>
      <c r="V466" s="508"/>
      <c r="W466" s="509"/>
      <c r="X466" s="1199">
        <f>OBRA!AR466</f>
        <v>0</v>
      </c>
      <c r="Y466" s="309"/>
      <c r="Z466" s="309"/>
      <c r="AA466" s="5"/>
      <c r="AB466" s="313"/>
      <c r="AC466" s="317">
        <f>OBRA!BW466</f>
        <v>0</v>
      </c>
      <c r="AD466" s="352"/>
      <c r="AE466" s="352"/>
    </row>
    <row r="467" spans="1:31" ht="145.5" hidden="1" customHeight="1">
      <c r="A467" s="22" t="s">
        <v>45</v>
      </c>
      <c r="B467" s="809" t="str">
        <f>GRAL!B470</f>
        <v>2018-2021</v>
      </c>
      <c r="C467" s="16">
        <f>OBRA!J467</f>
        <v>2020</v>
      </c>
      <c r="D467" s="1415"/>
      <c r="E467" s="17" t="str">
        <f>OBRA!M467</f>
        <v>CUENTA CORRIENTE</v>
      </c>
      <c r="F467" s="1170"/>
      <c r="G467" s="1108"/>
      <c r="H467" s="219"/>
      <c r="I467" s="1108"/>
      <c r="J467" s="54" t="str">
        <f>OBRA!W467</f>
        <v>AJG INGENIERIA, SA DE CV</v>
      </c>
      <c r="K467" s="55" t="str">
        <f>OBRA!X467</f>
        <v>ING. HECTOR JESUS HERNANDEZ</v>
      </c>
      <c r="L467" s="33" t="str">
        <f>OBRA!N467</f>
        <v>C.P.S.P. DOP 013/2020</v>
      </c>
      <c r="M467" s="2" t="str">
        <f>OBRA!O467</f>
        <v>SERVICIOS</v>
      </c>
      <c r="N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1"/>
      <c r="P467" s="6">
        <f>OBRA!S467</f>
        <v>44081</v>
      </c>
      <c r="Q467" s="4">
        <f>OBRA!R467</f>
        <v>139246</v>
      </c>
      <c r="R467" s="5">
        <f>OBRA!T467</f>
        <v>44082</v>
      </c>
      <c r="S467" s="11">
        <f>OBRA!U467</f>
        <v>44086</v>
      </c>
      <c r="T467" s="53"/>
      <c r="U467" s="377" t="s">
        <v>1428</v>
      </c>
      <c r="V467" s="508"/>
      <c r="W467" s="509"/>
      <c r="X467" s="1199">
        <f>OBRA!AR467</f>
        <v>0</v>
      </c>
      <c r="Y467" s="309"/>
      <c r="Z467" s="309"/>
      <c r="AA467" s="5"/>
      <c r="AB467" s="313"/>
      <c r="AC467" s="317">
        <f>OBRA!BW467</f>
        <v>0</v>
      </c>
      <c r="AD467" s="352"/>
      <c r="AE467" s="352"/>
    </row>
    <row r="468" spans="1:31" ht="151.5" hidden="1" customHeight="1">
      <c r="A468" s="22" t="s">
        <v>45</v>
      </c>
      <c r="B468" s="809" t="str">
        <f>GRAL!B471</f>
        <v>2018-2021</v>
      </c>
      <c r="C468" s="16">
        <f>OBRA!J468</f>
        <v>2020</v>
      </c>
      <c r="D468" s="1415"/>
      <c r="E468" s="17" t="str">
        <f>OBRA!M468</f>
        <v>CUENTA CORRIENTE</v>
      </c>
      <c r="F468" s="1170"/>
      <c r="G468" s="1108"/>
      <c r="H468" s="219"/>
      <c r="I468" s="1108"/>
      <c r="J468" s="54" t="str">
        <f>OBRA!W468</f>
        <v>SUPERVISIÓN PROYECTOS Y LABORATORIO PARA LA CONSTRUCCIÓN</v>
      </c>
      <c r="K468" s="55" t="str">
        <f>OBRA!X468</f>
        <v>LIC. SALVADOR CONTRERAS OLGUÍN</v>
      </c>
      <c r="L468" s="33" t="str">
        <f>OBRA!N468</f>
        <v>C.P.S.P. DOP 014/2020</v>
      </c>
      <c r="M468" s="2" t="str">
        <f>OBRA!O468</f>
        <v>SERVICIOS</v>
      </c>
      <c r="N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1"/>
      <c r="P468" s="6">
        <f>OBRA!S468</f>
        <v>44075</v>
      </c>
      <c r="Q468" s="4">
        <f>OBRA!R468</f>
        <v>32944</v>
      </c>
      <c r="R468" s="5" t="str">
        <f>OBRA!T468</f>
        <v>NO APLICA</v>
      </c>
      <c r="S468" s="11" t="str">
        <f>OBRA!U468</f>
        <v>NO APLICA</v>
      </c>
      <c r="T468" s="53"/>
      <c r="U468" s="377" t="s">
        <v>1428</v>
      </c>
      <c r="V468" s="508"/>
      <c r="W468" s="509"/>
      <c r="X468" s="1199">
        <f>OBRA!AR468</f>
        <v>0</v>
      </c>
      <c r="Y468" s="309"/>
      <c r="Z468" s="309"/>
      <c r="AA468" s="5"/>
      <c r="AB468" s="313"/>
      <c r="AC468" s="317">
        <f>OBRA!BW468</f>
        <v>0</v>
      </c>
      <c r="AD468" s="352"/>
      <c r="AE468" s="352"/>
    </row>
    <row r="469" spans="1:31" ht="182.25" hidden="1" customHeight="1">
      <c r="A469" s="22" t="s">
        <v>45</v>
      </c>
      <c r="B469" s="809" t="str">
        <f>GRAL!B472</f>
        <v>2018-2021</v>
      </c>
      <c r="C469" s="16">
        <f>OBRA!J469</f>
        <v>2020</v>
      </c>
      <c r="D469" s="1415"/>
      <c r="E469" s="17" t="str">
        <f>OBRA!M469</f>
        <v>CUENTA CORRIENTE</v>
      </c>
      <c r="F469" s="1170"/>
      <c r="G469" s="1108"/>
      <c r="H469" s="219"/>
      <c r="I469" s="1108"/>
      <c r="J469" s="54" t="str">
        <f>OBRA!W469</f>
        <v>SUPERVISIÓN PROYECTOS Y LABORATORIO PARA LA CONSTRUCCIÓN</v>
      </c>
      <c r="K469" s="55" t="str">
        <f>OBRA!X469</f>
        <v>ARQ. JAIME CONDE GOMEZ</v>
      </c>
      <c r="L469" s="33" t="str">
        <f>OBRA!N469</f>
        <v>C.P.S.P. DOP 015/2020</v>
      </c>
      <c r="M469" s="2" t="str">
        <f>OBRA!O469</f>
        <v>SERVICIOS</v>
      </c>
      <c r="N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1"/>
      <c r="P469" s="6">
        <f>OBRA!S469</f>
        <v>44075</v>
      </c>
      <c r="Q469" s="4">
        <f>OBRA!R469</f>
        <v>25520</v>
      </c>
      <c r="R469" s="5" t="str">
        <f>OBRA!T469</f>
        <v>NO APLICA</v>
      </c>
      <c r="S469" s="11" t="str">
        <f>OBRA!U469</f>
        <v>NO APLICA</v>
      </c>
      <c r="T469" s="53"/>
      <c r="U469" s="377" t="s">
        <v>1428</v>
      </c>
      <c r="V469" s="508"/>
      <c r="W469" s="509"/>
      <c r="X469" s="1199">
        <f>OBRA!AR469</f>
        <v>0</v>
      </c>
      <c r="Y469" s="309"/>
      <c r="Z469" s="309"/>
      <c r="AA469" s="5"/>
      <c r="AB469" s="313"/>
      <c r="AC469" s="317">
        <f>OBRA!BW469</f>
        <v>0</v>
      </c>
      <c r="AD469" s="352"/>
      <c r="AE469" s="352"/>
    </row>
    <row r="470" spans="1:31" ht="169.5" hidden="1" customHeight="1">
      <c r="A470" s="22" t="s">
        <v>45</v>
      </c>
      <c r="B470" s="809" t="str">
        <f>GRAL!B473</f>
        <v>2018-2021</v>
      </c>
      <c r="C470" s="16">
        <f>OBRA!J470</f>
        <v>2020</v>
      </c>
      <c r="D470" s="1415"/>
      <c r="E470" s="17" t="str">
        <f>OBRA!M470</f>
        <v>CUENTA CORRIENTE</v>
      </c>
      <c r="F470" s="1170"/>
      <c r="G470" s="1108"/>
      <c r="H470" s="219"/>
      <c r="I470" s="1108"/>
      <c r="J470" s="54" t="str">
        <f>OBRA!W470</f>
        <v>SUPERVISIÓN PROYECTOS Y LABORATORIO PARA LA CONSTRUCCIÓN</v>
      </c>
      <c r="K470" s="55" t="str">
        <f>OBRA!X470</f>
        <v>ING. J. GUADALUPE IBARRA RAMIREZ</v>
      </c>
      <c r="L470" s="33" t="str">
        <f>OBRA!N470</f>
        <v>C.P.S.P. DOP 016/2020</v>
      </c>
      <c r="M470" s="2" t="str">
        <f>OBRA!O470</f>
        <v>SERVICIOS</v>
      </c>
      <c r="N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1"/>
      <c r="P470" s="6">
        <f>OBRA!S470</f>
        <v>44124</v>
      </c>
      <c r="Q470" s="4">
        <f>OBRA!R470</f>
        <v>36656</v>
      </c>
      <c r="R470" s="5" t="str">
        <f>OBRA!T470</f>
        <v>NO APLICA</v>
      </c>
      <c r="S470" s="11" t="str">
        <f>OBRA!U470</f>
        <v>NO APLICA</v>
      </c>
      <c r="T470" s="53"/>
      <c r="U470" s="377" t="s">
        <v>1428</v>
      </c>
      <c r="V470" s="508"/>
      <c r="W470" s="509"/>
      <c r="X470" s="1199">
        <f>OBRA!AR470</f>
        <v>0</v>
      </c>
      <c r="Y470" s="309"/>
      <c r="Z470" s="309"/>
      <c r="AA470" s="5"/>
      <c r="AB470" s="313"/>
      <c r="AC470" s="317">
        <f>OBRA!BW470</f>
        <v>0</v>
      </c>
      <c r="AD470" s="352"/>
      <c r="AE470" s="352"/>
    </row>
    <row r="471" spans="1:31" ht="88.5" hidden="1" customHeight="1">
      <c r="A471" s="22" t="s">
        <v>45</v>
      </c>
      <c r="B471" s="809" t="str">
        <f>GRAL!B474</f>
        <v>2018-2021</v>
      </c>
      <c r="C471" s="16">
        <f>OBRA!J471</f>
        <v>2020</v>
      </c>
      <c r="D471" s="1415"/>
      <c r="E471" s="17" t="str">
        <f>OBRA!M471</f>
        <v>CUENTA CORRIENTE</v>
      </c>
      <c r="F471" s="1170"/>
      <c r="G471" s="1108"/>
      <c r="H471" s="219"/>
      <c r="I471" s="1108"/>
      <c r="J471" s="54" t="str">
        <f>OBRA!W471</f>
        <v>ING. JUAN MANUEL GARCÍA ESCOTO</v>
      </c>
      <c r="K471" s="55" t="str">
        <f>OBRA!X471</f>
        <v>ING. HECTOR JESUS HERNANDEZ</v>
      </c>
      <c r="L471" s="33" t="str">
        <f>OBRA!N471</f>
        <v>C.P.S.P. DOP 017/2020</v>
      </c>
      <c r="M471" s="2" t="str">
        <f>OBRA!O471</f>
        <v>SERVICIOS</v>
      </c>
      <c r="N471" s="3" t="str">
        <f>OBRA!P471</f>
        <v>LEVANTAMIENTOS TOPOGRÁFICOS DE ÁREA DE DONACIÓN Y UBICACIÓN DEL POZO DE AGUA POTABLE EN C. ALLENDE, EN LA CABECERA MUNICIPAL DE JOCOTEPEC, JALISCO.</v>
      </c>
      <c r="O471" s="541"/>
      <c r="P471" s="195">
        <f>OBRA!S471</f>
        <v>44089</v>
      </c>
      <c r="Q471" s="63">
        <f>OBRA!R471</f>
        <v>4059.9999999999995</v>
      </c>
      <c r="R471" s="474" t="str">
        <f>OBRA!T471</f>
        <v>-</v>
      </c>
      <c r="S471" s="509" t="str">
        <f>OBRA!U471</f>
        <v>-</v>
      </c>
      <c r="T471" s="692"/>
      <c r="U471" s="377" t="s">
        <v>1428</v>
      </c>
      <c r="V471" s="508"/>
      <c r="W471" s="509"/>
      <c r="X471" s="1199">
        <f>OBRA!AR471</f>
        <v>0</v>
      </c>
      <c r="Y471" s="309"/>
      <c r="Z471" s="309"/>
      <c r="AA471" s="5"/>
      <c r="AB471" s="313"/>
      <c r="AC471" s="317">
        <f>OBRA!BW471</f>
        <v>0</v>
      </c>
      <c r="AD471" s="352"/>
      <c r="AE471" s="352"/>
    </row>
    <row r="472" spans="1:31" ht="84.75" hidden="1" customHeight="1">
      <c r="A472" s="22" t="s">
        <v>45</v>
      </c>
      <c r="B472" s="809" t="str">
        <f>GRAL!B475</f>
        <v>2018-2021</v>
      </c>
      <c r="C472" s="16">
        <f>OBRA!J472</f>
        <v>2020</v>
      </c>
      <c r="D472" s="1415"/>
      <c r="E472" s="17" t="str">
        <f>OBRA!M472</f>
        <v>CUENTA CORRIENTE</v>
      </c>
      <c r="F472" s="1170"/>
      <c r="G472" s="1108"/>
      <c r="H472" s="219"/>
      <c r="I472" s="1108"/>
      <c r="J472" s="54" t="str">
        <f>OBRA!W472</f>
        <v>ING. JUAN MANUEL GARCÍA ESCOTO</v>
      </c>
      <c r="K472" s="55" t="str">
        <f>OBRA!X472</f>
        <v>ING. HECTOR JESUS HERNANDEZ</v>
      </c>
      <c r="L472" s="33" t="str">
        <f>OBRA!N472</f>
        <v>C.P.S.P. DOP 018/2020</v>
      </c>
      <c r="M472" s="2" t="str">
        <f>OBRA!O472</f>
        <v>SERVICIOS</v>
      </c>
      <c r="N472" s="3" t="str">
        <f>OBRA!P472</f>
        <v>LEVANTAMIENTO TOPOGRÁFICO DE ÁREA DE DONACIÓN PARA PROYECTO DEL SENDERO "ANDADOR PANORÁMICO" EN ZONA NORTE, EN LA CABECERA MUNICIPAL DE JOCOTEPEC, JALISCO.</v>
      </c>
      <c r="O472" s="541"/>
      <c r="P472" s="195">
        <f>OBRA!S472</f>
        <v>44089</v>
      </c>
      <c r="Q472" s="63">
        <f>OBRA!R472</f>
        <v>20880</v>
      </c>
      <c r="R472" s="474" t="str">
        <f>OBRA!T472</f>
        <v>-</v>
      </c>
      <c r="S472" s="509" t="str">
        <f>OBRA!U472</f>
        <v>-</v>
      </c>
      <c r="T472" s="692"/>
      <c r="U472" s="377" t="s">
        <v>1428</v>
      </c>
      <c r="V472" s="508"/>
      <c r="W472" s="509"/>
      <c r="X472" s="1199">
        <f>OBRA!AR472</f>
        <v>0</v>
      </c>
      <c r="Y472" s="309"/>
      <c r="Z472" s="309"/>
      <c r="AA472" s="5"/>
      <c r="AB472" s="313"/>
      <c r="AC472" s="317">
        <f>OBRA!BW472</f>
        <v>0</v>
      </c>
      <c r="AD472" s="352"/>
      <c r="AE472" s="352"/>
    </row>
    <row r="473" spans="1:31" ht="97.5" hidden="1" customHeight="1">
      <c r="A473" s="22" t="s">
        <v>45</v>
      </c>
      <c r="B473" s="809" t="str">
        <f>GRAL!B476</f>
        <v>2018-2021</v>
      </c>
      <c r="C473" s="16">
        <f>OBRA!J473</f>
        <v>2020</v>
      </c>
      <c r="D473" s="1415"/>
      <c r="E473" s="17" t="str">
        <f>OBRA!M473</f>
        <v>CUENTA CORRIENTE</v>
      </c>
      <c r="F473" s="1170"/>
      <c r="G473" s="1108"/>
      <c r="H473" s="219"/>
      <c r="I473" s="1108"/>
      <c r="J473" s="54" t="str">
        <f>OBRA!W473</f>
        <v>ING. JUAN MANUEL GARCÍA ESCOTO</v>
      </c>
      <c r="K473" s="55" t="str">
        <f>OBRA!X473</f>
        <v>ING. HECTOR JESUS HERNANDEZ</v>
      </c>
      <c r="L473" s="33" t="str">
        <f>OBRA!N473</f>
        <v>C.P.S.P. DOP 019/2020</v>
      </c>
      <c r="M473" s="2" t="str">
        <f>OBRA!O473</f>
        <v>SERVICIOS</v>
      </c>
      <c r="N473" s="3" t="str">
        <f>OBRA!P473</f>
        <v>LEVANTAMIENTO TOPOGRÁFICO DE ÁREA DE DONACIÓN DEL TERRENO PARA EL PROYECTO DE LA PLANTA DE RECICLADO, UBICADO EN EL CRUCERO A POTRERILLOS DEL MUNICIPIO DE JOCOTEPEC, JALISCO.</v>
      </c>
      <c r="O473" s="541"/>
      <c r="P473" s="195">
        <f>OBRA!S473</f>
        <v>44089</v>
      </c>
      <c r="Q473" s="63">
        <f>OBRA!R473</f>
        <v>5800</v>
      </c>
      <c r="R473" s="474" t="str">
        <f>OBRA!T473</f>
        <v>-</v>
      </c>
      <c r="S473" s="509" t="str">
        <f>OBRA!U473</f>
        <v>-</v>
      </c>
      <c r="T473" s="692"/>
      <c r="U473" s="377" t="s">
        <v>1428</v>
      </c>
      <c r="V473" s="508"/>
      <c r="W473" s="509"/>
      <c r="X473" s="1199">
        <f>OBRA!AR473</f>
        <v>0</v>
      </c>
      <c r="Y473" s="309"/>
      <c r="Z473" s="309"/>
      <c r="AA473" s="5"/>
      <c r="AB473" s="313"/>
      <c r="AC473" s="317">
        <f>OBRA!BW473</f>
        <v>0</v>
      </c>
      <c r="AD473" s="352"/>
      <c r="AE473" s="352"/>
    </row>
    <row r="474" spans="1:31" ht="124.5" hidden="1" customHeight="1">
      <c r="A474" s="22" t="s">
        <v>45</v>
      </c>
      <c r="B474" s="809" t="str">
        <f>GRAL!B477</f>
        <v>2018-2021</v>
      </c>
      <c r="C474" s="16">
        <f>OBRA!J474</f>
        <v>2020</v>
      </c>
      <c r="D474" s="1415"/>
      <c r="E474" s="17" t="str">
        <f>OBRA!M474</f>
        <v>CUENTA CORRIENTE</v>
      </c>
      <c r="F474" s="1170"/>
      <c r="G474" s="1108"/>
      <c r="H474" s="219"/>
      <c r="I474" s="1108"/>
      <c r="J474" s="54" t="str">
        <f>OBRA!W474</f>
        <v>ING. JUAN MANUEL GARCÍA ESCOTO</v>
      </c>
      <c r="K474" s="55" t="str">
        <f>OBRA!X474</f>
        <v>ING. HECTOR JESUS HERNANDEZ</v>
      </c>
      <c r="L474" s="33" t="str">
        <f>OBRA!N474</f>
        <v>C.P.S.P. DOP 020/2020</v>
      </c>
      <c r="M474" s="2" t="str">
        <f>OBRA!O474</f>
        <v>SERVICIOS</v>
      </c>
      <c r="N474" s="3" t="str">
        <f>OBRA!P474</f>
        <v>LEVANTAMIENTO TOPORÁFICO DE ÁREA DE DONACIÓN DEL TERRENO PARA EL CAMPAMENTO DE LA GUARDIA NACIONAL, UBICADO EN EL EJIDO DE HUEJOTITÁN EN CRUCERO A POTRERILLOS, DEL MUNICIPIO DE JOCOTEPEC, JALISCO,</v>
      </c>
      <c r="O474" s="541"/>
      <c r="P474" s="195">
        <f>OBRA!S474</f>
        <v>44089</v>
      </c>
      <c r="Q474" s="63">
        <f>OBRA!R474</f>
        <v>5220</v>
      </c>
      <c r="R474" s="474" t="str">
        <f>OBRA!T474</f>
        <v>-</v>
      </c>
      <c r="S474" s="509" t="str">
        <f>OBRA!U474</f>
        <v>-</v>
      </c>
      <c r="T474" s="692"/>
      <c r="U474" s="377" t="s">
        <v>1428</v>
      </c>
      <c r="V474" s="508"/>
      <c r="W474" s="509"/>
      <c r="X474" s="1199">
        <f>OBRA!AR474</f>
        <v>0</v>
      </c>
      <c r="Y474" s="309"/>
      <c r="Z474" s="309"/>
      <c r="AA474" s="5"/>
      <c r="AB474" s="313"/>
      <c r="AC474" s="317">
        <f>OBRA!BW474</f>
        <v>0</v>
      </c>
      <c r="AD474" s="352"/>
      <c r="AE474" s="352"/>
    </row>
    <row r="475" spans="1:31" ht="84.75" hidden="1" customHeight="1">
      <c r="A475" s="22" t="s">
        <v>45</v>
      </c>
      <c r="B475" s="809" t="str">
        <f>GRAL!B478</f>
        <v>2018-2021</v>
      </c>
      <c r="C475" s="16">
        <f>OBRA!J475</f>
        <v>2020</v>
      </c>
      <c r="D475" s="1415"/>
      <c r="E475" s="17" t="str">
        <f>OBRA!M475</f>
        <v>CUENTA CORRIENTE</v>
      </c>
      <c r="F475" s="1170"/>
      <c r="G475" s="1108"/>
      <c r="H475" s="219"/>
      <c r="I475" s="1108"/>
      <c r="J475" s="54" t="str">
        <f>OBRA!W475</f>
        <v>ING. JUAN MANUEL GARCÍA ESCOTO</v>
      </c>
      <c r="K475" s="55" t="str">
        <f>OBRA!X475</f>
        <v>ING. HECTOR JESUS HERNANDEZ</v>
      </c>
      <c r="L475" s="33" t="str">
        <f>OBRA!N475</f>
        <v>C.P.S.P. DOP 021/2020</v>
      </c>
      <c r="M475" s="2" t="str">
        <f>OBRA!O475</f>
        <v>SERVICIOS</v>
      </c>
      <c r="N475" s="3" t="str">
        <f>OBRA!P475</f>
        <v>LEVANTAMIENTO TOGRÁFICO DE ÁREA Y LÍMITES DE PROPIEDAD DE LA CALLE HIDALGO NORTE DE CALLE ALDAMA A FILÓSOFOS, EN LA CABECERA MUNICIPAL DE JOCOTEPEC, JALISCO.</v>
      </c>
      <c r="O475" s="541"/>
      <c r="P475" s="195">
        <f>OBRA!S475</f>
        <v>44089</v>
      </c>
      <c r="Q475" s="63">
        <f>OBRA!R475</f>
        <v>5800</v>
      </c>
      <c r="R475" s="474" t="str">
        <f>OBRA!T475</f>
        <v>-</v>
      </c>
      <c r="S475" s="509" t="str">
        <f>OBRA!U475</f>
        <v>-</v>
      </c>
      <c r="T475" s="692"/>
      <c r="U475" s="377" t="s">
        <v>1428</v>
      </c>
      <c r="V475" s="508"/>
      <c r="W475" s="509"/>
      <c r="X475" s="1199">
        <f>OBRA!AR475</f>
        <v>0</v>
      </c>
      <c r="Y475" s="309"/>
      <c r="Z475" s="309"/>
      <c r="AA475" s="5"/>
      <c r="AB475" s="313"/>
      <c r="AC475" s="317">
        <f>OBRA!BW475</f>
        <v>0</v>
      </c>
      <c r="AD475" s="352"/>
      <c r="AE475" s="352"/>
    </row>
    <row r="476" spans="1:31" ht="114.75" hidden="1" customHeight="1">
      <c r="A476" s="22" t="s">
        <v>45</v>
      </c>
      <c r="B476" s="809" t="str">
        <f>GRAL!B479</f>
        <v>2018-2021</v>
      </c>
      <c r="C476" s="16">
        <f>OBRA!J476</f>
        <v>2020</v>
      </c>
      <c r="D476" s="1415"/>
      <c r="E476" s="17" t="str">
        <f>OBRA!M476</f>
        <v>CUENTA CORRIENTE</v>
      </c>
      <c r="F476" s="1170"/>
      <c r="G476" s="1108"/>
      <c r="H476" s="219"/>
      <c r="I476" s="1108"/>
      <c r="J476" s="54" t="str">
        <f>OBRA!W476</f>
        <v>ING. JUAN MANUEL GARCÍA ESCOTO</v>
      </c>
      <c r="K476" s="55" t="str">
        <f>OBRA!X476</f>
        <v>ING. HECTOR JESUS HERNANDEZ</v>
      </c>
      <c r="L476" s="33" t="str">
        <f>OBRA!N476</f>
        <v>C.P.S.P. DOP 022/2020</v>
      </c>
      <c r="M476" s="2" t="str">
        <f>OBRA!O476</f>
        <v>SERVICIOS</v>
      </c>
      <c r="N476" s="3" t="str">
        <f>OBRA!P476</f>
        <v>LEVANTAMIENTO TOPOGRÁFICO DEL PREDIO Y CONSTRUCCIÓN EXISTENTE PARA EL PROYECTO DE LA REMODELACIÓN DEL RASTRO MUNICIPAL UBICADO EN CALLE CHAPULTEPEC PTE, S/N, EN LA CABECERA MUNICIPAL DE JOCOTEPEC, JALISCO.</v>
      </c>
      <c r="O476" s="541"/>
      <c r="P476" s="195">
        <f>OBRA!S476</f>
        <v>44089</v>
      </c>
      <c r="Q476" s="63">
        <f>OBRA!R476</f>
        <v>5220</v>
      </c>
      <c r="R476" s="474" t="str">
        <f>OBRA!T476</f>
        <v>-</v>
      </c>
      <c r="S476" s="509" t="str">
        <f>OBRA!U476</f>
        <v>-</v>
      </c>
      <c r="T476" s="692"/>
      <c r="U476" s="377" t="s">
        <v>1428</v>
      </c>
      <c r="V476" s="508"/>
      <c r="W476" s="509"/>
      <c r="X476" s="1199">
        <f>OBRA!AR476</f>
        <v>0</v>
      </c>
      <c r="Y476" s="309"/>
      <c r="Z476" s="309"/>
      <c r="AA476" s="5"/>
      <c r="AB476" s="313"/>
      <c r="AC476" s="317">
        <f>OBRA!BW476</f>
        <v>0</v>
      </c>
      <c r="AD476" s="352"/>
      <c r="AE476" s="352"/>
    </row>
    <row r="477" spans="1:31" ht="96.75" hidden="1" customHeight="1">
      <c r="A477" s="22" t="s">
        <v>45</v>
      </c>
      <c r="B477" s="809" t="str">
        <f>GRAL!B480</f>
        <v>2018-2021</v>
      </c>
      <c r="C477" s="16">
        <f>OBRA!J477</f>
        <v>2020</v>
      </c>
      <c r="D477" s="1415"/>
      <c r="E477" s="17" t="str">
        <f>OBRA!M477</f>
        <v>CUENTA CORRIENTE</v>
      </c>
      <c r="F477" s="1170"/>
      <c r="G477" s="1108"/>
      <c r="H477" s="219"/>
      <c r="I477" s="1108"/>
      <c r="J477" s="54" t="str">
        <f>OBRA!W477</f>
        <v>ING. JUAN MANUEL GARCÍA ESCOTO</v>
      </c>
      <c r="K477" s="55" t="str">
        <f>OBRA!X477</f>
        <v>ING. HECTOR JESUS HERNANDEZ</v>
      </c>
      <c r="L477" s="33" t="str">
        <f>OBRA!N477</f>
        <v>C.P.S.P. DOP 023/2020</v>
      </c>
      <c r="M477" s="2" t="str">
        <f>OBRA!O477</f>
        <v>SERVICIOS</v>
      </c>
      <c r="N477" s="3" t="str">
        <f>OBRA!P477</f>
        <v>LEVANTAMIENTO TOPOGRÁFICO EN ÁREA DE DONACIÓN DEL TERRENO PARA LA UBICACIÓN DEL DEPÓSITO NUEVO DE AGUA POTABLE, EN LA DELEGACIÓN DE SAN CRISTOBAL ZAPOTITLÁN, DEL MUNICIPIO DE JOCOTEPEC, JALISCO.</v>
      </c>
      <c r="O477" s="541"/>
      <c r="P477" s="195">
        <f>OBRA!S477</f>
        <v>44089</v>
      </c>
      <c r="Q477" s="63">
        <f>OBRA!R477</f>
        <v>1739.9999999999998</v>
      </c>
      <c r="R477" s="474" t="str">
        <f>OBRA!T477</f>
        <v>-</v>
      </c>
      <c r="S477" s="509" t="str">
        <f>OBRA!U477</f>
        <v>-</v>
      </c>
      <c r="T477" s="692"/>
      <c r="U477" s="377" t="s">
        <v>1428</v>
      </c>
      <c r="V477" s="508"/>
      <c r="W477" s="509"/>
      <c r="X477" s="1199">
        <f>OBRA!AR477</f>
        <v>0</v>
      </c>
      <c r="Y477" s="309"/>
      <c r="Z477" s="309"/>
      <c r="AA477" s="5"/>
      <c r="AB477" s="313"/>
      <c r="AC477" s="317">
        <f>OBRA!BW477</f>
        <v>0</v>
      </c>
      <c r="AD477" s="352"/>
      <c r="AE477" s="352"/>
    </row>
    <row r="478" spans="1:31" ht="94.5" hidden="1" customHeight="1">
      <c r="A478" s="22" t="s">
        <v>45</v>
      </c>
      <c r="B478" s="809" t="str">
        <f>GRAL!B481</f>
        <v>2018-2021</v>
      </c>
      <c r="C478" s="16">
        <f>OBRA!J478</f>
        <v>2020</v>
      </c>
      <c r="D478" s="1415"/>
      <c r="E478" s="17" t="str">
        <f>OBRA!M478</f>
        <v>CUENTA CORRIENTE</v>
      </c>
      <c r="F478" s="1170"/>
      <c r="G478" s="1108"/>
      <c r="H478" s="219"/>
      <c r="I478" s="1108"/>
      <c r="J478" s="54" t="str">
        <f>OBRA!W478</f>
        <v>ING. JUAN MANUEL GARCÍA ESCOTO</v>
      </c>
      <c r="K478" s="55" t="str">
        <f>OBRA!X478</f>
        <v>ING. HECTOR JESUS HERNANDEZ</v>
      </c>
      <c r="L478" s="33" t="str">
        <f>OBRA!N478</f>
        <v>C.P.S.P. DOP 024/2020</v>
      </c>
      <c r="M478" s="2" t="str">
        <f>OBRA!O478</f>
        <v>SERVICIOS</v>
      </c>
      <c r="N478" s="3" t="str">
        <f>OBRA!P478</f>
        <v>LEVANTAMIENTO TOPOGRÁFICO DE PREDIO Y CONSTRUCCIÓN EXISTENTE EN CASA DE CULTURA UBICADO EN CALLE CARDENAL, EN LA DELEGACIÓN DE SAN JUAN COSALÁ, DEL MUNICIPIO DE JOCOTEPEC, JALISCO.</v>
      </c>
      <c r="O478" s="541"/>
      <c r="P478" s="195">
        <f>OBRA!S478</f>
        <v>44089</v>
      </c>
      <c r="Q478" s="63">
        <f>OBRA!R478</f>
        <v>2900</v>
      </c>
      <c r="R478" s="474" t="str">
        <f>OBRA!T478</f>
        <v>-</v>
      </c>
      <c r="S478" s="509" t="str">
        <f>OBRA!U478</f>
        <v>-</v>
      </c>
      <c r="T478" s="692"/>
      <c r="U478" s="377" t="s">
        <v>1428</v>
      </c>
      <c r="V478" s="508"/>
      <c r="W478" s="509"/>
      <c r="X478" s="1199">
        <f>OBRA!AR478</f>
        <v>0</v>
      </c>
      <c r="Y478" s="309"/>
      <c r="Z478" s="309"/>
      <c r="AA478" s="5"/>
      <c r="AB478" s="313"/>
      <c r="AC478" s="317">
        <f>OBRA!BW478</f>
        <v>0</v>
      </c>
      <c r="AD478" s="352"/>
      <c r="AE478" s="352"/>
    </row>
    <row r="479" spans="1:31" ht="99.75" hidden="1" customHeight="1">
      <c r="A479" s="22" t="s">
        <v>45</v>
      </c>
      <c r="B479" s="809" t="str">
        <f>GRAL!B482</f>
        <v>2018-2021</v>
      </c>
      <c r="C479" s="16">
        <f>OBRA!J479</f>
        <v>2020</v>
      </c>
      <c r="D479" s="1415"/>
      <c r="E479" s="17" t="str">
        <f>OBRA!M479</f>
        <v>CUENTA CORRIENTE</v>
      </c>
      <c r="F479" s="1170"/>
      <c r="G479" s="1108"/>
      <c r="H479" s="219"/>
      <c r="I479" s="1108"/>
      <c r="J479" s="54" t="str">
        <f>OBRA!W479</f>
        <v>ING. JUAN MANUEL GARCÍA ESCOTO</v>
      </c>
      <c r="K479" s="55" t="str">
        <f>OBRA!X479</f>
        <v>ING. HECTOR JESUS HERNANDEZ</v>
      </c>
      <c r="L479" s="33" t="str">
        <f>OBRA!N479</f>
        <v>C.P.S.P. DOP 025/2020</v>
      </c>
      <c r="M479" s="2" t="str">
        <f>OBRA!O479</f>
        <v>SERVICIOS</v>
      </c>
      <c r="N479" s="3" t="str">
        <f>OBRA!P479</f>
        <v>LEVANTAMIENTO TOPOGRÁFICO EN CALLES Y UBICACIÓN DE ÁREAS CONCESIONADAS PARA PUESTOS DEL TIANGUIS NAVIDEÑO (ZONA CENTRO), EN LA CABECERA MUNICIPAL DE JOCOTEPEC, JALISCO.</v>
      </c>
      <c r="O479" s="541"/>
      <c r="P479" s="195">
        <f>OBRA!S479</f>
        <v>44089</v>
      </c>
      <c r="Q479" s="63">
        <f>OBRA!R479</f>
        <v>2900</v>
      </c>
      <c r="R479" s="474" t="str">
        <f>OBRA!T479</f>
        <v>-</v>
      </c>
      <c r="S479" s="509" t="str">
        <f>OBRA!U479</f>
        <v>-</v>
      </c>
      <c r="T479" s="692"/>
      <c r="U479" s="377" t="s">
        <v>1428</v>
      </c>
      <c r="V479" s="508"/>
      <c r="W479" s="509"/>
      <c r="X479" s="1199">
        <f>OBRA!AR479</f>
        <v>0</v>
      </c>
      <c r="Y479" s="309"/>
      <c r="Z479" s="309"/>
      <c r="AA479" s="5"/>
      <c r="AB479" s="313"/>
      <c r="AC479" s="317">
        <f>OBRA!BW479</f>
        <v>0</v>
      </c>
      <c r="AD479" s="352"/>
      <c r="AE479" s="352"/>
    </row>
    <row r="480" spans="1:31" ht="99.75" hidden="1" customHeight="1">
      <c r="A480" s="22" t="s">
        <v>45</v>
      </c>
      <c r="B480" s="809" t="str">
        <f>GRAL!B483</f>
        <v>2018-2021</v>
      </c>
      <c r="C480" s="16">
        <f>OBRA!J480</f>
        <v>2020</v>
      </c>
      <c r="D480" s="1415"/>
      <c r="E480" s="17" t="str">
        <f>OBRA!M480</f>
        <v>CUENTA CORRIENTE</v>
      </c>
      <c r="F480" s="1170"/>
      <c r="G480" s="1108"/>
      <c r="H480" s="219"/>
      <c r="I480" s="1108"/>
      <c r="J480" s="54" t="str">
        <f>OBRA!W480</f>
        <v>ING. JUAN MANUEL GARCÍA ESCOTO</v>
      </c>
      <c r="K480" s="55" t="str">
        <f>OBRA!X480</f>
        <v>ING. HECTOR JESUS HERNANDEZ</v>
      </c>
      <c r="L480" s="33" t="str">
        <f>OBRA!N480</f>
        <v>C.P.S.P. DOP 026/2020</v>
      </c>
      <c r="M480" s="2" t="str">
        <f>OBRA!O480</f>
        <v>SERVICIOS</v>
      </c>
      <c r="N480" s="3" t="str">
        <f>OBRA!P480</f>
        <v>LEVANTAMIENTO TOPOGRÁFICO EN ÁREAS DE DONACIÓN DEL TERRENO PARA LA UBICACIÓN DEL POZO DE AGUA POTABLE, EN LA LOCALIDAD DE EL MOLINO, MUNICIPIO DE JOCOTEPEC, JALISCO.</v>
      </c>
      <c r="O480" s="541"/>
      <c r="P480" s="195">
        <f>OBRA!S480</f>
        <v>44089</v>
      </c>
      <c r="Q480" s="63">
        <f>OBRA!R480</f>
        <v>4059.9999999999995</v>
      </c>
      <c r="R480" s="474" t="str">
        <f>OBRA!T480</f>
        <v>-</v>
      </c>
      <c r="S480" s="509" t="str">
        <f>OBRA!U480</f>
        <v>-</v>
      </c>
      <c r="T480" s="692"/>
      <c r="U480" s="377" t="s">
        <v>1428</v>
      </c>
      <c r="V480" s="508"/>
      <c r="W480" s="509"/>
      <c r="X480" s="1199">
        <f>OBRA!AR480</f>
        <v>0</v>
      </c>
      <c r="Y480" s="309"/>
      <c r="Z480" s="309"/>
      <c r="AA480" s="5"/>
      <c r="AB480" s="313"/>
      <c r="AC480" s="317">
        <f>OBRA!BW480</f>
        <v>0</v>
      </c>
      <c r="AD480" s="352"/>
      <c r="AE480" s="352"/>
    </row>
    <row r="481" spans="1:31" ht="83.25" hidden="1" customHeight="1">
      <c r="A481" s="22" t="s">
        <v>45</v>
      </c>
      <c r="B481" s="809" t="str">
        <f>GRAL!B484</f>
        <v>2018-2021</v>
      </c>
      <c r="C481" s="16">
        <f>OBRA!J481</f>
        <v>2020</v>
      </c>
      <c r="D481" s="1415"/>
      <c r="E481" s="17" t="str">
        <f>OBRA!M481</f>
        <v>CUENTA CORRIENTE</v>
      </c>
      <c r="F481" s="1170"/>
      <c r="G481" s="1108"/>
      <c r="H481" s="219"/>
      <c r="I481" s="1108"/>
      <c r="J481" s="54" t="str">
        <f>OBRA!W481</f>
        <v>ING. JUAN MANUEL GARCÍA ESCOTO</v>
      </c>
      <c r="K481" s="55" t="str">
        <f>OBRA!X481</f>
        <v>ING. HECTOR JESUS HERNANDEZ</v>
      </c>
      <c r="L481" s="33" t="str">
        <f>OBRA!N481</f>
        <v>C.P.S.P. DOP 027/2020</v>
      </c>
      <c r="M481" s="2" t="str">
        <f>OBRA!O481</f>
        <v>SERVICIOS</v>
      </c>
      <c r="N481" s="3" t="str">
        <f>OBRA!P481</f>
        <v>LEVANTAMIENTO TOPOGRÁFICO DE ÁREA DE DONACIÓN DEL TERRENO PARA EL DEPÓSITO DE AGUA POTABLE, EN LA DELGACIÓN DE HUEJOTITÁN, DEL MUNICIPIO DE JOCOTEPEC, JALISCO.</v>
      </c>
      <c r="O481" s="541"/>
      <c r="P481" s="195">
        <f>OBRA!S481</f>
        <v>44089</v>
      </c>
      <c r="Q481" s="63">
        <f>OBRA!R481</f>
        <v>3711.9999999999995</v>
      </c>
      <c r="R481" s="474" t="str">
        <f>OBRA!T481</f>
        <v>-</v>
      </c>
      <c r="S481" s="509" t="str">
        <f>OBRA!U481</f>
        <v>-</v>
      </c>
      <c r="T481" s="692"/>
      <c r="U481" s="377" t="s">
        <v>1428</v>
      </c>
      <c r="V481" s="508"/>
      <c r="W481" s="509"/>
      <c r="X481" s="1199">
        <f>OBRA!AR481</f>
        <v>0</v>
      </c>
      <c r="Y481" s="309"/>
      <c r="Z481" s="309"/>
      <c r="AA481" s="5"/>
      <c r="AB481" s="313"/>
      <c r="AC481" s="317">
        <f>OBRA!BW481</f>
        <v>0</v>
      </c>
      <c r="AD481" s="352"/>
      <c r="AE481" s="352"/>
    </row>
    <row r="482" spans="1:31" ht="111.75" hidden="1" customHeight="1">
      <c r="A482" s="22" t="s">
        <v>45</v>
      </c>
      <c r="B482" s="809" t="str">
        <f>GRAL!B485</f>
        <v>2018-2021</v>
      </c>
      <c r="C482" s="16">
        <f>OBRA!J482</f>
        <v>2020</v>
      </c>
      <c r="D482" s="1415"/>
      <c r="E482" s="17" t="str">
        <f>OBRA!M482</f>
        <v>CUENTA CORRIENTE</v>
      </c>
      <c r="F482" s="1170"/>
      <c r="G482" s="1108"/>
      <c r="H482" s="219"/>
      <c r="I482" s="1108"/>
      <c r="J482" s="54" t="str">
        <f>OBRA!W482</f>
        <v>ING. JUAN MANUEL GARCÍA ESCOTO</v>
      </c>
      <c r="K482" s="55" t="str">
        <f>OBRA!X482</f>
        <v>ING. HECTOR JESUS HERNANDEZ</v>
      </c>
      <c r="L482" s="33" t="str">
        <f>OBRA!N482</f>
        <v>C.P.S.P. DOP 028/2020</v>
      </c>
      <c r="M482" s="2" t="str">
        <f>OBRA!O482</f>
        <v>SERVICIOS</v>
      </c>
      <c r="N482" s="3" t="str">
        <f>OBRA!P482</f>
        <v>LEVANAMIENTO TOPOGRÁFICO DE ÁREAS Y LÍMITES DE PROPIEDAD DEL CAMINO PROLONGACIÓN CALLE MATAMOROS DE DONATO QUERRA HASTA INGRESO AL FRACCIONAMIENTO ROCA AZUL, EN LA CABECERA MUNICIPAL DE JOCOTEPEC, JALISCO.</v>
      </c>
      <c r="O482" s="541"/>
      <c r="P482" s="195">
        <f>OBRA!S482</f>
        <v>44089</v>
      </c>
      <c r="Q482" s="63">
        <f>OBRA!R482</f>
        <v>9860</v>
      </c>
      <c r="R482" s="474" t="str">
        <f>OBRA!T482</f>
        <v>-</v>
      </c>
      <c r="S482" s="509" t="str">
        <f>OBRA!U482</f>
        <v>-</v>
      </c>
      <c r="T482" s="692"/>
      <c r="U482" s="377" t="s">
        <v>1428</v>
      </c>
      <c r="V482" s="508"/>
      <c r="W482" s="509"/>
      <c r="X482" s="1199">
        <f>OBRA!AR482</f>
        <v>0</v>
      </c>
      <c r="Y482" s="309"/>
      <c r="Z482" s="309"/>
      <c r="AA482" s="5"/>
      <c r="AB482" s="313"/>
      <c r="AC482" s="317">
        <f>OBRA!BW482</f>
        <v>0</v>
      </c>
      <c r="AD482" s="352"/>
      <c r="AE482" s="352"/>
    </row>
    <row r="483" spans="1:31" ht="39.75" hidden="1" customHeight="1">
      <c r="A483" s="22" t="s">
        <v>45</v>
      </c>
      <c r="B483" s="809" t="str">
        <f>GRAL!B486</f>
        <v>2018-2021</v>
      </c>
      <c r="C483" s="16">
        <f>OBRA!J483</f>
        <v>2020</v>
      </c>
      <c r="D483" s="1415"/>
      <c r="E483" s="17" t="str">
        <f>OBRA!M483</f>
        <v>CUENTA CORRIENTE</v>
      </c>
      <c r="F483" s="1170"/>
      <c r="G483" s="1108"/>
      <c r="H483" s="219"/>
      <c r="I483" s="1108"/>
      <c r="J483" s="1200" t="str">
        <f>OBRA!W483</f>
        <v>ING. JUAN MANUEL GARCÍA ESCOTO</v>
      </c>
      <c r="K483" s="1088">
        <f>OBRA!X483</f>
        <v>0</v>
      </c>
      <c r="L483" s="33" t="str">
        <f>OBRA!N483</f>
        <v>C.P.S.P. DOP 029/2020</v>
      </c>
      <c r="M483" s="2" t="str">
        <f>OBRA!O483</f>
        <v>CANCELADA</v>
      </c>
      <c r="N483" s="541" t="str">
        <f>OBRA!P483</f>
        <v>CONTRATO CANCELADO</v>
      </c>
      <c r="O483" s="541"/>
      <c r="P483" s="195">
        <f>OBRA!S483</f>
        <v>0</v>
      </c>
      <c r="Q483" s="63">
        <f>OBRA!R483</f>
        <v>0</v>
      </c>
      <c r="R483" s="474" t="str">
        <f>OBRA!T483</f>
        <v>-</v>
      </c>
      <c r="S483" s="509" t="str">
        <f>OBRA!U483</f>
        <v>-</v>
      </c>
      <c r="T483" s="692"/>
      <c r="U483" s="377" t="s">
        <v>1428</v>
      </c>
      <c r="V483" s="508"/>
      <c r="W483" s="509"/>
      <c r="X483" s="1199">
        <f>OBRA!AR483</f>
        <v>0</v>
      </c>
      <c r="Y483" s="309"/>
      <c r="Z483" s="309"/>
      <c r="AA483" s="5"/>
      <c r="AB483" s="313"/>
      <c r="AC483" s="317">
        <f>OBRA!BW483</f>
        <v>0</v>
      </c>
      <c r="AD483" s="352"/>
      <c r="AE483" s="352"/>
    </row>
    <row r="484" spans="1:31" ht="101.25" hidden="1" customHeight="1">
      <c r="A484" s="22" t="s">
        <v>45</v>
      </c>
      <c r="B484" s="809" t="str">
        <f>GRAL!B487</f>
        <v>2018-2021</v>
      </c>
      <c r="C484" s="16">
        <f>OBRA!J484</f>
        <v>2020</v>
      </c>
      <c r="D484" s="1415"/>
      <c r="E484" s="17" t="str">
        <f>OBRA!M484</f>
        <v>CUENTA CORRIENTE</v>
      </c>
      <c r="F484" s="1170"/>
      <c r="G484" s="1108"/>
      <c r="H484" s="219"/>
      <c r="I484" s="1108"/>
      <c r="J484" s="54" t="str">
        <f>OBRA!W484</f>
        <v>ING. JUAN MANUEL GARCÍA ESCOTO</v>
      </c>
      <c r="K484" s="55" t="str">
        <f>OBRA!X484</f>
        <v>ING. HECTOR JESUS HERNANDEZ</v>
      </c>
      <c r="L484" s="33" t="str">
        <f>OBRA!N484</f>
        <v>C.P.S.P. DOP 030/2020</v>
      </c>
      <c r="M484" s="2" t="str">
        <f>OBRA!O484</f>
        <v>SERVICIOS</v>
      </c>
      <c r="N484" s="3" t="str">
        <f>OBRA!P484</f>
        <v>LEVANTAMIENTO TOPOGRÁFICO DE ÁREA DEL PREDIO DEL VERTEDERO MUNICIPAL, UBICADO EN EL EJIDO DE LA LOMA DEL MUNICIPIO DE JOCOTEPEC, JALISCO.</v>
      </c>
      <c r="O484" s="541"/>
      <c r="P484" s="195">
        <f>OBRA!S484</f>
        <v>44089</v>
      </c>
      <c r="Q484" s="63">
        <f>OBRA!R484</f>
        <v>9280</v>
      </c>
      <c r="R484" s="474" t="str">
        <f>OBRA!T484</f>
        <v>-</v>
      </c>
      <c r="S484" s="509" t="str">
        <f>OBRA!U484</f>
        <v>-</v>
      </c>
      <c r="T484" s="692"/>
      <c r="U484" s="377" t="s">
        <v>1428</v>
      </c>
      <c r="V484" s="508"/>
      <c r="W484" s="509"/>
      <c r="X484" s="1199">
        <f>OBRA!AR484</f>
        <v>0</v>
      </c>
      <c r="Y484" s="309"/>
      <c r="Z484" s="309"/>
      <c r="AA484" s="5"/>
      <c r="AB484" s="313"/>
      <c r="AC484" s="317">
        <f>OBRA!BW484</f>
        <v>0</v>
      </c>
      <c r="AD484" s="352"/>
      <c r="AE484" s="352"/>
    </row>
    <row r="485" spans="1:31" ht="96" hidden="1" customHeight="1">
      <c r="A485" s="22" t="s">
        <v>45</v>
      </c>
      <c r="B485" s="809" t="str">
        <f>GRAL!B488</f>
        <v>2018-2021</v>
      </c>
      <c r="C485" s="16">
        <f>OBRA!J485</f>
        <v>2020</v>
      </c>
      <c r="D485" s="1415"/>
      <c r="E485" s="17" t="str">
        <f>OBRA!M485</f>
        <v>CUENTA CORRIENTE</v>
      </c>
      <c r="F485" s="1170"/>
      <c r="G485" s="1108"/>
      <c r="H485" s="219"/>
      <c r="I485" s="1108"/>
      <c r="J485" s="54" t="str">
        <f>OBRA!W485</f>
        <v>ING. JUAN MANUEL GARCÍA ESCOTO</v>
      </c>
      <c r="K485" s="55" t="str">
        <f>OBRA!X485</f>
        <v>ING. HECTOR JESUS HERNANDEZ</v>
      </c>
      <c r="L485" s="33" t="str">
        <f>OBRA!N485</f>
        <v>C.P.S.P. DOP 031/2020</v>
      </c>
      <c r="M485" s="2" t="str">
        <f>OBRA!O485</f>
        <v>SERVICIOS</v>
      </c>
      <c r="N485" s="3" t="str">
        <f>OBRA!P485</f>
        <v>LEVANTAMIENTO TOPOGRÁFICO DE ÁREA Y LÍMITES DE PROPIEDAD EN CALLE 5 DE MAYO ENTRE AV. DE LA CRUZ Y AV. DEL PARQUE, EN LA DELEGACIÓN DE HUEJOTITÁN DEL MUNICIPIO DE JOCOTEPEC, JALISCO.</v>
      </c>
      <c r="O485" s="541"/>
      <c r="P485" s="195">
        <f>OBRA!S485</f>
        <v>44089</v>
      </c>
      <c r="Q485" s="63">
        <f>OBRA!R485</f>
        <v>5220</v>
      </c>
      <c r="R485" s="474" t="str">
        <f>OBRA!T485</f>
        <v>-</v>
      </c>
      <c r="S485" s="509" t="str">
        <f>OBRA!U485</f>
        <v>-</v>
      </c>
      <c r="T485" s="692"/>
      <c r="U485" s="377" t="s">
        <v>1428</v>
      </c>
      <c r="V485" s="508"/>
      <c r="W485" s="509"/>
      <c r="X485" s="1199">
        <f>OBRA!AR485</f>
        <v>0</v>
      </c>
      <c r="Y485" s="309"/>
      <c r="Z485" s="309"/>
      <c r="AA485" s="5"/>
      <c r="AB485" s="313"/>
      <c r="AC485" s="317">
        <f>OBRA!BW485</f>
        <v>0</v>
      </c>
      <c r="AD485" s="352"/>
      <c r="AE485" s="352"/>
    </row>
    <row r="486" spans="1:31" ht="98.25" hidden="1" customHeight="1">
      <c r="A486" s="22" t="s">
        <v>45</v>
      </c>
      <c r="B486" s="809" t="str">
        <f>GRAL!B489</f>
        <v>2018-2021</v>
      </c>
      <c r="C486" s="16">
        <f>OBRA!J486</f>
        <v>2020</v>
      </c>
      <c r="D486" s="1415"/>
      <c r="E486" s="17" t="str">
        <f>OBRA!M486</f>
        <v>CUENTA CORRIENTE</v>
      </c>
      <c r="F486" s="1170"/>
      <c r="G486" s="1108"/>
      <c r="H486" s="219"/>
      <c r="I486" s="1108"/>
      <c r="J486" s="54" t="str">
        <f>OBRA!W486</f>
        <v>ING. JUAN MANUEL GARCÍA ESCOTO</v>
      </c>
      <c r="K486" s="55" t="str">
        <f>OBRA!X486</f>
        <v>ING. HECTOR JESUS HERNANDEZ</v>
      </c>
      <c r="L486" s="33" t="str">
        <f>OBRA!N486</f>
        <v>C.P.S.P. DOP 032/2020</v>
      </c>
      <c r="M486" s="2" t="str">
        <f>OBRA!O486</f>
        <v>SERVICIOS</v>
      </c>
      <c r="N486" s="3" t="str">
        <f>OBRA!P486</f>
        <v>LEVANTAMIENTO TOPOGRÁFICO DE PREDIO Y ÁREA DE UNIDAD DEPORTIVA SUR PARA EL PROYECTO "POLIDEPORTIVO" UBICADO EN CALLE DONATO GUERRA, EN LA CABECERA MUNICIPAL DE JOCOTEPEC, JALISCO.</v>
      </c>
      <c r="O486" s="541"/>
      <c r="P486" s="195">
        <f>OBRA!S486</f>
        <v>44089</v>
      </c>
      <c r="Q486" s="63">
        <f>OBRA!R486</f>
        <v>9860</v>
      </c>
      <c r="R486" s="474" t="str">
        <f>OBRA!T486</f>
        <v>-</v>
      </c>
      <c r="S486" s="509" t="str">
        <f>OBRA!U486</f>
        <v>-</v>
      </c>
      <c r="T486" s="692"/>
      <c r="U486" s="377" t="s">
        <v>1428</v>
      </c>
      <c r="V486" s="508"/>
      <c r="W486" s="509"/>
      <c r="X486" s="1199">
        <f>OBRA!AR486</f>
        <v>0</v>
      </c>
      <c r="Y486" s="309"/>
      <c r="Z486" s="309"/>
      <c r="AA486" s="5"/>
      <c r="AB486" s="313"/>
      <c r="AC486" s="317">
        <f>OBRA!BW486</f>
        <v>0</v>
      </c>
      <c r="AD486" s="352"/>
      <c r="AE486" s="352"/>
    </row>
    <row r="487" spans="1:31" ht="87.75" hidden="1" customHeight="1">
      <c r="A487" s="22" t="s">
        <v>45</v>
      </c>
      <c r="B487" s="809" t="str">
        <f>GRAL!B490</f>
        <v>2018-2021</v>
      </c>
      <c r="C487" s="16">
        <f>OBRA!J487</f>
        <v>2020</v>
      </c>
      <c r="D487" s="1415"/>
      <c r="E487" s="17" t="str">
        <f>OBRA!M487</f>
        <v>CUENTA CORRIENTE</v>
      </c>
      <c r="F487" s="1170"/>
      <c r="G487" s="1108"/>
      <c r="H487" s="219"/>
      <c r="I487" s="1108"/>
      <c r="J487" s="54" t="str">
        <f>OBRA!W487</f>
        <v>ING. JUAN MANUEL GARCÍA ESCOTO</v>
      </c>
      <c r="K487" s="55" t="str">
        <f>OBRA!X487</f>
        <v>ING. HECTOR JESUS HERNANDEZ</v>
      </c>
      <c r="L487" s="33" t="str">
        <f>OBRA!N487</f>
        <v>C.P.S.P. DOP 033/2020</v>
      </c>
      <c r="M487" s="2" t="str">
        <f>OBRA!O487</f>
        <v>SERVICIOS</v>
      </c>
      <c r="N487" s="3" t="str">
        <f>OBRA!P487</f>
        <v>LEVANTAMIENTO TOPOGRÁFICO DE ÁREAS Y LÍMITES DE PROPIEDAD DE LA CALLE HIDALGO SUR DE CALLE DONATO GUERRA AL ARROYO, EN LA CABECERA MUNICIPAL DE JOCOTEPEC, JALISCO.</v>
      </c>
      <c r="O487" s="541"/>
      <c r="P487" s="195">
        <f>OBRA!S487</f>
        <v>44089</v>
      </c>
      <c r="Q487" s="63">
        <f>OBRA!R487</f>
        <v>4059.9999999999995</v>
      </c>
      <c r="R487" s="474" t="str">
        <f>OBRA!T487</f>
        <v>-</v>
      </c>
      <c r="S487" s="509" t="str">
        <f>OBRA!U487</f>
        <v>-</v>
      </c>
      <c r="T487" s="692"/>
      <c r="U487" s="377" t="s">
        <v>1428</v>
      </c>
      <c r="V487" s="508"/>
      <c r="W487" s="509"/>
      <c r="X487" s="1199">
        <f>OBRA!AR487</f>
        <v>0</v>
      </c>
      <c r="Y487" s="309"/>
      <c r="Z487" s="309"/>
      <c r="AA487" s="5"/>
      <c r="AB487" s="313"/>
      <c r="AC487" s="317">
        <f>OBRA!BW487</f>
        <v>0</v>
      </c>
      <c r="AD487" s="352"/>
      <c r="AE487" s="352"/>
    </row>
    <row r="488" spans="1:31" ht="98.25" hidden="1" customHeight="1">
      <c r="A488" s="22" t="s">
        <v>2206</v>
      </c>
      <c r="B488" s="809" t="str">
        <f>GRAL!B491</f>
        <v>2018-2021</v>
      </c>
      <c r="C488" s="16">
        <f>OBRA!J488</f>
        <v>2020</v>
      </c>
      <c r="D488" s="1415"/>
      <c r="E488" s="17" t="str">
        <f>OBRA!M488</f>
        <v>CUENTA CORRIENTE</v>
      </c>
      <c r="F488" s="478" t="s">
        <v>1428</v>
      </c>
      <c r="G488" s="496" t="s">
        <v>3510</v>
      </c>
      <c r="H488" s="495" t="s">
        <v>3510</v>
      </c>
      <c r="I488" s="496" t="s">
        <v>3510</v>
      </c>
      <c r="J488" s="54" t="str">
        <f>OBRA!W488</f>
        <v xml:space="preserve">GRUPO CONSTRUCTOR PAVIMAQ, S.A. DE C.V. </v>
      </c>
      <c r="K488" s="55" t="str">
        <f>OBRA!X488</f>
        <v>ARQ. CESAR ANTONIO ALONSO JIMENEZ</v>
      </c>
      <c r="L488" s="33" t="str">
        <f>OBRA!N488</f>
        <v>GMJ 001C- OP/2020</v>
      </c>
      <c r="M488" s="2" t="str">
        <f>OBRA!O488</f>
        <v>ADJUDICACIÓN DIRECTA</v>
      </c>
      <c r="N488" s="3" t="str">
        <f>OBRA!P488</f>
        <v>CONSTRUCCIÓN DE LÍNEAS DE DRENAJE SANITARIO Y DRENAJE PLUVIAL EN LA CALLE RODRIGO DE TRIANA" EN LA CABECERA MUNICIPAL DE JOCOTEPEC, JALISCO".</v>
      </c>
      <c r="O488" s="504" t="s">
        <v>3502</v>
      </c>
      <c r="P488" s="6">
        <f>OBRA!S488</f>
        <v>43894</v>
      </c>
      <c r="Q488" s="4">
        <f>OBRA!R488</f>
        <v>156714.98000000001</v>
      </c>
      <c r="R488" s="5">
        <f>OBRA!T488</f>
        <v>43894</v>
      </c>
      <c r="S488" s="11">
        <f>OBRA!U488</f>
        <v>43960</v>
      </c>
      <c r="T488" s="207" t="s">
        <v>3815</v>
      </c>
      <c r="U488" s="62" t="s">
        <v>1428</v>
      </c>
      <c r="V488" s="499" t="s">
        <v>3510</v>
      </c>
      <c r="W488" s="1231"/>
      <c r="X488" s="986">
        <f>OBRA!AR488</f>
        <v>31343</v>
      </c>
      <c r="Y488" s="309"/>
      <c r="Z488" s="309"/>
      <c r="AA488" s="5"/>
      <c r="AB488" s="313"/>
      <c r="AC488" s="317">
        <f>OBRA!BW488</f>
        <v>0</v>
      </c>
      <c r="AD488" s="1281" t="s">
        <v>3664</v>
      </c>
      <c r="AE488" s="352"/>
    </row>
    <row r="489" spans="1:31" ht="102.75" hidden="1" customHeight="1">
      <c r="A489" s="22" t="s">
        <v>2206</v>
      </c>
      <c r="B489" s="809" t="str">
        <f>GRAL!B492</f>
        <v>2018-2021</v>
      </c>
      <c r="C489" s="16">
        <f>OBRA!J489</f>
        <v>2020</v>
      </c>
      <c r="D489" s="1415"/>
      <c r="E489" s="17" t="str">
        <f>OBRA!M489</f>
        <v>RAMO 33</v>
      </c>
      <c r="F489" s="478" t="s">
        <v>1428</v>
      </c>
      <c r="G489" s="496" t="s">
        <v>3511</v>
      </c>
      <c r="H489" s="495" t="s">
        <v>3511</v>
      </c>
      <c r="I489" s="496" t="s">
        <v>3511</v>
      </c>
      <c r="J489" s="54" t="str">
        <f>OBRA!W489</f>
        <v>ING. OCTAVIO AUGUSTO GONZALEZ TREJO</v>
      </c>
      <c r="K489" s="55" t="str">
        <f>OBRA!X489</f>
        <v>LIC. SALVADOR CONTRERAS OLGUÍN</v>
      </c>
      <c r="L489" s="33" t="str">
        <f>OBRA!N489</f>
        <v>GMJ 002C- OP/2020</v>
      </c>
      <c r="M489" s="2" t="str">
        <f>OBRA!O489</f>
        <v>ADJUDICACIÓN DIRECTA</v>
      </c>
      <c r="N489" s="3" t="str">
        <f>OBRA!P489</f>
        <v>"CONSTRUCCIÓN DE EMPEDRADO NORMAL CON HUELLAS DE ADOQUÍN EN CALLE CUAUHTÉMOC 3ERA. ETAPA DE CARCAMO A 160 ML AL ORIENTE" EN LA DELEGACIÓN DE CHANTEPEC, MUNICIPIO DE JOCOTEPEC, JALISCO.</v>
      </c>
      <c r="O489" s="504" t="s">
        <v>3502</v>
      </c>
      <c r="P489" s="67">
        <f>OBRA!S489</f>
        <v>43936</v>
      </c>
      <c r="Q489" s="79">
        <f>OBRA!R489</f>
        <v>654632.78</v>
      </c>
      <c r="R489" s="5">
        <f>OBRA!T489</f>
        <v>43937</v>
      </c>
      <c r="S489" s="11">
        <f>OBRA!U489</f>
        <v>43958</v>
      </c>
      <c r="T489" s="1352" t="s">
        <v>3816</v>
      </c>
      <c r="U489" s="62" t="s">
        <v>1428</v>
      </c>
      <c r="V489" s="499" t="s">
        <v>3511</v>
      </c>
      <c r="W489" s="597" t="s">
        <v>3511</v>
      </c>
      <c r="X489" s="988">
        <f>OBRA!AR489</f>
        <v>130926.54</v>
      </c>
      <c r="Y489" s="309"/>
      <c r="Z489" s="309"/>
      <c r="AA489" s="5"/>
      <c r="AB489" s="313"/>
      <c r="AC489" s="317">
        <f>OBRA!BW489</f>
        <v>0</v>
      </c>
      <c r="AD489" s="1"/>
      <c r="AE489" s="352" t="s">
        <v>551</v>
      </c>
    </row>
    <row r="490" spans="1:31" ht="93.75" hidden="1" customHeight="1">
      <c r="A490" s="22" t="s">
        <v>2206</v>
      </c>
      <c r="B490" s="809" t="str">
        <f>GRAL!B493</f>
        <v>2018-2021</v>
      </c>
      <c r="C490" s="16">
        <f>OBRA!J490</f>
        <v>2020</v>
      </c>
      <c r="D490" s="1415"/>
      <c r="E490" s="17" t="str">
        <f>OBRA!M490</f>
        <v>RAMO 33</v>
      </c>
      <c r="F490" s="478" t="s">
        <v>1428</v>
      </c>
      <c r="G490" s="496" t="s">
        <v>3517</v>
      </c>
      <c r="H490" s="495" t="s">
        <v>3517</v>
      </c>
      <c r="I490" s="496" t="s">
        <v>3517</v>
      </c>
      <c r="J490" s="54" t="str">
        <f>OBRA!W490</f>
        <v>GRUPO CONSTRUCTOR EDVI S.A. DE C.V.</v>
      </c>
      <c r="K490" s="55" t="str">
        <f>OBRA!X490</f>
        <v>ARQ. CESAR ANTONIO ALONSO JIMENEZ</v>
      </c>
      <c r="L490" s="33" t="str">
        <f>OBRA!N490</f>
        <v>GMJ 003C- OP/2020</v>
      </c>
      <c r="M490" s="2" t="str">
        <f>OBRA!O490</f>
        <v>ADJUDICACIÓN DIRECTA</v>
      </c>
      <c r="N490" s="3" t="str">
        <f>OBRA!P490</f>
        <v>"CONSTRUCCIÓN DE EMPEDRADO NORMAL CON HUELLAS DE CONCRETO EN CALLE LIBERTAD DE RICO A CRISTÓBAL COLÓN" EN LA LOCALIDAD DE NEXTIPAC, MUNICIPIO DE JOCOTEPEC, JALISCO</v>
      </c>
      <c r="O490" s="504" t="s">
        <v>3502</v>
      </c>
      <c r="P490" s="67">
        <f>OBRA!S490</f>
        <v>43948</v>
      </c>
      <c r="Q490" s="79">
        <f>OBRA!R490</f>
        <v>248927.96</v>
      </c>
      <c r="R490" s="5">
        <f>OBRA!T490</f>
        <v>43949</v>
      </c>
      <c r="S490" s="11">
        <f>OBRA!U490</f>
        <v>43980</v>
      </c>
      <c r="T490" s="1352" t="s">
        <v>3816</v>
      </c>
      <c r="U490" s="62" t="s">
        <v>1428</v>
      </c>
      <c r="V490" s="499" t="s">
        <v>3517</v>
      </c>
      <c r="W490" s="597" t="s">
        <v>3517</v>
      </c>
      <c r="X490" s="988">
        <f>OBRA!AR490</f>
        <v>188222.83000000002</v>
      </c>
      <c r="Y490" s="309"/>
      <c r="Z490" s="309"/>
      <c r="AA490" s="5"/>
      <c r="AB490" s="313"/>
      <c r="AC490" s="317">
        <f>OBRA!BW490</f>
        <v>0</v>
      </c>
      <c r="AD490" s="1"/>
      <c r="AE490" s="352" t="s">
        <v>551</v>
      </c>
    </row>
    <row r="491" spans="1:31" ht="90.75" hidden="1" customHeight="1">
      <c r="A491" s="22" t="s">
        <v>2206</v>
      </c>
      <c r="B491" s="809" t="str">
        <f>GRAL!B494</f>
        <v>2018-2021</v>
      </c>
      <c r="C491" s="16">
        <f>OBRA!J491</f>
        <v>2020</v>
      </c>
      <c r="D491" s="1415"/>
      <c r="E491" s="17" t="str">
        <f>OBRA!M491</f>
        <v>RAMO 33</v>
      </c>
      <c r="F491" s="478" t="s">
        <v>1428</v>
      </c>
      <c r="G491" s="496" t="s">
        <v>3515</v>
      </c>
      <c r="H491" s="495" t="s">
        <v>3515</v>
      </c>
      <c r="I491" s="496" t="s">
        <v>3515</v>
      </c>
      <c r="J491" s="54" t="str">
        <f>OBRA!W491</f>
        <v>SERVICIO Y CONSTRUCCIÓN NATENIO S.A. DE C.V.</v>
      </c>
      <c r="K491" s="55" t="str">
        <f>OBRA!X491</f>
        <v>ARQ. JAIME CONDE GOMEZ</v>
      </c>
      <c r="L491" s="33" t="str">
        <f>OBRA!N491</f>
        <v>GMJ 004C- OP/2020</v>
      </c>
      <c r="M491" s="2" t="str">
        <f>OBRA!O491</f>
        <v>ADJUDICACIÓN DIRECTA</v>
      </c>
      <c r="N491" s="3" t="str">
        <f>OBRA!P491</f>
        <v>"CONSTRUCCIÓN DE EMPEDRADO AHOGADO EN CEMENTO CON HUELLAS DE CONCRETO EN CALLE PADRE ADALBERTO MACIAS" EN LA CABECERA MUNICIPAL DE JOCOTEPEC, JALISCO.</v>
      </c>
      <c r="O491" s="504" t="s">
        <v>3502</v>
      </c>
      <c r="P491" s="6">
        <f>OBRA!S491</f>
        <v>43951</v>
      </c>
      <c r="Q491" s="4">
        <f>OBRA!R491</f>
        <v>1010980.5</v>
      </c>
      <c r="R491" s="5">
        <f>OBRA!T491</f>
        <v>43962</v>
      </c>
      <c r="S491" s="11">
        <f>OBRA!U491</f>
        <v>44054</v>
      </c>
      <c r="T491" s="1352" t="s">
        <v>3816</v>
      </c>
      <c r="U491" s="377" t="s">
        <v>1428</v>
      </c>
      <c r="V491" s="535"/>
      <c r="W491" s="437"/>
      <c r="X491" s="988">
        <f>OBRA!AR491</f>
        <v>454941.22</v>
      </c>
      <c r="Y491" s="309"/>
      <c r="Z491" s="309"/>
      <c r="AA491" s="5"/>
      <c r="AB491" s="313"/>
      <c r="AC491" s="317">
        <f>OBRA!BW491</f>
        <v>0</v>
      </c>
      <c r="AD491" s="1281" t="s">
        <v>3664</v>
      </c>
      <c r="AE491" s="352"/>
    </row>
    <row r="492" spans="1:31" ht="86.25" hidden="1" customHeight="1">
      <c r="A492" s="22" t="s">
        <v>2206</v>
      </c>
      <c r="B492" s="809" t="str">
        <f>GRAL!B495</f>
        <v>2018-2021</v>
      </c>
      <c r="C492" s="16">
        <f>OBRA!J492</f>
        <v>2020</v>
      </c>
      <c r="D492" s="1415"/>
      <c r="E492" s="17" t="str">
        <f>OBRA!M492</f>
        <v>RAMO 33</v>
      </c>
      <c r="F492" s="478" t="s">
        <v>1428</v>
      </c>
      <c r="G492" s="496" t="s">
        <v>3509</v>
      </c>
      <c r="H492" s="524" t="s">
        <v>3509</v>
      </c>
      <c r="I492" s="496" t="s">
        <v>3509</v>
      </c>
      <c r="J492" s="54" t="str">
        <f>OBRA!W492</f>
        <v>GRUPO CONSTRUCTOR EDVI SA DE CV</v>
      </c>
      <c r="K492" s="55" t="str">
        <f>OBRA!X492</f>
        <v>ARQ. CESAR ANTONIO ALONSO JIMENEZ</v>
      </c>
      <c r="L492" s="33" t="str">
        <f>OBRA!N492</f>
        <v>GMJ 005C- OP/2020</v>
      </c>
      <c r="M492" s="2" t="str">
        <f>OBRA!O492</f>
        <v>ADJUDICACIÓN DIRECTA</v>
      </c>
      <c r="N492" s="3" t="str">
        <f>OBRA!P492</f>
        <v>"CONSTRUCCIÓN DE LÍNEA DE DRENAJE SANITARIO EN CALLE LIBERTAD DE RICO A CRISTOBAL COLON" EN LA LOCALIDAD DE NEXTIPAC, MUNICIPIO DE JOCOTEPEC, JALISCO.</v>
      </c>
      <c r="O492" s="504" t="s">
        <v>3502</v>
      </c>
      <c r="P492" s="67">
        <f>OBRA!S492</f>
        <v>43948</v>
      </c>
      <c r="Q492" s="79">
        <f>OBRA!R492</f>
        <v>125624.96000000001</v>
      </c>
      <c r="R492" s="5">
        <f>OBRA!T492</f>
        <v>43949</v>
      </c>
      <c r="S492" s="11">
        <f>OBRA!U492</f>
        <v>43980</v>
      </c>
      <c r="T492" s="1352" t="s">
        <v>3816</v>
      </c>
      <c r="U492" s="62" t="s">
        <v>1428</v>
      </c>
      <c r="V492" s="499" t="s">
        <v>3509</v>
      </c>
      <c r="W492" s="597" t="s">
        <v>3509</v>
      </c>
      <c r="X492" s="988">
        <f>OBRA!AR492</f>
        <v>25124.98</v>
      </c>
      <c r="Y492" s="309"/>
      <c r="Z492" s="309"/>
      <c r="AA492" s="5"/>
      <c r="AB492" s="313"/>
      <c r="AC492" s="317">
        <f>OBRA!BW492</f>
        <v>0</v>
      </c>
      <c r="AD492" s="1"/>
      <c r="AE492" s="352" t="s">
        <v>551</v>
      </c>
    </row>
    <row r="493" spans="1:31" ht="107.25" hidden="1" customHeight="1">
      <c r="A493" s="22" t="s">
        <v>2206</v>
      </c>
      <c r="B493" s="809" t="str">
        <f>GRAL!B496</f>
        <v>2018-2021</v>
      </c>
      <c r="C493" s="16">
        <f>OBRA!J493</f>
        <v>2020</v>
      </c>
      <c r="D493" s="1415"/>
      <c r="E493" s="17" t="str">
        <f>OBRA!M493</f>
        <v>RAMO 33</v>
      </c>
      <c r="F493" s="478" t="s">
        <v>1428</v>
      </c>
      <c r="G493" s="502" t="s">
        <v>3524</v>
      </c>
      <c r="H493" s="524" t="s">
        <v>3524</v>
      </c>
      <c r="I493" s="502" t="s">
        <v>3524</v>
      </c>
      <c r="J493" s="54" t="str">
        <f>OBRA!W493</f>
        <v>SONAYBER INGENIERIA Y CONSTRUCCIONES S.A. DE C.V.</v>
      </c>
      <c r="K493" s="55" t="str">
        <f>OBRA!X493</f>
        <v>ING. J. GUADALUPE IBARRA RAMIREZ</v>
      </c>
      <c r="L493" s="33" t="str">
        <f>OBRA!N493</f>
        <v>GMJ 006C- OP/2020</v>
      </c>
      <c r="M493" s="2" t="str">
        <f>OBRA!O493</f>
        <v>ADJUDICACIÓN DIRECTA</v>
      </c>
      <c r="N493" s="3" t="str">
        <f>OBRA!P493</f>
        <v>REHABILITACIÓN DE REDES HIDROSANITARIAS Y SUPERFICIE DE RODAMIENTO EN LA CALLE NICÓLAS BRAVO ENTRE CALLE ALDAMA Y CALLE LOS ANGELES" DE LA CABECERA MUNICIPAL, DE JOCOTEPEC, JALISCO.</v>
      </c>
      <c r="O493" s="504" t="s">
        <v>3502</v>
      </c>
      <c r="P493" s="67">
        <f>OBRA!S493</f>
        <v>43977</v>
      </c>
      <c r="Q493" s="79">
        <f>OBRA!R493</f>
        <v>965741.4</v>
      </c>
      <c r="R493" s="5">
        <f>OBRA!T493</f>
        <v>43984</v>
      </c>
      <c r="S493" s="11">
        <f>OBRA!U493</f>
        <v>44040</v>
      </c>
      <c r="T493" s="1352" t="s">
        <v>3816</v>
      </c>
      <c r="U493" s="62" t="s">
        <v>1428</v>
      </c>
      <c r="V493" s="499" t="s">
        <v>3524</v>
      </c>
      <c r="W493" s="597" t="s">
        <v>3524</v>
      </c>
      <c r="X493" s="988">
        <f>OBRA!AR493</f>
        <v>434583.63</v>
      </c>
      <c r="Y493" s="309"/>
      <c r="Z493" s="309"/>
      <c r="AA493" s="5"/>
      <c r="AB493" s="313"/>
      <c r="AC493" s="317">
        <f>OBRA!BW493</f>
        <v>0</v>
      </c>
      <c r="AD493" s="1"/>
      <c r="AE493" s="352" t="s">
        <v>551</v>
      </c>
    </row>
    <row r="494" spans="1:31" ht="112.5" hidden="1" customHeight="1">
      <c r="A494" s="22" t="s">
        <v>2206</v>
      </c>
      <c r="B494" s="809" t="str">
        <f>GRAL!B497</f>
        <v>2018-2021</v>
      </c>
      <c r="C494" s="16">
        <f>OBRA!J494</f>
        <v>2020</v>
      </c>
      <c r="D494" s="1415"/>
      <c r="E494" s="17" t="str">
        <f>OBRA!M494</f>
        <v>RAMO 33</v>
      </c>
      <c r="F494" s="478" t="s">
        <v>1428</v>
      </c>
      <c r="G494" s="502" t="s">
        <v>3525</v>
      </c>
      <c r="H494" s="524" t="s">
        <v>3525</v>
      </c>
      <c r="I494" s="502" t="s">
        <v>3525</v>
      </c>
      <c r="J494" s="54" t="str">
        <f>OBRA!W494</f>
        <v>SONAYBER INGENIERIA Y CONSTRUCCIONES S.A. DE C.V.</v>
      </c>
      <c r="K494" s="55" t="str">
        <f>OBRA!X494</f>
        <v>ING. J. GUADALUPE IBARRA RAMIREZ</v>
      </c>
      <c r="L494" s="33" t="str">
        <f>OBRA!N494</f>
        <v>GMJ 007C- OP/2020</v>
      </c>
      <c r="M494" s="2" t="str">
        <f>OBRA!O494</f>
        <v>ADJUDICACIÓN DIRECTA</v>
      </c>
      <c r="N494" s="3" t="str">
        <f>OBRA!P494</f>
        <v>"REHABILITACIÓN DE REDES HIDROSANITARIAS Y FABRICACIÓN DE SUPERFICIE DE RODAMIENTO EN PRIV. NICOLAS BRAVO ENTRE NICÓLAS BRAVO A CERRADA" DE LA CABECERA MUNICIPAL, DE JOCOTEPEC, JALISCO.</v>
      </c>
      <c r="O494" s="504" t="s">
        <v>3502</v>
      </c>
      <c r="P494" s="67">
        <f>OBRA!S494</f>
        <v>43977</v>
      </c>
      <c r="Q494" s="79">
        <f>OBRA!R494</f>
        <v>334158.86</v>
      </c>
      <c r="R494" s="5">
        <f>OBRA!T494</f>
        <v>43984</v>
      </c>
      <c r="S494" s="11">
        <f>OBRA!U494</f>
        <v>44040</v>
      </c>
      <c r="T494" s="1352" t="s">
        <v>3816</v>
      </c>
      <c r="U494" s="62" t="s">
        <v>1428</v>
      </c>
      <c r="V494" s="499" t="s">
        <v>3525</v>
      </c>
      <c r="W494" s="597" t="s">
        <v>3525</v>
      </c>
      <c r="X494" s="988">
        <f>OBRA!AR494</f>
        <v>150371.5</v>
      </c>
      <c r="Y494" s="309"/>
      <c r="Z494" s="309"/>
      <c r="AA494" s="5"/>
      <c r="AB494" s="313"/>
      <c r="AC494" s="317">
        <f>OBRA!BW494</f>
        <v>0</v>
      </c>
      <c r="AD494" s="1"/>
      <c r="AE494" s="352" t="s">
        <v>551</v>
      </c>
    </row>
    <row r="495" spans="1:31" ht="105" hidden="1" customHeight="1">
      <c r="A495" s="22" t="s">
        <v>2206</v>
      </c>
      <c r="B495" s="809" t="str">
        <f>GRAL!B498</f>
        <v>2018-2021</v>
      </c>
      <c r="C495" s="16">
        <f>OBRA!J495</f>
        <v>2020</v>
      </c>
      <c r="D495" s="1415"/>
      <c r="E495" s="17" t="str">
        <f>OBRA!M495</f>
        <v>RAMO 33</v>
      </c>
      <c r="F495" s="478" t="s">
        <v>1428</v>
      </c>
      <c r="G495" s="502" t="s">
        <v>3656</v>
      </c>
      <c r="H495" s="524" t="s">
        <v>3656</v>
      </c>
      <c r="I495" s="502" t="s">
        <v>3656</v>
      </c>
      <c r="J495" s="54" t="str">
        <f>OBRA!W495</f>
        <v>CONSTRUCCIÓN Y SUPERVISIÓN COMA S.A. DE C.V.</v>
      </c>
      <c r="K495" s="55" t="str">
        <f>OBRA!X495</f>
        <v>LIC. SALVADOR CONTRERAS OLGUÍN</v>
      </c>
      <c r="L495" s="33" t="str">
        <f>OBRA!N495</f>
        <v>GMJ 008C- OP/2020</v>
      </c>
      <c r="M495" s="2" t="str">
        <f>OBRA!O495</f>
        <v>ADJUDICACIÓN DIRECTA</v>
      </c>
      <c r="N495" s="3" t="str">
        <f>OBRA!P495</f>
        <v>"CONSTRUCCÓN DE EMPEDRADO AHOGADO EN CEMENTO EN CALLE HUASOYO ENTRE CALLE PROLONGACIÓN MORELOS Y CALLE RIVERA DEL LAGO" EN LA DELEGACIÓN DE CHANTEPEC, DEL MUNICIPIO DE JOCOTEPEC, JALISCO.</v>
      </c>
      <c r="O495" s="504" t="s">
        <v>3502</v>
      </c>
      <c r="P495" s="6">
        <f>OBRA!S495</f>
        <v>43977</v>
      </c>
      <c r="Q495" s="4">
        <f>OBRA!R495</f>
        <v>755011.1</v>
      </c>
      <c r="R495" s="5">
        <f>OBRA!T495</f>
        <v>43984</v>
      </c>
      <c r="S495" s="11">
        <f>OBRA!U495</f>
        <v>44037</v>
      </c>
      <c r="T495" s="1352" t="s">
        <v>3816</v>
      </c>
      <c r="U495" s="377" t="s">
        <v>1428</v>
      </c>
      <c r="V495" s="499" t="s">
        <v>3656</v>
      </c>
      <c r="W495" s="597" t="s">
        <v>3656</v>
      </c>
      <c r="X495" s="987">
        <f>OBRA!AR495</f>
        <v>151002.22</v>
      </c>
      <c r="Y495" s="309"/>
      <c r="Z495" s="309"/>
      <c r="AA495" s="5"/>
      <c r="AB495" s="313"/>
      <c r="AC495" s="317">
        <f>OBRA!BW495</f>
        <v>0</v>
      </c>
      <c r="AD495" s="1356" t="s">
        <v>3825</v>
      </c>
      <c r="AE495" s="352"/>
    </row>
    <row r="496" spans="1:31" ht="84.75" hidden="1" customHeight="1">
      <c r="A496" s="22" t="s">
        <v>2206</v>
      </c>
      <c r="B496" s="809" t="str">
        <f>GRAL!B499</f>
        <v>2018-2021</v>
      </c>
      <c r="C496" s="16">
        <f>OBRA!J496</f>
        <v>2020</v>
      </c>
      <c r="D496" s="1415"/>
      <c r="E496" s="17" t="str">
        <f>OBRA!M496</f>
        <v>RAMO 33</v>
      </c>
      <c r="F496" s="478" t="s">
        <v>1428</v>
      </c>
      <c r="G496" s="502" t="s">
        <v>3518</v>
      </c>
      <c r="H496" s="524" t="s">
        <v>3518</v>
      </c>
      <c r="I496" s="502" t="s">
        <v>3518</v>
      </c>
      <c r="J496" s="54" t="str">
        <f>OBRA!W496</f>
        <v>GRUPO ARANGE, S.A. DE C.V.</v>
      </c>
      <c r="K496" s="55" t="str">
        <f>OBRA!X496</f>
        <v>ING. LUIS RIGOBERTO OLMEDO NAVARRO</v>
      </c>
      <c r="L496" s="33" t="str">
        <f>OBRA!N496</f>
        <v>GMJ 009C- OP/2020</v>
      </c>
      <c r="M496" s="2" t="str">
        <f>OBRA!O496</f>
        <v>ADJUDICACIÓN DIRECTA</v>
      </c>
      <c r="N496" s="3" t="str">
        <f>OBRA!P496</f>
        <v>"CONSTRUCCIÓN DE EMPEDRADO NORMAL EN AVENIDA DE LOS MAESTROS DE CALLE ALLENDE A CALLE GUADALUPE VICTORIA" DE LA CABECERA MUNICIPAL, DE JOCOTEPEC, JALISCO</v>
      </c>
      <c r="O496" s="504" t="s">
        <v>3502</v>
      </c>
      <c r="P496" s="6">
        <f>OBRA!S496</f>
        <v>44005</v>
      </c>
      <c r="Q496" s="4">
        <f>OBRA!R496</f>
        <v>317000</v>
      </c>
      <c r="R496" s="5">
        <f>OBRA!T496</f>
        <v>44032</v>
      </c>
      <c r="S496" s="11">
        <f>OBRA!U496</f>
        <v>44063</v>
      </c>
      <c r="T496" s="1352" t="s">
        <v>3816</v>
      </c>
      <c r="U496" s="62" t="s">
        <v>1428</v>
      </c>
      <c r="V496" s="499" t="s">
        <v>3518</v>
      </c>
      <c r="W496" s="597" t="s">
        <v>3518</v>
      </c>
      <c r="X496" s="988">
        <f>OBRA!AR496</f>
        <v>153450</v>
      </c>
      <c r="Y496" s="309"/>
      <c r="Z496" s="309"/>
      <c r="AA496" s="5"/>
      <c r="AB496" s="313"/>
      <c r="AC496" s="317">
        <f>OBRA!BW496</f>
        <v>0</v>
      </c>
      <c r="AD496" s="1"/>
      <c r="AE496" s="352" t="s">
        <v>551</v>
      </c>
    </row>
    <row r="497" spans="1:31" ht="85.5" hidden="1" customHeight="1">
      <c r="A497" s="22" t="s">
        <v>2206</v>
      </c>
      <c r="B497" s="809" t="str">
        <f>GRAL!B500</f>
        <v>2018-2021</v>
      </c>
      <c r="C497" s="16">
        <f>OBRA!J497</f>
        <v>2020</v>
      </c>
      <c r="D497" s="1415"/>
      <c r="E497" s="17" t="str">
        <f>OBRA!M497</f>
        <v>RAMO 33</v>
      </c>
      <c r="F497" s="478" t="s">
        <v>1428</v>
      </c>
      <c r="G497" s="496" t="s">
        <v>3512</v>
      </c>
      <c r="H497" s="495" t="s">
        <v>3512</v>
      </c>
      <c r="I497" s="496" t="s">
        <v>3587</v>
      </c>
      <c r="J497" s="54" t="str">
        <f>OBRA!W497</f>
        <v>ING. OCTAVIO AUGUSTO GONZALEZ TREJO</v>
      </c>
      <c r="K497" s="55" t="str">
        <f>OBRA!X497</f>
        <v>LIC. SALVADOR CONTRERAS OLGUÍN</v>
      </c>
      <c r="L497" s="33" t="str">
        <f>OBRA!N497</f>
        <v>GMJ 010C- OP/2020</v>
      </c>
      <c r="M497" s="2" t="str">
        <f>OBRA!O497</f>
        <v>ADJUDICACIÓN DIRECTA</v>
      </c>
      <c r="N497" s="3" t="str">
        <f>OBRA!P497</f>
        <v>"CONSTRUCCIÓN DE EMPEDRADO NORMAL CON HUELLAS DE ADOQUÍN EN CALLE CUAUHTÉMOC 4TA. ETAPA" EN LA DELEGACIÓN DE CHANTEPEC, MUNICIPIO DE JOCOTEPEC, JALISCO.</v>
      </c>
      <c r="O497" s="504" t="s">
        <v>3502</v>
      </c>
      <c r="P497" s="6">
        <f>OBRA!S497</f>
        <v>43974</v>
      </c>
      <c r="Q497" s="4">
        <f>OBRA!R497</f>
        <v>239360.13</v>
      </c>
      <c r="R497" s="5">
        <f>OBRA!T497</f>
        <v>43976</v>
      </c>
      <c r="S497" s="11">
        <f>OBRA!U497</f>
        <v>43983</v>
      </c>
      <c r="T497" s="1352" t="s">
        <v>3816</v>
      </c>
      <c r="U497" s="377" t="s">
        <v>1428</v>
      </c>
      <c r="V497" s="499" t="s">
        <v>3587</v>
      </c>
      <c r="W497" s="597" t="s">
        <v>3587</v>
      </c>
      <c r="X497" s="988">
        <f>OBRA!AR497</f>
        <v>47872.02</v>
      </c>
      <c r="Y497" s="309"/>
      <c r="Z497" s="309"/>
      <c r="AA497" s="5"/>
      <c r="AB497" s="313"/>
      <c r="AC497" s="317">
        <f>OBRA!BW497</f>
        <v>0</v>
      </c>
      <c r="AD497" s="1"/>
      <c r="AE497" s="352" t="s">
        <v>551</v>
      </c>
    </row>
    <row r="498" spans="1:31" ht="88.5" hidden="1" customHeight="1">
      <c r="A498" s="22" t="s">
        <v>2206</v>
      </c>
      <c r="B498" s="809" t="str">
        <f>GRAL!B501</f>
        <v>2018-2021</v>
      </c>
      <c r="C498" s="16">
        <f>OBRA!J498</f>
        <v>2020</v>
      </c>
      <c r="D498" s="1415"/>
      <c r="E498" s="17" t="str">
        <f>OBRA!M498</f>
        <v>CUENTA CORRIENTE</v>
      </c>
      <c r="F498" s="478" t="s">
        <v>1428</v>
      </c>
      <c r="G498" s="496" t="s">
        <v>3513</v>
      </c>
      <c r="H498" s="495" t="s">
        <v>3513</v>
      </c>
      <c r="I498" s="496" t="s">
        <v>3588</v>
      </c>
      <c r="J498" s="54" t="str">
        <f>OBRA!W498</f>
        <v>ING. OCTAVIO AUGUSTO GONZALEZ TREJO</v>
      </c>
      <c r="K498" s="55" t="str">
        <f>OBRA!X498</f>
        <v>LIC. SALVADOR CONTRERAS OLGUÍN</v>
      </c>
      <c r="L498" s="33" t="str">
        <f>OBRA!N498</f>
        <v>GMJ 011C- OP/2020</v>
      </c>
      <c r="M498" s="2" t="str">
        <f>OBRA!O498</f>
        <v>ADJUDICACIÓN DIRECTA</v>
      </c>
      <c r="N498" s="3" t="str">
        <f>OBRA!P498</f>
        <v>"CONSTRUCCIÓN DE EMPEDRADO NORMAL CON HUELLAS DE ADOQUÍN EN CALLE CUAUHTÉMOC 5TA. ETAPA" EN LA DELEGACIÓN DE CHANTEPEC, MUNICIPIO DE JOCOTEPEC, JALISCO.</v>
      </c>
      <c r="O498" s="504" t="s">
        <v>3503</v>
      </c>
      <c r="P498" s="6">
        <f>OBRA!S498</f>
        <v>43978</v>
      </c>
      <c r="Q498" s="4">
        <f>OBRA!R498</f>
        <v>410553.76</v>
      </c>
      <c r="R498" s="5">
        <f>OBRA!T498</f>
        <v>43952</v>
      </c>
      <c r="S498" s="11">
        <f>OBRA!U498</f>
        <v>43987</v>
      </c>
      <c r="T498" s="207" t="s">
        <v>3815</v>
      </c>
      <c r="U498" s="377" t="s">
        <v>1428</v>
      </c>
      <c r="V498" s="499" t="s">
        <v>3588</v>
      </c>
      <c r="W498" s="597" t="s">
        <v>3588</v>
      </c>
      <c r="X498" s="988">
        <f>OBRA!AR498</f>
        <v>82110.740000000005</v>
      </c>
      <c r="Y498" s="309"/>
      <c r="Z498" s="309"/>
      <c r="AA498" s="5"/>
      <c r="AB498" s="313"/>
      <c r="AC498" s="317">
        <f>OBRA!BW498</f>
        <v>0</v>
      </c>
      <c r="AD498" s="1"/>
      <c r="AE498" s="352" t="s">
        <v>551</v>
      </c>
    </row>
    <row r="499" spans="1:31" ht="110.25" hidden="1" customHeight="1">
      <c r="A499" s="22" t="s">
        <v>2206</v>
      </c>
      <c r="B499" s="809" t="str">
        <f>GRAL!B502</f>
        <v>2018-2021</v>
      </c>
      <c r="C499" s="16">
        <f>OBRA!J499</f>
        <v>2020</v>
      </c>
      <c r="D499" s="1415"/>
      <c r="E499" s="17" t="str">
        <f>OBRA!M499</f>
        <v>RAMO 33</v>
      </c>
      <c r="F499" s="478" t="s">
        <v>1428</v>
      </c>
      <c r="G499" s="496" t="s">
        <v>3658</v>
      </c>
      <c r="H499" s="495" t="s">
        <v>3526</v>
      </c>
      <c r="I499" s="496" t="s">
        <v>3526</v>
      </c>
      <c r="J499" s="54" t="str">
        <f>OBRA!W499</f>
        <v xml:space="preserve">INFRAESTRUCTURA Y EDIFICACIONES OROZCO S.A. DE C.V. </v>
      </c>
      <c r="K499" s="55" t="str">
        <f>OBRA!X499</f>
        <v>ING. J. GUADALUPE IBARRA RAMIREZ</v>
      </c>
      <c r="L499" s="33" t="str">
        <f>OBRA!N499</f>
        <v>GMJ 012C- OP/2020</v>
      </c>
      <c r="M499" s="2" t="str">
        <f>OBRA!O499</f>
        <v>ADJUDICACIÓN DIRECTA</v>
      </c>
      <c r="N499" s="3" t="str">
        <f>OBRA!P499</f>
        <v>"CONSTRUCCIÓN DE REDES HIDROSANITARIAS Y SUPERFICIE DE RODAMIENTO EN LA CALLE LOS ANGELES ENTRE PRIVADA ALDAMA Y CERRADA" DE LA CABECERA MUNICIPAL, DE JOCOTEPEC, JALISCO.</v>
      </c>
      <c r="O499" s="504" t="s">
        <v>3503</v>
      </c>
      <c r="P499" s="67">
        <f>OBRA!S499</f>
        <v>43987</v>
      </c>
      <c r="Q499" s="4">
        <f>OBRA!R499</f>
        <v>1306545.6299999999</v>
      </c>
      <c r="R499" s="5">
        <f>OBRA!T499</f>
        <v>43990</v>
      </c>
      <c r="S499" s="11">
        <f>OBRA!U499</f>
        <v>44057</v>
      </c>
      <c r="T499" s="1352" t="s">
        <v>3816</v>
      </c>
      <c r="U499" s="377" t="s">
        <v>1428</v>
      </c>
      <c r="V499" s="499" t="s">
        <v>3658</v>
      </c>
      <c r="W499" s="597" t="s">
        <v>3658</v>
      </c>
      <c r="X499" s="988">
        <f>OBRA!AR499</f>
        <v>391963.68</v>
      </c>
      <c r="Y499" s="309"/>
      <c r="Z499" s="309"/>
      <c r="AA499" s="5"/>
      <c r="AB499" s="313"/>
      <c r="AC499" s="317">
        <f>OBRA!BW499</f>
        <v>0</v>
      </c>
      <c r="AD499" s="1"/>
      <c r="AE499" s="352" t="s">
        <v>551</v>
      </c>
    </row>
    <row r="500" spans="1:31" ht="113.25" hidden="1" customHeight="1">
      <c r="A500" s="22" t="s">
        <v>2206</v>
      </c>
      <c r="B500" s="809" t="str">
        <f>GRAL!B503</f>
        <v>2018-2021</v>
      </c>
      <c r="C500" s="16">
        <f>OBRA!J500</f>
        <v>2020</v>
      </c>
      <c r="D500" s="1415"/>
      <c r="E500" s="17" t="str">
        <f>OBRA!M500</f>
        <v>RAMO 33</v>
      </c>
      <c r="F500" s="478" t="s">
        <v>1428</v>
      </c>
      <c r="G500" s="502" t="s">
        <v>3527</v>
      </c>
      <c r="H500" s="524" t="s">
        <v>3527</v>
      </c>
      <c r="I500" s="502" t="s">
        <v>3527</v>
      </c>
      <c r="J500" s="54" t="str">
        <f>OBRA!W500</f>
        <v>GRUPO CONSTRUCTOR EDVI SA DE CV</v>
      </c>
      <c r="K500" s="55" t="str">
        <f>OBRA!X500</f>
        <v>ING. LUIS RIGOBERTO OLMEDO NAVARRO</v>
      </c>
      <c r="L500" s="33" t="str">
        <f>OBRA!N500</f>
        <v>GMJ 013C- OP/2020</v>
      </c>
      <c r="M500" s="2" t="str">
        <f>OBRA!O500</f>
        <v>ADJUDICACIÓN DIRECTA</v>
      </c>
      <c r="N500" s="3" t="str">
        <f>OBRA!P500</f>
        <v>"CONSTRUCCIÓN DE REDES HIDROSANITARIAS Y CONSTRUCCIÒN DE EMPEDRADO NORMAL CON HUELLAS DE CONCRETO EN CALLE PRIVADA VERANO DE CALLE VERANO A CERRADA" DE LA CABECERA MUNICIPAL, DE JOCOTEPEC, JALISCO.</v>
      </c>
      <c r="O500" s="504" t="s">
        <v>3503</v>
      </c>
      <c r="P500" s="67">
        <f>OBRA!S500</f>
        <v>43994</v>
      </c>
      <c r="Q500" s="4">
        <f>OBRA!R500</f>
        <v>281826.5</v>
      </c>
      <c r="R500" s="5">
        <f>OBRA!T500</f>
        <v>43997</v>
      </c>
      <c r="S500" s="11">
        <f>OBRA!U500</f>
        <v>44011</v>
      </c>
      <c r="T500" s="1352" t="s">
        <v>3816</v>
      </c>
      <c r="U500" s="377" t="s">
        <v>1428</v>
      </c>
      <c r="V500" s="499" t="s">
        <v>3527</v>
      </c>
      <c r="W500" s="597" t="s">
        <v>3527</v>
      </c>
      <c r="X500" s="988">
        <f>OBRA!AR500</f>
        <v>56365.3</v>
      </c>
      <c r="Y500" s="309"/>
      <c r="Z500" s="309"/>
      <c r="AA500" s="5"/>
      <c r="AB500" s="313"/>
      <c r="AC500" s="317">
        <f>OBRA!BW500</f>
        <v>0</v>
      </c>
      <c r="AD500" s="1"/>
      <c r="AE500" s="352" t="s">
        <v>551</v>
      </c>
    </row>
    <row r="501" spans="1:31" ht="120" hidden="1" customHeight="1">
      <c r="A501" s="22" t="s">
        <v>2206</v>
      </c>
      <c r="B501" s="809" t="str">
        <f>GRAL!B504</f>
        <v>2018-2021</v>
      </c>
      <c r="C501" s="16">
        <f>OBRA!J501</f>
        <v>2020</v>
      </c>
      <c r="D501" s="1415"/>
      <c r="E501" s="17" t="str">
        <f>OBRA!M501</f>
        <v>RAMO 33</v>
      </c>
      <c r="F501" s="478" t="s">
        <v>1428</v>
      </c>
      <c r="G501" s="496" t="s">
        <v>3520</v>
      </c>
      <c r="H501" s="524" t="s">
        <v>3659</v>
      </c>
      <c r="I501" s="502" t="s">
        <v>3520</v>
      </c>
      <c r="J501" s="54" t="str">
        <f>OBRA!W501</f>
        <v>GRUPO ARANGE, S.A. DE C.V.</v>
      </c>
      <c r="K501" s="55" t="str">
        <f>OBRA!X501</f>
        <v>LIC. SALVADOR CONTRERAS OLGUÍN</v>
      </c>
      <c r="L501" s="33" t="str">
        <f>OBRA!N501</f>
        <v>GMJ 014C- OP/2020</v>
      </c>
      <c r="M501" s="2" t="str">
        <f>OBRA!O501</f>
        <v>ADJUDICACIÓN DIRECTA</v>
      </c>
      <c r="N501" s="3" t="str">
        <f>OBRA!P501</f>
        <v>"CONSTRUCCIÓN DE RED DE DRENAJE Y CONSTRUCCIÓN DE RED DE AGUA POTABLE EN CALLE GUADALUPE VICTORIA ENTRE AVENIDA DE LOS MAESTROS Y FILOSOFOS" DE LA CABECERA MUNICIPAL, DE JOCOTEPEC, JALISCO.</v>
      </c>
      <c r="O501" s="504" t="s">
        <v>3503</v>
      </c>
      <c r="P501" s="67">
        <f>OBRA!S501</f>
        <v>43994</v>
      </c>
      <c r="Q501" s="79">
        <f>OBRA!R501</f>
        <v>241381.67</v>
      </c>
      <c r="R501" s="5">
        <f>OBRA!T501</f>
        <v>44000</v>
      </c>
      <c r="S501" s="11">
        <f>OBRA!U501</f>
        <v>44030</v>
      </c>
      <c r="T501" s="1352" t="s">
        <v>3816</v>
      </c>
      <c r="U501" s="62" t="s">
        <v>1428</v>
      </c>
      <c r="V501" s="499" t="s">
        <v>3520</v>
      </c>
      <c r="W501" s="597" t="s">
        <v>3520</v>
      </c>
      <c r="X501" s="988">
        <f>OBRA!AR501</f>
        <v>48276.2</v>
      </c>
      <c r="Y501" s="309"/>
      <c r="Z501" s="309"/>
      <c r="AA501" s="5"/>
      <c r="AB501" s="313"/>
      <c r="AC501" s="317">
        <f>OBRA!BW501</f>
        <v>0</v>
      </c>
      <c r="AD501" s="1"/>
      <c r="AE501" s="352" t="s">
        <v>551</v>
      </c>
    </row>
    <row r="502" spans="1:31" ht="106.5" hidden="1" customHeight="1">
      <c r="A502" s="22" t="s">
        <v>2206</v>
      </c>
      <c r="B502" s="809" t="str">
        <f>GRAL!B505</f>
        <v>2018-2021</v>
      </c>
      <c r="C502" s="16">
        <f>OBRA!J502</f>
        <v>2020</v>
      </c>
      <c r="D502" s="1415"/>
      <c r="E502" s="17" t="str">
        <f>OBRA!M502</f>
        <v>CUENTA CORRIENTE</v>
      </c>
      <c r="F502" s="1278" t="s">
        <v>1428</v>
      </c>
      <c r="G502" s="496" t="s">
        <v>3521</v>
      </c>
      <c r="H502" s="495" t="s">
        <v>3660</v>
      </c>
      <c r="I502" s="496" t="s">
        <v>3660</v>
      </c>
      <c r="J502" s="54" t="str">
        <f>OBRA!W502</f>
        <v>GRUPO CONSTRUCOR PAVIMAQ, S.A. DE C.V.</v>
      </c>
      <c r="K502" s="55" t="str">
        <f>OBRA!X502</f>
        <v>ARQ. CESAR ANTONIO ALONSO JIMENEZ</v>
      </c>
      <c r="L502" s="33" t="str">
        <f>OBRA!N502</f>
        <v>GMJ 015C- OP/2020</v>
      </c>
      <c r="M502" s="2" t="str">
        <f>OBRA!O502</f>
        <v>ADJUDICACIÓN DIRECTA</v>
      </c>
      <c r="N502" s="3" t="str">
        <f>OBRA!P502</f>
        <v>"CONSTRUCCIÓN DE LÍNEA DE DRENAJE SANITARIO Y LINEA DE AGUA POTABLE EN CALLE GUADALUPE VICTORIA ENTRE FILOSOFOS Y CIENTIFICOS" DE LA CABECERA MUNICIPAL, DE JOCOTEPEC, JALISCO.</v>
      </c>
      <c r="O502" s="504" t="s">
        <v>3503</v>
      </c>
      <c r="P502" s="1279">
        <f>OBRA!S502</f>
        <v>44012</v>
      </c>
      <c r="Q502" s="665">
        <f>OBRA!R502</f>
        <v>232396.73</v>
      </c>
      <c r="R502" s="238">
        <f>OBRA!T502</f>
        <v>44046</v>
      </c>
      <c r="S502" s="205">
        <f>OBRA!U502</f>
        <v>44099</v>
      </c>
      <c r="T502" s="207" t="s">
        <v>3815</v>
      </c>
      <c r="U502" s="206" t="s">
        <v>1428</v>
      </c>
      <c r="V502" s="499" t="s">
        <v>3660</v>
      </c>
      <c r="W502" s="597" t="s">
        <v>3660</v>
      </c>
      <c r="X502" s="988">
        <f>OBRA!AR502</f>
        <v>48410.119999999995</v>
      </c>
      <c r="Y502" s="309"/>
      <c r="Z502" s="309"/>
      <c r="AA502" s="5"/>
      <c r="AB502" s="313"/>
      <c r="AC502" s="317">
        <f>OBRA!BW502</f>
        <v>0</v>
      </c>
      <c r="AD502" s="1"/>
      <c r="AE502" s="352" t="s">
        <v>551</v>
      </c>
    </row>
    <row r="503" spans="1:31" ht="91.5" hidden="1" customHeight="1">
      <c r="A503" s="22" t="s">
        <v>2206</v>
      </c>
      <c r="B503" s="809" t="str">
        <f>GRAL!B506</f>
        <v>2018-2021</v>
      </c>
      <c r="C503" s="16">
        <f>OBRA!J503</f>
        <v>2020</v>
      </c>
      <c r="D503" s="1415"/>
      <c r="E503" s="17" t="str">
        <f>OBRA!M503</f>
        <v>CUENTA CORRIENTE</v>
      </c>
      <c r="F503" s="478" t="s">
        <v>1428</v>
      </c>
      <c r="G503" s="496" t="s">
        <v>3596</v>
      </c>
      <c r="H503" s="495" t="s">
        <v>3596</v>
      </c>
      <c r="I503" s="496" t="s">
        <v>3596</v>
      </c>
      <c r="J503" s="54" t="str">
        <f>OBRA!W503</f>
        <v>SERVICIO Y CONSTRUCCIÓN NATENIO S.A. DE C.V.</v>
      </c>
      <c r="K503" s="55" t="str">
        <f>OBRA!X503</f>
        <v>ING. J. GUADALUPE IBARRA RAMIREZ</v>
      </c>
      <c r="L503" s="33" t="str">
        <f>OBRA!N503</f>
        <v>GMJ 016C- OP/2020</v>
      </c>
      <c r="M503" s="2" t="str">
        <f>OBRA!O503</f>
        <v>ADJUDICACIÓN DIRECTA</v>
      </c>
      <c r="N503" s="3" t="str">
        <f>OBRA!P503</f>
        <v>"COLOCACIÓN DE EMPEDRADO AHOGADO EN CEMENTO CALLE JAVIER MINA ENTRE CALLE SIN NOMBRE Y ALLENDE" EN LA LOCALIDAD DE EL MOLINO DEL MUNICIPIO DE JOCOTEPEC, JALISCO.</v>
      </c>
      <c r="O503" s="504" t="s">
        <v>3503</v>
      </c>
      <c r="P503" s="67">
        <f>OBRA!S503</f>
        <v>44007</v>
      </c>
      <c r="Q503" s="79">
        <f>OBRA!R503</f>
        <v>302749.5</v>
      </c>
      <c r="R503" s="5">
        <f>OBRA!T503</f>
        <v>44008</v>
      </c>
      <c r="S503" s="11">
        <f>OBRA!U503</f>
        <v>44074</v>
      </c>
      <c r="T503" s="207" t="s">
        <v>3815</v>
      </c>
      <c r="U503" s="206" t="s">
        <v>1428</v>
      </c>
      <c r="V503" s="499" t="s">
        <v>3596</v>
      </c>
      <c r="W503" s="597" t="s">
        <v>3596</v>
      </c>
      <c r="X503" s="988">
        <f>OBRA!AR503</f>
        <v>60549</v>
      </c>
      <c r="Y503" s="309"/>
      <c r="Z503" s="309"/>
      <c r="AA503" s="5"/>
      <c r="AB503" s="313"/>
      <c r="AC503" s="317">
        <f>OBRA!BW503</f>
        <v>0</v>
      </c>
      <c r="AD503" s="1"/>
      <c r="AE503" s="352" t="s">
        <v>551</v>
      </c>
    </row>
    <row r="504" spans="1:31" ht="102" hidden="1" customHeight="1">
      <c r="A504" s="22" t="s">
        <v>2206</v>
      </c>
      <c r="B504" s="809" t="str">
        <f>GRAL!B507</f>
        <v>2018-2021</v>
      </c>
      <c r="C504" s="16">
        <f>OBRA!J504</f>
        <v>2020</v>
      </c>
      <c r="D504" s="1415"/>
      <c r="E504" s="17" t="str">
        <f>OBRA!M504</f>
        <v>CUENTA CORRIENTE</v>
      </c>
      <c r="F504" s="478" t="s">
        <v>1428</v>
      </c>
      <c r="G504" s="496" t="s">
        <v>3597</v>
      </c>
      <c r="H504" s="495" t="s">
        <v>3597</v>
      </c>
      <c r="I504" s="496" t="s">
        <v>3597</v>
      </c>
      <c r="J504" s="54" t="str">
        <f>OBRA!W504</f>
        <v>SERVICIO Y CONSTRUCCIÓN NATENIO S.A. DE C.V.</v>
      </c>
      <c r="K504" s="55" t="str">
        <f>OBRA!X504</f>
        <v>ING. J. GUADALUPE IBARRA RAMIREZ</v>
      </c>
      <c r="L504" s="33" t="str">
        <f>OBRA!N504</f>
        <v>GMJ 017C- OP/2020</v>
      </c>
      <c r="M504" s="2" t="str">
        <f>OBRA!O504</f>
        <v>ADJUDICACIÓN DIRECTA</v>
      </c>
      <c r="N504" s="3" t="str">
        <f>OBRA!P504</f>
        <v>"CONSTRUCCION DE EMPEDRADO AHOGADO EN CEMENTO EN CALLE MATAMOROS DE JAVIER MINA Y CALLE SIN NOMBRE" DE LA LOCALIDAD DE EL MOLINO, DEL MUNICIPIO DE JOCOTEPEC, JALISCO.</v>
      </c>
      <c r="O504" s="504" t="s">
        <v>3503</v>
      </c>
      <c r="P504" s="6">
        <f>OBRA!S504</f>
        <v>44012</v>
      </c>
      <c r="Q504" s="4">
        <f>OBRA!R504</f>
        <v>423536.77</v>
      </c>
      <c r="R504" s="5">
        <f>OBRA!T504</f>
        <v>44018</v>
      </c>
      <c r="S504" s="11">
        <f>OBRA!U504</f>
        <v>44104</v>
      </c>
      <c r="T504" s="207" t="s">
        <v>3815</v>
      </c>
      <c r="U504" s="377" t="s">
        <v>1428</v>
      </c>
      <c r="V504" s="499" t="s">
        <v>3597</v>
      </c>
      <c r="W504" s="597" t="s">
        <v>3597</v>
      </c>
      <c r="X504" s="988">
        <f>OBRA!AR504</f>
        <v>84707.34</v>
      </c>
      <c r="Y504" s="309"/>
      <c r="Z504" s="309"/>
      <c r="AA504" s="5"/>
      <c r="AB504" s="313"/>
      <c r="AC504" s="317">
        <f>OBRA!BW504</f>
        <v>0</v>
      </c>
      <c r="AD504" s="1"/>
      <c r="AE504" s="352" t="s">
        <v>551</v>
      </c>
    </row>
    <row r="505" spans="1:31" ht="76.5" hidden="1" customHeight="1">
      <c r="A505" s="22" t="s">
        <v>2206</v>
      </c>
      <c r="B505" s="809" t="str">
        <f>GRAL!B508</f>
        <v>2018-2021</v>
      </c>
      <c r="C505" s="16">
        <f>OBRA!J505</f>
        <v>2020</v>
      </c>
      <c r="D505" s="1415"/>
      <c r="E505" s="17" t="str">
        <f>OBRA!M505</f>
        <v>RAMO 33</v>
      </c>
      <c r="F505" s="478" t="s">
        <v>1428</v>
      </c>
      <c r="G505" s="163"/>
      <c r="H505" s="495" t="s">
        <v>3598</v>
      </c>
      <c r="I505" s="163"/>
      <c r="J505" s="54" t="str">
        <f>OBRA!W505</f>
        <v>JESSICA MONSERRAT RIVERA TORRES</v>
      </c>
      <c r="K505" s="55" t="str">
        <f>OBRA!X505</f>
        <v>ING. RIGOBERTO OLMEDO RAMOS</v>
      </c>
      <c r="L505" s="33" t="str">
        <f>OBRA!N505</f>
        <v>GMJ 018C- OP/2020</v>
      </c>
      <c r="M505" s="2" t="str">
        <f>OBRA!O505</f>
        <v>ADJUDICACIÓN DIRECTA</v>
      </c>
      <c r="N505" s="3" t="str">
        <f>OBRA!P505</f>
        <v>"EQUIPAMIENTO DE POZO PROFUNDO DE AGUA POTABLE" EN LA AGENCIA MINICIPAL DE CHANTEPEC, DEL MUNICIPIO DE JOCOTEPEC, JALISCO.</v>
      </c>
      <c r="O505" s="504" t="s">
        <v>3503</v>
      </c>
      <c r="P505" s="6">
        <f>OBRA!S505</f>
        <v>44019</v>
      </c>
      <c r="Q505" s="4">
        <f>OBRA!R505</f>
        <v>174784.71</v>
      </c>
      <c r="R505" s="5">
        <f>OBRA!T505</f>
        <v>44032</v>
      </c>
      <c r="S505" s="11">
        <f>OBRA!U505</f>
        <v>44051</v>
      </c>
      <c r="T505" s="1352" t="s">
        <v>3816</v>
      </c>
      <c r="U505" s="377" t="s">
        <v>1428</v>
      </c>
      <c r="V505" s="535"/>
      <c r="W505" s="597" t="s">
        <v>3598</v>
      </c>
      <c r="X505" s="988">
        <f>OBRA!AR505</f>
        <v>61174.65</v>
      </c>
      <c r="Y505" s="309"/>
      <c r="Z505" s="309"/>
      <c r="AA505" s="5"/>
      <c r="AB505" s="313"/>
      <c r="AC505" s="317">
        <f>OBRA!BW505</f>
        <v>0</v>
      </c>
      <c r="AD505" s="1281" t="s">
        <v>3664</v>
      </c>
      <c r="AE505" s="352"/>
    </row>
    <row r="506" spans="1:31" ht="78" hidden="1" customHeight="1">
      <c r="A506" s="22" t="s">
        <v>2206</v>
      </c>
      <c r="B506" s="809" t="str">
        <f>GRAL!B509</f>
        <v>2018-2021</v>
      </c>
      <c r="C506" s="16">
        <f>OBRA!J506</f>
        <v>2020</v>
      </c>
      <c r="D506" s="1415"/>
      <c r="E506" s="17" t="str">
        <f>OBRA!M506</f>
        <v>RAMO 33</v>
      </c>
      <c r="F506" s="478" t="s">
        <v>1428</v>
      </c>
      <c r="G506" s="146" t="s">
        <v>1177</v>
      </c>
      <c r="H506" s="2" t="s">
        <v>1177</v>
      </c>
      <c r="I506" s="496" t="s">
        <v>3599</v>
      </c>
      <c r="J506" s="54" t="str">
        <f>OBRA!W506</f>
        <v>JESSICA MONSERRAT RIVERA TORRES</v>
      </c>
      <c r="K506" s="55" t="str">
        <f>OBRA!X506</f>
        <v>ING. RIGOBERTO OLMEDO RAMOS</v>
      </c>
      <c r="L506" s="33" t="str">
        <f>OBRA!N506</f>
        <v>GMJ 019C- OP/2020</v>
      </c>
      <c r="M506" s="2" t="str">
        <f>OBRA!O506</f>
        <v>ADJUDICACIÓN DIRECTA</v>
      </c>
      <c r="N506" s="3" t="str">
        <f>OBRA!P506</f>
        <v>"REHABILITACIÓN DE POZO PROFUNDO DE AGUA POTABLE EN LA AGENCIA DE NEXTIPAC", DEL MUNICIPIO DE JOCOTEPEC, JALISCO.</v>
      </c>
      <c r="O506" s="504" t="s">
        <v>3503</v>
      </c>
      <c r="P506" s="67">
        <f>OBRA!S506</f>
        <v>44019</v>
      </c>
      <c r="Q506" s="79">
        <f>OBRA!R506</f>
        <v>165908.29999999999</v>
      </c>
      <c r="R506" s="5">
        <f>OBRA!T506</f>
        <v>44032</v>
      </c>
      <c r="S506" s="11">
        <f>OBRA!U506</f>
        <v>44051</v>
      </c>
      <c r="T506" s="1352" t="s">
        <v>3816</v>
      </c>
      <c r="U506" s="62" t="s">
        <v>1428</v>
      </c>
      <c r="V506" s="201" t="s">
        <v>1177</v>
      </c>
      <c r="W506" s="205" t="s">
        <v>1177</v>
      </c>
      <c r="X506" s="988">
        <f>OBRA!AR506</f>
        <v>41477.089999999997</v>
      </c>
      <c r="Y506" s="309"/>
      <c r="Z506" s="309"/>
      <c r="AA506" s="5"/>
      <c r="AB506" s="313"/>
      <c r="AC506" s="317">
        <f>OBRA!BW506</f>
        <v>0</v>
      </c>
      <c r="AD506" s="2" t="s">
        <v>3578</v>
      </c>
      <c r="AE506" s="352" t="s">
        <v>551</v>
      </c>
    </row>
    <row r="507" spans="1:31" ht="15" hidden="1" customHeight="1">
      <c r="A507" s="22" t="s">
        <v>2206</v>
      </c>
      <c r="B507" s="809" t="str">
        <f>GRAL!B510</f>
        <v>2018-2021</v>
      </c>
      <c r="C507" s="16">
        <f>OBRA!J507</f>
        <v>2020</v>
      </c>
      <c r="D507" s="1415"/>
      <c r="E507" s="632">
        <f>OBRA!M507</f>
        <v>0</v>
      </c>
      <c r="F507" s="1170"/>
      <c r="G507" s="1108"/>
      <c r="H507" s="219"/>
      <c r="I507" s="1108"/>
      <c r="J507" s="1200">
        <f>OBRA!W507</f>
        <v>0</v>
      </c>
      <c r="K507" s="1088">
        <f>OBRA!X507</f>
        <v>0</v>
      </c>
      <c r="L507" s="255" t="str">
        <f>OBRA!N507</f>
        <v>GMJ 020C- OP/2020</v>
      </c>
      <c r="M507" s="510" t="str">
        <f>OBRA!O507</f>
        <v>CANCELADA</v>
      </c>
      <c r="N507" s="541" t="str">
        <f>OBRA!P507</f>
        <v>CONTRATO CANCELADO</v>
      </c>
      <c r="O507" s="541"/>
      <c r="P507" s="195">
        <f>OBRA!S507</f>
        <v>0</v>
      </c>
      <c r="Q507" s="63">
        <f>OBRA!R507</f>
        <v>0</v>
      </c>
      <c r="R507" s="474">
        <f>OBRA!T507</f>
        <v>0</v>
      </c>
      <c r="S507" s="509">
        <f>OBRA!U507</f>
        <v>0</v>
      </c>
      <c r="T507" s="692"/>
      <c r="U507" s="377" t="s">
        <v>1428</v>
      </c>
      <c r="V507" s="508"/>
      <c r="W507" s="509"/>
      <c r="X507" s="988">
        <f>OBRA!AR507</f>
        <v>0</v>
      </c>
      <c r="Y507" s="309"/>
      <c r="Z507" s="309"/>
      <c r="AA507" s="5"/>
      <c r="AB507" s="313"/>
      <c r="AC507" s="317">
        <f>OBRA!BW507</f>
        <v>0</v>
      </c>
      <c r="AD507" s="352"/>
      <c r="AE507" s="352"/>
    </row>
    <row r="508" spans="1:31" ht="108" hidden="1" customHeight="1">
      <c r="A508" s="22" t="s">
        <v>2206</v>
      </c>
      <c r="B508" s="809" t="str">
        <f>GRAL!B511</f>
        <v>2018-2021</v>
      </c>
      <c r="C508" s="16">
        <f>OBRA!J508</f>
        <v>2020</v>
      </c>
      <c r="D508" s="1415"/>
      <c r="E508" s="17" t="str">
        <f>OBRA!M508</f>
        <v>RAMO 33</v>
      </c>
      <c r="F508" s="478" t="s">
        <v>1428</v>
      </c>
      <c r="G508" s="496" t="s">
        <v>3657</v>
      </c>
      <c r="H508" s="495" t="s">
        <v>3657</v>
      </c>
      <c r="I508" s="496" t="s">
        <v>3657</v>
      </c>
      <c r="J508" s="54" t="str">
        <f>OBRA!W508</f>
        <v xml:space="preserve">DESARROLLO DAP S.A. DE C.V. </v>
      </c>
      <c r="K508" s="55" t="str">
        <f>OBRA!X508</f>
        <v>ARQ. JAIME CONDE GOMEZ</v>
      </c>
      <c r="L508" s="33" t="str">
        <f>OBRA!N508</f>
        <v>GMJ 021C- OP/2020</v>
      </c>
      <c r="M508" s="2" t="str">
        <f>OBRA!O508</f>
        <v>ADJUDICACIÓN DIRECTA</v>
      </c>
      <c r="N508" s="3" t="str">
        <f>OBRA!P508</f>
        <v>"CONSTRUCCIÓN DE EMPEDRADO NORMAL CON HUELLAS DE CONCRETO EN CALLE EMILIANO ZAPATA ENTRE PIPILA Y CALLE CERRADA" DE LA LOCALIDAD DE ZAPOTITÁN DE HIDALGO, EL MUNICIPIO DE JOCOTEPEC, JALISCO.</v>
      </c>
      <c r="O508" s="466" t="s">
        <v>3504</v>
      </c>
      <c r="P508" s="67">
        <f>OBRA!S508</f>
        <v>44021</v>
      </c>
      <c r="Q508" s="79">
        <f>OBRA!R508</f>
        <v>773550.52</v>
      </c>
      <c r="R508" s="5">
        <f>OBRA!T508</f>
        <v>44032</v>
      </c>
      <c r="S508" s="11">
        <f>OBRA!U508</f>
        <v>44077</v>
      </c>
      <c r="T508" s="1352" t="s">
        <v>3816</v>
      </c>
      <c r="U508" s="62" t="s">
        <v>1428</v>
      </c>
      <c r="V508" s="499" t="s">
        <v>3657</v>
      </c>
      <c r="W508" s="597" t="s">
        <v>3657</v>
      </c>
      <c r="X508" s="988">
        <f>OBRA!AR508</f>
        <v>348563.12</v>
      </c>
      <c r="Y508" s="309"/>
      <c r="Z508" s="309"/>
      <c r="AA508" s="5"/>
      <c r="AB508" s="313"/>
      <c r="AC508" s="317">
        <f>OBRA!BW508</f>
        <v>0</v>
      </c>
      <c r="AD508" s="1"/>
      <c r="AE508" s="352" t="s">
        <v>551</v>
      </c>
    </row>
    <row r="509" spans="1:31" ht="155.25" hidden="1" customHeight="1">
      <c r="A509" s="22" t="s">
        <v>2206</v>
      </c>
      <c r="B509" s="809" t="str">
        <f>GRAL!B512</f>
        <v>2018-2021</v>
      </c>
      <c r="C509" s="16">
        <f>OBRA!J509</f>
        <v>2020</v>
      </c>
      <c r="D509" s="1415"/>
      <c r="E509" s="17" t="str">
        <f>OBRA!M509</f>
        <v>RAMO 33</v>
      </c>
      <c r="F509" s="478" t="s">
        <v>1428</v>
      </c>
      <c r="G509" s="496" t="s">
        <v>3528</v>
      </c>
      <c r="H509" s="495" t="s">
        <v>3528</v>
      </c>
      <c r="I509" s="496" t="s">
        <v>3661</v>
      </c>
      <c r="J509" s="54" t="str">
        <f>OBRA!W509</f>
        <v xml:space="preserve">BAUEN INGENIERÍA Y MAQUINARIA S.A. DE C.V. </v>
      </c>
      <c r="K509" s="55" t="str">
        <f>OBRA!X509</f>
        <v>ARQ. JAIME CONDE GOMEZ</v>
      </c>
      <c r="L509" s="33" t="str">
        <f>OBRA!N509</f>
        <v>GMJ 022C- OP/2020</v>
      </c>
      <c r="M509" s="2" t="str">
        <f>OBRA!O509</f>
        <v>ADJUDICACIÓN DIRECTA</v>
      </c>
      <c r="N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6" t="s">
        <v>3504</v>
      </c>
      <c r="P509" s="6">
        <f>OBRA!S509</f>
        <v>44021</v>
      </c>
      <c r="Q509" s="4">
        <f>OBRA!R509</f>
        <v>844236.05</v>
      </c>
      <c r="R509" s="5">
        <f>OBRA!T509</f>
        <v>44027</v>
      </c>
      <c r="S509" s="11">
        <f>OBRA!U509</f>
        <v>44088</v>
      </c>
      <c r="T509" s="1352" t="s">
        <v>3816</v>
      </c>
      <c r="U509" s="377" t="s">
        <v>1428</v>
      </c>
      <c r="V509" s="499" t="s">
        <v>3528</v>
      </c>
      <c r="W509" s="597" t="s">
        <v>3528</v>
      </c>
      <c r="X509" s="988">
        <f>OBRA!AR509</f>
        <v>168847.22</v>
      </c>
      <c r="Y509" s="309"/>
      <c r="Z509" s="309"/>
      <c r="AA509" s="5"/>
      <c r="AB509" s="313"/>
      <c r="AC509" s="317">
        <f>OBRA!BW509</f>
        <v>0</v>
      </c>
      <c r="AD509" s="1"/>
      <c r="AE509" s="352" t="s">
        <v>551</v>
      </c>
    </row>
    <row r="510" spans="1:31" ht="80.25" hidden="1" customHeight="1">
      <c r="A510" s="22" t="s">
        <v>2206</v>
      </c>
      <c r="B510" s="809" t="str">
        <f>GRAL!B513</f>
        <v>2018-2021</v>
      </c>
      <c r="C510" s="16">
        <f>OBRA!J510</f>
        <v>2020</v>
      </c>
      <c r="D510" s="1415"/>
      <c r="E510" s="17" t="str">
        <f>OBRA!M510</f>
        <v>RAMO 33</v>
      </c>
      <c r="F510" s="478" t="s">
        <v>1428</v>
      </c>
      <c r="G510" s="163"/>
      <c r="H510" s="495" t="s">
        <v>3600</v>
      </c>
      <c r="I510" s="496" t="s">
        <v>3600</v>
      </c>
      <c r="J510" s="54" t="str">
        <f>OBRA!W510</f>
        <v>JESSICA MONSERRAT RIVERA TORRES</v>
      </c>
      <c r="K510" s="55" t="str">
        <f>OBRA!X510</f>
        <v>ING. RIGOBERTO OLMEDO RAMOS</v>
      </c>
      <c r="L510" s="33" t="str">
        <f>OBRA!N510</f>
        <v>GMJ 023C- OP/2020</v>
      </c>
      <c r="M510" s="2" t="str">
        <f>OBRA!O510</f>
        <v>ADJUDICACIÓN DIRECTA</v>
      </c>
      <c r="N510" s="3" t="str">
        <f>OBRA!P510</f>
        <v xml:space="preserve">"REHABILITACIÓN DE POZO PROFUNDO DE AGUA POTABLE EN CALLE JOSE SANTANA", EN LA CABECERA MUNICIPAL DE JOCOTEPEC, JALISCO </v>
      </c>
      <c r="O510" s="466" t="s">
        <v>3504</v>
      </c>
      <c r="P510" s="67">
        <f>OBRA!S510</f>
        <v>44019</v>
      </c>
      <c r="Q510" s="79">
        <f>OBRA!R510</f>
        <v>189588.54</v>
      </c>
      <c r="R510" s="5">
        <f>OBRA!T510</f>
        <v>44032</v>
      </c>
      <c r="S510" s="11">
        <f>OBRA!U510</f>
        <v>44051</v>
      </c>
      <c r="T510" s="1352" t="s">
        <v>3816</v>
      </c>
      <c r="U510" s="62" t="s">
        <v>1428</v>
      </c>
      <c r="V510" s="499" t="s">
        <v>3600</v>
      </c>
      <c r="W510" s="597" t="s">
        <v>3600</v>
      </c>
      <c r="X510" s="988">
        <f>OBRA!AR510</f>
        <v>66356</v>
      </c>
      <c r="Y510" s="309"/>
      <c r="Z510" s="309"/>
      <c r="AA510" s="5"/>
      <c r="AB510" s="313"/>
      <c r="AC510" s="317">
        <f>OBRA!BW510</f>
        <v>0</v>
      </c>
      <c r="AD510" s="1281" t="s">
        <v>3664</v>
      </c>
      <c r="AE510" s="352"/>
    </row>
    <row r="511" spans="1:31" ht="136.5" hidden="1" customHeight="1">
      <c r="A511" s="22" t="s">
        <v>2206</v>
      </c>
      <c r="B511" s="809" t="str">
        <f>GRAL!B514</f>
        <v>2018-2021</v>
      </c>
      <c r="C511" s="16">
        <f>OBRA!J511</f>
        <v>2020</v>
      </c>
      <c r="D511" s="1415"/>
      <c r="E511" s="17" t="str">
        <f>OBRA!M511</f>
        <v>RAMO 33</v>
      </c>
      <c r="F511" s="478" t="s">
        <v>1428</v>
      </c>
      <c r="G511" s="496" t="s">
        <v>3508</v>
      </c>
      <c r="H511" s="495" t="s">
        <v>3508</v>
      </c>
      <c r="I511" s="163"/>
      <c r="J511" s="54" t="str">
        <f>OBRA!W511</f>
        <v>ING. SERGIO CABRERA</v>
      </c>
      <c r="K511" s="55" t="str">
        <f>OBRA!X511</f>
        <v>ING. LUIS RIGOBERTO OLMEDO NAVARRO</v>
      </c>
      <c r="L511" s="33" t="str">
        <f>OBRA!N511</f>
        <v>GMJ 024C- OP/2020</v>
      </c>
      <c r="M511" s="2" t="str">
        <f>OBRA!O511</f>
        <v>ADJUDICACIÓN DIRECTA</v>
      </c>
      <c r="N511" s="3" t="str">
        <f>OBRA!P511</f>
        <v>"REHABILITACIÓN DE RED DE DRENAJE SANITARIO CON REPOSICIÓN DE SUPERFICIE DE RODAMIENTO EN CALLE XÓCHITL 2DA ETAPA DEL CADENAMIENTO 00+200 A LA CALLE CUAUHTÉMOC EN LA DELEGACIÓN DE CHANTEPEC, MUNICIPIO DE JOCOTEPEC, JALISCO.</v>
      </c>
      <c r="O511" s="466" t="s">
        <v>3504</v>
      </c>
      <c r="P511" s="6">
        <f>OBRA!S511</f>
        <v>44028</v>
      </c>
      <c r="Q511" s="4">
        <f>OBRA!R511</f>
        <v>1003699.45</v>
      </c>
      <c r="R511" s="5">
        <f>OBRA!T511</f>
        <v>44032</v>
      </c>
      <c r="S511" s="11">
        <f>OBRA!U511</f>
        <v>44089</v>
      </c>
      <c r="T511" s="1352" t="s">
        <v>3816</v>
      </c>
      <c r="U511" s="377" t="s">
        <v>1428</v>
      </c>
      <c r="V511" s="499" t="s">
        <v>3508</v>
      </c>
      <c r="W511" s="597" t="s">
        <v>3508</v>
      </c>
      <c r="X511" s="988">
        <f>OBRA!AR511</f>
        <v>451664.74</v>
      </c>
      <c r="Y511" s="309"/>
      <c r="Z511" s="309"/>
      <c r="AA511" s="5"/>
      <c r="AB511" s="313"/>
      <c r="AC511" s="317">
        <f>OBRA!BW511</f>
        <v>0</v>
      </c>
      <c r="AD511" s="1281" t="s">
        <v>3664</v>
      </c>
      <c r="AE511" s="352"/>
    </row>
    <row r="512" spans="1:31" ht="144.75" hidden="1" customHeight="1">
      <c r="A512" s="22" t="s">
        <v>2206</v>
      </c>
      <c r="B512" s="809" t="str">
        <f>GRAL!B515</f>
        <v>2018-2021</v>
      </c>
      <c r="C512" s="16">
        <f>OBRA!J512</f>
        <v>2020</v>
      </c>
      <c r="D512" s="1415"/>
      <c r="E512" s="17" t="str">
        <f>OBRA!M512</f>
        <v>RAMO 33</v>
      </c>
      <c r="F512" s="478" t="s">
        <v>1428</v>
      </c>
      <c r="G512" s="496" t="s">
        <v>3507</v>
      </c>
      <c r="H512" s="495" t="s">
        <v>3507</v>
      </c>
      <c r="I512" s="163"/>
      <c r="J512" s="54" t="str">
        <f>OBRA!W512</f>
        <v>ING. SERGIO CABRERA</v>
      </c>
      <c r="K512" s="55" t="str">
        <f>OBRA!X512</f>
        <v>ING. LUIS RIGOBERTO OLMEDO NAVARRO</v>
      </c>
      <c r="L512" s="33" t="str">
        <f>OBRA!N512</f>
        <v>GMJ 025C- OP/2020</v>
      </c>
      <c r="M512" s="2" t="str">
        <f>OBRA!O512</f>
        <v>ADJUDICACIÓN DIRECTA</v>
      </c>
      <c r="N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6" t="s">
        <v>3504</v>
      </c>
      <c r="P512" s="6">
        <f>OBRA!S512</f>
        <v>44028</v>
      </c>
      <c r="Q512" s="4">
        <f>OBRA!R512</f>
        <v>961974.96</v>
      </c>
      <c r="R512" s="5">
        <f>OBRA!T512</f>
        <v>44032</v>
      </c>
      <c r="S512" s="11">
        <f>OBRA!U512</f>
        <v>44089</v>
      </c>
      <c r="T512" s="1352" t="s">
        <v>3816</v>
      </c>
      <c r="U512" s="377" t="s">
        <v>1428</v>
      </c>
      <c r="V512" s="499" t="s">
        <v>3507</v>
      </c>
      <c r="W512" s="597" t="s">
        <v>3507</v>
      </c>
      <c r="X512" s="988">
        <f>OBRA!AR512</f>
        <v>432888.71</v>
      </c>
      <c r="Y512" s="309"/>
      <c r="Z512" s="309"/>
      <c r="AA512" s="5"/>
      <c r="AB512" s="313"/>
      <c r="AC512" s="317">
        <f>OBRA!BW512</f>
        <v>0</v>
      </c>
      <c r="AD512" s="1281" t="s">
        <v>3664</v>
      </c>
      <c r="AE512" s="352"/>
    </row>
    <row r="513" spans="1:31" ht="122.25" hidden="1" customHeight="1">
      <c r="A513" s="22" t="s">
        <v>2206</v>
      </c>
      <c r="B513" s="809" t="str">
        <f>GRAL!B516</f>
        <v>2018-2021</v>
      </c>
      <c r="C513" s="16">
        <f>OBRA!J513</f>
        <v>2020</v>
      </c>
      <c r="D513" s="1415" t="s">
        <v>4021</v>
      </c>
      <c r="E513" s="17" t="str">
        <f>OBRA!M513</f>
        <v>RAMO 33</v>
      </c>
      <c r="F513" s="478" t="s">
        <v>1428</v>
      </c>
      <c r="G513" s="496" t="s">
        <v>3519</v>
      </c>
      <c r="H513" s="495" t="s">
        <v>3519</v>
      </c>
      <c r="I513" s="496" t="s">
        <v>3519</v>
      </c>
      <c r="J513" s="54" t="str">
        <f>OBRA!W513</f>
        <v>ALSERCON SA DE CV</v>
      </c>
      <c r="K513" s="55" t="str">
        <f>OBRA!X513</f>
        <v>ARQ. CESAR ANTONIO ALONSO JIMENEZ</v>
      </c>
      <c r="L513" s="33" t="str">
        <f>OBRA!N513</f>
        <v>GMJ 026C- OP/2020</v>
      </c>
      <c r="M513" s="2" t="str">
        <f>OBRA!O513</f>
        <v>ADJUDICACIÓN DIRECTA</v>
      </c>
      <c r="N513" s="3" t="str">
        <f>OBRA!P513</f>
        <v>"REHABILITACIÓN DE BANQUETAS Y SUPERFICIE DE RODAMIENTO EN INGRESO PRINCIPAL EN CALLE XÓCHITL DE CARRETERA JOCOTEPEC-CHAPALA A LA CALLE CUAUHTÉMOC" EN LA DELEGACIÓN DE CHANTEPEC, MUNICIPIO DE JOCOTEPEC, JALISCO.</v>
      </c>
      <c r="O513" s="504" t="s">
        <v>3504</v>
      </c>
      <c r="P513" s="6">
        <f>OBRA!S513</f>
        <v>44076</v>
      </c>
      <c r="Q513" s="4">
        <f>OBRA!R513</f>
        <v>720809.67</v>
      </c>
      <c r="R513" s="5">
        <f>OBRA!T513</f>
        <v>44069</v>
      </c>
      <c r="S513" s="11">
        <f>OBRA!U513</f>
        <v>44142</v>
      </c>
      <c r="T513" s="1352" t="s">
        <v>3816</v>
      </c>
      <c r="U513" s="377" t="s">
        <v>1428</v>
      </c>
      <c r="V513" s="499" t="s">
        <v>3789</v>
      </c>
      <c r="W513" s="597" t="s">
        <v>3789</v>
      </c>
      <c r="X513" s="988">
        <f>OBRA!AR513</f>
        <v>334528.5</v>
      </c>
      <c r="Y513" s="499" t="s">
        <v>3789</v>
      </c>
      <c r="Z513" s="309">
        <v>44144</v>
      </c>
      <c r="AA513" s="5">
        <v>101641.54</v>
      </c>
      <c r="AB513" s="313"/>
      <c r="AC513" s="317" t="s">
        <v>3552</v>
      </c>
      <c r="AD513" s="1281"/>
      <c r="AE513" s="352" t="s">
        <v>551</v>
      </c>
    </row>
    <row r="514" spans="1:31" ht="83.25" hidden="1" customHeight="1">
      <c r="A514" s="22" t="s">
        <v>2206</v>
      </c>
      <c r="B514" s="809" t="str">
        <f>GRAL!B517</f>
        <v>2018-2021</v>
      </c>
      <c r="C514" s="16">
        <f>OBRA!J514</f>
        <v>2020</v>
      </c>
      <c r="D514" s="1415"/>
      <c r="E514" s="17" t="str">
        <f>OBRA!M514</f>
        <v>RAMO 33</v>
      </c>
      <c r="F514" s="478" t="s">
        <v>1428</v>
      </c>
      <c r="G514" s="163"/>
      <c r="H514" s="495" t="s">
        <v>3619</v>
      </c>
      <c r="I514" s="163"/>
      <c r="J514" s="54" t="str">
        <f>OBRA!W514</f>
        <v>CONVADI, S.A. DE C.V.</v>
      </c>
      <c r="K514" s="55" t="str">
        <f>OBRA!X514</f>
        <v>ING. J. GUADALUPE IBARRA RAMIREZ</v>
      </c>
      <c r="L514" s="33" t="str">
        <f>OBRA!N514</f>
        <v>GMJ 027C- OP/2020</v>
      </c>
      <c r="M514" s="2" t="str">
        <f>OBRA!O514</f>
        <v>CONCURSO SIMPLIFICADO SUMARIO</v>
      </c>
      <c r="N514" s="3" t="str">
        <f>OBRA!P514</f>
        <v>"CONSTRUCCIÓN DE POZO PROFUNDO EN CALLE ALLENDE NORTE" EN LA CABECERA MUNICIPAL DE JOCOTEPEC, JALISCO</v>
      </c>
      <c r="O514" s="504" t="s">
        <v>3504</v>
      </c>
      <c r="P514" s="67">
        <f>OBRA!S514</f>
        <v>44007</v>
      </c>
      <c r="Q514" s="79">
        <f>OBRA!R514</f>
        <v>2630623.62</v>
      </c>
      <c r="R514" s="5">
        <f>OBRA!T514</f>
        <v>44008</v>
      </c>
      <c r="S514" s="11">
        <f>OBRA!U514</f>
        <v>44099</v>
      </c>
      <c r="T514" s="1352" t="s">
        <v>3816</v>
      </c>
      <c r="U514" s="377" t="s">
        <v>1428</v>
      </c>
      <c r="V514" s="499" t="s">
        <v>3619</v>
      </c>
      <c r="W514" s="597" t="s">
        <v>3619</v>
      </c>
      <c r="X514" s="987">
        <f>OBRA!AR514</f>
        <v>263173.42</v>
      </c>
      <c r="Y514" s="309"/>
      <c r="Z514" s="309"/>
      <c r="AA514" s="5"/>
      <c r="AB514" s="313"/>
      <c r="AC514" s="317">
        <f>OBRA!BW514</f>
        <v>0</v>
      </c>
      <c r="AD514" s="1281" t="s">
        <v>3664</v>
      </c>
      <c r="AE514" s="352"/>
    </row>
    <row r="515" spans="1:31" ht="15" hidden="1" customHeight="1">
      <c r="A515" s="22" t="s">
        <v>2206</v>
      </c>
      <c r="B515" s="809" t="str">
        <f>GRAL!B520</f>
        <v>2018-2021</v>
      </c>
      <c r="C515" s="16">
        <f>OBRA!J515</f>
        <v>2020</v>
      </c>
      <c r="D515" s="1415"/>
      <c r="E515" s="17" t="str">
        <f>OBRA!M515</f>
        <v>FOCOCI</v>
      </c>
      <c r="F515" s="1170"/>
      <c r="G515" s="1108"/>
      <c r="H515" s="219"/>
      <c r="I515" s="1108"/>
      <c r="J515" s="54" t="str">
        <f>OBRA!W515</f>
        <v>ING. SERGIO CABRERA</v>
      </c>
      <c r="K515" s="55" t="str">
        <f>OBRA!X515</f>
        <v>ARQ. EDUARDO ROMERO CARRILLO</v>
      </c>
      <c r="L515" s="33" t="str">
        <f>OBRA!N515</f>
        <v>FOCOCI-OP-CSS-028/2020</v>
      </c>
      <c r="M515" s="2" t="str">
        <f>OBRA!O515</f>
        <v>CONCURSO SIMPLIFICADO SUMARIO</v>
      </c>
      <c r="N515" s="3" t="str">
        <f>OBRA!P515</f>
        <v>CONSTRUCCIÓN Y EQUIPAMIENTO DE PLAZA PRINCIPAL EN CHANTEPEC, MUNICIPIO DE JOCOTEPEC, JALISCO.</v>
      </c>
      <c r="O515" s="541"/>
      <c r="P515" s="6">
        <f>OBRA!S515</f>
        <v>44120</v>
      </c>
      <c r="Q515" s="4">
        <f>OBRA!R515</f>
        <v>8270578.4299999997</v>
      </c>
      <c r="R515" s="5">
        <f>OBRA!T515</f>
        <v>44123</v>
      </c>
      <c r="S515" s="11">
        <f>OBRA!U515</f>
        <v>44176</v>
      </c>
      <c r="T515" s="53"/>
      <c r="U515" s="377" t="s">
        <v>1428</v>
      </c>
      <c r="V515" s="508"/>
      <c r="W515" s="509"/>
      <c r="X515" s="280">
        <f>OBRA!AR515</f>
        <v>1654115.68</v>
      </c>
      <c r="Y515" s="309"/>
      <c r="Z515" s="309"/>
      <c r="AA515" s="5"/>
      <c r="AB515" s="313"/>
      <c r="AC515" s="317">
        <f>OBRA!BW515</f>
        <v>0</v>
      </c>
      <c r="AD515" s="352"/>
      <c r="AE515" s="352"/>
    </row>
    <row r="516" spans="1:31" ht="15" hidden="1" customHeight="1">
      <c r="A516" s="22" t="s">
        <v>2206</v>
      </c>
      <c r="B516" s="809" t="str">
        <f>GRAL!B521</f>
        <v>2018-2021</v>
      </c>
      <c r="C516" s="16">
        <f>OBRA!J516</f>
        <v>2020</v>
      </c>
      <c r="D516" s="1415"/>
      <c r="E516" s="17" t="str">
        <f>OBRA!M516</f>
        <v>FOCOCI</v>
      </c>
      <c r="F516" s="1170"/>
      <c r="G516" s="1108"/>
      <c r="H516" s="219"/>
      <c r="I516" s="1108"/>
      <c r="J516" s="54" t="str">
        <f>OBRA!W516</f>
        <v xml:space="preserve">SOJO SERVICIOS DE INGENIERIA Y OBRAS, S.A. DE C.V. </v>
      </c>
      <c r="K516" s="1088" t="str">
        <f>OBRA!X516</f>
        <v>ARQ. EDUARDO ROMERO CARRILLO</v>
      </c>
      <c r="L516" s="33" t="str">
        <f>OBRA!N516</f>
        <v>FOCOCI-OP-CSS-029/2020</v>
      </c>
      <c r="M516" s="2" t="str">
        <f>OBRA!O516</f>
        <v>CONCURSO SIMPLIFICADO SUMARIO</v>
      </c>
      <c r="N516" s="3" t="str">
        <f>OBRA!P516</f>
        <v>CONSTRUCCIÓN Y EQUIPAMIENTO DE PLAZA PRINCIPAL EN CHANTEPEC MUNICIPIO DE JOCOTEPEC, JALISCO". (CONSTRUCCIÓN DE EDIFICIO ADMINISTRATIVO)</v>
      </c>
      <c r="O516" s="541"/>
      <c r="P516" s="6">
        <f>OBRA!S516</f>
        <v>44485</v>
      </c>
      <c r="Q516" s="4">
        <f>OBRA!R516</f>
        <v>1729413</v>
      </c>
      <c r="R516" s="5">
        <f>OBRA!T516</f>
        <v>44123</v>
      </c>
      <c r="S516" s="11">
        <f>OBRA!U516</f>
        <v>44196</v>
      </c>
      <c r="T516" s="53"/>
      <c r="U516" s="377" t="s">
        <v>1428</v>
      </c>
      <c r="V516" s="508"/>
      <c r="W516" s="509"/>
      <c r="X516" s="280">
        <f>OBRA!AR516</f>
        <v>345882.6</v>
      </c>
      <c r="Y516" s="309"/>
      <c r="Z516" s="309"/>
      <c r="AA516" s="5"/>
      <c r="AB516" s="313"/>
      <c r="AC516" s="317">
        <f>OBRA!BW516</f>
        <v>0</v>
      </c>
      <c r="AD516" s="352"/>
      <c r="AE516" s="352"/>
    </row>
    <row r="517" spans="1:31" ht="15" hidden="1" customHeight="1">
      <c r="A517" s="22" t="s">
        <v>2206</v>
      </c>
      <c r="B517" s="809" t="e">
        <f>GRAL!#REF!</f>
        <v>#REF!</v>
      </c>
      <c r="C517" s="16">
        <f>OBRA!J517</f>
        <v>2020</v>
      </c>
      <c r="D517" s="1415"/>
      <c r="E517" s="17" t="str">
        <f>OBRA!M517</f>
        <v>FOCOCI</v>
      </c>
      <c r="F517" s="1170"/>
      <c r="G517" s="1108"/>
      <c r="H517" s="219"/>
      <c r="I517" s="1108"/>
      <c r="J517" s="54" t="str">
        <f>OBRA!W517</f>
        <v xml:space="preserve">DESARROLLO DAP S.A. DE C.V. </v>
      </c>
      <c r="K517" s="55" t="str">
        <f>OBRA!X517</f>
        <v>LIC. SALVADOR CONTRERAS OLGUÍN</v>
      </c>
      <c r="L517" s="33" t="str">
        <f>OBRA!N517</f>
        <v>FOCOCI-OP-CSS-030/2020</v>
      </c>
      <c r="M517" s="2" t="str">
        <f>OBRA!O517</f>
        <v>CONCURSO SIMPLIFICADO SUMARIO</v>
      </c>
      <c r="N517" s="3" t="str">
        <f>OBRA!P517</f>
        <v>OBRA CIVIL "INTERVENCIÓN Y RESTAURACIÓN DE MERCADO MUNICIPAL MORELOS”, UBICADO EN CALLE MORELOS EN LA CABECERA MUNICIPAL DE JOCOTEPEC, JALISCO.</v>
      </c>
      <c r="O517" s="541"/>
      <c r="P517" s="6">
        <f>OBRA!S517</f>
        <v>44110</v>
      </c>
      <c r="Q517" s="4">
        <f>OBRA!R517</f>
        <v>4896549.54</v>
      </c>
      <c r="R517" s="5">
        <f>OBRA!T517</f>
        <v>44130</v>
      </c>
      <c r="S517" s="11">
        <f>OBRA!U517</f>
        <v>44196</v>
      </c>
      <c r="T517" s="53"/>
      <c r="U517" s="377" t="s">
        <v>1428</v>
      </c>
      <c r="V517" s="508"/>
      <c r="W517" s="509"/>
      <c r="X517" s="280">
        <f>OBRA!AR517</f>
        <v>1034084.78</v>
      </c>
      <c r="Y517" s="309"/>
      <c r="Z517" s="309"/>
      <c r="AA517" s="5"/>
      <c r="AB517" s="313"/>
      <c r="AC517" s="317">
        <f>OBRA!BW517</f>
        <v>0</v>
      </c>
      <c r="AD517" s="352"/>
      <c r="AE517" s="352"/>
    </row>
    <row r="518" spans="1:31" ht="15" hidden="1" customHeight="1">
      <c r="A518" s="22" t="s">
        <v>2206</v>
      </c>
      <c r="B518" s="809" t="e">
        <f>GRAL!#REF!</f>
        <v>#REF!</v>
      </c>
      <c r="C518" s="16">
        <f>OBRA!J518</f>
        <v>2020</v>
      </c>
      <c r="D518" s="1415"/>
      <c r="E518" s="17" t="str">
        <f>OBRA!M518</f>
        <v>FOCOCI</v>
      </c>
      <c r="F518" s="1170"/>
      <c r="G518" s="1108"/>
      <c r="H518" s="219"/>
      <c r="I518" s="1108"/>
      <c r="J518" s="54" t="str">
        <f>OBRA!W518</f>
        <v xml:space="preserve">JUAN PABLO BALLESTEROS ARREOLA </v>
      </c>
      <c r="K518" s="55" t="str">
        <f>OBRA!X518</f>
        <v>LIC. SALVADOR CONTRERAS OLGUÍN</v>
      </c>
      <c r="L518" s="33" t="str">
        <f>OBRA!N518</f>
        <v>FOCOCI-OP-CSS-031/2020</v>
      </c>
      <c r="M518" s="2" t="str">
        <f>OBRA!O518</f>
        <v>CONCURSO SIMPLIFICADO SUMARIO</v>
      </c>
      <c r="N518" s="3" t="str">
        <f>OBRA!P518</f>
        <v>"INTERVENCIÓN Y RESTAURACIÓN DE MERCADO MUNICIPAL MORELOS”, UBICADO EN CALLE MORELOS EN LA CABECERA MUNICIPAL DE JOCOTEPEC, JALISCO</v>
      </c>
      <c r="O518" s="541"/>
      <c r="P518" s="6">
        <f>OBRA!S518</f>
        <v>44110</v>
      </c>
      <c r="Q518" s="4">
        <f>OBRA!R518</f>
        <v>4629575.57</v>
      </c>
      <c r="R518" s="5">
        <f>OBRA!T518</f>
        <v>44164</v>
      </c>
      <c r="S518" s="11">
        <f>OBRA!U518</f>
        <v>44185</v>
      </c>
      <c r="T518" s="53"/>
      <c r="U518" s="377" t="s">
        <v>1428</v>
      </c>
      <c r="V518" s="508"/>
      <c r="W518" s="509"/>
      <c r="X518" s="280">
        <f>OBRA!AR518</f>
        <v>925915.1</v>
      </c>
      <c r="Y518" s="309"/>
      <c r="Z518" s="309"/>
      <c r="AA518" s="5"/>
      <c r="AB518" s="313"/>
      <c r="AC518" s="317">
        <f>OBRA!BW518</f>
        <v>0</v>
      </c>
      <c r="AD518" s="352"/>
      <c r="AE518" s="352"/>
    </row>
    <row r="519" spans="1:31" ht="78" hidden="1" customHeight="1">
      <c r="A519" s="22" t="s">
        <v>2206</v>
      </c>
      <c r="B519" s="809" t="str">
        <f>GRAL!B522</f>
        <v>2018-2021</v>
      </c>
      <c r="C519" s="16">
        <f>OBRA!J519</f>
        <v>2020</v>
      </c>
      <c r="D519" s="1415"/>
      <c r="E519" s="17" t="str">
        <f>OBRA!M519</f>
        <v>RAMO 33</v>
      </c>
      <c r="F519" s="478" t="s">
        <v>1428</v>
      </c>
      <c r="G519" s="163"/>
      <c r="H519" s="495" t="s">
        <v>3620</v>
      </c>
      <c r="I519" s="496" t="s">
        <v>3620</v>
      </c>
      <c r="J519" s="54" t="str">
        <f>OBRA!W519</f>
        <v>SERVICIO Y CONSTRUCCIÓN NATENIO S.A. DE C.V.</v>
      </c>
      <c r="K519" s="55" t="str">
        <f>OBRA!X519</f>
        <v>LIC. SALVADOR CONTRERAS OLGUÍN</v>
      </c>
      <c r="L519" s="33" t="str">
        <f>OBRA!N519</f>
        <v>GMJ 032C- OP/2020</v>
      </c>
      <c r="M519" s="2" t="str">
        <f>OBRA!O519</f>
        <v>ADJUDICACIÓN DIRECTA</v>
      </c>
      <c r="N519" s="3" t="str">
        <f>OBRA!P519</f>
        <v>"CONSTRUCCIÓN DE LÍNEA DE DRENAJE SANITARIO EN PRIVADA RAÚL RAMÍREZ", EN LA LOCALIDAD DE SAN JUAN COSALA DEL MUNICIPIO DE JOCOTEPEC, JALISCO.</v>
      </c>
      <c r="O519" s="466" t="s">
        <v>3504</v>
      </c>
      <c r="P519" s="6">
        <f>OBRA!S519</f>
        <v>44155</v>
      </c>
      <c r="Q519" s="4">
        <f>OBRA!R519</f>
        <v>287771.56</v>
      </c>
      <c r="R519" s="5">
        <f>OBRA!T519</f>
        <v>44165</v>
      </c>
      <c r="S519" s="11">
        <f>OBRA!U519</f>
        <v>44180</v>
      </c>
      <c r="T519" s="1352" t="s">
        <v>3816</v>
      </c>
      <c r="U519" s="62" t="s">
        <v>1428</v>
      </c>
      <c r="V519" s="499" t="s">
        <v>3620</v>
      </c>
      <c r="W519" s="597" t="s">
        <v>3620</v>
      </c>
      <c r="X519" s="988">
        <f>OBRA!AR519</f>
        <v>57554.3</v>
      </c>
      <c r="Y519" s="309"/>
      <c r="Z519" s="309"/>
      <c r="AA519" s="5"/>
      <c r="AB519" s="313"/>
      <c r="AC519" s="317">
        <f>OBRA!BW519</f>
        <v>0</v>
      </c>
      <c r="AD519" s="1281" t="s">
        <v>3664</v>
      </c>
      <c r="AE519" s="352"/>
    </row>
    <row r="520" spans="1:31" ht="77.25" hidden="1" customHeight="1">
      <c r="A520" s="22" t="s">
        <v>2206</v>
      </c>
      <c r="B520" s="809" t="str">
        <f>GRAL!B523</f>
        <v>2018-2021</v>
      </c>
      <c r="C520" s="16">
        <f>OBRA!J520</f>
        <v>2020</v>
      </c>
      <c r="D520" s="1415"/>
      <c r="E520" s="18" t="str">
        <f>OBRA!M520</f>
        <v>RESCATE AL PATRIMONIO</v>
      </c>
      <c r="F520" s="1011" t="s">
        <v>3522</v>
      </c>
      <c r="G520" s="496" t="s">
        <v>3523</v>
      </c>
      <c r="H520" s="495" t="s">
        <v>3523</v>
      </c>
      <c r="I520" s="496" t="s">
        <v>3523</v>
      </c>
      <c r="J520" s="54" t="str">
        <f>OBRA!W520</f>
        <v>CONSTRUCCIONES ADMAYAL, S.A. DE C.V</v>
      </c>
      <c r="K520" s="55" t="str">
        <f>OBRA!X520</f>
        <v>ING. LUIS RIGOBERTO OLMEDO NAVARRO</v>
      </c>
      <c r="L520" s="33" t="str">
        <f>OBRA!N520</f>
        <v>GMJ 033C- OP/2020</v>
      </c>
      <c r="M520" s="2" t="str">
        <f>OBRA!O520</f>
        <v>ADJUDICACIÓN DIRECTA</v>
      </c>
      <c r="N520" s="3" t="str">
        <f>OBRA!P520</f>
        <v>"REMOZAMIENTO Y MEJORAMIENTO DE IMAGEN URBANA EN EL TEMPLO DEL SEÑOR DEL MONTE” EN LA CABECERA MUNICIPAL DE JOCOTEPEC, JALISCO</v>
      </c>
      <c r="O520" s="504" t="s">
        <v>3505</v>
      </c>
      <c r="P520" s="6">
        <f>OBRA!S520</f>
        <v>44158</v>
      </c>
      <c r="Q520" s="4">
        <f>OBRA!R520</f>
        <v>1600000</v>
      </c>
      <c r="R520" s="5">
        <f>OBRA!T520</f>
        <v>44166</v>
      </c>
      <c r="S520" s="11">
        <f>OBRA!U520</f>
        <v>44189</v>
      </c>
      <c r="T520" s="207" t="s">
        <v>3815</v>
      </c>
      <c r="U520" s="660" t="s">
        <v>3841</v>
      </c>
      <c r="V520" s="535"/>
      <c r="W520" s="437"/>
      <c r="X520" s="988">
        <f>OBRA!AR520</f>
        <v>320000</v>
      </c>
      <c r="Y520" s="309"/>
      <c r="Z520" s="309"/>
      <c r="AA520" s="5"/>
      <c r="AB520" s="313"/>
      <c r="AC520" s="317">
        <f>OBRA!BW520</f>
        <v>0</v>
      </c>
      <c r="AD520" s="1281" t="s">
        <v>3622</v>
      </c>
      <c r="AE520" s="352"/>
    </row>
    <row r="521" spans="1:31" ht="106.5" hidden="1" customHeight="1">
      <c r="A521" s="22" t="s">
        <v>2206</v>
      </c>
      <c r="B521" s="809" t="str">
        <f>GRAL!B524</f>
        <v>2018-2021</v>
      </c>
      <c r="C521" s="16">
        <f>OBRA!J521</f>
        <v>2020</v>
      </c>
      <c r="D521" s="1415"/>
      <c r="E521" s="17" t="str">
        <f>OBRA!M521</f>
        <v>RAMO 33</v>
      </c>
      <c r="F521" s="478" t="s">
        <v>1428</v>
      </c>
      <c r="G521" s="496" t="s">
        <v>3621</v>
      </c>
      <c r="H521" s="495" t="s">
        <v>3662</v>
      </c>
      <c r="I521" s="496" t="s">
        <v>3621</v>
      </c>
      <c r="J521" s="54" t="str">
        <f>OBRA!W521</f>
        <v>CONSTRUCCIÓN Y SUPERVISIÓN COMA S.A. DE C.V.</v>
      </c>
      <c r="K521" s="55" t="str">
        <f>OBRA!X521</f>
        <v>ARQ. CESAR ANTONIO ALONSO JIMENEZ</v>
      </c>
      <c r="L521" s="33" t="str">
        <f>OBRA!N521</f>
        <v>GMJ 034C- OP/2020</v>
      </c>
      <c r="M521" s="2" t="str">
        <f>OBRA!O521</f>
        <v>ADJUDICACIÓN DIRECTA</v>
      </c>
      <c r="N521" s="3" t="str">
        <f>OBRA!P521</f>
        <v>"REHABILITACIÓN DE LÍNEAS HIDROSANITARIAS En CALLE CHAPULTEPEC ENTRE VICENTE GUERRERO Y CARRETERA FEDERAL Nº 15 ”, EN LA CABECERA MUNICIPAL DE JOCOTEPEC, JALISCO.</v>
      </c>
      <c r="O521" s="504" t="s">
        <v>3505</v>
      </c>
      <c r="P521" s="6">
        <f>OBRA!S521</f>
        <v>44168</v>
      </c>
      <c r="Q521" s="4">
        <f>OBRA!R521</f>
        <v>914194.81</v>
      </c>
      <c r="R521" s="5">
        <f>OBRA!T521</f>
        <v>44169</v>
      </c>
      <c r="S521" s="11">
        <f>OBRA!U521</f>
        <v>44180</v>
      </c>
      <c r="T521" s="1352" t="s">
        <v>3816</v>
      </c>
      <c r="U521" s="62" t="s">
        <v>1428</v>
      </c>
      <c r="V521" s="499" t="s">
        <v>3621</v>
      </c>
      <c r="W521" s="597" t="s">
        <v>3621</v>
      </c>
      <c r="X521" s="988">
        <f>OBRA!AR521</f>
        <v>411389.14999999997</v>
      </c>
      <c r="Y521" s="309"/>
      <c r="Z521" s="309"/>
      <c r="AA521" s="5"/>
      <c r="AB521" s="313"/>
      <c r="AC521" s="317">
        <f>OBRA!BW521</f>
        <v>0</v>
      </c>
      <c r="AD521" s="1281"/>
      <c r="AE521" s="352" t="s">
        <v>551</v>
      </c>
    </row>
    <row r="522" spans="1:31" ht="84.75" hidden="1" customHeight="1">
      <c r="A522" s="22" t="s">
        <v>2206</v>
      </c>
      <c r="B522" s="809" t="str">
        <f>GRAL!B525</f>
        <v>2018-2021</v>
      </c>
      <c r="C522" s="16">
        <f>OBRA!J522</f>
        <v>2020</v>
      </c>
      <c r="D522" s="1415"/>
      <c r="E522" s="17" t="str">
        <f>OBRA!M522</f>
        <v>RASTRO DIGNO</v>
      </c>
      <c r="F522" s="1011" t="s">
        <v>3522</v>
      </c>
      <c r="G522" s="163"/>
      <c r="H522" s="510"/>
      <c r="I522" s="163"/>
      <c r="J522" s="54" t="str">
        <f>OBRA!W522</f>
        <v>ALSERCON SA DE CV</v>
      </c>
      <c r="K522" s="55" t="str">
        <f>OBRA!X522</f>
        <v>ARQ. JAIME CONDE GOMEZ</v>
      </c>
      <c r="L522" s="33" t="str">
        <f>OBRA!N522</f>
        <v>GMJ 035C- OP/2020</v>
      </c>
      <c r="M522" s="2" t="str">
        <f>OBRA!O522</f>
        <v>ADJUDICACIÓN DIRECTA</v>
      </c>
      <c r="N522" s="3" t="str">
        <f>OBRA!P522</f>
        <v>OBRA CIVIL "REHABILITACIÓN DEL RASTRO MUNICIPAL 2DA ETAPA", DE LA CABECERA MUNICIPAL DE JOCOTEPEC, JALISCO.</v>
      </c>
      <c r="O522" s="504" t="s">
        <v>3505</v>
      </c>
      <c r="P522" s="67">
        <f>OBRA!S522</f>
        <v>44195</v>
      </c>
      <c r="Q522" s="79">
        <f>OBRA!R522</f>
        <v>537866.98</v>
      </c>
      <c r="R522" s="5">
        <f>OBRA!T522</f>
        <v>44195</v>
      </c>
      <c r="S522" s="11">
        <f>OBRA!U522</f>
        <v>44227</v>
      </c>
      <c r="T522" s="1352" t="s">
        <v>3816</v>
      </c>
      <c r="U522" s="203"/>
      <c r="V522" s="535"/>
      <c r="W522" s="437"/>
      <c r="X522" s="987">
        <f>OBRA!AR522</f>
        <v>0</v>
      </c>
      <c r="Y522" s="309"/>
      <c r="Z522" s="309"/>
      <c r="AA522" s="5"/>
      <c r="AB522" s="313"/>
      <c r="AC522" s="317">
        <f>OBRA!BW522</f>
        <v>0</v>
      </c>
      <c r="AD522" s="1281" t="s">
        <v>3622</v>
      </c>
      <c r="AE522" s="352"/>
    </row>
    <row r="523" spans="1:31" ht="15" hidden="1" customHeight="1">
      <c r="A523" s="22" t="s">
        <v>2206</v>
      </c>
      <c r="B523" s="809" t="str">
        <f>GRAL!B525</f>
        <v>2018-2021</v>
      </c>
      <c r="C523" s="16">
        <f>OBRA!J523</f>
        <v>2020</v>
      </c>
      <c r="D523" s="1415"/>
      <c r="E523" s="632">
        <f>OBRA!M523</f>
        <v>0</v>
      </c>
      <c r="F523" s="1170"/>
      <c r="G523" s="1108"/>
      <c r="H523" s="219"/>
      <c r="I523" s="1108"/>
      <c r="J523" s="1200">
        <f>OBRA!W523</f>
        <v>0</v>
      </c>
      <c r="K523" s="1088">
        <f>OBRA!X523</f>
        <v>0</v>
      </c>
      <c r="L523" s="33" t="str">
        <f>OBRA!N523</f>
        <v>GMJ 036C- OP/2020</v>
      </c>
      <c r="M523" s="510" t="str">
        <f>OBRA!O523</f>
        <v>CANCELADA</v>
      </c>
      <c r="N523" s="541" t="str">
        <f>OBRA!P523</f>
        <v>CONTRATO CANCELADO</v>
      </c>
      <c r="O523" s="541"/>
      <c r="P523" s="195">
        <f>OBRA!S523</f>
        <v>0</v>
      </c>
      <c r="Q523" s="63">
        <f>OBRA!R523</f>
        <v>0</v>
      </c>
      <c r="R523" s="474">
        <f>OBRA!T523</f>
        <v>0</v>
      </c>
      <c r="S523" s="509">
        <f>OBRA!U523</f>
        <v>0</v>
      </c>
      <c r="T523" s="692"/>
      <c r="U523" s="203"/>
      <c r="V523" s="508"/>
      <c r="W523" s="509"/>
      <c r="X523" s="280">
        <f>OBRA!AR523</f>
        <v>0</v>
      </c>
      <c r="Y523" s="309"/>
      <c r="Z523" s="309"/>
      <c r="AA523" s="5"/>
      <c r="AB523" s="313"/>
      <c r="AC523" s="317">
        <f>OBRA!BW523</f>
        <v>0</v>
      </c>
      <c r="AD523" s="352"/>
      <c r="AE523" s="352"/>
    </row>
    <row r="524" spans="1:31" ht="87" hidden="1" customHeight="1">
      <c r="A524" s="22" t="s">
        <v>2206</v>
      </c>
      <c r="B524" s="809" t="str">
        <f>GRAL!B527</f>
        <v>2018-2021</v>
      </c>
      <c r="C524" s="16">
        <f>OBRA!J524</f>
        <v>2020</v>
      </c>
      <c r="D524" s="1415"/>
      <c r="E524" s="17" t="str">
        <f>OBRA!M524</f>
        <v>RAMO 33</v>
      </c>
      <c r="F524" s="478" t="s">
        <v>1428</v>
      </c>
      <c r="G524" s="496" t="s">
        <v>3790</v>
      </c>
      <c r="H524" s="495" t="s">
        <v>3790</v>
      </c>
      <c r="I524" s="496" t="s">
        <v>3790</v>
      </c>
      <c r="J524" s="54" t="str">
        <f>OBRA!W524</f>
        <v>PLANOS Y OBRAS LODEIRO S.A. DE C.V.</v>
      </c>
      <c r="K524" s="55" t="str">
        <f>OBRA!X524</f>
        <v>ING. RIGOBERTO OR / ARQ. JAIME CONDE</v>
      </c>
      <c r="L524" s="33" t="str">
        <f>OBRA!N524</f>
        <v>GMJ 037C- OP/2020</v>
      </c>
      <c r="M524" s="2" t="str">
        <f>OBRA!O524</f>
        <v>ADJUDICACIÓN DIRECTA</v>
      </c>
      <c r="N524" s="3" t="str">
        <f>OBRA!P524</f>
        <v>"CONSTRUCCIÓN DE BANQUETAS EN UNIDAD DEPORTIVA ZARAGOZA” EN LA CABECERA MUNICIPAL DE JOCOTEPEC, JALISCO.</v>
      </c>
      <c r="O524" s="504" t="s">
        <v>3505</v>
      </c>
      <c r="P524" s="6">
        <f>OBRA!S524</f>
        <v>44168</v>
      </c>
      <c r="Q524" s="4">
        <f>OBRA!R524</f>
        <v>229496.26</v>
      </c>
      <c r="R524" s="5">
        <f>OBRA!T524</f>
        <v>44172</v>
      </c>
      <c r="S524" s="11">
        <f>OBRA!U524</f>
        <v>44184</v>
      </c>
      <c r="T524" s="1706" t="s">
        <v>3816</v>
      </c>
      <c r="U524" s="377" t="s">
        <v>1428</v>
      </c>
      <c r="V524" s="499" t="s">
        <v>3790</v>
      </c>
      <c r="W524" s="597" t="s">
        <v>3790</v>
      </c>
      <c r="X524" s="988">
        <f>OBRA!AR524</f>
        <v>45899.24</v>
      </c>
      <c r="Y524" s="309"/>
      <c r="Z524" s="309"/>
      <c r="AA524" s="5"/>
      <c r="AB524" s="313"/>
      <c r="AC524" s="317">
        <f>OBRA!BW524</f>
        <v>0</v>
      </c>
      <c r="AD524" s="1281"/>
      <c r="AE524" s="352" t="s">
        <v>551</v>
      </c>
    </row>
    <row r="525" spans="1:31" ht="123.75" hidden="1" customHeight="1">
      <c r="A525" s="22" t="s">
        <v>2206</v>
      </c>
      <c r="B525" s="809" t="str">
        <f>GRAL!B527</f>
        <v>2018-2021</v>
      </c>
      <c r="C525" s="16">
        <f>OBRA!J525</f>
        <v>2020</v>
      </c>
      <c r="D525" s="1415"/>
      <c r="E525" s="17" t="str">
        <f>OBRA!M525</f>
        <v>CUENTA CORRIENTE</v>
      </c>
      <c r="F525" s="478" t="s">
        <v>1428</v>
      </c>
      <c r="G525" s="496" t="s">
        <v>3651</v>
      </c>
      <c r="H525" s="495" t="s">
        <v>3651</v>
      </c>
      <c r="I525" s="496" t="s">
        <v>3651</v>
      </c>
      <c r="J525" s="54" t="str">
        <f>OBRA!W525</f>
        <v>ALSERCON SA DE CV</v>
      </c>
      <c r="K525" s="55" t="str">
        <f>OBRA!X525</f>
        <v>ARQ. JAIME CONDE GOMEZ</v>
      </c>
      <c r="L525" s="33" t="str">
        <f>OBRA!N525</f>
        <v>GMJ 038C- OP/2020</v>
      </c>
      <c r="M525" s="2" t="str">
        <f>OBRA!O525</f>
        <v>ADJUDICACIÓN DIRECTA</v>
      </c>
      <c r="N525" s="3" t="str">
        <f>OBRA!P525</f>
        <v>"CONSTRUCCIÓN DE DEPÓSITO DE AGUA, LINEA DE LLENADO Y DISTRIBUCCIÓN DE AGUA POTABLE EN CUARTEL DE LA GUARDIA NACIONAL", PARA ABASTECER ZONA 6 EN CRUCERO A LA DELEGACIÓN DE POTRERILLOS DEL MUNICIPIO DE JOCOTEPEC, JALISCO.</v>
      </c>
      <c r="O525" s="504" t="s">
        <v>3505</v>
      </c>
      <c r="P525" s="6">
        <f>OBRA!S525</f>
        <v>44548</v>
      </c>
      <c r="Q525" s="4">
        <f>OBRA!R525</f>
        <v>868714.16</v>
      </c>
      <c r="R525" s="5">
        <f>OBRA!T525</f>
        <v>44194</v>
      </c>
      <c r="S525" s="11">
        <f>OBRA!U525</f>
        <v>44284</v>
      </c>
      <c r="T525" s="207" t="s">
        <v>3815</v>
      </c>
      <c r="U525" s="377" t="s">
        <v>1428</v>
      </c>
      <c r="V525" s="535"/>
      <c r="W525" s="437"/>
      <c r="X525" s="987">
        <f>OBRA!AR525</f>
        <v>0</v>
      </c>
      <c r="Y525" s="309"/>
      <c r="Z525" s="309"/>
      <c r="AA525" s="5"/>
      <c r="AB525" s="313"/>
      <c r="AC525" s="317">
        <f>OBRA!BW525</f>
        <v>0</v>
      </c>
      <c r="AD525" s="1281" t="s">
        <v>3622</v>
      </c>
      <c r="AE525" s="352"/>
    </row>
    <row r="526" spans="1:31" ht="15" hidden="1" customHeight="1">
      <c r="A526" s="22" t="s">
        <v>2206</v>
      </c>
      <c r="B526" s="809" t="e">
        <f>GRAL!#REF!</f>
        <v>#REF!</v>
      </c>
      <c r="C526" s="16">
        <f>OBRA!J526</f>
        <v>2021</v>
      </c>
      <c r="D526" s="1415"/>
      <c r="E526" s="17" t="str">
        <f>OBRA!M526</f>
        <v>FOCOCI</v>
      </c>
      <c r="F526" s="478"/>
      <c r="G526" s="352"/>
      <c r="H526" s="1"/>
      <c r="I526" s="352"/>
      <c r="J526" s="54" t="str">
        <f>OBRA!W526</f>
        <v>N/A</v>
      </c>
      <c r="K526" s="55" t="str">
        <f>OBRA!X526</f>
        <v>N/A</v>
      </c>
      <c r="L526" s="19" t="str">
        <f>OBRA!N526</f>
        <v>CONV/FOCOCI/004-2021</v>
      </c>
      <c r="M526" s="2" t="str">
        <f>OBRA!O526</f>
        <v>CONVENIO</v>
      </c>
      <c r="N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OBRA!S526</f>
        <v>44251</v>
      </c>
      <c r="Q526" s="4">
        <f>OBRA!R526</f>
        <v>9000000</v>
      </c>
      <c r="R526" s="5">
        <f>OBRA!T526</f>
        <v>44251</v>
      </c>
      <c r="S526" s="11">
        <f>OBRA!U526</f>
        <v>44469</v>
      </c>
      <c r="T526" s="53"/>
      <c r="U526" s="377" t="s">
        <v>1428</v>
      </c>
      <c r="V526" s="309"/>
      <c r="W526" s="11"/>
      <c r="X526" s="279">
        <f>OBRA!AR526</f>
        <v>0</v>
      </c>
      <c r="Y526" s="309"/>
      <c r="Z526" s="309"/>
      <c r="AA526" s="5"/>
      <c r="AB526" s="313"/>
      <c r="AC526" s="317">
        <f>OBRA!BW526</f>
        <v>0</v>
      </c>
      <c r="AD526" s="352"/>
      <c r="AE526" s="352"/>
    </row>
    <row r="527" spans="1:31" ht="15" hidden="1" customHeight="1">
      <c r="A527" s="22" t="s">
        <v>2206</v>
      </c>
      <c r="B527" s="809" t="str">
        <f>GRAL!B529</f>
        <v>2018-2021</v>
      </c>
      <c r="C527" s="16">
        <f>OBRA!J527</f>
        <v>2021</v>
      </c>
      <c r="D527" s="1415"/>
      <c r="E527" s="17" t="str">
        <f>OBRA!M527</f>
        <v>CUENTA CORRIENTE</v>
      </c>
      <c r="F527" s="478"/>
      <c r="G527" s="352"/>
      <c r="H527" s="1"/>
      <c r="I527" s="352"/>
      <c r="J527" s="54" t="str">
        <f>OBRA!W527</f>
        <v>N/A</v>
      </c>
      <c r="K527" s="55" t="str">
        <f>OBRA!X527</f>
        <v>ING. LUIS RIGOBERTO OLMEDO NAVARRO</v>
      </c>
      <c r="L527" s="19" t="str">
        <f>OBRA!N527</f>
        <v>DOP/AD/001/2021</v>
      </c>
      <c r="M527" s="2" t="str">
        <f>OBRA!O527</f>
        <v>CANCELADA</v>
      </c>
      <c r="N527" s="3" t="str">
        <f>OBRA!P527</f>
        <v>"CONSTRUCCIÓN DE PUENTE PEATONAL EN CALLE LIBERTAD Y CALLE 5 DE MAYO" EN LA DELEGACIÓN DE ZAPOTITÁN DE HIDALGO, DEL MUNICIPIO DE JOCOTEPEC, JALISCO.</v>
      </c>
      <c r="O527" s="3"/>
      <c r="P527" s="6">
        <f>OBRA!S527</f>
        <v>44221</v>
      </c>
      <c r="Q527" s="4">
        <f>OBRA!R527</f>
        <v>710000</v>
      </c>
      <c r="R527" s="5">
        <f>OBRA!T527</f>
        <v>44222</v>
      </c>
      <c r="S527" s="11">
        <f>OBRA!U527</f>
        <v>44377</v>
      </c>
      <c r="T527" s="53"/>
      <c r="U527" s="377" t="s">
        <v>1428</v>
      </c>
      <c r="V527" s="309"/>
      <c r="W527" s="11"/>
      <c r="X527" s="279">
        <f>OBRA!AR527</f>
        <v>0</v>
      </c>
      <c r="Y527" s="309"/>
      <c r="Z527" s="309"/>
      <c r="AA527" s="5"/>
      <c r="AB527" s="313"/>
      <c r="AC527" s="317">
        <f>OBRA!BW527</f>
        <v>0</v>
      </c>
      <c r="AD527" s="352"/>
      <c r="AE527" s="352"/>
    </row>
    <row r="528" spans="1:31" ht="15" hidden="1" customHeight="1">
      <c r="A528" s="22" t="s">
        <v>2206</v>
      </c>
      <c r="B528" s="809" t="str">
        <f>GRAL!B530</f>
        <v>2018-2021</v>
      </c>
      <c r="C528" s="16">
        <f>OBRA!J528</f>
        <v>2021</v>
      </c>
      <c r="D528" s="1415"/>
      <c r="E528" s="17" t="str">
        <f>OBRA!M528</f>
        <v>CUENTA CORRIENTE</v>
      </c>
      <c r="F528" s="478"/>
      <c r="G528" s="352"/>
      <c r="H528" s="1"/>
      <c r="I528" s="352"/>
      <c r="J528" s="54" t="str">
        <f>OBRA!W528</f>
        <v>N/A</v>
      </c>
      <c r="K528" s="55" t="str">
        <f>OBRA!X528</f>
        <v xml:space="preserve">ING. ENRIQUE ENRÍQUEZ VÁZQUEZ </v>
      </c>
      <c r="L528" s="19" t="str">
        <f>OBRA!N528</f>
        <v>DOP/AD/002/2021</v>
      </c>
      <c r="M528" s="2" t="str">
        <f>OBRA!O528</f>
        <v>ADMINISTRACIÓN DIRECTA</v>
      </c>
      <c r="N528" s="3" t="str">
        <f>OBRA!P528</f>
        <v>"SUMINISTRO Y COLOCACIÓN DE TECHUMBRE EN CANCHA DE USOS MULTIPLES" UBICADA EN CALLES PEDRO MORENO Y MORELOS, ABASOLO Y 16 DE SEPTIEMBRE, EN LA DELEGACIÓN DE ZAPOTITÁN DE HIDALGO, DEL MUNICIPIO DE JOCOTEPEC, JALISCO.</v>
      </c>
      <c r="O528" s="3"/>
      <c r="P528" s="6">
        <f>OBRA!S528</f>
        <v>44221</v>
      </c>
      <c r="Q528" s="4">
        <f>OBRA!R528</f>
        <v>650000</v>
      </c>
      <c r="R528" s="5">
        <f>OBRA!T528</f>
        <v>44222</v>
      </c>
      <c r="S528" s="11">
        <f>OBRA!U528</f>
        <v>44377</v>
      </c>
      <c r="T528" s="53"/>
      <c r="U528" s="377" t="s">
        <v>1428</v>
      </c>
      <c r="V528" s="309"/>
      <c r="W528" s="11"/>
      <c r="X528" s="279">
        <f>OBRA!AR528</f>
        <v>0</v>
      </c>
      <c r="Y528" s="309"/>
      <c r="Z528" s="309"/>
      <c r="AA528" s="5"/>
      <c r="AB528" s="313"/>
      <c r="AC528" s="317">
        <f>OBRA!BW528</f>
        <v>0</v>
      </c>
      <c r="AD528" s="352"/>
      <c r="AE528" s="352"/>
    </row>
    <row r="529" spans="1:31" ht="15" hidden="1" customHeight="1">
      <c r="A529" s="22" t="s">
        <v>2206</v>
      </c>
      <c r="B529" s="809" t="str">
        <f>GRAL!B531</f>
        <v>2018-2021</v>
      </c>
      <c r="C529" s="16">
        <f>OBRA!J529</f>
        <v>2021</v>
      </c>
      <c r="D529" s="1415"/>
      <c r="E529" s="17" t="str">
        <f>OBRA!M529</f>
        <v>RAMO 33</v>
      </c>
      <c r="F529" s="478"/>
      <c r="G529" s="352"/>
      <c r="H529" s="1"/>
      <c r="I529" s="352"/>
      <c r="J529" s="54" t="str">
        <f>OBRA!W529</f>
        <v>N/A</v>
      </c>
      <c r="K529" s="55" t="str">
        <f>OBRA!X529</f>
        <v>ING. J. GUADALUPE IBARRA RAMIREZ</v>
      </c>
      <c r="L529" s="19" t="str">
        <f>OBRA!N529</f>
        <v>DOP/AD/003/2021</v>
      </c>
      <c r="M529" s="2" t="str">
        <f>OBRA!O529</f>
        <v>ADMINISTRACIÓN DIRECTA</v>
      </c>
      <c r="N529" s="3" t="str">
        <f>OBRA!P529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OBRA!S529</f>
        <v>44435</v>
      </c>
      <c r="Q529" s="4">
        <f>OBRA!R529</f>
        <v>174639.07</v>
      </c>
      <c r="R529" s="5">
        <f>OBRA!T529</f>
        <v>44440</v>
      </c>
      <c r="S529" s="11">
        <f>OBRA!U529</f>
        <v>44455</v>
      </c>
      <c r="T529" s="53"/>
      <c r="U529" s="377" t="s">
        <v>1428</v>
      </c>
      <c r="V529" s="309"/>
      <c r="W529" s="11"/>
      <c r="X529" s="279">
        <f>OBRA!AR529</f>
        <v>0</v>
      </c>
      <c r="Y529" s="309"/>
      <c r="Z529" s="309"/>
      <c r="AA529" s="5"/>
      <c r="AB529" s="313"/>
      <c r="AC529" s="317">
        <f>OBRA!BW529</f>
        <v>0</v>
      </c>
      <c r="AD529" s="352"/>
      <c r="AE529" s="352"/>
    </row>
    <row r="530" spans="1:31" ht="15" hidden="1" customHeight="1">
      <c r="A530" s="22" t="s">
        <v>2206</v>
      </c>
      <c r="B530" s="809" t="str">
        <f>GRAL!B532</f>
        <v>2018-2021</v>
      </c>
      <c r="C530" s="16">
        <f>OBRA!J530</f>
        <v>2021</v>
      </c>
      <c r="D530" s="1415"/>
      <c r="E530" s="17" t="str">
        <f>OBRA!M530</f>
        <v>CUENTA CORRIENTE</v>
      </c>
      <c r="F530" s="478"/>
      <c r="G530" s="352"/>
      <c r="H530" s="1"/>
      <c r="I530" s="352"/>
      <c r="J530" s="54" t="str">
        <f>OBRA!W530</f>
        <v>N/A</v>
      </c>
      <c r="K530" s="55" t="str">
        <f>OBRA!X530</f>
        <v>LIC. SALVADOR CONTRERAS OLGUÍN</v>
      </c>
      <c r="L530" s="19" t="str">
        <f>OBRA!N530</f>
        <v>DOP/AD/004/2021</v>
      </c>
      <c r="M530" s="2" t="str">
        <f>OBRA!O530</f>
        <v>ADMINISTRACIÓN DIRECTA</v>
      </c>
      <c r="N530" s="3" t="str">
        <f>OBRA!P530</f>
        <v>"REHABILITACIÓN DE PISOS EN AULAS DE LA ESCUELA PRIMARIA JOSE SANTANA", EN LA CABECERA MUNICIPAL DE JOCOTEPEC, JALISCO.</v>
      </c>
      <c r="O530" s="3"/>
      <c r="P530" s="6">
        <f>OBRA!S530</f>
        <v>44225</v>
      </c>
      <c r="Q530" s="4">
        <f>OBRA!R530</f>
        <v>27000</v>
      </c>
      <c r="R530" s="5">
        <f>OBRA!T530</f>
        <v>44228</v>
      </c>
      <c r="S530" s="11">
        <f>OBRA!U530</f>
        <v>44250</v>
      </c>
      <c r="T530" s="53"/>
      <c r="U530" s="377" t="s">
        <v>1428</v>
      </c>
      <c r="V530" s="309"/>
      <c r="W530" s="11"/>
      <c r="X530" s="279">
        <f>OBRA!AR530</f>
        <v>0</v>
      </c>
      <c r="Y530" s="309"/>
      <c r="Z530" s="309"/>
      <c r="AA530" s="5"/>
      <c r="AB530" s="313"/>
      <c r="AC530" s="317">
        <f>OBRA!BW530</f>
        <v>0</v>
      </c>
      <c r="AD530" s="352"/>
      <c r="AE530" s="352"/>
    </row>
    <row r="531" spans="1:31" ht="15" hidden="1" customHeight="1">
      <c r="A531" s="22" t="s">
        <v>2206</v>
      </c>
      <c r="B531" s="809" t="str">
        <f>GRAL!B533</f>
        <v>2018-2021</v>
      </c>
      <c r="C531" s="16">
        <f>OBRA!J531</f>
        <v>2021</v>
      </c>
      <c r="D531" s="1415"/>
      <c r="E531" s="17" t="str">
        <f>OBRA!M531</f>
        <v>CUENTA CORRIENTE</v>
      </c>
      <c r="F531" s="478"/>
      <c r="G531" s="352"/>
      <c r="H531" s="1"/>
      <c r="I531" s="352"/>
      <c r="J531" s="54" t="str">
        <f>OBRA!W531</f>
        <v>N/A</v>
      </c>
      <c r="K531" s="55" t="str">
        <f>OBRA!X531</f>
        <v>ING. LUIS RIGOBERTO OLMEDO NAVARRO</v>
      </c>
      <c r="L531" s="19" t="str">
        <f>OBRA!N531</f>
        <v>DOP/AD/005/2021</v>
      </c>
      <c r="M531" s="2" t="str">
        <f>OBRA!O531</f>
        <v>ADMINISTRACIÓN DIRECTA</v>
      </c>
      <c r="N531" s="3" t="str">
        <f>OBRA!P531</f>
        <v>"MANO DE OBRA PARA LA REACTIVACIÓN DE LÍNEAS HIDROSANITARIAS EN CALLE JUÁREZ, CALLE 30 DE SEPTIEMBRE Y C. 5 DE MAYO", EN LA DELEGACIÓN DE HUEJOTITÁN, DEL MUNICIPIO DE JOCOTEPEC, JALISCO.</v>
      </c>
      <c r="O531" s="3"/>
      <c r="P531" s="6">
        <f>OBRA!S531</f>
        <v>44225</v>
      </c>
      <c r="Q531" s="4">
        <f>OBRA!R531</f>
        <v>266000</v>
      </c>
      <c r="R531" s="5">
        <f>OBRA!T531</f>
        <v>44228</v>
      </c>
      <c r="S531" s="11">
        <f>OBRA!U531</f>
        <v>44281</v>
      </c>
      <c r="T531" s="53"/>
      <c r="U531" s="377" t="s">
        <v>1428</v>
      </c>
      <c r="V531" s="309"/>
      <c r="W531" s="11"/>
      <c r="X531" s="279">
        <f>OBRA!AR531</f>
        <v>0</v>
      </c>
      <c r="Y531" s="309"/>
      <c r="Z531" s="309"/>
      <c r="AA531" s="5"/>
      <c r="AB531" s="313"/>
      <c r="AC531" s="317">
        <f>OBRA!BW531</f>
        <v>0</v>
      </c>
      <c r="AD531" s="352"/>
      <c r="AE531" s="352"/>
    </row>
    <row r="532" spans="1:31" ht="15" hidden="1" customHeight="1">
      <c r="A532" s="22" t="s">
        <v>2206</v>
      </c>
      <c r="B532" s="809" t="str">
        <f>GRAL!B534</f>
        <v>2018-2021</v>
      </c>
      <c r="C532" s="16">
        <f>OBRA!J532</f>
        <v>2021</v>
      </c>
      <c r="D532" s="1415"/>
      <c r="E532" s="17">
        <f>OBRA!M532</f>
        <v>0</v>
      </c>
      <c r="F532" s="478"/>
      <c r="G532" s="352"/>
      <c r="H532" s="1"/>
      <c r="I532" s="352"/>
      <c r="J532" s="54" t="str">
        <f>OBRA!W532</f>
        <v>N/A</v>
      </c>
      <c r="K532" s="55" t="str">
        <f>OBRA!X532</f>
        <v>DANIEL RODRIGUEZ</v>
      </c>
      <c r="L532" s="19" t="str">
        <f>OBRA!N532</f>
        <v>DOP/AD/006/2021</v>
      </c>
      <c r="M532" s="2" t="str">
        <f>OBRA!O532</f>
        <v>CANCELADA</v>
      </c>
      <c r="N532" s="3">
        <f>OBRA!P532</f>
        <v>0</v>
      </c>
      <c r="O532" s="3"/>
      <c r="P532" s="6">
        <f>OBRA!S532</f>
        <v>0</v>
      </c>
      <c r="Q532" s="4">
        <f>OBRA!R532</f>
        <v>0</v>
      </c>
      <c r="R532" s="5">
        <f>OBRA!T532</f>
        <v>0</v>
      </c>
      <c r="S532" s="11">
        <f>OBRA!U532</f>
        <v>0</v>
      </c>
      <c r="T532" s="53"/>
      <c r="U532" s="377" t="s">
        <v>1428</v>
      </c>
      <c r="V532" s="309"/>
      <c r="W532" s="11"/>
      <c r="X532" s="279">
        <f>OBRA!AR532</f>
        <v>0</v>
      </c>
      <c r="Y532" s="309"/>
      <c r="Z532" s="309"/>
      <c r="AA532" s="5"/>
      <c r="AB532" s="313"/>
      <c r="AC532" s="317">
        <f>OBRA!BW532</f>
        <v>0</v>
      </c>
      <c r="AD532" s="352"/>
      <c r="AE532" s="352"/>
    </row>
    <row r="533" spans="1:31" ht="15" hidden="1" customHeight="1">
      <c r="A533" s="22" t="s">
        <v>2206</v>
      </c>
      <c r="B533" s="809" t="str">
        <f>GRAL!B535</f>
        <v>2018-2021</v>
      </c>
      <c r="C533" s="16">
        <f>OBRA!J533</f>
        <v>2021</v>
      </c>
      <c r="D533" s="1415"/>
      <c r="E533" s="17" t="str">
        <f>OBRA!M533</f>
        <v>CUENTA CORRIENTE</v>
      </c>
      <c r="F533" s="478"/>
      <c r="G533" s="352"/>
      <c r="H533" s="1"/>
      <c r="I533" s="352"/>
      <c r="J533" s="54" t="str">
        <f>OBRA!W533</f>
        <v>N/A</v>
      </c>
      <c r="K533" s="55">
        <f>OBRA!X533</f>
        <v>0</v>
      </c>
      <c r="L533" s="19" t="str">
        <f>OBRA!N533</f>
        <v>DOP/AD/007/2021</v>
      </c>
      <c r="M533" s="2" t="str">
        <f>OBRA!O533</f>
        <v>CANCELADA</v>
      </c>
      <c r="N533" s="3" t="str">
        <f>OBRA!P533</f>
        <v xml:space="preserve">“MANO DE OBRA PARA LA REHABILITACIÓN DE LÍNEA DRENAJE EN CALLE LIBERTAD EN LA DELEGACIÓN DE POTRERILLOS”, DEL MUNICIPIO DE JOCOTEPEC, JALISCO. </v>
      </c>
      <c r="O533" s="3"/>
      <c r="P533" s="6">
        <f>OBRA!S533</f>
        <v>44302</v>
      </c>
      <c r="Q533" s="4">
        <f>OBRA!R533</f>
        <v>227155</v>
      </c>
      <c r="R533" s="5">
        <f>OBRA!T533</f>
        <v>44228</v>
      </c>
      <c r="S533" s="11">
        <f>OBRA!U533</f>
        <v>44281</v>
      </c>
      <c r="T533" s="53"/>
      <c r="U533" s="377" t="s">
        <v>1428</v>
      </c>
      <c r="V533" s="309"/>
      <c r="W533" s="11"/>
      <c r="X533" s="279">
        <f>OBRA!AR533</f>
        <v>0</v>
      </c>
      <c r="Y533" s="309"/>
      <c r="Z533" s="309"/>
      <c r="AA533" s="5"/>
      <c r="AB533" s="313"/>
      <c r="AC533" s="317">
        <f>OBRA!BW533</f>
        <v>0</v>
      </c>
      <c r="AD533" s="352"/>
      <c r="AE533" s="352"/>
    </row>
    <row r="534" spans="1:31" ht="15" hidden="1" customHeight="1">
      <c r="A534" s="22" t="s">
        <v>2206</v>
      </c>
      <c r="B534" s="809" t="str">
        <f>GRAL!B536</f>
        <v>2018-2021</v>
      </c>
      <c r="C534" s="16">
        <f>OBRA!J534</f>
        <v>2021</v>
      </c>
      <c r="D534" s="1415"/>
      <c r="E534" s="17" t="str">
        <f>OBRA!M534</f>
        <v>RAMO 33</v>
      </c>
      <c r="F534" s="478"/>
      <c r="G534" s="352"/>
      <c r="H534" s="1"/>
      <c r="I534" s="352"/>
      <c r="J534" s="54" t="str">
        <f>OBRA!W534</f>
        <v>N/A</v>
      </c>
      <c r="K534" s="55" t="str">
        <f>OBRA!X534</f>
        <v>DANIEL RODRIGUEZ</v>
      </c>
      <c r="L534" s="19" t="str">
        <f>OBRA!N534</f>
        <v>DOP/AD/008/2021</v>
      </c>
      <c r="M534" s="2" t="str">
        <f>OBRA!O534</f>
        <v>ADMINISTRACIÓN DIRECTA</v>
      </c>
      <c r="N534" s="3" t="str">
        <f>OBRA!P534</f>
        <v>"CONSTRUCCIÓN DE DRENAJE SANITARIO EN PRIVADA FRANCISCO VILLA DE LA CALLE 1RO DE MAYO A CERRADA" EN LA DELEGACIÓN DE LA LOMA, EN EL MUNICIPIO DE JOCOTEPEC, JALISCO.</v>
      </c>
      <c r="O534" s="3"/>
      <c r="P534" s="6">
        <f>OBRA!S534</f>
        <v>44356</v>
      </c>
      <c r="Q534" s="4">
        <f>OBRA!R534</f>
        <v>113778.58</v>
      </c>
      <c r="R534" s="5">
        <f>OBRA!T534</f>
        <v>44361</v>
      </c>
      <c r="S534" s="11">
        <f>OBRA!U534</f>
        <v>44379</v>
      </c>
      <c r="T534" s="53"/>
      <c r="U534" s="377" t="s">
        <v>1428</v>
      </c>
      <c r="V534" s="309"/>
      <c r="W534" s="11"/>
      <c r="X534" s="279">
        <f>OBRA!AR534</f>
        <v>0</v>
      </c>
      <c r="Y534" s="309"/>
      <c r="Z534" s="309"/>
      <c r="AA534" s="5"/>
      <c r="AB534" s="313"/>
      <c r="AC534" s="317">
        <f>OBRA!BW534</f>
        <v>0</v>
      </c>
      <c r="AD534" s="352"/>
      <c r="AE534" s="352"/>
    </row>
    <row r="535" spans="1:31" ht="15" hidden="1" customHeight="1">
      <c r="A535" s="22" t="s">
        <v>2206</v>
      </c>
      <c r="B535" s="809" t="str">
        <f>GRAL!B537</f>
        <v>2018-2021</v>
      </c>
      <c r="C535" s="16">
        <f>OBRA!J535</f>
        <v>2021</v>
      </c>
      <c r="D535" s="1415"/>
      <c r="E535" s="17" t="str">
        <f>OBRA!M535</f>
        <v>CUENTA CORRIENTE</v>
      </c>
      <c r="F535" s="478"/>
      <c r="G535" s="352"/>
      <c r="H535" s="1"/>
      <c r="I535" s="352"/>
      <c r="J535" s="54" t="str">
        <f>OBRA!W535</f>
        <v>N/A</v>
      </c>
      <c r="K535" s="55" t="str">
        <f>OBRA!X535</f>
        <v>DANIEL RODRIGUEZ</v>
      </c>
      <c r="L535" s="19" t="str">
        <f>OBRA!N535</f>
        <v>DOP/AD/009/2021</v>
      </c>
      <c r="M535" s="2" t="str">
        <f>OBRA!O535</f>
        <v>CANCELADA</v>
      </c>
      <c r="N535" s="3" t="str">
        <f>OBRA!P535</f>
        <v>“CONSTRUCCIÓN DE LÍNEA DE AGUA POTABLE EN PRIV. FRANCISCO VILLA DE LA CALLE 1RO DE MAYO A CERRADA”, EN LA DELEGACIÓN DE LA LOMA, EN EL MUNICIPIO DE JOCOTEPEC, JALISCO.</v>
      </c>
      <c r="O535" s="3"/>
      <c r="P535" s="6">
        <f>OBRA!S535</f>
        <v>44356</v>
      </c>
      <c r="Q535" s="4">
        <f>OBRA!R535</f>
        <v>77686.679999999993</v>
      </c>
      <c r="R535" s="5">
        <f>OBRA!T535</f>
        <v>44369</v>
      </c>
      <c r="S535" s="11">
        <f>OBRA!U535</f>
        <v>44383</v>
      </c>
      <c r="T535" s="53"/>
      <c r="U535" s="377" t="s">
        <v>1428</v>
      </c>
      <c r="V535" s="309"/>
      <c r="W535" s="11"/>
      <c r="X535" s="279">
        <f>OBRA!AR535</f>
        <v>0</v>
      </c>
      <c r="Y535" s="309"/>
      <c r="Z535" s="309"/>
      <c r="AA535" s="5"/>
      <c r="AB535" s="313"/>
      <c r="AC535" s="317">
        <f>OBRA!BW535</f>
        <v>0</v>
      </c>
      <c r="AD535" s="352"/>
      <c r="AE535" s="352"/>
    </row>
    <row r="536" spans="1:31" ht="15" hidden="1" customHeight="1">
      <c r="A536" s="22" t="s">
        <v>2206</v>
      </c>
      <c r="B536" s="809" t="str">
        <f>GRAL!B539</f>
        <v>2018-2021</v>
      </c>
      <c r="C536" s="16">
        <f>OBRA!J537</f>
        <v>2021</v>
      </c>
      <c r="D536" s="1415"/>
      <c r="E536" s="17" t="str">
        <f>OBRA!M537</f>
        <v>CUENTA CORRIENTE</v>
      </c>
      <c r="F536" s="478"/>
      <c r="G536" s="352"/>
      <c r="H536" s="1"/>
      <c r="I536" s="352"/>
      <c r="J536" s="54" t="str">
        <f>OBRA!W537</f>
        <v>N/A</v>
      </c>
      <c r="K536" s="55" t="str">
        <f>OBRA!X537</f>
        <v>ING. LUIS RIGOBERTO OLMEDO NAVARRO</v>
      </c>
      <c r="L536" s="19" t="str">
        <f>OBRA!N537</f>
        <v>DOP/AD/011/2021</v>
      </c>
      <c r="M536" s="2" t="str">
        <f>OBRA!O537</f>
        <v>ADMINISTRACIÓN DIRECTA</v>
      </c>
      <c r="N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OBRA!S537</f>
        <v>44232</v>
      </c>
      <c r="Q536" s="4">
        <f>OBRA!R537</f>
        <v>271040</v>
      </c>
      <c r="R536" s="5">
        <f>OBRA!T537</f>
        <v>44236</v>
      </c>
      <c r="S536" s="11">
        <f>OBRA!U537</f>
        <v>44257</v>
      </c>
      <c r="T536" s="53"/>
      <c r="U536" s="377" t="s">
        <v>1428</v>
      </c>
      <c r="V536" s="309"/>
      <c r="W536" s="11"/>
      <c r="X536" s="279">
        <f>OBRA!AR537</f>
        <v>0</v>
      </c>
      <c r="Y536" s="309"/>
      <c r="Z536" s="309"/>
      <c r="AA536" s="5"/>
      <c r="AB536" s="313"/>
      <c r="AC536" s="317">
        <f>OBRA!BW537</f>
        <v>0</v>
      </c>
      <c r="AD536" s="352"/>
      <c r="AE536" s="352"/>
    </row>
    <row r="537" spans="1:31" ht="15" hidden="1" customHeight="1">
      <c r="A537" s="22" t="s">
        <v>2206</v>
      </c>
      <c r="B537" s="809" t="str">
        <f>GRAL!B540</f>
        <v>2018-2021</v>
      </c>
      <c r="C537" s="16">
        <f>OBRA!J538</f>
        <v>2021</v>
      </c>
      <c r="D537" s="1415"/>
      <c r="E537" s="17" t="str">
        <f>OBRA!M538</f>
        <v>RASTRO DIGNO 2020</v>
      </c>
      <c r="F537" s="478"/>
      <c r="G537" s="352"/>
      <c r="H537" s="1"/>
      <c r="I537" s="352"/>
      <c r="J537" s="54" t="str">
        <f>OBRA!W538</f>
        <v>-</v>
      </c>
      <c r="K537" s="55" t="str">
        <f>OBRA!X538</f>
        <v>ARQ. JAIME CONDE GOMEZ</v>
      </c>
      <c r="L537" s="19" t="str">
        <f>OBRA!N538</f>
        <v>DOP/AD/012/2021</v>
      </c>
      <c r="M537" s="2" t="str">
        <f>OBRA!O538</f>
        <v>CANCELADA</v>
      </c>
      <c r="N537" s="3" t="str">
        <f>OBRA!P538</f>
        <v>“COMPLEMENTO DE OBRA CIVIL EN EL RASTRO MUNICIPAL”, DE LA CABECERA MUNICIPAL DE JOCOTEPEC, JALISCO.</v>
      </c>
      <c r="O537" s="3"/>
      <c r="P537" s="6">
        <f>OBRA!S538</f>
        <v>44438</v>
      </c>
      <c r="Q537" s="4">
        <f>OBRA!R538</f>
        <v>124003.71</v>
      </c>
      <c r="R537" s="5">
        <f>OBRA!T538</f>
        <v>44445</v>
      </c>
      <c r="S537" s="11">
        <f>OBRA!U538</f>
        <v>44463</v>
      </c>
      <c r="T537" s="53"/>
      <c r="U537" s="377" t="s">
        <v>1428</v>
      </c>
      <c r="V537" s="309"/>
      <c r="W537" s="11"/>
      <c r="X537" s="279">
        <f>OBRA!AR538</f>
        <v>0</v>
      </c>
      <c r="Y537" s="309"/>
      <c r="Z537" s="309"/>
      <c r="AA537" s="5"/>
      <c r="AB537" s="313"/>
      <c r="AC537" s="317">
        <f>OBRA!BW538</f>
        <v>0</v>
      </c>
      <c r="AD537" s="352"/>
      <c r="AE537" s="352"/>
    </row>
    <row r="538" spans="1:31" ht="15" hidden="1" customHeight="1">
      <c r="A538" s="22" t="s">
        <v>2206</v>
      </c>
      <c r="B538" s="809" t="str">
        <f>GRAL!B541</f>
        <v>2018-2021</v>
      </c>
      <c r="C538" s="16">
        <f>OBRA!J539</f>
        <v>2021</v>
      </c>
      <c r="D538" s="1415"/>
      <c r="E538" s="17" t="str">
        <f>OBRA!M539</f>
        <v>CUENTA CORRIENTE</v>
      </c>
      <c r="F538" s="478"/>
      <c r="G538" s="352"/>
      <c r="H538" s="1"/>
      <c r="I538" s="352"/>
      <c r="J538" s="54" t="str">
        <f>OBRA!W539</f>
        <v>N/A</v>
      </c>
      <c r="K538" s="55" t="str">
        <f>OBRA!X539</f>
        <v>ING. J. GUADALUPE IBARRA RAMIREZ</v>
      </c>
      <c r="L538" s="19" t="str">
        <f>OBRA!N539</f>
        <v>DOP/AD/013/2021</v>
      </c>
      <c r="M538" s="2" t="str">
        <f>OBRA!O539</f>
        <v>ADMINISTRACIÓN DIRECTA</v>
      </c>
      <c r="N538" s="3" t="str">
        <f>OBRA!P539</f>
        <v>“MANTENIMIENTO, REPARACIÓN DE SUPERFICIE DE RODAMIENTO EN EMPEDRADO ZAMPEADO (GRIETA SUPERFICIAL Y ESTRUCTURAL), CONSTRUCCIÓN DE MACHUELO EN C. PADRE ADALBERTO MACIAS”, EN LA CABECERA MUNICIPAL DE JOCOTEPEC, JALISCO.</v>
      </c>
      <c r="O538" s="3"/>
      <c r="P538" s="6">
        <f>OBRA!S539</f>
        <v>44407</v>
      </c>
      <c r="Q538" s="4">
        <f>OBRA!R539</f>
        <v>168528.09</v>
      </c>
      <c r="R538" s="5">
        <f>OBRA!T539</f>
        <v>44410</v>
      </c>
      <c r="S538" s="11">
        <f>OBRA!U539</f>
        <v>44469</v>
      </c>
      <c r="T538" s="53"/>
      <c r="U538" s="377" t="s">
        <v>1428</v>
      </c>
      <c r="V538" s="309"/>
      <c r="W538" s="11"/>
      <c r="X538" s="279">
        <f>OBRA!AR539</f>
        <v>0</v>
      </c>
      <c r="Y538" s="309"/>
      <c r="Z538" s="309"/>
      <c r="AA538" s="5"/>
      <c r="AB538" s="313"/>
      <c r="AC538" s="317">
        <f>OBRA!BW539</f>
        <v>0</v>
      </c>
      <c r="AD538" s="352"/>
      <c r="AE538" s="352"/>
    </row>
    <row r="539" spans="1:31" ht="15" hidden="1" customHeight="1">
      <c r="A539" s="22" t="s">
        <v>2206</v>
      </c>
      <c r="B539" s="809" t="str">
        <f>GRAL!B542</f>
        <v>2018-2021</v>
      </c>
      <c r="C539" s="16">
        <f>OBRA!J540</f>
        <v>2021</v>
      </c>
      <c r="D539" s="1415"/>
      <c r="E539" s="17" t="str">
        <f>OBRA!M540</f>
        <v>EMP P/LA REACTIVACIÓN ECONÓMICA EN MPIOS</v>
      </c>
      <c r="F539" s="478"/>
      <c r="G539" s="352"/>
      <c r="H539" s="1"/>
      <c r="I539" s="352"/>
      <c r="J539" s="54" t="str">
        <f>OBRA!W540</f>
        <v>N/A</v>
      </c>
      <c r="K539" s="55" t="str">
        <f>OBRA!X540</f>
        <v>DANIEL RODRIGUEZ</v>
      </c>
      <c r="L539" s="19" t="str">
        <f>OBRA!N540</f>
        <v>DOP/AD/014/2021</v>
      </c>
      <c r="M539" s="2" t="str">
        <f>OBRA!O540</f>
        <v>ADMINISTRACIÓN DIRECTA</v>
      </c>
      <c r="N539" s="3" t="str">
        <f>OBRA!P540</f>
        <v>CONSTRUCCIÓN DE EMPEDRADO ZAMPEADO EN VIALIDAD CALLE GUAYABITOS, EN LA LOCALIDAD DE CHANTEPEC, DEL MUNICIPIO DE JOCOTEPEC, JALISCO.</v>
      </c>
      <c r="O539" s="3"/>
      <c r="P539" s="6">
        <f>OBRA!S540</f>
        <v>44378</v>
      </c>
      <c r="Q539" s="4">
        <f>OBRA!R540</f>
        <v>80674.649999999994</v>
      </c>
      <c r="R539" s="5">
        <f>OBRA!T540</f>
        <v>44438</v>
      </c>
      <c r="S539" s="11">
        <f>OBRA!U540</f>
        <v>44464</v>
      </c>
      <c r="T539" s="53"/>
      <c r="U539" s="377" t="s">
        <v>1428</v>
      </c>
      <c r="V539" s="309"/>
      <c r="W539" s="11"/>
      <c r="X539" s="279">
        <f>OBRA!AR540</f>
        <v>0</v>
      </c>
      <c r="Y539" s="309"/>
      <c r="Z539" s="309"/>
      <c r="AA539" s="5"/>
      <c r="AB539" s="313"/>
      <c r="AC539" s="317">
        <f>OBRA!BW540</f>
        <v>0</v>
      </c>
      <c r="AD539" s="352"/>
      <c r="AE539" s="352"/>
    </row>
    <row r="540" spans="1:31" ht="15" hidden="1" customHeight="1">
      <c r="A540" s="22" t="s">
        <v>2206</v>
      </c>
      <c r="B540" s="809" t="str">
        <f>GRAL!B543</f>
        <v>2018-2021</v>
      </c>
      <c r="C540" s="16">
        <f>OBRA!J541</f>
        <v>2021</v>
      </c>
      <c r="D540" s="1415"/>
      <c r="E540" s="17" t="str">
        <f>OBRA!M541</f>
        <v>EMP P/LA REACTIVACIÓN ECONÓMICA EN MPIOS</v>
      </c>
      <c r="F540" s="478"/>
      <c r="G540" s="352"/>
      <c r="H540" s="1"/>
      <c r="I540" s="352"/>
      <c r="J540" s="54" t="str">
        <f>OBRA!W541</f>
        <v>N/A</v>
      </c>
      <c r="K540" s="55" t="str">
        <f>OBRA!X541</f>
        <v>DANIEL RODRIGUEZ</v>
      </c>
      <c r="L540" s="19" t="str">
        <f>OBRA!N541</f>
        <v>DOP/AD/015/2021</v>
      </c>
      <c r="M540" s="2" t="str">
        <f>OBRA!O541</f>
        <v>ADMINISTRACIÓN DIRECTA</v>
      </c>
      <c r="N540" s="3" t="str">
        <f>OBRA!P541</f>
        <v>CONSTRUCCIÓN DE EMPEDRADO ZAMPEADO EN LA LOCALIDAD DE LA LOMA</v>
      </c>
      <c r="O540" s="3"/>
      <c r="P540" s="6">
        <f>OBRA!S541</f>
        <v>44378</v>
      </c>
      <c r="Q540" s="4">
        <f>OBRA!R541</f>
        <v>966321.38</v>
      </c>
      <c r="R540" s="5">
        <f>OBRA!T541</f>
        <v>44438</v>
      </c>
      <c r="S540" s="11">
        <f>OBRA!U541</f>
        <v>44452</v>
      </c>
      <c r="T540" s="53"/>
      <c r="U540" s="377" t="s">
        <v>1428</v>
      </c>
      <c r="V540" s="309"/>
      <c r="W540" s="11"/>
      <c r="X540" s="279">
        <f>OBRA!AR541</f>
        <v>0</v>
      </c>
      <c r="Y540" s="309"/>
      <c r="Z540" s="309"/>
      <c r="AA540" s="5"/>
      <c r="AB540" s="313"/>
      <c r="AC540" s="317">
        <f>OBRA!BW541</f>
        <v>0</v>
      </c>
      <c r="AD540" s="352"/>
      <c r="AE540" s="352"/>
    </row>
    <row r="541" spans="1:31" ht="15" hidden="1" customHeight="1">
      <c r="A541" s="22" t="s">
        <v>2206</v>
      </c>
      <c r="B541" s="809" t="str">
        <f>GRAL!B544</f>
        <v>2018-2021</v>
      </c>
      <c r="C541" s="16">
        <f>OBRA!J542</f>
        <v>2021</v>
      </c>
      <c r="D541" s="1415"/>
      <c r="E541" s="17" t="str">
        <f>OBRA!M542</f>
        <v>EMP P/LA REACTIVACIÓN ECONÓMICA EN MPIOS</v>
      </c>
      <c r="F541" s="478"/>
      <c r="G541" s="352"/>
      <c r="H541" s="1"/>
      <c r="I541" s="352"/>
      <c r="J541" s="54" t="str">
        <f>OBRA!W542</f>
        <v>N/A</v>
      </c>
      <c r="K541" s="55" t="str">
        <f>OBRA!X542</f>
        <v>DANIEL RODRIGUEZ</v>
      </c>
      <c r="L541" s="19" t="str">
        <f>OBRA!N542</f>
        <v>DOP/AD/016/2021</v>
      </c>
      <c r="M541" s="2" t="str">
        <f>OBRA!O542</f>
        <v>ADMINISTRACIÓN DIRECTA</v>
      </c>
      <c r="N541" s="3" t="str">
        <f>OBRA!P542</f>
        <v>CONSTRUCCIÓN DE EMPEDRADO ZAMPEADO EN LA LOCALIDAD DE LA SAN JUAN COSALA</v>
      </c>
      <c r="O541" s="3"/>
      <c r="P541" s="6">
        <f>OBRA!S542</f>
        <v>44378</v>
      </c>
      <c r="Q541" s="4">
        <f>OBRA!R542</f>
        <v>831652.39</v>
      </c>
      <c r="R541" s="5">
        <f>OBRA!T542</f>
        <v>44466</v>
      </c>
      <c r="S541" s="11">
        <f>OBRA!U542</f>
        <v>44541</v>
      </c>
      <c r="T541" s="53"/>
      <c r="U541" s="377" t="s">
        <v>1428</v>
      </c>
      <c r="V541" s="309"/>
      <c r="W541" s="11"/>
      <c r="X541" s="279">
        <f>OBRA!AR542</f>
        <v>0</v>
      </c>
      <c r="Y541" s="309"/>
      <c r="Z541" s="309"/>
      <c r="AA541" s="5"/>
      <c r="AB541" s="313"/>
      <c r="AC541" s="317">
        <f>OBRA!BW542</f>
        <v>0</v>
      </c>
      <c r="AD541" s="352"/>
      <c r="AE541" s="352"/>
    </row>
    <row r="542" spans="1:31" ht="15" hidden="1" customHeight="1">
      <c r="A542" s="22" t="s">
        <v>2206</v>
      </c>
      <c r="B542" s="809" t="str">
        <f>GRAL!B545</f>
        <v>2018-2021</v>
      </c>
      <c r="C542" s="16">
        <f>OBRA!J543</f>
        <v>2021</v>
      </c>
      <c r="D542" s="1415"/>
      <c r="E542" s="17" t="str">
        <f>OBRA!M543</f>
        <v>EMP P/LA REACTIVACIÓN ECONÓMICA EN MPIOS</v>
      </c>
      <c r="F542" s="478"/>
      <c r="G542" s="352"/>
      <c r="H542" s="1"/>
      <c r="I542" s="352"/>
      <c r="J542" s="54" t="str">
        <f>OBRA!W543</f>
        <v>N/A</v>
      </c>
      <c r="K542" s="55" t="str">
        <f>OBRA!X543</f>
        <v>DANIEL RODRIGUEZ</v>
      </c>
      <c r="L542" s="19" t="str">
        <f>OBRA!N543</f>
        <v>DOP/AD/017/2021</v>
      </c>
      <c r="M542" s="2" t="str">
        <f>OBRA!O543</f>
        <v>ADMINISTRACIÓN DIRECTA</v>
      </c>
      <c r="N542" s="3" t="str">
        <f>OBRA!P543</f>
        <v>CONSTRUCCIÓN DE EMPEDRADO ZAMPEADO EN LA LOCALIDAD DE LA NEXTIPAC</v>
      </c>
      <c r="O542" s="3"/>
      <c r="P542" s="6">
        <f>OBRA!S543</f>
        <v>44378</v>
      </c>
      <c r="Q542" s="4">
        <f>OBRA!R543</f>
        <v>1965177.84</v>
      </c>
      <c r="R542" s="5">
        <f>OBRA!T543</f>
        <v>44438</v>
      </c>
      <c r="S542" s="11">
        <f>OBRA!U543</f>
        <v>44492</v>
      </c>
      <c r="T542" s="53"/>
      <c r="U542" s="377" t="s">
        <v>1428</v>
      </c>
      <c r="V542" s="309"/>
      <c r="W542" s="11"/>
      <c r="X542" s="279">
        <f>OBRA!AR543</f>
        <v>0</v>
      </c>
      <c r="Y542" s="309"/>
      <c r="Z542" s="309"/>
      <c r="AA542" s="5"/>
      <c r="AB542" s="313"/>
      <c r="AC542" s="317">
        <f>OBRA!BW543</f>
        <v>0</v>
      </c>
      <c r="AD542" s="352"/>
      <c r="AE542" s="352"/>
    </row>
    <row r="543" spans="1:31" ht="15" hidden="1" customHeight="1">
      <c r="A543" s="22" t="s">
        <v>2206</v>
      </c>
      <c r="B543" s="809" t="str">
        <f>GRAL!B546</f>
        <v>2018-2021</v>
      </c>
      <c r="C543" s="16">
        <f>OBRA!J544</f>
        <v>2021</v>
      </c>
      <c r="D543" s="1415"/>
      <c r="E543" s="17" t="str">
        <f>OBRA!M544</f>
        <v>EMP P/LA REACTIVACIÓN ECONÓMICA EN MPIOS</v>
      </c>
      <c r="F543" s="478"/>
      <c r="G543" s="352"/>
      <c r="H543" s="1"/>
      <c r="I543" s="352"/>
      <c r="J543" s="54" t="str">
        <f>OBRA!W544</f>
        <v>N/A</v>
      </c>
      <c r="K543" s="55" t="str">
        <f>OBRA!X544</f>
        <v>DANIEL RODRIGUEZ</v>
      </c>
      <c r="L543" s="19" t="str">
        <f>OBRA!N544</f>
        <v>DOP/AD/018/2021</v>
      </c>
      <c r="M543" s="2" t="str">
        <f>OBRA!O544</f>
        <v>ADMINISTRACIÓN DIRECTA</v>
      </c>
      <c r="N543" s="3" t="str">
        <f>OBRA!P544</f>
        <v>CONSTRUCCIÓN DE EMPEDRADO ZAMPEADO EN VIALIDAD CALLE FERNANDO MONTES DE OCA DE KM  0+000.00 AL KM 0+254.71 (ENTRE CALLE VICENTE SUAREZ Y CALLE SIN, EN LA LOCALIDAD DE EL MOLINO, DEL MUNICIPIO DE JOCOTEPEC, JALISCO.</v>
      </c>
      <c r="O543" s="3"/>
      <c r="P543" s="6">
        <f>OBRA!S544</f>
        <v>44378</v>
      </c>
      <c r="Q543" s="4">
        <f>OBRA!R544</f>
        <v>643795.13</v>
      </c>
      <c r="R543" s="5">
        <f>OBRA!T544</f>
        <v>44487</v>
      </c>
      <c r="S543" s="11">
        <f>OBRA!U544</f>
        <v>44541</v>
      </c>
      <c r="T543" s="53"/>
      <c r="U543" s="377" t="s">
        <v>1428</v>
      </c>
      <c r="V543" s="309"/>
      <c r="W543" s="11"/>
      <c r="X543" s="279">
        <f>OBRA!AR544</f>
        <v>0</v>
      </c>
      <c r="Y543" s="309"/>
      <c r="Z543" s="309"/>
      <c r="AA543" s="5"/>
      <c r="AB543" s="313"/>
      <c r="AC543" s="317">
        <f>OBRA!BW544</f>
        <v>0</v>
      </c>
      <c r="AD543" s="352"/>
      <c r="AE543" s="352"/>
    </row>
    <row r="544" spans="1:31" ht="15" hidden="1" customHeight="1">
      <c r="A544" s="22" t="s">
        <v>2206</v>
      </c>
      <c r="B544" s="809" t="str">
        <f>GRAL!B547</f>
        <v>2018-2021</v>
      </c>
      <c r="C544" s="16">
        <f>OBRA!J545</f>
        <v>2021</v>
      </c>
      <c r="D544" s="1415"/>
      <c r="E544" s="17" t="str">
        <f>OBRA!M545</f>
        <v>EMP P/LA REACTIVACIÓN ECONÓMICA EN MPIOS</v>
      </c>
      <c r="F544" s="478"/>
      <c r="G544" s="352"/>
      <c r="H544" s="1"/>
      <c r="I544" s="352"/>
      <c r="J544" s="54" t="str">
        <f>OBRA!W545</f>
        <v>N/A</v>
      </c>
      <c r="K544" s="55" t="str">
        <f>OBRA!X545</f>
        <v>DANIEL RODRIGUEZ</v>
      </c>
      <c r="L544" s="19" t="str">
        <f>OBRA!N545</f>
        <v>DOP/AD/019/2021</v>
      </c>
      <c r="M544" s="2" t="str">
        <f>OBRA!O545</f>
        <v>ADMINISTRACIÓN DIRECTA</v>
      </c>
      <c r="N544" s="3" t="str">
        <f>OBRA!P545</f>
        <v>CONSTRUCCIÓN DE EMPEDRADO ZAMPEADO EN VIALIDAD CALLE LIBERTAD DE KM 0+000.00 AL KM 0+221.00 (ENTRE BENITO JUAREZ A ESMERALDA), EN LA LOCALIDAD DE POTRERILLOS DEL MUNICIPIO DE JOCOTEPEC, JALISCO.</v>
      </c>
      <c r="O544" s="3"/>
      <c r="P544" s="6">
        <f>OBRA!S545</f>
        <v>44378</v>
      </c>
      <c r="Q544" s="4">
        <f>OBRA!R545</f>
        <v>512378.61</v>
      </c>
      <c r="R544" s="5">
        <f>OBRA!T545</f>
        <v>44513</v>
      </c>
      <c r="S544" s="11">
        <f>OBRA!U545</f>
        <v>44541</v>
      </c>
      <c r="T544" s="53"/>
      <c r="U544" s="377" t="s">
        <v>1428</v>
      </c>
      <c r="V544" s="309"/>
      <c r="W544" s="11"/>
      <c r="X544" s="279">
        <f>OBRA!AR545</f>
        <v>0</v>
      </c>
      <c r="Y544" s="309"/>
      <c r="Z544" s="309"/>
      <c r="AA544" s="5"/>
      <c r="AB544" s="313"/>
      <c r="AC544" s="317">
        <f>OBRA!BW545</f>
        <v>0</v>
      </c>
      <c r="AD544" s="352"/>
      <c r="AE544" s="352"/>
    </row>
    <row r="545" spans="1:31" ht="15" hidden="1" customHeight="1">
      <c r="A545" s="22" t="s">
        <v>2206</v>
      </c>
      <c r="B545" s="809" t="str">
        <f>GRAL!B548</f>
        <v>2018-2021</v>
      </c>
      <c r="C545" s="16">
        <f>OBRA!J546</f>
        <v>2021</v>
      </c>
      <c r="D545" s="1415"/>
      <c r="E545" s="17">
        <f>OBRA!M546</f>
        <v>0</v>
      </c>
      <c r="F545" s="478"/>
      <c r="G545" s="352"/>
      <c r="H545" s="1"/>
      <c r="I545" s="352"/>
      <c r="J545" s="54">
        <f>OBRA!W546</f>
        <v>0</v>
      </c>
      <c r="K545" s="55">
        <f>OBRA!X546</f>
        <v>0</v>
      </c>
      <c r="L545" s="19" t="str">
        <f>OBRA!N546</f>
        <v>DOP/AD/020/2021</v>
      </c>
      <c r="M545" s="2" t="str">
        <f>OBRA!O546</f>
        <v>CANCELADA</v>
      </c>
      <c r="N545" s="3">
        <f>OBRA!P546</f>
        <v>0</v>
      </c>
      <c r="O545" s="3"/>
      <c r="P545" s="6">
        <f>OBRA!S546</f>
        <v>0</v>
      </c>
      <c r="Q545" s="4">
        <f>OBRA!R546</f>
        <v>0</v>
      </c>
      <c r="R545" s="5">
        <f>OBRA!T546</f>
        <v>0</v>
      </c>
      <c r="S545" s="11">
        <f>OBRA!U546</f>
        <v>0</v>
      </c>
      <c r="T545" s="53"/>
      <c r="U545" s="377" t="s">
        <v>1428</v>
      </c>
      <c r="V545" s="309"/>
      <c r="W545" s="11"/>
      <c r="X545" s="279">
        <f>OBRA!AR546</f>
        <v>0</v>
      </c>
      <c r="Y545" s="309"/>
      <c r="Z545" s="309"/>
      <c r="AA545" s="5"/>
      <c r="AB545" s="313"/>
      <c r="AC545" s="317">
        <f>OBRA!BW546</f>
        <v>0</v>
      </c>
      <c r="AD545" s="352"/>
      <c r="AE545" s="352"/>
    </row>
    <row r="546" spans="1:31" ht="15" hidden="1" customHeight="1">
      <c r="A546" s="22" t="s">
        <v>45</v>
      </c>
      <c r="B546" s="809" t="str">
        <f>GRAL!B549</f>
        <v>2018-2021</v>
      </c>
      <c r="C546" s="16">
        <f>OBRA!J547</f>
        <v>2021</v>
      </c>
      <c r="D546" s="1415"/>
      <c r="E546" s="17" t="str">
        <f>OBRA!M547</f>
        <v>CUENTA CORRIENTE</v>
      </c>
      <c r="F546" s="478"/>
      <c r="G546" s="352"/>
      <c r="H546" s="1"/>
      <c r="I546" s="352"/>
      <c r="J546" s="54" t="str">
        <f>OBRA!W547</f>
        <v>URIEL PALOS CUEVAS</v>
      </c>
      <c r="K546" s="55" t="str">
        <f>OBRA!X547</f>
        <v>DANIEL RODRIGUEZ</v>
      </c>
      <c r="L546" s="19" t="str">
        <f>OBRA!N547</f>
        <v>C- OP 001/2021</v>
      </c>
      <c r="M546" s="2" t="str">
        <f>OBRA!O547</f>
        <v>ARRENDAMIENTO</v>
      </c>
      <c r="N546" s="3" t="str">
        <f>OBRA!P547</f>
        <v>RENTA DE CAMIÓN DE VOLTEO MARCA FREIGHTLINER DE 14 M3, PARA SER UTILIZADO EN EL MÓDULO DE MAQUINARÍA DEL MUNICIPIO DE JOCOTEPEC, JALISCO.</v>
      </c>
      <c r="O546" s="3"/>
      <c r="P546" s="6">
        <f>OBRA!S547</f>
        <v>44204</v>
      </c>
      <c r="Q546" s="4">
        <f>OBRA!R547</f>
        <v>45000</v>
      </c>
      <c r="R546" s="5">
        <f>OBRA!T547</f>
        <v>44208</v>
      </c>
      <c r="S546" s="11">
        <f>OBRA!U547</f>
        <v>44298</v>
      </c>
      <c r="T546" s="53"/>
      <c r="U546" s="377" t="s">
        <v>1428</v>
      </c>
      <c r="V546" s="309"/>
      <c r="W546" s="11"/>
      <c r="X546" s="279">
        <f>OBRA!AR547</f>
        <v>0</v>
      </c>
      <c r="Y546" s="309"/>
      <c r="Z546" s="309"/>
      <c r="AA546" s="5"/>
      <c r="AB546" s="313"/>
      <c r="AC546" s="317">
        <f>OBRA!BW547</f>
        <v>0</v>
      </c>
      <c r="AD546" s="352"/>
      <c r="AE546" s="352"/>
    </row>
    <row r="547" spans="1:31" ht="15" hidden="1" customHeight="1">
      <c r="A547" s="22" t="s">
        <v>45</v>
      </c>
      <c r="B547" s="809" t="str">
        <f>GRAL!B550</f>
        <v>2018-2021</v>
      </c>
      <c r="C547" s="16">
        <f>OBRA!J548</f>
        <v>2021</v>
      </c>
      <c r="D547" s="1415"/>
      <c r="E547" s="17" t="str">
        <f>OBRA!M548</f>
        <v>CUENTA CORRIENTE</v>
      </c>
      <c r="F547" s="478"/>
      <c r="G547" s="352"/>
      <c r="H547" s="1"/>
      <c r="I547" s="352"/>
      <c r="J547" s="54" t="str">
        <f>OBRA!W548</f>
        <v>GRUPO ARANGE, S.A. DE C.V.</v>
      </c>
      <c r="K547" s="55" t="str">
        <f>OBRA!X548</f>
        <v>DANIEL RODRIGUEZ</v>
      </c>
      <c r="L547" s="19" t="str">
        <f>OBRA!N548</f>
        <v>C- OP 002/2021</v>
      </c>
      <c r="M547" s="2" t="str">
        <f>OBRA!O548</f>
        <v>ARRENDAMIENTO</v>
      </c>
      <c r="N547" s="3" t="str">
        <f>OBRA!P548</f>
        <v>RENTA DE RETROEXCAVADORA MARCA JOHN DEERE MOD 310SJ, PARA SER UTILIZADA EN LIMPIEZA DE CALLES DEL PROGRAMA SADER 2021 DEL MUNICIPIO DE JOCOTEPEC, JALISCO.</v>
      </c>
      <c r="O547" s="3"/>
      <c r="P547" s="6">
        <f>OBRA!S548</f>
        <v>44224</v>
      </c>
      <c r="Q547" s="4">
        <f>OBRA!R548</f>
        <v>64960</v>
      </c>
      <c r="R547" s="5">
        <f>OBRA!T548</f>
        <v>44228</v>
      </c>
      <c r="S547" s="11">
        <f>OBRA!U548</f>
        <v>44255</v>
      </c>
      <c r="T547" s="53"/>
      <c r="U547" s="377" t="s">
        <v>1428</v>
      </c>
      <c r="V547" s="309"/>
      <c r="W547" s="11"/>
      <c r="X547" s="279">
        <f>OBRA!AR548</f>
        <v>0</v>
      </c>
      <c r="Y547" s="309"/>
      <c r="Z547" s="309"/>
      <c r="AA547" s="5"/>
      <c r="AB547" s="313"/>
      <c r="AC547" s="317">
        <f>OBRA!BW548</f>
        <v>0</v>
      </c>
      <c r="AD547" s="352"/>
      <c r="AE547" s="352"/>
    </row>
    <row r="548" spans="1:31" ht="15" hidden="1" customHeight="1">
      <c r="A548" s="22" t="s">
        <v>45</v>
      </c>
      <c r="B548" s="809" t="str">
        <f>GRAL!B551</f>
        <v>2018-2021</v>
      </c>
      <c r="C548" s="16">
        <f>OBRA!J549</f>
        <v>2021</v>
      </c>
      <c r="D548" s="1415"/>
      <c r="E548" s="17" t="str">
        <f>OBRA!M549</f>
        <v>CUENTA CORRIENTE</v>
      </c>
      <c r="F548" s="478"/>
      <c r="G548" s="352"/>
      <c r="H548" s="1"/>
      <c r="I548" s="352"/>
      <c r="J548" s="54">
        <f>OBRA!W549</f>
        <v>0</v>
      </c>
      <c r="K548" s="55">
        <f>OBRA!X549</f>
        <v>0</v>
      </c>
      <c r="L548" s="19" t="str">
        <f>OBRA!N549</f>
        <v>C- OP 003/2021</v>
      </c>
      <c r="M548" s="2" t="str">
        <f>OBRA!O549</f>
        <v>ARRENDAMIENTO (CANCELADO)</v>
      </c>
      <c r="N548" s="3">
        <f>OBRA!P549</f>
        <v>0</v>
      </c>
      <c r="O548" s="3"/>
      <c r="P548" s="6">
        <f>OBRA!S549</f>
        <v>0</v>
      </c>
      <c r="Q548" s="4">
        <f>OBRA!R549</f>
        <v>0</v>
      </c>
      <c r="R548" s="5">
        <f>OBRA!T549</f>
        <v>0</v>
      </c>
      <c r="S548" s="11">
        <f>OBRA!U549</f>
        <v>0</v>
      </c>
      <c r="T548" s="53"/>
      <c r="U548" s="377" t="s">
        <v>1428</v>
      </c>
      <c r="V548" s="309"/>
      <c r="W548" s="11"/>
      <c r="X548" s="279">
        <f>OBRA!AR549</f>
        <v>0</v>
      </c>
      <c r="Y548" s="309"/>
      <c r="Z548" s="309"/>
      <c r="AA548" s="5"/>
      <c r="AB548" s="313"/>
      <c r="AC548" s="317">
        <f>OBRA!BW549</f>
        <v>0</v>
      </c>
      <c r="AD548" s="352"/>
      <c r="AE548" s="352"/>
    </row>
    <row r="549" spans="1:31" ht="15" hidden="1" customHeight="1">
      <c r="A549" s="22" t="s">
        <v>45</v>
      </c>
      <c r="B549" s="809" t="str">
        <f>GRAL!B552</f>
        <v>2018-2021</v>
      </c>
      <c r="C549" s="16">
        <f>OBRA!J550</f>
        <v>2021</v>
      </c>
      <c r="D549" s="1415"/>
      <c r="E549" s="17" t="str">
        <f>OBRA!M550</f>
        <v>CUENTA CORRIENTE</v>
      </c>
      <c r="F549" s="478"/>
      <c r="G549" s="352"/>
      <c r="H549" s="1"/>
      <c r="I549" s="352"/>
      <c r="J549" s="54" t="str">
        <f>OBRA!W550</f>
        <v>ING. SERGIO CABRERA</v>
      </c>
      <c r="K549" s="55" t="str">
        <f>OBRA!X550</f>
        <v>LIC. SALVADOR CONTRERAS OLGUÍN</v>
      </c>
      <c r="L549" s="19" t="str">
        <f>OBRA!N550</f>
        <v>C- OP 004/2021</v>
      </c>
      <c r="M549" s="2" t="str">
        <f>OBRA!O550</f>
        <v>ARRENDAMIENTO</v>
      </c>
      <c r="N549" s="3" t="str">
        <f>OBRA!P550</f>
        <v>RENTA DE RETROEXCAVADORA CATERPILAR 416E PARA SER UTILIZADA EN LA OBRA: REHABILITACIÓN DE LÍNEAS HIDROSANITARIAS EN CALLE JUÁREZ, CALLE 30 DE SEPTIEMBRE Y C. 5 DE MAYO" EN LA DELEGACIÓN DE HUEJOTITÁN, DEL MUNICIPIO DE JOCOTEPEC, JALISCO.</v>
      </c>
      <c r="O549" s="3"/>
      <c r="P549" s="6">
        <f>OBRA!S550</f>
        <v>44227</v>
      </c>
      <c r="Q549" s="4">
        <f>OBRA!R550</f>
        <v>580</v>
      </c>
      <c r="R549" s="5" t="str">
        <f>OBRA!T550</f>
        <v>-</v>
      </c>
      <c r="S549" s="11" t="str">
        <f>OBRA!U550</f>
        <v>-</v>
      </c>
      <c r="T549" s="53"/>
      <c r="U549" s="377" t="s">
        <v>1428</v>
      </c>
      <c r="V549" s="309"/>
      <c r="W549" s="11"/>
      <c r="X549" s="279">
        <f>OBRA!AR550</f>
        <v>0</v>
      </c>
      <c r="Y549" s="309"/>
      <c r="Z549" s="309"/>
      <c r="AA549" s="5"/>
      <c r="AB549" s="313"/>
      <c r="AC549" s="317">
        <f>OBRA!BW550</f>
        <v>0</v>
      </c>
      <c r="AD549" s="352"/>
      <c r="AE549" s="352"/>
    </row>
    <row r="550" spans="1:31" ht="15" hidden="1" customHeight="1">
      <c r="A550" s="22" t="s">
        <v>45</v>
      </c>
      <c r="B550" s="809" t="str">
        <f>GRAL!B553</f>
        <v>2018-2021</v>
      </c>
      <c r="C550" s="16">
        <f>OBRA!J551</f>
        <v>2021</v>
      </c>
      <c r="D550" s="1415"/>
      <c r="E550" s="17" t="str">
        <f>OBRA!M551</f>
        <v>CUENTA CORRIENTE</v>
      </c>
      <c r="F550" s="478"/>
      <c r="G550" s="352"/>
      <c r="H550" s="1"/>
      <c r="I550" s="352"/>
      <c r="J550" s="54" t="str">
        <f>OBRA!W551</f>
        <v>ING. SERGIO CABRERA</v>
      </c>
      <c r="K550" s="55" t="str">
        <f>OBRA!X551</f>
        <v>LIC. SALVADOR CONTRERAS OLGUÍN</v>
      </c>
      <c r="L550" s="19" t="str">
        <f>OBRA!N551</f>
        <v>C- OP 005/2021</v>
      </c>
      <c r="M550" s="2" t="str">
        <f>OBRA!O551</f>
        <v>ARRENDAMIENTO</v>
      </c>
      <c r="N550" s="3" t="str">
        <f>OBRA!P551</f>
        <v>RENTA DE CAMIÓN DE 14 M3, PARA SER UTILIZADO EN LA OBRA: REHABILITACIÓN DE LÍNEAS HIDROSANITARIAS EN CALLE JUÁREZ, CALLE 30 DE SEPTIEMBRE Y C. 5 DE MAYO" EN LA DELEGACIÓN DE HUEJOTITÁN, DEL MUNICIPIO DE JOCOTEPEC, JALISCO.</v>
      </c>
      <c r="O550" s="3"/>
      <c r="P550" s="6">
        <f>OBRA!S551</f>
        <v>44227</v>
      </c>
      <c r="Q550" s="4">
        <f>OBRA!R551</f>
        <v>696</v>
      </c>
      <c r="R550" s="5" t="str">
        <f>OBRA!T551</f>
        <v>-</v>
      </c>
      <c r="S550" s="11" t="str">
        <f>OBRA!U551</f>
        <v>-</v>
      </c>
      <c r="T550" s="53"/>
      <c r="U550" s="377" t="s">
        <v>1428</v>
      </c>
      <c r="V550" s="309"/>
      <c r="W550" s="11"/>
      <c r="X550" s="279">
        <f>OBRA!AR551</f>
        <v>0</v>
      </c>
      <c r="Y550" s="309"/>
      <c r="Z550" s="309"/>
      <c r="AA550" s="5"/>
      <c r="AB550" s="313"/>
      <c r="AC550" s="317">
        <f>OBRA!BW551</f>
        <v>0</v>
      </c>
      <c r="AD550" s="352"/>
      <c r="AE550" s="352"/>
    </row>
    <row r="551" spans="1:31" ht="15" hidden="1" customHeight="1">
      <c r="A551" s="22" t="s">
        <v>45</v>
      </c>
      <c r="B551" s="809" t="str">
        <f>GRAL!B554</f>
        <v>2018-2021</v>
      </c>
      <c r="C551" s="16">
        <f>OBRA!J552</f>
        <v>2021</v>
      </c>
      <c r="D551" s="1415"/>
      <c r="E551" s="17" t="str">
        <f>OBRA!M552</f>
        <v>CUENTA CORRIENTE</v>
      </c>
      <c r="F551" s="478"/>
      <c r="G551" s="352"/>
      <c r="H551" s="1"/>
      <c r="I551" s="352"/>
      <c r="J551" s="54" t="str">
        <f>OBRA!W552</f>
        <v xml:space="preserve">SEBASTIAN MARQUEZ RAMOS </v>
      </c>
      <c r="K551" s="55" t="str">
        <f>OBRA!X552</f>
        <v>DANIEL RODRIGUEZ</v>
      </c>
      <c r="L551" s="19" t="str">
        <f>OBRA!N552</f>
        <v>C- OP 006/2021</v>
      </c>
      <c r="M551" s="2" t="str">
        <f>OBRA!O552</f>
        <v>ARRENDAMIENTO</v>
      </c>
      <c r="N551" s="3" t="str">
        <f>OBRA!P552</f>
        <v>RENTA DE CAMIÓN TIPO PIPA MARCA DINA MOD. 1982 CON CAPACIDAD DE 8,000 LITROS PARA ACARRERO DE AGUA, PARA SER UTILIZADA EN LAS OBRAS DEL PROGRAMA SADER 2020 EN EL MUNICIPIO.</v>
      </c>
      <c r="O551" s="3"/>
      <c r="P551" s="6">
        <f>OBRA!S552</f>
        <v>44263</v>
      </c>
      <c r="Q551" s="4">
        <f>OBRA!R552</f>
        <v>23200</v>
      </c>
      <c r="R551" s="5" t="str">
        <f>OBRA!T552</f>
        <v>-</v>
      </c>
      <c r="S551" s="11" t="str">
        <f>OBRA!U552</f>
        <v>-</v>
      </c>
      <c r="T551" s="53"/>
      <c r="U551" s="377" t="s">
        <v>1428</v>
      </c>
      <c r="V551" s="309"/>
      <c r="W551" s="11"/>
      <c r="X551" s="279">
        <f>OBRA!AR552</f>
        <v>0</v>
      </c>
      <c r="Y551" s="309"/>
      <c r="Z551" s="309"/>
      <c r="AA551" s="5"/>
      <c r="AB551" s="313"/>
      <c r="AC551" s="317">
        <f>OBRA!BW552</f>
        <v>0</v>
      </c>
      <c r="AD551" s="352"/>
      <c r="AE551" s="352"/>
    </row>
    <row r="552" spans="1:31" ht="15" hidden="1" customHeight="1">
      <c r="A552" s="22" t="s">
        <v>45</v>
      </c>
      <c r="B552" s="809" t="str">
        <f>GRAL!B555</f>
        <v>2018-2021</v>
      </c>
      <c r="C552" s="16">
        <f>OBRA!J553</f>
        <v>2021</v>
      </c>
      <c r="D552" s="1415"/>
      <c r="E552" s="17" t="str">
        <f>OBRA!M553</f>
        <v>CUENTA CORRIENTE</v>
      </c>
      <c r="F552" s="478"/>
      <c r="G552" s="352"/>
      <c r="H552" s="1"/>
      <c r="I552" s="352"/>
      <c r="J552" s="54" t="str">
        <f>OBRA!W553</f>
        <v>GRUPO ARANGE, S.A. DE C.V.</v>
      </c>
      <c r="K552" s="55" t="str">
        <f>OBRA!X553</f>
        <v>DANIEL RODRIGUEZ</v>
      </c>
      <c r="L552" s="19" t="str">
        <f>OBRA!N553</f>
        <v>C- OP 007/2021</v>
      </c>
      <c r="M552" s="2" t="str">
        <f>OBRA!O553</f>
        <v>ARRENDAMIENTO</v>
      </c>
      <c r="N552" s="3" t="str">
        <f>OBRA!P553</f>
        <v>RENTA DE CAMIÓN TIPO PIPA MARCA DINA MOD. 1982 CON CAPACIDAD DE 8,000 LITROS PARA ACARRERO DE AGUA, PARA SER UTILIZADA EN LAS OBRAS DEL PROGRAMA SADER 2020 EN EL MUNICIPIO.</v>
      </c>
      <c r="O552" s="3"/>
      <c r="P552" s="6">
        <f>OBRA!S553</f>
        <v>44263</v>
      </c>
      <c r="Q552" s="4">
        <f>OBRA!R553</f>
        <v>23200</v>
      </c>
      <c r="R552" s="5" t="str">
        <f>OBRA!T553</f>
        <v>-</v>
      </c>
      <c r="S552" s="11" t="str">
        <f>OBRA!U553</f>
        <v>-</v>
      </c>
      <c r="T552" s="53"/>
      <c r="U552" s="377" t="s">
        <v>1428</v>
      </c>
      <c r="V552" s="309"/>
      <c r="W552" s="11"/>
      <c r="X552" s="279">
        <f>OBRA!AR553</f>
        <v>0</v>
      </c>
      <c r="Y552" s="309"/>
      <c r="Z552" s="309"/>
      <c r="AA552" s="5"/>
      <c r="AB552" s="313"/>
      <c r="AC552" s="317">
        <f>OBRA!BW553</f>
        <v>0</v>
      </c>
      <c r="AD552" s="352"/>
      <c r="AE552" s="352"/>
    </row>
    <row r="553" spans="1:31" ht="15" hidden="1" customHeight="1">
      <c r="A553" s="22" t="s">
        <v>45</v>
      </c>
      <c r="B553" s="809" t="str">
        <f>GRAL!B556</f>
        <v>2018-2021</v>
      </c>
      <c r="C553" s="16">
        <f>OBRA!J554</f>
        <v>2021</v>
      </c>
      <c r="D553" s="1415"/>
      <c r="E553" s="17" t="str">
        <f>OBRA!M554</f>
        <v>CUENTA CORRIENTE</v>
      </c>
      <c r="F553" s="478"/>
      <c r="G553" s="352"/>
      <c r="H553" s="1"/>
      <c r="I553" s="352"/>
      <c r="J553" s="54" t="str">
        <f>OBRA!W554</f>
        <v>INDUSTRIAS UNIDAS BOGDAN, S.A. DE C.V.</v>
      </c>
      <c r="K553" s="55" t="str">
        <f>OBRA!X554</f>
        <v>DANIEL RODRIGUEZ</v>
      </c>
      <c r="L553" s="19" t="str">
        <f>OBRA!N554</f>
        <v>C- OP 008/2021</v>
      </c>
      <c r="M553" s="2" t="str">
        <f>OBRA!O554</f>
        <v>ARRENDAMIENTO</v>
      </c>
      <c r="N553" s="3" t="str">
        <f>OBRA!P554</f>
        <v>RENTA DE CAMIÓN DE VOLTEO MARCA FREIGHTLINER DE 7 M3, PARA SER UTILIZADO EN LA CONSTRUCCIÓN DE DRENAJE SANITARIO EN PRIVADA FRANCISCO VILLA DE LA CALLE 1RO DE MAYO A CERRADA, EN LA LOCALIDAD DE LA LOMA, DEL MUNICIPIO DE JOCOTEPEC, JALISCO.</v>
      </c>
      <c r="O553" s="3"/>
      <c r="P553" s="6">
        <f>OBRA!S554</f>
        <v>44364</v>
      </c>
      <c r="Q553" s="4">
        <f>OBRA!R554</f>
        <v>4686.3999999999996</v>
      </c>
      <c r="R553" s="5" t="str">
        <f>OBRA!T554</f>
        <v>-</v>
      </c>
      <c r="S553" s="11" t="str">
        <f>OBRA!U554</f>
        <v>-</v>
      </c>
      <c r="T553" s="53"/>
      <c r="U553" s="377" t="s">
        <v>1428</v>
      </c>
      <c r="V553" s="309"/>
      <c r="W553" s="11"/>
      <c r="X553" s="279">
        <f>OBRA!AR554</f>
        <v>0</v>
      </c>
      <c r="Y553" s="309"/>
      <c r="Z553" s="309"/>
      <c r="AA553" s="5"/>
      <c r="AB553" s="313"/>
      <c r="AC553" s="317">
        <f>OBRA!BW554</f>
        <v>0</v>
      </c>
      <c r="AD553" s="352"/>
      <c r="AE553" s="352"/>
    </row>
    <row r="554" spans="1:31" ht="15" hidden="1" customHeight="1">
      <c r="A554" s="22" t="s">
        <v>45</v>
      </c>
      <c r="B554" s="809" t="str">
        <f>GRAL!B557</f>
        <v>2018-2021</v>
      </c>
      <c r="C554" s="16">
        <f>OBRA!J555</f>
        <v>2021</v>
      </c>
      <c r="D554" s="1415"/>
      <c r="E554" s="17" t="str">
        <f>OBRA!M555</f>
        <v>CUENTA CORRIENTE</v>
      </c>
      <c r="F554" s="478"/>
      <c r="G554" s="352"/>
      <c r="H554" s="1"/>
      <c r="I554" s="352"/>
      <c r="J554" s="54" t="str">
        <f>OBRA!W555</f>
        <v>INDUSTRIAS UNIDAS BOGDAN, S.A. DE C.V.</v>
      </c>
      <c r="K554" s="55" t="str">
        <f>OBRA!X555</f>
        <v>DANIEL RODRIGUEZ</v>
      </c>
      <c r="L554" s="33" t="str">
        <f>OBRA!N555</f>
        <v>C- OP 009/2021</v>
      </c>
      <c r="M554" s="2" t="str">
        <f>OBRA!O555</f>
        <v>ARRENDAMIENTO</v>
      </c>
      <c r="N554" s="3" t="str">
        <f>OBRA!P555</f>
        <v>RENTA DE RETROEXCAVADORA CATERPILAR 416E PARA SER UTILIZADA EN LA CONSTRUCCIÓN DE DRENAJE SANITARIO EN PRIVADA FRANCISCO VILLA DE LA CALLE 1RO DE MAYO A CERRADA, EN LA LOCALIDAD DE LA LOMA, DEL MUNICIPIO DE JOCOTEPEC, JALISCO.</v>
      </c>
      <c r="O554" s="3"/>
      <c r="P554" s="6">
        <f>OBRA!S555</f>
        <v>44364</v>
      </c>
      <c r="Q554" s="4">
        <f>OBRA!R555</f>
        <v>554.48</v>
      </c>
      <c r="R554" s="5" t="str">
        <f>OBRA!T555</f>
        <v>-</v>
      </c>
      <c r="S554" s="11" t="str">
        <f>OBRA!U555</f>
        <v>-</v>
      </c>
      <c r="T554" s="53"/>
      <c r="U554" s="377" t="s">
        <v>1428</v>
      </c>
      <c r="V554" s="309"/>
      <c r="W554" s="11"/>
      <c r="X554" s="279">
        <f>OBRA!AR555</f>
        <v>0</v>
      </c>
      <c r="Y554" s="309"/>
      <c r="Z554" s="309"/>
      <c r="AA554" s="5"/>
      <c r="AB554" s="313"/>
      <c r="AC554" s="317">
        <f>OBRA!BW555</f>
        <v>0</v>
      </c>
      <c r="AD554" s="352"/>
      <c r="AE554" s="352"/>
    </row>
    <row r="555" spans="1:31" ht="15" hidden="1" customHeight="1">
      <c r="A555" s="22" t="s">
        <v>45</v>
      </c>
      <c r="B555" s="809" t="str">
        <f>GRAL!B558</f>
        <v>2018-2021</v>
      </c>
      <c r="C555" s="16">
        <f>OBRA!J556</f>
        <v>2021</v>
      </c>
      <c r="D555" s="1415"/>
      <c r="E555" s="17" t="str">
        <f>OBRA!M556</f>
        <v>CUENTA CORRIENTE</v>
      </c>
      <c r="F555" s="478"/>
      <c r="G555" s="352"/>
      <c r="H555" s="1"/>
      <c r="I555" s="352"/>
      <c r="J555" s="54" t="str">
        <f>OBRA!W556</f>
        <v>J. TRINIDAD NÚÑEZ BRITO</v>
      </c>
      <c r="K555" s="55" t="str">
        <f>OBRA!X556</f>
        <v>ING. MIGUEL MACHUCA HERNÁNDEZ</v>
      </c>
      <c r="L555" s="33" t="str">
        <f>OBRA!N556</f>
        <v>C.P.S.P. D.O.P. 001/2021</v>
      </c>
      <c r="M555" s="2" t="str">
        <f>OBRA!O556</f>
        <v>SERVICIOS</v>
      </c>
      <c r="N555" s="3" t="str">
        <f>OBRA!P556</f>
        <v>ESTUDIO GEOHIDROLÓGICO-GEOFÍSICOS PARA LOCALIZACIÓN Y/O PERFORACIÓN DE POZO PARA AGUA POTABLE UBICADO EN CALLE MORELOS EN LA AGENCIA DE NEXTIPAC, DEL MUNICIPIO DE JOCOTEPEC, JALISCO.</v>
      </c>
      <c r="O555" s="3"/>
      <c r="P555" s="6">
        <f>OBRA!S556</f>
        <v>44204</v>
      </c>
      <c r="Q555" s="4">
        <f>OBRA!R556</f>
        <v>11600</v>
      </c>
      <c r="R555" s="5">
        <f>OBRA!T556</f>
        <v>44207</v>
      </c>
      <c r="S555" s="11">
        <f>OBRA!U556</f>
        <v>44214</v>
      </c>
      <c r="T555" s="53"/>
      <c r="U555" s="377" t="s">
        <v>1428</v>
      </c>
      <c r="V555" s="309"/>
      <c r="W555" s="11"/>
      <c r="X555" s="279">
        <f>OBRA!AR556</f>
        <v>0</v>
      </c>
      <c r="Y555" s="309"/>
      <c r="Z555" s="309"/>
      <c r="AA555" s="5"/>
      <c r="AB555" s="313"/>
      <c r="AC555" s="317">
        <f>OBRA!BW556</f>
        <v>0</v>
      </c>
      <c r="AD555" s="352"/>
      <c r="AE555" s="352"/>
    </row>
    <row r="556" spans="1:31" ht="15" hidden="1" customHeight="1">
      <c r="A556" s="22" t="s">
        <v>45</v>
      </c>
      <c r="B556" s="809" t="str">
        <f>GRAL!B559</f>
        <v>2018-2021</v>
      </c>
      <c r="C556" s="16">
        <f>OBRA!J557</f>
        <v>2021</v>
      </c>
      <c r="D556" s="1415"/>
      <c r="E556" s="17" t="str">
        <f>OBRA!M557</f>
        <v>CUENTA CORRIENTE</v>
      </c>
      <c r="F556" s="478"/>
      <c r="G556" s="352"/>
      <c r="H556" s="1"/>
      <c r="I556" s="352"/>
      <c r="J556" s="54">
        <f>OBRA!W557</f>
        <v>0</v>
      </c>
      <c r="K556" s="55">
        <f>OBRA!X557</f>
        <v>0</v>
      </c>
      <c r="L556" s="33" t="str">
        <f>OBRA!N557</f>
        <v>C.P.S.P. D.O.P. 002/2021</v>
      </c>
      <c r="M556" s="2" t="str">
        <f>OBRA!O557</f>
        <v>SERVICIOS (CANCELADO)</v>
      </c>
      <c r="N556" s="3">
        <f>OBRA!P557</f>
        <v>0</v>
      </c>
      <c r="O556" s="3"/>
      <c r="P556" s="6">
        <f>OBRA!S557</f>
        <v>0</v>
      </c>
      <c r="Q556" s="4">
        <f>OBRA!R557</f>
        <v>0</v>
      </c>
      <c r="R556" s="5">
        <f>OBRA!T557</f>
        <v>0</v>
      </c>
      <c r="S556" s="11">
        <f>OBRA!U557</f>
        <v>0</v>
      </c>
      <c r="T556" s="53"/>
      <c r="U556" s="377" t="s">
        <v>1428</v>
      </c>
      <c r="V556" s="309"/>
      <c r="W556" s="11"/>
      <c r="X556" s="279">
        <f>OBRA!AR557</f>
        <v>0</v>
      </c>
      <c r="Y556" s="309"/>
      <c r="Z556" s="309"/>
      <c r="AA556" s="5"/>
      <c r="AB556" s="313"/>
      <c r="AC556" s="317">
        <f>OBRA!BW557</f>
        <v>0</v>
      </c>
      <c r="AD556" s="352"/>
      <c r="AE556" s="352"/>
    </row>
    <row r="557" spans="1:31" ht="15" hidden="1" customHeight="1">
      <c r="A557" s="22" t="s">
        <v>45</v>
      </c>
      <c r="B557" s="809" t="str">
        <f>GRAL!B560</f>
        <v>2018-2021</v>
      </c>
      <c r="C557" s="16">
        <f>OBRA!J558</f>
        <v>2021</v>
      </c>
      <c r="D557" s="1415"/>
      <c r="E557" s="17" t="str">
        <f>OBRA!M558</f>
        <v>CUENTA CORRIENTE</v>
      </c>
      <c r="F557" s="478"/>
      <c r="G557" s="352"/>
      <c r="H557" s="1"/>
      <c r="I557" s="352"/>
      <c r="J557" s="54" t="str">
        <f>OBRA!W558</f>
        <v>ARGUELLES ARQUITECTOS, S.A. DE C.V.</v>
      </c>
      <c r="K557" s="55" t="str">
        <f>OBRA!X558</f>
        <v>ARQ. FRANCISCO SALAZAR</v>
      </c>
      <c r="L557" s="33" t="str">
        <f>OBRA!N558</f>
        <v>C.P.S.P. D.O.P. 003/2021</v>
      </c>
      <c r="M557" s="2" t="str">
        <f>OBRA!O558</f>
        <v>SERVICIOS</v>
      </c>
      <c r="N557" s="3" t="str">
        <f>OBRA!P558</f>
        <v>GESTIÓN DE: "LICENCIA DEL PERMISO PARA REMOZAMIENTO Y MEJORAMIENTO DE IMAGEN URBANA EN EL TEMPLO DEL SEÑOR DEL MONTE", EN LA CABECERA MUNICIPAL DE JOCOTEPEC, JALISCO.</v>
      </c>
      <c r="O557" s="3"/>
      <c r="P557" s="6">
        <f>OBRA!S558</f>
        <v>44212</v>
      </c>
      <c r="Q557" s="4">
        <f>OBRA!R558</f>
        <v>23200</v>
      </c>
      <c r="R557" s="5" t="str">
        <f>OBRA!T558</f>
        <v>-</v>
      </c>
      <c r="S557" s="11" t="str">
        <f>OBRA!U558</f>
        <v>-</v>
      </c>
      <c r="T557" s="53"/>
      <c r="U557" s="377" t="s">
        <v>1428</v>
      </c>
      <c r="V557" s="309"/>
      <c r="W557" s="11"/>
      <c r="X557" s="279">
        <f>OBRA!AR558</f>
        <v>0</v>
      </c>
      <c r="Y557" s="309"/>
      <c r="Z557" s="309"/>
      <c r="AA557" s="5"/>
      <c r="AB557" s="313"/>
      <c r="AC557" s="317">
        <f>OBRA!BW558</f>
        <v>0</v>
      </c>
      <c r="AD557" s="352"/>
      <c r="AE557" s="352"/>
    </row>
    <row r="558" spans="1:31" ht="15" hidden="1" customHeight="1">
      <c r="A558" s="22" t="s">
        <v>45</v>
      </c>
      <c r="B558" s="809" t="str">
        <f>GRAL!B562</f>
        <v>2018-2021</v>
      </c>
      <c r="C558" s="16">
        <f>OBRA!J560</f>
        <v>2021</v>
      </c>
      <c r="D558" s="1415"/>
      <c r="E558" s="17" t="str">
        <f>OBRA!M560</f>
        <v>CUENTA CORRIENTE</v>
      </c>
      <c r="F558" s="478"/>
      <c r="G558" s="352"/>
      <c r="H558" s="1"/>
      <c r="I558" s="352"/>
      <c r="J558" s="54" t="str">
        <f>OBRA!W560</f>
        <v>ING. JUAN IGNACIO NAVARRO BALTAZAR</v>
      </c>
      <c r="K558" s="55">
        <f>OBRA!X560</f>
        <v>0</v>
      </c>
      <c r="L558" s="33" t="str">
        <f>OBRA!N560</f>
        <v>C.P.S.P. D.O.P. 005/2021</v>
      </c>
      <c r="M558" s="2" t="str">
        <f>OBRA!O560</f>
        <v>SERVICIOS</v>
      </c>
      <c r="N558"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OBRA!S560</f>
        <v>44400</v>
      </c>
      <c r="Q558" s="4">
        <f>OBRA!R560</f>
        <v>16239.999999999998</v>
      </c>
      <c r="R558" s="5">
        <f>OBRA!T560</f>
        <v>0</v>
      </c>
      <c r="S558" s="11">
        <f>OBRA!U560</f>
        <v>0</v>
      </c>
      <c r="T558" s="53"/>
      <c r="U558" s="377" t="s">
        <v>1428</v>
      </c>
      <c r="V558" s="309"/>
      <c r="W558" s="11"/>
      <c r="X558" s="279">
        <f>OBRA!AR560</f>
        <v>0</v>
      </c>
      <c r="Y558" s="309"/>
      <c r="Z558" s="309"/>
      <c r="AA558" s="5"/>
      <c r="AB558" s="313"/>
      <c r="AC558" s="317">
        <f>OBRA!BW560</f>
        <v>0</v>
      </c>
      <c r="AD558" s="352"/>
      <c r="AE558" s="352"/>
    </row>
    <row r="559" spans="1:31" ht="15" hidden="1" customHeight="1">
      <c r="A559" s="22" t="s">
        <v>45</v>
      </c>
      <c r="B559" s="809" t="str">
        <f>GRAL!B563</f>
        <v>2018-2021</v>
      </c>
      <c r="C559" s="16">
        <f>OBRA!J561</f>
        <v>2021</v>
      </c>
      <c r="D559" s="1415"/>
      <c r="E559" s="17" t="str">
        <f>OBRA!M561</f>
        <v>CUENTA CORRIENTE</v>
      </c>
      <c r="F559" s="478"/>
      <c r="G559" s="352"/>
      <c r="H559" s="1"/>
      <c r="I559" s="352"/>
      <c r="J559" s="54">
        <f>OBRA!W561</f>
        <v>0</v>
      </c>
      <c r="K559" s="55">
        <f>OBRA!X561</f>
        <v>0</v>
      </c>
      <c r="L559" s="33" t="str">
        <f>OBRA!N561</f>
        <v>C.P.S.P. D.O.P. 006/2021</v>
      </c>
      <c r="M559" s="2" t="str">
        <f>OBRA!O561</f>
        <v>SERVICIOS (CANCELADO)</v>
      </c>
      <c r="N559" s="3">
        <f>OBRA!P561</f>
        <v>0</v>
      </c>
      <c r="O559" s="3"/>
      <c r="P559" s="6">
        <f>OBRA!S561</f>
        <v>0</v>
      </c>
      <c r="Q559" s="4">
        <f>OBRA!R561</f>
        <v>0</v>
      </c>
      <c r="R559" s="5">
        <f>OBRA!T561</f>
        <v>0</v>
      </c>
      <c r="S559" s="11">
        <f>OBRA!U561</f>
        <v>0</v>
      </c>
      <c r="T559" s="53"/>
      <c r="U559" s="377" t="s">
        <v>1428</v>
      </c>
      <c r="V559" s="309"/>
      <c r="W559" s="11"/>
      <c r="X559" s="279">
        <f>OBRA!AR561</f>
        <v>0</v>
      </c>
      <c r="Y559" s="309"/>
      <c r="Z559" s="309"/>
      <c r="AA559" s="5"/>
      <c r="AB559" s="313"/>
      <c r="AC559" s="317">
        <f>OBRA!BW561</f>
        <v>0</v>
      </c>
      <c r="AD559" s="352"/>
      <c r="AE559" s="352"/>
    </row>
    <row r="560" spans="1:31" ht="15" hidden="1" customHeight="1">
      <c r="A560" s="22" t="s">
        <v>45</v>
      </c>
      <c r="B560" s="809" t="str">
        <f>GRAL!B564</f>
        <v>2018-2021</v>
      </c>
      <c r="C560" s="16">
        <f>OBRA!J562</f>
        <v>2021</v>
      </c>
      <c r="D560" s="1415"/>
      <c r="E560" s="17" t="str">
        <f>OBRA!M562</f>
        <v>CUENTA CORRIENTE</v>
      </c>
      <c r="F560" s="478"/>
      <c r="G560" s="352"/>
      <c r="H560" s="1"/>
      <c r="I560" s="352"/>
      <c r="J560" s="54" t="str">
        <f>OBRA!W562</f>
        <v>ECCOC DE GUADALAJARA, S.A. DE C.V.</v>
      </c>
      <c r="K560" s="55">
        <f>OBRA!X562</f>
        <v>0</v>
      </c>
      <c r="L560" s="33" t="str">
        <f>OBRA!N562</f>
        <v>C.P.S.P. D.O.P. 007/2021</v>
      </c>
      <c r="M560" s="2" t="str">
        <f>OBRA!O562</f>
        <v>SERVICIOS</v>
      </c>
      <c r="N560"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OBRA!S562</f>
        <v>44441</v>
      </c>
      <c r="Q560" s="4">
        <f>OBRA!R562</f>
        <v>16240</v>
      </c>
      <c r="R560" s="5" t="str">
        <f>OBRA!T562</f>
        <v>-</v>
      </c>
      <c r="S560" s="11" t="str">
        <f>OBRA!U562</f>
        <v>-</v>
      </c>
      <c r="T560" s="53"/>
      <c r="U560" s="377" t="s">
        <v>1428</v>
      </c>
      <c r="V560" s="309"/>
      <c r="W560" s="11"/>
      <c r="X560" s="279">
        <f>OBRA!AR562</f>
        <v>0</v>
      </c>
      <c r="Y560" s="309"/>
      <c r="Z560" s="309"/>
      <c r="AA560" s="5"/>
      <c r="AB560" s="313"/>
      <c r="AC560" s="317">
        <f>OBRA!BW562</f>
        <v>0</v>
      </c>
      <c r="AD560" s="352"/>
      <c r="AE560" s="352"/>
    </row>
    <row r="561" spans="1:31" ht="15" hidden="1" customHeight="1">
      <c r="A561" s="22" t="s">
        <v>45</v>
      </c>
      <c r="B561" s="809" t="str">
        <f>GRAL!B565</f>
        <v>2018-2021</v>
      </c>
      <c r="C561" s="16">
        <f>OBRA!J563</f>
        <v>2021</v>
      </c>
      <c r="D561" s="1415"/>
      <c r="E561" s="17" t="str">
        <f>OBRA!M563</f>
        <v>CUENTA CORRIENTE</v>
      </c>
      <c r="F561" s="478"/>
      <c r="G561" s="352"/>
      <c r="H561" s="1"/>
      <c r="I561" s="352"/>
      <c r="J561" s="54" t="str">
        <f>OBRA!W563</f>
        <v>ING. MARCO ANTONIO PAREDES RODRÍGUEZ</v>
      </c>
      <c r="K561" s="55">
        <f>OBRA!X563</f>
        <v>0</v>
      </c>
      <c r="L561" s="33" t="str">
        <f>OBRA!N563</f>
        <v>C.P.S.P. D.O.P. 008/2021</v>
      </c>
      <c r="M561" s="2" t="str">
        <f>OBRA!O563</f>
        <v>SERVICIOS</v>
      </c>
      <c r="N561"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OBRA!S563</f>
        <v>44435</v>
      </c>
      <c r="Q561" s="4">
        <f>OBRA!R563</f>
        <v>226407.64</v>
      </c>
      <c r="R561" s="5" t="str">
        <f>OBRA!T563</f>
        <v>-</v>
      </c>
      <c r="S561" s="11" t="str">
        <f>OBRA!U563</f>
        <v>-</v>
      </c>
      <c r="T561" s="53"/>
      <c r="U561" s="377" t="s">
        <v>1428</v>
      </c>
      <c r="V561" s="309"/>
      <c r="W561" s="11"/>
      <c r="X561" s="279">
        <f>OBRA!AR563</f>
        <v>0</v>
      </c>
      <c r="Y561" s="309"/>
      <c r="Z561" s="309"/>
      <c r="AA561" s="5"/>
      <c r="AB561" s="313"/>
      <c r="AC561" s="317">
        <f>OBRA!BW563</f>
        <v>0</v>
      </c>
      <c r="AD561" s="352"/>
      <c r="AE561" s="352"/>
    </row>
    <row r="562" spans="1:31" ht="15" hidden="1" customHeight="1">
      <c r="A562" s="22" t="s">
        <v>45</v>
      </c>
      <c r="B562" s="809" t="str">
        <f>GRAL!B566</f>
        <v>2018-2021</v>
      </c>
      <c r="C562" s="16">
        <f>OBRA!J564</f>
        <v>2021</v>
      </c>
      <c r="D562" s="1415"/>
      <c r="E562" s="17" t="str">
        <f>OBRA!M564</f>
        <v>CUENTA CORRIENTE</v>
      </c>
      <c r="F562" s="478"/>
      <c r="G562" s="352"/>
      <c r="H562" s="1"/>
      <c r="I562" s="352"/>
      <c r="J562" s="54" t="str">
        <f>OBRA!W564</f>
        <v>KRISPOD CONSTRUCTORA, DISEÑO Y CONSTRUCCIÓN S.A. DE C.V.</v>
      </c>
      <c r="K562" s="55">
        <f>OBRA!X564</f>
        <v>0</v>
      </c>
      <c r="L562" s="33" t="str">
        <f>OBRA!N564</f>
        <v>C.P.S.P. D.O.P. 009/2021</v>
      </c>
      <c r="M562" s="2" t="str">
        <f>OBRA!O564</f>
        <v>SERVICIOS</v>
      </c>
      <c r="N562"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OBRA!S564</f>
        <v>44432</v>
      </c>
      <c r="Q562" s="4">
        <f>OBRA!R564</f>
        <v>91300</v>
      </c>
      <c r="R562" s="5" t="str">
        <f>OBRA!T564</f>
        <v>-</v>
      </c>
      <c r="S562" s="11" t="str">
        <f>OBRA!U564</f>
        <v>-</v>
      </c>
      <c r="T562" s="53"/>
      <c r="U562" s="377" t="s">
        <v>1428</v>
      </c>
      <c r="V562" s="309"/>
      <c r="W562" s="11"/>
      <c r="X562" s="279">
        <f>OBRA!AR564</f>
        <v>0</v>
      </c>
      <c r="Y562" s="309"/>
      <c r="Z562" s="309"/>
      <c r="AA562" s="5"/>
      <c r="AB562" s="313"/>
      <c r="AC562" s="317">
        <f>OBRA!BW564</f>
        <v>0</v>
      </c>
      <c r="AD562" s="352"/>
      <c r="AE562" s="352"/>
    </row>
    <row r="563" spans="1:31" ht="76.5" customHeight="1" thickTop="1">
      <c r="A563" s="22" t="s">
        <v>2206</v>
      </c>
      <c r="B563" s="809" t="str">
        <f>GRAL!B567</f>
        <v>2018-2021</v>
      </c>
      <c r="C563" s="16">
        <f>OBRA!J565</f>
        <v>2021</v>
      </c>
      <c r="D563" s="1415"/>
      <c r="E563" s="17" t="str">
        <f>OBRA!M565</f>
        <v>CUENTA CORRIENTE</v>
      </c>
      <c r="F563" s="478" t="s">
        <v>1428</v>
      </c>
      <c r="G563" s="496" t="s">
        <v>3791</v>
      </c>
      <c r="H563" s="495" t="s">
        <v>3791</v>
      </c>
      <c r="I563" s="496" t="s">
        <v>3791</v>
      </c>
      <c r="J563" s="54" t="str">
        <f>OBRA!W565</f>
        <v>JESSICA MONSERRAT RIVERA TORRES</v>
      </c>
      <c r="K563" s="55" t="str">
        <f>OBRA!X565</f>
        <v>ING. MIGUEL MACHUCA HERNÁNDEZ / ING. LUIS RIGOBERTO OLMEDO NAVARRO</v>
      </c>
      <c r="L563" s="19" t="str">
        <f>OBRA!N565</f>
        <v>GMJ 001C- OP/2021</v>
      </c>
      <c r="M563" s="2" t="str">
        <f>OBRA!O565</f>
        <v>ADJUDICACIÓN DIRECTA</v>
      </c>
      <c r="N563" s="3" t="str">
        <f>OBRA!P565</f>
        <v>"PERFORACIÓN DE POZO PROFUNDO "MORELOS" A 250 ML", EN LA AGENCIA MUNICIPAL DE NEXTIPAC, DEL MUNICIPIO DE JOCOTEPEC, JALISCO.</v>
      </c>
      <c r="O563" s="504" t="s">
        <v>3798</v>
      </c>
      <c r="P563" s="67">
        <f>OBRA!S565</f>
        <v>44208</v>
      </c>
      <c r="Q563" s="79">
        <f>OBRA!R565</f>
        <v>1300000</v>
      </c>
      <c r="R563" s="5">
        <f>OBRA!T565</f>
        <v>44231</v>
      </c>
      <c r="S563" s="11">
        <f>OBRA!U565</f>
        <v>44377</v>
      </c>
      <c r="T563" s="207" t="s">
        <v>3815</v>
      </c>
      <c r="U563" s="62" t="s">
        <v>1428</v>
      </c>
      <c r="V563" s="499" t="s">
        <v>3791</v>
      </c>
      <c r="W563" s="597" t="s">
        <v>3791</v>
      </c>
      <c r="X563" s="988">
        <f>OBRA!AR565</f>
        <v>455000</v>
      </c>
      <c r="Y563" s="309"/>
      <c r="Z563" s="309"/>
      <c r="AA563" s="5"/>
      <c r="AB563" s="313"/>
      <c r="AC563" s="317">
        <f>OBRA!BW565</f>
        <v>0</v>
      </c>
      <c r="AD563" s="1"/>
      <c r="AE563" s="352" t="s">
        <v>551</v>
      </c>
    </row>
    <row r="564" spans="1:31" ht="15" hidden="1" customHeight="1">
      <c r="A564" s="22" t="s">
        <v>2206</v>
      </c>
      <c r="B564" s="809" t="str">
        <f>GRAL!B568</f>
        <v>2018-2021</v>
      </c>
      <c r="C564" s="16">
        <f>OBRA!J566</f>
        <v>2021</v>
      </c>
      <c r="D564" s="1415"/>
      <c r="E564" s="17" t="str">
        <f>OBRA!M566</f>
        <v>RAMO 33</v>
      </c>
      <c r="F564" s="478"/>
      <c r="G564" s="352"/>
      <c r="H564" s="1"/>
      <c r="I564" s="352"/>
      <c r="J564" s="54" t="str">
        <f>OBRA!W566</f>
        <v>CONCRETOS, ASFALTOS Y CIMENTACIONES EDIR, S.A. DE C.V.</v>
      </c>
      <c r="K564" s="55" t="str">
        <f>OBRA!X566</f>
        <v xml:space="preserve">ING. ENRIQUE ENRÍQUEZ VÁZQUEZ </v>
      </c>
      <c r="L564" s="19" t="str">
        <f>OBRA!N566</f>
        <v>GMJ 002C- OP/2021</v>
      </c>
      <c r="M564" s="2" t="str">
        <f>OBRA!O566</f>
        <v>CONCURSO SIMPLIFICADO SUMARIO</v>
      </c>
      <c r="N564" s="3" t="str">
        <f>OBRA!P566</f>
        <v>"REHABILITACIÓN DE LÍNEAS HIDROSANITARÍAS CON REPOSICIÓN DE SUPERFICIE DE RODAMIENTO EN CALLE MORELOS DE CALLE NICOLÁS BRAVO A CALLE GONZÁLEZ ORTEGA" EN LA CABECERA MUNICIPAL DE JOCOTEPEC, JALISCO, (NEXTIPAC).</v>
      </c>
      <c r="O564" s="3"/>
      <c r="P564" s="6">
        <f>OBRA!S566</f>
        <v>44210</v>
      </c>
      <c r="Q564" s="4">
        <f>OBRA!R566</f>
        <v>2242164.25</v>
      </c>
      <c r="R564" s="5">
        <f>OBRA!T566</f>
        <v>44211</v>
      </c>
      <c r="S564" s="11">
        <f>OBRA!U566</f>
        <v>44270</v>
      </c>
      <c r="T564" s="53"/>
      <c r="U564" s="377" t="s">
        <v>1428</v>
      </c>
      <c r="V564" s="309"/>
      <c r="W564" s="11"/>
      <c r="X564" s="279">
        <f>OBRA!AR566</f>
        <v>398055.22</v>
      </c>
      <c r="Y564" s="309"/>
      <c r="Z564" s="309"/>
      <c r="AA564" s="5"/>
      <c r="AB564" s="313"/>
      <c r="AC564" s="317">
        <f>OBRA!BW566</f>
        <v>0</v>
      </c>
      <c r="AD564" s="352"/>
      <c r="AE564" s="352"/>
    </row>
    <row r="565" spans="1:31" ht="101.25" hidden="1" customHeight="1">
      <c r="A565" s="22" t="s">
        <v>2206</v>
      </c>
      <c r="B565" s="809" t="str">
        <f>GRAL!B569</f>
        <v>2018-2021</v>
      </c>
      <c r="C565" s="16">
        <f>OBRA!J567</f>
        <v>2021</v>
      </c>
      <c r="D565" s="1415"/>
      <c r="E565" s="17" t="str">
        <f>OBRA!M567</f>
        <v>CUENTA CORRIENTE</v>
      </c>
      <c r="F565" s="478" t="s">
        <v>1428</v>
      </c>
      <c r="G565" s="163"/>
      <c r="H565" s="510"/>
      <c r="I565" s="163"/>
      <c r="J565" s="54" t="str">
        <f>OBRA!W567</f>
        <v>C. SERGIO CABRERA</v>
      </c>
      <c r="K565" s="55" t="str">
        <f>OBRA!X567</f>
        <v xml:space="preserve">ING. ENRIQUE ENRÍQUEZ VÁZQUEZ </v>
      </c>
      <c r="L565" s="19" t="str">
        <f>OBRA!N567</f>
        <v>GMJ 003C- OP/2021</v>
      </c>
      <c r="M565" s="2" t="str">
        <f>OBRA!O567</f>
        <v>CANCELADA</v>
      </c>
      <c r="N565" s="3" t="str">
        <f>OBRA!P567</f>
        <v>"IMAGEN URBANA EN CALLE MORELOS DE CALLE NICOLÁS BRAVO A PRIVADA GONZÁLEZ ORTEGA", EN LA CABECERA MUNICIPAL DE JOCOTEPEC, JALISCO, (NEXTIPAC).</v>
      </c>
      <c r="O565" s="504" t="s">
        <v>3798</v>
      </c>
      <c r="P565" s="6">
        <f>OBRA!S567</f>
        <v>44208</v>
      </c>
      <c r="Q565" s="4">
        <f>OBRA!R567</f>
        <v>195609.22</v>
      </c>
      <c r="R565" s="5">
        <f>OBRA!T567</f>
        <v>44242</v>
      </c>
      <c r="S565" s="11">
        <f>OBRA!U567</f>
        <v>44270</v>
      </c>
      <c r="T565" s="207" t="s">
        <v>3815</v>
      </c>
      <c r="U565" s="377" t="s">
        <v>1428</v>
      </c>
      <c r="V565" s="535"/>
      <c r="W565" s="437"/>
      <c r="X565" s="987">
        <f>OBRA!AR567</f>
        <v>0</v>
      </c>
      <c r="Y565" s="309"/>
      <c r="Z565" s="309"/>
      <c r="AA565" s="5"/>
      <c r="AB565" s="313"/>
      <c r="AC565" s="317">
        <f>OBRA!BW567</f>
        <v>0</v>
      </c>
      <c r="AD565" s="352"/>
      <c r="AE565" s="352"/>
    </row>
    <row r="566" spans="1:31" ht="15" hidden="1" customHeight="1">
      <c r="A566" s="22" t="s">
        <v>2206</v>
      </c>
      <c r="B566" s="809" t="str">
        <f>GRAL!B570</f>
        <v>2018-2021</v>
      </c>
      <c r="C566" s="16">
        <f>OBRA!J568</f>
        <v>2021</v>
      </c>
      <c r="D566" s="1415"/>
      <c r="E566" s="17" t="str">
        <f>OBRA!M568</f>
        <v>RAMO 33</v>
      </c>
      <c r="F566" s="478"/>
      <c r="G566" s="352"/>
      <c r="H566" s="1"/>
      <c r="I566" s="352"/>
      <c r="J566" s="54" t="str">
        <f>OBRA!W568</f>
        <v>TERRACERÍAS Y PAVIMENTOS DE LA RIBERA, S.A. DE C.V.</v>
      </c>
      <c r="K566" s="55" t="str">
        <f>OBRA!X568</f>
        <v xml:space="preserve">ING. ENRIQUE ENRÍQUEZ VÁZQUEZ </v>
      </c>
      <c r="L566" s="19" t="str">
        <f>OBRA!N568</f>
        <v>GMJ 004C- OP/2021</v>
      </c>
      <c r="M566" s="2" t="str">
        <f>OBRA!O568</f>
        <v>CONCURSO SIMPLIFICADO SUMARIO</v>
      </c>
      <c r="N566" s="3" t="str">
        <f>OBRA!P568</f>
        <v>"REHABILITACIÓN DE LÍNEAS HDROSANITARIAS CON REPOSICIÓN DE SUPERFICIE DE RODAMIENTO EN CALLE MORELOS DE CALLE GONZÁLEZ ORTEGA A CALLE CRISTOBAL COLÓN, EN LA CABECERA MUNICIPAL DE JOCOTEPEC, JALISCO (NEXTIPAC).</v>
      </c>
      <c r="O566" s="3"/>
      <c r="P566" s="6">
        <f>OBRA!S568</f>
        <v>44210</v>
      </c>
      <c r="Q566" s="4">
        <f>OBRA!R568</f>
        <v>8221905.6500000004</v>
      </c>
      <c r="R566" s="5">
        <f>OBRA!T568</f>
        <v>44211</v>
      </c>
      <c r="S566" s="11">
        <f>OBRA!U568</f>
        <v>44266</v>
      </c>
      <c r="T566" s="53"/>
      <c r="U566" s="377" t="s">
        <v>1428</v>
      </c>
      <c r="V566" s="309"/>
      <c r="W566" s="11"/>
      <c r="X566" s="279">
        <f>OBRA!AR568</f>
        <v>1644381.12</v>
      </c>
      <c r="Y566" s="309"/>
      <c r="Z566" s="309"/>
      <c r="AA566" s="5"/>
      <c r="AB566" s="313"/>
      <c r="AC566" s="317">
        <f>OBRA!BW568</f>
        <v>0</v>
      </c>
      <c r="AD566" s="352"/>
      <c r="AE566" s="352"/>
    </row>
    <row r="567" spans="1:31" ht="83.25" customHeight="1">
      <c r="A567" s="22" t="s">
        <v>2206</v>
      </c>
      <c r="B567" s="809" t="str">
        <f>GRAL!B571</f>
        <v>2018-2021</v>
      </c>
      <c r="C567" s="16">
        <f>OBRA!J569</f>
        <v>2021</v>
      </c>
      <c r="D567" s="1415"/>
      <c r="E567" s="17" t="str">
        <f>OBRA!M569</f>
        <v>CUENTA CORRIENTE</v>
      </c>
      <c r="F567" s="478" t="s">
        <v>1428</v>
      </c>
      <c r="G567" s="146"/>
      <c r="H567" s="2"/>
      <c r="I567" s="146"/>
      <c r="J567" s="54" t="str">
        <f>OBRA!W569</f>
        <v>TERRACERÍAS Y PAVIMENTOS DE LA RIBERA, S.A. DE C.V.</v>
      </c>
      <c r="K567" s="55" t="str">
        <f>OBRA!X569</f>
        <v xml:space="preserve">ING. ENRIQUE ENRÍQUEZ VÁZQUEZ </v>
      </c>
      <c r="L567" s="19" t="str">
        <f>OBRA!N569</f>
        <v>GMJ 005C- OP/2021</v>
      </c>
      <c r="M567" s="2" t="str">
        <f>OBRA!O569</f>
        <v>ADJUDICACIÓN DIRECTA</v>
      </c>
      <c r="N567" s="3" t="str">
        <f>OBRA!P569</f>
        <v>"IMAGEN URBANA EN CALLE MORELOS ENTRE CALLE GONZÁLEZ ORTEGA A CRISTOBAL COLÓN" EN LA CABECERA MUNICIPAL DE JOCOTEPEC, JALISCO, (NEXTIPAC).</v>
      </c>
      <c r="O567" s="504" t="s">
        <v>3798</v>
      </c>
      <c r="P567" s="67">
        <f>OBRA!S569</f>
        <v>44208</v>
      </c>
      <c r="Q567" s="79">
        <f>OBRA!R569</f>
        <v>758856.32</v>
      </c>
      <c r="R567" s="5">
        <f>OBRA!T569</f>
        <v>44271</v>
      </c>
      <c r="S567" s="11">
        <f>OBRA!U569</f>
        <v>44275</v>
      </c>
      <c r="T567" s="207" t="s">
        <v>3815</v>
      </c>
      <c r="U567" s="62" t="s">
        <v>1428</v>
      </c>
      <c r="V567" s="201"/>
      <c r="W567" s="205"/>
      <c r="X567" s="1911">
        <f>OBRA!AR569</f>
        <v>0</v>
      </c>
      <c r="Y567" s="309"/>
      <c r="Z567" s="309"/>
      <c r="AA567" s="5"/>
      <c r="AB567" s="313"/>
      <c r="AC567" s="317">
        <f>OBRA!BW569</f>
        <v>0</v>
      </c>
      <c r="AD567" s="1"/>
      <c r="AE567" s="352"/>
    </row>
    <row r="568" spans="1:31" ht="123" customHeight="1">
      <c r="A568" s="22" t="s">
        <v>2206</v>
      </c>
      <c r="B568" s="809" t="str">
        <f>GRAL!B572</f>
        <v>2018-2021</v>
      </c>
      <c r="C568" s="16">
        <f>OBRA!J570</f>
        <v>2021</v>
      </c>
      <c r="D568" s="1415"/>
      <c r="E568" s="17" t="str">
        <f>OBRA!M570</f>
        <v>RAMO 33</v>
      </c>
      <c r="F568" s="478" t="s">
        <v>1428</v>
      </c>
      <c r="G568" s="146"/>
      <c r="H568" s="2"/>
      <c r="I568" s="496" t="s">
        <v>4205</v>
      </c>
      <c r="J568" s="54" t="str">
        <f>OBRA!W570</f>
        <v xml:space="preserve">SERVICIOS Y CONSTRUCCIONES NATENIO, S.A. DE C.V. </v>
      </c>
      <c r="K568" s="55" t="str">
        <f>OBRA!X570</f>
        <v>ING. VICTOR MANUEL PACHECO AZCONA</v>
      </c>
      <c r="L568" s="19" t="str">
        <f>OBRA!N570</f>
        <v>GMJ 006C- OP/2021</v>
      </c>
      <c r="M568" s="2" t="str">
        <f>OBRA!O570</f>
        <v>ADJUDICACIÓN DIRECTA</v>
      </c>
      <c r="N568" s="3" t="str">
        <f>OBRA!P570</f>
        <v>"REHABILITACIÓN DE LÍNEAS HIDROSANITARIAS CON REPOSICIÓN DE SUPERFICIE DE RODAMIENTO EN CALLE MORELOS ENTRE CALLE CRISTOBAL COLÓN A CALLE RICO" EN LA CABECERA MUNICIPAL DE JOCOTEPEC, JALISCO, (NEXTIPAC).</v>
      </c>
      <c r="O568" s="504" t="s">
        <v>3798</v>
      </c>
      <c r="P568" s="67">
        <f>OBRA!S570</f>
        <v>44208</v>
      </c>
      <c r="Q568" s="79">
        <f>OBRA!R570</f>
        <v>1379641.73</v>
      </c>
      <c r="R568" s="5">
        <f>OBRA!T570</f>
        <v>44211</v>
      </c>
      <c r="S568" s="11">
        <f>OBRA!U570</f>
        <v>44256</v>
      </c>
      <c r="T568" s="1352" t="s">
        <v>3816</v>
      </c>
      <c r="U568" s="62" t="s">
        <v>1428</v>
      </c>
      <c r="V568" s="499" t="s">
        <v>4205</v>
      </c>
      <c r="W568" s="597" t="s">
        <v>4214</v>
      </c>
      <c r="X568" s="988">
        <f>OBRA!AR570</f>
        <v>275928.34000000003</v>
      </c>
      <c r="Y568" s="309"/>
      <c r="Z568" s="309"/>
      <c r="AA568" s="5"/>
      <c r="AB568" s="313"/>
      <c r="AC568" s="317">
        <f>OBRA!BW570</f>
        <v>0</v>
      </c>
      <c r="AD568" s="1"/>
      <c r="AE568" s="352"/>
    </row>
    <row r="569" spans="1:31" ht="96.75" hidden="1" customHeight="1">
      <c r="A569" s="22" t="s">
        <v>2206</v>
      </c>
      <c r="B569" s="809" t="str">
        <f>GRAL!B573</f>
        <v>2018-2021</v>
      </c>
      <c r="C569" s="16">
        <f>OBRA!J571</f>
        <v>2021</v>
      </c>
      <c r="D569" s="1415"/>
      <c r="E569" s="17" t="str">
        <f>OBRA!M571</f>
        <v>CUENTA CORRIENTE</v>
      </c>
      <c r="F569" s="478" t="s">
        <v>1428</v>
      </c>
      <c r="G569" s="163"/>
      <c r="H569" s="510"/>
      <c r="I569" s="163"/>
      <c r="J569" s="54" t="str">
        <f>OBRA!W571</f>
        <v xml:space="preserve">SERVICIOS Y CONSTRUCCIONES NATENIO, S.A. DE C.V. </v>
      </c>
      <c r="K569" s="55" t="str">
        <f>OBRA!X571</f>
        <v>ING. VICTOR MANUEL PACHECO AZCONA</v>
      </c>
      <c r="L569" s="19" t="str">
        <f>OBRA!N571</f>
        <v>GMJ 007C- OP/2021</v>
      </c>
      <c r="M569" s="2" t="str">
        <f>OBRA!O571</f>
        <v>CANCELADA</v>
      </c>
      <c r="N569" s="3" t="str">
        <f>OBRA!P571</f>
        <v>"IMAGEN URBANA EN CALLE MORELOS DE CALLE CRISTOBAL COLÓN A CALLE RICO" EN LA CABECERA MUNICIPAL DE JOCOTEPEC, JALISCO, (NEXTIPAC).</v>
      </c>
      <c r="O569" s="504" t="s">
        <v>3798</v>
      </c>
      <c r="P569" s="6">
        <f>OBRA!S571</f>
        <v>44208</v>
      </c>
      <c r="Q569" s="4">
        <f>OBRA!R571</f>
        <v>101577.38</v>
      </c>
      <c r="R569" s="5">
        <f>OBRA!T571</f>
        <v>44270</v>
      </c>
      <c r="S569" s="11">
        <f>OBRA!U571</f>
        <v>44275</v>
      </c>
      <c r="T569" s="207" t="s">
        <v>3815</v>
      </c>
      <c r="U569" s="377" t="s">
        <v>1428</v>
      </c>
      <c r="V569" s="535"/>
      <c r="W569" s="437"/>
      <c r="X569" s="987">
        <f>OBRA!AR571</f>
        <v>0</v>
      </c>
      <c r="Y569" s="309"/>
      <c r="Z569" s="309"/>
      <c r="AA569" s="5"/>
      <c r="AB569" s="313"/>
      <c r="AC569" s="317">
        <f>OBRA!BW571</f>
        <v>0</v>
      </c>
      <c r="AD569" s="352"/>
      <c r="AE569" s="352"/>
    </row>
    <row r="570" spans="1:31" ht="139.5" customHeight="1">
      <c r="A570" s="22" t="s">
        <v>2206</v>
      </c>
      <c r="B570" s="809" t="str">
        <f>GRAL!B574</f>
        <v>2018-2021</v>
      </c>
      <c r="C570" s="16">
        <f>OBRA!J572</f>
        <v>2021</v>
      </c>
      <c r="D570" s="1415"/>
      <c r="E570" s="17" t="str">
        <f>OBRA!M572</f>
        <v>RAMO 33</v>
      </c>
      <c r="F570" s="478" t="s">
        <v>1428</v>
      </c>
      <c r="G570" s="496" t="s">
        <v>4206</v>
      </c>
      <c r="H570" s="495" t="s">
        <v>4206</v>
      </c>
      <c r="I570" s="496" t="s">
        <v>4206</v>
      </c>
      <c r="J570" s="54" t="str">
        <f>OBRA!W572</f>
        <v xml:space="preserve">DESARROLLO DAP S.A. DE C.V. </v>
      </c>
      <c r="K570" s="55" t="str">
        <f>OBRA!X572</f>
        <v>ING. VICTOR MANUEL PACHECO AZCONA</v>
      </c>
      <c r="L570" s="19" t="str">
        <f>OBRA!N572</f>
        <v>GMJ 008C- OP/2021</v>
      </c>
      <c r="M570" s="2" t="str">
        <f>OBRA!O572</f>
        <v>ADJUDICACIÓN DIRECTA</v>
      </c>
      <c r="N570" s="3" t="str">
        <f>OBRA!P572</f>
        <v>"REHABILITACIÓN DE LÍNEA DE AGUA POTABLE EN CALLE MORELOS DE CALLE RICO A CALLE RIVERA DEL LAGO Y REHABILITACIÓN DE LÍNEA DE DRENAJE SANITARIO EN CALLE MORELOS DE CALLE RICO HASTA MALECÓN", EN LA CABECERA MUNICIPAL DE JOCOTEPEC, JALISCO, (NEXTIPAC).</v>
      </c>
      <c r="O570" s="504" t="s">
        <v>3798</v>
      </c>
      <c r="P570" s="67">
        <f>OBRA!S572</f>
        <v>44200</v>
      </c>
      <c r="Q570" s="79">
        <f>OBRA!R572</f>
        <v>1301387.07</v>
      </c>
      <c r="R570" s="5">
        <f>OBRA!T572</f>
        <v>44201</v>
      </c>
      <c r="S570" s="11">
        <f>OBRA!U572</f>
        <v>44270</v>
      </c>
      <c r="T570" s="1352" t="s">
        <v>3816</v>
      </c>
      <c r="U570" s="62" t="s">
        <v>1428</v>
      </c>
      <c r="V570" s="499" t="s">
        <v>4206</v>
      </c>
      <c r="W570" s="597" t="s">
        <v>4215</v>
      </c>
      <c r="X570" s="988">
        <f>OBRA!AR572</f>
        <v>243611.33000000002</v>
      </c>
      <c r="Y570" s="309"/>
      <c r="Z570" s="309"/>
      <c r="AA570" s="5"/>
      <c r="AB570" s="313"/>
      <c r="AC570" s="317">
        <f>OBRA!BW572</f>
        <v>0</v>
      </c>
      <c r="AD570" s="1"/>
      <c r="AE570" s="352" t="s">
        <v>551</v>
      </c>
    </row>
    <row r="571" spans="1:31" ht="15" hidden="1" customHeight="1">
      <c r="A571" s="22" t="s">
        <v>2206</v>
      </c>
      <c r="B571" s="809" t="str">
        <f>GRAL!B575</f>
        <v>2018-2021</v>
      </c>
      <c r="C571" s="16">
        <f>OBRA!J573</f>
        <v>2021</v>
      </c>
      <c r="D571" s="1415"/>
      <c r="E571" s="17" t="str">
        <f>OBRA!M573</f>
        <v>CUENTA CORRIENTE</v>
      </c>
      <c r="F571" s="478"/>
      <c r="G571" s="352"/>
      <c r="H571" s="1"/>
      <c r="I571" s="352"/>
      <c r="J571" s="54" t="str">
        <f>OBRA!W573</f>
        <v xml:space="preserve">DESARROLLO DAP S.A. DE C.V. </v>
      </c>
      <c r="K571" s="55" t="str">
        <f>OBRA!X573</f>
        <v>ING. VICTOR MANUEL PACHECO AZCONA</v>
      </c>
      <c r="L571" s="19" t="str">
        <f>OBRA!N573</f>
        <v>GMJ 009C- OP/2021</v>
      </c>
      <c r="M571" s="2" t="str">
        <f>OBRA!O573</f>
        <v>CONCURSO SIMPLIFICADO SUMARIO</v>
      </c>
      <c r="N571" s="3" t="str">
        <f>OBRA!P573</f>
        <v>"INTERVENCIÓN Y ACONDICIONAMIENTO DE TERRACERIAS, REHABILITACIÓN DE BANQUETAS E IMAGEN URBANA EN CALLE MORELOS DE CALLE RICO A MALECÓN DE KM 0+000 AL KM 0+379.50", EN LA CABECERA MUNICIPAL DE JOCOTEPEC, JALISCO (NEXTIPAC)</v>
      </c>
      <c r="O571" s="3"/>
      <c r="P571" s="6">
        <f>OBRA!S573</f>
        <v>44208</v>
      </c>
      <c r="Q571" s="4">
        <f>OBRA!R573</f>
        <v>2617705.66</v>
      </c>
      <c r="R571" s="5">
        <f>OBRA!T573</f>
        <v>44227</v>
      </c>
      <c r="S571" s="11">
        <f>OBRA!U573</f>
        <v>44270</v>
      </c>
      <c r="T571" s="53"/>
      <c r="U571" s="377" t="s">
        <v>1428</v>
      </c>
      <c r="V571" s="309"/>
      <c r="W571" s="11"/>
      <c r="X571" s="279">
        <f>OBRA!AR573</f>
        <v>409864.94</v>
      </c>
      <c r="Y571" s="309"/>
      <c r="Z571" s="309"/>
      <c r="AA571" s="5"/>
      <c r="AB571" s="313"/>
      <c r="AC571" s="317">
        <f>OBRA!BW573</f>
        <v>0</v>
      </c>
      <c r="AD571" s="352"/>
      <c r="AE571" s="352"/>
    </row>
    <row r="572" spans="1:31" ht="15" hidden="1" customHeight="1">
      <c r="A572" s="22" t="s">
        <v>2206</v>
      </c>
      <c r="B572" s="809" t="str">
        <f>GRAL!B576</f>
        <v>2018-2021</v>
      </c>
      <c r="C572" s="16">
        <f>OBRA!J574</f>
        <v>2021</v>
      </c>
      <c r="D572" s="1415"/>
      <c r="E572" s="17" t="str">
        <f>OBRA!M574</f>
        <v>FOCOCI</v>
      </c>
      <c r="F572" s="478"/>
      <c r="G572" s="352"/>
      <c r="H572" s="1"/>
      <c r="I572" s="352"/>
      <c r="J572" s="54" t="str">
        <f>OBRA!W574</f>
        <v>ALSERCON SA DE CV</v>
      </c>
      <c r="K572" s="55" t="str">
        <f>OBRA!X574</f>
        <v>ARQ. JAIME CONDE GOMEZ</v>
      </c>
      <c r="L572" s="19" t="str">
        <f>OBRA!N574</f>
        <v>FOCOCI-OP-CSS-010/2021</v>
      </c>
      <c r="M572" s="2" t="str">
        <f>OBRA!O574</f>
        <v>CONCURSO SIMPLIFICADO SUMARIO</v>
      </c>
      <c r="N572" s="3" t="str">
        <f>OBRA!P574</f>
        <v>"PAVIMENTACIÓN CON EMPEDRADO AHOGADO EN CONCRETO HIDRÁULICO Y SUSTITUCIÓN DE REDES HIDROSANITARIAS EN CALLE LÁZARO CÁRDENAS", EN LA CABECERA MUNICIPAL DE JOCOTEPEC, JALISCO</v>
      </c>
      <c r="O572" s="3"/>
      <c r="P572" s="6">
        <f>OBRA!S574</f>
        <v>44239</v>
      </c>
      <c r="Q572" s="4">
        <f>OBRA!R574</f>
        <v>4895145.74</v>
      </c>
      <c r="R572" s="5">
        <f>OBRA!T574</f>
        <v>44242</v>
      </c>
      <c r="S572" s="11">
        <f>OBRA!U574</f>
        <v>44331</v>
      </c>
      <c r="T572" s="53"/>
      <c r="U572" s="377" t="s">
        <v>1428</v>
      </c>
      <c r="V572" s="309"/>
      <c r="W572" s="11"/>
      <c r="X572" s="279">
        <f>OBRA!AR574</f>
        <v>1713301</v>
      </c>
      <c r="Y572" s="309"/>
      <c r="Z572" s="309"/>
      <c r="AA572" s="5"/>
      <c r="AB572" s="313"/>
      <c r="AC572" s="317">
        <f>OBRA!BW574</f>
        <v>0</v>
      </c>
      <c r="AD572" s="352"/>
      <c r="AE572" s="352"/>
    </row>
    <row r="573" spans="1:31" ht="15" hidden="1" customHeight="1">
      <c r="A573" s="22" t="s">
        <v>2206</v>
      </c>
      <c r="B573" s="809" t="str">
        <f>GRAL!B577</f>
        <v>2018-2021</v>
      </c>
      <c r="C573" s="16">
        <f>OBRA!J575</f>
        <v>2021</v>
      </c>
      <c r="D573" s="1415"/>
      <c r="E573" s="17" t="str">
        <f>OBRA!M575</f>
        <v>FOCOCI</v>
      </c>
      <c r="F573" s="478"/>
      <c r="G573" s="352"/>
      <c r="H573" s="1"/>
      <c r="I573" s="352"/>
      <c r="J573" s="54" t="str">
        <f>OBRA!W575</f>
        <v>COREGO CONSTRUCCIONES, S.A. DE C.V.</v>
      </c>
      <c r="K573" s="55" t="str">
        <f>OBRA!X575</f>
        <v xml:space="preserve">ING. ENRIQUE ENRÍQUEZ VÁZQUEZ </v>
      </c>
      <c r="L573" s="19" t="str">
        <f>OBRA!N575</f>
        <v>FOCOCI-OP-CSS-011/2021</v>
      </c>
      <c r="M573" s="2" t="str">
        <f>OBRA!O575</f>
        <v>CONCURSO SIMPLIFICADO SUMARIO</v>
      </c>
      <c r="N573" s="3" t="str">
        <f>OBRA!P575</f>
        <v>"REHABILITACIÓN DE INGRESO A ZAPOTITÁN DE HIDALGO DE LA CARRETERA FEDERAL AL PUENTE EN EL MUNICIPIO DE JOCOTEPEC, JALISCO".</v>
      </c>
      <c r="O573" s="3"/>
      <c r="P573" s="6">
        <f>OBRA!S575</f>
        <v>44278</v>
      </c>
      <c r="Q573" s="4">
        <f>OBRA!R575</f>
        <v>3973863.2</v>
      </c>
      <c r="R573" s="5">
        <f>OBRA!T575</f>
        <v>44280</v>
      </c>
      <c r="S573" s="11">
        <f>OBRA!U575</f>
        <v>44347</v>
      </c>
      <c r="T573" s="53"/>
      <c r="U573" s="377" t="s">
        <v>1428</v>
      </c>
      <c r="V573" s="309"/>
      <c r="W573" s="11"/>
      <c r="X573" s="279">
        <f>OBRA!AR575</f>
        <v>392270.12</v>
      </c>
      <c r="Y573" s="309"/>
      <c r="Z573" s="309"/>
      <c r="AA573" s="5"/>
      <c r="AB573" s="313"/>
      <c r="AC573" s="317">
        <f>OBRA!BW575</f>
        <v>0</v>
      </c>
      <c r="AD573" s="352"/>
      <c r="AE573" s="352"/>
    </row>
    <row r="574" spans="1:31" ht="100.5" hidden="1" customHeight="1">
      <c r="A574" s="22" t="s">
        <v>2206</v>
      </c>
      <c r="B574" s="809" t="str">
        <f>GRAL!B578</f>
        <v>2018-2021</v>
      </c>
      <c r="C574" s="16">
        <f>OBRA!J576</f>
        <v>2021</v>
      </c>
      <c r="D574" s="1415"/>
      <c r="E574" s="17" t="str">
        <f>OBRA!M576</f>
        <v>CUENTA CORRIENTE</v>
      </c>
      <c r="F574" s="478" t="s">
        <v>1428</v>
      </c>
      <c r="G574" s="1108"/>
      <c r="H574" s="219"/>
      <c r="I574" s="1108"/>
      <c r="J574" s="54" t="str">
        <f>OBRA!W576</f>
        <v>JESSICA MONSERRAT RIVERA TORRES</v>
      </c>
      <c r="K574" s="1088">
        <f>OBRA!X576</f>
        <v>0</v>
      </c>
      <c r="L574" s="19" t="str">
        <f>OBRA!N576</f>
        <v>GMJ 012C- OP/2021</v>
      </c>
      <c r="M574" s="2" t="str">
        <f>OBRA!O576</f>
        <v>CANCELADA</v>
      </c>
      <c r="N574" s="3" t="str">
        <f>OBRA!P576</f>
        <v>"REHABILITACIÓN DE POZO PROFUNDO UBICADO EN EL ATRIO DEL TEMPLO DEL SEÑOR DEL MONTE, EN LA CABECERA MUNICIPAL DE JOCOTEPEC, JALISCO.</v>
      </c>
      <c r="O574" s="541"/>
      <c r="P574" s="6">
        <f>OBRA!S576</f>
        <v>0</v>
      </c>
      <c r="Q574" s="4">
        <f>OBRA!R576</f>
        <v>144561.23000000001</v>
      </c>
      <c r="R574" s="5">
        <f>OBRA!T576</f>
        <v>44228</v>
      </c>
      <c r="S574" s="11">
        <f>OBRA!U576</f>
        <v>44255</v>
      </c>
      <c r="T574" s="207" t="s">
        <v>3815</v>
      </c>
      <c r="U574" s="377" t="s">
        <v>1428</v>
      </c>
      <c r="V574" s="508"/>
      <c r="W574" s="509"/>
      <c r="X574" s="987">
        <f>OBRA!AR576</f>
        <v>0</v>
      </c>
      <c r="Y574" s="309"/>
      <c r="Z574" s="309"/>
      <c r="AA574" s="5"/>
      <c r="AB574" s="313"/>
      <c r="AC574" s="317">
        <f>OBRA!BW576</f>
        <v>0</v>
      </c>
      <c r="AD574" s="352"/>
      <c r="AE574" s="352"/>
    </row>
    <row r="575" spans="1:31" ht="144" customHeight="1">
      <c r="A575" s="22" t="s">
        <v>2206</v>
      </c>
      <c r="B575" s="809" t="str">
        <f>GRAL!B579</f>
        <v>2018-2021</v>
      </c>
      <c r="C575" s="16">
        <f>OBRA!J577</f>
        <v>2021</v>
      </c>
      <c r="D575" s="1415"/>
      <c r="E575" s="17" t="str">
        <f>OBRA!M577</f>
        <v>CUENTA CORRIENTE</v>
      </c>
      <c r="F575" s="478" t="s">
        <v>1428</v>
      </c>
      <c r="G575" s="496" t="s">
        <v>4216</v>
      </c>
      <c r="H575" s="495"/>
      <c r="I575" s="146"/>
      <c r="J575" s="54" t="str">
        <f>OBRA!W577</f>
        <v xml:space="preserve">INFRAESTRUCTURA Y EDIFICACIONES OROZCO S.A. DE C.V. </v>
      </c>
      <c r="K575" s="55" t="str">
        <f>OBRA!X577</f>
        <v xml:space="preserve">ING. ENRIQUE ENRÍQUEZ VÁZQUEZ </v>
      </c>
      <c r="L575" s="19" t="str">
        <f>OBRA!N577</f>
        <v>GMJ 013C- OP/2021</v>
      </c>
      <c r="M575" s="2" t="str">
        <f>OBRA!O577</f>
        <v>ADJUDICACIÓN DIRECTA</v>
      </c>
      <c r="N575"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4" t="s">
        <v>3629</v>
      </c>
      <c r="P575" s="67">
        <f>OBRA!S577</f>
        <v>44242</v>
      </c>
      <c r="Q575" s="79">
        <f>OBRA!R577</f>
        <v>1127177.8999999999</v>
      </c>
      <c r="R575" s="5">
        <f>OBRA!T577</f>
        <v>44242</v>
      </c>
      <c r="S575" s="11">
        <f>OBRA!U577</f>
        <v>44332</v>
      </c>
      <c r="T575" s="207" t="s">
        <v>3815</v>
      </c>
      <c r="U575" s="62" t="s">
        <v>1428</v>
      </c>
      <c r="V575" s="499" t="s">
        <v>4216</v>
      </c>
      <c r="W575" s="597" t="s">
        <v>4216</v>
      </c>
      <c r="X575" s="988">
        <f>OBRA!AR577</f>
        <v>494512.25999999995</v>
      </c>
      <c r="Y575" s="309"/>
      <c r="Z575" s="309"/>
      <c r="AA575" s="5"/>
      <c r="AB575" s="313"/>
      <c r="AC575" s="317">
        <f>OBRA!BW577</f>
        <v>0</v>
      </c>
      <c r="AD575" s="1"/>
      <c r="AE575" s="352" t="s">
        <v>551</v>
      </c>
    </row>
    <row r="576" spans="1:31" ht="153" customHeight="1">
      <c r="A576" s="22" t="s">
        <v>2206</v>
      </c>
      <c r="B576" s="809" t="str">
        <f>GRAL!B580</f>
        <v>2018-2021</v>
      </c>
      <c r="C576" s="16">
        <f>OBRA!J578</f>
        <v>2021</v>
      </c>
      <c r="D576" s="1415"/>
      <c r="E576" s="17" t="str">
        <f>OBRA!M578</f>
        <v>CUENTA CORRIENTE</v>
      </c>
      <c r="F576" s="478" t="s">
        <v>1428</v>
      </c>
      <c r="G576" s="496" t="s">
        <v>4144</v>
      </c>
      <c r="H576" s="2"/>
      <c r="I576" s="496" t="s">
        <v>4144</v>
      </c>
      <c r="J576" s="54" t="str">
        <f>OBRA!W578</f>
        <v>SUPERVISIÓN PROYECTOS Y LABORATORIO PARA LA CONSTRUCCIÓN, S.A. DE C.V.</v>
      </c>
      <c r="K576" s="55" t="str">
        <f>OBRA!X578</f>
        <v xml:space="preserve">ING. ENRIQUE ENRÍQUEZ VÁZQUEZ </v>
      </c>
      <c r="L576" s="19" t="str">
        <f>OBRA!N578</f>
        <v>GMJ 014C- OP/2021</v>
      </c>
      <c r="M576" s="2" t="str">
        <f>OBRA!O578</f>
        <v>ADJUDICACIÓN DIRECTA</v>
      </c>
      <c r="N576"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4" t="s">
        <v>3629</v>
      </c>
      <c r="P576" s="67">
        <f>OBRA!S578</f>
        <v>44242</v>
      </c>
      <c r="Q576" s="79">
        <f>OBRA!R578</f>
        <v>1311375.01</v>
      </c>
      <c r="R576" s="5">
        <f>OBRA!T578</f>
        <v>44242</v>
      </c>
      <c r="S576" s="11">
        <f>OBRA!U578</f>
        <v>44332</v>
      </c>
      <c r="T576" s="207" t="s">
        <v>3815</v>
      </c>
      <c r="U576" s="62" t="s">
        <v>1428</v>
      </c>
      <c r="V576" s="499" t="s">
        <v>4144</v>
      </c>
      <c r="W576" s="597" t="s">
        <v>4144</v>
      </c>
      <c r="X576" s="1911">
        <f>OBRA!AR578</f>
        <v>327843.75</v>
      </c>
      <c r="Y576" s="309"/>
      <c r="Z576" s="309"/>
      <c r="AA576" s="5"/>
      <c r="AB576" s="313"/>
      <c r="AC576" s="317">
        <f>OBRA!BW578</f>
        <v>0</v>
      </c>
      <c r="AD576" s="1"/>
      <c r="AE576" s="352"/>
    </row>
    <row r="577" spans="1:31" ht="58.5" customHeight="1">
      <c r="A577" s="22" t="s">
        <v>2206</v>
      </c>
      <c r="B577" s="809" t="str">
        <f>GRAL!B581</f>
        <v>2018-2021</v>
      </c>
      <c r="C577" s="16">
        <f>OBRA!J579</f>
        <v>2021</v>
      </c>
      <c r="D577" s="1415"/>
      <c r="E577" s="17" t="str">
        <f>OBRA!M579</f>
        <v>CUENTA CORRIENTE</v>
      </c>
      <c r="F577" s="478" t="s">
        <v>1428</v>
      </c>
      <c r="G577" s="496" t="s">
        <v>4290</v>
      </c>
      <c r="H577" s="495" t="s">
        <v>4290</v>
      </c>
      <c r="I577" s="496" t="s">
        <v>4290</v>
      </c>
      <c r="J577" s="54" t="str">
        <f>OBRA!W579</f>
        <v>MARCO ANTONIO PAREDES RODRÍGUEZ</v>
      </c>
      <c r="K577" s="55" t="str">
        <f>OBRA!X579</f>
        <v>ING. LUIS RIGOBERTO OLMEDO NAVARRO</v>
      </c>
      <c r="L577" s="19" t="str">
        <f>OBRA!N579</f>
        <v>GMJ 015C- OP/2021</v>
      </c>
      <c r="M577" s="2" t="str">
        <f>OBRA!O579</f>
        <v>ADJUDICACIÓN DIRECTA</v>
      </c>
      <c r="N577" s="3" t="str">
        <f>OBRA!P579</f>
        <v>"EQUIPAMIENTO DE POZO MORELOS" EN LA AGENCIA MINICIPAL DE NEXTIPAC, DEL MUNICIPIO DE JOCOTEPEC, JALISCO.</v>
      </c>
      <c r="O577" s="504" t="s">
        <v>3629</v>
      </c>
      <c r="P577" s="67">
        <f>OBRA!S579</f>
        <v>44305</v>
      </c>
      <c r="Q577" s="79">
        <f>OBRA!R579</f>
        <v>347784.24</v>
      </c>
      <c r="R577" s="5">
        <f>OBRA!T579</f>
        <v>44378</v>
      </c>
      <c r="S577" s="11">
        <f>OBRA!U579</f>
        <v>44424</v>
      </c>
      <c r="T577" s="1352" t="s">
        <v>3815</v>
      </c>
      <c r="U577" s="62" t="s">
        <v>1428</v>
      </c>
      <c r="V577" s="499" t="s">
        <v>4290</v>
      </c>
      <c r="W577" s="597" t="s">
        <v>4290</v>
      </c>
      <c r="X577" s="988">
        <f>OBRA!AR579</f>
        <v>121724.48</v>
      </c>
      <c r="Y577" s="309"/>
      <c r="Z577" s="309"/>
      <c r="AA577" s="5"/>
      <c r="AB577" s="313"/>
      <c r="AC577" s="317">
        <f>OBRA!BW579</f>
        <v>0</v>
      </c>
      <c r="AD577" s="1"/>
      <c r="AE577" s="352" t="s">
        <v>551</v>
      </c>
    </row>
    <row r="578" spans="1:31" ht="87.75" customHeight="1">
      <c r="A578" s="22" t="s">
        <v>2206</v>
      </c>
      <c r="B578" s="809" t="str">
        <f>GRAL!B582</f>
        <v>2018-2021</v>
      </c>
      <c r="C578" s="16">
        <f>OBRA!J580</f>
        <v>2021</v>
      </c>
      <c r="D578" s="1415"/>
      <c r="E578" s="17" t="str">
        <f>OBRA!M580</f>
        <v>CUENTA CORRIENTE</v>
      </c>
      <c r="F578" s="478" t="s">
        <v>1428</v>
      </c>
      <c r="G578" s="496" t="s">
        <v>4283</v>
      </c>
      <c r="H578" s="495" t="s">
        <v>4283</v>
      </c>
      <c r="I578" s="496" t="s">
        <v>4283</v>
      </c>
      <c r="J578" s="54" t="str">
        <f>OBRA!W580</f>
        <v>CONVADI, S.A. DE C.V.</v>
      </c>
      <c r="K578" s="55" t="str">
        <f>OBRA!X580</f>
        <v>ING. ALEJANDRO SIGALA MOLINA</v>
      </c>
      <c r="L578" s="19" t="str">
        <f>OBRA!N580</f>
        <v>GMJ 016C- OP/2021</v>
      </c>
      <c r="M578" s="2" t="str">
        <f>OBRA!O580</f>
        <v>ADJUDICACIÓN DIRECTA</v>
      </c>
      <c r="N578" s="3" t="str">
        <f>OBRA!P580</f>
        <v>"PROYECTO DE ELECTRIFICACIÓN Y EQUIPAMIENTO 1ERA ETAPA DE POZO PROFUNDO ALLENDE", UBICADO EN LA CABECERA MUNICIPAL DE JOCOTEPEC, JALISCO</v>
      </c>
      <c r="O578" s="504" t="s">
        <v>3629</v>
      </c>
      <c r="P578" s="67">
        <f>OBRA!S580</f>
        <v>44308</v>
      </c>
      <c r="Q578" s="79">
        <f>OBRA!R580</f>
        <v>1083547.78</v>
      </c>
      <c r="R578" s="5">
        <f>OBRA!T580</f>
        <v>44322</v>
      </c>
      <c r="S578" s="11">
        <f>OBRA!U580</f>
        <v>44347</v>
      </c>
      <c r="T578" s="207" t="s">
        <v>3815</v>
      </c>
      <c r="U578" s="62" t="s">
        <v>1428</v>
      </c>
      <c r="V578" s="499" t="s">
        <v>4283</v>
      </c>
      <c r="W578" s="597" t="s">
        <v>4283</v>
      </c>
      <c r="X578" s="988">
        <f>OBRA!AR580</f>
        <v>487596.5</v>
      </c>
      <c r="Y578" s="309"/>
      <c r="Z578" s="309"/>
      <c r="AA578" s="5"/>
      <c r="AB578" s="313"/>
      <c r="AC578" s="317">
        <f>OBRA!BW580</f>
        <v>0</v>
      </c>
      <c r="AD578" s="1"/>
      <c r="AE578" s="352" t="s">
        <v>551</v>
      </c>
    </row>
    <row r="579" spans="1:31" ht="62.25" customHeight="1">
      <c r="A579" s="22" t="s">
        <v>2206</v>
      </c>
      <c r="B579" s="809" t="str">
        <f>GRAL!B583</f>
        <v>2018-2021</v>
      </c>
      <c r="C579" s="16">
        <f>OBRA!J581</f>
        <v>2021</v>
      </c>
      <c r="D579" s="1415"/>
      <c r="E579" s="17" t="str">
        <f>OBRA!M581</f>
        <v>CUENTA CORRIENTE</v>
      </c>
      <c r="F579" s="478" t="s">
        <v>1428</v>
      </c>
      <c r="G579" s="496" t="s">
        <v>4294</v>
      </c>
      <c r="H579" s="495"/>
      <c r="I579" s="496" t="s">
        <v>4294</v>
      </c>
      <c r="J579" s="54" t="str">
        <f>OBRA!W581</f>
        <v>GRUPO ARANGE, S.A. DE C.V.</v>
      </c>
      <c r="K579" s="55" t="str">
        <f>OBRA!X581</f>
        <v>LIC. SALVADOR CONTRERAS OLGUÍN</v>
      </c>
      <c r="L579" s="19" t="str">
        <f>OBRA!N581</f>
        <v>GMJ 017C- OP/2021</v>
      </c>
      <c r="M579" s="2" t="str">
        <f>OBRA!O581</f>
        <v>ADJUDICACIÓN DIRECTA</v>
      </c>
      <c r="N579" s="3" t="str">
        <f>OBRA!P581</f>
        <v>"PROYECTO DE ELÉCTRICO DEL RASTRO MUNICIPAL, ETAPA 1,  EN LA CABECERA MUNICIPAL DE JOCOTEPEC, JALISCO</v>
      </c>
      <c r="O579" s="504" t="s">
        <v>3629</v>
      </c>
      <c r="P579" s="67">
        <f>OBRA!S581</f>
        <v>44440</v>
      </c>
      <c r="Q579" s="79">
        <f>OBRA!R581</f>
        <v>652301.56999999995</v>
      </c>
      <c r="R579" s="5">
        <f>OBRA!T581</f>
        <v>44445</v>
      </c>
      <c r="S579" s="11">
        <f>OBRA!U581</f>
        <v>44463</v>
      </c>
      <c r="T579" s="1352" t="s">
        <v>3815</v>
      </c>
      <c r="U579" s="62" t="s">
        <v>1428</v>
      </c>
      <c r="V579" s="499" t="s">
        <v>4294</v>
      </c>
      <c r="W579" s="597" t="s">
        <v>4294</v>
      </c>
      <c r="X579" s="986">
        <f>OBRA!AR581</f>
        <v>293535.69</v>
      </c>
      <c r="Y579" s="1912" t="s">
        <v>4299</v>
      </c>
      <c r="Z579" s="309"/>
      <c r="AA579" s="5"/>
      <c r="AB579" s="313"/>
      <c r="AC579" s="317">
        <f>OBRA!BW581</f>
        <v>0</v>
      </c>
      <c r="AD579" s="1"/>
      <c r="AE579" s="352"/>
    </row>
    <row r="580" spans="1:31" ht="117" customHeight="1">
      <c r="A580" s="22" t="s">
        <v>2206</v>
      </c>
      <c r="B580" s="809" t="str">
        <f>GRAL!B584</f>
        <v>2018-2021</v>
      </c>
      <c r="C580" s="16">
        <f>OBRA!J582</f>
        <v>2021</v>
      </c>
      <c r="D580" s="1415"/>
      <c r="E580" s="17" t="str">
        <f>OBRA!M582</f>
        <v>CUENTA CORRIENTE</v>
      </c>
      <c r="F580" s="478" t="s">
        <v>1428</v>
      </c>
      <c r="G580" s="146"/>
      <c r="H580" s="2"/>
      <c r="I580" s="146"/>
      <c r="J580" s="54" t="str">
        <f>OBRA!W582</f>
        <v xml:space="preserve">ING. SERGIO CABRERA </v>
      </c>
      <c r="K580" s="55" t="str">
        <f>OBRA!X582</f>
        <v>ING. J. GUADALUPE IBARRA RAMIREZ</v>
      </c>
      <c r="L580" s="19" t="str">
        <f>OBRA!N582</f>
        <v>GMJ 018C- OP/2021</v>
      </c>
      <c r="M580" s="2" t="str">
        <f>OBRA!O582</f>
        <v>ADJUDICACIÓN DIRECTA</v>
      </c>
      <c r="N580" s="3" t="str">
        <f>OBRA!P582</f>
        <v>“ACONDICIONAMIENTO DE TERRACERIAS, REHABILITACIÓN DE BANQUETAS E IMAGEN URBANA EN CALLE MORELOS DE CALLE RICO A MALECÓN DE KM 0+143.00 AL KM 0+379.50”, EN LA CABECERA MUNICIPAL DE JOCOTEPEC, JALISCO (NEXTIPAC)</v>
      </c>
      <c r="O580" s="504" t="s">
        <v>3629</v>
      </c>
      <c r="P580" s="67">
        <f>OBRA!S582</f>
        <v>44454</v>
      </c>
      <c r="Q580" s="79">
        <f>OBRA!R582</f>
        <v>1137012.22</v>
      </c>
      <c r="R580" s="5">
        <f>OBRA!T582</f>
        <v>44456</v>
      </c>
      <c r="S580" s="11">
        <f>OBRA!U582</f>
        <v>44499</v>
      </c>
      <c r="T580" s="207" t="s">
        <v>3815</v>
      </c>
      <c r="U580" s="62" t="s">
        <v>1428</v>
      </c>
      <c r="V580" s="201"/>
      <c r="W580" s="205"/>
      <c r="X580" s="1911">
        <f>OBRA!AR582</f>
        <v>0</v>
      </c>
      <c r="Y580" s="309"/>
      <c r="Z580" s="309"/>
      <c r="AA580" s="5"/>
      <c r="AB580" s="313"/>
      <c r="AC580" s="317">
        <f>OBRA!BW582</f>
        <v>0</v>
      </c>
      <c r="AD580" s="1"/>
      <c r="AE580" s="352"/>
    </row>
    <row r="581" spans="1:31" ht="15" hidden="1" customHeight="1">
      <c r="A581" s="22" t="s">
        <v>2206</v>
      </c>
      <c r="B581" s="809" t="str">
        <f>GRAL!B585</f>
        <v>2021-2024</v>
      </c>
      <c r="C581" s="16">
        <f>OBRA!J583</f>
        <v>2021</v>
      </c>
      <c r="D581" s="1415"/>
      <c r="E581" s="17" t="str">
        <f>OBRA!M583</f>
        <v xml:space="preserve">CULTURA CARDINAL </v>
      </c>
      <c r="F581" s="478"/>
      <c r="G581" s="352"/>
      <c r="H581" s="1"/>
      <c r="I581" s="352"/>
      <c r="J581" s="54" t="str">
        <f>OBRA!W583</f>
        <v>N/A</v>
      </c>
      <c r="K581" s="55" t="str">
        <f>OBRA!X583</f>
        <v>ARQ. JAIME CONDE GOMEZ</v>
      </c>
      <c r="L581" s="19" t="str">
        <f>OBRA!N583</f>
        <v>DOP/AD/001/2021</v>
      </c>
      <c r="M581" s="2" t="str">
        <f>OBRA!O583</f>
        <v>ADMINISTRACIÓN DIRECTA</v>
      </c>
      <c r="N581" s="3" t="str">
        <f>OBRA!P583</f>
        <v>CONSTRUCCIÓN DE AULA EN CASA DE LA CULTURA (PARA USO DE ARCHIVO MUERTO)" EN LA CABECERA MUNICIPAL DE JOCOTEPEC, JALISCO.</v>
      </c>
      <c r="O581" s="3"/>
      <c r="P581" s="6">
        <f>OBRA!S583</f>
        <v>44504</v>
      </c>
      <c r="Q581" s="4">
        <f>OBRA!R583</f>
        <v>100000</v>
      </c>
      <c r="R581" s="5">
        <f>OBRA!T583</f>
        <v>44508</v>
      </c>
      <c r="S581" s="11">
        <f>OBRA!U583</f>
        <v>44561</v>
      </c>
      <c r="T581" s="53"/>
      <c r="U581" s="377" t="s">
        <v>1428</v>
      </c>
      <c r="V581" s="309"/>
      <c r="W581" s="11"/>
      <c r="X581" s="987">
        <f>OBRA!AR583</f>
        <v>0</v>
      </c>
      <c r="Y581" s="309"/>
      <c r="Z581" s="309"/>
      <c r="AA581" s="5"/>
      <c r="AB581" s="313"/>
      <c r="AC581" s="317">
        <f>OBRA!BW583</f>
        <v>0</v>
      </c>
      <c r="AD581" s="352"/>
      <c r="AE581" s="352"/>
    </row>
    <row r="582" spans="1:31" ht="15" hidden="1" customHeight="1">
      <c r="A582" s="22" t="s">
        <v>2206</v>
      </c>
      <c r="B582" s="809" t="str">
        <f>GRAL!B586</f>
        <v>2021-2024</v>
      </c>
      <c r="C582" s="16">
        <f>OBRA!J584</f>
        <v>2021</v>
      </c>
      <c r="D582" s="1415"/>
      <c r="E582" s="17" t="str">
        <f>OBRA!M584</f>
        <v>CUENTA CORRIENTE</v>
      </c>
      <c r="F582" s="478"/>
      <c r="G582" s="352"/>
      <c r="H582" s="1"/>
      <c r="I582" s="352"/>
      <c r="J582" s="54" t="str">
        <f>OBRA!W584</f>
        <v>N/A</v>
      </c>
      <c r="K582" s="55" t="str">
        <f>OBRA!X584</f>
        <v>ING. J. GUADALUPE IBARRA RAMIREZ</v>
      </c>
      <c r="L582" s="19" t="str">
        <f>OBRA!N584</f>
        <v>DOP/AD/002/2021</v>
      </c>
      <c r="M582" s="2" t="str">
        <f>OBRA!O584</f>
        <v>ADMINISTRACIÓN DIRECTA</v>
      </c>
      <c r="N582" s="3" t="str">
        <f>OBRA!P584</f>
        <v>"REHABILITACIÓN DE INMUEBLE PARA OFICINAS ADMINISTRATIVAS, ANTES ESCUELA PAULINO NAVARRO", EN LA CABECERA MUNICIPAL DE JOCOTEPEC, JALISCO.</v>
      </c>
      <c r="O582" s="3"/>
      <c r="P582" s="6">
        <f>OBRA!S584</f>
        <v>44560</v>
      </c>
      <c r="Q582" s="4">
        <f>OBRA!R584</f>
        <v>400000</v>
      </c>
      <c r="R582" s="5">
        <f>OBRA!T584</f>
        <v>44561</v>
      </c>
      <c r="S582" s="11">
        <f>OBRA!U584</f>
        <v>44651</v>
      </c>
      <c r="T582" s="53"/>
      <c r="U582" s="377" t="s">
        <v>1428</v>
      </c>
      <c r="V582" s="309"/>
      <c r="W582" s="11"/>
      <c r="X582" s="987">
        <f>OBRA!AR584</f>
        <v>0</v>
      </c>
      <c r="Y582" s="309"/>
      <c r="Z582" s="309"/>
      <c r="AA582" s="5"/>
      <c r="AB582" s="313"/>
      <c r="AC582" s="317">
        <f>OBRA!BW584</f>
        <v>0</v>
      </c>
      <c r="AD582" s="352"/>
      <c r="AE582" s="352"/>
    </row>
    <row r="583" spans="1:31" ht="15" hidden="1" customHeight="1">
      <c r="A583" s="22" t="s">
        <v>2206</v>
      </c>
      <c r="B583" s="809" t="str">
        <f>GRAL!B587</f>
        <v>2021-2024</v>
      </c>
      <c r="C583" s="16">
        <f>OBRA!J585</f>
        <v>2021</v>
      </c>
      <c r="D583" s="1415"/>
      <c r="E583" s="17" t="str">
        <f>OBRA!M585</f>
        <v>CUENTA CORRIENTE</v>
      </c>
      <c r="F583" s="478"/>
      <c r="G583" s="352"/>
      <c r="H583" s="1"/>
      <c r="I583" s="352"/>
      <c r="J583" s="54" t="str">
        <f>OBRA!W585</f>
        <v>ECCOC DE GUADALAJARA, S.A. DE C.V.</v>
      </c>
      <c r="K583" s="55">
        <f>OBRA!X585</f>
        <v>0</v>
      </c>
      <c r="L583" s="19" t="str">
        <f>OBRA!N585</f>
        <v>C.P.S.P. D.O.P. 001/2021</v>
      </c>
      <c r="M583" s="2" t="str">
        <f>OBRA!O585</f>
        <v>SERVICIOS</v>
      </c>
      <c r="N583" s="3" t="str">
        <f>OBRA!P585</f>
        <v>ESTUDIO DE MECÁNICA DE SUELOS Y EL ESTUDIO DE CÁLCULO ESTRUCTURAL EN LA ESCUELA JOSÉ SANTANA, EN LA CABECERA MUNICIPAL DE JOCOTEPEC, JALISCO.</v>
      </c>
      <c r="O583" s="3"/>
      <c r="P583" s="6">
        <f>OBRA!S585</f>
        <v>44512</v>
      </c>
      <c r="Q583" s="4">
        <f>OBRA!R585</f>
        <v>42920</v>
      </c>
      <c r="R583" s="5" t="str">
        <f>OBRA!T585</f>
        <v>-</v>
      </c>
      <c r="S583" s="11" t="str">
        <f>OBRA!U585</f>
        <v>-</v>
      </c>
      <c r="T583" s="53"/>
      <c r="U583" s="377" t="s">
        <v>1428</v>
      </c>
      <c r="V583" s="309"/>
      <c r="W583" s="11"/>
      <c r="X583" s="987">
        <f>OBRA!AR585</f>
        <v>0</v>
      </c>
      <c r="Y583" s="309"/>
      <c r="Z583" s="309"/>
      <c r="AA583" s="5"/>
      <c r="AB583" s="313"/>
      <c r="AC583" s="317">
        <f>OBRA!BW585</f>
        <v>0</v>
      </c>
      <c r="AD583" s="352"/>
      <c r="AE583" s="352"/>
    </row>
    <row r="584" spans="1:31" ht="15" hidden="1" customHeight="1">
      <c r="A584" s="22" t="s">
        <v>2206</v>
      </c>
      <c r="B584" s="809" t="str">
        <f>GRAL!B588</f>
        <v>2021-2024</v>
      </c>
      <c r="C584" s="16">
        <f>OBRA!J586</f>
        <v>2021</v>
      </c>
      <c r="D584" s="1415"/>
      <c r="E584" s="17" t="str">
        <f>OBRA!M586</f>
        <v>CUENTA CORRIENTE</v>
      </c>
      <c r="F584" s="478"/>
      <c r="G584" s="352"/>
      <c r="H584" s="1"/>
      <c r="I584" s="352"/>
      <c r="J584" s="54" t="str">
        <f>OBRA!W586</f>
        <v>CARLOS MANUEL PELAYO CERVERA</v>
      </c>
      <c r="K584" s="55">
        <f>OBRA!X586</f>
        <v>0</v>
      </c>
      <c r="L584" s="19" t="str">
        <f>OBRA!N586</f>
        <v>C.P.S.P. D.O.P. 002/2021</v>
      </c>
      <c r="M584" s="2" t="str">
        <f>OBRA!O586</f>
        <v>SERVICIOS</v>
      </c>
      <c r="N584" s="3" t="str">
        <f>OBRA!P586</f>
        <v>DESLINDE DE PREDIO UBICADO EN CARRETERA JOCOTEPEC-CHAPALA, ESQUINA CALLE CRISTOBAL COLÓN, EN LA LOCALIDAD DE NEXTIPAC, DEL MUNICIPIO DE JOCOTEPEC. JALISCO.</v>
      </c>
      <c r="O584" s="3"/>
      <c r="P584" s="6">
        <f>OBRA!S586</f>
        <v>44512</v>
      </c>
      <c r="Q584" s="4">
        <f>OBRA!R586</f>
        <v>5800</v>
      </c>
      <c r="R584" s="5" t="str">
        <f>OBRA!T586</f>
        <v>-</v>
      </c>
      <c r="S584" s="11" t="str">
        <f>OBRA!U586</f>
        <v>-</v>
      </c>
      <c r="T584" s="53"/>
      <c r="U584" s="377" t="s">
        <v>1428</v>
      </c>
      <c r="V584" s="309"/>
      <c r="W584" s="11"/>
      <c r="X584" s="987">
        <f>OBRA!AR586</f>
        <v>0</v>
      </c>
      <c r="Y584" s="309"/>
      <c r="Z584" s="309"/>
      <c r="AA584" s="5"/>
      <c r="AB584" s="313"/>
      <c r="AC584" s="317">
        <f>OBRA!BW586</f>
        <v>0</v>
      </c>
      <c r="AD584" s="352"/>
      <c r="AE584" s="352"/>
    </row>
    <row r="585" spans="1:31" ht="15" hidden="1" customHeight="1">
      <c r="A585" s="22" t="s">
        <v>2206</v>
      </c>
      <c r="B585" s="809" t="str">
        <f>GRAL!B589</f>
        <v>2021-2024</v>
      </c>
      <c r="C585" s="16">
        <f>OBRA!J587</f>
        <v>2021</v>
      </c>
      <c r="D585" s="1415"/>
      <c r="E585" s="17" t="str">
        <f>OBRA!M587</f>
        <v>CUENTA CORRIENTE</v>
      </c>
      <c r="F585" s="478"/>
      <c r="G585" s="352"/>
      <c r="H585" s="1"/>
      <c r="I585" s="352"/>
      <c r="J585" s="54" t="str">
        <f>OBRA!W587</f>
        <v>ING. SERGIO CABRERA</v>
      </c>
      <c r="K585" s="55">
        <f>OBRA!X587</f>
        <v>0</v>
      </c>
      <c r="L585" s="19" t="str">
        <f>OBRA!N587</f>
        <v>C.P.S.P. D.O.P. 003/2021</v>
      </c>
      <c r="M585" s="2" t="str">
        <f>OBRA!O587</f>
        <v>SERVICIOS</v>
      </c>
      <c r="N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OBRA!S587</f>
        <v>44515</v>
      </c>
      <c r="Q585" s="4">
        <f>OBRA!R587</f>
        <v>34800</v>
      </c>
      <c r="R585" s="5" t="str">
        <f>OBRA!T587</f>
        <v>-</v>
      </c>
      <c r="S585" s="11" t="str">
        <f>OBRA!U587</f>
        <v>-</v>
      </c>
      <c r="T585" s="53"/>
      <c r="U585" s="377" t="s">
        <v>1428</v>
      </c>
      <c r="V585" s="309"/>
      <c r="W585" s="11"/>
      <c r="X585" s="987">
        <f>OBRA!AR587</f>
        <v>0</v>
      </c>
      <c r="Y585" s="309"/>
      <c r="Z585" s="309"/>
      <c r="AA585" s="5"/>
      <c r="AB585" s="313"/>
      <c r="AC585" s="317">
        <f>OBRA!BW587</f>
        <v>0</v>
      </c>
      <c r="AD585" s="352"/>
      <c r="AE585" s="352"/>
    </row>
    <row r="586" spans="1:31" ht="15" hidden="1" customHeight="1">
      <c r="A586" s="22" t="s">
        <v>2206</v>
      </c>
      <c r="B586" s="809" t="str">
        <f>GRAL!B590</f>
        <v>2021-2024</v>
      </c>
      <c r="C586" s="16">
        <f>OBRA!J588</f>
        <v>2021</v>
      </c>
      <c r="D586" s="1415"/>
      <c r="E586" s="17" t="str">
        <f>OBRA!M588</f>
        <v>CUENTA CORRIENTE</v>
      </c>
      <c r="F586" s="478"/>
      <c r="G586" s="352"/>
      <c r="H586" s="1"/>
      <c r="I586" s="352"/>
      <c r="J586" s="54" t="str">
        <f>OBRA!W588</f>
        <v xml:space="preserve">SERVICIOS Y CONSTRUCCIONES NATENIO, S.A. DE C.V. </v>
      </c>
      <c r="K586" s="55">
        <f>OBRA!X588</f>
        <v>0</v>
      </c>
      <c r="L586" s="19" t="str">
        <f>OBRA!N588</f>
        <v>C.P.S.P. D.O.P. 004/2021</v>
      </c>
      <c r="M586" s="2" t="str">
        <f>OBRA!O588</f>
        <v>SERVICIOS</v>
      </c>
      <c r="N586" s="3" t="str">
        <f>OBRA!P588</f>
        <v>"LOS ANTEPROYECTOS Y PROYECTOS EJECUTIVOS DE LAS LÍNEAS POR BOPMBEO Y POR GRAVEDAD DEL POZO ALLENDE AL TANQUE DE ALMACENAMIENTO, EN LA CABECERA MUNICIPAL DE JOCOTEPEC, JALISCO.</v>
      </c>
      <c r="O586" s="3"/>
      <c r="P586" s="6">
        <f>OBRA!S588</f>
        <v>44533</v>
      </c>
      <c r="Q586" s="4">
        <f>OBRA!R588</f>
        <v>28999.999999999996</v>
      </c>
      <c r="R586" s="5">
        <f>OBRA!T588</f>
        <v>44543</v>
      </c>
      <c r="S586" s="11">
        <f>OBRA!U588</f>
        <v>44546</v>
      </c>
      <c r="T586" s="53"/>
      <c r="U586" s="377" t="s">
        <v>1428</v>
      </c>
      <c r="V586" s="309"/>
      <c r="W586" s="11"/>
      <c r="X586" s="987">
        <f>OBRA!AR588</f>
        <v>0</v>
      </c>
      <c r="Y586" s="309"/>
      <c r="Z586" s="309"/>
      <c r="AA586" s="5"/>
      <c r="AB586" s="313"/>
      <c r="AC586" s="317">
        <f>OBRA!BW588</f>
        <v>0</v>
      </c>
      <c r="AD586" s="352"/>
      <c r="AE586" s="352"/>
    </row>
    <row r="587" spans="1:31" ht="15" hidden="1" customHeight="1">
      <c r="A587" s="22" t="s">
        <v>2206</v>
      </c>
      <c r="B587" s="809" t="str">
        <f>GRAL!B591</f>
        <v>2021-2024</v>
      </c>
      <c r="C587" s="16">
        <f>OBRA!J589</f>
        <v>2021</v>
      </c>
      <c r="D587" s="1415"/>
      <c r="E587" s="17">
        <f>OBRA!M589</f>
        <v>0</v>
      </c>
      <c r="F587" s="478"/>
      <c r="G587" s="352"/>
      <c r="H587" s="1"/>
      <c r="I587" s="352"/>
      <c r="J587" s="54" t="str">
        <f>OBRA!W589</f>
        <v xml:space="preserve">ING. SERGIO CABRERA </v>
      </c>
      <c r="K587" s="55" t="str">
        <f>OBRA!X589</f>
        <v>ING. J. GUADALUPE IBARRA RAMIREZ</v>
      </c>
      <c r="L587" s="19" t="str">
        <f>OBRA!N589</f>
        <v>GMJ 001C- OP/2021</v>
      </c>
      <c r="M587" s="2" t="str">
        <f>OBRA!O589</f>
        <v>CANCELADA</v>
      </c>
      <c r="N587" s="3">
        <f>OBRA!P589</f>
        <v>0</v>
      </c>
      <c r="O587" s="3"/>
      <c r="P587" s="6">
        <f>OBRA!S589</f>
        <v>0</v>
      </c>
      <c r="Q587" s="4">
        <f>OBRA!R589</f>
        <v>0</v>
      </c>
      <c r="R587" s="5">
        <f>OBRA!T589</f>
        <v>0</v>
      </c>
      <c r="S587" s="11">
        <f>OBRA!U589</f>
        <v>0</v>
      </c>
      <c r="T587" s="53"/>
      <c r="U587" s="377" t="s">
        <v>1428</v>
      </c>
      <c r="V587" s="309"/>
      <c r="W587" s="11"/>
      <c r="X587" s="987">
        <f>OBRA!AR589</f>
        <v>0</v>
      </c>
      <c r="Y587" s="309"/>
      <c r="Z587" s="309"/>
      <c r="AA587" s="5"/>
      <c r="AB587" s="313"/>
      <c r="AC587" s="317">
        <f>OBRA!BW589</f>
        <v>0</v>
      </c>
      <c r="AD587" s="352"/>
      <c r="AE587" s="352"/>
    </row>
    <row r="588" spans="1:31" ht="83.25" customHeight="1">
      <c r="A588" s="22" t="s">
        <v>2206</v>
      </c>
      <c r="B588" s="809" t="str">
        <f>GRAL!B592</f>
        <v>2021-2024</v>
      </c>
      <c r="C588" s="16">
        <f>OBRA!J590</f>
        <v>2021</v>
      </c>
      <c r="D588" s="1415"/>
      <c r="E588" s="17" t="str">
        <f>OBRA!M590</f>
        <v>CUENTA CORRIENTE</v>
      </c>
      <c r="F588" s="478" t="s">
        <v>1428</v>
      </c>
      <c r="G588" s="146"/>
      <c r="H588" s="495" t="s">
        <v>4217</v>
      </c>
      <c r="I588" s="146"/>
      <c r="J588" s="54" t="str">
        <f>OBRA!W590</f>
        <v>ING. SERGIO CABRERA</v>
      </c>
      <c r="K588" s="55" t="str">
        <f>OBRA!X590</f>
        <v>ING. J. GUADALUPE IBARRA RAMIREZ</v>
      </c>
      <c r="L588" s="19" t="str">
        <f>OBRA!N590</f>
        <v>GMJ 002C- OP/2021</v>
      </c>
      <c r="M588" s="2" t="str">
        <f>OBRA!O590</f>
        <v>ADJUDICACIÓN DIRECTA</v>
      </c>
      <c r="N588" s="3" t="str">
        <f>OBRA!P590</f>
        <v>"REHABILITACIÓN DE LÍNEA DE AGUA POTABLE Y LÍNEA DRENAJE EN CALLE LIBERTAD" EN LA DELEGACIÓN DE POTRERILLOS, DEL MUNICIPIO DE JOCOTEPEC, JALISCO.</v>
      </c>
      <c r="O588" s="504" t="s">
        <v>3798</v>
      </c>
      <c r="P588" s="67">
        <f>OBRA!S590</f>
        <v>44504</v>
      </c>
      <c r="Q588" s="79">
        <f>OBRA!R590</f>
        <v>715198.43</v>
      </c>
      <c r="R588" s="5">
        <f>OBRA!T590</f>
        <v>44508</v>
      </c>
      <c r="S588" s="11">
        <f>OBRA!U590</f>
        <v>44548</v>
      </c>
      <c r="T588" s="207" t="s">
        <v>3815</v>
      </c>
      <c r="U588" s="62" t="s">
        <v>1428</v>
      </c>
      <c r="V588" s="201"/>
      <c r="W588" s="597" t="s">
        <v>4217</v>
      </c>
      <c r="X588" s="1911">
        <f>OBRA!AR590</f>
        <v>143039.67999999999</v>
      </c>
      <c r="Y588" s="309"/>
      <c r="Z588" s="309"/>
      <c r="AA588" s="5"/>
      <c r="AB588" s="313"/>
      <c r="AC588" s="317">
        <f>OBRA!BW590</f>
        <v>0</v>
      </c>
      <c r="AD588" s="1"/>
      <c r="AE588" s="352"/>
    </row>
    <row r="589" spans="1:31" ht="129" customHeight="1">
      <c r="A589" s="22" t="s">
        <v>2206</v>
      </c>
      <c r="B589" s="809" t="str">
        <f>GRAL!B593</f>
        <v>2021-2024</v>
      </c>
      <c r="C589" s="16">
        <f>OBRA!J591</f>
        <v>2021</v>
      </c>
      <c r="D589" s="1415"/>
      <c r="E589" s="17" t="str">
        <f>OBRA!M591</f>
        <v>RAMO 33</v>
      </c>
      <c r="F589" s="478" t="s">
        <v>1428</v>
      </c>
      <c r="G589" s="496" t="s">
        <v>4204</v>
      </c>
      <c r="H589" s="495" t="s">
        <v>4204</v>
      </c>
      <c r="I589" s="496" t="s">
        <v>4204</v>
      </c>
      <c r="J589" s="54" t="str">
        <f>OBRA!W591</f>
        <v>ING. SERGIO CABRERA</v>
      </c>
      <c r="K589" s="55" t="str">
        <f>OBRA!X591</f>
        <v>ING. J. GUADALUPE IBARRA RAMIREZ</v>
      </c>
      <c r="L589" s="19" t="str">
        <f>OBRA!N591</f>
        <v>GMJ 003C- OP/2021</v>
      </c>
      <c r="M589" s="2" t="str">
        <f>OBRA!O591</f>
        <v>ADJUDICACIÓN DIRECTA</v>
      </c>
      <c r="N589" s="3" t="str">
        <f>OBRA!P591</f>
        <v>"REHABILITACIÓN DE LÍNEA DE AGUA POTABLE EN CALLE GUADALUPE VICTORIA ENTRE CARRETERA Y C. LA PAZ, Y EN C. LA PAZ DE CALLE GUADALUPE VICTORIA AL CADENAMIENTO 0+516.00"EN LA DELEGACIÓN DE SAN JUAN COSALÁ, DEL MUNICIPIO DE JOCOTEPEC, JALISCO.</v>
      </c>
      <c r="O589" s="504" t="s">
        <v>3798</v>
      </c>
      <c r="P589" s="67">
        <f>OBRA!S591</f>
        <v>44522</v>
      </c>
      <c r="Q589" s="79">
        <f>OBRA!R591</f>
        <v>347130.34</v>
      </c>
      <c r="R589" s="5">
        <f>OBRA!T591</f>
        <v>44523</v>
      </c>
      <c r="S589" s="11">
        <f>OBRA!U591</f>
        <v>44560</v>
      </c>
      <c r="T589" s="1352" t="s">
        <v>3816</v>
      </c>
      <c r="U589" s="62" t="s">
        <v>1428</v>
      </c>
      <c r="V589" s="499" t="s">
        <v>4204</v>
      </c>
      <c r="W589" s="597" t="s">
        <v>4204</v>
      </c>
      <c r="X589" s="1911">
        <f>OBRA!AR591</f>
        <v>34713.03</v>
      </c>
      <c r="Y589" s="309"/>
      <c r="Z589" s="309"/>
      <c r="AA589" s="5"/>
      <c r="AB589" s="313"/>
      <c r="AC589" s="317">
        <f>OBRA!BW591</f>
        <v>0</v>
      </c>
      <c r="AD589" s="1"/>
      <c r="AE589" s="352"/>
    </row>
    <row r="590" spans="1:31" ht="141" customHeight="1">
      <c r="A590" s="22" t="s">
        <v>2206</v>
      </c>
      <c r="B590" s="809" t="str">
        <f>GRAL!B594</f>
        <v>2021-2024</v>
      </c>
      <c r="C590" s="16">
        <f>OBRA!J592</f>
        <v>2021</v>
      </c>
      <c r="D590" s="1415"/>
      <c r="E590" s="17" t="str">
        <f>OBRA!M592</f>
        <v>RAMO 33</v>
      </c>
      <c r="F590" s="478" t="s">
        <v>1428</v>
      </c>
      <c r="G590" s="496" t="s">
        <v>4207</v>
      </c>
      <c r="H590" s="495" t="s">
        <v>4207</v>
      </c>
      <c r="I590" s="496" t="s">
        <v>4207</v>
      </c>
      <c r="J590" s="54" t="str">
        <f>OBRA!W592</f>
        <v>ING. SERGIO CABRERA</v>
      </c>
      <c r="K590" s="55" t="str">
        <f>OBRA!X592</f>
        <v>ING. J. GUADALUPE IBARRA RAMIREZ</v>
      </c>
      <c r="L590" s="19" t="str">
        <f>OBRA!N592</f>
        <v>GMJ 004C- OP/2021</v>
      </c>
      <c r="M590" s="2" t="str">
        <f>OBRA!O592</f>
        <v>ADJUDICACIÓN DIRECTA</v>
      </c>
      <c r="N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4" t="s">
        <v>3798</v>
      </c>
      <c r="P590" s="67">
        <f>OBRA!S592</f>
        <v>44522</v>
      </c>
      <c r="Q590" s="79">
        <f>OBRA!R592</f>
        <v>791064.19</v>
      </c>
      <c r="R590" s="5">
        <f>OBRA!T592</f>
        <v>44523</v>
      </c>
      <c r="S590" s="11">
        <f>OBRA!U592</f>
        <v>44530</v>
      </c>
      <c r="T590" s="1352" t="s">
        <v>3816</v>
      </c>
      <c r="U590" s="62" t="s">
        <v>1428</v>
      </c>
      <c r="V590" s="499" t="s">
        <v>4207</v>
      </c>
      <c r="W590" s="597" t="s">
        <v>4207</v>
      </c>
      <c r="X590" s="1911">
        <f>OBRA!AR592</f>
        <v>79106.41</v>
      </c>
      <c r="Y590" s="309"/>
      <c r="Z590" s="309"/>
      <c r="AA590" s="5"/>
      <c r="AB590" s="313"/>
      <c r="AC590" s="317">
        <f>OBRA!BW592</f>
        <v>0</v>
      </c>
      <c r="AD590" s="1"/>
      <c r="AE590" s="352"/>
    </row>
    <row r="591" spans="1:31" ht="83.25" customHeight="1">
      <c r="A591" s="22" t="s">
        <v>2206</v>
      </c>
      <c r="B591" s="809" t="str">
        <f>GRAL!B595</f>
        <v>2021-2024</v>
      </c>
      <c r="C591" s="16">
        <f>OBRA!J593</f>
        <v>2021</v>
      </c>
      <c r="D591" s="1415"/>
      <c r="E591" s="17" t="str">
        <f>OBRA!M593</f>
        <v>RAMO 33</v>
      </c>
      <c r="F591" s="478" t="s">
        <v>1428</v>
      </c>
      <c r="G591" s="496" t="s">
        <v>4280</v>
      </c>
      <c r="H591" s="495" t="s">
        <v>4210</v>
      </c>
      <c r="I591" s="496" t="s">
        <v>4210</v>
      </c>
      <c r="J591" s="54" t="str">
        <f>OBRA!W593</f>
        <v>PLANOS Y OBRAS LODEIRO S.A. DE C.V.</v>
      </c>
      <c r="K591" s="55" t="str">
        <f>OBRA!X593</f>
        <v>ING. J. GUADALUPE IBARRA RAMIREZ</v>
      </c>
      <c r="L591" s="19" t="str">
        <f>OBRA!N593</f>
        <v>GMJ 005C- OP/2021</v>
      </c>
      <c r="M591" s="2" t="str">
        <f>OBRA!O593</f>
        <v>ADJUDICACIÓN DIRECTA</v>
      </c>
      <c r="N591" s="3" t="str">
        <f>OBRA!P593</f>
        <v>"CONSTRUCCIÓN DE BANQUETAS EN CALLE LAZARO CÁRDENAS ENTRE C. VERANO Y C. INVIERNO" EN LA CABECERA MUNICIPAL DE JOCOTEPEC, JALISCO.</v>
      </c>
      <c r="O591" s="504" t="s">
        <v>3798</v>
      </c>
      <c r="P591" s="67">
        <f>OBRA!S593</f>
        <v>44522</v>
      </c>
      <c r="Q591" s="79">
        <f>OBRA!R593</f>
        <v>100144.26</v>
      </c>
      <c r="R591" s="5">
        <f>OBRA!T593</f>
        <v>44524</v>
      </c>
      <c r="S591" s="11">
        <f>OBRA!U593</f>
        <v>44558</v>
      </c>
      <c r="T591" s="1352" t="s">
        <v>3816</v>
      </c>
      <c r="U591" s="62" t="s">
        <v>1428</v>
      </c>
      <c r="V591" s="499" t="s">
        <v>4210</v>
      </c>
      <c r="W591" s="597" t="s">
        <v>4210</v>
      </c>
      <c r="X591" s="988">
        <f>OBRA!AR593</f>
        <v>20028.86</v>
      </c>
      <c r="Y591" s="309"/>
      <c r="Z591" s="309"/>
      <c r="AA591" s="5"/>
      <c r="AB591" s="313"/>
      <c r="AC591" s="317">
        <f>OBRA!BW593</f>
        <v>0</v>
      </c>
      <c r="AD591" s="1"/>
      <c r="AE591" s="352" t="s">
        <v>551</v>
      </c>
    </row>
    <row r="592" spans="1:31" ht="98.25" customHeight="1">
      <c r="A592" s="22" t="s">
        <v>2206</v>
      </c>
      <c r="B592" s="809" t="str">
        <f>GRAL!B596</f>
        <v>2021-2024</v>
      </c>
      <c r="C592" s="16">
        <f>OBRA!J594</f>
        <v>2021</v>
      </c>
      <c r="D592" s="1415"/>
      <c r="E592" s="17" t="str">
        <f>OBRA!M594</f>
        <v>RAMO 33</v>
      </c>
      <c r="F592" s="478" t="s">
        <v>1428</v>
      </c>
      <c r="G592" s="496" t="s">
        <v>4212</v>
      </c>
      <c r="H592" s="495" t="s">
        <v>4212</v>
      </c>
      <c r="I592" s="496" t="s">
        <v>4212</v>
      </c>
      <c r="J592" s="54" t="str">
        <f>OBRA!W594</f>
        <v>ING. SERGIO CABRERA</v>
      </c>
      <c r="K592" s="55" t="str">
        <f>OBRA!X594</f>
        <v>ING. J. GUADALUPE IBARRA RAMIREZ</v>
      </c>
      <c r="L592" s="19" t="str">
        <f>OBRA!N594</f>
        <v>GMJ 006C- OP/2021</v>
      </c>
      <c r="M592" s="2" t="str">
        <f>OBRA!O594</f>
        <v>ADJUDICACIÓN DIRECTA</v>
      </c>
      <c r="N592" s="3" t="str">
        <f>OBRA!P594</f>
        <v>"REHABILITACIÓN DE LÍNEA ALIMENTADORA DE AGUA POTABLE DE 6" EN C. LA PAZ ENTRE C. HIDALGO Y C. TACUBA" EN LA DELEGACIÓN DE SAN JUAN COSALÁ, DEL MUNICIPIO DE JOCOTEPEC, JALISCO.</v>
      </c>
      <c r="O592" s="504" t="s">
        <v>3798</v>
      </c>
      <c r="P592" s="67">
        <f>OBRA!S594</f>
        <v>44522</v>
      </c>
      <c r="Q592" s="79">
        <f>OBRA!R594</f>
        <v>252763.45</v>
      </c>
      <c r="R592" s="5">
        <f>OBRA!T594</f>
        <v>44523</v>
      </c>
      <c r="S592" s="11">
        <f>OBRA!U594</f>
        <v>44559</v>
      </c>
      <c r="T592" s="1352" t="s">
        <v>3816</v>
      </c>
      <c r="U592" s="62" t="s">
        <v>1428</v>
      </c>
      <c r="V592" s="499" t="s">
        <v>4212</v>
      </c>
      <c r="W592" s="597" t="s">
        <v>4212</v>
      </c>
      <c r="X592" s="988">
        <f>OBRA!AR594</f>
        <v>50552.68</v>
      </c>
      <c r="Y592" s="309"/>
      <c r="Z592" s="309"/>
      <c r="AA592" s="5"/>
      <c r="AB592" s="313"/>
      <c r="AC592" s="317">
        <f>OBRA!BW594</f>
        <v>0</v>
      </c>
      <c r="AD592" s="1"/>
      <c r="AE592" s="352" t="s">
        <v>551</v>
      </c>
    </row>
    <row r="593" spans="1:31" ht="102" customHeight="1">
      <c r="A593" s="22" t="s">
        <v>2206</v>
      </c>
      <c r="B593" s="809" t="str">
        <f>GRAL!B597</f>
        <v>2021-2024</v>
      </c>
      <c r="C593" s="16">
        <f>OBRA!J595</f>
        <v>2021</v>
      </c>
      <c r="D593" s="1415"/>
      <c r="E593" s="17" t="str">
        <f>OBRA!M595</f>
        <v>CUENTA CORRIENTE</v>
      </c>
      <c r="F593" s="478" t="s">
        <v>1428</v>
      </c>
      <c r="G593" s="496" t="s">
        <v>4280</v>
      </c>
      <c r="H593" s="495" t="s">
        <v>4280</v>
      </c>
      <c r="I593" s="496" t="s">
        <v>4280</v>
      </c>
      <c r="J593" s="54" t="str">
        <f>OBRA!W595</f>
        <v>ING. SERGIO CABRERA</v>
      </c>
      <c r="K593" s="55" t="str">
        <f>OBRA!X595</f>
        <v>C. DANIEL RODRIGUEZ VALENZUELA</v>
      </c>
      <c r="L593" s="19" t="str">
        <f>OBRA!N595</f>
        <v>GMJ 007C- OP/2021</v>
      </c>
      <c r="M593" s="2" t="str">
        <f>OBRA!O595</f>
        <v>ADJUDICACIÓN DIRECTA</v>
      </c>
      <c r="N593" s="3" t="str">
        <f>OBRA!P595</f>
        <v>"REHABILITACIÓN DE LÍNEA DE AGUA POTABLE EN LA CALLE RIVERA DEL LAGO ENTRE CALLE MORELOS Y LA CALLE GUAYABITOS" EN LA DELEGACIÓN DE CHANTEPEC, DEL MUNICIPIO DE JOCOTEPEC, JALISCO</v>
      </c>
      <c r="O593" s="504" t="s">
        <v>3798</v>
      </c>
      <c r="P593" s="67">
        <f>OBRA!S595</f>
        <v>44560</v>
      </c>
      <c r="Q593" s="79">
        <f>OBRA!R595</f>
        <v>360015.52</v>
      </c>
      <c r="R593" s="5">
        <f>OBRA!T595</f>
        <v>44560</v>
      </c>
      <c r="S593" s="11">
        <f>OBRA!U595</f>
        <v>44569</v>
      </c>
      <c r="T593" s="207" t="s">
        <v>3815</v>
      </c>
      <c r="U593" s="62" t="s">
        <v>1428</v>
      </c>
      <c r="V593" s="499" t="s">
        <v>4280</v>
      </c>
      <c r="W593" s="597" t="s">
        <v>4280</v>
      </c>
      <c r="X593" s="988">
        <f>OBRA!AR595</f>
        <v>72003.100000000006</v>
      </c>
      <c r="Y593" s="309"/>
      <c r="Z593" s="309"/>
      <c r="AA593" s="5"/>
      <c r="AB593" s="313"/>
      <c r="AC593" s="317">
        <f>OBRA!BW595</f>
        <v>0</v>
      </c>
      <c r="AD593" s="1"/>
      <c r="AE593" s="352" t="s">
        <v>551</v>
      </c>
    </row>
    <row r="594" spans="1:31" ht="15" hidden="1" customHeight="1">
      <c r="A594" s="22" t="s">
        <v>2206</v>
      </c>
      <c r="B594" s="809" t="str">
        <f>GRAL!B598</f>
        <v>2021-2024</v>
      </c>
      <c r="C594" s="16">
        <f>OBRA!J596</f>
        <v>2022</v>
      </c>
      <c r="D594" s="1415"/>
      <c r="E594" s="17" t="str">
        <f>OBRA!M596</f>
        <v>CUENTA CORRIENTE</v>
      </c>
      <c r="F594" s="1170"/>
      <c r="G594" s="1108"/>
      <c r="H594" s="219"/>
      <c r="I594" s="1108"/>
      <c r="J594" s="54" t="str">
        <f>OBRA!W596</f>
        <v>N/A</v>
      </c>
      <c r="K594" s="55" t="str">
        <f>OBRA!X596</f>
        <v>ARQ. JAIME CONDE GOMEZ</v>
      </c>
      <c r="L594" s="19" t="str">
        <f>OBRA!N596</f>
        <v>DOP/AD/001/2022</v>
      </c>
      <c r="M594" s="2" t="str">
        <f>OBRA!O596</f>
        <v>ADMINISTRACIÓN DIRECTA</v>
      </c>
      <c r="N594" s="3" t="str">
        <f>OBRA!P596</f>
        <v>CUARTO DE EMERGENCIA PARA MUJERES EN SITUACIÓN DE VIOLENCIA EXTREMA…</v>
      </c>
      <c r="O594" s="541"/>
      <c r="P594" s="6">
        <f>OBRA!S596</f>
        <v>44693</v>
      </c>
      <c r="Q594" s="4">
        <f>OBRA!R596</f>
        <v>70000</v>
      </c>
      <c r="R594" s="5">
        <f>OBRA!T596</f>
        <v>44697</v>
      </c>
      <c r="S594" s="11">
        <f>OBRA!U596</f>
        <v>44728</v>
      </c>
      <c r="T594" s="692"/>
      <c r="U594" s="203"/>
      <c r="V594" s="508"/>
      <c r="W594" s="509"/>
      <c r="X594" s="534">
        <f>OBRA!AR596</f>
        <v>0</v>
      </c>
      <c r="Y594" s="309"/>
      <c r="Z594" s="309"/>
      <c r="AA594" s="5"/>
      <c r="AB594" s="313"/>
      <c r="AC594" s="317">
        <f>OBRA!BW596</f>
        <v>0</v>
      </c>
      <c r="AD594" s="352"/>
      <c r="AE594" s="352"/>
    </row>
    <row r="595" spans="1:31" ht="15" hidden="1" customHeight="1">
      <c r="A595" s="22" t="s">
        <v>2206</v>
      </c>
      <c r="B595" s="809" t="str">
        <f>GRAL!B599</f>
        <v>2021-2024</v>
      </c>
      <c r="C595" s="16">
        <f>OBRA!J597</f>
        <v>2022</v>
      </c>
      <c r="D595" s="1415"/>
      <c r="E595" s="17" t="str">
        <f>OBRA!M597</f>
        <v>RAMO 33</v>
      </c>
      <c r="F595" s="1170"/>
      <c r="G595" s="1108"/>
      <c r="H595" s="219"/>
      <c r="I595" s="1108"/>
      <c r="J595" s="54" t="str">
        <f>OBRA!W597</f>
        <v>N/A</v>
      </c>
      <c r="K595" s="55" t="str">
        <f>OBRA!X597</f>
        <v>ING. LUIS RIGOBERTO OLMEDO NAVARRO</v>
      </c>
      <c r="L595" s="19" t="str">
        <f>OBRA!N597</f>
        <v>DOP/AD/002/2022</v>
      </c>
      <c r="M595" s="2" t="str">
        <f>OBRA!O597</f>
        <v>ADMINISTRACIÓN DIRECTA</v>
      </c>
      <c r="N595" s="3" t="str">
        <f>OBRA!P597</f>
        <v>"CONSTRUCCIÓN DE BANQUETAS EN EL PUENTE 20 DE NOVIEMBRE", EN LA LOCALIDAD DE ZAPOTITÁN DE HIDALGO, DEL MUNICIPIO DE JOCOTEPEC, JALISCO.</v>
      </c>
      <c r="O595" s="541"/>
      <c r="P595" s="6">
        <f>OBRA!S597</f>
        <v>44707</v>
      </c>
      <c r="Q595" s="4">
        <f>OBRA!R597</f>
        <v>60152.28</v>
      </c>
      <c r="R595" s="5">
        <f>OBRA!T597</f>
        <v>44718</v>
      </c>
      <c r="S595" s="11">
        <f>OBRA!U597</f>
        <v>44726</v>
      </c>
      <c r="T595" s="692"/>
      <c r="U595" s="203"/>
      <c r="V595" s="508"/>
      <c r="W595" s="509"/>
      <c r="X595" s="534">
        <f>OBRA!AR597</f>
        <v>0</v>
      </c>
      <c r="Y595" s="309"/>
      <c r="Z595" s="309"/>
      <c r="AA595" s="5"/>
      <c r="AB595" s="313"/>
      <c r="AC595" s="317">
        <f>OBRA!BW597</f>
        <v>0</v>
      </c>
      <c r="AD595" s="352"/>
      <c r="AE595" s="352"/>
    </row>
    <row r="596" spans="1:31" ht="15" hidden="1" customHeight="1">
      <c r="A596" s="22" t="s">
        <v>2206</v>
      </c>
      <c r="B596" s="809" t="str">
        <f>GRAL!B600</f>
        <v>2021-2024</v>
      </c>
      <c r="C596" s="16">
        <f>OBRA!J598</f>
        <v>2022</v>
      </c>
      <c r="D596" s="1415"/>
      <c r="E596" s="17" t="str">
        <f>OBRA!M598</f>
        <v>CUENTA CORRIENTE</v>
      </c>
      <c r="F596" s="1170"/>
      <c r="G596" s="1108"/>
      <c r="H596" s="219"/>
      <c r="I596" s="1108"/>
      <c r="J596" s="54" t="str">
        <f>OBRA!W598</f>
        <v>N/A</v>
      </c>
      <c r="K596" s="55" t="str">
        <f>OBRA!X598</f>
        <v>ING. LUIS RIGOBERTO OLMEDO NAVARRO</v>
      </c>
      <c r="L596" s="19" t="str">
        <f>OBRA!N598</f>
        <v>DOP/AD/003/2022</v>
      </c>
      <c r="M596" s="2" t="str">
        <f>OBRA!O598</f>
        <v>ADMINISTRACIÓN DIRECTA</v>
      </c>
      <c r="N596" s="3" t="str">
        <f>OBRA!P598</f>
        <v>“CONSTRUCCIÓN DEL TECHO DE LA SALA DE JUNTAS DEL PUNTO INOCUO DE DESEMBARQUE UBICADO DENTRO DE LAS INSTALACIONES DE LA COOPERATIVA”, EN LA LOCALIDAD DE SAN JUAN COSALÁ, DEL MUNICIPIO DE JOCOTEPEC, JALISCO</v>
      </c>
      <c r="O596" s="541"/>
      <c r="P596" s="6">
        <f>OBRA!S598</f>
        <v>44777</v>
      </c>
      <c r="Q596" s="4">
        <f>OBRA!R598</f>
        <v>81200</v>
      </c>
      <c r="R596" s="5">
        <f>OBRA!T598</f>
        <v>44781</v>
      </c>
      <c r="S596" s="11">
        <f>OBRA!U598</f>
        <v>44799</v>
      </c>
      <c r="T596" s="692"/>
      <c r="U596" s="203"/>
      <c r="V596" s="508"/>
      <c r="W596" s="509"/>
      <c r="X596" s="534">
        <f>OBRA!AR598</f>
        <v>0</v>
      </c>
      <c r="Y596" s="309"/>
      <c r="Z596" s="309"/>
      <c r="AA596" s="5"/>
      <c r="AB596" s="313"/>
      <c r="AC596" s="317">
        <f>OBRA!BW598</f>
        <v>0</v>
      </c>
      <c r="AD596" s="352"/>
      <c r="AE596" s="352"/>
    </row>
    <row r="597" spans="1:31" ht="15" hidden="1" customHeight="1">
      <c r="A597" s="22" t="s">
        <v>2206</v>
      </c>
      <c r="B597" s="809" t="str">
        <f>GRAL!B601</f>
        <v>2021-2024</v>
      </c>
      <c r="C597" s="16">
        <f>OBRA!J599</f>
        <v>2022</v>
      </c>
      <c r="D597" s="1415"/>
      <c r="E597" s="17" t="str">
        <f>OBRA!M599</f>
        <v>CUENTA CORRIENTE</v>
      </c>
      <c r="F597" s="1170"/>
      <c r="G597" s="1108"/>
      <c r="H597" s="219"/>
      <c r="I597" s="1108"/>
      <c r="J597" s="54" t="str">
        <f>OBRA!W599</f>
        <v>N/A</v>
      </c>
      <c r="K597" s="55" t="str">
        <f>OBRA!X599</f>
        <v>C. DANIEL RODRIGUEZ VALENZUELA</v>
      </c>
      <c r="L597" s="19" t="str">
        <f>OBRA!N599</f>
        <v>DOP/AD/001-A/2022</v>
      </c>
      <c r="M597" s="2" t="str">
        <f>OBRA!O599</f>
        <v>ADMINISTRACIÓN DIRECTA</v>
      </c>
      <c r="N597" s="3" t="str">
        <f>OBRA!P599</f>
        <v>"REHABILITACIÓN DE EXTENSIÓN DE RED DE AGUA POTABLE DE 4" EN CALLE PROL. MORELOS ENTRE CALLE RIBERA DEL LAGO Y CALLE CHUECA" EN LA LOCALIDAD DE NEXTIPAC, DEL MUNICIPIO DE JOCOTEPEC, JALISCO.</v>
      </c>
      <c r="O597" s="541"/>
      <c r="P597" s="6">
        <f>OBRA!S599</f>
        <v>44595</v>
      </c>
      <c r="Q597" s="4">
        <f>OBRA!R599</f>
        <v>330190.86</v>
      </c>
      <c r="R597" s="5">
        <f>OBRA!T599</f>
        <v>44599</v>
      </c>
      <c r="S597" s="11">
        <f>OBRA!U599</f>
        <v>44617</v>
      </c>
      <c r="T597" s="692"/>
      <c r="U597" s="203"/>
      <c r="V597" s="508"/>
      <c r="W597" s="509"/>
      <c r="X597" s="534">
        <f>OBRA!AR599</f>
        <v>0</v>
      </c>
      <c r="Y597" s="309"/>
      <c r="Z597" s="309"/>
      <c r="AA597" s="5"/>
      <c r="AB597" s="313"/>
      <c r="AC597" s="317">
        <f>OBRA!BW599</f>
        <v>0</v>
      </c>
      <c r="AD597" s="352"/>
      <c r="AE597" s="352"/>
    </row>
    <row r="598" spans="1:31" ht="15" hidden="1" customHeight="1">
      <c r="A598" s="22" t="s">
        <v>2206</v>
      </c>
      <c r="B598" s="809" t="str">
        <f>GRAL!B602</f>
        <v>2021-2024</v>
      </c>
      <c r="C598" s="16">
        <f>OBRA!J600</f>
        <v>2022</v>
      </c>
      <c r="D598" s="1415"/>
      <c r="E598" s="17" t="str">
        <f>OBRA!M600</f>
        <v>CUENTA CORRIENTE</v>
      </c>
      <c r="F598" s="1170"/>
      <c r="G598" s="1108"/>
      <c r="H598" s="219"/>
      <c r="I598" s="1108"/>
      <c r="J598" s="54" t="str">
        <f>OBRA!W600</f>
        <v>N/A</v>
      </c>
      <c r="K598" s="55" t="str">
        <f>OBRA!X600</f>
        <v>C. DANIEL RODRIGUEZ VALENZUELA</v>
      </c>
      <c r="L598" s="19" t="str">
        <f>OBRA!N600</f>
        <v>DOP/AD/005/2022</v>
      </c>
      <c r="M598" s="2" t="str">
        <f>OBRA!O600</f>
        <v>ADMINISTRACIÓN DIRECTA</v>
      </c>
      <c r="N598" s="3" t="str">
        <f>OBRA!P600</f>
        <v>"CONSTRUCCIÓN DE SUPERFICIE DE RODAMIENTO EN CALLE 12 DE OCTUBRE", EN LA LOCALIDAD DE SAN PEDRO TESISTÁN, DEL MUNICIPIO DE JOCOTEPEC, JALISCO</v>
      </c>
      <c r="O598" s="541"/>
      <c r="P598" s="6">
        <f>OBRA!S600</f>
        <v>44875</v>
      </c>
      <c r="Q598" s="4">
        <f>OBRA!R600</f>
        <v>86073.66</v>
      </c>
      <c r="R598" s="5">
        <f>OBRA!T600</f>
        <v>44886</v>
      </c>
      <c r="S598" s="11">
        <f>OBRA!U600</f>
        <v>44893</v>
      </c>
      <c r="T598" s="692"/>
      <c r="U598" s="203"/>
      <c r="V598" s="508"/>
      <c r="W598" s="509"/>
      <c r="X598" s="534">
        <f>OBRA!AR600</f>
        <v>0</v>
      </c>
      <c r="Y598" s="309"/>
      <c r="Z598" s="309"/>
      <c r="AA598" s="5"/>
      <c r="AB598" s="313"/>
      <c r="AC598" s="317">
        <f>OBRA!BW600</f>
        <v>0</v>
      </c>
      <c r="AD598" s="352"/>
      <c r="AE598" s="352"/>
    </row>
    <row r="599" spans="1:31" ht="15" hidden="1" customHeight="1">
      <c r="A599" s="22" t="s">
        <v>2206</v>
      </c>
      <c r="B599" s="809" t="str">
        <f>GRAL!B603</f>
        <v>2021-2024</v>
      </c>
      <c r="C599" s="16">
        <f>OBRA!J601</f>
        <v>2022</v>
      </c>
      <c r="D599" s="1415"/>
      <c r="E599" s="17" t="str">
        <f>OBRA!M601</f>
        <v>CUENTA CORRIENTE</v>
      </c>
      <c r="F599" s="1170"/>
      <c r="G599" s="1108"/>
      <c r="H599" s="219"/>
      <c r="I599" s="1108"/>
      <c r="J599" s="54"/>
      <c r="K599" s="55"/>
      <c r="L599" s="19" t="str">
        <f>OBRA!N601</f>
        <v>DOP/AD/006/2022</v>
      </c>
      <c r="M599" s="2" t="str">
        <f>OBRA!O601</f>
        <v>ADMINISTRACIÓN DIRECTA</v>
      </c>
      <c r="N599" s="3" t="str">
        <f>OBRA!P601</f>
        <v>"CONSTRUCCIÓN DE SUPERFICIE DE RODAMIENTO EN CALLE LIBERTAD", EN LA LOCALIDAD DE SAN PEDRO TESISTÁN, DEL MUNICIPIO DE JOCOTEPEC, JALISCO</v>
      </c>
      <c r="O599" s="541"/>
      <c r="P599" s="6">
        <f>OBRA!S601</f>
        <v>44875</v>
      </c>
      <c r="Q599" s="4">
        <f>OBRA!R601</f>
        <v>109829.72</v>
      </c>
      <c r="R599" s="5">
        <f>OBRA!T601</f>
        <v>44879</v>
      </c>
      <c r="S599" s="11">
        <f>OBRA!U601</f>
        <v>44886</v>
      </c>
      <c r="T599" s="692"/>
      <c r="U599" s="203"/>
      <c r="V599" s="508"/>
      <c r="W599" s="509"/>
      <c r="X599" s="534">
        <f>OBRA!AR601</f>
        <v>0</v>
      </c>
      <c r="Y599" s="309"/>
      <c r="Z599" s="309"/>
      <c r="AA599" s="5"/>
      <c r="AB599" s="313"/>
      <c r="AC599" s="317">
        <f>OBRA!BW601</f>
        <v>0</v>
      </c>
      <c r="AD599" s="352"/>
      <c r="AE599" s="352"/>
    </row>
    <row r="600" spans="1:31" ht="15" hidden="1" customHeight="1">
      <c r="A600" s="22" t="s">
        <v>2206</v>
      </c>
      <c r="B600" s="809" t="str">
        <f>GRAL!B604</f>
        <v>2021-2024</v>
      </c>
      <c r="C600" s="16">
        <f>OBRA!J602</f>
        <v>2022</v>
      </c>
      <c r="D600" s="1415"/>
      <c r="E600" s="17" t="str">
        <f>OBRA!M602</f>
        <v>CUENTA CORRIENTE</v>
      </c>
      <c r="F600" s="1170"/>
      <c r="G600" s="1108"/>
      <c r="H600" s="219"/>
      <c r="I600" s="1108"/>
      <c r="J600" s="54"/>
      <c r="K600" s="55"/>
      <c r="L600" s="19" t="str">
        <f>OBRA!N602</f>
        <v>MANTENIMIENTOS</v>
      </c>
      <c r="M600" s="2" t="str">
        <f>OBRA!O602</f>
        <v>MANTENIMIENTOS</v>
      </c>
      <c r="N600" s="3" t="str">
        <f>OBRA!P602</f>
        <v>REMODELACIÓN DE PRESIDENCIA</v>
      </c>
      <c r="O600" s="541"/>
      <c r="P600" s="6" t="str">
        <f>OBRA!S602</f>
        <v>N/A</v>
      </c>
      <c r="Q600" s="4">
        <f>OBRA!R602</f>
        <v>0</v>
      </c>
      <c r="R600" s="5">
        <f>OBRA!T602</f>
        <v>44562</v>
      </c>
      <c r="S600" s="11">
        <f>OBRA!U602</f>
        <v>44926</v>
      </c>
      <c r="T600" s="692"/>
      <c r="U600" s="203"/>
      <c r="V600" s="508"/>
      <c r="W600" s="509"/>
      <c r="X600" s="534">
        <f>OBRA!AR602</f>
        <v>0</v>
      </c>
      <c r="Y600" s="309"/>
      <c r="Z600" s="309"/>
      <c r="AA600" s="5"/>
      <c r="AB600" s="313"/>
      <c r="AC600" s="317">
        <f>OBRA!BW602</f>
        <v>0</v>
      </c>
      <c r="AD600" s="352"/>
      <c r="AE600" s="352"/>
    </row>
    <row r="601" spans="1:31" ht="15" hidden="1" customHeight="1">
      <c r="A601" s="22" t="s">
        <v>2206</v>
      </c>
      <c r="B601" s="809" t="str">
        <f>GRAL!B605</f>
        <v>2021-2024</v>
      </c>
      <c r="C601" s="16">
        <f>OBRA!J603</f>
        <v>2022</v>
      </c>
      <c r="D601" s="1415"/>
      <c r="E601" s="17" t="str">
        <f>OBRA!M603</f>
        <v>CUENTA CORRIENTE</v>
      </c>
      <c r="F601" s="1170"/>
      <c r="G601" s="1108"/>
      <c r="H601" s="219"/>
      <c r="I601" s="1108"/>
      <c r="J601" s="54"/>
      <c r="K601" s="55"/>
      <c r="L601" s="19" t="str">
        <f>OBRA!N603</f>
        <v>DOP/AD/007/2022</v>
      </c>
      <c r="M601" s="2" t="str">
        <f>OBRA!O603</f>
        <v>ADMINISTRACIÓN DIRECTA</v>
      </c>
      <c r="N601" s="3" t="str">
        <f>OBRA!P603</f>
        <v>“CONSTRUCCIÓN DE BAÑOS PÚBLICOS”, EN LA LOCALIDAD DE EL MOLINO, DEL MUNICIPIO DE JOCOTEPEC, JALISCO</v>
      </c>
      <c r="O601" s="541"/>
      <c r="P601" s="6">
        <f>OBRA!S603</f>
        <v>44875</v>
      </c>
      <c r="Q601" s="4">
        <f>OBRA!R603</f>
        <v>297707.86</v>
      </c>
      <c r="R601" s="5">
        <f>OBRA!T603</f>
        <v>44880</v>
      </c>
      <c r="S601" s="11">
        <f>OBRA!U603</f>
        <v>44926</v>
      </c>
      <c r="T601" s="692"/>
      <c r="U601" s="203"/>
      <c r="V601" s="508"/>
      <c r="W601" s="509"/>
      <c r="X601" s="534">
        <f>OBRA!AR603</f>
        <v>0</v>
      </c>
      <c r="Y601" s="309"/>
      <c r="Z601" s="309"/>
      <c r="AA601" s="5"/>
      <c r="AB601" s="313"/>
      <c r="AC601" s="317">
        <f>OBRA!BW603</f>
        <v>0</v>
      </c>
      <c r="AD601" s="352"/>
      <c r="AE601" s="352"/>
    </row>
    <row r="602" spans="1:31" ht="15" hidden="1" customHeight="1">
      <c r="A602" s="22" t="s">
        <v>2206</v>
      </c>
      <c r="B602" s="809" t="str">
        <f>GRAL!B606</f>
        <v>2021-2024</v>
      </c>
      <c r="C602" s="16">
        <f>OBRA!J604</f>
        <v>2022</v>
      </c>
      <c r="D602" s="1415"/>
      <c r="E602" s="17" t="str">
        <f>OBRA!M604</f>
        <v>CUENTA CORRIENTE</v>
      </c>
      <c r="F602" s="1170"/>
      <c r="G602" s="1108"/>
      <c r="H602" s="219"/>
      <c r="I602" s="1108"/>
      <c r="J602" s="54"/>
      <c r="K602" s="55"/>
      <c r="L602" s="19" t="str">
        <f>OBRA!N604</f>
        <v>DOP/AD/001-B/2022</v>
      </c>
      <c r="M602" s="2" t="str">
        <f>OBRA!O604</f>
        <v>ADMINISTRACIÓN DIRECTA</v>
      </c>
      <c r="N602" s="3" t="str">
        <f>OBRA!P604</f>
        <v>"REMODELACIÓN DE PRESIDENCIA (2DA ETAPA)", EN LA CABECERA MUNICIPAL DE JOCOTEPEC.</v>
      </c>
      <c r="O602" s="541"/>
      <c r="P602" s="6">
        <f>OBRA!S604</f>
        <v>44620</v>
      </c>
      <c r="Q602" s="4">
        <f>OBRA!R604</f>
        <v>800000</v>
      </c>
      <c r="R602" s="5">
        <f>OBRA!T604</f>
        <v>44624</v>
      </c>
      <c r="S602" s="11">
        <f>OBRA!U604</f>
        <v>44773</v>
      </c>
      <c r="T602" s="692"/>
      <c r="U602" s="203"/>
      <c r="V602" s="508"/>
      <c r="W602" s="509"/>
      <c r="X602" s="534">
        <f>OBRA!AR604</f>
        <v>0</v>
      </c>
      <c r="Y602" s="309"/>
      <c r="Z602" s="309"/>
      <c r="AA602" s="5"/>
      <c r="AB602" s="313"/>
      <c r="AC602" s="317">
        <f>OBRA!BW604</f>
        <v>0</v>
      </c>
      <c r="AD602" s="352"/>
      <c r="AE602" s="352"/>
    </row>
    <row r="603" spans="1:31" ht="15" hidden="1" customHeight="1">
      <c r="A603" s="22" t="s">
        <v>2206</v>
      </c>
      <c r="B603" s="809" t="str">
        <f>GRAL!B607</f>
        <v>2021-2024</v>
      </c>
      <c r="C603" s="16">
        <f>OBRA!J605</f>
        <v>2022</v>
      </c>
      <c r="D603" s="1415"/>
      <c r="E603" s="17">
        <f>OBRA!M605</f>
        <v>0</v>
      </c>
      <c r="F603" s="1170"/>
      <c r="G603" s="1108"/>
      <c r="H603" s="219"/>
      <c r="I603" s="1108"/>
      <c r="J603" s="54"/>
      <c r="K603" s="55"/>
      <c r="L603" s="19" t="str">
        <f>OBRA!N605</f>
        <v>DOP/AD/010/2022</v>
      </c>
      <c r="M603" s="2" t="str">
        <f>OBRA!O605</f>
        <v>CANCELADA</v>
      </c>
      <c r="N603" s="3" t="str">
        <f>OBRA!P605</f>
        <v>-</v>
      </c>
      <c r="O603" s="541"/>
      <c r="P603" s="6">
        <f>OBRA!S605</f>
        <v>0</v>
      </c>
      <c r="Q603" s="4" t="str">
        <f>OBRA!R605</f>
        <v>|</v>
      </c>
      <c r="R603" s="5">
        <f>OBRA!T605</f>
        <v>0</v>
      </c>
      <c r="S603" s="11">
        <f>OBRA!U605</f>
        <v>0</v>
      </c>
      <c r="T603" s="692"/>
      <c r="U603" s="203"/>
      <c r="V603" s="508"/>
      <c r="W603" s="509"/>
      <c r="X603" s="534">
        <f>OBRA!AR605</f>
        <v>0</v>
      </c>
      <c r="Y603" s="309"/>
      <c r="Z603" s="309"/>
      <c r="AA603" s="5"/>
      <c r="AB603" s="313"/>
      <c r="AC603" s="317">
        <f>OBRA!BW605</f>
        <v>0</v>
      </c>
      <c r="AD603" s="352"/>
      <c r="AE603" s="352"/>
    </row>
    <row r="604" spans="1:31" ht="15" hidden="1" customHeight="1">
      <c r="A604" s="22" t="s">
        <v>2206</v>
      </c>
      <c r="B604" s="809" t="str">
        <f>GRAL!B608</f>
        <v>2021-2024</v>
      </c>
      <c r="C604" s="16">
        <f>OBRA!J606</f>
        <v>2022</v>
      </c>
      <c r="D604" s="1415"/>
      <c r="E604" s="17" t="str">
        <f>OBRA!M606</f>
        <v>CUENTA CORRIENTE</v>
      </c>
      <c r="F604" s="1170"/>
      <c r="G604" s="1108"/>
      <c r="H604" s="219"/>
      <c r="I604" s="1108"/>
      <c r="J604" s="54"/>
      <c r="K604" s="55"/>
      <c r="L604" s="19" t="str">
        <f>OBRA!N606</f>
        <v>CPSP DOP 001/2022</v>
      </c>
      <c r="M604" s="2" t="str">
        <f>OBRA!O606</f>
        <v xml:space="preserve">SERVICIOS </v>
      </c>
      <c r="N604" s="3" t="str">
        <f>OBRA!P606</f>
        <v>ESTUDIO GEOHIDROLÓGICO-GEOFÍSICOS PARA LOCALIZACIÓN Y/O PERFORACIÓN DE POZO PARA AGUA POTABLE (SAN JUAN COSALA, SAN PEDRO TESISTÁN, POTRERILLOS Y SAN LUCIANO), DEL MUNICIPIO DE JOCOTEPEC, JALISCO.</v>
      </c>
      <c r="O604" s="541"/>
      <c r="P604" s="6">
        <f>OBRA!S606</f>
        <v>44572</v>
      </c>
      <c r="Q604" s="4">
        <f>OBRA!R606</f>
        <v>69600</v>
      </c>
      <c r="R604" s="5">
        <f>OBRA!T606</f>
        <v>44578</v>
      </c>
      <c r="S604" s="11">
        <f>OBRA!U606</f>
        <v>44581</v>
      </c>
      <c r="T604" s="692"/>
      <c r="U604" s="203"/>
      <c r="V604" s="508"/>
      <c r="W604" s="509"/>
      <c r="X604" s="534">
        <f>OBRA!AR606</f>
        <v>0</v>
      </c>
      <c r="Y604" s="309"/>
      <c r="Z604" s="309"/>
      <c r="AA604" s="5"/>
      <c r="AB604" s="313"/>
      <c r="AC604" s="317">
        <f>OBRA!BW606</f>
        <v>0</v>
      </c>
      <c r="AD604" s="352"/>
      <c r="AE604" s="352"/>
    </row>
    <row r="605" spans="1:31" ht="15" hidden="1" customHeight="1">
      <c r="A605" s="22" t="s">
        <v>2206</v>
      </c>
      <c r="B605" s="809" t="str">
        <f>GRAL!B609</f>
        <v>2021-2024</v>
      </c>
      <c r="C605" s="16">
        <f>OBRA!J607</f>
        <v>2022</v>
      </c>
      <c r="D605" s="1415"/>
      <c r="E605" s="17" t="str">
        <f>OBRA!M607</f>
        <v>CUENTA CORRIENTE</v>
      </c>
      <c r="F605" s="1170"/>
      <c r="G605" s="1108"/>
      <c r="H605" s="219"/>
      <c r="I605" s="1108"/>
      <c r="J605" s="54"/>
      <c r="K605" s="55"/>
      <c r="L605" s="19" t="str">
        <f>OBRA!N607</f>
        <v>CPSP DOP 002/2022</v>
      </c>
      <c r="M605" s="2" t="str">
        <f>OBRA!O607</f>
        <v>SERVICIOS (CANCELADO)</v>
      </c>
      <c r="N605" s="3" t="str">
        <f>OBRA!P607</f>
        <v>LOCALIZACIÓN DE AGUA EN PREDIOS PARA POSIBLE PERFORACIÓN DE POZO PROFUNDO POR MEDIO DE LA TÉCNICA DE RADIESTESIA EN LAS LOCALIDADES DE SAN JUAN COSALA, SAN PEDRO TESISTÁN. POTRERILLOS Y SAN LUCIANO EN EL MUNICIPIO DE JOCOTEPEC, JALISCO.</v>
      </c>
      <c r="O605" s="541"/>
      <c r="P605" s="6">
        <f>OBRA!S607</f>
        <v>44575</v>
      </c>
      <c r="Q605" s="4">
        <f>OBRA!R607</f>
        <v>12000</v>
      </c>
      <c r="R605" s="5">
        <f>OBRA!T607</f>
        <v>44578</v>
      </c>
      <c r="S605" s="11">
        <f>OBRA!U607</f>
        <v>44582</v>
      </c>
      <c r="T605" s="692"/>
      <c r="U605" s="203"/>
      <c r="V605" s="508"/>
      <c r="W605" s="509"/>
      <c r="X605" s="534">
        <f>OBRA!AR607</f>
        <v>0</v>
      </c>
      <c r="Y605" s="309"/>
      <c r="Z605" s="309"/>
      <c r="AA605" s="5"/>
      <c r="AB605" s="313"/>
      <c r="AC605" s="317">
        <f>OBRA!BW607</f>
        <v>0</v>
      </c>
      <c r="AD605" s="352"/>
      <c r="AE605" s="352"/>
    </row>
    <row r="606" spans="1:31" ht="15" hidden="1" customHeight="1">
      <c r="A606" s="22" t="s">
        <v>2206</v>
      </c>
      <c r="B606" s="809" t="str">
        <f>GRAL!B610</f>
        <v>2021-2024</v>
      </c>
      <c r="C606" s="16">
        <f>OBRA!J608</f>
        <v>2022</v>
      </c>
      <c r="D606" s="1415"/>
      <c r="E606" s="17" t="str">
        <f>OBRA!M608</f>
        <v>CUENTA CORRIENTE</v>
      </c>
      <c r="F606" s="1170"/>
      <c r="G606" s="1108"/>
      <c r="H606" s="219"/>
      <c r="I606" s="1108"/>
      <c r="J606" s="54"/>
      <c r="K606" s="55"/>
      <c r="L606" s="19" t="str">
        <f>OBRA!N608</f>
        <v>CPSP DOP 003/2022</v>
      </c>
      <c r="M606" s="2" t="str">
        <f>OBRA!O608</f>
        <v xml:space="preserve">SERVICIOS </v>
      </c>
      <c r="N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1"/>
      <c r="P606" s="6">
        <f>OBRA!S608</f>
        <v>44592</v>
      </c>
      <c r="Q606" s="4" t="str">
        <f>OBRA!R608</f>
        <v>vie</v>
      </c>
      <c r="R606" s="5">
        <f>OBRA!T608</f>
        <v>44593</v>
      </c>
      <c r="S606" s="11">
        <f>OBRA!U608</f>
        <v>44607</v>
      </c>
      <c r="T606" s="692"/>
      <c r="U606" s="203"/>
      <c r="V606" s="508"/>
      <c r="W606" s="509"/>
      <c r="X606" s="534">
        <f>OBRA!AR608</f>
        <v>0</v>
      </c>
      <c r="Y606" s="309"/>
      <c r="Z606" s="309"/>
      <c r="AA606" s="5"/>
      <c r="AB606" s="313"/>
      <c r="AC606" s="317">
        <f>OBRA!BW608</f>
        <v>0</v>
      </c>
      <c r="AD606" s="352"/>
      <c r="AE606" s="352"/>
    </row>
    <row r="607" spans="1:31" ht="15" hidden="1" customHeight="1">
      <c r="A607" s="22" t="s">
        <v>2206</v>
      </c>
      <c r="B607" s="809" t="str">
        <f>GRAL!B611</f>
        <v>2021-2024</v>
      </c>
      <c r="C607" s="16">
        <f>OBRA!J609</f>
        <v>2022</v>
      </c>
      <c r="D607" s="1415"/>
      <c r="E607" s="17" t="str">
        <f>OBRA!M609</f>
        <v>CUENTA CORRIENTE</v>
      </c>
      <c r="F607" s="1170"/>
      <c r="G607" s="1108"/>
      <c r="H607" s="219"/>
      <c r="I607" s="1108"/>
      <c r="J607" s="54"/>
      <c r="K607" s="55"/>
      <c r="L607" s="19" t="str">
        <f>OBRA!N609</f>
        <v>CPSP DOP 004/2022</v>
      </c>
      <c r="M607" s="2" t="str">
        <f>OBRA!O609</f>
        <v xml:space="preserve">SERVICIOS </v>
      </c>
      <c r="N607" s="3" t="str">
        <f>OBRA!P609</f>
        <v>LEVANTAMIENTO TOPOGRÁFICO: EN FRACCIONAMIENTO MAGISTERIAL EN ÁREA DE ARROYO Y CALLE MAGISTERIAL PARA PROYECTO DEL COLECTOR DE AGUA PLUVIAL, EN LA CABECERA MUNICIPAL DE JOCOTEPEC, JALISCO.</v>
      </c>
      <c r="O607" s="541"/>
      <c r="P607" s="6">
        <f>OBRA!S609</f>
        <v>44634</v>
      </c>
      <c r="Q607" s="4">
        <f>OBRA!R609</f>
        <v>10000.000400000001</v>
      </c>
      <c r="R607" s="5" t="str">
        <f>OBRA!T609</f>
        <v>-</v>
      </c>
      <c r="S607" s="11" t="str">
        <f>OBRA!U609</f>
        <v>-</v>
      </c>
      <c r="T607" s="692"/>
      <c r="U607" s="203"/>
      <c r="V607" s="508"/>
      <c r="W607" s="509"/>
      <c r="X607" s="534">
        <f>OBRA!AR609</f>
        <v>0</v>
      </c>
      <c r="Y607" s="309"/>
      <c r="Z607" s="309"/>
      <c r="AA607" s="5"/>
      <c r="AB607" s="313"/>
      <c r="AC607" s="317">
        <f>OBRA!BW609</f>
        <v>0</v>
      </c>
      <c r="AD607" s="352"/>
      <c r="AE607" s="352"/>
    </row>
    <row r="608" spans="1:31" ht="15" hidden="1" customHeight="1">
      <c r="A608" s="22" t="s">
        <v>2206</v>
      </c>
      <c r="B608" s="809" t="str">
        <f>GRAL!B612</f>
        <v>2021-2024</v>
      </c>
      <c r="C608" s="16">
        <f>OBRA!J610</f>
        <v>2022</v>
      </c>
      <c r="D608" s="1415"/>
      <c r="E608" s="17" t="str">
        <f>OBRA!M610</f>
        <v>CUENTA CORRIENTE</v>
      </c>
      <c r="F608" s="1170"/>
      <c r="G608" s="1108"/>
      <c r="H608" s="219"/>
      <c r="I608" s="1108"/>
      <c r="J608" s="54"/>
      <c r="K608" s="55"/>
      <c r="L608" s="19" t="str">
        <f>OBRA!N610</f>
        <v>CPSP DOP 005/2022</v>
      </c>
      <c r="M608" s="2" t="str">
        <f>OBRA!O610</f>
        <v>CANCELADA</v>
      </c>
      <c r="N608" s="3" t="str">
        <f>OBRA!P610</f>
        <v>-</v>
      </c>
      <c r="O608" s="541"/>
      <c r="P608" s="6">
        <f>OBRA!S610</f>
        <v>0</v>
      </c>
      <c r="Q608" s="4">
        <f>OBRA!R610</f>
        <v>0</v>
      </c>
      <c r="R608" s="5">
        <f>OBRA!T610</f>
        <v>0</v>
      </c>
      <c r="S608" s="11">
        <f>OBRA!U610</f>
        <v>0</v>
      </c>
      <c r="T608" s="692"/>
      <c r="U608" s="203"/>
      <c r="V608" s="508"/>
      <c r="W608" s="509"/>
      <c r="X608" s="534">
        <f>OBRA!AR610</f>
        <v>0</v>
      </c>
      <c r="Y608" s="309"/>
      <c r="Z608" s="309"/>
      <c r="AA608" s="5"/>
      <c r="AB608" s="313"/>
      <c r="AC608" s="317">
        <f>OBRA!BW610</f>
        <v>0</v>
      </c>
      <c r="AD608" s="352"/>
      <c r="AE608" s="352"/>
    </row>
    <row r="609" spans="1:31" ht="15" hidden="1" customHeight="1">
      <c r="A609" s="22" t="s">
        <v>2206</v>
      </c>
      <c r="B609" s="809" t="str">
        <f>GRAL!B613</f>
        <v>2021-2024</v>
      </c>
      <c r="C609" s="16">
        <f>OBRA!J611</f>
        <v>2022</v>
      </c>
      <c r="D609" s="1415"/>
      <c r="E609" s="17" t="str">
        <f>OBRA!M611</f>
        <v>CUENTA CORRIENTE</v>
      </c>
      <c r="F609" s="1170"/>
      <c r="G609" s="1108"/>
      <c r="H609" s="219"/>
      <c r="I609" s="1108"/>
      <c r="J609" s="54"/>
      <c r="K609" s="55"/>
      <c r="L609" s="19" t="str">
        <f>OBRA!N611</f>
        <v>CPSP DOP 006/2022</v>
      </c>
      <c r="M609" s="2" t="str">
        <f>OBRA!O611</f>
        <v xml:space="preserve">SERVICIOS </v>
      </c>
      <c r="N609" s="3" t="str">
        <f>OBRA!P611</f>
        <v>LEVANTAMIENTO TOPOGRAFICO: PARA EL PROYECTO DE LÍNEAS DE LLENADO Y ABASTECIMIENTO DEL POZO ALLENDE AL TANQUE ELEVADO, ZONA NORTE DE LA CABECERA DE JOCOTEPEC, JALISCO.</v>
      </c>
      <c r="O609" s="541"/>
      <c r="P609" s="6">
        <f>OBRA!S611</f>
        <v>44634</v>
      </c>
      <c r="Q609" s="4">
        <f>OBRA!R611</f>
        <v>10000.000400000001</v>
      </c>
      <c r="R609" s="5" t="str">
        <f>OBRA!T611</f>
        <v>-</v>
      </c>
      <c r="S609" s="11" t="str">
        <f>OBRA!U611</f>
        <v>-</v>
      </c>
      <c r="T609" s="692"/>
      <c r="U609" s="203"/>
      <c r="V609" s="508"/>
      <c r="W609" s="509"/>
      <c r="X609" s="534">
        <f>OBRA!AR611</f>
        <v>0</v>
      </c>
      <c r="Y609" s="309"/>
      <c r="Z609" s="309"/>
      <c r="AA609" s="5"/>
      <c r="AB609" s="313"/>
      <c r="AC609" s="317">
        <f>OBRA!BW611</f>
        <v>0</v>
      </c>
      <c r="AD609" s="352"/>
      <c r="AE609" s="352"/>
    </row>
    <row r="610" spans="1:31" ht="15" hidden="1" customHeight="1">
      <c r="A610" s="22" t="s">
        <v>2206</v>
      </c>
      <c r="B610" s="809" t="str">
        <f>GRAL!B614</f>
        <v>2021-2024</v>
      </c>
      <c r="C610" s="16">
        <f>OBRA!J612</f>
        <v>2022</v>
      </c>
      <c r="D610" s="1415"/>
      <c r="E610" s="17" t="str">
        <f>OBRA!M612</f>
        <v>CUENTA CORRIENTE</v>
      </c>
      <c r="F610" s="1170"/>
      <c r="G610" s="1108"/>
      <c r="H610" s="219"/>
      <c r="I610" s="1108"/>
      <c r="J610" s="54"/>
      <c r="K610" s="55"/>
      <c r="L610" s="19" t="str">
        <f>OBRA!N612</f>
        <v>CPSP DOP 007/2022</v>
      </c>
      <c r="M610" s="2" t="str">
        <f>OBRA!O612</f>
        <v>CANCELADA</v>
      </c>
      <c r="N610" s="3" t="str">
        <f>OBRA!P612</f>
        <v>-</v>
      </c>
      <c r="O610" s="541"/>
      <c r="P610" s="6">
        <f>OBRA!S612</f>
        <v>0</v>
      </c>
      <c r="Q610" s="4">
        <f>OBRA!R612</f>
        <v>0</v>
      </c>
      <c r="R610" s="5">
        <f>OBRA!T612</f>
        <v>0</v>
      </c>
      <c r="S610" s="11">
        <f>OBRA!U612</f>
        <v>0</v>
      </c>
      <c r="T610" s="692"/>
      <c r="U610" s="203"/>
      <c r="V610" s="508"/>
      <c r="W610" s="509"/>
      <c r="X610" s="534">
        <f>OBRA!AR612</f>
        <v>0</v>
      </c>
      <c r="Y610" s="309"/>
      <c r="Z610" s="309"/>
      <c r="AA610" s="5"/>
      <c r="AB610" s="313"/>
      <c r="AC610" s="317">
        <f>OBRA!BW612</f>
        <v>0</v>
      </c>
      <c r="AD610" s="352"/>
      <c r="AE610" s="352"/>
    </row>
    <row r="611" spans="1:31" ht="15" hidden="1" customHeight="1">
      <c r="A611" s="22" t="s">
        <v>2206</v>
      </c>
      <c r="B611" s="809" t="str">
        <f>GRAL!B615</f>
        <v>2021-2024</v>
      </c>
      <c r="C611" s="16">
        <f>OBRA!J613</f>
        <v>2022</v>
      </c>
      <c r="D611" s="1415"/>
      <c r="E611" s="17" t="str">
        <f>OBRA!M613</f>
        <v>CUENTA CORRIENTE</v>
      </c>
      <c r="F611" s="1170"/>
      <c r="G611" s="1108"/>
      <c r="H611" s="219"/>
      <c r="I611" s="1108"/>
      <c r="J611" s="54"/>
      <c r="K611" s="55"/>
      <c r="L611" s="19" t="str">
        <f>OBRA!N613</f>
        <v>CPSP DOP 008/2022</v>
      </c>
      <c r="M611" s="2" t="str">
        <f>OBRA!O613</f>
        <v xml:space="preserve">SERVICIOS </v>
      </c>
      <c r="N611" s="3" t="str">
        <f>OBRA!P613</f>
        <v>LEVANTAMIENTO TOPOGRAFICO: PARA EL PROYECTO DE LA REMODELACIÓN DE LA PLAZA PRINCIPAL DE LA LOCALIDAD DE SAN JUAN COSALA, DEL MUNICIPIO DE JOCOTEPEC, JALISCO.</v>
      </c>
      <c r="O611" s="541"/>
      <c r="P611" s="6">
        <f>OBRA!S613</f>
        <v>44634</v>
      </c>
      <c r="Q611" s="4">
        <f>OBRA!R613</f>
        <v>7000.0199999999995</v>
      </c>
      <c r="R611" s="5" t="str">
        <f>OBRA!T613</f>
        <v>-</v>
      </c>
      <c r="S611" s="11" t="str">
        <f>OBRA!U613</f>
        <v>-</v>
      </c>
      <c r="T611" s="692"/>
      <c r="U611" s="203"/>
      <c r="V611" s="508"/>
      <c r="W611" s="509"/>
      <c r="X611" s="534">
        <f>OBRA!AR613</f>
        <v>0</v>
      </c>
      <c r="Y611" s="309"/>
      <c r="Z611" s="309"/>
      <c r="AA611" s="5"/>
      <c r="AB611" s="313"/>
      <c r="AC611" s="317">
        <f>OBRA!BW613</f>
        <v>0</v>
      </c>
      <c r="AD611" s="352"/>
      <c r="AE611" s="352"/>
    </row>
    <row r="612" spans="1:31" ht="15" hidden="1" customHeight="1">
      <c r="A612" s="22" t="s">
        <v>2206</v>
      </c>
      <c r="B612" s="809" t="str">
        <f>GRAL!B616</f>
        <v>2021-2024</v>
      </c>
      <c r="C612" s="16">
        <f>OBRA!J614</f>
        <v>2022</v>
      </c>
      <c r="D612" s="1415"/>
      <c r="E612" s="17" t="str">
        <f>OBRA!M614</f>
        <v>CUENTA CORRIENTE</v>
      </c>
      <c r="F612" s="1170"/>
      <c r="G612" s="1108"/>
      <c r="H612" s="219"/>
      <c r="I612" s="1108"/>
      <c r="J612" s="54"/>
      <c r="K612" s="55"/>
      <c r="L612" s="19" t="str">
        <f>OBRA!N614</f>
        <v>CPSP DOP 009/2022</v>
      </c>
      <c r="M612" s="2" t="str">
        <f>OBRA!O614</f>
        <v xml:space="preserve">SERVICIOS </v>
      </c>
      <c r="N612" s="3" t="str">
        <f>OBRA!P614</f>
        <v>SERVICIO DE LABORATORIO, SONDEOS CON EQUIPOS DE PENETRACIÓN ESTÁNDAR PARA LA CONSTRUCCIÓN DE PUENTE PEATONAL EN LA CALLE ALLENDE, DE LA LOCALIDAD DE ZAPOTITÁN DE HIDALGO, DEL MUNICIPIO DE JOCOTEPEC, JALISCO.</v>
      </c>
      <c r="O612" s="541"/>
      <c r="P612" s="6">
        <f>OBRA!S614</f>
        <v>44635</v>
      </c>
      <c r="Q612" s="4">
        <f>OBRA!R614</f>
        <v>15659.999999999998</v>
      </c>
      <c r="R612" s="5" t="str">
        <f>OBRA!T614</f>
        <v>-</v>
      </c>
      <c r="S612" s="11" t="str">
        <f>OBRA!U614</f>
        <v>-</v>
      </c>
      <c r="T612" s="692"/>
      <c r="U612" s="203"/>
      <c r="V612" s="508"/>
      <c r="W612" s="509"/>
      <c r="X612" s="534">
        <f>OBRA!AR614</f>
        <v>0</v>
      </c>
      <c r="Y612" s="309"/>
      <c r="Z612" s="309"/>
      <c r="AA612" s="5"/>
      <c r="AB612" s="313"/>
      <c r="AC612" s="317">
        <f>OBRA!BW614</f>
        <v>0</v>
      </c>
      <c r="AD612" s="352"/>
      <c r="AE612" s="352"/>
    </row>
    <row r="613" spans="1:31" ht="15" hidden="1" customHeight="1">
      <c r="A613" s="22" t="s">
        <v>2206</v>
      </c>
      <c r="B613" s="809" t="str">
        <f>GRAL!B617</f>
        <v>2021-2024</v>
      </c>
      <c r="C613" s="16">
        <f>OBRA!J615</f>
        <v>2022</v>
      </c>
      <c r="D613" s="1415"/>
      <c r="E613" s="17" t="str">
        <f>OBRA!M615</f>
        <v>CUENTA CORRIENTE</v>
      </c>
      <c r="F613" s="1170"/>
      <c r="G613" s="1108"/>
      <c r="H613" s="219"/>
      <c r="I613" s="1108"/>
      <c r="J613" s="54"/>
      <c r="K613" s="55"/>
      <c r="L613" s="19" t="str">
        <f>OBRA!N615</f>
        <v>CPSP DOP 010/2022</v>
      </c>
      <c r="M613" s="2" t="str">
        <f>OBRA!O615</f>
        <v xml:space="preserve">SERVICIOS </v>
      </c>
      <c r="N613" s="3" t="str">
        <f>OBRA!P615</f>
        <v>LOCALIZACIÓN DE AGUA EN PREDIOS PARA POSIBLE PERFORACIÓN DE POZO PROFUNDO POR MEDIO DE LA TÉCNICA DE RADIESTESIA EN LA LOCALIDAD DE CHANTEPEC, EN EL MUNICIPIO DE JOCOTEPEC, JALISCO.</v>
      </c>
      <c r="O613" s="541"/>
      <c r="P613" s="6">
        <f>OBRA!S615</f>
        <v>44658</v>
      </c>
      <c r="Q613" s="4">
        <f>OBRA!R615</f>
        <v>4000</v>
      </c>
      <c r="R613" s="5">
        <f>OBRA!T615</f>
        <v>44660</v>
      </c>
      <c r="S613" s="11">
        <f>OBRA!U615</f>
        <v>44660</v>
      </c>
      <c r="T613" s="692"/>
      <c r="U613" s="203"/>
      <c r="V613" s="508"/>
      <c r="W613" s="509"/>
      <c r="X613" s="534">
        <f>OBRA!AR615</f>
        <v>0</v>
      </c>
      <c r="Y613" s="309"/>
      <c r="Z613" s="309"/>
      <c r="AA613" s="5"/>
      <c r="AB613" s="313"/>
      <c r="AC613" s="317">
        <f>OBRA!BW615</f>
        <v>0</v>
      </c>
      <c r="AD613" s="352"/>
      <c r="AE613" s="352"/>
    </row>
    <row r="614" spans="1:31" ht="15" hidden="1" customHeight="1">
      <c r="A614" s="22" t="s">
        <v>2206</v>
      </c>
      <c r="B614" s="809" t="str">
        <f>GRAL!B618</f>
        <v>2021-2024</v>
      </c>
      <c r="C614" s="16">
        <f>OBRA!J616</f>
        <v>2022</v>
      </c>
      <c r="D614" s="1415"/>
      <c r="E614" s="17" t="str">
        <f>OBRA!M616</f>
        <v>CUENTA CORRIENTE</v>
      </c>
      <c r="F614" s="1170"/>
      <c r="G614" s="1108"/>
      <c r="H614" s="219"/>
      <c r="I614" s="1108"/>
      <c r="J614" s="54"/>
      <c r="K614" s="55"/>
      <c r="L614" s="19" t="str">
        <f>OBRA!N616</f>
        <v>CPSP DOP 011/2022</v>
      </c>
      <c r="M614" s="2" t="str">
        <f>OBRA!O616</f>
        <v xml:space="preserve">SERVICIOS </v>
      </c>
      <c r="N614" s="3" t="str">
        <f>OBRA!P616</f>
        <v>ESTUDIO GEOHIDROLÓGICO-GEOFÍSICO Y PROSPECCIÓN GEOFÍSICA CON FINES DE LOCALIZAR AGUA SUBTERRANEA EN LA LOCALIDAD DE CHANTEPEC, DEL MUNICIPIO DE JOCOTEPEC, JALISCO.</v>
      </c>
      <c r="O614" s="541"/>
      <c r="P614" s="6">
        <f>OBRA!S616</f>
        <v>44690</v>
      </c>
      <c r="Q614" s="4">
        <f>OBRA!R616</f>
        <v>17400</v>
      </c>
      <c r="R614" s="5">
        <f>OBRA!T616</f>
        <v>44693</v>
      </c>
      <c r="S614" s="11">
        <f>OBRA!U616</f>
        <v>44695</v>
      </c>
      <c r="T614" s="692"/>
      <c r="U614" s="203"/>
      <c r="V614" s="508"/>
      <c r="W614" s="509"/>
      <c r="X614" s="534">
        <f>OBRA!AR616</f>
        <v>0</v>
      </c>
      <c r="Y614" s="309"/>
      <c r="Z614" s="309"/>
      <c r="AA614" s="5"/>
      <c r="AB614" s="313"/>
      <c r="AC614" s="317">
        <f>OBRA!BW616</f>
        <v>0</v>
      </c>
      <c r="AD614" s="352"/>
      <c r="AE614" s="352"/>
    </row>
    <row r="615" spans="1:31" ht="15" hidden="1" customHeight="1">
      <c r="A615" s="22" t="s">
        <v>2206</v>
      </c>
      <c r="B615" s="809" t="str">
        <f>GRAL!B619</f>
        <v>2021-2024</v>
      </c>
      <c r="C615" s="16">
        <f>OBRA!J617</f>
        <v>2022</v>
      </c>
      <c r="D615" s="1415"/>
      <c r="E615" s="17" t="str">
        <f>OBRA!M617</f>
        <v>CUENTA CORRIENTE</v>
      </c>
      <c r="F615" s="1170"/>
      <c r="G615" s="1108"/>
      <c r="H615" s="219"/>
      <c r="I615" s="1108"/>
      <c r="J615" s="54"/>
      <c r="K615" s="55"/>
      <c r="L615" s="19" t="str">
        <f>OBRA!N617</f>
        <v>CPSP DOP 012/2022</v>
      </c>
      <c r="M615" s="2" t="str">
        <f>OBRA!O617</f>
        <v xml:space="preserve">SERVICIOS </v>
      </c>
      <c r="N615" s="3" t="str">
        <f>OBRA!P617</f>
        <v>ESTUDIO DE MECANICA DE SUELOS PARA LA CONSTRUCCIÓN DE LA CALLE GUADALUPE VICTORIA Y 3 POZOS A CIELO ABIERTO; CALLE JOSÉ SANTANA PONIENTE Y 3 POZOS A CIELO ABIERTO; CALLE MORELOS Y 3 POZOS A CIELO ABIERTO, EN EL MUNICIPIO DE JOCOTEPEC, JALISCO.</v>
      </c>
      <c r="O615" s="541"/>
      <c r="P615" s="6">
        <f>OBRA!S617</f>
        <v>44662</v>
      </c>
      <c r="Q615" s="4">
        <f>OBRA!R617</f>
        <v>32886</v>
      </c>
      <c r="R615" s="5" t="str">
        <f>OBRA!T617</f>
        <v>-</v>
      </c>
      <c r="S615" s="11" t="str">
        <f>OBRA!U617</f>
        <v>-</v>
      </c>
      <c r="T615" s="692"/>
      <c r="U615" s="203"/>
      <c r="V615" s="508"/>
      <c r="W615" s="509"/>
      <c r="X615" s="534">
        <f>OBRA!AR617</f>
        <v>0</v>
      </c>
      <c r="Y615" s="309"/>
      <c r="Z615" s="309"/>
      <c r="AA615" s="5"/>
      <c r="AB615" s="313"/>
      <c r="AC615" s="317">
        <f>OBRA!BW617</f>
        <v>0</v>
      </c>
      <c r="AD615" s="352"/>
      <c r="AE615" s="352"/>
    </row>
    <row r="616" spans="1:31" ht="15" hidden="1" customHeight="1">
      <c r="A616" s="22" t="s">
        <v>2206</v>
      </c>
      <c r="B616" s="809" t="str">
        <f>GRAL!B620</f>
        <v>2021-2024</v>
      </c>
      <c r="C616" s="16">
        <f>OBRA!J618</f>
        <v>2022</v>
      </c>
      <c r="D616" s="1415"/>
      <c r="E616" s="17" t="str">
        <f>OBRA!M618</f>
        <v>CUENTA CORRIENTE</v>
      </c>
      <c r="F616" s="1170"/>
      <c r="G616" s="1108"/>
      <c r="H616" s="219"/>
      <c r="I616" s="1108"/>
      <c r="J616" s="54"/>
      <c r="K616" s="55"/>
      <c r="L616" s="19" t="str">
        <f>OBRA!N618</f>
        <v>CPSP DOP 013/2022</v>
      </c>
      <c r="M616" s="2" t="str">
        <f>OBRA!O618</f>
        <v xml:space="preserve">SERVICIOS </v>
      </c>
      <c r="N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1"/>
      <c r="P616" s="6">
        <f>OBRA!S618</f>
        <v>44690</v>
      </c>
      <c r="Q616" s="4">
        <f>OBRA!R618</f>
        <v>18270</v>
      </c>
      <c r="R616" s="5" t="str">
        <f>OBRA!T618</f>
        <v>-</v>
      </c>
      <c r="S616" s="11" t="str">
        <f>OBRA!U618</f>
        <v>-</v>
      </c>
      <c r="T616" s="692"/>
      <c r="U616" s="203"/>
      <c r="V616" s="508"/>
      <c r="W616" s="509"/>
      <c r="X616" s="534">
        <f>OBRA!AR618</f>
        <v>0</v>
      </c>
      <c r="Y616" s="309"/>
      <c r="Z616" s="309"/>
      <c r="AA616" s="5"/>
      <c r="AB616" s="313"/>
      <c r="AC616" s="317">
        <f>OBRA!BW618</f>
        <v>0</v>
      </c>
      <c r="AD616" s="352"/>
      <c r="AE616" s="352"/>
    </row>
    <row r="617" spans="1:31" ht="15" hidden="1" customHeight="1">
      <c r="A617" s="22" t="s">
        <v>2206</v>
      </c>
      <c r="B617" s="809" t="str">
        <f>GRAL!B621</f>
        <v>2021-2024</v>
      </c>
      <c r="C617" s="16">
        <f>OBRA!J619</f>
        <v>2022</v>
      </c>
      <c r="D617" s="1415"/>
      <c r="E617" s="17" t="str">
        <f>OBRA!M619</f>
        <v>CUENTA CORRIENTE</v>
      </c>
      <c r="F617" s="1170"/>
      <c r="G617" s="1108"/>
      <c r="H617" s="219"/>
      <c r="I617" s="1108"/>
      <c r="J617" s="54"/>
      <c r="K617" s="55"/>
      <c r="L617" s="19" t="str">
        <f>OBRA!N619</f>
        <v>CPSP DOP 014/2022</v>
      </c>
      <c r="M617" s="2" t="str">
        <f>OBRA!O619</f>
        <v xml:space="preserve">SERVICIOS </v>
      </c>
      <c r="N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O617" s="541"/>
      <c r="P617" s="6">
        <f>OBRA!S619</f>
        <v>44714</v>
      </c>
      <c r="Q617" s="4">
        <f>OBRA!R619</f>
        <v>3500</v>
      </c>
      <c r="R617" s="5">
        <f>OBRA!T619</f>
        <v>44716</v>
      </c>
      <c r="S617" s="11">
        <f>OBRA!U619</f>
        <v>44716</v>
      </c>
      <c r="T617" s="692"/>
      <c r="U617" s="203"/>
      <c r="V617" s="508"/>
      <c r="W617" s="509"/>
      <c r="X617" s="534">
        <f>OBRA!AR619</f>
        <v>0</v>
      </c>
      <c r="Y617" s="309"/>
      <c r="Z617" s="309"/>
      <c r="AA617" s="5"/>
      <c r="AB617" s="313"/>
      <c r="AC617" s="317">
        <f>OBRA!BW619</f>
        <v>0</v>
      </c>
      <c r="AD617" s="352"/>
      <c r="AE617" s="352"/>
    </row>
    <row r="618" spans="1:31" ht="15" hidden="1" customHeight="1">
      <c r="A618" s="22" t="s">
        <v>2206</v>
      </c>
      <c r="B618" s="809" t="str">
        <f>GRAL!B622</f>
        <v>2021-2024</v>
      </c>
      <c r="C618" s="16">
        <f>OBRA!J620</f>
        <v>2022</v>
      </c>
      <c r="D618" s="1415"/>
      <c r="E618" s="17" t="str">
        <f>OBRA!M620</f>
        <v>CUENTA CORRIENTE</v>
      </c>
      <c r="F618" s="1170"/>
      <c r="G618" s="1108"/>
      <c r="H618" s="219"/>
      <c r="I618" s="1108"/>
      <c r="J618" s="54"/>
      <c r="K618" s="55"/>
      <c r="L618" s="19" t="str">
        <f>OBRA!N620</f>
        <v>CPSP DOP 015/2022</v>
      </c>
      <c r="M618" s="2" t="str">
        <f>OBRA!O620</f>
        <v>CANCELADA</v>
      </c>
      <c r="N618" s="3" t="str">
        <f>OBRA!P620</f>
        <v>-</v>
      </c>
      <c r="O618" s="541"/>
      <c r="P618" s="6">
        <f>OBRA!S620</f>
        <v>0</v>
      </c>
      <c r="Q618" s="4">
        <f>OBRA!R620</f>
        <v>0</v>
      </c>
      <c r="R618" s="5">
        <f>OBRA!T620</f>
        <v>0</v>
      </c>
      <c r="S618" s="11">
        <f>OBRA!U620</f>
        <v>0</v>
      </c>
      <c r="T618" s="692"/>
      <c r="U618" s="203"/>
      <c r="V618" s="508"/>
      <c r="W618" s="509"/>
      <c r="X618" s="534">
        <f>OBRA!AR620</f>
        <v>0</v>
      </c>
      <c r="Y618" s="309"/>
      <c r="Z618" s="309"/>
      <c r="AA618" s="5"/>
      <c r="AB618" s="313"/>
      <c r="AC618" s="317">
        <f>OBRA!BW620</f>
        <v>0</v>
      </c>
      <c r="AD618" s="352"/>
      <c r="AE618" s="352"/>
    </row>
    <row r="619" spans="1:31" ht="15" hidden="1" customHeight="1">
      <c r="A619" s="22" t="s">
        <v>2206</v>
      </c>
      <c r="B619" s="809" t="str">
        <f>GRAL!B623</f>
        <v>2021-2024</v>
      </c>
      <c r="C619" s="16">
        <f>OBRA!J621</f>
        <v>2022</v>
      </c>
      <c r="D619" s="1415"/>
      <c r="E619" s="17" t="str">
        <f>OBRA!M621</f>
        <v>CUENTA CORRIENTE</v>
      </c>
      <c r="F619" s="1170"/>
      <c r="G619" s="1108"/>
      <c r="H619" s="219"/>
      <c r="I619" s="1108"/>
      <c r="J619" s="54"/>
      <c r="K619" s="55"/>
      <c r="L619" s="19" t="str">
        <f>OBRA!N621</f>
        <v>CPSP DOP 016/2022</v>
      </c>
      <c r="M619" s="2" t="str">
        <f>OBRA!O621</f>
        <v>CANCELADA</v>
      </c>
      <c r="N619" s="3" t="str">
        <f>OBRA!P621</f>
        <v>-</v>
      </c>
      <c r="O619" s="541"/>
      <c r="P619" s="6">
        <f>OBRA!S621</f>
        <v>0</v>
      </c>
      <c r="Q619" s="4">
        <f>OBRA!R621</f>
        <v>0</v>
      </c>
      <c r="R619" s="5">
        <f>OBRA!T621</f>
        <v>0</v>
      </c>
      <c r="S619" s="11">
        <f>OBRA!U621</f>
        <v>0</v>
      </c>
      <c r="T619" s="692"/>
      <c r="U619" s="203"/>
      <c r="V619" s="508"/>
      <c r="W619" s="509"/>
      <c r="X619" s="534">
        <f>OBRA!AR621</f>
        <v>0</v>
      </c>
      <c r="Y619" s="309"/>
      <c r="Z619" s="309"/>
      <c r="AA619" s="5"/>
      <c r="AB619" s="313"/>
      <c r="AC619" s="317">
        <f>OBRA!BW621</f>
        <v>0</v>
      </c>
      <c r="AD619" s="352"/>
      <c r="AE619" s="352"/>
    </row>
    <row r="620" spans="1:31" ht="15" hidden="1" customHeight="1">
      <c r="A620" s="22" t="s">
        <v>2206</v>
      </c>
      <c r="B620" s="809" t="str">
        <f>GRAL!B624</f>
        <v>2021-2024</v>
      </c>
      <c r="C620" s="16">
        <f>OBRA!J622</f>
        <v>2022</v>
      </c>
      <c r="D620" s="1415"/>
      <c r="E620" s="17" t="str">
        <f>OBRA!M622</f>
        <v>CUENTA CORRIENTE</v>
      </c>
      <c r="F620" s="1170"/>
      <c r="G620" s="1108"/>
      <c r="H620" s="219"/>
      <c r="I620" s="1108"/>
      <c r="J620" s="54"/>
      <c r="K620" s="55"/>
      <c r="L620" s="19" t="str">
        <f>OBRA!N622</f>
        <v>CPSP DOP 017/2022</v>
      </c>
      <c r="M620" s="2" t="str">
        <f>OBRA!O622</f>
        <v>CANCELADA</v>
      </c>
      <c r="N620" s="3" t="str">
        <f>OBRA!P622</f>
        <v>-</v>
      </c>
      <c r="O620" s="541"/>
      <c r="P620" s="6">
        <f>OBRA!S622</f>
        <v>0</v>
      </c>
      <c r="Q620" s="4">
        <f>OBRA!R622</f>
        <v>0</v>
      </c>
      <c r="R620" s="5">
        <f>OBRA!T622</f>
        <v>0</v>
      </c>
      <c r="S620" s="11">
        <f>OBRA!U622</f>
        <v>0</v>
      </c>
      <c r="T620" s="692"/>
      <c r="U620" s="203"/>
      <c r="V620" s="508"/>
      <c r="W620" s="509"/>
      <c r="X620" s="534">
        <f>OBRA!AR622</f>
        <v>0</v>
      </c>
      <c r="Y620" s="309"/>
      <c r="Z620" s="309"/>
      <c r="AA620" s="5"/>
      <c r="AB620" s="313"/>
      <c r="AC620" s="317">
        <f>OBRA!BW622</f>
        <v>0</v>
      </c>
      <c r="AD620" s="352"/>
      <c r="AE620" s="352"/>
    </row>
    <row r="621" spans="1:31" ht="15" hidden="1" customHeight="1">
      <c r="A621" s="22" t="s">
        <v>2206</v>
      </c>
      <c r="B621" s="809" t="str">
        <f>GRAL!B625</f>
        <v>2021-2024</v>
      </c>
      <c r="C621" s="16">
        <f>OBRA!J623</f>
        <v>2022</v>
      </c>
      <c r="D621" s="1415"/>
      <c r="E621" s="17" t="str">
        <f>OBRA!M623</f>
        <v>CUENTA CORRIENTE</v>
      </c>
      <c r="F621" s="1170"/>
      <c r="G621" s="1108"/>
      <c r="H621" s="219"/>
      <c r="I621" s="1108"/>
      <c r="J621" s="54"/>
      <c r="K621" s="55"/>
      <c r="L621" s="19" t="str">
        <f>OBRA!N623</f>
        <v>CPSP DOP 018/2022</v>
      </c>
      <c r="M621" s="2" t="str">
        <f>OBRA!O623</f>
        <v>CANCELADA</v>
      </c>
      <c r="N621" s="3" t="str">
        <f>OBRA!P623</f>
        <v>-</v>
      </c>
      <c r="O621" s="541"/>
      <c r="P621" s="6">
        <f>OBRA!S623</f>
        <v>0</v>
      </c>
      <c r="Q621" s="4">
        <f>OBRA!R623</f>
        <v>0</v>
      </c>
      <c r="R621" s="5">
        <f>OBRA!T623</f>
        <v>0</v>
      </c>
      <c r="S621" s="11">
        <f>OBRA!U623</f>
        <v>0</v>
      </c>
      <c r="T621" s="692"/>
      <c r="U621" s="203"/>
      <c r="V621" s="508"/>
      <c r="W621" s="509"/>
      <c r="X621" s="534">
        <f>OBRA!AR623</f>
        <v>0</v>
      </c>
      <c r="Y621" s="309"/>
      <c r="Z621" s="309"/>
      <c r="AA621" s="5"/>
      <c r="AB621" s="313"/>
      <c r="AC621" s="317">
        <f>OBRA!BW623</f>
        <v>0</v>
      </c>
      <c r="AD621" s="352"/>
      <c r="AE621" s="352"/>
    </row>
    <row r="622" spans="1:31" ht="15" hidden="1" customHeight="1">
      <c r="A622" s="22" t="s">
        <v>2206</v>
      </c>
      <c r="B622" s="809" t="str">
        <f>GRAL!B626</f>
        <v>2021-2024</v>
      </c>
      <c r="C622" s="16">
        <f>OBRA!J624</f>
        <v>2022</v>
      </c>
      <c r="D622" s="1415"/>
      <c r="E622" s="17" t="str">
        <f>OBRA!M624</f>
        <v>CUENTA CORRIENTE</v>
      </c>
      <c r="F622" s="1170"/>
      <c r="G622" s="1108"/>
      <c r="H622" s="219"/>
      <c r="I622" s="1108"/>
      <c r="J622" s="54"/>
      <c r="K622" s="55"/>
      <c r="L622" s="19" t="str">
        <f>OBRA!N624</f>
        <v>CPSP DOP 019/2022</v>
      </c>
      <c r="M622" s="2" t="str">
        <f>OBRA!O624</f>
        <v>CANCELADA</v>
      </c>
      <c r="N622" s="3" t="str">
        <f>OBRA!P624</f>
        <v>-</v>
      </c>
      <c r="O622" s="541"/>
      <c r="P622" s="6">
        <f>OBRA!S624</f>
        <v>0</v>
      </c>
      <c r="Q622" s="4">
        <f>OBRA!R624</f>
        <v>0</v>
      </c>
      <c r="R622" s="5">
        <f>OBRA!T624</f>
        <v>0</v>
      </c>
      <c r="S622" s="11">
        <f>OBRA!U624</f>
        <v>0</v>
      </c>
      <c r="T622" s="692"/>
      <c r="U622" s="203"/>
      <c r="V622" s="508"/>
      <c r="W622" s="509"/>
      <c r="X622" s="534">
        <f>OBRA!AR624</f>
        <v>0</v>
      </c>
      <c r="Y622" s="309"/>
      <c r="Z622" s="309"/>
      <c r="AA622" s="5"/>
      <c r="AB622" s="313"/>
      <c r="AC622" s="317">
        <f>OBRA!BW624</f>
        <v>0</v>
      </c>
      <c r="AD622" s="352"/>
      <c r="AE622" s="352"/>
    </row>
    <row r="623" spans="1:31" ht="15" hidden="1" customHeight="1">
      <c r="A623" s="22" t="s">
        <v>2206</v>
      </c>
      <c r="B623" s="809" t="str">
        <f>GRAL!B627</f>
        <v>2021-2024</v>
      </c>
      <c r="C623" s="16">
        <f>OBRA!J625</f>
        <v>2022</v>
      </c>
      <c r="D623" s="1415"/>
      <c r="E623" s="17" t="str">
        <f>OBRA!M625</f>
        <v>CUENTA CORRIENTE</v>
      </c>
      <c r="F623" s="1170"/>
      <c r="G623" s="1108"/>
      <c r="H623" s="219"/>
      <c r="I623" s="1108"/>
      <c r="J623" s="54"/>
      <c r="K623" s="55"/>
      <c r="L623" s="19" t="str">
        <f>OBRA!N625</f>
        <v>CPSP DOP 020/2022</v>
      </c>
      <c r="M623" s="2" t="str">
        <f>OBRA!O625</f>
        <v>CANCELADA</v>
      </c>
      <c r="N623" s="3" t="str">
        <f>OBRA!P625</f>
        <v>-</v>
      </c>
      <c r="O623" s="541"/>
      <c r="P623" s="6">
        <f>OBRA!S625</f>
        <v>0</v>
      </c>
      <c r="Q623" s="4">
        <f>OBRA!R625</f>
        <v>0</v>
      </c>
      <c r="R623" s="5">
        <f>OBRA!T625</f>
        <v>0</v>
      </c>
      <c r="S623" s="11">
        <f>OBRA!U625</f>
        <v>0</v>
      </c>
      <c r="T623" s="692"/>
      <c r="U623" s="203"/>
      <c r="V623" s="508"/>
      <c r="W623" s="509"/>
      <c r="X623" s="534">
        <f>OBRA!AR625</f>
        <v>0</v>
      </c>
      <c r="Y623" s="309"/>
      <c r="Z623" s="309"/>
      <c r="AA623" s="5"/>
      <c r="AB623" s="313"/>
      <c r="AC623" s="317">
        <f>OBRA!BW625</f>
        <v>0</v>
      </c>
      <c r="AD623" s="352"/>
      <c r="AE623" s="352"/>
    </row>
    <row r="624" spans="1:31" ht="15" hidden="1" customHeight="1">
      <c r="A624" s="22" t="s">
        <v>2206</v>
      </c>
      <c r="B624" s="809" t="str">
        <f>GRAL!B628</f>
        <v>2021-2024</v>
      </c>
      <c r="C624" s="16">
        <f>OBRA!J626</f>
        <v>2022</v>
      </c>
      <c r="D624" s="1415"/>
      <c r="E624" s="17" t="str">
        <f>OBRA!M626</f>
        <v>CUENTA CORRIENTE</v>
      </c>
      <c r="F624" s="1170"/>
      <c r="G624" s="1108"/>
      <c r="H624" s="219"/>
      <c r="I624" s="1108"/>
      <c r="J624" s="54"/>
      <c r="K624" s="55"/>
      <c r="L624" s="19" t="str">
        <f>OBRA!N626</f>
        <v>C- OP 001/2022</v>
      </c>
      <c r="M624" s="2" t="str">
        <f>OBRA!O626</f>
        <v>ARRENDAMIENTO</v>
      </c>
      <c r="N624" s="3" t="str">
        <f>OBRA!P626</f>
        <v>RENTA DE CAMIÓN TIPO PIPA MARCA DODGE RAM 6500 MOD. 1996 PLACAS JM57075, CON CAPACIDAD DE 10,000 LITROS PARA ACARREOS DE AGUA, PARA SER UTILIZADA EN LAS OBRAS DEL PROGRAMA SADER 2021 EN LA LOCALIDAD DE LA LOMA, MUNICIPIO DE JOCOTEPEC, JALISCO.</v>
      </c>
      <c r="O624" s="541"/>
      <c r="P624" s="6">
        <f>OBRA!S626</f>
        <v>44655</v>
      </c>
      <c r="Q624" s="4">
        <f>OBRA!R626</f>
        <v>1739.9999999999998</v>
      </c>
      <c r="R624" s="5">
        <f>OBRA!T626</f>
        <v>44658</v>
      </c>
      <c r="S624" s="11">
        <f>OBRA!U626</f>
        <v>44662</v>
      </c>
      <c r="T624" s="692"/>
      <c r="U624" s="203"/>
      <c r="V624" s="508"/>
      <c r="W624" s="509"/>
      <c r="X624" s="534">
        <f>OBRA!AR626</f>
        <v>0</v>
      </c>
      <c r="Y624" s="309"/>
      <c r="Z624" s="309"/>
      <c r="AA624" s="5"/>
      <c r="AB624" s="313"/>
      <c r="AC624" s="317">
        <f>OBRA!BW626</f>
        <v>0</v>
      </c>
      <c r="AD624" s="352"/>
      <c r="AE624" s="352"/>
    </row>
    <row r="625" spans="1:31" ht="15" hidden="1" customHeight="1">
      <c r="A625" s="22" t="s">
        <v>2206</v>
      </c>
      <c r="B625" s="809" t="str">
        <f>GRAL!B629</f>
        <v>2021-2024</v>
      </c>
      <c r="C625" s="16">
        <f>OBRA!J627</f>
        <v>2022</v>
      </c>
      <c r="D625" s="1415"/>
      <c r="E625" s="17" t="str">
        <f>OBRA!M627</f>
        <v>CUENTA CORRIENTE</v>
      </c>
      <c r="F625" s="1170"/>
      <c r="G625" s="1108"/>
      <c r="H625" s="219"/>
      <c r="I625" s="1108"/>
      <c r="J625" s="54"/>
      <c r="K625" s="55"/>
      <c r="L625" s="19" t="str">
        <f>OBRA!N627</f>
        <v>C- OP 002/2022</v>
      </c>
      <c r="M625" s="2" t="str">
        <f>OBRA!O627</f>
        <v>ARRENDAMIENTO</v>
      </c>
      <c r="N625" s="3" t="str">
        <f>OBRA!P627</f>
        <v>RENTA DE RETROEXCAVADORA MARCA JCB MOD. 2000 SERIE 4214E PARA SER UTILIZADA EN LAS OBRAS DEL PROGRAMA: EMPEDRADOS PARA LA REACTIVACIÓN ECONÓMICA EN MUNICIPIOS SADER 2021 EN EL MUNICIPIO DE JOCOTEPEC, JALISCO.</v>
      </c>
      <c r="O625" s="541"/>
      <c r="P625" s="6">
        <f>OBRA!S627</f>
        <v>44594</v>
      </c>
      <c r="Q625" s="4">
        <f>OBRA!R627</f>
        <v>638</v>
      </c>
      <c r="R625" s="5" t="str">
        <f>OBRA!T627</f>
        <v>-</v>
      </c>
      <c r="S625" s="11" t="str">
        <f>OBRA!U627</f>
        <v>-</v>
      </c>
      <c r="T625" s="692"/>
      <c r="U625" s="203"/>
      <c r="V625" s="508"/>
      <c r="W625" s="509"/>
      <c r="X625" s="534">
        <f>OBRA!AR627</f>
        <v>0</v>
      </c>
      <c r="Y625" s="309"/>
      <c r="Z625" s="309"/>
      <c r="AA625" s="5"/>
      <c r="AB625" s="313"/>
      <c r="AC625" s="317">
        <f>OBRA!BW627</f>
        <v>0</v>
      </c>
      <c r="AD625" s="352"/>
      <c r="AE625" s="352"/>
    </row>
    <row r="626" spans="1:31" ht="15" hidden="1" customHeight="1">
      <c r="A626" s="22" t="s">
        <v>2206</v>
      </c>
      <c r="B626" s="809" t="str">
        <f>GRAL!B630</f>
        <v>2021-2024</v>
      </c>
      <c r="C626" s="16">
        <f>OBRA!J628</f>
        <v>2022</v>
      </c>
      <c r="D626" s="1415"/>
      <c r="E626" s="17" t="str">
        <f>OBRA!M628</f>
        <v>CUENTA CORRIENTE</v>
      </c>
      <c r="F626" s="1170"/>
      <c r="G626" s="1108"/>
      <c r="H626" s="219"/>
      <c r="I626" s="1108"/>
      <c r="J626" s="54"/>
      <c r="K626" s="55"/>
      <c r="L626" s="19" t="str">
        <f>OBRA!N628</f>
        <v>C- OP 003/2022</v>
      </c>
      <c r="M626" s="2" t="str">
        <f>OBRA!O628</f>
        <v>ARRENDAMIENTO</v>
      </c>
      <c r="N626" s="3" t="str">
        <f>OBRA!P628</f>
        <v>RENTA DE CAMIÓN TIPO PIPA MARCA DODGE RAM 6500 MOD. 1996 PLACAS JM57075, CON CAPACIDAD DE 10,000 LITROS PARA ACARREOS DE AGUA, PARA SER UTILIZADA EN LAS OBRAS DEL PROGRAMA SADER 2021 EN LA LOCALIDAD DE LA LOMA, MUNICIPIO DE JOCOTEPEC, JALISCO.</v>
      </c>
      <c r="O626" s="541"/>
      <c r="P626" s="6">
        <f>OBRA!S628</f>
        <v>44673</v>
      </c>
      <c r="Q626" s="4">
        <f>OBRA!R628</f>
        <v>1739.9999999999998</v>
      </c>
      <c r="R626" s="5">
        <f>OBRA!T628</f>
        <v>44677</v>
      </c>
      <c r="S626" s="11">
        <f>OBRA!U628</f>
        <v>44707</v>
      </c>
      <c r="T626" s="692"/>
      <c r="U626" s="203"/>
      <c r="V626" s="508"/>
      <c r="W626" s="509"/>
      <c r="X626" s="534">
        <f>OBRA!AR628</f>
        <v>0</v>
      </c>
      <c r="Y626" s="309"/>
      <c r="Z626" s="309"/>
      <c r="AA626" s="5"/>
      <c r="AB626" s="313"/>
      <c r="AC626" s="317">
        <f>OBRA!BW628</f>
        <v>0</v>
      </c>
      <c r="AD626" s="352"/>
      <c r="AE626" s="352"/>
    </row>
    <row r="627" spans="1:31" ht="15" hidden="1" customHeight="1">
      <c r="A627" s="22" t="s">
        <v>2206</v>
      </c>
      <c r="B627" s="809" t="str">
        <f>GRAL!B631</f>
        <v>2021-2024</v>
      </c>
      <c r="C627" s="16">
        <f>OBRA!J629</f>
        <v>2022</v>
      </c>
      <c r="D627" s="1415"/>
      <c r="E627" s="17" t="str">
        <f>OBRA!M629</f>
        <v>CUENTA CORRIENTE</v>
      </c>
      <c r="F627" s="1170"/>
      <c r="G627" s="1108"/>
      <c r="H627" s="219"/>
      <c r="I627" s="1108"/>
      <c r="J627" s="54"/>
      <c r="K627" s="55"/>
      <c r="L627" s="19" t="str">
        <f>OBRA!N629</f>
        <v>C- OP 004/2022</v>
      </c>
      <c r="M627" s="2" t="str">
        <f>OBRA!O629</f>
        <v>ARRENDAMIENTO</v>
      </c>
      <c r="N627" s="3" t="str">
        <f>OBRA!P629</f>
        <v>RENTA DE COMPACTADOR MCA CARTEPILLAR MOD CS-563 E, PARA SER UTILIZADA EN LAS OBRAS: REHABILITACIÓN DE LÍNEAS HIDROSANITARIAS EN CALLE 5 DE FEBRERO Y CALLE 1RO DE MAYO EN LA AGENCIA DE LA LOMA, DEL MUNICIPIO DE JOCOTEPEC, JALISCO.</v>
      </c>
      <c r="O627" s="541"/>
      <c r="P627" s="6">
        <f>OBRA!S629</f>
        <v>44594</v>
      </c>
      <c r="Q627" s="4">
        <f>OBRA!R629</f>
        <v>1144.8851999999999</v>
      </c>
      <c r="R627" s="5" t="str">
        <f>OBRA!T629</f>
        <v>-</v>
      </c>
      <c r="S627" s="11" t="str">
        <f>OBRA!U629</f>
        <v>-</v>
      </c>
      <c r="T627" s="692"/>
      <c r="U627" s="203"/>
      <c r="V627" s="508"/>
      <c r="W627" s="509"/>
      <c r="X627" s="534">
        <f>OBRA!AR629</f>
        <v>0</v>
      </c>
      <c r="Y627" s="309"/>
      <c r="Z627" s="309"/>
      <c r="AA627" s="5"/>
      <c r="AB627" s="313"/>
      <c r="AC627" s="317">
        <f>OBRA!BW629</f>
        <v>0</v>
      </c>
      <c r="AD627" s="352"/>
      <c r="AE627" s="352"/>
    </row>
    <row r="628" spans="1:31" ht="15" hidden="1" customHeight="1">
      <c r="A628" s="22" t="s">
        <v>2206</v>
      </c>
      <c r="B628" s="809" t="str">
        <f>GRAL!B632</f>
        <v>2021-2024</v>
      </c>
      <c r="C628" s="16">
        <f>OBRA!J630</f>
        <v>2022</v>
      </c>
      <c r="D628" s="1415"/>
      <c r="E628" s="17" t="str">
        <f>OBRA!M630</f>
        <v>CUENTA CORRIENTE</v>
      </c>
      <c r="F628" s="1170"/>
      <c r="G628" s="1108"/>
      <c r="H628" s="219"/>
      <c r="I628" s="1108"/>
      <c r="J628" s="54"/>
      <c r="K628" s="55"/>
      <c r="L628" s="19" t="str">
        <f>OBRA!N630</f>
        <v>C- OP 005/2022</v>
      </c>
      <c r="M628" s="2" t="str">
        <f>OBRA!O630</f>
        <v>ARRENDAMIENTO</v>
      </c>
      <c r="N628" s="3" t="str">
        <f>OBRA!P630</f>
        <v>RENTA DE MOTONIVELADORA CARTEPILLAR 160 H, PARA SER UTILIZADA EN LAS OBRAS; REHABILITACIÓN DE LÍNEAS HIDROSANITARIAS EN CALLE 5 DE FEBRERO, CALLE 1RO DE MAYO Y CALLE CHAPULTEPEC, EN LA AGENCIA DE LA LOMA, DEL MUNICIPIO DE JOCOTEPEC, JALISCO.</v>
      </c>
      <c r="O628" s="541"/>
      <c r="P628" s="6">
        <f>OBRA!S630</f>
        <v>44641</v>
      </c>
      <c r="Q628" s="4">
        <f>OBRA!R630</f>
        <v>1850.8843999999997</v>
      </c>
      <c r="R628" s="5" t="str">
        <f>OBRA!T630</f>
        <v>-</v>
      </c>
      <c r="S628" s="11" t="str">
        <f>OBRA!U630</f>
        <v>-</v>
      </c>
      <c r="T628" s="692"/>
      <c r="U628" s="203"/>
      <c r="V628" s="508"/>
      <c r="W628" s="509"/>
      <c r="X628" s="534">
        <f>OBRA!AR630</f>
        <v>0</v>
      </c>
      <c r="Y628" s="309"/>
      <c r="Z628" s="309"/>
      <c r="AA628" s="5"/>
      <c r="AB628" s="313"/>
      <c r="AC628" s="317">
        <f>OBRA!BW630</f>
        <v>0</v>
      </c>
      <c r="AD628" s="352"/>
      <c r="AE628" s="352"/>
    </row>
    <row r="629" spans="1:31" ht="15" hidden="1" customHeight="1">
      <c r="A629" s="22" t="s">
        <v>2206</v>
      </c>
      <c r="B629" s="809" t="str">
        <f>GRAL!B633</f>
        <v>2021-2024</v>
      </c>
      <c r="C629" s="16">
        <f>OBRA!J631</f>
        <v>2022</v>
      </c>
      <c r="D629" s="1415"/>
      <c r="E629" s="17" t="str">
        <f>OBRA!M631</f>
        <v>CUENTA CORRIENTE</v>
      </c>
      <c r="F629" s="1170"/>
      <c r="G629" s="1108"/>
      <c r="H629" s="219"/>
      <c r="I629" s="1108"/>
      <c r="J629" s="54"/>
      <c r="K629" s="55"/>
      <c r="L629" s="19" t="str">
        <f>OBRA!N631</f>
        <v>C- OP 006/2022</v>
      </c>
      <c r="M629" s="2" t="str">
        <f>OBRA!O631</f>
        <v>ARRENDAMIENTO</v>
      </c>
      <c r="N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1"/>
      <c r="P629" s="6">
        <f>OBRA!S631</f>
        <v>44642</v>
      </c>
      <c r="Q629" s="4">
        <f>OBRA!R631</f>
        <v>854.74599999999998</v>
      </c>
      <c r="R629" s="5">
        <f>OBRA!T631</f>
        <v>44642</v>
      </c>
      <c r="S629" s="11">
        <f>OBRA!U631</f>
        <v>44926</v>
      </c>
      <c r="T629" s="692"/>
      <c r="U629" s="203"/>
      <c r="V629" s="508"/>
      <c r="W629" s="509"/>
      <c r="X629" s="534">
        <f>OBRA!AR631</f>
        <v>0</v>
      </c>
      <c r="Y629" s="309"/>
      <c r="Z629" s="309"/>
      <c r="AA629" s="5"/>
      <c r="AB629" s="313"/>
      <c r="AC629" s="317">
        <f>OBRA!BW631</f>
        <v>0</v>
      </c>
      <c r="AD629" s="352"/>
      <c r="AE629" s="352"/>
    </row>
    <row r="630" spans="1:31" ht="15" hidden="1" customHeight="1">
      <c r="A630" s="22" t="s">
        <v>2206</v>
      </c>
      <c r="B630" s="809" t="str">
        <f>GRAL!B634</f>
        <v>2021-2024</v>
      </c>
      <c r="C630" s="16">
        <f>OBRA!J632</f>
        <v>2022</v>
      </c>
      <c r="D630" s="1415"/>
      <c r="E630" s="17" t="str">
        <f>OBRA!M632</f>
        <v>CUENTA CORRIENTE</v>
      </c>
      <c r="F630" s="1170"/>
      <c r="G630" s="1108"/>
      <c r="H630" s="219"/>
      <c r="I630" s="1108"/>
      <c r="J630" s="54"/>
      <c r="K630" s="55"/>
      <c r="L630" s="19" t="str">
        <f>OBRA!N632</f>
        <v>C- OP 007/2022</v>
      </c>
      <c r="M630" s="2" t="str">
        <f>OBRA!O632</f>
        <v>ARRENDAMIENTO</v>
      </c>
      <c r="N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O630" s="541"/>
      <c r="P630" s="6">
        <f>OBRA!S632</f>
        <v>44648</v>
      </c>
      <c r="Q630" s="4">
        <f>OBRA!R632</f>
        <v>818.2639999999999</v>
      </c>
      <c r="R630" s="5">
        <f>OBRA!T632</f>
        <v>44648</v>
      </c>
      <c r="S630" s="11">
        <f>OBRA!U632</f>
        <v>44926</v>
      </c>
      <c r="T630" s="692"/>
      <c r="U630" s="203"/>
      <c r="V630" s="508"/>
      <c r="W630" s="509"/>
      <c r="X630" s="534">
        <f>OBRA!AR632</f>
        <v>0</v>
      </c>
      <c r="Y630" s="309"/>
      <c r="Z630" s="309"/>
      <c r="AA630" s="5"/>
      <c r="AB630" s="313"/>
      <c r="AC630" s="317">
        <f>OBRA!BW632</f>
        <v>0</v>
      </c>
      <c r="AD630" s="352"/>
      <c r="AE630" s="352"/>
    </row>
    <row r="631" spans="1:31" ht="15" hidden="1" customHeight="1">
      <c r="A631" s="22" t="s">
        <v>2206</v>
      </c>
      <c r="B631" s="809" t="str">
        <f>GRAL!B635</f>
        <v>2021-2024</v>
      </c>
      <c r="C631" s="16">
        <f>OBRA!J633</f>
        <v>2022</v>
      </c>
      <c r="D631" s="1415"/>
      <c r="E631" s="17" t="str">
        <f>OBRA!M633</f>
        <v>CUENTA CORRIENTE</v>
      </c>
      <c r="F631" s="1170"/>
      <c r="G631" s="1108"/>
      <c r="H631" s="219"/>
      <c r="I631" s="1108"/>
      <c r="J631" s="54"/>
      <c r="K631" s="55"/>
      <c r="L631" s="19" t="str">
        <f>OBRA!N633</f>
        <v>C- OP 008/2022</v>
      </c>
      <c r="M631" s="2" t="str">
        <f>OBRA!O633</f>
        <v>ARRENDAMIENTO</v>
      </c>
      <c r="N631" s="3" t="str">
        <f>OBRA!P633</f>
        <v>RENTA DE UN CAMIÓN PIPA DE 9 M3, PARA SER UTILIZADA EN LAS OBRAS; REHABILITACIÓN DE LÍNEAS HIDROSANITARIAS EN CALLE 5 DE FEBRERO Y CALLE 1RO DE MAYO EN LA AGENCIA DE LA LOMA, Y CALLE RIBERA DEL LAGO EN NEXTIPAC, DEL MUNICIPIO DE JOCOTEPEC, JALISCO</v>
      </c>
      <c r="O631" s="541"/>
      <c r="P631" s="6">
        <f>OBRA!S633</f>
        <v>44642</v>
      </c>
      <c r="Q631" s="4">
        <f>OBRA!R633</f>
        <v>376.51279999999997</v>
      </c>
      <c r="R631" s="5">
        <f>OBRA!T633</f>
        <v>44642</v>
      </c>
      <c r="S631" s="11">
        <f>OBRA!U633</f>
        <v>44926</v>
      </c>
      <c r="T631" s="692"/>
      <c r="U631" s="203"/>
      <c r="V631" s="508"/>
      <c r="W631" s="509"/>
      <c r="X631" s="534">
        <f>OBRA!AR633</f>
        <v>0</v>
      </c>
      <c r="Y631" s="309"/>
      <c r="Z631" s="309"/>
      <c r="AA631" s="5"/>
      <c r="AB631" s="313"/>
      <c r="AC631" s="317">
        <f>OBRA!BW633</f>
        <v>0</v>
      </c>
      <c r="AD631" s="352"/>
      <c r="AE631" s="352"/>
    </row>
    <row r="632" spans="1:31" ht="15" hidden="1" customHeight="1">
      <c r="A632" s="22" t="s">
        <v>2206</v>
      </c>
      <c r="B632" s="809" t="str">
        <f>GRAL!B636</f>
        <v>2021-2024</v>
      </c>
      <c r="C632" s="16">
        <f>OBRA!J634</f>
        <v>2022</v>
      </c>
      <c r="D632" s="1415"/>
      <c r="E632" s="17">
        <f>OBRA!M634</f>
        <v>0</v>
      </c>
      <c r="F632" s="1170"/>
      <c r="G632" s="1108"/>
      <c r="H632" s="219"/>
      <c r="I632" s="1108"/>
      <c r="J632" s="54"/>
      <c r="K632" s="55"/>
      <c r="L632" s="19" t="str">
        <f>OBRA!N634</f>
        <v>C- OP 009/2022</v>
      </c>
      <c r="M632" s="2" t="str">
        <f>OBRA!O634</f>
        <v>CANCELADA</v>
      </c>
      <c r="N632" s="3" t="str">
        <f>OBRA!P634</f>
        <v>-</v>
      </c>
      <c r="O632" s="541"/>
      <c r="P632" s="6">
        <f>OBRA!S634</f>
        <v>0</v>
      </c>
      <c r="Q632" s="4">
        <f>OBRA!R634</f>
        <v>0</v>
      </c>
      <c r="R632" s="5">
        <f>OBRA!T634</f>
        <v>0</v>
      </c>
      <c r="S632" s="11">
        <f>OBRA!U634</f>
        <v>0</v>
      </c>
      <c r="T632" s="692"/>
      <c r="U632" s="203"/>
      <c r="V632" s="508"/>
      <c r="W632" s="509"/>
      <c r="X632" s="534">
        <f>OBRA!AR634</f>
        <v>0</v>
      </c>
      <c r="Y632" s="309"/>
      <c r="Z632" s="309"/>
      <c r="AA632" s="5"/>
      <c r="AB632" s="313"/>
      <c r="AC632" s="317">
        <f>OBRA!BW634</f>
        <v>0</v>
      </c>
      <c r="AD632" s="352"/>
      <c r="AE632" s="352"/>
    </row>
    <row r="633" spans="1:31" ht="15" hidden="1" customHeight="1">
      <c r="A633" s="22" t="s">
        <v>2206</v>
      </c>
      <c r="B633" s="809" t="str">
        <f>GRAL!B637</f>
        <v>2021-2024</v>
      </c>
      <c r="C633" s="16">
        <f>OBRA!J635</f>
        <v>2022</v>
      </c>
      <c r="D633" s="1415"/>
      <c r="E633" s="17">
        <f>OBRA!M635</f>
        <v>0</v>
      </c>
      <c r="F633" s="1170"/>
      <c r="G633" s="1108"/>
      <c r="H633" s="219"/>
      <c r="I633" s="1108"/>
      <c r="J633" s="54"/>
      <c r="K633" s="55"/>
      <c r="L633" s="19" t="str">
        <f>OBRA!N635</f>
        <v>C- OP 010/2022</v>
      </c>
      <c r="M633" s="2" t="str">
        <f>OBRA!O635</f>
        <v>CANCELADA</v>
      </c>
      <c r="N633" s="3" t="str">
        <f>OBRA!P635</f>
        <v>-</v>
      </c>
      <c r="O633" s="541"/>
      <c r="P633" s="6">
        <f>OBRA!S635</f>
        <v>0</v>
      </c>
      <c r="Q633" s="4">
        <f>OBRA!R635</f>
        <v>0</v>
      </c>
      <c r="R633" s="5">
        <f>OBRA!T635</f>
        <v>0</v>
      </c>
      <c r="S633" s="11">
        <f>OBRA!U635</f>
        <v>0</v>
      </c>
      <c r="T633" s="692"/>
      <c r="U633" s="203"/>
      <c r="V633" s="508"/>
      <c r="W633" s="509"/>
      <c r="X633" s="534">
        <f>OBRA!AR635</f>
        <v>0</v>
      </c>
      <c r="Y633" s="309"/>
      <c r="Z633" s="309"/>
      <c r="AA633" s="5"/>
      <c r="AB633" s="313"/>
      <c r="AC633" s="317">
        <f>OBRA!BW635</f>
        <v>0</v>
      </c>
      <c r="AD633" s="352"/>
      <c r="AE633" s="352"/>
    </row>
    <row r="634" spans="1:31" ht="98.25" customHeight="1">
      <c r="A634" s="22" t="s">
        <v>2206</v>
      </c>
      <c r="B634" s="809" t="str">
        <f>GRAL!B638</f>
        <v>2021-2024</v>
      </c>
      <c r="C634" s="16">
        <f>OBRA!J636</f>
        <v>2022</v>
      </c>
      <c r="D634" s="1415"/>
      <c r="E634" s="17" t="str">
        <f>OBRA!M636</f>
        <v>RAMO 33</v>
      </c>
      <c r="F634" s="478" t="s">
        <v>1428</v>
      </c>
      <c r="G634" s="496" t="s">
        <v>4560</v>
      </c>
      <c r="H634" s="495" t="s">
        <v>4560</v>
      </c>
      <c r="I634" s="496" t="s">
        <v>4560</v>
      </c>
      <c r="J634" s="33" t="str">
        <f>OBRA!W636</f>
        <v xml:space="preserve">SERVICIOS Y CONSTRUCCIONES NATENIO, S.A. DE C.V. </v>
      </c>
      <c r="K634" s="156" t="str">
        <f>OBRA!X636</f>
        <v>C. DANIEL RODRIGUEZ VALENZUELA</v>
      </c>
      <c r="L634" s="33" t="str">
        <f>OBRA!N636</f>
        <v>GMJ 001 C-OP/2022</v>
      </c>
      <c r="M634" s="2" t="str">
        <f>OBRA!O636</f>
        <v>ADJUDICACIÓN DIRECTA</v>
      </c>
      <c r="N634" s="3" t="str">
        <f>OBRA!P636</f>
        <v>"REHABILITACIÓN DE RED DE AGUA POTABLE EN CALLE PRIVADA FRANCISCO VILLA ENTRE CALLE PRIMERO DE MAYO A CERRADA", EN LA LOCALIDAD DE LA LOMA, DEL MUNICIPIO DE JOCOTEPEC, JALISCO.</v>
      </c>
      <c r="O634" s="504" t="s">
        <v>4473</v>
      </c>
      <c r="P634" s="67">
        <f>OBRA!S636</f>
        <v>44628</v>
      </c>
      <c r="Q634" s="79">
        <f>OBRA!R636</f>
        <v>98067.87</v>
      </c>
      <c r="R634" s="5">
        <f>OBRA!T636</f>
        <v>44634</v>
      </c>
      <c r="S634" s="11">
        <f>OBRA!U636</f>
        <v>44639</v>
      </c>
      <c r="T634" s="207" t="s">
        <v>4445</v>
      </c>
      <c r="U634" s="660" t="s">
        <v>4560</v>
      </c>
      <c r="V634" s="499" t="s">
        <v>4560</v>
      </c>
      <c r="W634" s="597" t="s">
        <v>4560</v>
      </c>
      <c r="X634" s="986">
        <f>OBRA!AR636</f>
        <v>19613.560000000001</v>
      </c>
      <c r="Y634" s="309"/>
      <c r="Z634" s="309"/>
      <c r="AA634" s="79"/>
      <c r="AB634" s="1913"/>
      <c r="AC634" s="317">
        <f>OBRA!BW636</f>
        <v>0</v>
      </c>
      <c r="AD634" s="1"/>
      <c r="AE634" s="352" t="s">
        <v>551</v>
      </c>
    </row>
    <row r="635" spans="1:31" ht="96.75" customHeight="1">
      <c r="A635" s="22" t="s">
        <v>2206</v>
      </c>
      <c r="B635" s="809" t="str">
        <f>GRAL!B639</f>
        <v>2021-2024</v>
      </c>
      <c r="C635" s="16">
        <f>OBRA!J637</f>
        <v>2022</v>
      </c>
      <c r="D635" s="1415"/>
      <c r="E635" s="17" t="str">
        <f>OBRA!M637</f>
        <v>RAMO 33</v>
      </c>
      <c r="F635" s="478" t="s">
        <v>1428</v>
      </c>
      <c r="G635" s="496" t="s">
        <v>4561</v>
      </c>
      <c r="H635" s="495" t="s">
        <v>4561</v>
      </c>
      <c r="I635" s="704" t="s">
        <v>4561</v>
      </c>
      <c r="J635" s="54" t="str">
        <f>OBRA!W637</f>
        <v xml:space="preserve">DORIA &amp; SAMPIER CONSTRUCTORA, S.A. DE C.V. </v>
      </c>
      <c r="K635" s="156" t="str">
        <f>OBRA!X637</f>
        <v>C. DANIEL RODRIGUEZ VALENZUELA</v>
      </c>
      <c r="L635" s="33" t="str">
        <f>OBRA!N637</f>
        <v>GMJ 002 C-OP/2022</v>
      </c>
      <c r="M635" s="2" t="str">
        <f>OBRA!O637</f>
        <v>ADJUDICACIÓN DIRECTA</v>
      </c>
      <c r="N635" s="3" t="str">
        <f>OBRA!P637</f>
        <v>"REHABILITACIÓN DE LÍNEA DE DRENAJE, EN CALLE 1RO DE MAYO ENTRE CALLE CHAPULTEPEC Y CALLE 05 DE FEBRERO", EN LA AGENCIA DE LA LOMA, MUNICIPIO DE JOCOTEPEC, JALISCO.</v>
      </c>
      <c r="O635" s="504" t="s">
        <v>4473</v>
      </c>
      <c r="P635" s="67">
        <f>OBRA!S637</f>
        <v>44628</v>
      </c>
      <c r="Q635" s="79">
        <f>OBRA!R637</f>
        <v>160513.82999999999</v>
      </c>
      <c r="R635" s="5">
        <f>OBRA!T637</f>
        <v>44634</v>
      </c>
      <c r="S635" s="11">
        <f>OBRA!U637</f>
        <v>44653</v>
      </c>
      <c r="T635" s="207" t="s">
        <v>4445</v>
      </c>
      <c r="U635" s="660" t="s">
        <v>4561</v>
      </c>
      <c r="V635" s="499" t="s">
        <v>4561</v>
      </c>
      <c r="W635" s="597" t="s">
        <v>4561</v>
      </c>
      <c r="X635" s="986">
        <f>OBRA!AR637</f>
        <v>32102.76</v>
      </c>
      <c r="Y635" s="309"/>
      <c r="Z635" s="309"/>
      <c r="AA635" s="79"/>
      <c r="AB635" s="1913"/>
      <c r="AC635" s="317">
        <f>OBRA!BW637</f>
        <v>0</v>
      </c>
      <c r="AD635" s="1"/>
      <c r="AE635" s="352" t="s">
        <v>551</v>
      </c>
    </row>
    <row r="636" spans="1:31" ht="97.5" customHeight="1">
      <c r="A636" s="22" t="s">
        <v>2206</v>
      </c>
      <c r="B636" s="809" t="str">
        <f>GRAL!B640</f>
        <v>2021-2024</v>
      </c>
      <c r="C636" s="16">
        <f>OBRA!J638</f>
        <v>2022</v>
      </c>
      <c r="D636" s="1415"/>
      <c r="E636" s="17" t="str">
        <f>OBRA!M638</f>
        <v>RAMO 33</v>
      </c>
      <c r="F636" s="478" t="s">
        <v>1428</v>
      </c>
      <c r="G636" s="496" t="s">
        <v>4562</v>
      </c>
      <c r="H636" s="495" t="s">
        <v>4562</v>
      </c>
      <c r="I636" s="704" t="s">
        <v>4562</v>
      </c>
      <c r="J636" s="33" t="str">
        <f>OBRA!W638</f>
        <v xml:space="preserve">DORIA &amp; SAMPIER CONSTRUCTORA, S.A. DE C.V. </v>
      </c>
      <c r="K636" s="156" t="str">
        <f>OBRA!X638</f>
        <v>C. DANIEL RODRIGUEZ VALENZUELA</v>
      </c>
      <c r="L636" s="33" t="str">
        <f>OBRA!N638</f>
        <v>GMJ 003 C-OP/2022</v>
      </c>
      <c r="M636" s="2" t="str">
        <f>OBRA!O638</f>
        <v>ADJUDICACIÓN DIRECTA</v>
      </c>
      <c r="N636" s="3" t="str">
        <f>OBRA!P638</f>
        <v>"REHABILITACIÓN DE DRENAJE SANITARIO DE 10" EN CALLE 14 DE FEBRERO Y/O CALLE 5 DE FEBRERO ENTRE CALLE 1RO DE MAYO Y CALLE 5 DE MAYO", EN LA AGENCIA DE LA LOMA, MUNICIPIO DE JOCOTEPEC, JALISCO.</v>
      </c>
      <c r="O636" s="504" t="s">
        <v>4473</v>
      </c>
      <c r="P636" s="67">
        <f>OBRA!S638</f>
        <v>44628</v>
      </c>
      <c r="Q636" s="79">
        <f>OBRA!R638</f>
        <v>236056.39</v>
      </c>
      <c r="R636" s="5">
        <f>OBRA!T638</f>
        <v>44634</v>
      </c>
      <c r="S636" s="11">
        <f>OBRA!U638</f>
        <v>44653</v>
      </c>
      <c r="T636" s="207" t="s">
        <v>4445</v>
      </c>
      <c r="U636" s="660" t="s">
        <v>4562</v>
      </c>
      <c r="V636" s="499" t="s">
        <v>4562</v>
      </c>
      <c r="W636" s="597"/>
      <c r="X636" s="988">
        <f>OBRA!AR638</f>
        <v>23605.64</v>
      </c>
      <c r="Y636" s="499" t="s">
        <v>4562</v>
      </c>
      <c r="Z636" s="309">
        <v>44650</v>
      </c>
      <c r="AA636" s="79">
        <v>59014.07</v>
      </c>
      <c r="AB636" s="1913"/>
      <c r="AC636" s="317">
        <f>OBRA!BW638</f>
        <v>0</v>
      </c>
      <c r="AD636" s="2" t="s">
        <v>5018</v>
      </c>
      <c r="AE636" s="352" t="s">
        <v>5016</v>
      </c>
    </row>
    <row r="637" spans="1:31" ht="199.5" customHeight="1">
      <c r="A637" s="22" t="s">
        <v>2206</v>
      </c>
      <c r="B637" s="809" t="str">
        <f>GRAL!B641</f>
        <v>2021-2024</v>
      </c>
      <c r="C637" s="16">
        <f>OBRA!J639</f>
        <v>2022</v>
      </c>
      <c r="D637" s="1415"/>
      <c r="E637" s="17" t="str">
        <f>OBRA!M639</f>
        <v>RAMO 33</v>
      </c>
      <c r="F637" s="478" t="s">
        <v>1428</v>
      </c>
      <c r="G637" s="496" t="s">
        <v>4602</v>
      </c>
      <c r="H637" s="495" t="s">
        <v>4602</v>
      </c>
      <c r="I637" s="704" t="s">
        <v>4602</v>
      </c>
      <c r="J637" s="54" t="str">
        <f>OBRA!W639</f>
        <v>EDUARDO VENTURA PADILLA</v>
      </c>
      <c r="K637" s="156" t="str">
        <f>OBRA!X639</f>
        <v>ING. J. GUADALUPE IBARRA RAMIREZ</v>
      </c>
      <c r="L637" s="33" t="str">
        <f>OBRA!N639</f>
        <v>GMJ 004 C-OP/2022</v>
      </c>
      <c r="M637" s="2" t="str">
        <f>OBRA!O639</f>
        <v>ADJUDICACIÓN DIRECTA</v>
      </c>
      <c r="N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4" t="s">
        <v>4473</v>
      </c>
      <c r="P637" s="67">
        <f>OBRA!S639</f>
        <v>44690</v>
      </c>
      <c r="Q637" s="79">
        <f>OBRA!R639</f>
        <v>2031883.8</v>
      </c>
      <c r="R637" s="5">
        <f>OBRA!T639</f>
        <v>44692</v>
      </c>
      <c r="S637" s="11">
        <f>OBRA!U639</f>
        <v>44765</v>
      </c>
      <c r="T637" s="207" t="s">
        <v>4445</v>
      </c>
      <c r="U637" s="660" t="s">
        <v>4602</v>
      </c>
      <c r="V637" s="499" t="s">
        <v>5019</v>
      </c>
      <c r="W637" s="597" t="s">
        <v>4602</v>
      </c>
      <c r="X637" s="986">
        <f>OBRA!AR639</f>
        <v>914347.71000000008</v>
      </c>
      <c r="Y637" s="309"/>
      <c r="Z637" s="309"/>
      <c r="AA637" s="79"/>
      <c r="AB637" s="1913"/>
      <c r="AC637" s="317">
        <f>OBRA!BW639</f>
        <v>0</v>
      </c>
      <c r="AD637" s="1"/>
      <c r="AE637" s="352" t="s">
        <v>551</v>
      </c>
    </row>
    <row r="638" spans="1:31" ht="81.75" customHeight="1">
      <c r="A638" s="22" t="s">
        <v>2206</v>
      </c>
      <c r="B638" s="809" t="str">
        <f>GRAL!B642</f>
        <v>2021-2024</v>
      </c>
      <c r="C638" s="16">
        <f>OBRA!J640</f>
        <v>2022</v>
      </c>
      <c r="D638" s="1415"/>
      <c r="E638" s="17" t="str">
        <f>OBRA!M640</f>
        <v>CUENTA CORRIENTE</v>
      </c>
      <c r="F638" s="478" t="s">
        <v>1428</v>
      </c>
      <c r="G638" s="496" t="s">
        <v>4605</v>
      </c>
      <c r="H638" s="495" t="s">
        <v>4605</v>
      </c>
      <c r="I638" s="704" t="s">
        <v>4605</v>
      </c>
      <c r="J638" s="33" t="str">
        <f>OBRA!W640</f>
        <v>TERRACERÍAS Y PAVIMENTOS DE LA RIBERA, S.A. DE C.V.</v>
      </c>
      <c r="K638" s="156" t="str">
        <f>OBRA!X640</f>
        <v>C. DANIEL RODRIGUEZ VALENZUELA</v>
      </c>
      <c r="L638" s="33" t="str">
        <f>OBRA!N640</f>
        <v>GMJ 005 C-OP/2022</v>
      </c>
      <c r="M638" s="2" t="str">
        <f>OBRA!O640</f>
        <v>ADJUDICACIÓN DIRECTA</v>
      </c>
      <c r="N638" s="3" t="str">
        <f>OBRA!P640</f>
        <v>"REHABILITACIÓN DE RED DE DRENAJE EN LA CALLE MORELOS ENTRE RIVERA DEL LAGO Y MALECÓN", EN LA LOCALIDAD DE NEXTIPAC, DEL MUNICIPIO DE JOCOTEPEC, JALISCO.</v>
      </c>
      <c r="O638" s="504" t="s">
        <v>4473</v>
      </c>
      <c r="P638" s="67">
        <f>OBRA!S640</f>
        <v>44704</v>
      </c>
      <c r="Q638" s="79">
        <f>OBRA!R640</f>
        <v>793754.52</v>
      </c>
      <c r="R638" s="5">
        <f>OBRA!T640</f>
        <v>44705</v>
      </c>
      <c r="S638" s="11">
        <f>OBRA!U640</f>
        <v>44712</v>
      </c>
      <c r="T638" s="1352" t="s">
        <v>4445</v>
      </c>
      <c r="U638" s="206" t="s">
        <v>1428</v>
      </c>
      <c r="V638" s="499" t="s">
        <v>4605</v>
      </c>
      <c r="W638" s="597" t="s">
        <v>4605</v>
      </c>
      <c r="X638" s="986">
        <f>OBRA!AR640</f>
        <v>79375.45</v>
      </c>
      <c r="Y638" s="309"/>
      <c r="Z638" s="309"/>
      <c r="AA638" s="79"/>
      <c r="AB638" s="1913"/>
      <c r="AC638" s="317">
        <f>OBRA!BW640</f>
        <v>0</v>
      </c>
      <c r="AD638" s="1"/>
      <c r="AE638" s="352" t="s">
        <v>551</v>
      </c>
    </row>
    <row r="639" spans="1:31" ht="100.5" customHeight="1">
      <c r="A639" s="22" t="s">
        <v>2206</v>
      </c>
      <c r="B639" s="809" t="str">
        <f>GRAL!B643</f>
        <v>2021-2024</v>
      </c>
      <c r="C639" s="16">
        <f>OBRA!J641</f>
        <v>2022</v>
      </c>
      <c r="D639" s="1415"/>
      <c r="E639" s="17" t="str">
        <f>OBRA!M641</f>
        <v>RAMO 33</v>
      </c>
      <c r="F639" s="478" t="s">
        <v>1428</v>
      </c>
      <c r="G639" s="496" t="s">
        <v>4607</v>
      </c>
      <c r="H639" s="495" t="s">
        <v>4607</v>
      </c>
      <c r="I639" s="704" t="s">
        <v>4607</v>
      </c>
      <c r="J639" s="33" t="str">
        <f>OBRA!W641</f>
        <v>TERRACERÍAS Y PAVIMENTOS DE LA RIBERA, S.A. DE C.V.</v>
      </c>
      <c r="K639" s="156" t="str">
        <f>OBRA!X641</f>
        <v>C. DANIEL RODRIGUEZ VALENZUELA</v>
      </c>
      <c r="L639" s="33" t="str">
        <f>OBRA!N641</f>
        <v>GMJ 006 C-OP/2022</v>
      </c>
      <c r="M639" s="2" t="str">
        <f>OBRA!O641</f>
        <v>ADJUDICACIÓN DIRECTA</v>
      </c>
      <c r="N639" s="3" t="str">
        <f>OBRA!P641</f>
        <v>"REHABILITACIÓN DE ANDADOR, MURO DE CONTECIÓN Y ALUMBRADO PÚBLICO EN ANDADOR MORELOS ENTRE C. RIVERA DEL LAGO Y MALECÓN", EN LA LOCALIDAD DE NEXTIPAC, DEL MUNICIPIO DE JOCTEPEC, JALISCO.</v>
      </c>
      <c r="O639" s="504" t="s">
        <v>4473</v>
      </c>
      <c r="P639" s="67">
        <f>OBRA!S641</f>
        <v>44704</v>
      </c>
      <c r="Q639" s="79">
        <f>OBRA!R641</f>
        <v>579637.71</v>
      </c>
      <c r="R639" s="5">
        <f>OBRA!T641</f>
        <v>44712</v>
      </c>
      <c r="S639" s="11">
        <f>OBRA!U641</f>
        <v>44722</v>
      </c>
      <c r="T639" s="207" t="s">
        <v>4445</v>
      </c>
      <c r="U639" s="660" t="s">
        <v>4607</v>
      </c>
      <c r="V639" s="499" t="s">
        <v>4607</v>
      </c>
      <c r="W639" s="597" t="s">
        <v>4607</v>
      </c>
      <c r="X639" s="986">
        <f>OBRA!AR641</f>
        <v>57963.77</v>
      </c>
      <c r="Y639" s="309"/>
      <c r="Z639" s="309"/>
      <c r="AA639" s="79"/>
      <c r="AB639" s="1913"/>
      <c r="AC639" s="317">
        <f>OBRA!BW641</f>
        <v>0</v>
      </c>
      <c r="AD639" s="1"/>
      <c r="AE639" s="352" t="s">
        <v>551</v>
      </c>
    </row>
    <row r="640" spans="1:31" ht="96.75" customHeight="1">
      <c r="A640" s="22" t="s">
        <v>2206</v>
      </c>
      <c r="B640" s="809" t="str">
        <f>GRAL!B644</f>
        <v>2021-2024</v>
      </c>
      <c r="C640" s="16">
        <f>OBRA!J642</f>
        <v>2022</v>
      </c>
      <c r="D640" s="1415"/>
      <c r="E640" s="17" t="str">
        <f>OBRA!M642</f>
        <v>RAMO 33</v>
      </c>
      <c r="F640" s="478" t="s">
        <v>1428</v>
      </c>
      <c r="G640" s="496" t="s">
        <v>4564</v>
      </c>
      <c r="H640" s="495" t="s">
        <v>4564</v>
      </c>
      <c r="I640" s="704" t="s">
        <v>4564</v>
      </c>
      <c r="J640" s="54" t="str">
        <f>OBRA!W642</f>
        <v>ESTRUCTURAS PLANEADAS DE OCCIDENTE, S.A. DE C.V.</v>
      </c>
      <c r="K640" s="156" t="str">
        <f>OBRA!X642</f>
        <v>C. DANIEL RODRIGUEZ VALENZUELA</v>
      </c>
      <c r="L640" s="33" t="str">
        <f>OBRA!N642</f>
        <v>GMJ 007 C-OP/2022</v>
      </c>
      <c r="M640" s="2" t="str">
        <f>OBRA!O642</f>
        <v>ADJUDICACIÓN DIRECTA</v>
      </c>
      <c r="N640" s="3" t="str">
        <f>OBRA!P642</f>
        <v>“CONSTRUCCIÓN DE DRENAJE SANITARIO, AGUA POTABLE Y SUPERFICIE DE RODAMIENTO EN PRIVADA GALEANA”, EN LA LOCALIDAD DE SAN JUAN COSALÁ, DEL MUNICIPIO DE JOCOTEPEC,JALISCO.</v>
      </c>
      <c r="O640" s="504" t="s">
        <v>4473</v>
      </c>
      <c r="P640" s="67">
        <f>OBRA!S642</f>
        <v>44704</v>
      </c>
      <c r="Q640" s="79">
        <f>OBRA!R642</f>
        <v>627108.43000000005</v>
      </c>
      <c r="R640" s="5">
        <f>OBRA!T642</f>
        <v>44705</v>
      </c>
      <c r="S640" s="11">
        <f>OBRA!U642</f>
        <v>44742</v>
      </c>
      <c r="T640" s="207" t="s">
        <v>4445</v>
      </c>
      <c r="U640" s="206"/>
      <c r="V640" s="499" t="s">
        <v>4564</v>
      </c>
      <c r="W640" s="597" t="s">
        <v>4564</v>
      </c>
      <c r="X640" s="986">
        <f>OBRA!AR642</f>
        <v>125421.68</v>
      </c>
      <c r="Y640" s="309"/>
      <c r="Z640" s="309"/>
      <c r="AA640" s="79"/>
      <c r="AB640" s="1913"/>
      <c r="AC640" s="317">
        <f>OBRA!BW642</f>
        <v>0</v>
      </c>
      <c r="AD640" s="1"/>
      <c r="AE640" s="352" t="s">
        <v>5016</v>
      </c>
    </row>
    <row r="641" spans="1:31" ht="103.5" customHeight="1">
      <c r="A641" s="22" t="s">
        <v>2206</v>
      </c>
      <c r="B641" s="809" t="str">
        <f>GRAL!B645</f>
        <v>2021-2024</v>
      </c>
      <c r="C641" s="16">
        <f>OBRA!J643</f>
        <v>2022</v>
      </c>
      <c r="D641" s="1415"/>
      <c r="E641" s="17" t="str">
        <f>OBRA!M643</f>
        <v>RAMO 33</v>
      </c>
      <c r="F641" s="478" t="s">
        <v>1428</v>
      </c>
      <c r="G641" s="496" t="s">
        <v>4565</v>
      </c>
      <c r="H641" s="495" t="s">
        <v>4565</v>
      </c>
      <c r="I641" s="704" t="s">
        <v>4565</v>
      </c>
      <c r="J641" s="54" t="str">
        <f>OBRA!W643</f>
        <v xml:space="preserve">SERVICIOS Y CONSTRUCCIONES NATENIO, S.A. DE C.V. </v>
      </c>
      <c r="K641" s="156" t="str">
        <f>OBRA!X643</f>
        <v>C. DANIEL RODRIGUEZ VALENZUELA</v>
      </c>
      <c r="L641" s="33" t="str">
        <f>OBRA!N643</f>
        <v>GMJ 008 C-OP/2022</v>
      </c>
      <c r="M641" s="2" t="str">
        <f>OBRA!O643</f>
        <v>ADJUDICACIÓN DIRECTA</v>
      </c>
      <c r="N641" s="3" t="str">
        <f>OBRA!P643</f>
        <v>“REHABILITACIÓN DE LÍNEA DE DRENAJE SANITARIO  CON TUBERÍA DE 8” Y CONSTRUCCIÓN DE ANDADOR PEATONAL EN ARROYO CAMICHINES”, EN LA LOCALIDAD DE SAN JUAN COSALÁ, DEL MUNICIPIO DE JOCOTEPEC,JALISCO.</v>
      </c>
      <c r="O641" s="504" t="s">
        <v>4473</v>
      </c>
      <c r="P641" s="67">
        <f>OBRA!S643</f>
        <v>44707</v>
      </c>
      <c r="Q641" s="79">
        <f>OBRA!R643</f>
        <v>168470.35</v>
      </c>
      <c r="R641" s="5">
        <f>OBRA!T643</f>
        <v>44711</v>
      </c>
      <c r="S641" s="11">
        <f>OBRA!U643</f>
        <v>44722</v>
      </c>
      <c r="T641" s="207" t="s">
        <v>4445</v>
      </c>
      <c r="U641" s="206"/>
      <c r="V641" s="499" t="s">
        <v>4565</v>
      </c>
      <c r="W641" s="597" t="s">
        <v>4565</v>
      </c>
      <c r="X641" s="986">
        <f>OBRA!AR643</f>
        <v>33694.06</v>
      </c>
      <c r="Y641" s="309"/>
      <c r="Z641" s="309"/>
      <c r="AA641" s="79"/>
      <c r="AB641" s="1913"/>
      <c r="AC641" s="317">
        <f>OBRA!BW643</f>
        <v>0</v>
      </c>
      <c r="AD641" s="1"/>
      <c r="AE641" s="352" t="s">
        <v>5016</v>
      </c>
    </row>
    <row r="642" spans="1:31" ht="95.25" customHeight="1">
      <c r="A642" s="22" t="s">
        <v>2206</v>
      </c>
      <c r="B642" s="809" t="str">
        <f>GRAL!B646</f>
        <v>2021-2024</v>
      </c>
      <c r="C642" s="16">
        <f>OBRA!J644</f>
        <v>2022</v>
      </c>
      <c r="D642" s="1415"/>
      <c r="E642" s="17" t="str">
        <f>OBRA!M644</f>
        <v>RAMO 33</v>
      </c>
      <c r="F642" s="478" t="s">
        <v>1428</v>
      </c>
      <c r="G642" s="496" t="s">
        <v>4566</v>
      </c>
      <c r="H642" s="495" t="s">
        <v>4566</v>
      </c>
      <c r="I642" s="704" t="s">
        <v>4566</v>
      </c>
      <c r="J642" s="33" t="str">
        <f>OBRA!W644</f>
        <v>SOLEC ENERGY, S.A. DE C.V.</v>
      </c>
      <c r="K642" s="156" t="str">
        <f>OBRA!X644</f>
        <v>C. DANIEL RODRIGUEZ VALENZUELA</v>
      </c>
      <c r="L642" s="33" t="str">
        <f>OBRA!N644</f>
        <v>GMJ 009 C-OP/2022</v>
      </c>
      <c r="M642" s="2" t="str">
        <f>OBRA!O644</f>
        <v>ADJUDICACIÓN DIRECTA</v>
      </c>
      <c r="N642" s="3" t="str">
        <f>OBRA!P644</f>
        <v>“PROYECTO, SUMINISTRO E INSTALACIÓN DE ALUMBRADO PÚBLICO EN CALLE PROLONGACIÓN MORELOS”, EN LA LOCALIDAD DE CHANTEPEC, DEL MUNICIPIO DE JOCOTEPEC, JALISCO</v>
      </c>
      <c r="O642" s="504" t="s">
        <v>4473</v>
      </c>
      <c r="P642" s="67">
        <f>OBRA!S644</f>
        <v>44736</v>
      </c>
      <c r="Q642" s="79">
        <f>OBRA!R644</f>
        <v>809084.8</v>
      </c>
      <c r="R642" s="5">
        <f>OBRA!T644</f>
        <v>44760</v>
      </c>
      <c r="S642" s="11">
        <f>OBRA!U644</f>
        <v>44804</v>
      </c>
      <c r="T642" s="207" t="s">
        <v>4445</v>
      </c>
      <c r="U642" s="660" t="s">
        <v>4566</v>
      </c>
      <c r="V642" s="499"/>
      <c r="W642" s="597" t="s">
        <v>4566</v>
      </c>
      <c r="X642" s="986">
        <f>OBRA!AR644</f>
        <v>80908.479999999996</v>
      </c>
      <c r="Y642" s="309"/>
      <c r="Z642" s="309"/>
      <c r="AA642" s="79"/>
      <c r="AB642" s="1913"/>
      <c r="AC642" s="317">
        <f>OBRA!BW644</f>
        <v>0</v>
      </c>
      <c r="AD642" s="1"/>
      <c r="AE642" s="352" t="s">
        <v>5016</v>
      </c>
    </row>
    <row r="643" spans="1:31" ht="114.75" customHeight="1">
      <c r="A643" s="22" t="s">
        <v>2206</v>
      </c>
      <c r="B643" s="809" t="str">
        <f>GRAL!B647</f>
        <v>2021-2024</v>
      </c>
      <c r="C643" s="16">
        <f>OBRA!J645</f>
        <v>2022</v>
      </c>
      <c r="D643" s="1415"/>
      <c r="E643" s="17" t="str">
        <f>OBRA!M645</f>
        <v>RAMO 33</v>
      </c>
      <c r="F643" s="478" t="s">
        <v>1428</v>
      </c>
      <c r="G643" s="496" t="s">
        <v>4612</v>
      </c>
      <c r="H643" s="495" t="s">
        <v>4612</v>
      </c>
      <c r="I643" s="704" t="s">
        <v>4612</v>
      </c>
      <c r="J643" s="54" t="str">
        <f>OBRA!W645</f>
        <v>ING. SERGIO CABRERA</v>
      </c>
      <c r="K643" s="156" t="str">
        <f>OBRA!X645</f>
        <v>C. DANIEL RODRIGUEZ VALENZUELA</v>
      </c>
      <c r="L643" s="33" t="str">
        <f>OBRA!N645</f>
        <v>GMJ 010 C-OP/2022</v>
      </c>
      <c r="M643" s="2" t="str">
        <f>OBRA!O645</f>
        <v>ADJUDICACIÓN DIRECTA</v>
      </c>
      <c r="N643" s="3" t="str">
        <f>OBRA!P645</f>
        <v>"PROYECTO DE CONSTRUCCIÓN DE TECHADO TIPO LONARIA EN AREA DE IMPARTICIÓN DE EDUCACIÓN FÍSICA EN LA ESCUELA CAM (CENTRO DE ATENCIÓN MULTIPLE GALLAUDET)" EN LA CABECERA MUNICIPAL DE JOCOTEPEC, JALISCO</v>
      </c>
      <c r="O643" s="504" t="s">
        <v>4473</v>
      </c>
      <c r="P643" s="67">
        <f>OBRA!S645</f>
        <v>44763</v>
      </c>
      <c r="Q643" s="79">
        <f>OBRA!R645</f>
        <v>1697255.04</v>
      </c>
      <c r="R643" s="5">
        <f>OBRA!T645</f>
        <v>44767</v>
      </c>
      <c r="S643" s="11">
        <f>OBRA!U645</f>
        <v>44814</v>
      </c>
      <c r="T643" s="207" t="s">
        <v>4445</v>
      </c>
      <c r="U643" s="660" t="s">
        <v>4612</v>
      </c>
      <c r="V643" s="499" t="s">
        <v>4612</v>
      </c>
      <c r="W643" s="597" t="s">
        <v>4612</v>
      </c>
      <c r="X643" s="986">
        <f>OBRA!AR645</f>
        <v>848627.51</v>
      </c>
      <c r="Y643" s="309"/>
      <c r="Z643" s="309"/>
      <c r="AA643" s="79"/>
      <c r="AB643" s="1913"/>
      <c r="AC643" s="317">
        <f>OBRA!BW645</f>
        <v>0</v>
      </c>
      <c r="AD643" s="1"/>
      <c r="AE643" s="352" t="s">
        <v>551</v>
      </c>
    </row>
    <row r="644" spans="1:31" ht="101.25" customHeight="1">
      <c r="A644" s="22" t="s">
        <v>2206</v>
      </c>
      <c r="B644" s="809" t="str">
        <f>GRAL!B648</f>
        <v>2021-2024</v>
      </c>
      <c r="C644" s="16">
        <f>OBRA!J646</f>
        <v>2022</v>
      </c>
      <c r="D644" s="1415"/>
      <c r="E644" s="17" t="str">
        <f>OBRA!M646</f>
        <v>CUENTA CORRIENTE</v>
      </c>
      <c r="F644" s="478" t="s">
        <v>1428</v>
      </c>
      <c r="G644" s="496" t="s">
        <v>4613</v>
      </c>
      <c r="H644" s="495" t="s">
        <v>4613</v>
      </c>
      <c r="I644" s="704" t="s">
        <v>4613</v>
      </c>
      <c r="J644" s="33" t="str">
        <f>OBRA!W646</f>
        <v>ING. SERGIO CABRERA</v>
      </c>
      <c r="K644" s="156" t="str">
        <f>OBRA!X646</f>
        <v>ING. J. GUADALUPE IBARRA RAMIREZ</v>
      </c>
      <c r="L644" s="33" t="str">
        <f>OBRA!N646</f>
        <v>GMJ 011 C-OP/2022</v>
      </c>
      <c r="M644" s="2" t="str">
        <f>OBRA!O646</f>
        <v>ADJUDICACIÓN DIRECTA</v>
      </c>
      <c r="N644" s="3" t="str">
        <f>OBRA!P646</f>
        <v>"ELEVACIÓN DE NAVE EN RASTRO MUNICIPAL COMO COMPLEMENTO DE LA OBRA; SUMINISTRO E INSTALACIÓN DE EQUIPAMIENTO PARA RASTRO MUNICIPAL", EN LA CABECERA MUNICIPAL DE JOCOTEPEC, JALISCO</v>
      </c>
      <c r="O644" s="504" t="s">
        <v>4563</v>
      </c>
      <c r="P644" s="67">
        <f>OBRA!S646</f>
        <v>44767</v>
      </c>
      <c r="Q644" s="79">
        <f>OBRA!R646</f>
        <v>1343062.53</v>
      </c>
      <c r="R644" s="5">
        <f>OBRA!T646</f>
        <v>44770</v>
      </c>
      <c r="S644" s="11">
        <f>OBRA!U646</f>
        <v>44814</v>
      </c>
      <c r="T644" s="207" t="s">
        <v>4446</v>
      </c>
      <c r="U644" s="206" t="s">
        <v>1428</v>
      </c>
      <c r="V644" s="499"/>
      <c r="W644" s="597"/>
      <c r="X644" s="986">
        <f>OBRA!AR646</f>
        <v>671531.25</v>
      </c>
      <c r="Y644" s="309"/>
      <c r="Z644" s="309"/>
      <c r="AA644" s="79"/>
      <c r="AB644" s="1913"/>
      <c r="AC644" s="317">
        <f>OBRA!BW646</f>
        <v>0</v>
      </c>
      <c r="AD644" s="1"/>
      <c r="AE644" s="352"/>
    </row>
    <row r="645" spans="1:31" ht="65.25" customHeight="1">
      <c r="A645" s="22" t="s">
        <v>2206</v>
      </c>
      <c r="B645" s="809" t="str">
        <f>GRAL!B649</f>
        <v>2021-2024</v>
      </c>
      <c r="C645" s="16">
        <f>OBRA!J647</f>
        <v>2022</v>
      </c>
      <c r="D645" s="1415"/>
      <c r="E645" s="17" t="str">
        <f>OBRA!M647</f>
        <v>CUENTA CORRIENTE</v>
      </c>
      <c r="F645" s="478" t="s">
        <v>1428</v>
      </c>
      <c r="G645" s="496" t="s">
        <v>4614</v>
      </c>
      <c r="H645" s="495" t="s">
        <v>4614</v>
      </c>
      <c r="I645" s="704" t="s">
        <v>4614</v>
      </c>
      <c r="J645" s="1581" t="str">
        <f>OBRA!W647</f>
        <v>ESTRUCTURAS PLANEADAS DE OCCIDENTE, S.A. DE C.V.</v>
      </c>
      <c r="K645" s="18" t="str">
        <f>OBRA!X647</f>
        <v>ING. J. GUADALUPE IBARRA RAMIREZ</v>
      </c>
      <c r="L645" s="33" t="str">
        <f>OBRA!N647</f>
        <v>GMJ 012 C-OP/2022</v>
      </c>
      <c r="M645" s="2" t="str">
        <f>OBRA!O647</f>
        <v>ADJUDICACIÓN DIRECTA</v>
      </c>
      <c r="N645" s="3" t="str">
        <f>OBRA!P647</f>
        <v>"REPARACIÓN DE BANQUETA PERIMETRAL EN LA PLAZA PRINCIPAL" DE LA CABECERA MUNICPAL DE JOCOTEPEC, JALISCO.</v>
      </c>
      <c r="O645" s="504" t="s">
        <v>4563</v>
      </c>
      <c r="P645" s="67">
        <f>OBRA!S647</f>
        <v>44816</v>
      </c>
      <c r="Q645" s="79">
        <f>OBRA!R647</f>
        <v>85733.34</v>
      </c>
      <c r="R645" s="5">
        <f>OBRA!T647</f>
        <v>44817</v>
      </c>
      <c r="S645" s="11">
        <f>OBRA!U647</f>
        <v>44834</v>
      </c>
      <c r="T645" s="207" t="s">
        <v>4446</v>
      </c>
      <c r="U645" s="206" t="s">
        <v>1428</v>
      </c>
      <c r="V645" s="499"/>
      <c r="W645" s="597"/>
      <c r="X645" s="986">
        <f>OBRA!AR647</f>
        <v>0</v>
      </c>
      <c r="Y645" s="309"/>
      <c r="Z645" s="309"/>
      <c r="AA645" s="79"/>
      <c r="AB645" s="1913"/>
      <c r="AC645" s="317">
        <f>OBRA!BW647</f>
        <v>0</v>
      </c>
      <c r="AD645" s="1"/>
      <c r="AE645" s="352"/>
    </row>
    <row r="646" spans="1:31" ht="15" hidden="1" customHeight="1">
      <c r="A646" s="22" t="s">
        <v>2206</v>
      </c>
      <c r="B646" s="809" t="str">
        <f>GRAL!B650</f>
        <v>2021-2024</v>
      </c>
      <c r="C646" s="16">
        <f>OBRA!J648</f>
        <v>2022</v>
      </c>
      <c r="D646" s="1415"/>
      <c r="E646" s="17" t="str">
        <f>OBRA!M648</f>
        <v>RAMO 33</v>
      </c>
      <c r="F646" s="1170"/>
      <c r="G646" s="496"/>
      <c r="H646" s="881"/>
      <c r="I646" s="1235"/>
      <c r="J646" s="1581"/>
      <c r="K646" s="38"/>
      <c r="L646" s="19" t="str">
        <f>OBRA!N648</f>
        <v>FAIS-RAMO/33-OP-CSS-013/2022</v>
      </c>
      <c r="M646" s="2" t="str">
        <f>OBRA!O648</f>
        <v>CONCURSO SIMPLIFICADO SUMARIO</v>
      </c>
      <c r="N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1"/>
      <c r="P646" s="6">
        <f>OBRA!S648</f>
        <v>44810</v>
      </c>
      <c r="Q646" s="4">
        <f>OBRA!R648</f>
        <v>4165845.27</v>
      </c>
      <c r="R646" s="5">
        <f>OBRA!T648</f>
        <v>44812</v>
      </c>
      <c r="S646" s="11">
        <f>OBRA!U648</f>
        <v>44834</v>
      </c>
      <c r="T646" s="692"/>
      <c r="U646" s="203"/>
      <c r="V646" s="587"/>
      <c r="W646" s="1231"/>
      <c r="X646" s="1553">
        <f>OBRA!AR648</f>
        <v>2115489.1800000002</v>
      </c>
      <c r="Y646" s="309"/>
      <c r="Z646" s="309"/>
      <c r="AA646" s="5"/>
      <c r="AB646" s="313"/>
      <c r="AC646" s="317">
        <f>OBRA!BW648</f>
        <v>0</v>
      </c>
      <c r="AD646" s="1"/>
      <c r="AE646" s="352"/>
    </row>
    <row r="647" spans="1:31" ht="15" hidden="1" customHeight="1">
      <c r="A647" s="22" t="s">
        <v>2206</v>
      </c>
      <c r="B647" s="809" t="str">
        <f>GRAL!B651</f>
        <v>2021-2024</v>
      </c>
      <c r="C647" s="16">
        <f>OBRA!J649</f>
        <v>2022</v>
      </c>
      <c r="D647" s="1415"/>
      <c r="E647" s="17" t="str">
        <f>OBRA!M649</f>
        <v>RAMO 33</v>
      </c>
      <c r="F647" s="1170"/>
      <c r="G647" s="496"/>
      <c r="H647" s="881"/>
      <c r="I647" s="1235"/>
      <c r="J647" s="1581"/>
      <c r="K647" s="38"/>
      <c r="L647" s="19" t="str">
        <f>OBRA!N649</f>
        <v>FAIS-RAMO/33-OP-CSS-014/2022</v>
      </c>
      <c r="M647" s="2" t="str">
        <f>OBRA!O649</f>
        <v>CONCURSO SIMPLIFICADO SUMARIO</v>
      </c>
      <c r="N647" s="3" t="str">
        <f>OBRA!P649</f>
        <v>"PERFORACIÓN, EQUIPAMIENTO, ELECTRIFICACIÓN, TREN DE DESCARGA, CASETA DE CLORACIÓN, CERCADO PERIMETRAL Y PUESTA EN MARCHA DEL POZO DE AGUA EN CALLE JUAN PABLO II, EN LA LOCALIDAD DE SAN JUAN COSALÁ, MUNICIPIO DE JOCOTEPEC,  JALISCO.</v>
      </c>
      <c r="O647" s="541"/>
      <c r="P647" s="6">
        <f>OBRA!S649</f>
        <v>44839</v>
      </c>
      <c r="Q647" s="4">
        <f>OBRA!R649</f>
        <v>4216204.78</v>
      </c>
      <c r="R647" s="5">
        <f>OBRA!T649</f>
        <v>44847</v>
      </c>
      <c r="S647" s="11">
        <f>OBRA!U649</f>
        <v>44895</v>
      </c>
      <c r="T647" s="692"/>
      <c r="U647" s="203"/>
      <c r="V647" s="587"/>
      <c r="W647" s="1231"/>
      <c r="X647" s="1553">
        <f>OBRA!AR649</f>
        <v>2229168.31</v>
      </c>
      <c r="Y647" s="309"/>
      <c r="Z647" s="309"/>
      <c r="AA647" s="5"/>
      <c r="AB647" s="313"/>
      <c r="AC647" s="317">
        <f>OBRA!BW649</f>
        <v>0</v>
      </c>
      <c r="AD647" s="1"/>
      <c r="AE647" s="352"/>
    </row>
    <row r="648" spans="1:31" ht="15" hidden="1" customHeight="1">
      <c r="A648" s="22" t="s">
        <v>2206</v>
      </c>
      <c r="B648" s="809" t="str">
        <f>GRAL!B652</f>
        <v>2021-2024</v>
      </c>
      <c r="C648" s="16">
        <f>OBRA!J650</f>
        <v>2022</v>
      </c>
      <c r="D648" s="1415"/>
      <c r="E648" s="17" t="str">
        <f>OBRA!M650</f>
        <v>CUENTA CORRIENTE</v>
      </c>
      <c r="F648" s="1170"/>
      <c r="G648" s="496"/>
      <c r="H648" s="881"/>
      <c r="I648" s="1235"/>
      <c r="J648" s="1581"/>
      <c r="K648" s="38"/>
      <c r="L648" s="19" t="str">
        <f>OBRA!N650</f>
        <v>PROGRAMA CUENTA CORRIENTE-OP-CSS-015/2022</v>
      </c>
      <c r="M648" s="2" t="str">
        <f>OBRA!O650</f>
        <v>CONCURSO SIMPLIFICADO SUMARIO</v>
      </c>
      <c r="N648" s="3" t="str">
        <f>OBRA!P650</f>
        <v>"PERFORACIÓN, EQUIPAMIENTO, ELECTRIFICACIÓN, TREN DE DESCARGA, CASETA DE CLORACIÓN, CERCADO PERIMETRAL Y PUESTA EN MARCHA DEL POZO DE AGUA EN LA LOCALIDAD DE CHANTEPEC, MUNICIPIO DE JOCOTEPEC, JALISCO.</v>
      </c>
      <c r="O648" s="541"/>
      <c r="P648" s="6">
        <f>OBRA!S650</f>
        <v>44839</v>
      </c>
      <c r="Q648" s="4">
        <f>OBRA!R650</f>
        <v>3845696.93</v>
      </c>
      <c r="R648" s="5">
        <f>OBRA!T650</f>
        <v>44847</v>
      </c>
      <c r="S648" s="11">
        <f>OBRA!U650</f>
        <v>44895</v>
      </c>
      <c r="T648" s="692"/>
      <c r="U648" s="203"/>
      <c r="V648" s="587"/>
      <c r="W648" s="1231"/>
      <c r="X648" s="1553">
        <f>OBRA!AR650</f>
        <v>1922848.46</v>
      </c>
      <c r="Y648" s="309"/>
      <c r="Z648" s="309"/>
      <c r="AA648" s="5"/>
      <c r="AB648" s="313"/>
      <c r="AC648" s="317">
        <f>OBRA!BW650</f>
        <v>0</v>
      </c>
      <c r="AD648" s="1"/>
      <c r="AE648" s="352"/>
    </row>
    <row r="649" spans="1:31" ht="99.75" customHeight="1">
      <c r="A649" s="22" t="s">
        <v>2206</v>
      </c>
      <c r="B649" s="809" t="str">
        <f>GRAL!B653</f>
        <v>2021-2024</v>
      </c>
      <c r="C649" s="16">
        <f>OBRA!J651</f>
        <v>2022</v>
      </c>
      <c r="D649" s="1415"/>
      <c r="E649" s="17" t="str">
        <f>OBRA!M651</f>
        <v>RAMO 33</v>
      </c>
      <c r="F649" s="478" t="s">
        <v>1428</v>
      </c>
      <c r="G649" s="496"/>
      <c r="H649" s="495" t="s">
        <v>4615</v>
      </c>
      <c r="I649" s="704" t="s">
        <v>4615</v>
      </c>
      <c r="J649" s="33" t="str">
        <f>OBRA!W651</f>
        <v xml:space="preserve">INFRAESTRUCTURA Y EDIFICACIONES OROZCO S.A. DE C.V. </v>
      </c>
      <c r="K649" s="156" t="str">
        <f>OBRA!X651</f>
        <v>C. DANIEL RODRIGUEZ VALENZUELA</v>
      </c>
      <c r="L649" s="33" t="str">
        <f>OBRA!N651</f>
        <v>GMJ 016 C-OP/2022</v>
      </c>
      <c r="M649" s="2" t="str">
        <f>OBRA!O651</f>
        <v>ADJUDICACIÓN DIRECTA</v>
      </c>
      <c r="N649" s="3" t="str">
        <f>OBRA!P651</f>
        <v>"REHABILITACIÓN DE REDES HIDROSANITARIAS DE CALLE RIVERA DEL LAGO DE CALLE GUAYABITOS A 130 ML A LA CALLE CHUECA", EN LA LOCALIDAD DE NEXTIPAC, DEL MUNICIPIO DE JOCOTEPEC, JALISCO.</v>
      </c>
      <c r="O649" s="504" t="s">
        <v>4563</v>
      </c>
      <c r="P649" s="67">
        <f>OBRA!S651</f>
        <v>44851</v>
      </c>
      <c r="Q649" s="79">
        <f>OBRA!R651</f>
        <v>645484.5</v>
      </c>
      <c r="R649" s="5">
        <f>OBRA!T651</f>
        <v>44865</v>
      </c>
      <c r="S649" s="11">
        <f>OBRA!U651</f>
        <v>44883</v>
      </c>
      <c r="T649" s="207" t="s">
        <v>4445</v>
      </c>
      <c r="U649" s="660" t="s">
        <v>4615</v>
      </c>
      <c r="V649" s="499" t="s">
        <v>4615</v>
      </c>
      <c r="W649" s="597" t="s">
        <v>4615</v>
      </c>
      <c r="X649" s="986">
        <f>OBRA!AR651</f>
        <v>346035.52</v>
      </c>
      <c r="Y649" s="309"/>
      <c r="Z649" s="309"/>
      <c r="AA649" s="79"/>
      <c r="AB649" s="1913"/>
      <c r="AC649" s="317">
        <f>OBRA!BW651</f>
        <v>0</v>
      </c>
      <c r="AD649" s="1"/>
      <c r="AE649" s="352" t="s">
        <v>5016</v>
      </c>
    </row>
    <row r="650" spans="1:31" ht="15" hidden="1" customHeight="1">
      <c r="A650" s="22" t="s">
        <v>2206</v>
      </c>
      <c r="B650" s="809" t="str">
        <f>GRAL!B654</f>
        <v>2021-2024</v>
      </c>
      <c r="C650" s="16">
        <f>OBRA!J652</f>
        <v>2022</v>
      </c>
      <c r="D650" s="1415"/>
      <c r="E650" s="17" t="str">
        <f>OBRA!M652</f>
        <v>RAMO 33</v>
      </c>
      <c r="F650" s="1170"/>
      <c r="G650" s="496"/>
      <c r="H650" s="881"/>
      <c r="I650" s="1235"/>
      <c r="J650" s="1581"/>
      <c r="K650" s="55"/>
      <c r="L650" s="19" t="str">
        <f>OBRA!N652</f>
        <v>FAIS-RAMO/33-OP-CSS-017/2022</v>
      </c>
      <c r="M650" s="2" t="str">
        <f>OBRA!O652</f>
        <v>CONCURSO SIMPLIFICADO SUMARIO</v>
      </c>
      <c r="N650" s="3" t="str">
        <f>OBRA!P652</f>
        <v>REHABILITACIÓN DE REDES HIDROSANITARIAS Y SUPERFICIE DE RODAMIENTO DE LA CALLE INDEPENDENCIA NORTE ENTRE CALLE ITURBIDE Y CALLE ALDAMA", EN LA CABECERA MUNICIPAL DE JOCOTEPEC, JALISCO.</v>
      </c>
      <c r="O650" s="541"/>
      <c r="P650" s="6">
        <f>OBRA!S652</f>
        <v>44859</v>
      </c>
      <c r="Q650" s="4">
        <f>OBRA!R652</f>
        <v>2479806.63</v>
      </c>
      <c r="R650" s="5">
        <f>OBRA!T652</f>
        <v>44862</v>
      </c>
      <c r="S650" s="11">
        <f>OBRA!U652</f>
        <v>44898</v>
      </c>
      <c r="T650" s="692"/>
      <c r="U650" s="203"/>
      <c r="V650" s="587"/>
      <c r="W650" s="1231"/>
      <c r="X650" s="1553">
        <f>OBRA!AR652</f>
        <v>991922.65</v>
      </c>
      <c r="Y650" s="309"/>
      <c r="Z650" s="309"/>
      <c r="AA650" s="5"/>
      <c r="AB650" s="313"/>
      <c r="AC650" s="317">
        <f>OBRA!BW652</f>
        <v>0</v>
      </c>
      <c r="AD650" s="1"/>
      <c r="AE650" s="352"/>
    </row>
    <row r="651" spans="1:31" ht="15" hidden="1" customHeight="1">
      <c r="A651" s="22" t="s">
        <v>2206</v>
      </c>
      <c r="B651" s="809" t="str">
        <f>GRAL!B655</f>
        <v>2021-2024</v>
      </c>
      <c r="C651" s="16">
        <f>OBRA!J653</f>
        <v>2022</v>
      </c>
      <c r="D651" s="1415"/>
      <c r="E651" s="17" t="str">
        <f>OBRA!M653</f>
        <v>RAMO 33</v>
      </c>
      <c r="F651" s="1170"/>
      <c r="G651" s="496"/>
      <c r="H651" s="881"/>
      <c r="I651" s="1235"/>
      <c r="J651" s="1581"/>
      <c r="K651" s="55"/>
      <c r="L651" s="19" t="str">
        <f>OBRA!N653</f>
        <v>FAIS-RAMO/33-OP-CSS-018/2022</v>
      </c>
      <c r="M651" s="2" t="str">
        <f>OBRA!O653</f>
        <v>CONCURSO SIMPLIFICADO SUMARIO</v>
      </c>
      <c r="N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1"/>
      <c r="P651" s="6">
        <f>OBRA!S653</f>
        <v>44859</v>
      </c>
      <c r="Q651" s="4">
        <f>OBRA!R653</f>
        <v>2218847.77</v>
      </c>
      <c r="R651" s="5">
        <f>OBRA!T653</f>
        <v>44862</v>
      </c>
      <c r="S651" s="11">
        <f>OBRA!U653</f>
        <v>44898</v>
      </c>
      <c r="T651" s="692"/>
      <c r="U651" s="203"/>
      <c r="V651" s="587"/>
      <c r="W651" s="1231"/>
      <c r="X651" s="1553">
        <f>OBRA!AR653</f>
        <v>1060839.56</v>
      </c>
      <c r="Y651" s="309"/>
      <c r="Z651" s="309"/>
      <c r="AA651" s="5"/>
      <c r="AB651" s="313"/>
      <c r="AC651" s="317">
        <f>OBRA!BW653</f>
        <v>0</v>
      </c>
      <c r="AD651" s="1"/>
      <c r="AE651" s="352"/>
    </row>
    <row r="652" spans="1:31" ht="84" customHeight="1">
      <c r="A652" s="22" t="s">
        <v>2206</v>
      </c>
      <c r="B652" s="809" t="str">
        <f>GRAL!B656</f>
        <v>2021-2024</v>
      </c>
      <c r="C652" s="16">
        <f>OBRA!J654</f>
        <v>2022</v>
      </c>
      <c r="D652" s="1415"/>
      <c r="E652" s="17" t="str">
        <f>OBRA!M654</f>
        <v>RAMO 33</v>
      </c>
      <c r="F652" s="478" t="s">
        <v>1428</v>
      </c>
      <c r="G652" s="496" t="s">
        <v>5038</v>
      </c>
      <c r="H652" s="495" t="s">
        <v>5038</v>
      </c>
      <c r="I652" s="704" t="s">
        <v>5038</v>
      </c>
      <c r="J652" s="1581" t="str">
        <f>OBRA!W654</f>
        <v>ESTRUCTURAS PLANEADAS DE OCCIDENTE, S.A. DE C.V.</v>
      </c>
      <c r="K652" s="55" t="str">
        <f>OBRA!X654</f>
        <v>C. DANIEL RODRIGUEZ VALENZUELA</v>
      </c>
      <c r="L652" s="33" t="str">
        <f>OBRA!N654</f>
        <v>GMJ 019 C-OP/2022</v>
      </c>
      <c r="M652" s="2" t="str">
        <f>OBRA!O654</f>
        <v>ADJUDICACIÓN DIRECTA</v>
      </c>
      <c r="N652" s="3" t="str">
        <f>OBRA!P654</f>
        <v>“CONSTRUCCIÓN DE REDES HIDROSANITARÍAS EN CALLE PRIV. JUAN PABLO II”, EN LA LOCALIDAD DE SAN JUAN COSALÁ, DEL MUNICIPIO DE JOCOTEPEC, JALISCO</v>
      </c>
      <c r="O652" s="504" t="s">
        <v>4563</v>
      </c>
      <c r="P652" s="67">
        <f>OBRA!S654</f>
        <v>44872</v>
      </c>
      <c r="Q652" s="79">
        <f>OBRA!R654</f>
        <v>762057.5</v>
      </c>
      <c r="R652" s="5">
        <f>OBRA!T654</f>
        <v>44889</v>
      </c>
      <c r="S652" s="11">
        <f>OBRA!U654</f>
        <v>44900</v>
      </c>
      <c r="T652" s="207" t="s">
        <v>4445</v>
      </c>
      <c r="U652" s="206"/>
      <c r="V652" s="499" t="s">
        <v>5038</v>
      </c>
      <c r="W652" s="597" t="s">
        <v>5038</v>
      </c>
      <c r="X652" s="986">
        <f>OBRA!AR654</f>
        <v>381028.75</v>
      </c>
      <c r="Y652" s="309"/>
      <c r="Z652" s="309"/>
      <c r="AA652" s="79"/>
      <c r="AB652" s="1913"/>
      <c r="AC652" s="317">
        <f>OBRA!BW654</f>
        <v>0</v>
      </c>
      <c r="AD652" s="1"/>
      <c r="AE652" s="352" t="s">
        <v>5016</v>
      </c>
    </row>
    <row r="653" spans="1:31" ht="15" hidden="1" customHeight="1">
      <c r="A653" s="22" t="s">
        <v>2206</v>
      </c>
      <c r="B653" s="809" t="str">
        <f>GRAL!B657</f>
        <v>2021-2024</v>
      </c>
      <c r="C653" s="16">
        <f>OBRA!J655</f>
        <v>2022</v>
      </c>
      <c r="D653" s="1415"/>
      <c r="E653" s="17">
        <f>OBRA!M655</f>
        <v>0</v>
      </c>
      <c r="F653" s="1170"/>
      <c r="G653" s="1108"/>
      <c r="H653" s="219"/>
      <c r="I653" s="1108"/>
      <c r="J653" s="54"/>
      <c r="K653" s="55"/>
      <c r="L653" s="19" t="str">
        <f>OBRA!N655</f>
        <v>GMJ 020 C-OP/2022</v>
      </c>
      <c r="M653" s="2" t="str">
        <f>OBRA!O655</f>
        <v>CANCELADA</v>
      </c>
      <c r="N653" s="3">
        <f>OBRA!P655</f>
        <v>0</v>
      </c>
      <c r="O653" s="541"/>
      <c r="P653" s="6">
        <f>OBRA!S655</f>
        <v>0</v>
      </c>
      <c r="Q653" s="4">
        <f>OBRA!R655</f>
        <v>0</v>
      </c>
      <c r="R653" s="5">
        <f>OBRA!T655</f>
        <v>0</v>
      </c>
      <c r="S653" s="11">
        <f>OBRA!U655</f>
        <v>0</v>
      </c>
      <c r="T653" s="692"/>
      <c r="U653" s="203"/>
      <c r="V653" s="508"/>
      <c r="W653" s="509"/>
      <c r="X653" s="534">
        <f>OBRA!AR655</f>
        <v>0</v>
      </c>
      <c r="Y653" s="309"/>
      <c r="Z653" s="309"/>
      <c r="AA653" s="5"/>
      <c r="AB653" s="313"/>
      <c r="AC653" s="317">
        <f>OBRA!BW655</f>
        <v>0</v>
      </c>
      <c r="AD653" s="352"/>
      <c r="AE653" s="352"/>
    </row>
    <row r="654" spans="1:31" ht="15" hidden="1" customHeight="1">
      <c r="A654" s="22" t="s">
        <v>2206</v>
      </c>
      <c r="B654" s="809">
        <f>GRAL!B921</f>
        <v>0</v>
      </c>
      <c r="C654" s="16">
        <f>OBRA!J656</f>
        <v>2022</v>
      </c>
      <c r="D654" s="1415"/>
      <c r="E654" s="17" t="str">
        <f>OBRA!M656</f>
        <v>CEA-FISE</v>
      </c>
      <c r="F654" s="1170"/>
      <c r="G654" s="1108"/>
      <c r="H654" s="219"/>
      <c r="I654" s="1108"/>
      <c r="J654" s="54"/>
      <c r="K654" s="55"/>
      <c r="L654" s="19" t="str">
        <f>OBRA!N656</f>
        <v>CEA-FISE-003/2022</v>
      </c>
      <c r="M654" s="2" t="str">
        <f>OBRA!O656</f>
        <v>CONVENIO</v>
      </c>
      <c r="N654" s="3" t="str">
        <f>OBRA!P656</f>
        <v xml:space="preserve">CONSTRUCCIÓN DE LÍNEA DE CONDUCCIÓN DE AGUA POTABLE DEL POZO ALLENDE AL TANQUE EXISTENTE Y LÍNEA DE DE CONEXIÓN A RED DE DISTRIBUCCIÓN DE AGUA POTABLE, EN LA CABECERA MUNICIPAL DE JOCOTEPEC, JALISCO". </v>
      </c>
      <c r="O654" s="541"/>
      <c r="P654" s="6">
        <f>OBRA!S656</f>
        <v>44848</v>
      </c>
      <c r="Q654" s="4">
        <f>OBRA!R656</f>
        <v>4000000</v>
      </c>
      <c r="R654" s="5">
        <f>OBRA!T656</f>
        <v>45213</v>
      </c>
      <c r="S654" s="11">
        <f>OBRA!U656</f>
        <v>45565</v>
      </c>
      <c r="T654" s="692"/>
      <c r="U654" s="203"/>
      <c r="V654" s="508"/>
      <c r="W654" s="509"/>
      <c r="X654" s="534">
        <f>OBRA!AR656</f>
        <v>0</v>
      </c>
      <c r="Y654" s="309"/>
      <c r="Z654" s="309"/>
      <c r="AA654" s="5"/>
      <c r="AB654" s="313"/>
      <c r="AC654" s="317">
        <f>OBRA!BW656</f>
        <v>0</v>
      </c>
      <c r="AD654" s="352"/>
      <c r="AE654" s="352"/>
    </row>
    <row r="655" spans="1:31" ht="15" hidden="1" customHeight="1">
      <c r="A655" s="22" t="s">
        <v>2206</v>
      </c>
      <c r="B655" s="809">
        <f>GRAL!B922</f>
        <v>0</v>
      </c>
      <c r="C655" s="16">
        <f>OBRA!J657</f>
        <v>2022</v>
      </c>
      <c r="D655" s="1415"/>
      <c r="E655" s="17" t="str">
        <f>OBRA!M657</f>
        <v>CEA-FISE</v>
      </c>
      <c r="F655" s="1170"/>
      <c r="G655" s="1108"/>
      <c r="H655" s="219"/>
      <c r="I655" s="1108"/>
      <c r="J655" s="54"/>
      <c r="K655" s="55"/>
      <c r="L655" s="19" t="str">
        <f>OBRA!N657</f>
        <v>CEA-FISE-004/2022</v>
      </c>
      <c r="M655" s="2" t="str">
        <f>OBRA!O657</f>
        <v>CONVENIO</v>
      </c>
      <c r="N655" s="3" t="str">
        <f>OBRA!P657</f>
        <v>CONSTRUCCIÓN DE COLECTOR PRINCIPAL Y CARCAMO DE BOMBEO, ENTRE CALLE VICENTE GUERRERO Y PLANTA DE TRATAMIENTO DE LA LOCALIDAD DE SAN CRISTÓBAL ZAPOTITLÁN, MUNICIPIO DE JOCOTEPEC, JALISCO.</v>
      </c>
      <c r="O655" s="541"/>
      <c r="P655" s="6">
        <f>OBRA!S657</f>
        <v>44848</v>
      </c>
      <c r="Q655" s="4">
        <f>OBRA!R657</f>
        <v>4000000</v>
      </c>
      <c r="R655" s="5">
        <f>OBRA!T657</f>
        <v>44848</v>
      </c>
      <c r="S655" s="11">
        <f>OBRA!U657</f>
        <v>45565</v>
      </c>
      <c r="T655" s="692"/>
      <c r="U655" s="203"/>
      <c r="V655" s="508"/>
      <c r="W655" s="509"/>
      <c r="X655" s="534">
        <f>OBRA!AR657</f>
        <v>0</v>
      </c>
      <c r="Y655" s="309"/>
      <c r="Z655" s="309"/>
      <c r="AA655" s="5"/>
      <c r="AB655" s="313"/>
      <c r="AC655" s="317">
        <f>OBRA!BW657</f>
        <v>0</v>
      </c>
      <c r="AD655" s="352"/>
      <c r="AE655" s="352"/>
    </row>
    <row r="656" spans="1:31" ht="15" hidden="1" customHeight="1">
      <c r="A656" s="22" t="s">
        <v>2206</v>
      </c>
      <c r="B656" s="809">
        <f>GRAL!B923</f>
        <v>0</v>
      </c>
      <c r="C656" s="16">
        <f>OBRA!J658</f>
        <v>2023</v>
      </c>
      <c r="D656" s="1415"/>
      <c r="E656" s="17" t="str">
        <f>OBRA!M658</f>
        <v>FOCOCI</v>
      </c>
      <c r="F656" s="1170"/>
      <c r="G656" s="1108"/>
      <c r="H656" s="219"/>
      <c r="I656" s="1108"/>
      <c r="J656" s="54"/>
      <c r="K656" s="55"/>
      <c r="L656" s="19" t="str">
        <f>OBRA!N658</f>
        <v>CONV/FOCOCI/014/2023</v>
      </c>
      <c r="M656" s="2" t="str">
        <f>OBRA!O658</f>
        <v>CONVENIO</v>
      </c>
      <c r="N656" s="3" t="str">
        <f>OBRA!P658</f>
        <v>PAVIMENTACIÓN CON EMPEDRADO ZAMPEADO, EN CALLE LA PAZ EN LA DELEGACIÓN DE SAN JUAN COSALÁ, MUNICIPIO DE JOCOTPEC, JALISCO</v>
      </c>
      <c r="O656" s="541"/>
      <c r="P656" s="6">
        <f>OBRA!S658</f>
        <v>45086</v>
      </c>
      <c r="Q656" s="4">
        <f>OBRA!R658</f>
        <v>5000000</v>
      </c>
      <c r="R656" s="5">
        <f>OBRA!T658</f>
        <v>45086</v>
      </c>
      <c r="S656" s="11">
        <f>OBRA!U658</f>
        <v>45291</v>
      </c>
      <c r="T656" s="692"/>
      <c r="U656" s="203"/>
      <c r="V656" s="508"/>
      <c r="W656" s="509"/>
      <c r="X656" s="534">
        <f>OBRA!AR658</f>
        <v>0</v>
      </c>
      <c r="Y656" s="309"/>
      <c r="Z656" s="309"/>
      <c r="AA656" s="5"/>
      <c r="AB656" s="313"/>
      <c r="AC656" s="317">
        <f>OBRA!BW658</f>
        <v>0</v>
      </c>
      <c r="AD656" s="352"/>
      <c r="AE656" s="352"/>
    </row>
    <row r="657" spans="1:31" ht="15" hidden="1" customHeight="1">
      <c r="A657" s="22" t="s">
        <v>2206</v>
      </c>
      <c r="B657" s="809">
        <f>GRAL!B924</f>
        <v>0</v>
      </c>
      <c r="C657" s="16">
        <f>OBRA!J659</f>
        <v>2023</v>
      </c>
      <c r="D657" s="1415"/>
      <c r="E657" s="17" t="str">
        <f>OBRA!M659</f>
        <v>CEA-FISE</v>
      </c>
      <c r="F657" s="1170"/>
      <c r="G657" s="1108"/>
      <c r="H657" s="219"/>
      <c r="I657" s="1108"/>
      <c r="J657" s="54"/>
      <c r="K657" s="55"/>
      <c r="L657" s="19" t="str">
        <f>OBRA!N659</f>
        <v>CEA-IHAP-FISE-021/2023</v>
      </c>
      <c r="M657" s="2" t="str">
        <f>OBRA!O659</f>
        <v>CONVENIO</v>
      </c>
      <c r="N657" s="3" t="str">
        <f>OBRA!P659</f>
        <v>PERFORACIÓN DE POZO PROFUNDO PARA LA EXTRACCIÓN DE AGUA POTABLE, UBICADO EN LA LOCALIDAD DE SAN JUAN COSALÁ MUNICIPIO DE JOCOTEPEC, JALISCO.</v>
      </c>
      <c r="O657" s="541"/>
      <c r="P657" s="6">
        <f>OBRA!S659</f>
        <v>45153</v>
      </c>
      <c r="Q657" s="4">
        <f>OBRA!R659</f>
        <v>4000000</v>
      </c>
      <c r="R657" s="5">
        <f>OBRA!T659</f>
        <v>45153</v>
      </c>
      <c r="S657" s="11">
        <f>OBRA!U659</f>
        <v>45565</v>
      </c>
      <c r="T657" s="692"/>
      <c r="U657" s="203"/>
      <c r="V657" s="508"/>
      <c r="W657" s="509"/>
      <c r="X657" s="534">
        <f>OBRA!AR659</f>
        <v>0</v>
      </c>
      <c r="Y657" s="309"/>
      <c r="Z657" s="309"/>
      <c r="AA657" s="5"/>
      <c r="AB657" s="313"/>
      <c r="AC657" s="317">
        <f>OBRA!BW659</f>
        <v>0</v>
      </c>
      <c r="AD657" s="352"/>
      <c r="AE657" s="352"/>
    </row>
    <row r="658" spans="1:31" ht="15" hidden="1" customHeight="1">
      <c r="A658" s="22" t="s">
        <v>2206</v>
      </c>
      <c r="B658" s="809">
        <f>GRAL!B925</f>
        <v>0</v>
      </c>
      <c r="C658" s="16">
        <f>OBRA!J660</f>
        <v>2023</v>
      </c>
      <c r="D658" s="1415"/>
      <c r="E658" s="17" t="str">
        <f>OBRA!M660</f>
        <v>CEA-FISE</v>
      </c>
      <c r="F658" s="1170"/>
      <c r="G658" s="1108"/>
      <c r="H658" s="219"/>
      <c r="I658" s="1108"/>
      <c r="J658" s="54"/>
      <c r="K658" s="55"/>
      <c r="L658" s="19" t="str">
        <f>OBRA!N660</f>
        <v>CEA-IHAP-FISE-022/2023</v>
      </c>
      <c r="M658" s="2" t="str">
        <f>OBRA!O660</f>
        <v>CONVENIO</v>
      </c>
      <c r="N658" s="3" t="str">
        <f>OBRA!P660</f>
        <v>PERFORACIÓN DE POZO PROFUNDO PARA LA EXTRACCIÓN DE AGUA POTABLE, UBICADO EN LA CABECERA MUNICIPAL DE JOCOTEPEC, JALISCO.</v>
      </c>
      <c r="O658" s="541"/>
      <c r="P658" s="6">
        <f>OBRA!S660</f>
        <v>45153</v>
      </c>
      <c r="Q658" s="4">
        <f>OBRA!R660</f>
        <v>4000000</v>
      </c>
      <c r="R658" s="5">
        <f>OBRA!T660</f>
        <v>45153</v>
      </c>
      <c r="S658" s="11">
        <f>OBRA!U660</f>
        <v>45565</v>
      </c>
      <c r="T658" s="692"/>
      <c r="U658" s="203"/>
      <c r="V658" s="508"/>
      <c r="W658" s="509"/>
      <c r="X658" s="534">
        <f>OBRA!AR660</f>
        <v>0</v>
      </c>
      <c r="Y658" s="309"/>
      <c r="Z658" s="309"/>
      <c r="AA658" s="5"/>
      <c r="AB658" s="313"/>
      <c r="AC658" s="317">
        <f>OBRA!BW660</f>
        <v>0</v>
      </c>
      <c r="AD658" s="352"/>
      <c r="AE658" s="352"/>
    </row>
    <row r="659" spans="1:31" ht="15" hidden="1" customHeight="1">
      <c r="A659" s="22" t="s">
        <v>2206</v>
      </c>
      <c r="B659" s="809">
        <f>GRAL!B926</f>
        <v>0</v>
      </c>
      <c r="C659" s="16">
        <f>OBRA!J661</f>
        <v>2023</v>
      </c>
      <c r="D659" s="1415"/>
      <c r="E659" s="17" t="str">
        <f>OBRA!M661</f>
        <v>CUENTA CORRIENTE</v>
      </c>
      <c r="F659" s="1170"/>
      <c r="G659" s="1108"/>
      <c r="H659" s="219"/>
      <c r="I659" s="1108"/>
      <c r="J659" s="54"/>
      <c r="K659" s="55"/>
      <c r="L659" s="19" t="str">
        <f>OBRA!N661</f>
        <v>C.P.S.P. DOP 001/2023</v>
      </c>
      <c r="M659" s="2" t="str">
        <f>OBRA!O661</f>
        <v>SERVICIOS</v>
      </c>
      <c r="N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O659" s="541"/>
      <c r="P659" s="6">
        <f>OBRA!S661</f>
        <v>44928</v>
      </c>
      <c r="Q659" s="4">
        <f>OBRA!R661</f>
        <v>17400</v>
      </c>
      <c r="R659" s="5">
        <f>OBRA!T661</f>
        <v>44929</v>
      </c>
      <c r="S659" s="11">
        <f>OBRA!U661</f>
        <v>44931</v>
      </c>
      <c r="T659" s="692"/>
      <c r="U659" s="203"/>
      <c r="V659" s="508"/>
      <c r="W659" s="509"/>
      <c r="X659" s="534">
        <f>OBRA!AR661</f>
        <v>0</v>
      </c>
      <c r="Y659" s="309"/>
      <c r="Z659" s="309"/>
      <c r="AA659" s="5"/>
      <c r="AB659" s="313"/>
      <c r="AC659" s="317">
        <f>OBRA!BW661</f>
        <v>0</v>
      </c>
      <c r="AD659" s="352"/>
      <c r="AE659" s="352"/>
    </row>
    <row r="660" spans="1:31" ht="15" hidden="1" customHeight="1">
      <c r="A660" s="22" t="s">
        <v>2206</v>
      </c>
      <c r="B660" s="809">
        <f>GRAL!B927</f>
        <v>0</v>
      </c>
      <c r="C660" s="16">
        <f>OBRA!J662</f>
        <v>2023</v>
      </c>
      <c r="D660" s="1415"/>
      <c r="E660" s="17" t="str">
        <f>OBRA!M662</f>
        <v>CUENTA CORRIENTE</v>
      </c>
      <c r="F660" s="1170"/>
      <c r="G660" s="1108"/>
      <c r="H660" s="219"/>
      <c r="I660" s="1108"/>
      <c r="J660" s="54"/>
      <c r="K660" s="55"/>
      <c r="L660" s="19" t="str">
        <f>OBRA!N662</f>
        <v>C.P.S.P. DOP 002/2023</v>
      </c>
      <c r="M660" s="2" t="str">
        <f>OBRA!O662</f>
        <v>SERVICIOS</v>
      </c>
      <c r="N660" s="3" t="str">
        <f>OBRA!P662</f>
        <v>CONTRATACIÓN DEL SERVICIO PARA LA REALIZACIÓN DE: ESTUDIO GEOHIDROLÓGICO-GEOFÍSICO Y PROSPECCIÓN GEOFÍSICA CON FINES DE LOCALIZAR AGUA SUBTERRÁNEA EN POZO LA ERMITA EN LA LOCALIDAD DE SAN PEDRO TESISTÁN, DEL MUNICIPIO DE JOCOTEPEC, JALISCO.</v>
      </c>
      <c r="O660" s="541"/>
      <c r="P660" s="6">
        <f>OBRA!S662</f>
        <v>44928</v>
      </c>
      <c r="Q660" s="4">
        <f>OBRA!R662</f>
        <v>17400</v>
      </c>
      <c r="R660" s="5">
        <f>OBRA!T662</f>
        <v>44931</v>
      </c>
      <c r="S660" s="11">
        <f>OBRA!U662</f>
        <v>44932</v>
      </c>
      <c r="T660" s="692"/>
      <c r="U660" s="203"/>
      <c r="V660" s="508"/>
      <c r="W660" s="509"/>
      <c r="X660" s="534">
        <f>OBRA!AR662</f>
        <v>0</v>
      </c>
      <c r="Y660" s="309"/>
      <c r="Z660" s="309"/>
      <c r="AA660" s="5"/>
      <c r="AB660" s="313"/>
      <c r="AC660" s="317">
        <f>OBRA!BW662</f>
        <v>0</v>
      </c>
      <c r="AD660" s="352"/>
      <c r="AE660" s="352"/>
    </row>
    <row r="661" spans="1:31" ht="15" hidden="1" customHeight="1">
      <c r="A661" s="22" t="s">
        <v>2206</v>
      </c>
      <c r="B661" s="809">
        <f>GRAL!B928</f>
        <v>0</v>
      </c>
      <c r="C661" s="16">
        <f>OBRA!J663</f>
        <v>2023</v>
      </c>
      <c r="D661" s="1415"/>
      <c r="E661" s="17" t="str">
        <f>OBRA!M663</f>
        <v>CUENTA CORRIENTE</v>
      </c>
      <c r="F661" s="1170"/>
      <c r="G661" s="1108"/>
      <c r="H661" s="219"/>
      <c r="I661" s="1108"/>
      <c r="J661" s="54"/>
      <c r="K661" s="55"/>
      <c r="L661" s="19" t="str">
        <f>OBRA!N663</f>
        <v>C.P.S.P. DOP 003/2023</v>
      </c>
      <c r="M661" s="2" t="str">
        <f>OBRA!O663</f>
        <v>SERVICIOS</v>
      </c>
      <c r="N661" s="3" t="str">
        <f>OBRA!P663</f>
        <v>CONTRATACIÓN DEL SERVICIO PARA LA REALIZACIÓN DE: ESTUDIO GEOHIDROLÓGICO-GEOFÍSICO Y PROSPECCIÓN GEOFÍSICA CON FINES DE LOCALIZAR AGUA SUBTERRÁNEA EN POZO LA AZOTERA EN LA LOCALIDAD DE SAN PEDRO TESISTÁN, DEL MUNICIPIO DE JOCOTEPEC, JALISCO.</v>
      </c>
      <c r="O661" s="541"/>
      <c r="P661" s="6">
        <f>OBRA!S663</f>
        <v>44928</v>
      </c>
      <c r="Q661" s="4">
        <f>OBRA!R663</f>
        <v>17400</v>
      </c>
      <c r="R661" s="5">
        <f>OBRA!T663</f>
        <v>44928</v>
      </c>
      <c r="S661" s="11">
        <f>OBRA!U663</f>
        <v>44957</v>
      </c>
      <c r="T661" s="692"/>
      <c r="U661" s="203"/>
      <c r="V661" s="508"/>
      <c r="W661" s="509"/>
      <c r="X661" s="534">
        <f>OBRA!AR663</f>
        <v>0</v>
      </c>
      <c r="Y661" s="309"/>
      <c r="Z661" s="309"/>
      <c r="AA661" s="5"/>
      <c r="AB661" s="313"/>
      <c r="AC661" s="317">
        <f>OBRA!BW663</f>
        <v>0</v>
      </c>
      <c r="AD661" s="352"/>
      <c r="AE661" s="352"/>
    </row>
    <row r="662" spans="1:31" ht="15" hidden="1" customHeight="1">
      <c r="A662" s="22" t="s">
        <v>2206</v>
      </c>
      <c r="B662" s="809">
        <f>GRAL!B929</f>
        <v>0</v>
      </c>
      <c r="C662" s="16">
        <f>OBRA!J664</f>
        <v>2023</v>
      </c>
      <c r="D662" s="1415"/>
      <c r="E662" s="17" t="str">
        <f>OBRA!M664</f>
        <v>CUENTA CORRIENTE</v>
      </c>
      <c r="F662" s="1170"/>
      <c r="G662" s="1108"/>
      <c r="H662" s="219"/>
      <c r="I662" s="1108"/>
      <c r="J662" s="54"/>
      <c r="K662" s="55"/>
      <c r="L662" s="19" t="str">
        <f>OBRA!N664</f>
        <v>C.P.S.P. DOP 004/2023</v>
      </c>
      <c r="M662" s="2" t="str">
        <f>OBRA!O664</f>
        <v>SERVICIOS</v>
      </c>
      <c r="N662" s="3" t="str">
        <f>OBRA!P664</f>
        <v>CONTRATACIÓN PARA LA REALIZACIÓN DEL SIGUIENTE LEVANTAMIENTO TOPOGRÁFICO: PARA EL PROYECTO; REHABILITACIÓN DE UNIDAD DEPORTIVA DONATO GUERRA SUR, EN LA CABECERA MUNICIPAL DE JOCOTEPEC, JALISCO.</v>
      </c>
      <c r="O662" s="541"/>
      <c r="P662" s="6">
        <f>OBRA!S664</f>
        <v>44953</v>
      </c>
      <c r="Q662" s="4">
        <f>OBRA!R664</f>
        <v>25520</v>
      </c>
      <c r="R662" s="5">
        <f>OBRA!T664</f>
        <v>44958</v>
      </c>
      <c r="S662" s="11">
        <f>OBRA!U664</f>
        <v>44960</v>
      </c>
      <c r="T662" s="692"/>
      <c r="U662" s="203"/>
      <c r="V662" s="508"/>
      <c r="W662" s="509"/>
      <c r="X662" s="534">
        <f>OBRA!AR664</f>
        <v>0</v>
      </c>
      <c r="Y662" s="309"/>
      <c r="Z662" s="309"/>
      <c r="AA662" s="5"/>
      <c r="AB662" s="313"/>
      <c r="AC662" s="317">
        <f>OBRA!BW664</f>
        <v>0</v>
      </c>
      <c r="AD662" s="352"/>
      <c r="AE662" s="352"/>
    </row>
    <row r="663" spans="1:31" ht="15" hidden="1" customHeight="1">
      <c r="A663" s="22" t="s">
        <v>2206</v>
      </c>
      <c r="B663" s="809">
        <f>GRAL!B930</f>
        <v>0</v>
      </c>
      <c r="C663" s="16">
        <f>OBRA!J665</f>
        <v>2023</v>
      </c>
      <c r="D663" s="1415"/>
      <c r="E663" s="17" t="str">
        <f>OBRA!M665</f>
        <v>CUENTA CORRIENTE</v>
      </c>
      <c r="F663" s="1170"/>
      <c r="G663" s="1108"/>
      <c r="H663" s="219"/>
      <c r="I663" s="1108"/>
      <c r="J663" s="54"/>
      <c r="K663" s="55"/>
      <c r="L663" s="19" t="str">
        <f>OBRA!N665</f>
        <v>C.P.S.P. DOP 005/2023</v>
      </c>
      <c r="M663" s="2" t="str">
        <f>OBRA!O665</f>
        <v>SERVICIOS</v>
      </c>
      <c r="N663" s="3" t="str">
        <f>OBRA!P665</f>
        <v>CONTRATACIÓN PARA LA REALIZACIÓN DEL SIGUIENTE LEVANTAMIENTO TOPOGRÁFICO: PARA EL PROYECTO; REHABILITACIÓN DE UNIDAD DEPORTIVA ZARAGOZA NORTE, EN LA CABECERA MUNICIPAL DE JOCOTEPEC, JALISCO.</v>
      </c>
      <c r="O663" s="541"/>
      <c r="P663" s="6">
        <f>OBRA!S665</f>
        <v>44953</v>
      </c>
      <c r="Q663" s="4">
        <f>OBRA!R665</f>
        <v>17400</v>
      </c>
      <c r="R663" s="5">
        <f>OBRA!T665</f>
        <v>44960</v>
      </c>
      <c r="S663" s="11">
        <f>OBRA!U665</f>
        <v>44962</v>
      </c>
      <c r="T663" s="692"/>
      <c r="U663" s="203"/>
      <c r="V663" s="508"/>
      <c r="W663" s="509"/>
      <c r="X663" s="534">
        <f>OBRA!AR665</f>
        <v>0</v>
      </c>
      <c r="Y663" s="309"/>
      <c r="Z663" s="309"/>
      <c r="AA663" s="5"/>
      <c r="AB663" s="313"/>
      <c r="AC663" s="317">
        <f>OBRA!BW665</f>
        <v>0</v>
      </c>
      <c r="AD663" s="352"/>
      <c r="AE663" s="352"/>
    </row>
    <row r="664" spans="1:31" ht="15" hidden="1" customHeight="1">
      <c r="A664" s="22" t="s">
        <v>2206</v>
      </c>
      <c r="B664" s="809">
        <f>GRAL!B931</f>
        <v>0</v>
      </c>
      <c r="C664" s="16">
        <f>OBRA!J666</f>
        <v>2023</v>
      </c>
      <c r="D664" s="1415"/>
      <c r="E664" s="17" t="str">
        <f>OBRA!M666</f>
        <v>CUENTA CORRIENTE</v>
      </c>
      <c r="F664" s="1170"/>
      <c r="G664" s="1108"/>
      <c r="H664" s="219"/>
      <c r="I664" s="1108"/>
      <c r="J664" s="54"/>
      <c r="K664" s="55"/>
      <c r="L664" s="19" t="str">
        <f>OBRA!N666</f>
        <v>C.P.S.P. DOP 006/2023</v>
      </c>
      <c r="M664" s="2" t="str">
        <f>OBRA!O666</f>
        <v>SERVICIOS</v>
      </c>
      <c r="N664" s="3" t="str">
        <f>OBRA!P666</f>
        <v>CONTRACIÓN DEL SERVICIO PARA: LOCALIZACIÓN DE AGUA EN PREDIO PARA SU POSIBLE PERFORACIÓN DE POZO PROFUNDO POR MEDIO DE LA TÉCNICA DE RADIESTESIA UBICADO EN CALLE FLAMINGOS, EN LA LOCALIDAD DE NEXTIPAC, DEL MUNICIPIO DE JOCOTEPEC, JALISCO.</v>
      </c>
      <c r="O664" s="541"/>
      <c r="P664" s="6">
        <f>OBRA!S666</f>
        <v>44929</v>
      </c>
      <c r="Q664" s="4">
        <f>OBRA!R666</f>
        <v>3500</v>
      </c>
      <c r="R664" s="5">
        <f>OBRA!T666</f>
        <v>44931</v>
      </c>
      <c r="S664" s="11">
        <f>OBRA!U666</f>
        <v>44931</v>
      </c>
      <c r="T664" s="692"/>
      <c r="U664" s="203"/>
      <c r="V664" s="508"/>
      <c r="W664" s="509"/>
      <c r="X664" s="534">
        <f>OBRA!AR666</f>
        <v>0</v>
      </c>
      <c r="Y664" s="309"/>
      <c r="Z664" s="309"/>
      <c r="AA664" s="5"/>
      <c r="AB664" s="313"/>
      <c r="AC664" s="317">
        <f>OBRA!BW666</f>
        <v>0</v>
      </c>
      <c r="AD664" s="352"/>
      <c r="AE664" s="352"/>
    </row>
    <row r="665" spans="1:31" ht="15" hidden="1" customHeight="1">
      <c r="A665" s="22" t="s">
        <v>2206</v>
      </c>
      <c r="B665" s="809">
        <f>GRAL!B932</f>
        <v>0</v>
      </c>
      <c r="C665" s="16">
        <f>OBRA!J667</f>
        <v>2023</v>
      </c>
      <c r="D665" s="1415"/>
      <c r="E665" s="17" t="str">
        <f>OBRA!M667</f>
        <v>CUENTA CORRIENTE</v>
      </c>
      <c r="F665" s="1170"/>
      <c r="G665" s="1108"/>
      <c r="H665" s="219"/>
      <c r="I665" s="1108"/>
      <c r="J665" s="54"/>
      <c r="K665" s="55"/>
      <c r="L665" s="19" t="str">
        <f>OBRA!N667</f>
        <v>C.P.S.P. DOP 007/2023</v>
      </c>
      <c r="M665" s="2" t="str">
        <f>OBRA!O667</f>
        <v>SERVICIOS</v>
      </c>
      <c r="N665" s="3" t="str">
        <f>OBRA!P667</f>
        <v>CONTRACIÓN DEL SERVICIO PARA: LOCALIZACIÓN DE AGUA EN PREDIO PARA SU POSIBLE PERFORACIÓN DE POZO PROFUNDO POR MEDIO DE LA TÉCNICA DE RADIESTESIA UBICADO EN CALLE LA PUERTA, EN LA LOCALIDAD DE SAN JUAN COSALÁ, DEL MUNICIPIO DE JOCOTEPEC, JALISCO.</v>
      </c>
      <c r="O665" s="541"/>
      <c r="P665" s="6">
        <f>OBRA!S667</f>
        <v>44970</v>
      </c>
      <c r="Q665" s="4">
        <f>OBRA!R667</f>
        <v>3500</v>
      </c>
      <c r="R665" s="5">
        <f>OBRA!T667</f>
        <v>44972</v>
      </c>
      <c r="S665" s="11">
        <f>OBRA!U667</f>
        <v>44972</v>
      </c>
      <c r="T665" s="692"/>
      <c r="U665" s="203"/>
      <c r="V665" s="508"/>
      <c r="W665" s="509"/>
      <c r="X665" s="534">
        <f>OBRA!AR667</f>
        <v>0</v>
      </c>
      <c r="Y665" s="309"/>
      <c r="Z665" s="309"/>
      <c r="AA665" s="5"/>
      <c r="AB665" s="313"/>
      <c r="AC665" s="317">
        <f>OBRA!BW667</f>
        <v>0</v>
      </c>
      <c r="AD665" s="352"/>
      <c r="AE665" s="352"/>
    </row>
    <row r="666" spans="1:31" ht="15" hidden="1" customHeight="1">
      <c r="A666" s="22" t="s">
        <v>2206</v>
      </c>
      <c r="B666" s="809">
        <f>GRAL!B933</f>
        <v>0</v>
      </c>
      <c r="C666" s="16">
        <f>OBRA!J668</f>
        <v>2023</v>
      </c>
      <c r="D666" s="1415"/>
      <c r="E666" s="17" t="str">
        <f>OBRA!M668</f>
        <v>CUENTA CORRIENTE</v>
      </c>
      <c r="F666" s="1170"/>
      <c r="G666" s="1108"/>
      <c r="H666" s="219"/>
      <c r="I666" s="1108"/>
      <c r="J666" s="54"/>
      <c r="K666" s="55"/>
      <c r="L666" s="19" t="str">
        <f>OBRA!N668</f>
        <v>C.P.S.P. DOP 008/2023</v>
      </c>
      <c r="M666" s="2" t="str">
        <f>OBRA!O668</f>
        <v>SERVICIOS</v>
      </c>
      <c r="N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1"/>
      <c r="P666" s="6">
        <f>OBRA!S668</f>
        <v>44978</v>
      </c>
      <c r="Q666" s="4">
        <f>OBRA!R668</f>
        <v>22272</v>
      </c>
      <c r="R666" s="5">
        <f>OBRA!T668</f>
        <v>44979</v>
      </c>
      <c r="S666" s="11">
        <f>OBRA!U668</f>
        <v>44979</v>
      </c>
      <c r="T666" s="692"/>
      <c r="U666" s="203"/>
      <c r="V666" s="508"/>
      <c r="W666" s="509"/>
      <c r="X666" s="534">
        <f>OBRA!AR668</f>
        <v>0</v>
      </c>
      <c r="Y666" s="309"/>
      <c r="Z666" s="309"/>
      <c r="AA666" s="5"/>
      <c r="AB666" s="313"/>
      <c r="AC666" s="317">
        <f>OBRA!BW668</f>
        <v>0</v>
      </c>
      <c r="AD666" s="352"/>
      <c r="AE666" s="352"/>
    </row>
    <row r="667" spans="1:31" ht="15" hidden="1" customHeight="1">
      <c r="A667" s="22" t="s">
        <v>2206</v>
      </c>
      <c r="B667" s="809">
        <f>GRAL!B934</f>
        <v>0</v>
      </c>
      <c r="C667" s="16">
        <f>OBRA!J669</f>
        <v>2023</v>
      </c>
      <c r="D667" s="1415"/>
      <c r="E667" s="17" t="str">
        <f>OBRA!M669</f>
        <v>CUENTA CORRIENTE</v>
      </c>
      <c r="F667" s="1170"/>
      <c r="G667" s="1108"/>
      <c r="H667" s="219"/>
      <c r="I667" s="1108"/>
      <c r="J667" s="54"/>
      <c r="K667" s="55"/>
      <c r="L667" s="19" t="str">
        <f>OBRA!N669</f>
        <v>C.P.S.P. DOP 009/2023</v>
      </c>
      <c r="M667" s="2" t="str">
        <f>OBRA!O669</f>
        <v>SERVICIOS</v>
      </c>
      <c r="N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1"/>
      <c r="P667" s="6">
        <f>OBRA!S669</f>
        <v>45007</v>
      </c>
      <c r="Q667" s="4">
        <f>OBRA!R669</f>
        <v>20880</v>
      </c>
      <c r="R667" s="5">
        <f>OBRA!T669</f>
        <v>45009</v>
      </c>
      <c r="S667" s="11">
        <f>OBRA!U669</f>
        <v>45016</v>
      </c>
      <c r="T667" s="692"/>
      <c r="U667" s="203"/>
      <c r="V667" s="508"/>
      <c r="W667" s="509"/>
      <c r="X667" s="534">
        <f>OBRA!AR669</f>
        <v>0</v>
      </c>
      <c r="Y667" s="309"/>
      <c r="Z667" s="309"/>
      <c r="AA667" s="5"/>
      <c r="AB667" s="313"/>
      <c r="AC667" s="317">
        <f>OBRA!BW669</f>
        <v>0</v>
      </c>
      <c r="AD667" s="352"/>
      <c r="AE667" s="352"/>
    </row>
    <row r="668" spans="1:31" ht="15" hidden="1" customHeight="1">
      <c r="A668" s="22" t="s">
        <v>2206</v>
      </c>
      <c r="B668" s="809">
        <f>GRAL!B935</f>
        <v>0</v>
      </c>
      <c r="C668" s="16">
        <f>OBRA!J670</f>
        <v>2023</v>
      </c>
      <c r="D668" s="1415"/>
      <c r="E668" s="17" t="str">
        <f>OBRA!M670</f>
        <v>CUENTA CORRIENTE</v>
      </c>
      <c r="F668" s="1170"/>
      <c r="G668" s="1108"/>
      <c r="H668" s="219"/>
      <c r="I668" s="1108"/>
      <c r="J668" s="54"/>
      <c r="K668" s="55"/>
      <c r="L668" s="19" t="str">
        <f>OBRA!N670</f>
        <v>C.P.S.P. DOP 010/2023</v>
      </c>
      <c r="M668" s="2" t="str">
        <f>OBRA!O670</f>
        <v>SERVICIOS</v>
      </c>
      <c r="N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1"/>
      <c r="P668" s="6">
        <f>OBRA!S670</f>
        <v>45009</v>
      </c>
      <c r="Q668" s="4">
        <f>OBRA!R670</f>
        <v>27839.999999999996</v>
      </c>
      <c r="R668" s="5">
        <f>OBRA!T670</f>
        <v>45013</v>
      </c>
      <c r="S668" s="11">
        <f>OBRA!U670</f>
        <v>45016</v>
      </c>
      <c r="T668" s="692"/>
      <c r="U668" s="203"/>
      <c r="V668" s="508"/>
      <c r="W668" s="509"/>
      <c r="X668" s="534">
        <f>OBRA!AR670</f>
        <v>0</v>
      </c>
      <c r="Y668" s="309"/>
      <c r="Z668" s="309"/>
      <c r="AA668" s="5"/>
      <c r="AB668" s="313"/>
      <c r="AC668" s="317">
        <f>OBRA!BW670</f>
        <v>0</v>
      </c>
      <c r="AD668" s="352"/>
      <c r="AE668" s="352"/>
    </row>
    <row r="669" spans="1:31" ht="15" hidden="1" customHeight="1">
      <c r="A669" s="22" t="s">
        <v>2206</v>
      </c>
      <c r="B669" s="809">
        <f>GRAL!B937</f>
        <v>0</v>
      </c>
      <c r="C669" s="16">
        <f>OBRA!J671</f>
        <v>2023</v>
      </c>
      <c r="D669" s="1415"/>
      <c r="E669" s="17" t="str">
        <f>OBRA!M671</f>
        <v>CUENTA CORRIENTE</v>
      </c>
      <c r="F669" s="1170"/>
      <c r="G669" s="1108"/>
      <c r="H669" s="219"/>
      <c r="I669" s="1108"/>
      <c r="J669" s="54"/>
      <c r="K669" s="55"/>
      <c r="L669" s="19" t="str">
        <f>OBRA!N671</f>
        <v>C.P.S.P. DOP 011/2023</v>
      </c>
      <c r="M669" s="2" t="str">
        <f>OBRA!O671</f>
        <v>SERVICIOS</v>
      </c>
      <c r="N669" s="3" t="str">
        <f>OBRA!P671</f>
        <v>CONTRATACIÓN PARA LA REALIZACIÓN DE: ESTUDIO GEOHIDROLÓGICO-GEOFÍSICO CON FINES DE LOCALIZAR AGUA SUBTERRÁNEA EN PREDIO DENOMINADO "LA AZOTERA" UBICADO EN LA LOCALIDAD DE SAN PEDRO TESISTÁN, DEL MUNICIPIO DE JOCOTEPEC, JALISCO.</v>
      </c>
      <c r="O669" s="541"/>
      <c r="P669" s="6">
        <f>OBRA!S671</f>
        <v>44988</v>
      </c>
      <c r="Q669" s="4">
        <f>OBRA!R671</f>
        <v>18560</v>
      </c>
      <c r="R669" s="5">
        <f>OBRA!T671</f>
        <v>44991</v>
      </c>
      <c r="S669" s="11">
        <f>OBRA!U671</f>
        <v>44995</v>
      </c>
      <c r="T669" s="692"/>
      <c r="U669" s="203"/>
      <c r="V669" s="508"/>
      <c r="W669" s="509"/>
      <c r="X669" s="534">
        <f>OBRA!AR671</f>
        <v>0</v>
      </c>
      <c r="Y669" s="309"/>
      <c r="Z669" s="309"/>
      <c r="AA669" s="5"/>
      <c r="AB669" s="313"/>
      <c r="AC669" s="317">
        <f>OBRA!BW671</f>
        <v>0</v>
      </c>
      <c r="AD669" s="352"/>
      <c r="AE669" s="352"/>
    </row>
    <row r="670" spans="1:31" ht="15" hidden="1" customHeight="1">
      <c r="A670" s="22" t="s">
        <v>2206</v>
      </c>
      <c r="B670" s="809">
        <f>GRAL!B938</f>
        <v>0</v>
      </c>
      <c r="C670" s="16">
        <f>OBRA!J672</f>
        <v>2023</v>
      </c>
      <c r="D670" s="1415"/>
      <c r="E670" s="17" t="str">
        <f>OBRA!M672</f>
        <v>CUENTA CORRIENTE</v>
      </c>
      <c r="F670" s="1170"/>
      <c r="G670" s="1108"/>
      <c r="H670" s="219"/>
      <c r="I670" s="1108"/>
      <c r="J670" s="54"/>
      <c r="K670" s="55"/>
      <c r="L670" s="19" t="str">
        <f>OBRA!N672</f>
        <v>C.P.S.P. DOP 012/2023</v>
      </c>
      <c r="M670" s="2" t="str">
        <f>OBRA!O672</f>
        <v>SERVICIOS</v>
      </c>
      <c r="N670" s="3" t="str">
        <f>OBRA!P672</f>
        <v>CONTRATACIÓN PARA LA REALIZACIÓN DE: ESTUDIO GEOHIDROLÓGICO-GEOFÍSICO CON FINES DE LOCALIZAR AGUA SUBTERRÁNEA EN PREDIO DENOMINADO "LA PUERTA" UBICADO EN LA LOCALIDAD DE SAN JUAN COSALÁ, DEL MUNICIPIO DE JOCOTEPEC, JALISCO.</v>
      </c>
      <c r="O670" s="541"/>
      <c r="P670" s="6">
        <f>OBRA!S672</f>
        <v>44995</v>
      </c>
      <c r="Q670" s="4">
        <f>OBRA!R672</f>
        <v>18560</v>
      </c>
      <c r="R670" s="5">
        <f>OBRA!T672</f>
        <v>44998</v>
      </c>
      <c r="S670" s="11">
        <f>OBRA!U672</f>
        <v>45002</v>
      </c>
      <c r="T670" s="692"/>
      <c r="U670" s="203"/>
      <c r="V670" s="508"/>
      <c r="W670" s="509"/>
      <c r="X670" s="534">
        <f>OBRA!AR672</f>
        <v>0</v>
      </c>
      <c r="Y670" s="309"/>
      <c r="Z670" s="309"/>
      <c r="AA670" s="5"/>
      <c r="AB670" s="313"/>
      <c r="AC670" s="317">
        <f>OBRA!BW672</f>
        <v>0</v>
      </c>
      <c r="AD670" s="352"/>
      <c r="AE670" s="352"/>
    </row>
    <row r="671" spans="1:31" ht="15" hidden="1" customHeight="1">
      <c r="A671" s="22" t="s">
        <v>2206</v>
      </c>
      <c r="B671" s="809">
        <f>GRAL!B939</f>
        <v>0</v>
      </c>
      <c r="C671" s="16">
        <f>OBRA!J673</f>
        <v>2023</v>
      </c>
      <c r="D671" s="1415"/>
      <c r="E671" s="17" t="str">
        <f>OBRA!M673</f>
        <v>CUENTA CORRIENTE</v>
      </c>
      <c r="F671" s="1170"/>
      <c r="G671" s="1108"/>
      <c r="H671" s="219"/>
      <c r="I671" s="1108"/>
      <c r="J671" s="54"/>
      <c r="K671" s="55"/>
      <c r="L671" s="19" t="str">
        <f>OBRA!N673</f>
        <v>C.P.S.P. DOP 013/2023</v>
      </c>
      <c r="M671" s="2" t="str">
        <f>OBRA!O673</f>
        <v>SERVICIOS</v>
      </c>
      <c r="N671" s="3" t="str">
        <f>OBRA!P673</f>
        <v>CONTRATACIÓN PARA LA REALIZACIÓN DE: ESTUDIO GEOHIDROLÓGICO-GEOFÍSICO CON FINES DE LOCALIZAR AGUA SUBTERRÁNEA EN ATRIO DEL TEMPLO DEL SR. DEL MONTE UBICADO EN LA CABECERA MUNICIPAL DE JOCOTEPEC, JALISCO.</v>
      </c>
      <c r="O671" s="541"/>
      <c r="P671" s="6">
        <f>OBRA!S673</f>
        <v>45002</v>
      </c>
      <c r="Q671" s="4">
        <f>OBRA!R673</f>
        <v>18560</v>
      </c>
      <c r="R671" s="5">
        <f>OBRA!T673</f>
        <v>45005</v>
      </c>
      <c r="S671" s="11">
        <f>OBRA!U673</f>
        <v>45009</v>
      </c>
      <c r="T671" s="692"/>
      <c r="U671" s="203"/>
      <c r="V671" s="508"/>
      <c r="W671" s="509"/>
      <c r="X671" s="534">
        <f>OBRA!AR673</f>
        <v>0</v>
      </c>
      <c r="Y671" s="309"/>
      <c r="Z671" s="309"/>
      <c r="AA671" s="5"/>
      <c r="AB671" s="313"/>
      <c r="AC671" s="317">
        <f>OBRA!BW673</f>
        <v>0</v>
      </c>
      <c r="AD671" s="352"/>
      <c r="AE671" s="352"/>
    </row>
    <row r="672" spans="1:31" ht="15" hidden="1" customHeight="1">
      <c r="A672" s="22" t="s">
        <v>2206</v>
      </c>
      <c r="B672" s="809">
        <f>GRAL!B940</f>
        <v>0</v>
      </c>
      <c r="C672" s="16">
        <f>OBRA!J674</f>
        <v>2023</v>
      </c>
      <c r="D672" s="1415"/>
      <c r="E672" s="17" t="str">
        <f>OBRA!M674</f>
        <v>CUENTA CORRIENTE</v>
      </c>
      <c r="F672" s="1170"/>
      <c r="G672" s="1108"/>
      <c r="H672" s="219"/>
      <c r="I672" s="1108"/>
      <c r="J672" s="54"/>
      <c r="K672" s="55"/>
      <c r="L672" s="19" t="str">
        <f>OBRA!N674</f>
        <v>C.P.S.P. DOP 014/2023</v>
      </c>
      <c r="M672" s="2" t="str">
        <f>OBRA!O674</f>
        <v>SERVICIOS</v>
      </c>
      <c r="N672" s="3" t="str">
        <f>OBRA!P674</f>
        <v>CONTRATACIÓN PARA LA REALIZACIÓN DE: ESTUDIO GEOHIDROLÓGICO-GEOFÍSICO CON FINES DE LOCALIZAR AGUA SUBTERRÁNEA EN CALLE VICENTE GUERRERO NORTE UBICADO EN LA LOCALICAS DE SAN JUAN COSALÁ, DEL MUNICIPIO DE JOCOTEPEC, JALISCO.</v>
      </c>
      <c r="O672" s="541"/>
      <c r="P672" s="6">
        <f>OBRA!S674</f>
        <v>45001</v>
      </c>
      <c r="Q672" s="4">
        <f>OBRA!R674</f>
        <v>18560</v>
      </c>
      <c r="R672" s="5">
        <f>OBRA!T674</f>
        <v>45005</v>
      </c>
      <c r="S672" s="11">
        <f>OBRA!U674</f>
        <v>45009</v>
      </c>
      <c r="T672" s="692"/>
      <c r="U672" s="203"/>
      <c r="V672" s="508"/>
      <c r="W672" s="509"/>
      <c r="X672" s="534">
        <f>OBRA!AR674</f>
        <v>0</v>
      </c>
      <c r="Y672" s="309"/>
      <c r="Z672" s="309"/>
      <c r="AA672" s="5"/>
      <c r="AB672" s="313"/>
      <c r="AC672" s="317">
        <f>OBRA!BW674</f>
        <v>0</v>
      </c>
      <c r="AD672" s="352"/>
      <c r="AE672" s="352"/>
    </row>
    <row r="673" spans="1:31" ht="15" hidden="1" customHeight="1">
      <c r="A673" s="22" t="s">
        <v>2206</v>
      </c>
      <c r="B673" s="809">
        <f>GRAL!B941</f>
        <v>0</v>
      </c>
      <c r="C673" s="16">
        <f>OBRA!J675</f>
        <v>2023</v>
      </c>
      <c r="D673" s="1415"/>
      <c r="E673" s="17" t="str">
        <f>OBRA!M675</f>
        <v>CUENTA CORRIENTE</v>
      </c>
      <c r="F673" s="1170"/>
      <c r="G673" s="1108"/>
      <c r="H673" s="219"/>
      <c r="I673" s="1108"/>
      <c r="J673" s="54"/>
      <c r="K673" s="55"/>
      <c r="L673" s="19" t="str">
        <f>OBRA!N675</f>
        <v>C.P.S.P. DOP 015/2023</v>
      </c>
      <c r="M673" s="2" t="str">
        <f>OBRA!O675</f>
        <v>SERVICIOS</v>
      </c>
      <c r="N673" s="3" t="str">
        <f>OBRA!P675</f>
        <v>CONTRATACIÓN PARA LA REALIZACIÓN DEL SIGUIENTE LEVANTAMIENTO TOPOGRAFICO: PARA EL PROYECTO DE; REMODELACIÓN DE LA PLAZA PRINCIPAL DE HUEJOTITÁN, DEL MUNICIPIO DE JOCOTEPEC, JALISCO.</v>
      </c>
      <c r="O673" s="541"/>
      <c r="P673" s="6">
        <f>OBRA!S675</f>
        <v>45005</v>
      </c>
      <c r="Q673" s="4">
        <f>OBRA!R675</f>
        <v>11600</v>
      </c>
      <c r="R673" s="5">
        <f>OBRA!T675</f>
        <v>45012</v>
      </c>
      <c r="S673" s="11">
        <f>OBRA!U675</f>
        <v>45016</v>
      </c>
      <c r="T673" s="692"/>
      <c r="U673" s="203"/>
      <c r="V673" s="508"/>
      <c r="W673" s="509"/>
      <c r="X673" s="534">
        <f>OBRA!AR675</f>
        <v>0</v>
      </c>
      <c r="Y673" s="309"/>
      <c r="Z673" s="309"/>
      <c r="AA673" s="5"/>
      <c r="AB673" s="313"/>
      <c r="AC673" s="317">
        <f>OBRA!BW675</f>
        <v>0</v>
      </c>
      <c r="AD673" s="352"/>
      <c r="AE673" s="352"/>
    </row>
    <row r="674" spans="1:31" ht="15" hidden="1" customHeight="1">
      <c r="A674" s="22" t="s">
        <v>2206</v>
      </c>
      <c r="B674" s="809">
        <f>GRAL!B942</f>
        <v>0</v>
      </c>
      <c r="C674" s="16">
        <f>OBRA!J676</f>
        <v>2023</v>
      </c>
      <c r="D674" s="1415"/>
      <c r="E674" s="17" t="str">
        <f>OBRA!M676</f>
        <v>CUENTA CORRIENTE</v>
      </c>
      <c r="F674" s="1170"/>
      <c r="G674" s="1108"/>
      <c r="H674" s="219"/>
      <c r="I674" s="1108"/>
      <c r="J674" s="54"/>
      <c r="K674" s="55"/>
      <c r="L674" s="19" t="str">
        <f>OBRA!N676</f>
        <v>C.P.S.P. DOP 016/2023</v>
      </c>
      <c r="M674" s="2" t="str">
        <f>OBRA!O676</f>
        <v>SERVICIOS</v>
      </c>
      <c r="N674" s="3" t="str">
        <f>OBRA!P680</f>
        <v>CONTRATACIÓN PARA LA REALIZACIÓN DE LOS SIGUIENTES LEVANTAMIENTOS TOPOGRAFICOS: DE LAS OBRAS DEL PROGRAMA "EMPEDRADOS PARA LA REACTIVACIÓN ECONÓMICA EN MUNICIPIOS" EJERCICIO FISCAL 2022.</v>
      </c>
      <c r="O674" s="541"/>
      <c r="P674" s="6">
        <f>OBRA!S680</f>
        <v>45118</v>
      </c>
      <c r="Q674" s="4">
        <f>OBRA!R680</f>
        <v>96447.573600000003</v>
      </c>
      <c r="R674" s="5">
        <f>OBRA!T680</f>
        <v>45120</v>
      </c>
      <c r="S674" s="11">
        <f>OBRA!U680</f>
        <v>45129</v>
      </c>
      <c r="T674" s="692"/>
      <c r="U674" s="203"/>
      <c r="V674" s="508"/>
      <c r="W674" s="509"/>
      <c r="X674" s="534">
        <f>OBRA!AR676</f>
        <v>0</v>
      </c>
      <c r="Y674" s="309"/>
      <c r="Z674" s="309"/>
      <c r="AA674" s="5"/>
      <c r="AB674" s="313"/>
      <c r="AC674" s="317">
        <f>OBRA!BW676</f>
        <v>0</v>
      </c>
      <c r="AD674" s="352"/>
      <c r="AE674" s="352"/>
    </row>
    <row r="675" spans="1:31" ht="15" hidden="1" customHeight="1">
      <c r="A675" s="22" t="s">
        <v>2206</v>
      </c>
      <c r="B675" s="809">
        <f>GRAL!B943</f>
        <v>0</v>
      </c>
      <c r="C675" s="16">
        <f>OBRA!J677</f>
        <v>2023</v>
      </c>
      <c r="D675" s="1415"/>
      <c r="E675" s="17" t="str">
        <f>OBRA!M677</f>
        <v>CUENTA CORRIENTE</v>
      </c>
      <c r="F675" s="1170"/>
      <c r="G675" s="1108"/>
      <c r="H675" s="219"/>
      <c r="I675" s="1108"/>
      <c r="J675" s="54"/>
      <c r="K675" s="55"/>
      <c r="L675" s="19" t="str">
        <f>OBRA!N677</f>
        <v>C.P.S.P. DOP 017/2023</v>
      </c>
      <c r="M675" s="2" t="str">
        <f>OBRA!O677</f>
        <v>SERVICIOS</v>
      </c>
      <c r="N675" s="3" t="str">
        <f>OBRA!P677</f>
        <v>CONTRATACIÓN PARA LA REALIZACIÓN DE: ESTUDIOS DE EVALUACIÓN GEOLÓGICA-GEOHIDROLÓGICA REFORZADA CON INVESTIGACIÓNES GEOFÍSICAS-ELECTROMAGNÉTICAS REALIZADAS EN EL PROYECTO PARA EL POZO LOS ARCOS, EN LA CABECERA MUNICIPAL DE JOCOTEPEC, JALISCO.</v>
      </c>
      <c r="O675" s="541"/>
      <c r="P675" s="6">
        <f>OBRA!S677</f>
        <v>45065</v>
      </c>
      <c r="Q675" s="4">
        <f>OBRA!R677</f>
        <v>23200</v>
      </c>
      <c r="R675" s="5">
        <f>OBRA!T677</f>
        <v>45068</v>
      </c>
      <c r="S675" s="11">
        <f>OBRA!U677</f>
        <v>45070</v>
      </c>
      <c r="T675" s="692"/>
      <c r="U675" s="203"/>
      <c r="V675" s="508"/>
      <c r="W675" s="509"/>
      <c r="X675" s="534">
        <f>OBRA!AR677</f>
        <v>0</v>
      </c>
      <c r="Y675" s="309"/>
      <c r="Z675" s="309"/>
      <c r="AA675" s="5"/>
      <c r="AB675" s="313"/>
      <c r="AC675" s="317">
        <f>OBRA!BW677</f>
        <v>0</v>
      </c>
      <c r="AD675" s="352"/>
      <c r="AE675" s="352"/>
    </row>
    <row r="676" spans="1:31" ht="15" hidden="1" customHeight="1">
      <c r="A676" s="22" t="s">
        <v>2206</v>
      </c>
      <c r="B676" s="809">
        <f>GRAL!B944</f>
        <v>0</v>
      </c>
      <c r="C676" s="16">
        <f>OBRA!J678</f>
        <v>2023</v>
      </c>
      <c r="D676" s="1415"/>
      <c r="E676" s="17" t="str">
        <f>OBRA!M678</f>
        <v>CUENTA CORRIENTE</v>
      </c>
      <c r="F676" s="1170"/>
      <c r="G676" s="1108"/>
      <c r="H676" s="219"/>
      <c r="I676" s="1108"/>
      <c r="J676" s="54"/>
      <c r="K676" s="55"/>
      <c r="L676" s="19" t="str">
        <f>OBRA!N678</f>
        <v>C.P.S.P. DOP 018/2023</v>
      </c>
      <c r="M676" s="2" t="str">
        <f>OBRA!O678</f>
        <v>SERVICIOS</v>
      </c>
      <c r="N676" s="3" t="str">
        <f>OBRA!P678</f>
        <v>CONTRATACIÓN PARA LA REALIZACIÓN DE: ESTUDIOS DE EVALUACIÓN GEOLÓGICA-GEOHIDROLÓGICA REFORZADA CON INVESTIGACIÓNES GEOFÍSICAS-ELECTROMAGNÉTICAS REALIZADAS EN EL PROYECTO PARA EL POZO CAMICHINES, EN LA CABECERA MUNICIPAL DE JOCOTEPEC, JALISCO.</v>
      </c>
      <c r="O676" s="541"/>
      <c r="P676" s="6">
        <f>OBRA!S678</f>
        <v>45069</v>
      </c>
      <c r="Q676" s="4">
        <f>OBRA!R678</f>
        <v>23200</v>
      </c>
      <c r="R676" s="5">
        <f>OBRA!T678</f>
        <v>45071</v>
      </c>
      <c r="S676" s="11">
        <f>OBRA!U678</f>
        <v>45072</v>
      </c>
      <c r="T676" s="692"/>
      <c r="U676" s="203"/>
      <c r="V676" s="508"/>
      <c r="W676" s="509"/>
      <c r="X676" s="534">
        <f>OBRA!AR678</f>
        <v>0</v>
      </c>
      <c r="Y676" s="309"/>
      <c r="Z676" s="309"/>
      <c r="AA676" s="5"/>
      <c r="AB676" s="313"/>
      <c r="AC676" s="317">
        <f>OBRA!BW678</f>
        <v>0</v>
      </c>
      <c r="AD676" s="352"/>
      <c r="AE676" s="352"/>
    </row>
    <row r="677" spans="1:31" ht="15" hidden="1" customHeight="1">
      <c r="A677" s="22" t="s">
        <v>2206</v>
      </c>
      <c r="B677" s="809">
        <f>GRAL!B945</f>
        <v>0</v>
      </c>
      <c r="C677" s="16">
        <f>OBRA!J679</f>
        <v>2023</v>
      </c>
      <c r="D677" s="1415"/>
      <c r="E677" s="17" t="str">
        <f>OBRA!M679</f>
        <v>CUENTA CORRIENTE</v>
      </c>
      <c r="F677" s="1170"/>
      <c r="G677" s="1108"/>
      <c r="H677" s="219"/>
      <c r="I677" s="1108"/>
      <c r="J677" s="54"/>
      <c r="K677" s="55"/>
      <c r="L677" s="19" t="str">
        <f>OBRA!N679</f>
        <v>C.P.S.P. DOP 019/2023</v>
      </c>
      <c r="M677" s="2" t="str">
        <f>OBRA!O679</f>
        <v>SERVICIOS</v>
      </c>
      <c r="N677" s="3" t="str">
        <f>OBRA!P679</f>
        <v>CONTRATACIÓN PARA LA REALIZACIÓN DEL SIGUIENTE LEVANTAMIENTO TOPOGRAFICO: PARA EL PROYECTO EJECUTIVO DEL COLECTOR DE LA CABECERA MUNICIPAL DE JOCOTEPEC, JALISCO.</v>
      </c>
      <c r="O677" s="541"/>
      <c r="P677" s="6">
        <f>OBRA!S679</f>
        <v>45099</v>
      </c>
      <c r="Q677" s="4">
        <f>OBRA!R679</f>
        <v>5999.9955999999993</v>
      </c>
      <c r="R677" s="5">
        <f>OBRA!T679</f>
        <v>45099</v>
      </c>
      <c r="S677" s="11">
        <f>OBRA!U679</f>
        <v>45103</v>
      </c>
      <c r="T677" s="692"/>
      <c r="U677" s="203"/>
      <c r="V677" s="508"/>
      <c r="W677" s="509"/>
      <c r="X677" s="534">
        <f>OBRA!AR679</f>
        <v>0</v>
      </c>
      <c r="Y677" s="309"/>
      <c r="Z677" s="309"/>
      <c r="AA677" s="5"/>
      <c r="AB677" s="313"/>
      <c r="AC677" s="317">
        <f>OBRA!BW679</f>
        <v>0</v>
      </c>
      <c r="AD677" s="352"/>
      <c r="AE677" s="352"/>
    </row>
    <row r="678" spans="1:31" ht="15" hidden="1" customHeight="1">
      <c r="A678" s="22" t="s">
        <v>2206</v>
      </c>
      <c r="B678" s="809">
        <f>GRAL!B946</f>
        <v>0</v>
      </c>
      <c r="C678" s="16">
        <f>OBRA!J680</f>
        <v>2023</v>
      </c>
      <c r="D678" s="1415"/>
      <c r="E678" s="17" t="str">
        <f>OBRA!M680</f>
        <v>CUENTA CORRIENTE</v>
      </c>
      <c r="F678" s="1170"/>
      <c r="G678" s="1108"/>
      <c r="H678" s="219"/>
      <c r="I678" s="1108"/>
      <c r="J678" s="54"/>
      <c r="K678" s="55"/>
      <c r="L678" s="19" t="str">
        <f>OBRA!N680</f>
        <v>C.P.S.P. DOP 020/2023</v>
      </c>
      <c r="M678" s="2" t="str">
        <f>OBRA!O680</f>
        <v>SERVICIOS</v>
      </c>
      <c r="N678" s="3" t="e">
        <f>OBRA!#REF!</f>
        <v>#REF!</v>
      </c>
      <c r="O678" s="541"/>
      <c r="P678" s="6" t="e">
        <f>OBRA!#REF!</f>
        <v>#REF!</v>
      </c>
      <c r="Q678" s="4" t="e">
        <f>OBRA!#REF!</f>
        <v>#REF!</v>
      </c>
      <c r="R678" s="5" t="e">
        <f>OBRA!#REF!</f>
        <v>#REF!</v>
      </c>
      <c r="S678" s="11" t="e">
        <f>OBRA!#REF!</f>
        <v>#REF!</v>
      </c>
      <c r="T678" s="692"/>
      <c r="U678" s="203"/>
      <c r="V678" s="508"/>
      <c r="W678" s="509"/>
      <c r="X678" s="534">
        <f>OBRA!AR680</f>
        <v>0</v>
      </c>
      <c r="Y678" s="309"/>
      <c r="Z678" s="309"/>
      <c r="AA678" s="5"/>
      <c r="AB678" s="313"/>
      <c r="AC678" s="317">
        <f>OBRA!BW680</f>
        <v>0</v>
      </c>
      <c r="AD678" s="352"/>
      <c r="AE678" s="352"/>
    </row>
    <row r="679" spans="1:31" ht="15" hidden="1" customHeight="1">
      <c r="A679" s="22" t="s">
        <v>2206</v>
      </c>
      <c r="B679" s="809">
        <f>GRAL!B947</f>
        <v>0</v>
      </c>
      <c r="C679" s="16">
        <f>OBRA!J681</f>
        <v>2023</v>
      </c>
      <c r="D679" s="1415"/>
      <c r="E679" s="17" t="str">
        <f>OBRA!M681</f>
        <v>CUENTA CORRIENTE</v>
      </c>
      <c r="F679" s="1170"/>
      <c r="G679" s="1108"/>
      <c r="H679" s="219"/>
      <c r="I679" s="1108"/>
      <c r="J679" s="54"/>
      <c r="K679" s="55"/>
      <c r="L679" s="19" t="str">
        <f>OBRA!N681</f>
        <v>C.P.S.P. DOP 021/2023</v>
      </c>
      <c r="M679" s="2" t="str">
        <f>OBRA!O681</f>
        <v>SERVICIOS</v>
      </c>
      <c r="N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1"/>
      <c r="P679" s="6">
        <f>OBRA!S681</f>
        <v>45131</v>
      </c>
      <c r="Q679" s="4">
        <f>OBRA!R681</f>
        <v>17400</v>
      </c>
      <c r="R679" s="5">
        <f>OBRA!T681</f>
        <v>45138</v>
      </c>
      <c r="S679" s="11">
        <f>OBRA!U681</f>
        <v>45187</v>
      </c>
      <c r="T679" s="692"/>
      <c r="U679" s="203"/>
      <c r="V679" s="508"/>
      <c r="W679" s="509"/>
      <c r="X679" s="534">
        <f>OBRA!AR681</f>
        <v>0</v>
      </c>
      <c r="Y679" s="309"/>
      <c r="Z679" s="309"/>
      <c r="AA679" s="5"/>
      <c r="AB679" s="313"/>
      <c r="AC679" s="317">
        <f>OBRA!BW681</f>
        <v>0</v>
      </c>
      <c r="AD679" s="352"/>
      <c r="AE679" s="352"/>
    </row>
    <row r="680" spans="1:31" ht="15" hidden="1" customHeight="1">
      <c r="A680" s="22" t="s">
        <v>2206</v>
      </c>
      <c r="B680" s="809">
        <f>GRAL!B948</f>
        <v>0</v>
      </c>
      <c r="C680" s="16">
        <f>OBRA!J682</f>
        <v>2023</v>
      </c>
      <c r="D680" s="1415"/>
      <c r="E680" s="17" t="str">
        <f>OBRA!M682</f>
        <v>CUENTA CORRIENTE</v>
      </c>
      <c r="F680" s="1170"/>
      <c r="G680" s="1108"/>
      <c r="H680" s="219"/>
      <c r="I680" s="1108"/>
      <c r="J680" s="54"/>
      <c r="K680" s="55"/>
      <c r="L680" s="19" t="str">
        <f>OBRA!N682</f>
        <v>C.P.S.P. DOP 022/2023</v>
      </c>
      <c r="M680" s="2" t="str">
        <f>OBRA!O682</f>
        <v>SERVICIOS</v>
      </c>
      <c r="N680" s="3" t="str">
        <f>OBRA!P682</f>
        <v>CONTRATACIÓN DE SERVICIOS PROFESIONALES PARA: REHABILITACIÓN DE ACOMETIDAS Y REACOMODO DE LA BAJA TENSIÓN EN CALLE PLAYAS DEL SOL EN LA LOCALIDAD DE CHANTEPEC, DEL MUNICIPIO DE JOCOTEPEC, JALISCO.</v>
      </c>
      <c r="O680" s="541"/>
      <c r="P680" s="6">
        <f>OBRA!S682</f>
        <v>45133</v>
      </c>
      <c r="Q680" s="4">
        <f>OBRA!R682</f>
        <v>73689.208799999993</v>
      </c>
      <c r="R680" s="5">
        <f>OBRA!T682</f>
        <v>45141</v>
      </c>
      <c r="S680" s="11">
        <f>OBRA!U682</f>
        <v>45155</v>
      </c>
      <c r="T680" s="692"/>
      <c r="U680" s="203"/>
      <c r="V680" s="508"/>
      <c r="W680" s="509"/>
      <c r="X680" s="534">
        <f>OBRA!AR682</f>
        <v>0</v>
      </c>
      <c r="Y680" s="309"/>
      <c r="Z680" s="309"/>
      <c r="AA680" s="5"/>
      <c r="AB680" s="313"/>
      <c r="AC680" s="317">
        <f>OBRA!BW682</f>
        <v>0</v>
      </c>
      <c r="AD680" s="352"/>
      <c r="AE680" s="352"/>
    </row>
    <row r="681" spans="1:31" ht="15" hidden="1" customHeight="1">
      <c r="A681" s="22" t="s">
        <v>2206</v>
      </c>
      <c r="B681" s="809">
        <f>GRAL!B949</f>
        <v>0</v>
      </c>
      <c r="C681" s="16">
        <f>OBRA!J683</f>
        <v>2023</v>
      </c>
      <c r="D681" s="1415"/>
      <c r="E681" s="17" t="str">
        <f>OBRA!M683</f>
        <v>CUENTA CORRIENTE</v>
      </c>
      <c r="F681" s="1170"/>
      <c r="G681" s="1108"/>
      <c r="H681" s="219"/>
      <c r="I681" s="1108"/>
      <c r="J681" s="54"/>
      <c r="K681" s="55"/>
      <c r="L681" s="19" t="str">
        <f>OBRA!N683</f>
        <v>C.P.S.P. DOP 023/2023</v>
      </c>
      <c r="M681" s="2" t="str">
        <f>OBRA!O683</f>
        <v>SERVICIOS</v>
      </c>
      <c r="N681" s="3" t="str">
        <f>OBRA!P683</f>
        <v>CONTRATACIÓN DE SERVICIOS PROFESIONALES PARA LA: ADECUACIONES COMPLEMENTARIAS PARA EL BUEN FUNCIONAMIENTO EN EL SERVICIO DE ENERGÍA ELÉCTRICA EN LA CICLOVÍA EN EL TRAMO DE SAN JUAN COSALÁ A NEXTIPAC, DEL MUNICIPIO DE JOCOTEPEC, JALISCO.</v>
      </c>
      <c r="O681" s="541"/>
      <c r="P681" s="6">
        <f>OBRA!S683</f>
        <v>45148</v>
      </c>
      <c r="Q681" s="4">
        <f>OBRA!R683</f>
        <v>161863.23319999999</v>
      </c>
      <c r="R681" s="5">
        <f>OBRA!T683</f>
        <v>45152</v>
      </c>
      <c r="S681" s="11">
        <f>OBRA!U683</f>
        <v>45163</v>
      </c>
      <c r="T681" s="692"/>
      <c r="U681" s="203"/>
      <c r="V681" s="508"/>
      <c r="W681" s="509"/>
      <c r="X681" s="534">
        <f>OBRA!AR683</f>
        <v>0</v>
      </c>
      <c r="Y681" s="309"/>
      <c r="Z681" s="309"/>
      <c r="AA681" s="5"/>
      <c r="AB681" s="313"/>
      <c r="AC681" s="317">
        <f>OBRA!BW683</f>
        <v>0</v>
      </c>
      <c r="AD681" s="352"/>
      <c r="AE681" s="352"/>
    </row>
    <row r="682" spans="1:31" ht="15" hidden="1" customHeight="1">
      <c r="A682" s="22" t="s">
        <v>2206</v>
      </c>
      <c r="B682" s="809">
        <f>GRAL!B950</f>
        <v>0</v>
      </c>
      <c r="C682" s="16">
        <f>OBRA!J684</f>
        <v>2023</v>
      </c>
      <c r="D682" s="1415"/>
      <c r="E682" s="17" t="str">
        <f>OBRA!M684</f>
        <v>CUENTA CORRIENTE</v>
      </c>
      <c r="F682" s="1170"/>
      <c r="G682" s="1108"/>
      <c r="H682" s="219"/>
      <c r="I682" s="1108"/>
      <c r="J682" s="54"/>
      <c r="K682" s="55"/>
      <c r="L682" s="19" t="str">
        <f>OBRA!N684</f>
        <v>C.P.S.P. DOP 024/2023</v>
      </c>
      <c r="M682" s="2" t="str">
        <f>OBRA!O684</f>
        <v>SERVICIOS</v>
      </c>
      <c r="N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1"/>
      <c r="P682" s="6">
        <f>OBRA!S684</f>
        <v>45140</v>
      </c>
      <c r="Q682" s="4">
        <f>OBRA!R684</f>
        <v>34800</v>
      </c>
      <c r="R682" s="5">
        <f>OBRA!T684</f>
        <v>45141</v>
      </c>
      <c r="S682" s="11">
        <f>OBRA!U684</f>
        <v>45143</v>
      </c>
      <c r="T682" s="692"/>
      <c r="U682" s="203"/>
      <c r="V682" s="508"/>
      <c r="W682" s="509"/>
      <c r="X682" s="534">
        <f>OBRA!AR684</f>
        <v>0</v>
      </c>
      <c r="Y682" s="309"/>
      <c r="Z682" s="309"/>
      <c r="AA682" s="5"/>
      <c r="AB682" s="313"/>
      <c r="AC682" s="317">
        <f>OBRA!BW684</f>
        <v>0</v>
      </c>
      <c r="AD682" s="352"/>
      <c r="AE682" s="352"/>
    </row>
    <row r="683" spans="1:31" ht="15" hidden="1" customHeight="1">
      <c r="A683" s="22" t="s">
        <v>2206</v>
      </c>
      <c r="B683" s="809">
        <f>GRAL!B951</f>
        <v>0</v>
      </c>
      <c r="C683" s="16">
        <f>OBRA!J685</f>
        <v>2023</v>
      </c>
      <c r="D683" s="1415"/>
      <c r="E683" s="17" t="str">
        <f>OBRA!M685</f>
        <v>CUENTA CORRIENTE</v>
      </c>
      <c r="F683" s="1170"/>
      <c r="G683" s="1108"/>
      <c r="H683" s="219"/>
      <c r="I683" s="1108"/>
      <c r="J683" s="54"/>
      <c r="K683" s="55"/>
      <c r="L683" s="19" t="str">
        <f>OBRA!N685</f>
        <v>C.P.S.P. DOP 025/2023</v>
      </c>
      <c r="M683" s="2" t="str">
        <f>OBRA!O685</f>
        <v>SERVICIOS</v>
      </c>
      <c r="N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1"/>
      <c r="P683" s="6">
        <f>OBRA!S685</f>
        <v>45140</v>
      </c>
      <c r="Q683" s="4">
        <f>OBRA!R685</f>
        <v>54531.6</v>
      </c>
      <c r="R683" s="5">
        <f>OBRA!T685</f>
        <v>45152</v>
      </c>
      <c r="S683" s="11">
        <f>OBRA!U685</f>
        <v>45155</v>
      </c>
      <c r="T683" s="692"/>
      <c r="U683" s="203"/>
      <c r="V683" s="508"/>
      <c r="W683" s="509"/>
      <c r="X683" s="534">
        <f>OBRA!AR685</f>
        <v>0</v>
      </c>
      <c r="Y683" s="309"/>
      <c r="Z683" s="309"/>
      <c r="AA683" s="5"/>
      <c r="AB683" s="313"/>
      <c r="AC683" s="317">
        <f>OBRA!BW685</f>
        <v>0</v>
      </c>
      <c r="AD683" s="352"/>
      <c r="AE683" s="352"/>
    </row>
    <row r="684" spans="1:31" ht="15" hidden="1" customHeight="1">
      <c r="A684" s="22" t="s">
        <v>2206</v>
      </c>
      <c r="B684" s="809">
        <f>GRAL!B952</f>
        <v>0</v>
      </c>
      <c r="C684" s="16">
        <f>OBRA!J686</f>
        <v>2023</v>
      </c>
      <c r="D684" s="1415"/>
      <c r="E684" s="17" t="str">
        <f>OBRA!M686</f>
        <v>CUENTA CORRIENTE</v>
      </c>
      <c r="F684" s="1170"/>
      <c r="G684" s="1108"/>
      <c r="H684" s="219"/>
      <c r="I684" s="1108"/>
      <c r="J684" s="54"/>
      <c r="K684" s="55"/>
      <c r="L684" s="19" t="str">
        <f>OBRA!N686</f>
        <v>C.P.S.P. DOP 026/2023</v>
      </c>
      <c r="M684" s="2" t="str">
        <f>OBRA!O686</f>
        <v>SERVICIOS</v>
      </c>
      <c r="N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1"/>
      <c r="P684" s="6">
        <f>OBRA!S686</f>
        <v>45140</v>
      </c>
      <c r="Q684" s="4">
        <f>OBRA!R686</f>
        <v>34800</v>
      </c>
      <c r="R684" s="5">
        <f>OBRA!T686</f>
        <v>45144</v>
      </c>
      <c r="S684" s="11">
        <f>OBRA!U686</f>
        <v>45146</v>
      </c>
      <c r="T684" s="692"/>
      <c r="U684" s="203"/>
      <c r="V684" s="508"/>
      <c r="W684" s="509"/>
      <c r="X684" s="534">
        <f>OBRA!AR686</f>
        <v>0</v>
      </c>
      <c r="Y684" s="309"/>
      <c r="Z684" s="309"/>
      <c r="AA684" s="5"/>
      <c r="AB684" s="313"/>
      <c r="AC684" s="317">
        <f>OBRA!BW686</f>
        <v>0</v>
      </c>
      <c r="AD684" s="352"/>
      <c r="AE684" s="352"/>
    </row>
    <row r="685" spans="1:31" ht="15" hidden="1" customHeight="1">
      <c r="A685" s="22" t="s">
        <v>2206</v>
      </c>
      <c r="B685" s="809">
        <f>GRAL!B953</f>
        <v>0</v>
      </c>
      <c r="C685" s="16">
        <f>OBRA!J687</f>
        <v>2023</v>
      </c>
      <c r="D685" s="1415"/>
      <c r="E685" s="17" t="str">
        <f>OBRA!M687</f>
        <v>CUENTA CORRIENTE</v>
      </c>
      <c r="F685" s="1170"/>
      <c r="G685" s="1108"/>
      <c r="H685" s="219"/>
      <c r="I685" s="1108"/>
      <c r="J685" s="54"/>
      <c r="K685" s="55"/>
      <c r="L685" s="19" t="str">
        <f>OBRA!N687</f>
        <v>C.P.S.P. DOP 027/2023</v>
      </c>
      <c r="M685" s="2" t="str">
        <f>OBRA!O687</f>
        <v>SERVICIOS</v>
      </c>
      <c r="N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O685" s="541"/>
      <c r="P685" s="6">
        <f>OBRA!S687</f>
        <v>45140</v>
      </c>
      <c r="Q685" s="4">
        <f>OBRA!R687</f>
        <v>3500</v>
      </c>
      <c r="R685" s="5">
        <f>OBRA!T687</f>
        <v>45142</v>
      </c>
      <c r="S685" s="11">
        <f>OBRA!U687</f>
        <v>45142</v>
      </c>
      <c r="T685" s="692"/>
      <c r="U685" s="203"/>
      <c r="V685" s="508"/>
      <c r="W685" s="509"/>
      <c r="X685" s="534">
        <f>OBRA!AR687</f>
        <v>0</v>
      </c>
      <c r="Y685" s="309"/>
      <c r="Z685" s="309"/>
      <c r="AA685" s="5"/>
      <c r="AB685" s="313"/>
      <c r="AC685" s="317">
        <f>OBRA!BW687</f>
        <v>0</v>
      </c>
      <c r="AD685" s="352"/>
      <c r="AE685" s="352"/>
    </row>
    <row r="686" spans="1:31" ht="15" hidden="1" customHeight="1">
      <c r="A686" s="22" t="s">
        <v>2206</v>
      </c>
      <c r="B686" s="809">
        <f>GRAL!B954</f>
        <v>0</v>
      </c>
      <c r="C686" s="16">
        <f>OBRA!J688</f>
        <v>2023</v>
      </c>
      <c r="D686" s="1415"/>
      <c r="E686" s="17" t="str">
        <f>OBRA!M688</f>
        <v>CUENTA CORRIENTE</v>
      </c>
      <c r="F686" s="1170"/>
      <c r="G686" s="1108"/>
      <c r="H686" s="219"/>
      <c r="I686" s="1108"/>
      <c r="J686" s="54"/>
      <c r="K686" s="55"/>
      <c r="L686" s="19" t="str">
        <f>OBRA!N688</f>
        <v>C.P.S.P. DOP 028/2023</v>
      </c>
      <c r="M686" s="2" t="str">
        <f>OBRA!O688</f>
        <v>SERVICIOS</v>
      </c>
      <c r="N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1"/>
      <c r="P686" s="6">
        <f>OBRA!S688</f>
        <v>45140</v>
      </c>
      <c r="Q686" s="4">
        <f>OBRA!R688</f>
        <v>3500</v>
      </c>
      <c r="R686" s="5">
        <f>OBRA!T688</f>
        <v>45143</v>
      </c>
      <c r="S686" s="11">
        <f>OBRA!U688</f>
        <v>45143</v>
      </c>
      <c r="T686" s="692"/>
      <c r="U686" s="203"/>
      <c r="V686" s="508"/>
      <c r="W686" s="509"/>
      <c r="X686" s="534">
        <f>OBRA!AR688</f>
        <v>0</v>
      </c>
      <c r="Y686" s="309"/>
      <c r="Z686" s="309"/>
      <c r="AA686" s="5"/>
      <c r="AB686" s="313"/>
      <c r="AC686" s="317">
        <f>OBRA!BW688</f>
        <v>0</v>
      </c>
      <c r="AD686" s="352"/>
      <c r="AE686" s="352"/>
    </row>
    <row r="687" spans="1:31" ht="15" hidden="1" customHeight="1">
      <c r="A687" s="22" t="s">
        <v>2206</v>
      </c>
      <c r="B687" s="809">
        <f>GRAL!B955</f>
        <v>0</v>
      </c>
      <c r="C687" s="16">
        <f>OBRA!J689</f>
        <v>2023</v>
      </c>
      <c r="D687" s="1415"/>
      <c r="E687" s="17" t="str">
        <f>OBRA!M689</f>
        <v>CUENTA CORRIENTE</v>
      </c>
      <c r="F687" s="1170"/>
      <c r="G687" s="1108"/>
      <c r="H687" s="219"/>
      <c r="I687" s="1108"/>
      <c r="J687" s="54"/>
      <c r="K687" s="55"/>
      <c r="L687" s="19" t="str">
        <f>OBRA!N689</f>
        <v>C.P.S.P. DOP 029/2023</v>
      </c>
      <c r="M687" s="2" t="str">
        <f>OBRA!O689</f>
        <v>SERVICIOS</v>
      </c>
      <c r="N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O687" s="541"/>
      <c r="P687" s="6">
        <f>OBRA!S689</f>
        <v>45140</v>
      </c>
      <c r="Q687" s="4">
        <f>OBRA!R689</f>
        <v>3500</v>
      </c>
      <c r="R687" s="5">
        <f>OBRA!T689</f>
        <v>45145</v>
      </c>
      <c r="S687" s="11">
        <f>OBRA!U689</f>
        <v>45145</v>
      </c>
      <c r="T687" s="692"/>
      <c r="U687" s="203"/>
      <c r="V687" s="508"/>
      <c r="W687" s="509"/>
      <c r="X687" s="534">
        <f>OBRA!AR689</f>
        <v>0</v>
      </c>
      <c r="Y687" s="309"/>
      <c r="Z687" s="309"/>
      <c r="AA687" s="5"/>
      <c r="AB687" s="313"/>
      <c r="AC687" s="317">
        <f>OBRA!BW689</f>
        <v>0</v>
      </c>
      <c r="AD687" s="352"/>
      <c r="AE687" s="352"/>
    </row>
    <row r="688" spans="1:31" ht="15" hidden="1" customHeight="1">
      <c r="A688" s="22" t="s">
        <v>2206</v>
      </c>
      <c r="B688" s="809">
        <f>GRAL!B956</f>
        <v>0</v>
      </c>
      <c r="C688" s="16">
        <f>OBRA!J690</f>
        <v>2023</v>
      </c>
      <c r="D688" s="1415"/>
      <c r="E688" s="17" t="str">
        <f>OBRA!M690</f>
        <v>CUENTA CORRIENTE</v>
      </c>
      <c r="F688" s="1170"/>
      <c r="G688" s="1108"/>
      <c r="H688" s="219"/>
      <c r="I688" s="1108"/>
      <c r="J688" s="54"/>
      <c r="K688" s="55"/>
      <c r="L688" s="19" t="str">
        <f>OBRA!N690</f>
        <v>C.P.S.P. DOP 030/2023</v>
      </c>
      <c r="M688" s="2" t="str">
        <f>OBRA!O690</f>
        <v>SERVICIOS</v>
      </c>
      <c r="N688" s="3" t="str">
        <f>OBRA!P690</f>
        <v>CONTRATACIÓN DE SERVICIOS PROFESIONALES PARA: TRABAJOS DIVERSOS EN CICLOVÍA DEL CADENAMIENTO 20.290976-103.410383 AL CADENAMIENTO 20.289391-103.349097 CON LA MANO DE OBRA CALIFICADA  EN EL TRAMO DE SAN JUAN COSALÁ, MUNICIPIO DE JOCOTEPEC, JALISCO.</v>
      </c>
      <c r="O688" s="541"/>
      <c r="P688" s="6">
        <f>OBRA!S690</f>
        <v>45168</v>
      </c>
      <c r="Q688" s="4">
        <f>OBRA!R690</f>
        <v>50489.60319999999</v>
      </c>
      <c r="R688" s="5">
        <f>OBRA!T690</f>
        <v>45175</v>
      </c>
      <c r="S688" s="11">
        <f>OBRA!U690</f>
        <v>45184</v>
      </c>
      <c r="T688" s="692"/>
      <c r="U688" s="203"/>
      <c r="V688" s="508"/>
      <c r="W688" s="509"/>
      <c r="X688" s="534">
        <f>OBRA!AR690</f>
        <v>0</v>
      </c>
      <c r="Y688" s="309"/>
      <c r="Z688" s="309"/>
      <c r="AA688" s="5"/>
      <c r="AB688" s="313"/>
      <c r="AC688" s="317">
        <f>OBRA!BW690</f>
        <v>0</v>
      </c>
      <c r="AD688" s="352"/>
      <c r="AE688" s="352"/>
    </row>
    <row r="689" spans="1:31" ht="15" hidden="1" customHeight="1">
      <c r="A689" s="22" t="s">
        <v>2206</v>
      </c>
      <c r="B689" s="809">
        <f>GRAL!B957</f>
        <v>0</v>
      </c>
      <c r="C689" s="16">
        <f>OBRA!J691</f>
        <v>2023</v>
      </c>
      <c r="D689" s="1415"/>
      <c r="E689" s="17" t="str">
        <f>OBRA!M691</f>
        <v>CUENTA CORRIENTE</v>
      </c>
      <c r="F689" s="1170"/>
      <c r="G689" s="1108"/>
      <c r="H689" s="219"/>
      <c r="I689" s="1108"/>
      <c r="J689" s="54"/>
      <c r="K689" s="55"/>
      <c r="L689" s="19" t="str">
        <f>OBRA!N691</f>
        <v>C.P.S.P. DOP 031/2023</v>
      </c>
      <c r="M689" s="2" t="str">
        <f>OBRA!O691</f>
        <v>SERVICIOS</v>
      </c>
      <c r="N689" s="3" t="str">
        <f>OBRA!P691</f>
        <v>CONTRATACIÓN DE SERVICIOS PROFESIONALES PARA: TRABAJOS DIVERSOS EN CICLOVÍA DEL CADENAMIENTO 20.29097-103.41065 AL CADENAMIENTO 20.289768-103.313651 CON LA MANO DE OBRA CALIFICADA  EN EL TRAMO DE SAN JUAN COSALÁ-NEXTIPAC, MUNICIPIO DE JOCOTEPEC, JALISCO.</v>
      </c>
      <c r="O689" s="541"/>
      <c r="P689" s="6">
        <f>OBRA!S691</f>
        <v>45168</v>
      </c>
      <c r="Q689" s="4">
        <f>OBRA!R691</f>
        <v>142089.26999999999</v>
      </c>
      <c r="R689" s="5">
        <f>OBRA!T691</f>
        <v>45180</v>
      </c>
      <c r="S689" s="11">
        <f>OBRA!U691</f>
        <v>45197</v>
      </c>
      <c r="T689" s="692"/>
      <c r="U689" s="203"/>
      <c r="V689" s="508"/>
      <c r="W689" s="509"/>
      <c r="X689" s="534">
        <f>OBRA!AR691</f>
        <v>0</v>
      </c>
      <c r="Y689" s="309"/>
      <c r="Z689" s="309"/>
      <c r="AA689" s="5"/>
      <c r="AB689" s="313"/>
      <c r="AC689" s="317">
        <f>OBRA!BW691</f>
        <v>0</v>
      </c>
      <c r="AD689" s="352"/>
      <c r="AE689" s="352"/>
    </row>
    <row r="690" spans="1:31" ht="15" hidden="1" customHeight="1">
      <c r="A690" s="22" t="s">
        <v>2206</v>
      </c>
      <c r="B690" s="809">
        <f>GRAL!B958</f>
        <v>0</v>
      </c>
      <c r="C690" s="16">
        <f>OBRA!J692</f>
        <v>2023</v>
      </c>
      <c r="D690" s="1415"/>
      <c r="E690" s="17" t="str">
        <f>OBRA!M692</f>
        <v>CUENTA CORRIENTE</v>
      </c>
      <c r="F690" s="1170"/>
      <c r="G690" s="1108"/>
      <c r="H690" s="219"/>
      <c r="I690" s="1108"/>
      <c r="J690" s="54"/>
      <c r="K690" s="55"/>
      <c r="L690" s="19" t="str">
        <f>OBRA!N692</f>
        <v>C.P.S.P. DOP 032/2023</v>
      </c>
      <c r="M690" s="2" t="str">
        <f>OBRA!O692</f>
        <v>SERVICIOS</v>
      </c>
      <c r="N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O690" s="541"/>
      <c r="P690" s="6">
        <f>OBRA!S692</f>
        <v>45173</v>
      </c>
      <c r="Q690" s="4">
        <f>OBRA!R692</f>
        <v>9860</v>
      </c>
      <c r="R690" s="5">
        <f>OBRA!T692</f>
        <v>45175</v>
      </c>
      <c r="S690" s="11">
        <f>OBRA!U692</f>
        <v>45177</v>
      </c>
      <c r="T690" s="692"/>
      <c r="U690" s="203"/>
      <c r="V690" s="508"/>
      <c r="W690" s="509"/>
      <c r="X690" s="534">
        <f>OBRA!AR692</f>
        <v>0</v>
      </c>
      <c r="Y690" s="309"/>
      <c r="Z690" s="309"/>
      <c r="AA690" s="5"/>
      <c r="AB690" s="313"/>
      <c r="AC690" s="317">
        <f>OBRA!BW692</f>
        <v>0</v>
      </c>
      <c r="AD690" s="352"/>
      <c r="AE690" s="352"/>
    </row>
    <row r="691" spans="1:31" ht="15" hidden="1" customHeight="1">
      <c r="A691" s="22" t="s">
        <v>2206</v>
      </c>
      <c r="B691" s="809">
        <f>GRAL!B959</f>
        <v>0</v>
      </c>
      <c r="C691" s="16">
        <f>OBRA!J693</f>
        <v>2023</v>
      </c>
      <c r="D691" s="1415"/>
      <c r="E691" s="17" t="str">
        <f>OBRA!M693</f>
        <v>CUENTA CORRIENTE</v>
      </c>
      <c r="F691" s="1170"/>
      <c r="G691" s="1108"/>
      <c r="H691" s="219"/>
      <c r="I691" s="1108"/>
      <c r="J691" s="54"/>
      <c r="K691" s="55"/>
      <c r="L691" s="19" t="str">
        <f>OBRA!N693</f>
        <v>C.P.S.P. DOP 033/2023</v>
      </c>
      <c r="M691" s="2" t="str">
        <f>OBRA!O693</f>
        <v>SERVICIOS</v>
      </c>
      <c r="N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1"/>
      <c r="P691" s="6">
        <f>OBRA!S693</f>
        <v>45190</v>
      </c>
      <c r="Q691" s="4">
        <f>OBRA!R693</f>
        <v>34800</v>
      </c>
      <c r="R691" s="5">
        <f>OBRA!T693</f>
        <v>45194</v>
      </c>
      <c r="S691" s="11">
        <f>OBRA!U693</f>
        <v>45195</v>
      </c>
      <c r="T691" s="692"/>
      <c r="U691" s="203"/>
      <c r="V691" s="508"/>
      <c r="W691" s="509"/>
      <c r="X691" s="534">
        <f>OBRA!AR693</f>
        <v>0</v>
      </c>
      <c r="Y691" s="309"/>
      <c r="Z691" s="309"/>
      <c r="AA691" s="5"/>
      <c r="AB691" s="313"/>
      <c r="AC691" s="317">
        <f>OBRA!BW693</f>
        <v>0</v>
      </c>
      <c r="AD691" s="352"/>
      <c r="AE691" s="352"/>
    </row>
    <row r="692" spans="1:31" ht="15" hidden="1" customHeight="1">
      <c r="A692" s="22" t="s">
        <v>2206</v>
      </c>
      <c r="B692" s="809">
        <f>GRAL!B960</f>
        <v>0</v>
      </c>
      <c r="C692" s="16">
        <f>OBRA!J694</f>
        <v>2023</v>
      </c>
      <c r="D692" s="1415"/>
      <c r="E692" s="17" t="str">
        <f>OBRA!M694</f>
        <v>CUENTA CORRIENTE</v>
      </c>
      <c r="F692" s="1170"/>
      <c r="G692" s="1108"/>
      <c r="H692" s="219"/>
      <c r="I692" s="1108"/>
      <c r="J692" s="54"/>
      <c r="K692" s="55"/>
      <c r="L692" s="19" t="str">
        <f>OBRA!N694</f>
        <v>C.P.S.P. DOP 034/2023</v>
      </c>
      <c r="M692" s="2" t="str">
        <f>OBRA!O694</f>
        <v>SERVICIOS</v>
      </c>
      <c r="N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1"/>
      <c r="P692" s="6">
        <f>OBRA!S694</f>
        <v>45209</v>
      </c>
      <c r="Q692" s="4">
        <f>OBRA!R694</f>
        <v>54287.999999999993</v>
      </c>
      <c r="R692" s="5">
        <f>OBRA!T694</f>
        <v>45210</v>
      </c>
      <c r="S692" s="11">
        <f>OBRA!U694</f>
        <v>45243</v>
      </c>
      <c r="T692" s="692"/>
      <c r="U692" s="203"/>
      <c r="V692" s="508"/>
      <c r="W692" s="509"/>
      <c r="X692" s="534">
        <f>OBRA!AR694</f>
        <v>0</v>
      </c>
      <c r="Y692" s="309"/>
      <c r="Z692" s="309"/>
      <c r="AA692" s="5"/>
      <c r="AB692" s="313"/>
      <c r="AC692" s="317">
        <f>OBRA!BW694</f>
        <v>0</v>
      </c>
      <c r="AD692" s="352"/>
      <c r="AE692" s="352"/>
    </row>
    <row r="693" spans="1:31" ht="15" hidden="1" customHeight="1">
      <c r="A693" s="22" t="s">
        <v>2206</v>
      </c>
      <c r="B693" s="809">
        <f>GRAL!B961</f>
        <v>0</v>
      </c>
      <c r="C693" s="16">
        <f>OBRA!J695</f>
        <v>2023</v>
      </c>
      <c r="D693" s="1415"/>
      <c r="E693" s="17" t="str">
        <f>OBRA!M695</f>
        <v>CUENTA CORRIENTE</v>
      </c>
      <c r="F693" s="1170"/>
      <c r="G693" s="1108"/>
      <c r="H693" s="219"/>
      <c r="I693" s="1108"/>
      <c r="J693" s="54"/>
      <c r="K693" s="55"/>
      <c r="L693" s="19" t="str">
        <f>OBRA!N695</f>
        <v>C.P.S.P. DOP 035/2023</v>
      </c>
      <c r="M693" s="2" t="str">
        <f>OBRA!O695</f>
        <v>SERVICIOS</v>
      </c>
      <c r="N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1"/>
      <c r="P693" s="6">
        <f>OBRA!S695</f>
        <v>45233</v>
      </c>
      <c r="Q693" s="4">
        <f>OBRA!R695</f>
        <v>30376.572</v>
      </c>
      <c r="R693" s="5">
        <f>OBRA!T695</f>
        <v>45237</v>
      </c>
      <c r="S693" s="11">
        <f>OBRA!U695</f>
        <v>45239</v>
      </c>
      <c r="T693" s="692"/>
      <c r="U693" s="203"/>
      <c r="V693" s="508"/>
      <c r="W693" s="509"/>
      <c r="X693" s="534">
        <f>OBRA!AR695</f>
        <v>0</v>
      </c>
      <c r="Y693" s="309"/>
      <c r="Z693" s="309"/>
      <c r="AA693" s="5"/>
      <c r="AB693" s="313"/>
      <c r="AC693" s="317">
        <f>OBRA!BW695</f>
        <v>0</v>
      </c>
      <c r="AD693" s="352"/>
      <c r="AE693" s="352"/>
    </row>
    <row r="694" spans="1:31" ht="15" hidden="1" customHeight="1">
      <c r="A694" s="22" t="s">
        <v>2206</v>
      </c>
      <c r="B694" s="809">
        <f>GRAL!B962</f>
        <v>0</v>
      </c>
      <c r="C694" s="16">
        <f>OBRA!J696</f>
        <v>2023</v>
      </c>
      <c r="D694" s="1415"/>
      <c r="E694" s="17" t="str">
        <f>OBRA!M696</f>
        <v>CUENTA CORRIENTE</v>
      </c>
      <c r="F694" s="1170"/>
      <c r="G694" s="1108"/>
      <c r="H694" s="219"/>
      <c r="I694" s="1108"/>
      <c r="J694" s="54"/>
      <c r="K694" s="55"/>
      <c r="L694" s="19" t="str">
        <f>OBRA!N696</f>
        <v>C.P.S.P. DOP 036/2023</v>
      </c>
      <c r="M694" s="2" t="str">
        <f>OBRA!O696</f>
        <v>SERVICIOS</v>
      </c>
      <c r="N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1"/>
      <c r="P694" s="6">
        <f>OBRA!S696</f>
        <v>45225</v>
      </c>
      <c r="Q694" s="4">
        <f>OBRA!R696</f>
        <v>56143.999999999993</v>
      </c>
      <c r="R694" s="5">
        <f>OBRA!T696</f>
        <v>45226</v>
      </c>
      <c r="S694" s="11">
        <f>OBRA!U696</f>
        <v>45229</v>
      </c>
      <c r="T694" s="692"/>
      <c r="U694" s="203"/>
      <c r="V694" s="508"/>
      <c r="W694" s="509"/>
      <c r="X694" s="534">
        <f>OBRA!AR696</f>
        <v>0</v>
      </c>
      <c r="Y694" s="309"/>
      <c r="Z694" s="309"/>
      <c r="AA694" s="5"/>
      <c r="AB694" s="313"/>
      <c r="AC694" s="317">
        <f>OBRA!BW696</f>
        <v>0</v>
      </c>
      <c r="AD694" s="352"/>
      <c r="AE694" s="352"/>
    </row>
    <row r="695" spans="1:31" ht="15" hidden="1" customHeight="1">
      <c r="A695" s="22" t="s">
        <v>2206</v>
      </c>
      <c r="B695" s="809">
        <f>GRAL!B963</f>
        <v>0</v>
      </c>
      <c r="C695" s="16">
        <f>OBRA!J697</f>
        <v>2023</v>
      </c>
      <c r="D695" s="1415"/>
      <c r="E695" s="17" t="str">
        <f>OBRA!M697</f>
        <v>CUENTA CORRIENTE</v>
      </c>
      <c r="F695" s="1170"/>
      <c r="G695" s="1108"/>
      <c r="H695" s="219"/>
      <c r="I695" s="1108"/>
      <c r="J695" s="54"/>
      <c r="K695" s="55"/>
      <c r="L695" s="19" t="str">
        <f>OBRA!N697</f>
        <v>C.P.S.P. DOP 038/2023</v>
      </c>
      <c r="M695" s="2" t="str">
        <f>OBRA!O697</f>
        <v>SERVICIOS</v>
      </c>
      <c r="N695" s="3" t="str">
        <f>OBRA!P697</f>
        <v>CONTRATACIÓN DE SERVICIO PROFESIONALES: PARA LA ELABORACIÓN DE UN DICTAMEN Y REVISIÓN ESTRUCTURAL, DEL TANQUE DE ALMACENAMIENTO DE AGUA POTABLE EN ZONA NORTE, EN LA CABECERA MUNICIPAL DE JOCOTEPEC, JALISCO.</v>
      </c>
      <c r="O695" s="541"/>
      <c r="P695" s="6">
        <f>OBRA!S697</f>
        <v>45264</v>
      </c>
      <c r="Q695" s="4">
        <f>OBRA!R697</f>
        <v>102831.39</v>
      </c>
      <c r="R695" s="5">
        <f>OBRA!T697</f>
        <v>45266</v>
      </c>
      <c r="S695" s="11">
        <f>OBRA!U697</f>
        <v>45301</v>
      </c>
      <c r="T695" s="692"/>
      <c r="U695" s="203"/>
      <c r="V695" s="508"/>
      <c r="W695" s="509"/>
      <c r="X695" s="534">
        <f>OBRA!AR697</f>
        <v>0</v>
      </c>
      <c r="Y695" s="309"/>
      <c r="Z695" s="309"/>
      <c r="AA695" s="5"/>
      <c r="AB695" s="313"/>
      <c r="AC695" s="317">
        <f>OBRA!BW697</f>
        <v>0</v>
      </c>
      <c r="AD695" s="352"/>
      <c r="AE695" s="352"/>
    </row>
    <row r="696" spans="1:31" ht="15" hidden="1" customHeight="1">
      <c r="A696" s="22" t="s">
        <v>2206</v>
      </c>
      <c r="B696" s="809">
        <f>GRAL!B942</f>
        <v>0</v>
      </c>
      <c r="C696" s="16">
        <f>OBRA!J698</f>
        <v>2023</v>
      </c>
      <c r="D696" s="1415"/>
      <c r="E696" s="17" t="str">
        <f>OBRA!M698</f>
        <v>CUENTA CORRIENTE</v>
      </c>
      <c r="F696" s="1170"/>
      <c r="G696" s="1108"/>
      <c r="H696" s="219"/>
      <c r="I696" s="1108"/>
      <c r="J696" s="54"/>
      <c r="K696" s="55"/>
      <c r="L696" s="19" t="str">
        <f>OBRA!N698</f>
        <v>C.P.S.P. DOP 039/2023</v>
      </c>
      <c r="M696" s="2" t="str">
        <f>OBRA!O698</f>
        <v>SERVICIOS</v>
      </c>
      <c r="N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1"/>
      <c r="P696" s="6">
        <f>OBRA!S698</f>
        <v>45265</v>
      </c>
      <c r="Q696" s="4">
        <f>OBRA!R698</f>
        <v>23200</v>
      </c>
      <c r="R696" s="5">
        <f>OBRA!T698</f>
        <v>45266</v>
      </c>
      <c r="S696" s="11">
        <f>OBRA!U698</f>
        <v>45267</v>
      </c>
      <c r="T696" s="692"/>
      <c r="U696" s="203"/>
      <c r="V696" s="508"/>
      <c r="W696" s="509"/>
      <c r="X696" s="534">
        <f>OBRA!AR698</f>
        <v>0</v>
      </c>
      <c r="Y696" s="309"/>
      <c r="Z696" s="309"/>
      <c r="AA696" s="5"/>
      <c r="AB696" s="313"/>
      <c r="AC696" s="317">
        <f>OBRA!BW698</f>
        <v>0</v>
      </c>
      <c r="AD696" s="352"/>
      <c r="AE696" s="352"/>
    </row>
    <row r="697" spans="1:31" ht="15" hidden="1" customHeight="1">
      <c r="A697" s="22" t="s">
        <v>2206</v>
      </c>
      <c r="B697" s="809">
        <f>GRAL!B943</f>
        <v>0</v>
      </c>
      <c r="C697" s="16">
        <f>OBRA!J699</f>
        <v>2023</v>
      </c>
      <c r="D697" s="1415"/>
      <c r="E697" s="17" t="str">
        <f>OBRA!M699</f>
        <v>CUENTA CORRIENTE</v>
      </c>
      <c r="F697" s="1170"/>
      <c r="G697" s="1108"/>
      <c r="H697" s="219"/>
      <c r="I697" s="1108"/>
      <c r="J697" s="54"/>
      <c r="K697" s="55"/>
      <c r="L697" s="19" t="str">
        <f>OBRA!N699</f>
        <v>C.P.S.P. DOP 040/2023</v>
      </c>
      <c r="M697" s="2" t="str">
        <f>OBRA!O699</f>
        <v>SERVICIOS</v>
      </c>
      <c r="N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1"/>
      <c r="P697" s="6">
        <f>OBRA!S699</f>
        <v>45267</v>
      </c>
      <c r="Q697" s="4">
        <f>OBRA!R699</f>
        <v>45601.919999999998</v>
      </c>
      <c r="R697" s="5">
        <f>OBRA!T699</f>
        <v>45271</v>
      </c>
      <c r="S697" s="11">
        <f>OBRA!U699</f>
        <v>45299</v>
      </c>
      <c r="T697" s="692"/>
      <c r="U697" s="203"/>
      <c r="V697" s="508"/>
      <c r="W697" s="509"/>
      <c r="X697" s="534">
        <f>OBRA!AR699</f>
        <v>0</v>
      </c>
      <c r="Y697" s="309"/>
      <c r="Z697" s="309"/>
      <c r="AA697" s="5"/>
      <c r="AB697" s="313"/>
      <c r="AC697" s="317">
        <f>OBRA!BW699</f>
        <v>0</v>
      </c>
      <c r="AD697" s="352"/>
      <c r="AE697" s="352"/>
    </row>
    <row r="698" spans="1:31" ht="15" hidden="1" customHeight="1">
      <c r="A698" s="22" t="s">
        <v>2206</v>
      </c>
      <c r="B698" s="809">
        <f>GRAL!B944</f>
        <v>0</v>
      </c>
      <c r="C698" s="16">
        <f>OBRA!J700</f>
        <v>2023</v>
      </c>
      <c r="D698" s="1415"/>
      <c r="E698" s="17" t="str">
        <f>OBRA!M700</f>
        <v>CUENTA CORRIENTE</v>
      </c>
      <c r="F698" s="1170"/>
      <c r="G698" s="1108"/>
      <c r="H698" s="219"/>
      <c r="I698" s="1108"/>
      <c r="J698" s="54"/>
      <c r="K698" s="55"/>
      <c r="L698" s="19" t="str">
        <f>OBRA!N700</f>
        <v>C.P.S.P. DOP 041/2023</v>
      </c>
      <c r="M698" s="2" t="str">
        <f>OBRA!O700</f>
        <v>SERVICIOS</v>
      </c>
      <c r="N698" s="3" t="str">
        <f>OBRA!P700</f>
        <v>CONTRATACIÓN DEL SERVICIO PARA LA REALIZACIÓN DE LOS SIGUIENTES TRABAJOS, EN EL POZO DE CHANTEPEC, MUNICIPIO DE JOCOTEPEC, JALISCO.</v>
      </c>
      <c r="O698" s="541"/>
      <c r="P698" s="6">
        <f>OBRA!S700</f>
        <v>45275</v>
      </c>
      <c r="Q698" s="4">
        <f>OBRA!R700</f>
        <v>44196</v>
      </c>
      <c r="R698" s="5">
        <f>OBRA!T700</f>
        <v>45280</v>
      </c>
      <c r="S698" s="11">
        <f>OBRA!U700</f>
        <v>45282</v>
      </c>
      <c r="T698" s="692"/>
      <c r="U698" s="203"/>
      <c r="V698" s="508"/>
      <c r="W698" s="509"/>
      <c r="X698" s="534">
        <f>OBRA!AR700</f>
        <v>0</v>
      </c>
      <c r="Y698" s="309"/>
      <c r="Z698" s="309"/>
      <c r="AA698" s="5"/>
      <c r="AB698" s="313"/>
      <c r="AC698" s="317">
        <f>OBRA!BW700</f>
        <v>0</v>
      </c>
      <c r="AD698" s="352"/>
      <c r="AE698" s="352"/>
    </row>
    <row r="699" spans="1:31" ht="15" hidden="1" customHeight="1">
      <c r="A699" s="22" t="s">
        <v>2206</v>
      </c>
      <c r="B699" s="809">
        <f>GRAL!B943</f>
        <v>0</v>
      </c>
      <c r="C699" s="16">
        <f>OBRA!J701</f>
        <v>2023</v>
      </c>
      <c r="D699" s="1415"/>
      <c r="E699" s="17" t="str">
        <f>OBRA!M701</f>
        <v>CUENTA CORRIENTE</v>
      </c>
      <c r="F699" s="1170"/>
      <c r="G699" s="1108"/>
      <c r="H699" s="219"/>
      <c r="I699" s="1108"/>
      <c r="J699" s="54"/>
      <c r="K699" s="55"/>
      <c r="L699" s="19" t="str">
        <f>OBRA!N701</f>
        <v>C- OP 001/2023</v>
      </c>
      <c r="M699" s="2" t="str">
        <f>OBRA!O701</f>
        <v>ARRENDAMIENTO</v>
      </c>
      <c r="N699" s="3" t="str">
        <f>OBRA!P701</f>
        <v>RENTA DE UNA RETROEXCAVADORA JHON DEERE 310SJ 4X4, PARA SER UTILIZADAEN DIVERSOS MANTENIMIENTOS REQUERIDOS POR LA DIRECCIÓN DE OBRAS PÚBLICAS DEL GOBIERNO MUNICIPAL DE JOCOTEPEC, JALISCO.</v>
      </c>
      <c r="O699" s="541"/>
      <c r="P699" s="6">
        <f>OBRA!S701</f>
        <v>44928</v>
      </c>
      <c r="Q699" s="4">
        <f>OBRA!R701</f>
        <v>56839.999999999993</v>
      </c>
      <c r="R699" s="5">
        <f>OBRA!T701</f>
        <v>44928</v>
      </c>
      <c r="S699" s="11">
        <f>OBRA!U701</f>
        <v>44957</v>
      </c>
      <c r="T699" s="692"/>
      <c r="U699" s="203"/>
      <c r="V699" s="508"/>
      <c r="W699" s="509"/>
      <c r="X699" s="534">
        <f>OBRA!AR701</f>
        <v>0</v>
      </c>
      <c r="Y699" s="309"/>
      <c r="Z699" s="309"/>
      <c r="AA699" s="5"/>
      <c r="AB699" s="313"/>
      <c r="AC699" s="317">
        <f>OBRA!BW701</f>
        <v>0</v>
      </c>
      <c r="AD699" s="352"/>
      <c r="AE699" s="352"/>
    </row>
    <row r="700" spans="1:31" ht="15" hidden="1" customHeight="1">
      <c r="A700" s="22" t="s">
        <v>2206</v>
      </c>
      <c r="B700" s="809">
        <f>GRAL!B944</f>
        <v>0</v>
      </c>
      <c r="C700" s="16">
        <f>OBRA!J702</f>
        <v>2023</v>
      </c>
      <c r="D700" s="1415"/>
      <c r="E700" s="17" t="str">
        <f>OBRA!M702</f>
        <v>CUENTA CORRIENTE</v>
      </c>
      <c r="F700" s="1170"/>
      <c r="G700" s="1108"/>
      <c r="H700" s="219"/>
      <c r="I700" s="1108"/>
      <c r="J700" s="54"/>
      <c r="K700" s="55"/>
      <c r="L700" s="19" t="str">
        <f>OBRA!N702</f>
        <v>C- OP 001A/2023</v>
      </c>
      <c r="M700" s="2" t="str">
        <f>OBRA!O702</f>
        <v>ARRENDAMIENTO</v>
      </c>
      <c r="N700" s="3" t="str">
        <f>OBRA!P702</f>
        <v>RENTA DE UN CAMIÓN (VOLTEO 7 M3) DODGE, MODELO 1989 CON PLACAS JL-0889, PARA SER UTILIZADO EN LAS OBRAS: MANTENIMIENTOS VARIOS EN LAS AGENCIAS, DELEGACIONES Y CABECERA MUNICIPAL DEL MUNICIPIO DE JOCOTEPEC, JALISCO.</v>
      </c>
      <c r="O700" s="541"/>
      <c r="P700" s="6">
        <f>OBRA!S702</f>
        <v>44929</v>
      </c>
      <c r="Q700" s="4">
        <f>OBRA!R702</f>
        <v>3248</v>
      </c>
      <c r="R700" s="5">
        <f>OBRA!T702</f>
        <v>44929</v>
      </c>
      <c r="S700" s="11">
        <f>OBRA!U702</f>
        <v>44985</v>
      </c>
      <c r="T700" s="692"/>
      <c r="U700" s="203"/>
      <c r="V700" s="508"/>
      <c r="W700" s="509"/>
      <c r="X700" s="534">
        <f>OBRA!AR702</f>
        <v>0</v>
      </c>
      <c r="Y700" s="309"/>
      <c r="Z700" s="309"/>
      <c r="AA700" s="5"/>
      <c r="AB700" s="313"/>
      <c r="AC700" s="317">
        <f>OBRA!BW702</f>
        <v>0</v>
      </c>
      <c r="AD700" s="352"/>
      <c r="AE700" s="352"/>
    </row>
    <row r="701" spans="1:31" ht="15" hidden="1" customHeight="1">
      <c r="A701" s="22" t="s">
        <v>2206</v>
      </c>
      <c r="B701" s="809">
        <f>GRAL!B945</f>
        <v>0</v>
      </c>
      <c r="C701" s="16">
        <f>OBRA!J703</f>
        <v>2023</v>
      </c>
      <c r="D701" s="1415"/>
      <c r="E701" s="17" t="str">
        <f>OBRA!M703</f>
        <v>CUENTA CORRIENTE</v>
      </c>
      <c r="F701" s="1170"/>
      <c r="G701" s="1108"/>
      <c r="H701" s="219"/>
      <c r="I701" s="1108"/>
      <c r="J701" s="54"/>
      <c r="K701" s="55"/>
      <c r="L701" s="19" t="str">
        <f>OBRA!N703</f>
        <v>C- OP 002/2023</v>
      </c>
      <c r="M701" s="2" t="str">
        <f>OBRA!O703</f>
        <v>ARRENDAMIENTO</v>
      </c>
      <c r="N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O701" s="541"/>
      <c r="P701" s="6">
        <f>OBRA!S703</f>
        <v>45005</v>
      </c>
      <c r="Q701" s="4">
        <f>OBRA!R703</f>
        <v>28999.999999999996</v>
      </c>
      <c r="R701" s="5">
        <f>OBRA!T703</f>
        <v>45007</v>
      </c>
      <c r="S701" s="11">
        <f>OBRA!U703</f>
        <v>45038</v>
      </c>
      <c r="T701" s="692"/>
      <c r="U701" s="203"/>
      <c r="V701" s="508"/>
      <c r="W701" s="509"/>
      <c r="X701" s="534">
        <f>OBRA!AR703</f>
        <v>0</v>
      </c>
      <c r="Y701" s="309"/>
      <c r="Z701" s="309"/>
      <c r="AA701" s="5"/>
      <c r="AB701" s="313"/>
      <c r="AC701" s="317">
        <f>OBRA!BW703</f>
        <v>0</v>
      </c>
      <c r="AD701" s="352"/>
      <c r="AE701" s="352"/>
    </row>
    <row r="702" spans="1:31" ht="15" hidden="1" customHeight="1">
      <c r="A702" s="22" t="s">
        <v>2206</v>
      </c>
      <c r="B702" s="809">
        <f>GRAL!B946</f>
        <v>0</v>
      </c>
      <c r="C702" s="16">
        <f>OBRA!J704</f>
        <v>2023</v>
      </c>
      <c r="D702" s="1415"/>
      <c r="E702" s="17" t="str">
        <f>OBRA!M704</f>
        <v>CUENTA CORRIENTE</v>
      </c>
      <c r="F702" s="1170"/>
      <c r="G702" s="1108"/>
      <c r="H702" s="219"/>
      <c r="I702" s="1108"/>
      <c r="J702" s="54"/>
      <c r="K702" s="55"/>
      <c r="L702" s="19" t="str">
        <f>OBRA!N704</f>
        <v>C- OP 003/2023</v>
      </c>
      <c r="M702" s="2" t="str">
        <f>OBRA!O704</f>
        <v>ARRENDAMIENTO</v>
      </c>
      <c r="N702" s="3" t="str">
        <f>OBRA!P704</f>
        <v>RENTA DE UNA RETROEXCAVADORA JHON DEERE 310SJ 4X4, PARA SER UTILIZADA EN DIVERSOS MANTENIMIENTOS REQUERIDOS POR LA DIRECCIÓN DE OBRAS PÚBLICAS DEL GOBIERNO MUNICIPAL DE JOCOTEPEC, JALISCO.</v>
      </c>
      <c r="O702" s="541"/>
      <c r="P702" s="6">
        <f>OBRA!S704</f>
        <v>44956</v>
      </c>
      <c r="Q702" s="4">
        <f>OBRA!R704</f>
        <v>59681.999999999993</v>
      </c>
      <c r="R702" s="5">
        <f>OBRA!T704</f>
        <v>44958</v>
      </c>
      <c r="S702" s="11">
        <f>OBRA!U704</f>
        <v>44985</v>
      </c>
      <c r="T702" s="692"/>
      <c r="U702" s="203"/>
      <c r="V702" s="508"/>
      <c r="W702" s="509"/>
      <c r="X702" s="534">
        <f>OBRA!AR704</f>
        <v>0</v>
      </c>
      <c r="Y702" s="309"/>
      <c r="Z702" s="309"/>
      <c r="AA702" s="5"/>
      <c r="AB702" s="313"/>
      <c r="AC702" s="317">
        <f>OBRA!BW704</f>
        <v>0</v>
      </c>
      <c r="AD702" s="352"/>
      <c r="AE702" s="352"/>
    </row>
    <row r="703" spans="1:31" ht="15" hidden="1" customHeight="1">
      <c r="A703" s="22" t="s">
        <v>2206</v>
      </c>
      <c r="B703" s="809">
        <f>GRAL!B947</f>
        <v>0</v>
      </c>
      <c r="C703" s="16">
        <f>OBRA!J705</f>
        <v>2023</v>
      </c>
      <c r="D703" s="1415"/>
      <c r="E703" s="17" t="str">
        <f>OBRA!M705</f>
        <v>CUENTA CORRIENTE</v>
      </c>
      <c r="F703" s="1170"/>
      <c r="G703" s="1108"/>
      <c r="H703" s="219"/>
      <c r="I703" s="1108"/>
      <c r="J703" s="54"/>
      <c r="K703" s="55"/>
      <c r="L703" s="19" t="str">
        <f>OBRA!N705</f>
        <v>C- OP 004/2023</v>
      </c>
      <c r="M703" s="2" t="str">
        <f>OBRA!O705</f>
        <v>ARRENDAMIENTO</v>
      </c>
      <c r="N703" s="3" t="str">
        <f>OBRA!P705</f>
        <v>RENTA DE UNA RETROEXCAVADORA MARCA JCB MOD. 2000 SERIE 4214E, PARA SER UTILIZADA EN LA CONSTRUCCIÓN DE BASE PARA LA COLOCACIÓN DE LETRAS MONUMENTALES DE SAN JOSE POTRERILLOS, DEL MUNICIPIO DE JOCOTEPEC, JALISCO.</v>
      </c>
      <c r="O703" s="541"/>
      <c r="P703" s="6">
        <f>OBRA!S705</f>
        <v>44981</v>
      </c>
      <c r="Q703" s="4">
        <f>OBRA!R705</f>
        <v>638</v>
      </c>
      <c r="R703" s="5">
        <f>OBRA!T705</f>
        <v>44985</v>
      </c>
      <c r="S703" s="11">
        <f>OBRA!U705</f>
        <v>44989</v>
      </c>
      <c r="T703" s="692"/>
      <c r="U703" s="203"/>
      <c r="V703" s="508"/>
      <c r="W703" s="509"/>
      <c r="X703" s="534">
        <f>OBRA!AR705</f>
        <v>0</v>
      </c>
      <c r="Y703" s="309"/>
      <c r="Z703" s="309"/>
      <c r="AA703" s="5"/>
      <c r="AB703" s="313"/>
      <c r="AC703" s="317">
        <f>OBRA!BW705</f>
        <v>0</v>
      </c>
      <c r="AD703" s="352"/>
      <c r="AE703" s="352"/>
    </row>
    <row r="704" spans="1:31" ht="15" hidden="1" customHeight="1">
      <c r="A704" s="22" t="s">
        <v>2206</v>
      </c>
      <c r="B704" s="809">
        <f>GRAL!B948</f>
        <v>0</v>
      </c>
      <c r="C704" s="16">
        <f>OBRA!J706</f>
        <v>2023</v>
      </c>
      <c r="D704" s="1415"/>
      <c r="E704" s="17" t="str">
        <f>OBRA!M706</f>
        <v>CUENTA CORRIENTE</v>
      </c>
      <c r="F704" s="1170"/>
      <c r="G704" s="1108"/>
      <c r="H704" s="219"/>
      <c r="I704" s="1108"/>
      <c r="J704" s="54"/>
      <c r="K704" s="55"/>
      <c r="L704" s="19" t="str">
        <f>OBRA!N706</f>
        <v>C- OP 005/2023</v>
      </c>
      <c r="M704" s="2" t="str">
        <f>OBRA!O706</f>
        <v>ARRENDAMIENTO</v>
      </c>
      <c r="N704" s="3" t="str">
        <f>OBRA!P706</f>
        <v>RENTA DE CAMIÓN TIPO PIPA MARCA DODGE RAM 6500 MOD. 1996 PLACAS JM57075, CON CAPACIDAD DE 10,000 LITROS PARA EL SERVICIO DE ACARREO DE AGUA EN EL MUNICIPIO DE JOCOTEPEC, JALISCO.</v>
      </c>
      <c r="O704" s="541"/>
      <c r="P704" s="6">
        <f>OBRA!S706</f>
        <v>45037</v>
      </c>
      <c r="Q704" s="4">
        <f>OBRA!R706</f>
        <v>28999.999999999996</v>
      </c>
      <c r="R704" s="5">
        <f>OBRA!T706</f>
        <v>45039</v>
      </c>
      <c r="S704" s="11">
        <f>OBRA!U706</f>
        <v>45069</v>
      </c>
      <c r="T704" s="692"/>
      <c r="U704" s="203"/>
      <c r="V704" s="508"/>
      <c r="W704" s="509"/>
      <c r="X704" s="534">
        <f>OBRA!AR706</f>
        <v>0</v>
      </c>
      <c r="Y704" s="309"/>
      <c r="Z704" s="309"/>
      <c r="AA704" s="5"/>
      <c r="AB704" s="313"/>
      <c r="AC704" s="317">
        <f>OBRA!BW706</f>
        <v>0</v>
      </c>
      <c r="AD704" s="352"/>
      <c r="AE704" s="352"/>
    </row>
    <row r="705" spans="1:31" ht="15" hidden="1" customHeight="1">
      <c r="A705" s="22" t="s">
        <v>2206</v>
      </c>
      <c r="B705" s="809">
        <f>GRAL!B949</f>
        <v>0</v>
      </c>
      <c r="C705" s="16">
        <f>OBRA!J707</f>
        <v>2023</v>
      </c>
      <c r="D705" s="1415"/>
      <c r="E705" s="17" t="str">
        <f>OBRA!M707</f>
        <v>CUENTA CORRIENTE</v>
      </c>
      <c r="F705" s="1170"/>
      <c r="G705" s="1108"/>
      <c r="H705" s="219"/>
      <c r="I705" s="1108"/>
      <c r="J705" s="54"/>
      <c r="K705" s="55"/>
      <c r="L705" s="19" t="str">
        <f>OBRA!N707</f>
        <v>C- OP 006/2023</v>
      </c>
      <c r="M705" s="2" t="str">
        <f>OBRA!O707</f>
        <v>ARRENDAMIENTO</v>
      </c>
      <c r="N705" s="3" t="str">
        <f>OBRA!P707</f>
        <v>RENTA DE UNA RETROEXCAVADORA DEE 310SJ 4X4, PARA SER UTILIZADA EN DIVERSOS MANTENIMIENTOS REQUERIDOS POR LA DIRECCIÓN DE OBRAS PÚBLICAS DEL GOBIERNO MUNICIPAL DE JOCOTEPEC, JALISCO.</v>
      </c>
      <c r="O705" s="541"/>
      <c r="P705" s="6">
        <f>OBRA!S707</f>
        <v>45015</v>
      </c>
      <c r="Q705" s="4">
        <f>OBRA!R707</f>
        <v>59681.999999999993</v>
      </c>
      <c r="R705" s="5">
        <f>OBRA!T707</f>
        <v>45017</v>
      </c>
      <c r="S705" s="11">
        <f>OBRA!U707</f>
        <v>45046</v>
      </c>
      <c r="T705" s="692"/>
      <c r="U705" s="203"/>
      <c r="V705" s="508"/>
      <c r="W705" s="509"/>
      <c r="X705" s="534">
        <f>OBRA!AR707</f>
        <v>0</v>
      </c>
      <c r="Y705" s="309"/>
      <c r="Z705" s="309"/>
      <c r="AA705" s="5"/>
      <c r="AB705" s="313"/>
      <c r="AC705" s="317">
        <f>OBRA!BW707</f>
        <v>0</v>
      </c>
      <c r="AD705" s="352"/>
      <c r="AE705" s="352"/>
    </row>
    <row r="706" spans="1:31" ht="15" hidden="1" customHeight="1">
      <c r="A706" s="22" t="s">
        <v>2206</v>
      </c>
      <c r="B706" s="809">
        <f>GRAL!B950</f>
        <v>0</v>
      </c>
      <c r="C706" s="16">
        <f>OBRA!J708</f>
        <v>2023</v>
      </c>
      <c r="D706" s="1415"/>
      <c r="E706" s="17" t="str">
        <f>OBRA!M708</f>
        <v>CUENTA CORRIENTE</v>
      </c>
      <c r="F706" s="1170"/>
      <c r="G706" s="1108"/>
      <c r="H706" s="219"/>
      <c r="I706" s="1108"/>
      <c r="J706" s="54"/>
      <c r="K706" s="55"/>
      <c r="L706" s="19" t="str">
        <f>OBRA!N708</f>
        <v>C- OP 006A/2023</v>
      </c>
      <c r="M706" s="2" t="str">
        <f>OBRA!O708</f>
        <v>ARRENDAMIENTO</v>
      </c>
      <c r="N706" s="3" t="str">
        <f>OBRA!P708</f>
        <v>RENTA DE EXCAVADORA CAT 320, PARA SER UTILIZADA EN LAS OBRAS: DESAZOLVES EN ARROYOS, DE LAS DELEGACIONES Y DE LA CABECERA DEL MUNICIPIO DE JOCOTEPEC, JALISCO.</v>
      </c>
      <c r="O706" s="541"/>
      <c r="P706" s="6">
        <f>OBRA!S708</f>
        <v>45033</v>
      </c>
      <c r="Q706" s="4">
        <f>OBRA!R708</f>
        <v>4750.0027999999993</v>
      </c>
      <c r="R706" s="5">
        <f>OBRA!T708</f>
        <v>45033</v>
      </c>
      <c r="S706" s="11">
        <f>OBRA!U708</f>
        <v>45094</v>
      </c>
      <c r="T706" s="692"/>
      <c r="U706" s="203"/>
      <c r="V706" s="508"/>
      <c r="W706" s="509"/>
      <c r="X706" s="534">
        <f>OBRA!AR708</f>
        <v>0</v>
      </c>
      <c r="Y706" s="309"/>
      <c r="Z706" s="309"/>
      <c r="AA706" s="5"/>
      <c r="AB706" s="313"/>
      <c r="AC706" s="317">
        <f>OBRA!BW708</f>
        <v>0</v>
      </c>
      <c r="AD706" s="352"/>
      <c r="AE706" s="352"/>
    </row>
    <row r="707" spans="1:31" ht="15" hidden="1" customHeight="1">
      <c r="A707" s="22" t="s">
        <v>2206</v>
      </c>
      <c r="B707" s="809">
        <f>GRAL!B951</f>
        <v>0</v>
      </c>
      <c r="C707" s="16">
        <f>OBRA!J709</f>
        <v>2023</v>
      </c>
      <c r="D707" s="1415"/>
      <c r="E707" s="17" t="str">
        <f>OBRA!M709</f>
        <v>CUENTA CORRIENTE</v>
      </c>
      <c r="F707" s="1170"/>
      <c r="G707" s="1108"/>
      <c r="H707" s="219"/>
      <c r="I707" s="1108"/>
      <c r="J707" s="54"/>
      <c r="K707" s="55"/>
      <c r="L707" s="19" t="str">
        <f>OBRA!N709</f>
        <v>C- OP 006B/2023</v>
      </c>
      <c r="M707" s="2" t="str">
        <f>OBRA!O709</f>
        <v>ARRENDAMIENTO</v>
      </c>
      <c r="N707" s="3" t="str">
        <f>OBRA!P709</f>
        <v>RENTA DE UNA EXCAVADORA, PARA SER UTILIZADA EN LAS OBRAS: MANTENIMIENTOS VARIOS EN LAS AGENCIAS, DELEGACIONES Y CABECERA DEL MUNICIPIO DE JOCOTEPEC, JALISCO.</v>
      </c>
      <c r="O707" s="541"/>
      <c r="P707" s="6">
        <f>OBRA!S709</f>
        <v>45033</v>
      </c>
      <c r="Q707" s="4">
        <f>OBRA!R709</f>
        <v>1899.9987999999998</v>
      </c>
      <c r="R707" s="5">
        <f>OBRA!T709</f>
        <v>45033</v>
      </c>
      <c r="S707" s="11">
        <f>OBRA!U709</f>
        <v>45094</v>
      </c>
      <c r="T707" s="692"/>
      <c r="U707" s="203"/>
      <c r="V707" s="508"/>
      <c r="W707" s="509"/>
      <c r="X707" s="534">
        <f>OBRA!AR709</f>
        <v>0</v>
      </c>
      <c r="Y707" s="309"/>
      <c r="Z707" s="309"/>
      <c r="AA707" s="5"/>
      <c r="AB707" s="313"/>
      <c r="AC707" s="317">
        <f>OBRA!BW709</f>
        <v>0</v>
      </c>
      <c r="AD707" s="352"/>
      <c r="AE707" s="352"/>
    </row>
    <row r="708" spans="1:31" ht="15" hidden="1" customHeight="1">
      <c r="A708" s="22" t="s">
        <v>2206</v>
      </c>
      <c r="B708" s="809">
        <f>GRAL!B952</f>
        <v>0</v>
      </c>
      <c r="C708" s="16">
        <f>OBRA!J710</f>
        <v>2023</v>
      </c>
      <c r="D708" s="1415"/>
      <c r="E708" s="17" t="str">
        <f>OBRA!M710</f>
        <v>CUENTA CORRIENTE</v>
      </c>
      <c r="F708" s="1170"/>
      <c r="G708" s="1108"/>
      <c r="H708" s="219"/>
      <c r="I708" s="1108"/>
      <c r="J708" s="54"/>
      <c r="K708" s="55"/>
      <c r="L708" s="19" t="str">
        <f>OBRA!N710</f>
        <v>C- OP 007/2023</v>
      </c>
      <c r="M708" s="2" t="str">
        <f>OBRA!O710</f>
        <v>ARRENDAMIENTO</v>
      </c>
      <c r="N708" s="3" t="str">
        <f>OBRA!P710</f>
        <v>RENTA DE UN CAMIÓN VOLTEO MARCA KENWORTH COLOR AZUL PLACA JU00932 Y UN CAMIÓN VOLTEO MARCA INTERNACIONAL COLOR AMARILLO PLACA 09AF9U, PARA SER UTILIZADO EN EL ACARREO DE MATERIAL POR DESAZOLVES DE ARROYOS EN EL MUNICIPIO DE JOCOTEPEC, JALISCO.</v>
      </c>
      <c r="O708" s="541"/>
      <c r="P708" s="6">
        <f>OBRA!S710</f>
        <v>45034</v>
      </c>
      <c r="Q708" s="4">
        <f>OBRA!R710</f>
        <v>5220</v>
      </c>
      <c r="R708" s="5">
        <f>OBRA!T710</f>
        <v>45036</v>
      </c>
      <c r="S708" s="11">
        <f>OBRA!U710</f>
        <v>45066</v>
      </c>
      <c r="T708" s="692"/>
      <c r="U708" s="203"/>
      <c r="V708" s="508"/>
      <c r="W708" s="509"/>
      <c r="X708" s="534">
        <f>OBRA!AR710</f>
        <v>0</v>
      </c>
      <c r="Y708" s="309"/>
      <c r="Z708" s="309"/>
      <c r="AA708" s="5"/>
      <c r="AB708" s="313"/>
      <c r="AC708" s="317">
        <f>OBRA!BW710</f>
        <v>0</v>
      </c>
      <c r="AD708" s="352"/>
      <c r="AE708" s="352"/>
    </row>
    <row r="709" spans="1:31" ht="15" hidden="1" customHeight="1">
      <c r="A709" s="22" t="s">
        <v>2206</v>
      </c>
      <c r="B709" s="809">
        <f>GRAL!B953</f>
        <v>0</v>
      </c>
      <c r="C709" s="16">
        <f>OBRA!J711</f>
        <v>2023</v>
      </c>
      <c r="D709" s="1415"/>
      <c r="E709" s="17" t="str">
        <f>OBRA!M711</f>
        <v>CUENTA CORRIENTE</v>
      </c>
      <c r="F709" s="1170"/>
      <c r="G709" s="1108"/>
      <c r="H709" s="219"/>
      <c r="I709" s="1108"/>
      <c r="J709" s="54"/>
      <c r="K709" s="55"/>
      <c r="L709" s="19" t="str">
        <f>OBRA!N711</f>
        <v>C- OP 008/2023</v>
      </c>
      <c r="M709" s="2" t="str">
        <f>OBRA!O711</f>
        <v>ARRENDAMIENTO</v>
      </c>
      <c r="N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O709" s="541"/>
      <c r="P709" s="6">
        <f>OBRA!S711</f>
        <v>45034</v>
      </c>
      <c r="Q709" s="4">
        <f>OBRA!R711</f>
        <v>5220</v>
      </c>
      <c r="R709" s="5">
        <f>OBRA!T711</f>
        <v>45036</v>
      </c>
      <c r="S709" s="11">
        <f>OBRA!U711</f>
        <v>45066</v>
      </c>
      <c r="T709" s="692"/>
      <c r="U709" s="203"/>
      <c r="V709" s="508"/>
      <c r="W709" s="509"/>
      <c r="X709" s="534">
        <f>OBRA!AR711</f>
        <v>0</v>
      </c>
      <c r="Y709" s="309"/>
      <c r="Z709" s="309"/>
      <c r="AA709" s="5"/>
      <c r="AB709" s="313"/>
      <c r="AC709" s="317">
        <f>OBRA!BW711</f>
        <v>0</v>
      </c>
      <c r="AD709" s="352"/>
      <c r="AE709" s="352"/>
    </row>
    <row r="710" spans="1:31" ht="15" hidden="1" customHeight="1">
      <c r="A710" s="22" t="s">
        <v>2206</v>
      </c>
      <c r="B710" s="809">
        <f>GRAL!B954</f>
        <v>0</v>
      </c>
      <c r="C710" s="16">
        <f>OBRA!J712</f>
        <v>2023</v>
      </c>
      <c r="D710" s="1415"/>
      <c r="E710" s="17" t="str">
        <f>OBRA!M712</f>
        <v>CUENTA CORRIENTE</v>
      </c>
      <c r="F710" s="1170"/>
      <c r="G710" s="1108"/>
      <c r="H710" s="219"/>
      <c r="I710" s="1108"/>
      <c r="J710" s="54"/>
      <c r="K710" s="55"/>
      <c r="L710" s="19" t="str">
        <f>OBRA!N712</f>
        <v>C- OP 009/2023</v>
      </c>
      <c r="M710" s="2" t="str">
        <f>OBRA!O712</f>
        <v>ARRENDAMIENTO</v>
      </c>
      <c r="N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O710" s="541"/>
      <c r="P710" s="6">
        <f>OBRA!S712</f>
        <v>44972</v>
      </c>
      <c r="Q710" s="4">
        <f>OBRA!R712</f>
        <v>696</v>
      </c>
      <c r="R710" s="5">
        <f>OBRA!T712</f>
        <v>44974</v>
      </c>
      <c r="S710" s="11">
        <f>OBRA!U712</f>
        <v>44976</v>
      </c>
      <c r="T710" s="692"/>
      <c r="U710" s="203"/>
      <c r="V710" s="508"/>
      <c r="W710" s="509"/>
      <c r="X710" s="534">
        <f>OBRA!AR712</f>
        <v>0</v>
      </c>
      <c r="Y710" s="309"/>
      <c r="Z710" s="309"/>
      <c r="AA710" s="5"/>
      <c r="AB710" s="313"/>
      <c r="AC710" s="317">
        <f>OBRA!BW712</f>
        <v>0</v>
      </c>
      <c r="AD710" s="352"/>
      <c r="AE710" s="352"/>
    </row>
    <row r="711" spans="1:31" ht="15" hidden="1" customHeight="1">
      <c r="A711" s="22" t="s">
        <v>2206</v>
      </c>
      <c r="B711" s="809">
        <f>GRAL!B955</f>
        <v>0</v>
      </c>
      <c r="C711" s="16">
        <f>OBRA!J713</f>
        <v>2023</v>
      </c>
      <c r="D711" s="1415"/>
      <c r="E711" s="17" t="str">
        <f>OBRA!M713</f>
        <v>CUENTA CORRIENTE</v>
      </c>
      <c r="F711" s="1170"/>
      <c r="G711" s="1108"/>
      <c r="H711" s="219"/>
      <c r="I711" s="1108"/>
      <c r="J711" s="54"/>
      <c r="K711" s="55"/>
      <c r="L711" s="19" t="str">
        <f>OBRA!N713</f>
        <v>C- OP 010/2023</v>
      </c>
      <c r="M711" s="2" t="str">
        <f>OBRA!O713</f>
        <v>ARRENDAMIENTO</v>
      </c>
      <c r="N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O711" s="541"/>
      <c r="P711" s="6">
        <f>OBRA!S713</f>
        <v>44966</v>
      </c>
      <c r="Q711" s="4">
        <f>OBRA!R713</f>
        <v>754</v>
      </c>
      <c r="R711" s="5">
        <f>OBRA!T713</f>
        <v>44970</v>
      </c>
      <c r="S711" s="11">
        <f>OBRA!U713</f>
        <v>44976</v>
      </c>
      <c r="T711" s="692"/>
      <c r="U711" s="203"/>
      <c r="V711" s="508"/>
      <c r="W711" s="509"/>
      <c r="X711" s="534">
        <f>OBRA!AR713</f>
        <v>0</v>
      </c>
      <c r="Y711" s="309"/>
      <c r="Z711" s="309"/>
      <c r="AA711" s="5"/>
      <c r="AB711" s="313"/>
      <c r="AC711" s="317">
        <f>OBRA!BW713</f>
        <v>0</v>
      </c>
      <c r="AD711" s="352"/>
      <c r="AE711" s="352"/>
    </row>
    <row r="712" spans="1:31" ht="15" hidden="1" customHeight="1">
      <c r="A712" s="22" t="s">
        <v>2206</v>
      </c>
      <c r="B712" s="809">
        <f>GRAL!B956</f>
        <v>0</v>
      </c>
      <c r="C712" s="16">
        <f>OBRA!J714</f>
        <v>2023</v>
      </c>
      <c r="D712" s="1415"/>
      <c r="E712" s="17" t="str">
        <f>OBRA!M714</f>
        <v>CUENTA CORRIENTE</v>
      </c>
      <c r="F712" s="1170"/>
      <c r="G712" s="1108"/>
      <c r="H712" s="219"/>
      <c r="I712" s="1108"/>
      <c r="J712" s="54"/>
      <c r="K712" s="55"/>
      <c r="L712" s="19" t="str">
        <f>OBRA!N714</f>
        <v>C- OP 011/2023</v>
      </c>
      <c r="M712" s="2" t="str">
        <f>OBRA!O714</f>
        <v>ARRENDAMIENTO</v>
      </c>
      <c r="N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1"/>
      <c r="P712" s="6">
        <f>OBRA!S714</f>
        <v>44966</v>
      </c>
      <c r="Q712" s="4">
        <f>OBRA!R714</f>
        <v>1020.8</v>
      </c>
      <c r="R712" s="5">
        <f>OBRA!T714</f>
        <v>44970</v>
      </c>
      <c r="S712" s="11">
        <f>OBRA!U714</f>
        <v>44977</v>
      </c>
      <c r="T712" s="692"/>
      <c r="U712" s="203"/>
      <c r="V712" s="508"/>
      <c r="W712" s="509"/>
      <c r="X712" s="534">
        <f>OBRA!AR714</f>
        <v>0</v>
      </c>
      <c r="Y712" s="309"/>
      <c r="Z712" s="309"/>
      <c r="AA712" s="5"/>
      <c r="AB712" s="313"/>
      <c r="AC712" s="317">
        <f>OBRA!BW714</f>
        <v>0</v>
      </c>
      <c r="AD712" s="352"/>
      <c r="AE712" s="352"/>
    </row>
    <row r="713" spans="1:31" ht="15" hidden="1" customHeight="1">
      <c r="A713" s="22" t="s">
        <v>2206</v>
      </c>
      <c r="B713" s="809">
        <f>GRAL!B957</f>
        <v>0</v>
      </c>
      <c r="C713" s="16">
        <f>OBRA!J715</f>
        <v>2023</v>
      </c>
      <c r="D713" s="1415"/>
      <c r="E713" s="17" t="str">
        <f>OBRA!M715</f>
        <v>CUENTA CORRIENTE</v>
      </c>
      <c r="F713" s="1170"/>
      <c r="G713" s="1108"/>
      <c r="H713" s="219"/>
      <c r="I713" s="1108"/>
      <c r="J713" s="54"/>
      <c r="K713" s="55"/>
      <c r="L713" s="19" t="str">
        <f>OBRA!N715</f>
        <v>C- OP 012/2023</v>
      </c>
      <c r="M713" s="2" t="str">
        <f>OBRA!O715</f>
        <v>ARRENDAMIENTO</v>
      </c>
      <c r="N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O713" s="541"/>
      <c r="P713" s="6">
        <f>OBRA!S715</f>
        <v>44974</v>
      </c>
      <c r="Q713" s="4">
        <f>OBRA!R715</f>
        <v>754</v>
      </c>
      <c r="R713" s="5">
        <f>OBRA!T715</f>
        <v>44977</v>
      </c>
      <c r="S713" s="11">
        <f>OBRA!U715</f>
        <v>44982</v>
      </c>
      <c r="T713" s="692"/>
      <c r="U713" s="203"/>
      <c r="V713" s="508"/>
      <c r="W713" s="509"/>
      <c r="X713" s="534">
        <f>OBRA!AR715</f>
        <v>0</v>
      </c>
      <c r="Y713" s="309"/>
      <c r="Z713" s="309"/>
      <c r="AA713" s="5"/>
      <c r="AB713" s="313"/>
      <c r="AC713" s="317">
        <f>OBRA!BW715</f>
        <v>0</v>
      </c>
      <c r="AD713" s="352"/>
      <c r="AE713" s="352"/>
    </row>
    <row r="714" spans="1:31" ht="15" hidden="1" customHeight="1">
      <c r="A714" s="22" t="s">
        <v>2206</v>
      </c>
      <c r="B714" s="809">
        <f>GRAL!B958</f>
        <v>0</v>
      </c>
      <c r="C714" s="16">
        <f>OBRA!J716</f>
        <v>2023</v>
      </c>
      <c r="D714" s="1415"/>
      <c r="E714" s="17" t="str">
        <f>OBRA!M716</f>
        <v>CUENTA CORRIENTE</v>
      </c>
      <c r="F714" s="1170"/>
      <c r="G714" s="1108"/>
      <c r="H714" s="219"/>
      <c r="I714" s="1108"/>
      <c r="J714" s="54"/>
      <c r="K714" s="55"/>
      <c r="L714" s="19" t="str">
        <f>OBRA!N716</f>
        <v>C- OP 013/2023</v>
      </c>
      <c r="M714" s="2" t="str">
        <f>OBRA!O716</f>
        <v>ARRENDAMIENTO</v>
      </c>
      <c r="N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1"/>
      <c r="P714" s="6">
        <f>OBRA!S716</f>
        <v>44974</v>
      </c>
      <c r="Q714" s="4">
        <f>OBRA!R716</f>
        <v>1020.8</v>
      </c>
      <c r="R714" s="5">
        <f>OBRA!T716</f>
        <v>44977</v>
      </c>
      <c r="S714" s="11">
        <f>OBRA!U716</f>
        <v>44982</v>
      </c>
      <c r="T714" s="692"/>
      <c r="U714" s="203"/>
      <c r="V714" s="508"/>
      <c r="W714" s="509"/>
      <c r="X714" s="534">
        <f>OBRA!AR716</f>
        <v>0</v>
      </c>
      <c r="Y714" s="309"/>
      <c r="Z714" s="309"/>
      <c r="AA714" s="5"/>
      <c r="AB714" s="313"/>
      <c r="AC714" s="317">
        <f>OBRA!BW716</f>
        <v>0</v>
      </c>
      <c r="AD714" s="352"/>
      <c r="AE714" s="352"/>
    </row>
    <row r="715" spans="1:31" ht="15" hidden="1" customHeight="1">
      <c r="A715" s="22" t="s">
        <v>2206</v>
      </c>
      <c r="B715" s="809">
        <f>GRAL!B959</f>
        <v>0</v>
      </c>
      <c r="C715" s="16">
        <f>OBRA!J717</f>
        <v>2023</v>
      </c>
      <c r="D715" s="1415"/>
      <c r="E715" s="17" t="str">
        <f>OBRA!M717</f>
        <v>CUENTA CORRIENTE</v>
      </c>
      <c r="F715" s="1170"/>
      <c r="G715" s="1108"/>
      <c r="H715" s="219"/>
      <c r="I715" s="1108"/>
      <c r="J715" s="54"/>
      <c r="K715" s="55"/>
      <c r="L715" s="19" t="str">
        <f>OBRA!N717</f>
        <v>C- OP 014/2023</v>
      </c>
      <c r="M715" s="2" t="str">
        <f>OBRA!O717</f>
        <v>ARRENDAMIENTO</v>
      </c>
      <c r="N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1"/>
      <c r="P715" s="6">
        <f>OBRA!S717</f>
        <v>44977</v>
      </c>
      <c r="Q715" s="4">
        <f>OBRA!R717</f>
        <v>696</v>
      </c>
      <c r="R715" s="5">
        <f>OBRA!T717</f>
        <v>44978</v>
      </c>
      <c r="S715" s="11">
        <f>OBRA!U717</f>
        <v>44982</v>
      </c>
      <c r="T715" s="692"/>
      <c r="U715" s="203"/>
      <c r="V715" s="508"/>
      <c r="W715" s="509"/>
      <c r="X715" s="534">
        <f>OBRA!AR717</f>
        <v>0</v>
      </c>
      <c r="Y715" s="309"/>
      <c r="Z715" s="309"/>
      <c r="AA715" s="5"/>
      <c r="AB715" s="313"/>
      <c r="AC715" s="317">
        <f>OBRA!BW717</f>
        <v>0</v>
      </c>
      <c r="AD715" s="352"/>
      <c r="AE715" s="352"/>
    </row>
    <row r="716" spans="1:31" ht="15" hidden="1" customHeight="1">
      <c r="A716" s="22" t="s">
        <v>2206</v>
      </c>
      <c r="B716" s="809">
        <f>GRAL!B947</f>
        <v>0</v>
      </c>
      <c r="C716" s="16">
        <f>OBRA!J718</f>
        <v>2023</v>
      </c>
      <c r="D716" s="1415"/>
      <c r="E716" s="17" t="str">
        <f>OBRA!M718</f>
        <v>CUENTA CORRIENTE</v>
      </c>
      <c r="F716" s="1170"/>
      <c r="G716" s="1108"/>
      <c r="H716" s="219"/>
      <c r="I716" s="1108"/>
      <c r="J716" s="54"/>
      <c r="K716" s="55"/>
      <c r="L716" s="19" t="str">
        <f>OBRA!N718</f>
        <v>C- OP 015/2023</v>
      </c>
      <c r="M716" s="2" t="str">
        <f>OBRA!O718</f>
        <v>ARRENDAMIENTO</v>
      </c>
      <c r="N716" s="3" t="str">
        <f>OBRA!P718</f>
        <v>RENTA DE UNA RETROEXCAVADORA JHON DEERE 310SJ 4X4, PARA SER UTILIZADA EN DIVERSOS MANTENIMIENTOS REQUERIDOS POR LA DIRECCIÓN DE OBRAS PÚBLICAS DEL GOBIERNO MUNICIPAL DE JOCOTEPEC, JALISCO.</v>
      </c>
      <c r="O716" s="541"/>
      <c r="P716" s="6">
        <f>OBRA!S718</f>
        <v>45044</v>
      </c>
      <c r="Q716" s="4">
        <f>OBRA!R718</f>
        <v>59681.999999999993</v>
      </c>
      <c r="R716" s="5">
        <f>OBRA!T718</f>
        <v>45047</v>
      </c>
      <c r="S716" s="11">
        <f>OBRA!U718</f>
        <v>45077</v>
      </c>
      <c r="T716" s="692"/>
      <c r="U716" s="203"/>
      <c r="V716" s="508"/>
      <c r="W716" s="509"/>
      <c r="X716" s="534">
        <f>OBRA!AR718</f>
        <v>0</v>
      </c>
      <c r="Y716" s="309"/>
      <c r="Z716" s="309"/>
      <c r="AA716" s="5"/>
      <c r="AB716" s="313"/>
      <c r="AC716" s="317">
        <f>OBRA!BW718</f>
        <v>0</v>
      </c>
      <c r="AD716" s="352"/>
      <c r="AE716" s="352"/>
    </row>
    <row r="717" spans="1:31" ht="15" hidden="1" customHeight="1">
      <c r="A717" s="22" t="s">
        <v>2206</v>
      </c>
      <c r="B717" s="809">
        <f>GRAL!B948</f>
        <v>0</v>
      </c>
      <c r="C717" s="16">
        <f>OBRA!J719</f>
        <v>2023</v>
      </c>
      <c r="D717" s="1415"/>
      <c r="E717" s="17" t="str">
        <f>OBRA!M719</f>
        <v>CUENTA CORRIENTE</v>
      </c>
      <c r="F717" s="1170"/>
      <c r="G717" s="1108"/>
      <c r="H717" s="219"/>
      <c r="I717" s="1108"/>
      <c r="J717" s="54"/>
      <c r="K717" s="55"/>
      <c r="L717" s="19" t="str">
        <f>OBRA!N719</f>
        <v>C- OP 016/2023</v>
      </c>
      <c r="M717" s="2" t="str">
        <f>OBRA!O719</f>
        <v>ARRENDAMIENTO</v>
      </c>
      <c r="N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1"/>
      <c r="P717" s="6">
        <f>OBRA!S719</f>
        <v>45113</v>
      </c>
      <c r="Q717" s="4">
        <f>OBRA!R719</f>
        <v>2900</v>
      </c>
      <c r="R717" s="5">
        <f>OBRA!T719</f>
        <v>45117</v>
      </c>
      <c r="S717" s="11">
        <f>OBRA!U719</f>
        <v>45127</v>
      </c>
      <c r="T717" s="692"/>
      <c r="U717" s="203"/>
      <c r="V717" s="508"/>
      <c r="W717" s="509"/>
      <c r="X717" s="534">
        <f>OBRA!AR719</f>
        <v>0</v>
      </c>
      <c r="Y717" s="309"/>
      <c r="Z717" s="309"/>
      <c r="AA717" s="5"/>
      <c r="AB717" s="313"/>
      <c r="AC717" s="317">
        <f>OBRA!BW719</f>
        <v>0</v>
      </c>
      <c r="AD717" s="352"/>
      <c r="AE717" s="352"/>
    </row>
    <row r="718" spans="1:31" ht="15" hidden="1" customHeight="1">
      <c r="A718" s="22" t="s">
        <v>2206</v>
      </c>
      <c r="B718" s="809">
        <f>GRAL!B949</f>
        <v>0</v>
      </c>
      <c r="C718" s="16">
        <f>OBRA!J720</f>
        <v>2023</v>
      </c>
      <c r="D718" s="1415"/>
      <c r="E718" s="17" t="str">
        <f>OBRA!M720</f>
        <v>CUENTA CORRIENTE</v>
      </c>
      <c r="F718" s="1170"/>
      <c r="G718" s="1108"/>
      <c r="H718" s="219"/>
      <c r="I718" s="1108"/>
      <c r="J718" s="54"/>
      <c r="K718" s="55"/>
      <c r="L718" s="19" t="str">
        <f>OBRA!N720</f>
        <v>C- OP 017/2023</v>
      </c>
      <c r="M718" s="2" t="str">
        <f>OBRA!O720</f>
        <v>ARRENDAMIENTO</v>
      </c>
      <c r="N718" s="3" t="str">
        <f>OBRA!P720</f>
        <v>RENTA DE UNA RETROEXCAVADORA CATERPILLAR 416E 4X4 DE 77HP, PARA SER UTITLIZADO PARA LA CONSTRUCCIÓN DE BASE PARA COLOCACIÓN DE LETRAS MONUMENTALES EN LAS TROJES, MUNICIPIO DE JOCOTEPEC, JALISCO</v>
      </c>
      <c r="O718" s="541"/>
      <c r="P718" s="6">
        <f>OBRA!S720</f>
        <v>45133</v>
      </c>
      <c r="Q718" s="4">
        <f>OBRA!R720</f>
        <v>696</v>
      </c>
      <c r="R718" s="5">
        <f>OBRA!T720</f>
        <v>45139</v>
      </c>
      <c r="S718" s="11">
        <f>OBRA!U720</f>
        <v>45148</v>
      </c>
      <c r="T718" s="692"/>
      <c r="U718" s="203"/>
      <c r="V718" s="508"/>
      <c r="W718" s="509"/>
      <c r="X718" s="534">
        <f>OBRA!AR720</f>
        <v>0</v>
      </c>
      <c r="Y718" s="309"/>
      <c r="Z718" s="309"/>
      <c r="AA718" s="5"/>
      <c r="AB718" s="313"/>
      <c r="AC718" s="317">
        <f>OBRA!BW720</f>
        <v>0</v>
      </c>
      <c r="AD718" s="352"/>
      <c r="AE718" s="352"/>
    </row>
    <row r="719" spans="1:31" ht="15" hidden="1" customHeight="1">
      <c r="A719" s="22" t="s">
        <v>2206</v>
      </c>
      <c r="B719" s="809">
        <f>GRAL!B950</f>
        <v>0</v>
      </c>
      <c r="C719" s="16">
        <f>OBRA!J721</f>
        <v>2023</v>
      </c>
      <c r="D719" s="1415"/>
      <c r="E719" s="17" t="str">
        <f>OBRA!M721</f>
        <v>CUENTA CORRIENTE</v>
      </c>
      <c r="F719" s="1170"/>
      <c r="G719" s="1108"/>
      <c r="H719" s="219"/>
      <c r="I719" s="1108"/>
      <c r="J719" s="54"/>
      <c r="K719" s="55"/>
      <c r="L719" s="19" t="str">
        <f>OBRA!N721</f>
        <v>C- OP 018/2023</v>
      </c>
      <c r="M719" s="2" t="str">
        <f>OBRA!O721</f>
        <v>ARRENDAMIENTO</v>
      </c>
      <c r="N719" s="3" t="str">
        <f>OBRA!P721</f>
        <v>RENTA DE UNA RETROEXCAVADORA JHON DEERE 310SJ 4X4, PARA SER UTILIZADA EN DIVERSOS MANTENIMIENTOS REQUERIDOS POR LA DIRECCIÓN DE OBRAS PÚBLICAS DEL GOBIERNO MUNICIPAL DE JOCOTEPEC, JALISCO.</v>
      </c>
      <c r="O719" s="541"/>
      <c r="P719" s="6">
        <f>OBRA!S721</f>
        <v>45077</v>
      </c>
      <c r="Q719" s="4">
        <f>OBRA!R721</f>
        <v>56839.999999999993</v>
      </c>
      <c r="R719" s="5">
        <f>OBRA!T721</f>
        <v>45078</v>
      </c>
      <c r="S719" s="11">
        <f>OBRA!U721</f>
        <v>45138</v>
      </c>
      <c r="T719" s="692"/>
      <c r="U719" s="203"/>
      <c r="V719" s="508"/>
      <c r="W719" s="509"/>
      <c r="X719" s="534">
        <f>OBRA!AR721</f>
        <v>0</v>
      </c>
      <c r="Y719" s="309"/>
      <c r="Z719" s="309"/>
      <c r="AA719" s="5"/>
      <c r="AB719" s="313"/>
      <c r="AC719" s="317">
        <f>OBRA!BW721</f>
        <v>0</v>
      </c>
      <c r="AD719" s="352"/>
      <c r="AE719" s="352"/>
    </row>
    <row r="720" spans="1:31" ht="15" hidden="1" customHeight="1">
      <c r="A720" s="22" t="s">
        <v>2206</v>
      </c>
      <c r="B720" s="809">
        <f>GRAL!B951</f>
        <v>0</v>
      </c>
      <c r="C720" s="16">
        <f>OBRA!J722</f>
        <v>2023</v>
      </c>
      <c r="D720" s="1415"/>
      <c r="E720" s="17" t="str">
        <f>OBRA!M722</f>
        <v>CUENTA CORRIENTE</v>
      </c>
      <c r="F720" s="1170"/>
      <c r="G720" s="1108"/>
      <c r="H720" s="219"/>
      <c r="I720" s="1108"/>
      <c r="J720" s="54"/>
      <c r="K720" s="55"/>
      <c r="L720" s="19" t="str">
        <f>OBRA!N722</f>
        <v>C- OP 019/2023</v>
      </c>
      <c r="M720" s="2" t="str">
        <f>OBRA!O722</f>
        <v>ARRENDAMIENTO</v>
      </c>
      <c r="N720" s="3" t="str">
        <f>OBRA!P722</f>
        <v>RENTA DE UNA RETROEXCAVADORA CATERPILLAR SERIE 416E, PARA LOS TRABAJOS DE NIVELACIÓN DE TERRENO EN POZO DE AGUA CAMICHINES EN CALLE FRANCISCO VILLA, CABECERA MUNICIPAL DE JOCOTEPEC, JALISCO.</v>
      </c>
      <c r="O720" s="541"/>
      <c r="P720" s="6">
        <f>OBRA!S722</f>
        <v>45210</v>
      </c>
      <c r="Q720" s="4">
        <f>OBRA!R722</f>
        <v>779.52</v>
      </c>
      <c r="R720" s="5">
        <f>OBRA!T722</f>
        <v>45215</v>
      </c>
      <c r="S720" s="11">
        <f>OBRA!U722</f>
        <v>45217</v>
      </c>
      <c r="T720" s="692"/>
      <c r="U720" s="203"/>
      <c r="V720" s="508"/>
      <c r="W720" s="509"/>
      <c r="X720" s="534">
        <f>OBRA!AR722</f>
        <v>0</v>
      </c>
      <c r="Y720" s="309"/>
      <c r="Z720" s="309"/>
      <c r="AA720" s="5"/>
      <c r="AB720" s="313"/>
      <c r="AC720" s="317">
        <f>OBRA!BW722</f>
        <v>0</v>
      </c>
      <c r="AD720" s="352"/>
      <c r="AE720" s="352"/>
    </row>
    <row r="721" spans="1:31" ht="15" hidden="1" customHeight="1">
      <c r="A721" s="22" t="s">
        <v>2206</v>
      </c>
      <c r="B721" s="809">
        <f>GRAL!B952</f>
        <v>0</v>
      </c>
      <c r="C721" s="16">
        <f>OBRA!J723</f>
        <v>2023</v>
      </c>
      <c r="D721" s="1415"/>
      <c r="E721" s="17" t="str">
        <f>OBRA!M723</f>
        <v>CUENTA CORRIENTE</v>
      </c>
      <c r="F721" s="1170"/>
      <c r="G721" s="1108"/>
      <c r="H721" s="219"/>
      <c r="I721" s="1108"/>
      <c r="J721" s="54"/>
      <c r="K721" s="55"/>
      <c r="L721" s="19" t="str">
        <f>OBRA!N723</f>
        <v>C- OP 020/2023</v>
      </c>
      <c r="M721" s="2" t="str">
        <f>OBRA!O723</f>
        <v>ARRENDAMIENTO</v>
      </c>
      <c r="N721" s="3" t="str">
        <f>OBRA!P723</f>
        <v>RENTA DE UNA RETROEXCAVADORA CATERPILLAR SERIE 416E, PARA LA OBRA "REHABILITACIÓN DE REDES HIDROSANITARIAS Y COLECTOR DE CALLE RIVERA DEL LAGO ENTRE CALLE GUAYABITOS Y CALLE CHUECA", EN LA LOCALIDAD DE CHANTEPEC, MUNICIPIO DE JOCOTEPEC, JALISCO.</v>
      </c>
      <c r="O721" s="541"/>
      <c r="P721" s="6">
        <f>OBRA!S723</f>
        <v>45204</v>
      </c>
      <c r="Q721" s="4">
        <f>OBRA!R723</f>
        <v>730.8</v>
      </c>
      <c r="R721" s="5">
        <f>OBRA!T723</f>
        <v>45208</v>
      </c>
      <c r="S721" s="11">
        <f>OBRA!U723</f>
        <v>45240</v>
      </c>
      <c r="T721" s="692"/>
      <c r="U721" s="203"/>
      <c r="V721" s="508"/>
      <c r="W721" s="509"/>
      <c r="X721" s="534">
        <f>OBRA!AR723</f>
        <v>0</v>
      </c>
      <c r="Y721" s="309"/>
      <c r="Z721" s="309"/>
      <c r="AA721" s="5"/>
      <c r="AB721" s="313"/>
      <c r="AC721" s="317">
        <f>OBRA!BW723</f>
        <v>0</v>
      </c>
      <c r="AD721" s="352"/>
      <c r="AE721" s="352"/>
    </row>
    <row r="722" spans="1:31" ht="15" hidden="1" customHeight="1">
      <c r="A722" s="22" t="s">
        <v>2206</v>
      </c>
      <c r="B722" s="809">
        <f>GRAL!B953</f>
        <v>0</v>
      </c>
      <c r="C722" s="16">
        <f>OBRA!J724</f>
        <v>2023</v>
      </c>
      <c r="D722" s="1415"/>
      <c r="E722" s="17" t="str">
        <f>OBRA!M724</f>
        <v>CUENTA CORRIENTE</v>
      </c>
      <c r="F722" s="1170"/>
      <c r="G722" s="1108"/>
      <c r="H722" s="219"/>
      <c r="I722" s="1108"/>
      <c r="J722" s="54"/>
      <c r="K722" s="55"/>
      <c r="L722" s="19" t="str">
        <f>OBRA!N724</f>
        <v>C- OP 021/2023</v>
      </c>
      <c r="M722" s="2" t="str">
        <f>OBRA!O724</f>
        <v>ARRENDAMIENTO</v>
      </c>
      <c r="N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1"/>
      <c r="P722" s="6">
        <f>OBRA!S724</f>
        <v>45204</v>
      </c>
      <c r="Q722" s="4">
        <f>OBRA!R724</f>
        <v>754</v>
      </c>
      <c r="R722" s="5">
        <f>OBRA!T724</f>
        <v>45208</v>
      </c>
      <c r="S722" s="11">
        <f>OBRA!U724</f>
        <v>45240</v>
      </c>
      <c r="T722" s="692"/>
      <c r="U722" s="203"/>
      <c r="V722" s="508"/>
      <c r="W722" s="509"/>
      <c r="X722" s="534">
        <f>OBRA!AR724</f>
        <v>0</v>
      </c>
      <c r="Y722" s="309"/>
      <c r="Z722" s="309"/>
      <c r="AA722" s="5"/>
      <c r="AB722" s="313"/>
      <c r="AC722" s="317">
        <f>OBRA!BW724</f>
        <v>0</v>
      </c>
      <c r="AD722" s="352"/>
      <c r="AE722" s="352"/>
    </row>
    <row r="723" spans="1:31" ht="15" hidden="1" customHeight="1">
      <c r="A723" s="22" t="s">
        <v>2206</v>
      </c>
      <c r="B723" s="809">
        <f>GRAL!B954</f>
        <v>0</v>
      </c>
      <c r="C723" s="16">
        <f>OBRA!J725</f>
        <v>2023</v>
      </c>
      <c r="D723" s="1415"/>
      <c r="E723" s="17" t="str">
        <f>OBRA!M725</f>
        <v>CUENTA CORRIENTE</v>
      </c>
      <c r="F723" s="1170"/>
      <c r="G723" s="1108"/>
      <c r="H723" s="219"/>
      <c r="I723" s="1108"/>
      <c r="J723" s="54"/>
      <c r="K723" s="55"/>
      <c r="L723" s="19" t="str">
        <f>OBRA!N725</f>
        <v>C- OP 022/2023</v>
      </c>
      <c r="M723" s="2" t="str">
        <f>OBRA!O725</f>
        <v>ARRENDAMIENTO</v>
      </c>
      <c r="N723" s="3" t="str">
        <f>OBRA!P725</f>
        <v>RENTA DE UNA BAILARINA COMPACTADORA WACKER, PARA LA OBRA "REHABILITACIÓN DE REDES HIDROSANITARIAS Y COLECTOR DE CALLE RIVERA DEL LAGO ENTRE CALLE GUAYABITOS Y CALLE CHUECA", EN LA LOCALIDAD DE CHANTEPEC, MUNICIPIO DE JOCOTEPEC, JALISCO.</v>
      </c>
      <c r="O723" s="541"/>
      <c r="P723" s="6">
        <f>OBRA!S725</f>
        <v>45204</v>
      </c>
      <c r="Q723" s="4">
        <f>OBRA!R725</f>
        <v>580</v>
      </c>
      <c r="R723" s="5">
        <f>OBRA!T725</f>
        <v>45208</v>
      </c>
      <c r="S723" s="11">
        <f>OBRA!U725</f>
        <v>45240</v>
      </c>
      <c r="T723" s="692"/>
      <c r="U723" s="203"/>
      <c r="V723" s="508"/>
      <c r="W723" s="509"/>
      <c r="X723" s="534">
        <f>OBRA!AR725</f>
        <v>0</v>
      </c>
      <c r="Y723" s="309"/>
      <c r="Z723" s="309"/>
      <c r="AA723" s="5"/>
      <c r="AB723" s="313"/>
      <c r="AC723" s="317">
        <f>OBRA!BW725</f>
        <v>0</v>
      </c>
      <c r="AD723" s="352"/>
      <c r="AE723" s="352"/>
    </row>
    <row r="724" spans="1:31" ht="15" hidden="1" customHeight="1">
      <c r="A724" s="22" t="s">
        <v>2206</v>
      </c>
      <c r="B724" s="809">
        <f>GRAL!B955</f>
        <v>0</v>
      </c>
      <c r="C724" s="16">
        <f>OBRA!J726</f>
        <v>2023</v>
      </c>
      <c r="D724" s="1415"/>
      <c r="E724" s="17" t="str">
        <f>OBRA!M726</f>
        <v>CUENTA CORRIENTE</v>
      </c>
      <c r="F724" s="1170"/>
      <c r="G724" s="1108"/>
      <c r="H724" s="219"/>
      <c r="I724" s="1108"/>
      <c r="J724" s="54"/>
      <c r="K724" s="55"/>
      <c r="L724" s="19" t="str">
        <f>OBRA!N726</f>
        <v>C- OP 023/2023</v>
      </c>
      <c r="M724" s="2" t="str">
        <f>OBRA!O726</f>
        <v>ARRENDAMIENTO</v>
      </c>
      <c r="N724" s="3" t="str">
        <f>OBRA!P726</f>
        <v>RENTA DE MOTOBOMBA MARCA HONDA, PARA LA OBRA "REHABILITACIÓN DE REDES HIDROSANITARIAS Y COLECTOR DE CALLE RIVERA DEL LAGO ENTRE CALLE GUAYABITOS Y CALLE CHUECA", EN LA LOCALIDAD DE CHANTEPEC, MUNICIPIO DE JOCOTEPEC, JALISCO.</v>
      </c>
      <c r="O724" s="541"/>
      <c r="P724" s="6">
        <f>OBRA!S726</f>
        <v>45204</v>
      </c>
      <c r="Q724" s="4">
        <f>OBRA!R726</f>
        <v>580</v>
      </c>
      <c r="R724" s="5">
        <f>OBRA!T726</f>
        <v>45208</v>
      </c>
      <c r="S724" s="11">
        <f>OBRA!U726</f>
        <v>45240</v>
      </c>
      <c r="T724" s="692"/>
      <c r="U724" s="203"/>
      <c r="V724" s="508"/>
      <c r="W724" s="509"/>
      <c r="X724" s="534">
        <f>OBRA!AR726</f>
        <v>0</v>
      </c>
      <c r="Y724" s="309"/>
      <c r="Z724" s="309"/>
      <c r="AA724" s="5"/>
      <c r="AB724" s="313"/>
      <c r="AC724" s="317">
        <f>OBRA!BW726</f>
        <v>0</v>
      </c>
      <c r="AD724" s="352"/>
      <c r="AE724" s="352"/>
    </row>
    <row r="725" spans="1:31" ht="15" hidden="1" customHeight="1">
      <c r="A725" s="22" t="s">
        <v>2206</v>
      </c>
      <c r="B725" s="809">
        <f>GRAL!B956</f>
        <v>0</v>
      </c>
      <c r="C725" s="16">
        <f>OBRA!J727</f>
        <v>2023</v>
      </c>
      <c r="D725" s="1415"/>
      <c r="E725" s="17" t="str">
        <f>OBRA!M727</f>
        <v>CUENTA CORRIENTE</v>
      </c>
      <c r="F725" s="1170"/>
      <c r="G725" s="1108"/>
      <c r="H725" s="219"/>
      <c r="I725" s="1108"/>
      <c r="J725" s="54"/>
      <c r="K725" s="55"/>
      <c r="L725" s="19" t="str">
        <f>OBRA!N727</f>
        <v>C.P.S.P. DOP 037/2023</v>
      </c>
      <c r="M725" s="2" t="str">
        <f>OBRA!O727</f>
        <v>CANCELADA</v>
      </c>
      <c r="N725" s="3" t="str">
        <f>OBRA!P727</f>
        <v>-</v>
      </c>
      <c r="O725" s="541"/>
      <c r="P725" s="6">
        <f>OBRA!S727</f>
        <v>0</v>
      </c>
      <c r="Q725" s="4">
        <f>OBRA!R727</f>
        <v>0</v>
      </c>
      <c r="R725" s="5">
        <f>OBRA!T727</f>
        <v>0</v>
      </c>
      <c r="S725" s="11">
        <f>OBRA!U727</f>
        <v>0</v>
      </c>
      <c r="T725" s="692"/>
      <c r="U725" s="203"/>
      <c r="V725" s="508"/>
      <c r="W725" s="509"/>
      <c r="X725" s="534">
        <f>OBRA!AR727</f>
        <v>0</v>
      </c>
      <c r="Y725" s="309"/>
      <c r="Z725" s="309"/>
      <c r="AA725" s="5"/>
      <c r="AB725" s="313"/>
      <c r="AC725" s="317">
        <f>OBRA!BW727</f>
        <v>0</v>
      </c>
      <c r="AD725" s="352"/>
      <c r="AE725" s="352"/>
    </row>
    <row r="726" spans="1:31" ht="136.5" hidden="1" customHeight="1">
      <c r="A726" s="22" t="s">
        <v>2206</v>
      </c>
      <c r="B726" s="809" t="str">
        <f>GRAL!B730</f>
        <v>2021-2024</v>
      </c>
      <c r="C726" s="16">
        <f>OBRA!J728</f>
        <v>2023</v>
      </c>
      <c r="D726" s="1415"/>
      <c r="E726" s="17" t="str">
        <f>OBRA!M728</f>
        <v>CUENTA CORRIENTE</v>
      </c>
      <c r="F726" s="478" t="s">
        <v>1428</v>
      </c>
      <c r="G726" s="496" t="s">
        <v>5522</v>
      </c>
      <c r="H726" s="495" t="s">
        <v>5522</v>
      </c>
      <c r="I726" s="496" t="s">
        <v>5522</v>
      </c>
      <c r="J726" s="54" t="str">
        <f>OBRA!W728</f>
        <v>-</v>
      </c>
      <c r="K726" s="55" t="str">
        <f>OBRA!X728</f>
        <v>C. DANIEL RODRIGUEZ VALENZUELA</v>
      </c>
      <c r="L726" s="19" t="str">
        <f>OBRA!N728</f>
        <v>DOP/AD/001/2023</v>
      </c>
      <c r="M726" s="2" t="str">
        <f>OBRA!O728</f>
        <v>ADMINISTRACIÓN DIRECTA</v>
      </c>
      <c r="N726" s="3" t="str">
        <f>OBRA!P728</f>
        <v>"CONSTRUCCIÓN DE REDES HIDROSANITARIAS EN CALLE FILÓSOFOS ENTRE CALLE JOSEFA ORTÍZ DE DOMINGUEZ E HIDALGO", EN LA CABECERA MUNICIPAL DE JOCOTEPEC, JALISCO</v>
      </c>
      <c r="O726" s="504" t="s">
        <v>5516</v>
      </c>
      <c r="P726" s="6">
        <f>OBRA!S728</f>
        <v>44967</v>
      </c>
      <c r="Q726" s="4">
        <f>OBRA!R728</f>
        <v>307647.35999999999</v>
      </c>
      <c r="R726" s="5">
        <f>OBRA!T728</f>
        <v>44968</v>
      </c>
      <c r="S726" s="11">
        <f>OBRA!U728</f>
        <v>44985</v>
      </c>
      <c r="T726" s="1565" t="s">
        <v>4445</v>
      </c>
      <c r="U726" s="203"/>
      <c r="V726" s="499" t="s">
        <v>5522</v>
      </c>
      <c r="W726" s="597" t="s">
        <v>5522</v>
      </c>
      <c r="X726" s="986">
        <f>OBRA!AR728</f>
        <v>0</v>
      </c>
      <c r="Y726" s="309"/>
      <c r="Z726" s="309"/>
      <c r="AA726" s="5"/>
      <c r="AB726" s="313"/>
      <c r="AC726" s="317">
        <f>OBRA!BW728</f>
        <v>0</v>
      </c>
      <c r="AD726" s="352"/>
      <c r="AE726" s="352"/>
    </row>
    <row r="727" spans="1:31" ht="117.75" hidden="1" customHeight="1">
      <c r="A727" s="22" t="s">
        <v>2206</v>
      </c>
      <c r="B727" s="809" t="str">
        <f>GRAL!B731</f>
        <v>2021-2024</v>
      </c>
      <c r="C727" s="16">
        <f>OBRA!J729</f>
        <v>2023</v>
      </c>
      <c r="D727" s="1415"/>
      <c r="E727" s="17" t="str">
        <f>OBRA!M729</f>
        <v>REGULARIZACIÓN DE VEHÍCULOS DE PROCEDENCIA EXTRANJERA - RAMO 23/2022</v>
      </c>
      <c r="F727" s="478" t="s">
        <v>1428</v>
      </c>
      <c r="G727" s="496" t="s">
        <v>5521</v>
      </c>
      <c r="H727" s="495" t="s">
        <v>5521</v>
      </c>
      <c r="I727" s="496" t="s">
        <v>5521</v>
      </c>
      <c r="J727" s="54" t="str">
        <f>OBRA!W729</f>
        <v>-</v>
      </c>
      <c r="K727" s="55" t="str">
        <f>OBRA!X729</f>
        <v>ARQ. JAIME CONDE GOMEZ</v>
      </c>
      <c r="L727" s="19" t="str">
        <f>OBRA!N729</f>
        <v>DOP/AD/002/2023</v>
      </c>
      <c r="M727" s="2" t="str">
        <f>OBRA!O729</f>
        <v>ADMINISTRACIÓN DIRECTA</v>
      </c>
      <c r="N727" s="3" t="str">
        <f>OBRA!P729</f>
        <v>"BACHEO SUPERFICIAL AISLADO EN CALLE INDEPENDENCIA NORTE ENTRE C. MORELOS Y C. DEGOLLADO", EN LA CABECERA MUNICIPAL DE JOCOTEPEC, JALISCO.</v>
      </c>
      <c r="O727" s="504" t="s">
        <v>5516</v>
      </c>
      <c r="P727" s="6">
        <f>OBRA!S729</f>
        <v>45033</v>
      </c>
      <c r="Q727" s="4">
        <f>OBRA!R729</f>
        <v>27472.5</v>
      </c>
      <c r="R727" s="5">
        <f>OBRA!T729</f>
        <v>45036</v>
      </c>
      <c r="S727" s="11">
        <f>OBRA!U729</f>
        <v>45038</v>
      </c>
      <c r="T727" s="1565" t="s">
        <v>4445</v>
      </c>
      <c r="U727" s="203"/>
      <c r="V727" s="499" t="s">
        <v>5521</v>
      </c>
      <c r="W727" s="597" t="s">
        <v>5521</v>
      </c>
      <c r="X727" s="986">
        <f>OBRA!AR729</f>
        <v>0</v>
      </c>
      <c r="Y727" s="309"/>
      <c r="Z727" s="309"/>
      <c r="AA727" s="5"/>
      <c r="AB727" s="313"/>
      <c r="AC727" s="317">
        <f>OBRA!BW729</f>
        <v>0</v>
      </c>
      <c r="AD727" s="352"/>
      <c r="AE727" s="352"/>
    </row>
    <row r="728" spans="1:31" ht="15" hidden="1" customHeight="1">
      <c r="A728" s="22" t="s">
        <v>2206</v>
      </c>
      <c r="B728" s="809">
        <f>GRAL!B959</f>
        <v>0</v>
      </c>
      <c r="C728" s="16">
        <f>OBRA!J730</f>
        <v>2023</v>
      </c>
      <c r="D728" s="1415"/>
      <c r="E728" s="17" t="str">
        <f>OBRA!M730</f>
        <v>CUENTA CORRIENTE</v>
      </c>
      <c r="F728" s="1170"/>
      <c r="G728" s="1108"/>
      <c r="H728" s="219"/>
      <c r="I728" s="1108"/>
      <c r="J728" s="54"/>
      <c r="K728" s="55"/>
      <c r="L728" s="19" t="str">
        <f>OBRA!N730</f>
        <v>DOP/AD/003/2023</v>
      </c>
      <c r="M728" s="2" t="str">
        <f>OBRA!O730</f>
        <v>ADMINISTRACIÓN DIRECTA</v>
      </c>
      <c r="N728" s="3" t="str">
        <f>OBRA!P730</f>
        <v>REHABILITACIÓN DE REDES HIDROSANITARIAS Y COLECTOR DE CALLE RIVERA DEL LAGO ENTRE CALLE GUAYABITOS Y CALLE CHUECA", EN LA LOCALIDAD DE CHANTEPEC, MUNICIPIO DE JOCOTEPEC, JALISCO.</v>
      </c>
      <c r="O728" s="504" t="s">
        <v>5516</v>
      </c>
      <c r="P728" s="6">
        <f>OBRA!S730</f>
        <v>45557</v>
      </c>
      <c r="Q728" s="4">
        <f>OBRA!R730</f>
        <v>495788.04</v>
      </c>
      <c r="R728" s="5">
        <f>OBRA!T730</f>
        <v>45208</v>
      </c>
      <c r="S728" s="11">
        <f>OBRA!U730</f>
        <v>45240</v>
      </c>
      <c r="T728" s="692"/>
      <c r="U728" s="203"/>
      <c r="V728" s="508"/>
      <c r="W728" s="509"/>
      <c r="X728" s="534">
        <f>OBRA!AR730</f>
        <v>0</v>
      </c>
      <c r="Y728" s="309"/>
      <c r="Z728" s="309"/>
      <c r="AA728" s="5"/>
      <c r="AB728" s="313"/>
      <c r="AC728" s="317">
        <f>OBRA!BW730</f>
        <v>0</v>
      </c>
      <c r="AD728" s="352"/>
      <c r="AE728" s="352"/>
    </row>
    <row r="729" spans="1:31" ht="118.5" hidden="1" customHeight="1">
      <c r="A729" s="22" t="s">
        <v>2206</v>
      </c>
      <c r="B729" s="809" t="str">
        <f>GRAL!B733</f>
        <v>2021-2024</v>
      </c>
      <c r="C729" s="16">
        <f>OBRA!J731</f>
        <v>2023</v>
      </c>
      <c r="D729" s="1415"/>
      <c r="E729" s="17" t="str">
        <f>OBRA!M731</f>
        <v>CUENTA CORRIENTE</v>
      </c>
      <c r="F729" s="478" t="s">
        <v>1428</v>
      </c>
      <c r="G729" s="496" t="s">
        <v>5523</v>
      </c>
      <c r="H729" s="495" t="s">
        <v>5523</v>
      </c>
      <c r="I729" s="496" t="s">
        <v>5523</v>
      </c>
      <c r="J729" s="54" t="str">
        <f>OBRA!W731</f>
        <v>-</v>
      </c>
      <c r="K729" s="55" t="str">
        <f>OBRA!X731</f>
        <v>C. DANIEL RODRIGUEZ VALENZUELA</v>
      </c>
      <c r="L729" s="19" t="str">
        <f>OBRA!N731</f>
        <v>DOP/AD/004/2023</v>
      </c>
      <c r="M729" s="2" t="str">
        <f>OBRA!O731</f>
        <v>ADMINISTRACIÓN DIRECTA</v>
      </c>
      <c r="N729" s="3" t="str">
        <f>OBRA!P731</f>
        <v>"IMPERMEABILIZACIÓN DE CUPULAS EN EL TEMPLO DEL SR. DEL MONTE", EN LA CABECERA MUNICIPAL DE JOCOTEPEC, JALISCO.</v>
      </c>
      <c r="O729" s="504" t="s">
        <v>5516</v>
      </c>
      <c r="P729" s="6">
        <f>OBRA!S731</f>
        <v>45191</v>
      </c>
      <c r="Q729" s="4">
        <f>OBRA!R731</f>
        <v>80000</v>
      </c>
      <c r="R729" s="5">
        <f>OBRA!T731</f>
        <v>45201</v>
      </c>
      <c r="S729" s="11">
        <f>OBRA!U731</f>
        <v>45227</v>
      </c>
      <c r="T729" s="1565" t="s">
        <v>4445</v>
      </c>
      <c r="U729" s="203"/>
      <c r="V729" s="499" t="s">
        <v>5523</v>
      </c>
      <c r="W729" s="597" t="s">
        <v>5523</v>
      </c>
      <c r="X729" s="1712">
        <f>OBRA!AR731</f>
        <v>0</v>
      </c>
      <c r="Y729" s="309"/>
      <c r="Z729" s="309"/>
      <c r="AA729" s="5"/>
      <c r="AB729" s="313"/>
      <c r="AC729" s="317">
        <f>OBRA!BW731</f>
        <v>0</v>
      </c>
      <c r="AD729" s="352"/>
      <c r="AE729" s="352"/>
    </row>
    <row r="730" spans="1:31" ht="121.5" hidden="1" customHeight="1">
      <c r="A730" s="22" t="s">
        <v>2206</v>
      </c>
      <c r="B730" s="809" t="str">
        <f>GRAL!B734</f>
        <v>2021-2024</v>
      </c>
      <c r="C730" s="16">
        <f>OBRA!J732</f>
        <v>2023</v>
      </c>
      <c r="D730" s="1415"/>
      <c r="E730" s="17" t="str">
        <f>OBRA!M732</f>
        <v>REGULARIZACIÓN DE VEHÍCULOS DE PROCEDENCIA EXTRANJERA - RAMO 23/2023</v>
      </c>
      <c r="F730" s="478" t="s">
        <v>1428</v>
      </c>
      <c r="G730" s="496" t="s">
        <v>5524</v>
      </c>
      <c r="H730" s="495" t="s">
        <v>5524</v>
      </c>
      <c r="I730" s="496" t="s">
        <v>5524</v>
      </c>
      <c r="J730" s="54" t="str">
        <f>OBRA!W732</f>
        <v>-</v>
      </c>
      <c r="K730" s="55" t="str">
        <f>OBRA!X732</f>
        <v>ING. LUIS RIGOBERTO OLMEDO NAVARRO</v>
      </c>
      <c r="L730" s="19" t="str">
        <f>OBRA!N732</f>
        <v>DOP/AD/005/2023</v>
      </c>
      <c r="M730" s="2" t="str">
        <f>OBRA!O732</f>
        <v>ADMINISTRACIÓN DIRECTA</v>
      </c>
      <c r="N730" s="3" t="str">
        <f>OBRA!P732</f>
        <v>"BACHEO SUPERFICIAL AISLADO DE MEZCLA ASFÁLTICA EN LA CALLE MORELOS ENTRE CALLE NIÑOS HÉROES YCALLE ZARAGOZA EN EL BARRIO LA CALABAZA" DE LA CABECERA MUNICIPAL DE JOCOTEPEC, MUNICIPIO DE JOCOTEPEC, JALISCO.</v>
      </c>
      <c r="O730" s="504" t="s">
        <v>5516</v>
      </c>
      <c r="P730" s="6">
        <f>OBRA!S732</f>
        <v>45244</v>
      </c>
      <c r="Q730" s="4">
        <f>OBRA!R732</f>
        <v>92407.5</v>
      </c>
      <c r="R730" s="5">
        <f>OBRA!T732</f>
        <v>45264</v>
      </c>
      <c r="S730" s="11">
        <f>OBRA!U732</f>
        <v>45268</v>
      </c>
      <c r="T730" s="1565" t="s">
        <v>4445</v>
      </c>
      <c r="U730" s="203"/>
      <c r="V730" s="499" t="s">
        <v>5524</v>
      </c>
      <c r="W730" s="597" t="s">
        <v>5524</v>
      </c>
      <c r="X730" s="1712">
        <f>OBRA!AR732</f>
        <v>0</v>
      </c>
      <c r="Y730" s="309"/>
      <c r="Z730" s="309"/>
      <c r="AA730" s="5"/>
      <c r="AB730" s="313"/>
      <c r="AC730" s="317">
        <f>OBRA!BW732</f>
        <v>0</v>
      </c>
      <c r="AD730" s="352"/>
      <c r="AE730" s="352"/>
    </row>
    <row r="731" spans="1:31" ht="158.25" hidden="1" customHeight="1">
      <c r="A731" s="22" t="s">
        <v>2206</v>
      </c>
      <c r="B731" s="809" t="str">
        <f>GRAL!B735</f>
        <v>2021-2024</v>
      </c>
      <c r="C731" s="16">
        <f>OBRA!J733</f>
        <v>2023</v>
      </c>
      <c r="D731" s="1415"/>
      <c r="E731" s="17" t="str">
        <f>OBRA!M733</f>
        <v>CUENTA CORRIENTE</v>
      </c>
      <c r="F731" s="478" t="s">
        <v>1428</v>
      </c>
      <c r="G731" s="496" t="s">
        <v>5525</v>
      </c>
      <c r="H731" s="495" t="s">
        <v>5525</v>
      </c>
      <c r="I731" s="496" t="s">
        <v>5525</v>
      </c>
      <c r="J731" s="54" t="str">
        <f>OBRA!W733</f>
        <v>-</v>
      </c>
      <c r="K731" s="55" t="str">
        <f>OBRA!X733</f>
        <v>C. DANIEL RODRIGUEZ VALENZUELA</v>
      </c>
      <c r="L731" s="19" t="str">
        <f>OBRA!N733</f>
        <v>DOP/AD/006/2023</v>
      </c>
      <c r="M731" s="2" t="str">
        <f>OBRA!O733</f>
        <v>ADMINISTRACIÓN DIRECTA</v>
      </c>
      <c r="N731" s="3" t="str">
        <f>OBRA!P733</f>
        <v>"EXTENSIÓN DE RED DE AGUA POTABLE DE 4" DE DIAMETRO EN LA CALLE CHUECA" EN LA LOCALIDAD DE CHANTEPEC, MUNICIPIO DE JOCOTEPEC, JALISCO.</v>
      </c>
      <c r="O731" s="504" t="s">
        <v>5516</v>
      </c>
      <c r="P731" s="6">
        <f>OBRA!S733</f>
        <v>45257</v>
      </c>
      <c r="Q731" s="4">
        <f>OBRA!R733</f>
        <v>280000</v>
      </c>
      <c r="R731" s="5">
        <f>OBRA!T733</f>
        <v>45264</v>
      </c>
      <c r="S731" s="11">
        <f>OBRA!U733</f>
        <v>45288</v>
      </c>
      <c r="T731" s="1565" t="s">
        <v>4446</v>
      </c>
      <c r="U731" s="1582" t="s">
        <v>1428</v>
      </c>
      <c r="V731" s="499" t="s">
        <v>5525</v>
      </c>
      <c r="W731" s="597" t="s">
        <v>5525</v>
      </c>
      <c r="X731" s="987">
        <f>OBRA!AR733</f>
        <v>0</v>
      </c>
      <c r="Y731" s="309"/>
      <c r="Z731" s="309"/>
      <c r="AA731" s="5"/>
      <c r="AB731" s="313"/>
      <c r="AC731" s="317">
        <f>OBRA!BW733</f>
        <v>0</v>
      </c>
      <c r="AD731" s="352"/>
      <c r="AE731" s="352"/>
    </row>
    <row r="732" spans="1:31" ht="105" hidden="1" customHeight="1">
      <c r="A732" s="22" t="s">
        <v>2206</v>
      </c>
      <c r="B732" s="809" t="str">
        <f>GRAL!B736</f>
        <v>2021-2024</v>
      </c>
      <c r="C732" s="16">
        <f>OBRA!J734</f>
        <v>2023</v>
      </c>
      <c r="D732" s="1415"/>
      <c r="E732" s="17">
        <f>OBRA!M734</f>
        <v>0</v>
      </c>
      <c r="F732" s="478" t="s">
        <v>1428</v>
      </c>
      <c r="G732" s="496" t="s">
        <v>5838</v>
      </c>
      <c r="H732" s="495" t="s">
        <v>5838</v>
      </c>
      <c r="I732" s="496" t="s">
        <v>5838</v>
      </c>
      <c r="J732" s="54" t="str">
        <f>OBRA!W734</f>
        <v>-</v>
      </c>
      <c r="K732" s="55">
        <f>OBRA!X734</f>
        <v>0</v>
      </c>
      <c r="L732" s="19" t="str">
        <f>OBRA!N734</f>
        <v>DOP/AD/007/2023</v>
      </c>
      <c r="M732" s="2" t="str">
        <f>OBRA!O734</f>
        <v>CANCELADA</v>
      </c>
      <c r="N732" s="3" t="str">
        <f>OBRA!P734</f>
        <v>-</v>
      </c>
      <c r="O732" s="504" t="s">
        <v>5516</v>
      </c>
      <c r="P732" s="6">
        <f>OBRA!S734</f>
        <v>0</v>
      </c>
      <c r="Q732" s="4">
        <f>OBRA!R734</f>
        <v>0</v>
      </c>
      <c r="R732" s="5">
        <f>OBRA!T734</f>
        <v>0</v>
      </c>
      <c r="S732" s="11">
        <f>OBRA!U734</f>
        <v>0</v>
      </c>
      <c r="T732" s="1565" t="s">
        <v>4446</v>
      </c>
      <c r="U732" s="1582" t="s">
        <v>1428</v>
      </c>
      <c r="V732" s="499" t="s">
        <v>5838</v>
      </c>
      <c r="W732" s="597" t="s">
        <v>5838</v>
      </c>
      <c r="X732" s="986">
        <f>OBRA!AR734</f>
        <v>0</v>
      </c>
      <c r="Y732" s="309"/>
      <c r="Z732" s="309"/>
      <c r="AA732" s="5"/>
      <c r="AB732" s="313"/>
      <c r="AC732" s="317">
        <f>OBRA!BW734</f>
        <v>0</v>
      </c>
      <c r="AD732" s="352"/>
      <c r="AE732" s="352" t="s">
        <v>551</v>
      </c>
    </row>
    <row r="733" spans="1:31" ht="77.25" hidden="1" customHeight="1">
      <c r="A733" s="22" t="s">
        <v>2206</v>
      </c>
      <c r="B733" s="809" t="str">
        <f>GRAL!B737</f>
        <v>2021-2024</v>
      </c>
      <c r="C733" s="16">
        <f>OBRA!J735</f>
        <v>2023</v>
      </c>
      <c r="D733" s="1415"/>
      <c r="E733" s="17">
        <f>OBRA!M735</f>
        <v>0</v>
      </c>
      <c r="F733" s="478" t="s">
        <v>1428</v>
      </c>
      <c r="G733" s="496" t="s">
        <v>5526</v>
      </c>
      <c r="H733" s="495" t="s">
        <v>5526</v>
      </c>
      <c r="I733" s="496" t="s">
        <v>5526</v>
      </c>
      <c r="J733" s="54" t="str">
        <f>OBRA!W735</f>
        <v>-</v>
      </c>
      <c r="K733" s="55">
        <f>OBRA!X735</f>
        <v>0</v>
      </c>
      <c r="L733" s="19" t="str">
        <f>OBRA!N735</f>
        <v>DOP/AD/008/2023</v>
      </c>
      <c r="M733" s="2" t="str">
        <f>OBRA!O735</f>
        <v>CANCELADA</v>
      </c>
      <c r="N733" s="3" t="str">
        <f>OBRA!P735</f>
        <v>-</v>
      </c>
      <c r="O733" s="504" t="s">
        <v>5516</v>
      </c>
      <c r="P733" s="6">
        <f>OBRA!S735</f>
        <v>0</v>
      </c>
      <c r="Q733" s="4">
        <f>OBRA!R735</f>
        <v>0</v>
      </c>
      <c r="R733" s="5">
        <f>OBRA!T735</f>
        <v>0</v>
      </c>
      <c r="S733" s="11">
        <f>OBRA!U735</f>
        <v>0</v>
      </c>
      <c r="T733" s="1565" t="s">
        <v>4446</v>
      </c>
      <c r="U733" s="206" t="s">
        <v>1428</v>
      </c>
      <c r="V733" s="499" t="s">
        <v>5526</v>
      </c>
      <c r="W733" s="597" t="s">
        <v>5526</v>
      </c>
      <c r="X733" s="986">
        <f>OBRA!AR735</f>
        <v>0</v>
      </c>
      <c r="Y733" s="309"/>
      <c r="Z733" s="309"/>
      <c r="AA733" s="5"/>
      <c r="AB733" s="313"/>
      <c r="AC733" s="317">
        <f>OBRA!BW735</f>
        <v>0</v>
      </c>
      <c r="AD733" s="352"/>
      <c r="AE733" s="352" t="s">
        <v>551</v>
      </c>
    </row>
    <row r="734" spans="1:31" ht="105" hidden="1" customHeight="1">
      <c r="A734" s="22" t="s">
        <v>2206</v>
      </c>
      <c r="B734" s="809" t="str">
        <f>GRAL!B738</f>
        <v>2021-2024</v>
      </c>
      <c r="C734" s="16">
        <f>OBRA!J736</f>
        <v>2023</v>
      </c>
      <c r="D734" s="1415"/>
      <c r="E734" s="17">
        <f>OBRA!M736</f>
        <v>0</v>
      </c>
      <c r="F734" s="478" t="s">
        <v>1428</v>
      </c>
      <c r="G734" s="496" t="s">
        <v>5844</v>
      </c>
      <c r="H734" s="495" t="s">
        <v>5844</v>
      </c>
      <c r="I734" s="163"/>
      <c r="J734" s="54" t="str">
        <f>OBRA!W736</f>
        <v>-</v>
      </c>
      <c r="K734" s="55">
        <f>OBRA!X736</f>
        <v>0</v>
      </c>
      <c r="L734" s="19" t="str">
        <f>OBRA!N736</f>
        <v>DOP/AD/009/2023</v>
      </c>
      <c r="M734" s="2" t="str">
        <f>OBRA!O736</f>
        <v>CANCELADA</v>
      </c>
      <c r="N734" s="3" t="str">
        <f>OBRA!P736</f>
        <v>-</v>
      </c>
      <c r="O734" s="504" t="s">
        <v>5516</v>
      </c>
      <c r="P734" s="6">
        <f>OBRA!S736</f>
        <v>0</v>
      </c>
      <c r="Q734" s="4">
        <f>OBRA!R736</f>
        <v>0</v>
      </c>
      <c r="R734" s="5">
        <f>OBRA!T736</f>
        <v>0</v>
      </c>
      <c r="S734" s="11">
        <f>OBRA!U736</f>
        <v>0</v>
      </c>
      <c r="T734" s="1565" t="s">
        <v>4446</v>
      </c>
      <c r="U734" s="1582" t="s">
        <v>1428</v>
      </c>
      <c r="V734" s="535"/>
      <c r="W734" s="437"/>
      <c r="X734" s="987">
        <f>OBRA!AR736</f>
        <v>0</v>
      </c>
      <c r="Y734" s="309"/>
      <c r="Z734" s="309"/>
      <c r="AA734" s="5"/>
      <c r="AB734" s="313"/>
      <c r="AC734" s="317">
        <f>OBRA!BW736</f>
        <v>0</v>
      </c>
      <c r="AD734" s="352"/>
      <c r="AE734" s="352"/>
    </row>
    <row r="735" spans="1:31" ht="88.5" hidden="1" customHeight="1">
      <c r="A735" s="22" t="s">
        <v>2206</v>
      </c>
      <c r="B735" s="809" t="str">
        <f>GRAL!B739</f>
        <v>2021-2024</v>
      </c>
      <c r="C735" s="16">
        <f>OBRA!J737</f>
        <v>2023</v>
      </c>
      <c r="D735" s="1415"/>
      <c r="E735" s="17">
        <f>OBRA!M737</f>
        <v>0</v>
      </c>
      <c r="F735" s="478" t="s">
        <v>1428</v>
      </c>
      <c r="G735" s="496" t="s">
        <v>5527</v>
      </c>
      <c r="H735" s="495" t="s">
        <v>5527</v>
      </c>
      <c r="I735" s="496" t="s">
        <v>5527</v>
      </c>
      <c r="J735" s="54" t="str">
        <f>OBRA!W737</f>
        <v>-</v>
      </c>
      <c r="K735" s="55">
        <f>OBRA!X737</f>
        <v>0</v>
      </c>
      <c r="L735" s="19" t="str">
        <f>OBRA!N737</f>
        <v>DOP/AD/010/2023</v>
      </c>
      <c r="M735" s="2" t="str">
        <f>OBRA!O737</f>
        <v>CANCELADA</v>
      </c>
      <c r="N735" s="3" t="str">
        <f>OBRA!P737</f>
        <v>-</v>
      </c>
      <c r="O735" s="504" t="s">
        <v>5516</v>
      </c>
      <c r="P735" s="6">
        <f>OBRA!S737</f>
        <v>0</v>
      </c>
      <c r="Q735" s="4">
        <f>OBRA!R737</f>
        <v>0</v>
      </c>
      <c r="R735" s="5">
        <f>OBRA!T737</f>
        <v>0</v>
      </c>
      <c r="S735" s="11">
        <f>OBRA!U737</f>
        <v>0</v>
      </c>
      <c r="T735" s="1565" t="s">
        <v>4446</v>
      </c>
      <c r="U735" s="1582" t="s">
        <v>1428</v>
      </c>
      <c r="V735" s="1588" t="s">
        <v>5527</v>
      </c>
      <c r="W735" s="1587" t="s">
        <v>5527</v>
      </c>
      <c r="X735" s="1541">
        <f>OBRA!AR737</f>
        <v>0</v>
      </c>
      <c r="Y735" s="309"/>
      <c r="Z735" s="309"/>
      <c r="AA735" s="5"/>
      <c r="AB735" s="313"/>
      <c r="AC735" s="317">
        <f>OBRA!BW737</f>
        <v>0</v>
      </c>
      <c r="AD735" s="352"/>
      <c r="AE735" s="352" t="s">
        <v>551</v>
      </c>
    </row>
    <row r="736" spans="1:31" ht="87.75" customHeight="1">
      <c r="A736" s="22" t="s">
        <v>2206</v>
      </c>
      <c r="B736" s="809" t="str">
        <f>GRAL!B738</f>
        <v>2021-2024</v>
      </c>
      <c r="C736" s="16">
        <f>OBRA!J738</f>
        <v>2023</v>
      </c>
      <c r="D736" s="1415"/>
      <c r="E736" s="17" t="str">
        <f>OBRA!M738</f>
        <v>RAMO 33</v>
      </c>
      <c r="F736" s="478" t="s">
        <v>1428</v>
      </c>
      <c r="G736" s="496" t="s">
        <v>5850</v>
      </c>
      <c r="H736" s="495" t="s">
        <v>5850</v>
      </c>
      <c r="I736" s="496" t="s">
        <v>5850</v>
      </c>
      <c r="J736" s="54" t="str">
        <f>OBRA!W738</f>
        <v>EDIFICACIONES Y TERRACERIAS CH, S.A. DE C.V.</v>
      </c>
      <c r="K736" s="55" t="str">
        <f>OBRA!X738</f>
        <v>C. DANIEL RODRIGUEZ VALENZUELA</v>
      </c>
      <c r="L736" s="33" t="str">
        <f>OBRA!N738</f>
        <v>GMJ 001C OP/2023</v>
      </c>
      <c r="M736" s="2" t="str">
        <f>OBRA!O738</f>
        <v>ADJUDICACIÓN DIRECTA</v>
      </c>
      <c r="N736" s="3" t="str">
        <f>OBRA!P738</f>
        <v>"CONSTRUCCIÓN DE LÍNEA DE DRENAJE SANITARIO, LÍNEA DE AGUA POTABLE, HUELLA DE CONCRETO Y EMPEDRADO AHOGADO EN CONCRETO EN LA CALLE JOSEFA ORTIZ DE DOMINGUEZ DE CALLE ALDAMA PONIENTE A CALLE FILÓSOFOS", EN LA CABECERA MUNICIPAL DE JOCOTEPEC, JALISCO.</v>
      </c>
      <c r="O736" s="504" t="s">
        <v>5529</v>
      </c>
      <c r="P736" s="67">
        <f>OBRA!S738</f>
        <v>44974</v>
      </c>
      <c r="Q736" s="79">
        <f>OBRA!R738</f>
        <v>1211066.4099999999</v>
      </c>
      <c r="R736" s="5">
        <f>OBRA!T738</f>
        <v>44977</v>
      </c>
      <c r="S736" s="11">
        <f>OBRA!U738</f>
        <v>45021</v>
      </c>
      <c r="T736" s="1352" t="s">
        <v>3816</v>
      </c>
      <c r="U736" s="206"/>
      <c r="V736" s="499" t="s">
        <v>5850</v>
      </c>
      <c r="W736" s="597" t="s">
        <v>5850</v>
      </c>
      <c r="X736" s="986">
        <f>OBRA!AR738</f>
        <v>242213.28</v>
      </c>
      <c r="Y736" s="309"/>
      <c r="Z736" s="309"/>
      <c r="AA736" s="5"/>
      <c r="AB736" s="313"/>
      <c r="AC736" s="317"/>
      <c r="AD736" s="352"/>
      <c r="AE736" s="352" t="s">
        <v>5016</v>
      </c>
    </row>
    <row r="737" spans="1:31" ht="85.5" customHeight="1">
      <c r="A737" s="22" t="s">
        <v>2206</v>
      </c>
      <c r="B737" s="809" t="str">
        <f>GRAL!B739</f>
        <v>2021-2024</v>
      </c>
      <c r="C737" s="16">
        <f>OBRA!J739</f>
        <v>2023</v>
      </c>
      <c r="D737" s="1415"/>
      <c r="E737" s="17" t="str">
        <f>OBRA!M739</f>
        <v>RAMO 33</v>
      </c>
      <c r="F737" s="478" t="s">
        <v>1428</v>
      </c>
      <c r="G737" s="496" t="s">
        <v>5871</v>
      </c>
      <c r="H737" s="495" t="s">
        <v>5871</v>
      </c>
      <c r="I737" s="496" t="s">
        <v>5871</v>
      </c>
      <c r="J737" s="54" t="str">
        <f>OBRA!W739</f>
        <v>ING. SERGIO CABRERA</v>
      </c>
      <c r="K737" s="55" t="str">
        <f>OBRA!X739</f>
        <v>C. DANIEL RODRIGUEZ VALENZUELA</v>
      </c>
      <c r="L737" s="33" t="str">
        <f>OBRA!N739</f>
        <v>GMJ 002C OP/2023</v>
      </c>
      <c r="M737" s="2" t="str">
        <f>OBRA!O739</f>
        <v>ADJUDICACIÓN DIRECTA</v>
      </c>
      <c r="N737" s="3" t="str">
        <f>OBRA!P739</f>
        <v>"CONSTRUCCIÓN DE HUELLAS DE CONCRETO Y EMPEDRADO AHOGADO EN CEMENTO EN LA CALLE JOSEFA ORTIZ DE DOMINGUEZ DE CALLE ALDAMA PONIENTE A CALLE FILÓSOFOS", EN LA CABECERA MUNICIPAL DE JOCOTEPEC, JALISCO.</v>
      </c>
      <c r="O737" s="504" t="s">
        <v>5529</v>
      </c>
      <c r="P737" s="67">
        <f>OBRA!S739</f>
        <v>45022</v>
      </c>
      <c r="Q737" s="79">
        <f>OBRA!R739</f>
        <v>1810170.95</v>
      </c>
      <c r="R737" s="5">
        <f>OBRA!T739</f>
        <v>45024</v>
      </c>
      <c r="S737" s="11">
        <f>OBRA!U739</f>
        <v>45061</v>
      </c>
      <c r="T737" s="1352" t="s">
        <v>3816</v>
      </c>
      <c r="U737" s="206"/>
      <c r="V737" s="499" t="s">
        <v>5871</v>
      </c>
      <c r="W737" s="597" t="s">
        <v>5871</v>
      </c>
      <c r="X737" s="986">
        <f>OBRA!AR739</f>
        <v>362034.18</v>
      </c>
      <c r="Y737" s="309"/>
      <c r="Z737" s="309"/>
      <c r="AA737" s="5"/>
      <c r="AB737" s="313"/>
      <c r="AC737" s="317"/>
      <c r="AD737" s="352"/>
      <c r="AE737" s="352" t="s">
        <v>5016</v>
      </c>
    </row>
    <row r="738" spans="1:31" ht="86.25" hidden="1" customHeight="1">
      <c r="A738" s="22" t="s">
        <v>2206</v>
      </c>
      <c r="B738" s="809">
        <f>GRAL!B979</f>
        <v>0</v>
      </c>
      <c r="C738" s="16">
        <f>OBRA!J740</f>
        <v>2023</v>
      </c>
      <c r="D738" s="1415"/>
      <c r="E738" s="17" t="str">
        <f>OBRA!M740</f>
        <v>CUENTA CORRIENTE</v>
      </c>
      <c r="F738" s="478" t="s">
        <v>1428</v>
      </c>
      <c r="G738" s="496" t="s">
        <v>5872</v>
      </c>
      <c r="H738" s="510"/>
      <c r="I738" s="496" t="s">
        <v>5872</v>
      </c>
      <c r="J738" s="54" t="str">
        <f>OBRA!W740</f>
        <v>TERRACERÍAS Y PAVIMENTOS DE LA RIBERA, S.A. DE C.V.</v>
      </c>
      <c r="K738" s="55" t="str">
        <f>OBRA!X740</f>
        <v>C. DANIEL RODRIGUEZ VALENZUELA</v>
      </c>
      <c r="L738" s="19" t="str">
        <f>OBRA!N740</f>
        <v>CSS-OP-CC-003/2023</v>
      </c>
      <c r="M738" s="2" t="str">
        <f>OBRA!O740</f>
        <v>CONCURSO SIMPLIFICADO SUMARIO</v>
      </c>
      <c r="N738" s="3" t="str">
        <f>OBRA!P740</f>
        <v>“CONSTRUCCIÓN DE LINEA DE DRENAJE, LINEA DE AGUA POTABLE, HUELLA DE CONCRETO Y EMPEDRADO AHOGADO EN CONCRETO EN LA CALLE JOSEFA ORTIZ DE DOMINGUEZ DE CALLE FILÓSOFOS HASTA EL LIBRAMIENTO”, EN LA CABECERA MUNICIPAL DE JOCOTEPEC, JALISCO.</v>
      </c>
      <c r="O738" s="504" t="s">
        <v>5529</v>
      </c>
      <c r="P738" s="6">
        <f>OBRA!S740</f>
        <v>44981</v>
      </c>
      <c r="Q738" s="4">
        <f>OBRA!R740</f>
        <v>4378573.75</v>
      </c>
      <c r="R738" s="5">
        <f>OBRA!T740</f>
        <v>44987</v>
      </c>
      <c r="S738" s="11">
        <f>OBRA!U740</f>
        <v>45048</v>
      </c>
      <c r="T738" s="1565" t="s">
        <v>4446</v>
      </c>
      <c r="U738" s="1582" t="s">
        <v>1428</v>
      </c>
      <c r="V738" s="499" t="s">
        <v>5872</v>
      </c>
      <c r="W738" s="597" t="s">
        <v>5872</v>
      </c>
      <c r="X738" s="988">
        <f>OBRA!AR740</f>
        <v>875714.74</v>
      </c>
      <c r="Y738" s="309"/>
      <c r="Z738" s="309"/>
      <c r="AA738" s="5"/>
      <c r="AB738" s="313"/>
      <c r="AC738" s="317">
        <f>OBRA!BW740</f>
        <v>0</v>
      </c>
      <c r="AD738" s="352"/>
      <c r="AE738" s="352"/>
    </row>
    <row r="739" spans="1:31" ht="80.25" customHeight="1">
      <c r="A739" s="22" t="s">
        <v>2206</v>
      </c>
      <c r="B739" s="809" t="str">
        <f>GRAL!B741</f>
        <v>2021-2024</v>
      </c>
      <c r="C739" s="16">
        <f>OBRA!J741</f>
        <v>2023</v>
      </c>
      <c r="D739" s="1415"/>
      <c r="E739" s="17" t="str">
        <f>OBRA!M741</f>
        <v>RAMO 33</v>
      </c>
      <c r="F739" s="478" t="s">
        <v>1428</v>
      </c>
      <c r="G739" s="496" t="s">
        <v>5523</v>
      </c>
      <c r="H739" s="495" t="s">
        <v>5523</v>
      </c>
      <c r="I739" s="496" t="s">
        <v>5523</v>
      </c>
      <c r="J739" s="54" t="str">
        <f>OBRA!W741</f>
        <v>URBANIZADORA Y PAVIMENTADORA MONLE S.A. DE C.V.</v>
      </c>
      <c r="K739" s="55" t="str">
        <f>OBRA!X741</f>
        <v>ING. J. GUADALUPE IBARRA RAMIREZ</v>
      </c>
      <c r="L739" s="33" t="str">
        <f>OBRA!N741</f>
        <v>GMJ 004C OP/2023</v>
      </c>
      <c r="M739" s="2" t="str">
        <f>OBRA!O741</f>
        <v>ADJUDICACIÓN DIRECTA</v>
      </c>
      <c r="N739" s="3" t="str">
        <f>OBRA!P741</f>
        <v>"COMPLEMENTO DE OBRA: EQUIPAMIENTO, ELECTRIFICACIÓN, TREN DE DESCARGA, CASETA DE CLORACIÓN, CERCADO PERIMETRAL Y PUESTA EN MARCHA DEL POZO DE AGUA", EN LA LOCALIDAD DE CHANTEPEC DEL MUNICIPIO DE JOCOTEPEC, JALISCO.</v>
      </c>
      <c r="O739" s="504" t="s">
        <v>5529</v>
      </c>
      <c r="P739" s="67">
        <f>OBRA!S741</f>
        <v>45036</v>
      </c>
      <c r="Q739" s="79">
        <f>OBRA!R741</f>
        <v>1196296.56</v>
      </c>
      <c r="R739" s="5">
        <f>OBRA!T741</f>
        <v>45048</v>
      </c>
      <c r="S739" s="11">
        <f>OBRA!U741</f>
        <v>45079</v>
      </c>
      <c r="T739" s="1352" t="s">
        <v>3816</v>
      </c>
      <c r="U739" s="206"/>
      <c r="V739" s="499" t="s">
        <v>5523</v>
      </c>
      <c r="W739" s="597" t="s">
        <v>5523</v>
      </c>
      <c r="X739" s="986">
        <f>OBRA!AR741</f>
        <v>584851.71</v>
      </c>
      <c r="Y739" s="309"/>
      <c r="Z739" s="309"/>
      <c r="AA739" s="5"/>
      <c r="AB739" s="313"/>
      <c r="AC739" s="317"/>
      <c r="AD739" s="352"/>
      <c r="AE739" s="352"/>
    </row>
    <row r="740" spans="1:31" ht="83.25" customHeight="1">
      <c r="A740" s="22" t="s">
        <v>2206</v>
      </c>
      <c r="B740" s="809" t="str">
        <f>GRAL!B742</f>
        <v>2021-2024</v>
      </c>
      <c r="C740" s="16">
        <f>OBRA!J742</f>
        <v>2023</v>
      </c>
      <c r="D740" s="1415"/>
      <c r="E740" s="17" t="str">
        <f>OBRA!M742</f>
        <v>RAMO 33</v>
      </c>
      <c r="F740" s="478" t="s">
        <v>1428</v>
      </c>
      <c r="G740" s="496" t="s">
        <v>5524</v>
      </c>
      <c r="H740" s="495" t="s">
        <v>5524</v>
      </c>
      <c r="I740" s="496" t="s">
        <v>5524</v>
      </c>
      <c r="J740" s="54" t="str">
        <f>OBRA!W742</f>
        <v>CONSTRUCTORA ELÉCTRICA DEL LAGO S.A. DE C.V.</v>
      </c>
      <c r="K740" s="55" t="str">
        <f>OBRA!X742</f>
        <v>ING. J. GUADALUPE IBARRA RAMIREZ</v>
      </c>
      <c r="L740" s="33" t="str">
        <f>OBRA!N742</f>
        <v>GMJ 005C OP/2023</v>
      </c>
      <c r="M740" s="2" t="str">
        <f>OBRA!O742</f>
        <v>ADJUDICACIÓN DIRECTA</v>
      </c>
      <c r="N740" s="3" t="str">
        <f>OBRA!P742</f>
        <v>"COMPLEMENTO DE OBRA: EQUIPAMIENTO, ELECTRIFICACIÓN, TREN DE DESCARGA, CASETA DE CLORACIÓN, CERCADO PERIMETRAL Y PUESTA EN MARCHA DEL POZO DE AGUA", EN LA LOCALIDAD DE CHANTEPEC DEL MUNICIPIO DE JOCOTEPEC, JALISCO.</v>
      </c>
      <c r="O740" s="504" t="s">
        <v>5529</v>
      </c>
      <c r="P740" s="67">
        <f>OBRA!S742</f>
        <v>45044</v>
      </c>
      <c r="Q740" s="79">
        <f>OBRA!R742</f>
        <v>544139.78</v>
      </c>
      <c r="R740" s="5">
        <f>OBRA!T742</f>
        <v>45054</v>
      </c>
      <c r="S740" s="11">
        <f>OBRA!U742</f>
        <v>45086</v>
      </c>
      <c r="T740" s="1352" t="s">
        <v>3816</v>
      </c>
      <c r="U740" s="660" t="s">
        <v>5524</v>
      </c>
      <c r="V740" s="499" t="s">
        <v>5524</v>
      </c>
      <c r="W740" s="597" t="s">
        <v>5524</v>
      </c>
      <c r="X740" s="986">
        <f>OBRA!AR742</f>
        <v>272069.87</v>
      </c>
      <c r="Y740" s="309"/>
      <c r="Z740" s="309"/>
      <c r="AA740" s="5"/>
      <c r="AB740" s="313"/>
      <c r="AC740" s="317"/>
      <c r="AD740" s="352"/>
      <c r="AE740" s="352" t="s">
        <v>551</v>
      </c>
    </row>
    <row r="741" spans="1:31" ht="105.75" customHeight="1">
      <c r="A741" s="22" t="s">
        <v>2206</v>
      </c>
      <c r="B741" s="809" t="str">
        <f>GRAL!B743</f>
        <v>2021-2024</v>
      </c>
      <c r="C741" s="16">
        <f>OBRA!J743</f>
        <v>2023</v>
      </c>
      <c r="D741" s="1415"/>
      <c r="E741" s="17" t="str">
        <f>OBRA!M743</f>
        <v>CUENTA CORRIENTE</v>
      </c>
      <c r="F741" s="478" t="s">
        <v>1428</v>
      </c>
      <c r="G741" s="496" t="s">
        <v>5525</v>
      </c>
      <c r="H741" s="495" t="s">
        <v>5525</v>
      </c>
      <c r="I741" s="496" t="s">
        <v>5525</v>
      </c>
      <c r="J741" s="54" t="str">
        <f>OBRA!W743</f>
        <v>ESTRUCTURAS PLANEADAS DE OCCIDENTE, S.A. DE C.V.</v>
      </c>
      <c r="K741" s="55" t="str">
        <f>OBRA!X743</f>
        <v>ARQ. JAIME CONDE GOMEZ</v>
      </c>
      <c r="L741" s="33" t="str">
        <f>OBRA!N743</f>
        <v>GMJ 006C OP/2023</v>
      </c>
      <c r="M741" s="2" t="str">
        <f>OBRA!O743</f>
        <v>ADJUDICACIÓN DIRECTA</v>
      </c>
      <c r="N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O741" s="504" t="s">
        <v>5529</v>
      </c>
      <c r="P741" s="67">
        <f>OBRA!S743</f>
        <v>45042</v>
      </c>
      <c r="Q741" s="79">
        <f>OBRA!R743</f>
        <v>584259.75</v>
      </c>
      <c r="R741" s="5">
        <f>OBRA!T743</f>
        <v>45048</v>
      </c>
      <c r="S741" s="11">
        <f>OBRA!U743</f>
        <v>45168</v>
      </c>
      <c r="T741" s="207" t="s">
        <v>4446</v>
      </c>
      <c r="U741" s="206" t="s">
        <v>1428</v>
      </c>
      <c r="V741" s="499" t="s">
        <v>5525</v>
      </c>
      <c r="W741" s="597" t="s">
        <v>5525</v>
      </c>
      <c r="X741" s="986">
        <f>OBRA!AR743</f>
        <v>77410.84</v>
      </c>
      <c r="Y741" s="499" t="s">
        <v>5516</v>
      </c>
      <c r="Z741" s="309">
        <v>45133</v>
      </c>
      <c r="AA741" s="1914">
        <v>774108.4</v>
      </c>
      <c r="AB741" s="313" t="s">
        <v>68</v>
      </c>
      <c r="AC741" s="317" t="s">
        <v>3552</v>
      </c>
      <c r="AD741" s="352"/>
      <c r="AE741" s="352" t="s">
        <v>551</v>
      </c>
    </row>
    <row r="742" spans="1:31" ht="90" customHeight="1">
      <c r="A742" s="22" t="s">
        <v>2206</v>
      </c>
      <c r="B742" s="809" t="str">
        <f>GRAL!B744</f>
        <v>2021-2024</v>
      </c>
      <c r="C742" s="16">
        <f>OBRA!J744</f>
        <v>2023</v>
      </c>
      <c r="D742" s="1415"/>
      <c r="E742" s="17" t="str">
        <f>OBRA!M744</f>
        <v>CUENTA CORRIENTE</v>
      </c>
      <c r="F742" s="478" t="s">
        <v>1428</v>
      </c>
      <c r="G742" s="496" t="s">
        <v>5838</v>
      </c>
      <c r="H742" s="495" t="s">
        <v>5838</v>
      </c>
      <c r="I742" s="496" t="s">
        <v>5838</v>
      </c>
      <c r="J742" s="54" t="str">
        <f>OBRA!W744</f>
        <v>EDIFICACIONES Y TERRACERIAS CH, S.A. DE C.V.</v>
      </c>
      <c r="K742" s="55" t="str">
        <f>OBRA!X744</f>
        <v>C. DANIEL RODRIGUEZ VALENZUELA</v>
      </c>
      <c r="L742" s="33" t="str">
        <f>OBRA!N744</f>
        <v>GMJ 007C OP/2023</v>
      </c>
      <c r="M742" s="2" t="str">
        <f>OBRA!O744</f>
        <v>ADJUDICACIÓN DIRECTA</v>
      </c>
      <c r="N742" s="3" t="str">
        <f>OBRA!P744</f>
        <v>“CONSTRUCCIÓN DE LÍNEA DE ABASTECIMIENTO DE AGUA POTABLE DE 6” EN CALLE JOSEFA ORTÍZ DE DOMINGUEZ DEL LIBRAMIENTO AL DEPÓSITO DE AGUA”, EN LA CABECERA MUNICIPAL DE JOCOTEPEC, JALISCO.</v>
      </c>
      <c r="O742" s="504" t="s">
        <v>5529</v>
      </c>
      <c r="P742" s="67">
        <f>OBRA!S744</f>
        <v>45056</v>
      </c>
      <c r="Q742" s="79">
        <f>OBRA!R744</f>
        <v>387303.55</v>
      </c>
      <c r="R742" s="5">
        <f>OBRA!T744</f>
        <v>45061</v>
      </c>
      <c r="S742" s="11">
        <f>OBRA!U744</f>
        <v>45090</v>
      </c>
      <c r="T742" s="207" t="s">
        <v>4446</v>
      </c>
      <c r="U742" s="206" t="s">
        <v>1428</v>
      </c>
      <c r="V742" s="499" t="s">
        <v>5838</v>
      </c>
      <c r="W742" s="597" t="s">
        <v>5838</v>
      </c>
      <c r="X742" s="986">
        <f>OBRA!AR744</f>
        <v>77460.7</v>
      </c>
      <c r="Y742" s="309"/>
      <c r="Z742" s="309"/>
      <c r="AA742" s="5"/>
      <c r="AB742" s="313"/>
      <c r="AC742" s="317"/>
      <c r="AD742" s="352"/>
      <c r="AE742" s="352" t="s">
        <v>551</v>
      </c>
    </row>
    <row r="743" spans="1:31" ht="59.25" customHeight="1">
      <c r="A743" s="22" t="s">
        <v>2206</v>
      </c>
      <c r="B743" s="809" t="str">
        <f>GRAL!B745</f>
        <v>2021-2024</v>
      </c>
      <c r="C743" s="16">
        <f>OBRA!J745</f>
        <v>2023</v>
      </c>
      <c r="D743" s="1415"/>
      <c r="E743" s="17" t="str">
        <f>OBRA!M745</f>
        <v>CUENTA CORRIENTE</v>
      </c>
      <c r="F743" s="478" t="s">
        <v>1428</v>
      </c>
      <c r="G743" s="496" t="s">
        <v>5526</v>
      </c>
      <c r="H743" s="495" t="s">
        <v>5526</v>
      </c>
      <c r="I743" s="496" t="s">
        <v>5526</v>
      </c>
      <c r="J743" s="54" t="str">
        <f>OBRA!W745</f>
        <v>ESTRUCTURAS PLANEADAS DE OCCIDENTE, S.A. DE C.V.</v>
      </c>
      <c r="K743" s="55" t="str">
        <f>OBRA!X745</f>
        <v>ING. J. GUADALUPE IBARRA RAMIREZ</v>
      </c>
      <c r="L743" s="33" t="str">
        <f>OBRA!N745</f>
        <v>GMJ 008C OP/2023</v>
      </c>
      <c r="M743" s="2" t="str">
        <f>OBRA!O745</f>
        <v>ADJUDICACIÓN DIRECTA</v>
      </c>
      <c r="N743" s="3" t="str">
        <f>OBRA!P745</f>
        <v>“REPARACIÓN DE TANQUE ALMACENAMIENTO DE AGUA POTABLE ZONA NORTE”, EN LA CABECERA MUNICIPAL DE JOCOTEPEC, JALISCO</v>
      </c>
      <c r="O743" s="504" t="s">
        <v>5529</v>
      </c>
      <c r="P743" s="67">
        <f>OBRA!S745</f>
        <v>45056</v>
      </c>
      <c r="Q743" s="79">
        <f>OBRA!R745</f>
        <v>374761.47</v>
      </c>
      <c r="R743" s="5">
        <f>OBRA!T745</f>
        <v>45061</v>
      </c>
      <c r="S743" s="11">
        <f>OBRA!U745</f>
        <v>45086</v>
      </c>
      <c r="T743" s="207" t="s">
        <v>4446</v>
      </c>
      <c r="U743" s="206" t="s">
        <v>1428</v>
      </c>
      <c r="V743" s="499" t="s">
        <v>5526</v>
      </c>
      <c r="W743" s="597" t="s">
        <v>5526</v>
      </c>
      <c r="X743" s="986">
        <f>OBRA!AR745</f>
        <v>86551.25</v>
      </c>
      <c r="Y743" s="309"/>
      <c r="Z743" s="309"/>
      <c r="AA743" s="5"/>
      <c r="AB743" s="313"/>
      <c r="AC743" s="317"/>
      <c r="AD743" s="352"/>
      <c r="AE743" s="352" t="s">
        <v>551</v>
      </c>
    </row>
    <row r="744" spans="1:31" ht="81.75" customHeight="1">
      <c r="A744" s="22" t="s">
        <v>2206</v>
      </c>
      <c r="B744" s="809" t="str">
        <f>GRAL!B746</f>
        <v>2021-2024</v>
      </c>
      <c r="C744" s="16">
        <f>OBRA!J746</f>
        <v>2023</v>
      </c>
      <c r="D744" s="1415"/>
      <c r="E744" s="17" t="str">
        <f>OBRA!M746</f>
        <v>CUENTA CORRIENTE</v>
      </c>
      <c r="F744" s="478" t="s">
        <v>1428</v>
      </c>
      <c r="G744" s="496" t="s">
        <v>5844</v>
      </c>
      <c r="H744" s="495" t="s">
        <v>5844</v>
      </c>
      <c r="I744" s="496" t="s">
        <v>5844</v>
      </c>
      <c r="J744" s="54" t="str">
        <f>OBRA!W746</f>
        <v>EDIFICACIONES Y TERRACERIAS CH, S.A. DE C.V.</v>
      </c>
      <c r="K744" s="55" t="str">
        <f>OBRA!X746</f>
        <v>C. DANIEL RODRIGUEZ VALENZUELA</v>
      </c>
      <c r="L744" s="33" t="str">
        <f>OBRA!N746</f>
        <v>GMJ 009C OP/2023</v>
      </c>
      <c r="M744" s="2" t="str">
        <f>OBRA!O746</f>
        <v>ADJUDICACIÓN DIRECTA</v>
      </c>
      <c r="N744" s="3" t="str">
        <f>OBRA!P746</f>
        <v>“CONSTRUCCIÓN DE LÍNEA DE ABASTECIMIENTO DE AGUA POTABLE DE 6” EN CALLE JOSEFA ORTÍZ DE DOMINGUEZ DEL LIBRAMIENTO A CALLE FILÓSOFOS”, EN LA CABECERA MUNICIPAL DE JOCOTEPEC, JALISCO</v>
      </c>
      <c r="O744" s="504" t="s">
        <v>5529</v>
      </c>
      <c r="P744" s="1279">
        <f>OBRA!S746</f>
        <v>45056</v>
      </c>
      <c r="Q744" s="665">
        <f>OBRA!R746</f>
        <v>835320.31999999995</v>
      </c>
      <c r="R744" s="238">
        <f>OBRA!T746</f>
        <v>45061</v>
      </c>
      <c r="S744" s="205">
        <f>OBRA!U746</f>
        <v>45090</v>
      </c>
      <c r="T744" s="207" t="s">
        <v>4446</v>
      </c>
      <c r="U744" s="206" t="s">
        <v>1428</v>
      </c>
      <c r="V744" s="499" t="s">
        <v>5844</v>
      </c>
      <c r="W744" s="597" t="s">
        <v>5844</v>
      </c>
      <c r="X744" s="1915">
        <f>OBRA!AR746</f>
        <v>80363.960000000006</v>
      </c>
      <c r="Y744" s="1916"/>
      <c r="Z744" s="309"/>
      <c r="AA744" s="5"/>
      <c r="AB744" s="313"/>
      <c r="AC744" s="317"/>
      <c r="AD744" s="352"/>
      <c r="AE744" s="352"/>
    </row>
    <row r="745" spans="1:31" ht="80.25" customHeight="1">
      <c r="A745" s="22" t="s">
        <v>2206</v>
      </c>
      <c r="B745" s="809" t="str">
        <f>GRAL!B747</f>
        <v>2021-2024</v>
      </c>
      <c r="C745" s="16">
        <f>OBRA!J747</f>
        <v>2023</v>
      </c>
      <c r="D745" s="1415"/>
      <c r="E745" s="17" t="str">
        <f>OBRA!M747</f>
        <v>CUENTA CORRIENTE</v>
      </c>
      <c r="F745" s="478" t="s">
        <v>1428</v>
      </c>
      <c r="G745" s="496" t="s">
        <v>5527</v>
      </c>
      <c r="H745" s="495" t="s">
        <v>5527</v>
      </c>
      <c r="I745" s="496" t="s">
        <v>5527</v>
      </c>
      <c r="J745" s="54" t="str">
        <f>OBRA!W747</f>
        <v>ESTRUCTURAS PLANEADAS DE OCCIDENTE, S.A. DE C.V.</v>
      </c>
      <c r="K745" s="55" t="str">
        <f>OBRA!X747</f>
        <v>ING. J. GUADALUPE IBARRA RAMIREZ</v>
      </c>
      <c r="L745" s="33" t="str">
        <f>OBRA!N747</f>
        <v>GMJ 010C OP/2023</v>
      </c>
      <c r="M745" s="2" t="str">
        <f>OBRA!O747</f>
        <v>ADJUDICACIÓN DIRECTA</v>
      </c>
      <c r="N745" s="3" t="str">
        <f>OBRA!P747</f>
        <v>“REPARACIÓN DE TANQUE ALMACENAMIENTO DE AGUA POTABLE”, EN LA LOCALIDAD DE SAN CRISTÓBAL ZAPOTITLÁN DEL MUNICIPIO DE JOCOTEPEC, JALISCO</v>
      </c>
      <c r="O745" s="504" t="s">
        <v>5529</v>
      </c>
      <c r="P745" s="67">
        <f>OBRA!S747</f>
        <v>45059</v>
      </c>
      <c r="Q745" s="79">
        <f>OBRA!R747</f>
        <v>168796.66</v>
      </c>
      <c r="R745" s="5">
        <f>OBRA!T747</f>
        <v>45075</v>
      </c>
      <c r="S745" s="11">
        <f>OBRA!U747</f>
        <v>45094</v>
      </c>
      <c r="T745" s="207" t="s">
        <v>4446</v>
      </c>
      <c r="U745" s="206" t="s">
        <v>1428</v>
      </c>
      <c r="V745" s="499" t="s">
        <v>5527</v>
      </c>
      <c r="W745" s="597" t="s">
        <v>5527</v>
      </c>
      <c r="X745" s="986">
        <f>OBRA!AR747</f>
        <v>42295.46</v>
      </c>
      <c r="Y745" s="499" t="s">
        <v>5516</v>
      </c>
      <c r="Z745" s="309">
        <v>45086</v>
      </c>
      <c r="AA745" s="895">
        <v>254158.09</v>
      </c>
      <c r="AB745" s="313" t="s">
        <v>68</v>
      </c>
      <c r="AC745" s="317" t="s">
        <v>3552</v>
      </c>
      <c r="AD745" s="352"/>
      <c r="AE745" s="352" t="s">
        <v>551</v>
      </c>
    </row>
    <row r="746" spans="1:31" ht="84.75" customHeight="1">
      <c r="A746" s="22" t="s">
        <v>2206</v>
      </c>
      <c r="B746" s="809" t="str">
        <f>GRAL!B748</f>
        <v>2021-2024</v>
      </c>
      <c r="C746" s="16">
        <f>OBRA!J748</f>
        <v>2023</v>
      </c>
      <c r="D746" s="1415"/>
      <c r="E746" s="17" t="str">
        <f>OBRA!M748</f>
        <v>CUENTA CORRIENTE</v>
      </c>
      <c r="F746" s="478" t="s">
        <v>1428</v>
      </c>
      <c r="G746" s="496" t="s">
        <v>5850</v>
      </c>
      <c r="H746" s="495" t="s">
        <v>5850</v>
      </c>
      <c r="I746" s="496" t="s">
        <v>5850</v>
      </c>
      <c r="J746" s="54" t="str">
        <f>OBRA!W748</f>
        <v>MANUEL PALOS VACA</v>
      </c>
      <c r="K746" s="55" t="str">
        <f>OBRA!X748</f>
        <v>C. DANIEL RODRIGUEZ VALENZUELA</v>
      </c>
      <c r="L746" s="33" t="str">
        <f>OBRA!N748</f>
        <v>GMJ 011C OP/2023</v>
      </c>
      <c r="M746" s="2" t="str">
        <f>OBRA!O748</f>
        <v>ADJUDICACIÓN DIRECTA</v>
      </c>
      <c r="N746" s="3" t="str">
        <f>OBRA!P748</f>
        <v>“CONSTRUCCIÓN DE REDES HIDROSANITARIAS EN CALLE FILÓSOFOS ENTRE CALLE HIDALGO NORTE Y CALLE ALLENDE”, EN LA CABECERA MUNICIPAL DE JOCOTEPEC, JALISCO</v>
      </c>
      <c r="O746" s="504" t="s">
        <v>5529</v>
      </c>
      <c r="P746" s="67">
        <f>OBRA!S748</f>
        <v>45141</v>
      </c>
      <c r="Q746" s="79">
        <f>OBRA!R748</f>
        <v>254339.78</v>
      </c>
      <c r="R746" s="5">
        <f>OBRA!T748</f>
        <v>45187</v>
      </c>
      <c r="S746" s="11">
        <f>OBRA!U748</f>
        <v>45219</v>
      </c>
      <c r="T746" s="207" t="s">
        <v>4446</v>
      </c>
      <c r="U746" s="206" t="s">
        <v>1428</v>
      </c>
      <c r="V746" s="499" t="s">
        <v>5850</v>
      </c>
      <c r="W746" s="597" t="s">
        <v>5850</v>
      </c>
      <c r="X746" s="986">
        <f>OBRA!AR748</f>
        <v>135867.75</v>
      </c>
      <c r="Y746" s="309"/>
      <c r="Z746" s="309"/>
      <c r="AA746" s="5"/>
      <c r="AB746" s="313"/>
      <c r="AC746" s="317"/>
      <c r="AD746" s="352"/>
      <c r="AE746" s="352" t="s">
        <v>551</v>
      </c>
    </row>
    <row r="747" spans="1:31" ht="77.25" customHeight="1">
      <c r="A747" s="22" t="s">
        <v>2206</v>
      </c>
      <c r="B747" s="809" t="str">
        <f>GRAL!B749</f>
        <v>2021-2024</v>
      </c>
      <c r="C747" s="16">
        <f>OBRA!J749</f>
        <v>2023</v>
      </c>
      <c r="D747" s="1415"/>
      <c r="E747" s="17" t="str">
        <f>OBRA!M749</f>
        <v>RAMO 33</v>
      </c>
      <c r="F747" s="478" t="s">
        <v>1428</v>
      </c>
      <c r="G747" s="496" t="s">
        <v>6095</v>
      </c>
      <c r="H747" s="495" t="s">
        <v>6095</v>
      </c>
      <c r="I747" s="496" t="s">
        <v>6095</v>
      </c>
      <c r="J747" s="54" t="str">
        <f>OBRA!W749</f>
        <v>MANUEL PALOS VACA</v>
      </c>
      <c r="K747" s="55" t="str">
        <f>OBRA!X749</f>
        <v>C. DANIEL RODRIGUEZ VALENZUELA</v>
      </c>
      <c r="L747" s="33" t="str">
        <f>OBRA!N749</f>
        <v>GMJ 012C OP/2023</v>
      </c>
      <c r="M747" s="2" t="str">
        <f>OBRA!O749</f>
        <v>ADJUDICACIÓN DIRECTA</v>
      </c>
      <c r="N747" s="3" t="str">
        <f>OBRA!P749</f>
        <v>“CONSTRUCCIÓN DE REDES HIDROSANITARIAS EN CALLE FILÓSOFOS ENTRE CALLE INDEPENDENCIA Y CALLE JOSEFA ORTÍZ DE DOMÍNGUEZ”, EN LA CABECERA MUNICIPAL DE JOCOTEPEC, JALISCO</v>
      </c>
      <c r="O747" s="504" t="s">
        <v>5529</v>
      </c>
      <c r="P747" s="67">
        <f>OBRA!S749</f>
        <v>45141</v>
      </c>
      <c r="Q747" s="79">
        <f>OBRA!R749</f>
        <v>553159.56000000006</v>
      </c>
      <c r="R747" s="5">
        <f>OBRA!T749</f>
        <v>45148</v>
      </c>
      <c r="S747" s="11">
        <f>OBRA!U749</f>
        <v>45170</v>
      </c>
      <c r="T747" s="1352" t="s">
        <v>3816</v>
      </c>
      <c r="U747" s="206"/>
      <c r="V747" s="499" t="s">
        <v>6095</v>
      </c>
      <c r="W747" s="205"/>
      <c r="X747" s="986">
        <f>OBRA!AR749</f>
        <v>292025.84999999998</v>
      </c>
      <c r="Y747" s="309"/>
      <c r="Z747" s="309"/>
      <c r="AA747" s="5"/>
      <c r="AB747" s="313"/>
      <c r="AC747" s="317"/>
      <c r="AD747" s="352"/>
      <c r="AE747" s="352"/>
    </row>
    <row r="748" spans="1:31" ht="77.25" customHeight="1">
      <c r="A748" s="22" t="s">
        <v>2206</v>
      </c>
      <c r="B748" s="809" t="str">
        <f>GRAL!B750</f>
        <v>2021-2024</v>
      </c>
      <c r="C748" s="16">
        <f>OBRA!J750</f>
        <v>2023</v>
      </c>
      <c r="D748" s="1415"/>
      <c r="E748" s="17" t="str">
        <f>OBRA!M750</f>
        <v>RAMO 33</v>
      </c>
      <c r="F748" s="478" t="s">
        <v>1428</v>
      </c>
      <c r="G748" s="496" t="s">
        <v>6097</v>
      </c>
      <c r="H748" s="495" t="s">
        <v>6097</v>
      </c>
      <c r="I748" s="146"/>
      <c r="J748" s="54" t="str">
        <f>OBRA!W750</f>
        <v>EDIFICACIONES Y TERRACERIAS CH, S.A. DE C.V.</v>
      </c>
      <c r="K748" s="55" t="str">
        <f>OBRA!X750</f>
        <v>C. DANIEL RODRIGUEZ VALENZUELA</v>
      </c>
      <c r="L748" s="33" t="str">
        <f>OBRA!N750</f>
        <v>GMJ 013C OP/2023</v>
      </c>
      <c r="M748" s="2" t="str">
        <f>OBRA!O750</f>
        <v>ADJUDICACIÓN DIRECTA</v>
      </c>
      <c r="N748" s="3" t="str">
        <f>OBRA!P750</f>
        <v>“CONSTRUCCIÓN DE RED DE DRENAJE SANITARIO Y RED DE AGUA POTABLE EN CALLE PLAYAS DE LA LAGUNA”, EN LA LOCALIDAD DE CHANTEPEC DEL MUNICIPIO DE JOCOTEPEC, JALISCO</v>
      </c>
      <c r="O748" s="504" t="s">
        <v>5529</v>
      </c>
      <c r="P748" s="67">
        <f>OBRA!S750</f>
        <v>45105</v>
      </c>
      <c r="Q748" s="79">
        <f>OBRA!R750</f>
        <v>724743.66</v>
      </c>
      <c r="R748" s="5">
        <f>OBRA!T750</f>
        <v>45110</v>
      </c>
      <c r="S748" s="11">
        <f>OBRA!U750</f>
        <v>45141</v>
      </c>
      <c r="T748" s="1352" t="s">
        <v>3816</v>
      </c>
      <c r="U748" s="206"/>
      <c r="V748" s="499" t="s">
        <v>6097</v>
      </c>
      <c r="W748" s="597" t="s">
        <v>6097</v>
      </c>
      <c r="X748" s="986">
        <f>OBRA!AR750</f>
        <v>362371.81</v>
      </c>
      <c r="Y748" s="309"/>
      <c r="Z748" s="309"/>
      <c r="AA748" s="5"/>
      <c r="AB748" s="313"/>
      <c r="AC748" s="317"/>
      <c r="AD748" s="352"/>
      <c r="AE748" s="352"/>
    </row>
    <row r="749" spans="1:31" ht="89.25" customHeight="1">
      <c r="A749" s="22" t="s">
        <v>2206</v>
      </c>
      <c r="B749" s="809" t="str">
        <f>GRAL!B751</f>
        <v>2021-2024</v>
      </c>
      <c r="C749" s="16">
        <f>OBRA!J751</f>
        <v>2023</v>
      </c>
      <c r="D749" s="1415"/>
      <c r="E749" s="17" t="str">
        <f>OBRA!M751</f>
        <v>RAMO 33</v>
      </c>
      <c r="F749" s="478" t="s">
        <v>1428</v>
      </c>
      <c r="G749" s="496" t="s">
        <v>6099</v>
      </c>
      <c r="H749" s="495" t="s">
        <v>6099</v>
      </c>
      <c r="I749" s="496" t="s">
        <v>6099</v>
      </c>
      <c r="J749" s="54" t="str">
        <f>OBRA!W751</f>
        <v>EDIFICACIONES Y TERRACERIAS CH, S.A. DE C.V.</v>
      </c>
      <c r="K749" s="55" t="str">
        <f>OBRA!X751</f>
        <v>C. DANIEL RODRIGUEZ VALENZUELA</v>
      </c>
      <c r="L749" s="33" t="str">
        <f>OBRA!N751</f>
        <v>GMJ 014C OP/2023</v>
      </c>
      <c r="M749" s="2" t="str">
        <f>OBRA!O751</f>
        <v>ADJUDICACIÓN DIRECTA</v>
      </c>
      <c r="N749" s="3" t="str">
        <f>OBRA!P751</f>
        <v>“CONSTRUCCIÓN DE RED DE DRENAJE SANITARIO Y RED DE AGUA POTABLE EN CALLE PLAYA AZUL”, EN LA LOCALIDAD DE CHANTEPEC DEL MUNICIPIO DE JOCOTEPEC, JALISCO</v>
      </c>
      <c r="O749" s="504" t="s">
        <v>5529</v>
      </c>
      <c r="P749" s="67">
        <f>OBRA!S751</f>
        <v>45105</v>
      </c>
      <c r="Q749" s="79">
        <f>OBRA!R751</f>
        <v>543995.47</v>
      </c>
      <c r="R749" s="5">
        <f>OBRA!T751</f>
        <v>45110</v>
      </c>
      <c r="S749" s="11">
        <f>OBRA!U751</f>
        <v>45141</v>
      </c>
      <c r="T749" s="1352" t="s">
        <v>3816</v>
      </c>
      <c r="U749" s="206"/>
      <c r="V749" s="499" t="s">
        <v>6099</v>
      </c>
      <c r="W749" s="597" t="s">
        <v>6099</v>
      </c>
      <c r="X749" s="986">
        <f>OBRA!AR751</f>
        <v>163198.62</v>
      </c>
      <c r="Y749" s="309"/>
      <c r="Z749" s="309"/>
      <c r="AA749" s="5"/>
      <c r="AB749" s="313"/>
      <c r="AC749" s="317"/>
      <c r="AD749" s="352"/>
      <c r="AE749" s="352" t="s">
        <v>551</v>
      </c>
    </row>
    <row r="750" spans="1:31" ht="84.75" customHeight="1">
      <c r="A750" s="22" t="s">
        <v>2206</v>
      </c>
      <c r="B750" s="809" t="str">
        <f>GRAL!B752</f>
        <v>2021-2024</v>
      </c>
      <c r="C750" s="16">
        <f>OBRA!J752</f>
        <v>2023</v>
      </c>
      <c r="D750" s="1415"/>
      <c r="E750" s="17" t="str">
        <f>OBRA!M752</f>
        <v>CUENTA CORRIENTE</v>
      </c>
      <c r="F750" s="478" t="s">
        <v>1428</v>
      </c>
      <c r="G750" s="496" t="s">
        <v>6101</v>
      </c>
      <c r="H750" s="495" t="s">
        <v>6101</v>
      </c>
      <c r="I750" s="496" t="s">
        <v>6101</v>
      </c>
      <c r="J750" s="54" t="str">
        <f>OBRA!W752</f>
        <v>ALSERCON SA DE CV</v>
      </c>
      <c r="K750" s="55" t="str">
        <f>OBRA!X752</f>
        <v>C. DANIEL RODRIGUEZ VALENZUELA</v>
      </c>
      <c r="L750" s="33" t="str">
        <f>OBRA!N752</f>
        <v>GMJ 015C OP/2023</v>
      </c>
      <c r="M750" s="2" t="str">
        <f>OBRA!O752</f>
        <v>ADJUDICACIÓN DIRECTA</v>
      </c>
      <c r="N750" s="3" t="str">
        <f>OBRA!P752</f>
        <v>“TERMINACIÓN DE DEPÓSITO DE AGUA, LÍNEA DE LLENADO Y DISTRIBUCIÓN DE AGUA POTABLE EN CUARTEL DE LA GUARDIA NACIONAL (OBRA CIVIL)”, EN LA LOCALIDAD DE POTRERILLOS DEL MUNICIPIO DE JOCOTEPEC, JALISCO</v>
      </c>
      <c r="O750" s="504" t="s">
        <v>5529</v>
      </c>
      <c r="P750" s="67">
        <f>OBRA!S752</f>
        <v>45105</v>
      </c>
      <c r="Q750" s="79">
        <f>OBRA!R752</f>
        <v>703136.32</v>
      </c>
      <c r="R750" s="5">
        <f>OBRA!T752</f>
        <v>45113</v>
      </c>
      <c r="S750" s="11">
        <f>OBRA!U752</f>
        <v>45168</v>
      </c>
      <c r="T750" s="207" t="s">
        <v>4446</v>
      </c>
      <c r="U750" s="206" t="s">
        <v>1428</v>
      </c>
      <c r="V750" s="201"/>
      <c r="W750" s="597" t="s">
        <v>6101</v>
      </c>
      <c r="X750" s="986">
        <f>OBRA!AR752</f>
        <v>368380.80000000005</v>
      </c>
      <c r="Y750" s="309"/>
      <c r="Z750" s="309"/>
      <c r="AA750" s="5"/>
      <c r="AB750" s="313"/>
      <c r="AC750" s="317"/>
      <c r="AD750" s="352"/>
      <c r="AE750" s="352"/>
    </row>
    <row r="751" spans="1:31" ht="84" customHeight="1">
      <c r="A751" s="22" t="s">
        <v>2206</v>
      </c>
      <c r="B751" s="809" t="str">
        <f>GRAL!B753</f>
        <v>2021-2024</v>
      </c>
      <c r="C751" s="16">
        <f>OBRA!J753</f>
        <v>2023</v>
      </c>
      <c r="D751" s="1415"/>
      <c r="E751" s="17" t="str">
        <f>OBRA!M753</f>
        <v>CUENTA CORRIENTE</v>
      </c>
      <c r="F751" s="478" t="s">
        <v>1428</v>
      </c>
      <c r="G751" s="496" t="s">
        <v>6105</v>
      </c>
      <c r="H751" s="495" t="s">
        <v>6105</v>
      </c>
      <c r="I751" s="496" t="s">
        <v>6105</v>
      </c>
      <c r="J751" s="54" t="str">
        <f>OBRA!W753</f>
        <v>C. ANA LUZ HIDALGO VELA</v>
      </c>
      <c r="K751" s="55" t="str">
        <f>OBRA!X753</f>
        <v>ARQ. JAIME CONDE GOMEZ</v>
      </c>
      <c r="L751" s="33" t="str">
        <f>OBRA!N753</f>
        <v>GMJ 016C OP/2023</v>
      </c>
      <c r="M751" s="2" t="str">
        <f>OBRA!O753</f>
        <v>ADJUDICACIÓN DIRECTA</v>
      </c>
      <c r="N751" s="3" t="str">
        <f>OBRA!P753</f>
        <v>“INTALACIÓN DE RIELERIA PARA EL PROCESO DE MATANZA EN RASTRO MUNICIPAL”, EN LA CABECERA MUNICIPAL DE JOCOTEPEC, JALISCO</v>
      </c>
      <c r="O751" s="504" t="s">
        <v>5529</v>
      </c>
      <c r="P751" s="67">
        <f>OBRA!S753</f>
        <v>45134</v>
      </c>
      <c r="Q751" s="79">
        <f>OBRA!R753</f>
        <v>821212.44</v>
      </c>
      <c r="R751" s="5">
        <f>OBRA!T753</f>
        <v>45145</v>
      </c>
      <c r="S751" s="11">
        <f>OBRA!U753</f>
        <v>45169</v>
      </c>
      <c r="T751" s="207" t="s">
        <v>4446</v>
      </c>
      <c r="U751" s="206" t="s">
        <v>1428</v>
      </c>
      <c r="V751" s="499" t="s">
        <v>6105</v>
      </c>
      <c r="W751" s="597" t="s">
        <v>6105</v>
      </c>
      <c r="X751" s="986">
        <f>OBRA!AR753</f>
        <v>574838.70000000007</v>
      </c>
      <c r="Y751" s="309"/>
      <c r="Z751" s="309"/>
      <c r="AA751" s="5"/>
      <c r="AB751" s="313"/>
      <c r="AC751" s="317"/>
      <c r="AD751" s="352"/>
      <c r="AE751" s="352"/>
    </row>
    <row r="752" spans="1:31" ht="54" hidden="1" customHeight="1">
      <c r="A752" s="22" t="s">
        <v>2206</v>
      </c>
      <c r="B752" s="809">
        <f>GRAL!B993</f>
        <v>0</v>
      </c>
      <c r="C752" s="16">
        <f>OBRA!J754</f>
        <v>2023</v>
      </c>
      <c r="D752" s="1415"/>
      <c r="E752" s="17" t="str">
        <f>OBRA!M754</f>
        <v>FOCOCI</v>
      </c>
      <c r="F752" s="1170"/>
      <c r="G752" s="1108"/>
      <c r="H752" s="219"/>
      <c r="I752" s="1108"/>
      <c r="J752" s="54"/>
      <c r="K752" s="55"/>
      <c r="L752" s="19" t="str">
        <f>OBRA!N754</f>
        <v>CSS-OP-CC-017/2023</v>
      </c>
      <c r="M752" s="2" t="str">
        <f>OBRA!O754</f>
        <v>CONCURSO SIMPLIFICADO SUMARIO</v>
      </c>
      <c r="N752" s="3" t="str">
        <f>OBRA!P754</f>
        <v>“PAVIMENTACIÓN CON EMPEDRADO ZAMPEADO, EN CALLE LA PAZ EN LA DELEGACIÓN DE SAN JUAN COSALÁ, MUNICIPIO DE JOCOTEPEC, JALISCO”</v>
      </c>
      <c r="O752" s="541"/>
      <c r="P752" s="6">
        <f>OBRA!S754</f>
        <v>45152</v>
      </c>
      <c r="Q752" s="4">
        <f>OBRA!R754</f>
        <v>4998360.84</v>
      </c>
      <c r="R752" s="5">
        <f>OBRA!T754</f>
        <v>45155</v>
      </c>
      <c r="S752" s="11">
        <f>OBRA!U754</f>
        <v>45274</v>
      </c>
      <c r="T752" s="692"/>
      <c r="U752" s="203"/>
      <c r="V752" s="508"/>
      <c r="W752" s="509"/>
      <c r="X752" s="534">
        <f>OBRA!AR754</f>
        <v>2499180.41</v>
      </c>
      <c r="Y752" s="309"/>
      <c r="Z752" s="309"/>
      <c r="AA752" s="5"/>
      <c r="AB752" s="313"/>
      <c r="AC752" s="317">
        <f>OBRA!BW754</f>
        <v>0</v>
      </c>
      <c r="AD752" s="352"/>
      <c r="AE752" s="352"/>
    </row>
    <row r="753" spans="1:31" ht="21" hidden="1" customHeight="1">
      <c r="A753" s="22" t="s">
        <v>2206</v>
      </c>
      <c r="B753" s="809">
        <f>GRAL!B994</f>
        <v>0</v>
      </c>
      <c r="C753" s="16">
        <f>OBRA!J755</f>
        <v>2023</v>
      </c>
      <c r="D753" s="1415"/>
      <c r="E753" s="17" t="str">
        <f>OBRA!M755</f>
        <v>RAMO 33</v>
      </c>
      <c r="F753" s="1170"/>
      <c r="G753" s="1108"/>
      <c r="H753" s="219"/>
      <c r="I753" s="1108"/>
      <c r="J753" s="54"/>
      <c r="K753" s="55"/>
      <c r="L753" s="19" t="str">
        <f>OBRA!N755</f>
        <v>CSS-OP-CC-018/2023</v>
      </c>
      <c r="M753" s="2" t="str">
        <f>OBRA!O755</f>
        <v>CONCURSO SIMPLIFICADO SUMARIO</v>
      </c>
      <c r="N753" s="3" t="str">
        <f>OBRA!P755</f>
        <v>“CONSTRUCCIÓN DE SUPERFICIE DE RODAMIENTO EN CALLE PLAYAS DE LA LAGUNA”, EN LA LOCALIDAD DE CHANTEPEC, MUNICIPIO DE JOCOTEPEC, JALISCO</v>
      </c>
      <c r="O753" s="541"/>
      <c r="P753" s="6">
        <f>OBRA!S755</f>
        <v>45168</v>
      </c>
      <c r="Q753" s="4">
        <f>OBRA!R755</f>
        <v>2808816.17</v>
      </c>
      <c r="R753" s="5">
        <f>OBRA!T755</f>
        <v>45173</v>
      </c>
      <c r="S753" s="11">
        <f>OBRA!U755</f>
        <v>45237</v>
      </c>
      <c r="T753" s="692"/>
      <c r="U753" s="203"/>
      <c r="V753" s="508"/>
      <c r="W753" s="509"/>
      <c r="X753" s="534">
        <f>OBRA!AR755</f>
        <v>821212.14</v>
      </c>
      <c r="Y753" s="309"/>
      <c r="Z753" s="309"/>
      <c r="AA753" s="5"/>
      <c r="AB753" s="313"/>
      <c r="AC753" s="317">
        <f>OBRA!BW755</f>
        <v>0</v>
      </c>
      <c r="AD753" s="352"/>
      <c r="AE753" s="352"/>
    </row>
    <row r="754" spans="1:31" ht="81" customHeight="1">
      <c r="A754" s="22" t="s">
        <v>2206</v>
      </c>
      <c r="B754" s="809" t="str">
        <f>GRAL!B756</f>
        <v>2021-2024</v>
      </c>
      <c r="C754" s="16">
        <f>OBRA!J756</f>
        <v>2023</v>
      </c>
      <c r="D754" s="1415"/>
      <c r="E754" s="17" t="str">
        <f>OBRA!M756</f>
        <v>RAMO 33</v>
      </c>
      <c r="F754" s="478" t="s">
        <v>1428</v>
      </c>
      <c r="G754" s="496" t="s">
        <v>6114</v>
      </c>
      <c r="H754" s="495" t="s">
        <v>6114</v>
      </c>
      <c r="I754" s="496" t="s">
        <v>6114</v>
      </c>
      <c r="J754" s="54" t="str">
        <f>OBRA!W756</f>
        <v>C. REFUGIO GUTIÉRREZ NIEVES</v>
      </c>
      <c r="K754" s="55" t="str">
        <f>OBRA!X756</f>
        <v>C. DANIEL RODRIGUEZ VALENZUELA</v>
      </c>
      <c r="L754" s="33" t="str">
        <f>OBRA!N756</f>
        <v>GMJ 019C OP/2023</v>
      </c>
      <c r="M754" s="2" t="str">
        <f>OBRA!O756</f>
        <v>ADJUDICACIÓN DIRECTA</v>
      </c>
      <c r="N754" s="3" t="str">
        <f>OBRA!P756</f>
        <v>“CONSTRUCCIÓN DE SUPERFICIE DE RODAMIENTO EN CALLE PLAYA AZUL”, EN LA LOCALIDAD DE CHANTEPEC, MUNICIPIO DE JOCOTEPEC, JALISCO</v>
      </c>
      <c r="O754" s="504" t="s">
        <v>5529</v>
      </c>
      <c r="P754" s="67">
        <f>OBRA!S756</f>
        <v>45168</v>
      </c>
      <c r="Q754" s="79">
        <f>OBRA!R756</f>
        <v>2049615.46</v>
      </c>
      <c r="R754" s="5">
        <f>OBRA!T756</f>
        <v>45180</v>
      </c>
      <c r="S754" s="11">
        <f>OBRA!U756</f>
        <v>45230</v>
      </c>
      <c r="T754" s="1352" t="s">
        <v>3816</v>
      </c>
      <c r="U754" s="206"/>
      <c r="V754" s="499" t="s">
        <v>6114</v>
      </c>
      <c r="W754" s="597" t="s">
        <v>6114</v>
      </c>
      <c r="X754" s="986">
        <f>OBRA!AR756</f>
        <v>1025796.7799999999</v>
      </c>
      <c r="Y754" s="309"/>
      <c r="Z754" s="309"/>
      <c r="AA754" s="5"/>
      <c r="AB754" s="313"/>
      <c r="AC754" s="317"/>
      <c r="AD754" s="352"/>
      <c r="AE754" s="352"/>
    </row>
    <row r="755" spans="1:31" ht="76.5" customHeight="1">
      <c r="A755" s="22" t="s">
        <v>2206</v>
      </c>
      <c r="B755" s="809" t="str">
        <f>GRAL!B757</f>
        <v>2021-2024</v>
      </c>
      <c r="C755" s="16">
        <f>OBRA!J757</f>
        <v>2023</v>
      </c>
      <c r="D755" s="1415"/>
      <c r="E755" s="17" t="str">
        <f>OBRA!M757</f>
        <v>CUENTA CORRIENTE</v>
      </c>
      <c r="F755" s="478" t="s">
        <v>1428</v>
      </c>
      <c r="G755" s="496" t="s">
        <v>6117</v>
      </c>
      <c r="H755" s="495" t="s">
        <v>6117</v>
      </c>
      <c r="I755" s="496" t="s">
        <v>6117</v>
      </c>
      <c r="J755" s="54" t="str">
        <f>OBRA!W757</f>
        <v xml:space="preserve">DORIA &amp; SAMPIER CONSTRUCTORA, S.A. DE C.V. </v>
      </c>
      <c r="K755" s="55" t="str">
        <f>OBRA!X757</f>
        <v>ARQ. JAIME CONDE GOMEZ</v>
      </c>
      <c r="L755" s="33" t="str">
        <f>OBRA!N757</f>
        <v>GMJ 020C OP/2023</v>
      </c>
      <c r="M755" s="2" t="str">
        <f>OBRA!O757</f>
        <v>ADJUDICACIÓN DIRECTA</v>
      </c>
      <c r="N755" s="3" t="str">
        <f>OBRA!P757</f>
        <v>“REHABILITACIÓN DE PLAZA PRINCIPAL”, EN LA LOCALIDAD DE HUEJOTITÁN, MUNICIPIO DE JOCOTEPEC, JALISCO</v>
      </c>
      <c r="O755" s="504" t="s">
        <v>5529</v>
      </c>
      <c r="P755" s="67">
        <f>OBRA!S757</f>
        <v>45166</v>
      </c>
      <c r="Q755" s="79">
        <f>OBRA!R757</f>
        <v>304838.93</v>
      </c>
      <c r="R755" s="5">
        <f>OBRA!T757</f>
        <v>45168</v>
      </c>
      <c r="S755" s="11">
        <f>OBRA!U757</f>
        <v>45199</v>
      </c>
      <c r="T755" s="207" t="s">
        <v>4446</v>
      </c>
      <c r="U755" s="206" t="s">
        <v>1428</v>
      </c>
      <c r="V755" s="201"/>
      <c r="W755" s="205"/>
      <c r="X755" s="279">
        <f>OBRA!AR757</f>
        <v>0</v>
      </c>
      <c r="Y755" s="1916"/>
      <c r="Z755" s="309"/>
      <c r="AA755" s="5"/>
      <c r="AB755" s="313"/>
      <c r="AC755" s="317"/>
      <c r="AD755" s="352"/>
      <c r="AE755" s="352"/>
    </row>
    <row r="756" spans="1:31" ht="95.25" customHeight="1">
      <c r="A756" s="22" t="s">
        <v>2206</v>
      </c>
      <c r="B756" s="809" t="str">
        <f>GRAL!B758</f>
        <v>2021-2024</v>
      </c>
      <c r="C756" s="16">
        <f>OBRA!J758</f>
        <v>2023</v>
      </c>
      <c r="D756" s="1415"/>
      <c r="E756" s="17" t="str">
        <f>OBRA!M758</f>
        <v>RAMO 33</v>
      </c>
      <c r="F756" s="478" t="s">
        <v>1428</v>
      </c>
      <c r="G756" s="496" t="s">
        <v>6161</v>
      </c>
      <c r="H756" s="495" t="s">
        <v>6161</v>
      </c>
      <c r="I756" s="496" t="s">
        <v>6161</v>
      </c>
      <c r="J756" s="54" t="str">
        <f>OBRA!W758</f>
        <v>ING. SERGIO CABRERA</v>
      </c>
      <c r="K756" s="55" t="str">
        <f>OBRA!X758</f>
        <v>C. DANIEL RODRIGUEZ VALENZUELA</v>
      </c>
      <c r="L756" s="33" t="str">
        <f>OBRA!N758</f>
        <v>GMJ 021 C-OP/2023</v>
      </c>
      <c r="M756" s="2" t="str">
        <f>OBRA!O758</f>
        <v>ADJUDICACIÓN DIRECTA</v>
      </c>
      <c r="N756" s="3" t="str">
        <f>OBRA!P758</f>
        <v>"CONSTRUCCIÓN DE BANQUETAS E IMAGEN URBANA EN CALLE LA PAZ DE CALLE HIDALGO A CALLE ROTARIO Y CALLE ROTARIO DE CALLE LA PAZ A CARRETERA JOCOTEPEC-CHAPALA", EN LA LOCALIDAD DE SAN JUAN COSALÁ, MUNICIPIO DE JOCOTEPEC, JALISCO.</v>
      </c>
      <c r="O756" s="504" t="s">
        <v>6040</v>
      </c>
      <c r="P756" s="67">
        <f>OBRA!S758</f>
        <v>45203</v>
      </c>
      <c r="Q756" s="79">
        <f>OBRA!R758</f>
        <v>853249.52</v>
      </c>
      <c r="R756" s="5">
        <f>OBRA!T758</f>
        <v>45209</v>
      </c>
      <c r="S756" s="11">
        <f>OBRA!U758</f>
        <v>45222</v>
      </c>
      <c r="T756" s="1352" t="s">
        <v>3816</v>
      </c>
      <c r="U756" s="206"/>
      <c r="V756" s="499" t="s">
        <v>6161</v>
      </c>
      <c r="W756" s="597" t="s">
        <v>6161</v>
      </c>
      <c r="X756" s="986">
        <f>OBRA!AR758</f>
        <v>442426.98</v>
      </c>
      <c r="Y756" s="309"/>
      <c r="Z756" s="309"/>
      <c r="AA756" s="5"/>
      <c r="AB756" s="313"/>
      <c r="AC756" s="317"/>
      <c r="AD756" s="352"/>
      <c r="AE756" s="352"/>
    </row>
    <row r="757" spans="1:31" ht="93" hidden="1" customHeight="1">
      <c r="A757" s="22" t="s">
        <v>2206</v>
      </c>
      <c r="B757" s="809">
        <f>GRAL!B998</f>
        <v>0</v>
      </c>
      <c r="C757" s="16">
        <f>OBRA!J759</f>
        <v>2023</v>
      </c>
      <c r="D757" s="1415"/>
      <c r="E757" s="17" t="str">
        <f>OBRA!M759</f>
        <v>CUENTA CORRIENTE</v>
      </c>
      <c r="F757" s="1170"/>
      <c r="G757" s="1108"/>
      <c r="H757" s="219"/>
      <c r="I757" s="1108"/>
      <c r="J757" s="54"/>
      <c r="K757" s="55"/>
      <c r="L757" s="19" t="str">
        <f>OBRA!N759</f>
        <v>GMJ 022 OP/2023</v>
      </c>
      <c r="M757" s="2" t="str">
        <f>OBRA!O759</f>
        <v>CANCELADA</v>
      </c>
      <c r="N757" s="3" t="str">
        <f>OBRA!P759</f>
        <v>"ELECTRIFICACIÓN DE POZO CAMICHINES UBICADO EN CALLE FRANCISCO VILLA", EN LA CABECERA MUNICIPAL DE JOCOTEPEC, JALISCO.</v>
      </c>
      <c r="O757" s="541"/>
      <c r="P757" s="6">
        <f>OBRA!S759</f>
        <v>45212</v>
      </c>
      <c r="Q757" s="4">
        <f>OBRA!R759</f>
        <v>247646.07999999999</v>
      </c>
      <c r="R757" s="5">
        <f>OBRA!T759</f>
        <v>45215</v>
      </c>
      <c r="S757" s="11">
        <f>OBRA!U759</f>
        <v>45258</v>
      </c>
      <c r="T757" s="692"/>
      <c r="U757" s="203"/>
      <c r="V757" s="508"/>
      <c r="W757" s="509"/>
      <c r="X757" s="534">
        <f>OBRA!AR759</f>
        <v>0</v>
      </c>
      <c r="Y757" s="309"/>
      <c r="Z757" s="309"/>
      <c r="AA757" s="5"/>
      <c r="AB757" s="313"/>
      <c r="AC757" s="317">
        <f>OBRA!BW759</f>
        <v>0</v>
      </c>
      <c r="AD757" s="352"/>
      <c r="AE757" s="352"/>
    </row>
    <row r="758" spans="1:31" ht="80.25" customHeight="1">
      <c r="A758" s="22" t="s">
        <v>2206</v>
      </c>
      <c r="B758" s="809" t="str">
        <f>GRAL!B760</f>
        <v>2021-2024</v>
      </c>
      <c r="C758" s="16">
        <f>OBRA!J760</f>
        <v>2023</v>
      </c>
      <c r="D758" s="1415"/>
      <c r="E758" s="17" t="str">
        <f>OBRA!M760</f>
        <v>CUENTA CORRIENTE</v>
      </c>
      <c r="F758" s="478" t="s">
        <v>1428</v>
      </c>
      <c r="G758" s="496" t="s">
        <v>5871</v>
      </c>
      <c r="H758" s="2"/>
      <c r="I758" s="496" t="s">
        <v>5871</v>
      </c>
      <c r="J758" s="54" t="str">
        <f>OBRA!W760</f>
        <v>SOLEC ENERGY, S.A. DE C.V.</v>
      </c>
      <c r="K758" s="55" t="str">
        <f>OBRA!X760</f>
        <v>C. DANIEL RODRIGUEZ VALENZUELA</v>
      </c>
      <c r="L758" s="33" t="str">
        <f>OBRA!N760</f>
        <v>GMJ 023 C-OP/2023</v>
      </c>
      <c r="M758" s="2" t="str">
        <f>OBRA!O760</f>
        <v>ADJUDICACIÓN DIRECTA</v>
      </c>
      <c r="N758" s="3" t="str">
        <f>OBRA!P760</f>
        <v>"ELECTRIFICACIÓN DE POZO EN PRIVADA GUADALUPE VICTORIA", EN LA LOCALIDAD DE SAN JUAN COSALÁ, MUNICIPIO DE JOCOTEPEC, JALISCO.</v>
      </c>
      <c r="O758" s="504" t="s">
        <v>6040</v>
      </c>
      <c r="P758" s="67">
        <f>OBRA!S760</f>
        <v>45212</v>
      </c>
      <c r="Q758" s="79">
        <f>OBRA!R760</f>
        <v>330252</v>
      </c>
      <c r="R758" s="5">
        <f>OBRA!T760</f>
        <v>45222</v>
      </c>
      <c r="S758" s="11">
        <f>OBRA!U760</f>
        <v>45282</v>
      </c>
      <c r="T758" s="207" t="s">
        <v>4446</v>
      </c>
      <c r="U758" s="206" t="s">
        <v>1428</v>
      </c>
      <c r="V758" s="499" t="s">
        <v>5872</v>
      </c>
      <c r="W758" s="597" t="s">
        <v>5872</v>
      </c>
      <c r="X758" s="986">
        <f>OBRA!AR760</f>
        <v>66050.399999999994</v>
      </c>
      <c r="Y758" s="309"/>
      <c r="Z758" s="309"/>
      <c r="AA758" s="5"/>
      <c r="AB758" s="313"/>
      <c r="AC758" s="317"/>
      <c r="AD758" s="352"/>
      <c r="AE758" s="352"/>
    </row>
    <row r="759" spans="1:31" ht="57.75" hidden="1" customHeight="1">
      <c r="A759" s="22" t="s">
        <v>2206</v>
      </c>
      <c r="B759" s="809">
        <f>GRAL!B1000</f>
        <v>0</v>
      </c>
      <c r="C759" s="16">
        <f>OBRA!J761</f>
        <v>2023</v>
      </c>
      <c r="D759" s="1415"/>
      <c r="E759" s="17" t="str">
        <f>OBRA!M761</f>
        <v>CUENTA CORRIENTE</v>
      </c>
      <c r="F759" s="1170"/>
      <c r="G759" s="1108"/>
      <c r="H759" s="219"/>
      <c r="I759" s="1108"/>
      <c r="J759" s="54"/>
      <c r="K759" s="55"/>
      <c r="L759" s="19" t="str">
        <f>OBRA!N761</f>
        <v>CSS-OP-CC-024/2023</v>
      </c>
      <c r="M759" s="2" t="str">
        <f>OBRA!O761</f>
        <v>CONCURSO SIMPLIFICADO SUMARIO</v>
      </c>
      <c r="N759" s="3" t="str">
        <f>OBRA!P761</f>
        <v>"CONSTRUCCIÓN DE 29 LOCALES COMERCIALES EN PLAZOLETA", EN LA LOCALIDAD DE CHANTEPEC, MUNICIPIO DE JOCOTEPEC, JALISCO.</v>
      </c>
      <c r="O759" s="541"/>
      <c r="P759" s="6">
        <f>OBRA!S761</f>
        <v>45245</v>
      </c>
      <c r="Q759" s="4">
        <f>OBRA!R761</f>
        <v>5281923.58</v>
      </c>
      <c r="R759" s="5">
        <f>OBRA!T761</f>
        <v>45251</v>
      </c>
      <c r="S759" s="11">
        <f>OBRA!U761</f>
        <v>45370</v>
      </c>
      <c r="T759" s="692"/>
      <c r="U759" s="203"/>
      <c r="V759" s="508"/>
      <c r="W759" s="509"/>
      <c r="X759" s="534">
        <f>OBRA!AR761</f>
        <v>2692964.7399999998</v>
      </c>
      <c r="Y759" s="309"/>
      <c r="Z759" s="309"/>
      <c r="AA759" s="5"/>
      <c r="AB759" s="313"/>
      <c r="AC759" s="317">
        <f>OBRA!BW761</f>
        <v>0</v>
      </c>
      <c r="AD759" s="352"/>
      <c r="AE759" s="352"/>
    </row>
    <row r="760" spans="1:31" ht="76.5" customHeight="1">
      <c r="A760" s="22" t="s">
        <v>2206</v>
      </c>
      <c r="B760" s="809" t="str">
        <f>GRAL!B762</f>
        <v>2021-2024</v>
      </c>
      <c r="C760" s="16">
        <f>OBRA!J762</f>
        <v>2023</v>
      </c>
      <c r="D760" s="1415"/>
      <c r="E760" s="17" t="str">
        <f>OBRA!M762</f>
        <v>CUENTA CORRIENTE</v>
      </c>
      <c r="F760" s="478" t="s">
        <v>1428</v>
      </c>
      <c r="G760" s="496" t="s">
        <v>6126</v>
      </c>
      <c r="H760" s="2"/>
      <c r="I760" s="496" t="s">
        <v>6126</v>
      </c>
      <c r="J760" s="54" t="str">
        <f>OBRA!W762</f>
        <v xml:space="preserve">DORIA &amp; SAMPIER CONSTRUCTORA, S.A. DE C.V. </v>
      </c>
      <c r="K760" s="55" t="str">
        <f>OBRA!X762</f>
        <v>ARQ. JAIME CONDE GOMEZ</v>
      </c>
      <c r="L760" s="33" t="str">
        <f>OBRA!N762</f>
        <v>GMJ 025C OP/2023</v>
      </c>
      <c r="M760" s="2" t="str">
        <f>OBRA!O762</f>
        <v>ADJUDICACIÓN DIRECTA</v>
      </c>
      <c r="N760" s="3" t="str">
        <f>OBRA!P762</f>
        <v>"REHABILITACIÓN DE PLAZA PRINCIPAL (3RA ETAPA)", EN LA LOCALIDAD DE HUEJOTITÁN, MUNICIPIO DE JOCOTEPEC, JALISCO.</v>
      </c>
      <c r="O760" s="504" t="s">
        <v>6040</v>
      </c>
      <c r="P760" s="67">
        <f>OBRA!S762</f>
        <v>45247</v>
      </c>
      <c r="Q760" s="79">
        <f>OBRA!R762</f>
        <v>441962.08</v>
      </c>
      <c r="R760" s="5">
        <f>OBRA!T762</f>
        <v>45245</v>
      </c>
      <c r="S760" s="11">
        <f>OBRA!U762</f>
        <v>45290</v>
      </c>
      <c r="T760" s="207" t="s">
        <v>4446</v>
      </c>
      <c r="U760" s="206" t="s">
        <v>1428</v>
      </c>
      <c r="V760" s="499" t="s">
        <v>6126</v>
      </c>
      <c r="W760" s="597" t="s">
        <v>6126</v>
      </c>
      <c r="X760" s="986">
        <f>OBRA!AR762</f>
        <v>88392.4</v>
      </c>
      <c r="Y760" s="309"/>
      <c r="Z760" s="309"/>
      <c r="AA760" s="5"/>
      <c r="AB760" s="313"/>
      <c r="AC760" s="317"/>
      <c r="AD760" s="352"/>
      <c r="AE760" s="352"/>
    </row>
    <row r="761" spans="1:31" ht="49.5" hidden="1" customHeight="1">
      <c r="A761" s="22" t="s">
        <v>2206</v>
      </c>
      <c r="B761" s="809">
        <f>GRAL!B1002</f>
        <v>0</v>
      </c>
      <c r="C761" s="16">
        <f>OBRA!J763</f>
        <v>2023</v>
      </c>
      <c r="D761" s="1415"/>
      <c r="E761" s="17" t="str">
        <f>OBRA!M763</f>
        <v>CTA-CTE / RAMO 33</v>
      </c>
      <c r="F761" s="1170"/>
      <c r="G761" s="1108"/>
      <c r="H761" s="219"/>
      <c r="I761" s="1108"/>
      <c r="J761" s="54"/>
      <c r="K761" s="55"/>
      <c r="L761" s="19" t="str">
        <f>OBRA!N763</f>
        <v>FAIS-RAMO33/CC-OP-CSS-026/2023</v>
      </c>
      <c r="M761" s="2" t="str">
        <f>OBRA!O763</f>
        <v>CONCURSO SIMPLIFICADO SUMARIO CON RECURSOS CONCURRIDOS</v>
      </c>
      <c r="N761" s="3" t="str">
        <f>OBRA!P763</f>
        <v>"CONSTRUCCIÓN DE UN CARCAMO DE BOMBEO EN LA ZONA DEL MALECÓN, CERCA DE LA PLANTA DE TRATAMIENTO DE AGUAS RESIDUALES, POR CALLE RIVERA DEL LAGO, ESQUINA CON CALLE JOSÉ SANTANA", EN LA CABECERA MUNICIPAL DE JOCOTEPEC, JALISCO.</v>
      </c>
      <c r="O761" s="541"/>
      <c r="P761" s="6">
        <f>OBRA!S763</f>
        <v>45268</v>
      </c>
      <c r="Q761" s="4">
        <f>OBRA!R763</f>
        <v>2969939.23</v>
      </c>
      <c r="R761" s="5">
        <f>OBRA!T763</f>
        <v>45271</v>
      </c>
      <c r="S761" s="11">
        <f>OBRA!U763</f>
        <v>45290</v>
      </c>
      <c r="T761" s="692"/>
      <c r="U761" s="203"/>
      <c r="V761" s="508"/>
      <c r="W761" s="509"/>
      <c r="X761" s="534">
        <f>OBRA!AR763</f>
        <v>1167007.25</v>
      </c>
      <c r="Y761" s="309"/>
      <c r="Z761" s="309"/>
      <c r="AA761" s="5"/>
      <c r="AB761" s="313"/>
      <c r="AC761" s="317">
        <f>OBRA!BW763</f>
        <v>0</v>
      </c>
      <c r="AD761" s="352"/>
      <c r="AE761" s="352"/>
    </row>
    <row r="762" spans="1:31" ht="81" customHeight="1">
      <c r="A762" s="22" t="s">
        <v>2206</v>
      </c>
      <c r="B762" s="809" t="str">
        <f>GRAL!B764</f>
        <v>2021-2024</v>
      </c>
      <c r="C762" s="16">
        <f>OBRA!J764</f>
        <v>2023</v>
      </c>
      <c r="D762" s="1415"/>
      <c r="E762" s="17" t="str">
        <f>OBRA!M764</f>
        <v>CUENTA CORRIENTE</v>
      </c>
      <c r="F762" s="478" t="s">
        <v>1428</v>
      </c>
      <c r="G762" s="496" t="s">
        <v>6130</v>
      </c>
      <c r="H762" s="495" t="s">
        <v>6130</v>
      </c>
      <c r="I762" s="496" t="s">
        <v>6130</v>
      </c>
      <c r="J762" s="54" t="str">
        <f>OBRA!W764</f>
        <v xml:space="preserve">DESARROLLADORA FARAR, S.A. DE C.V. </v>
      </c>
      <c r="K762" s="55" t="str">
        <f>OBRA!X764</f>
        <v>ING. J. GUADALUPE IBARRA RAMIREZ</v>
      </c>
      <c r="L762" s="33" t="str">
        <f>OBRA!N764</f>
        <v>GMJ 027C OP/2023</v>
      </c>
      <c r="M762" s="2" t="str">
        <f>OBRA!O764</f>
        <v>ADJUDICACIÓN DIRECTA</v>
      </c>
      <c r="N762" s="3" t="str">
        <f>OBRA!P764</f>
        <v>"CONSTRUCCIÓN DE CALLE, ESTACIONAMIENTO, MACHUELOS Y CANCHA DE UNIDAD DEPORTIVA", EN LA LOCALIDAD DE CHANTEPEC, MUNICIPIO DE JOCOTEPEC.</v>
      </c>
      <c r="O762" s="504" t="s">
        <v>6040</v>
      </c>
      <c r="P762" s="67">
        <f>OBRA!S764</f>
        <v>45258</v>
      </c>
      <c r="Q762" s="79">
        <f>OBRA!R764</f>
        <v>1515153.08</v>
      </c>
      <c r="R762" s="5">
        <f>OBRA!T764</f>
        <v>45264</v>
      </c>
      <c r="S762" s="11">
        <f>OBRA!U764</f>
        <v>45374</v>
      </c>
      <c r="T762" s="207" t="s">
        <v>4446</v>
      </c>
      <c r="U762" s="206" t="s">
        <v>1428</v>
      </c>
      <c r="V762" s="499" t="s">
        <v>6130</v>
      </c>
      <c r="W762" s="597" t="s">
        <v>6130</v>
      </c>
      <c r="X762" s="1915">
        <f>OBRA!AR764</f>
        <v>3051302.18</v>
      </c>
      <c r="Y762" s="1916"/>
      <c r="Z762" s="309"/>
      <c r="AA762" s="5"/>
      <c r="AB762" s="313"/>
      <c r="AC762" s="317"/>
      <c r="AD762" s="352"/>
      <c r="AE762" s="352"/>
    </row>
    <row r="763" spans="1:31" ht="79.5" customHeight="1">
      <c r="A763" s="22" t="s">
        <v>2206</v>
      </c>
      <c r="B763" s="809" t="str">
        <f>GRAL!B765</f>
        <v>2021-2024</v>
      </c>
      <c r="C763" s="16">
        <f>OBRA!J765</f>
        <v>2023</v>
      </c>
      <c r="D763" s="1415"/>
      <c r="E763" s="17" t="str">
        <f>OBRA!M765</f>
        <v>CUENTA CORRIENTE</v>
      </c>
      <c r="F763" s="478" t="s">
        <v>1428</v>
      </c>
      <c r="G763" s="496" t="s">
        <v>5900</v>
      </c>
      <c r="H763" s="2"/>
      <c r="I763" s="496" t="s">
        <v>5900</v>
      </c>
      <c r="J763" s="54" t="str">
        <f>OBRA!W765</f>
        <v>ACROX CONSTRUCCIONES, S.A. DE C.V.</v>
      </c>
      <c r="K763" s="55" t="str">
        <f>OBRA!X765</f>
        <v>ING. J. GUADALUPE IBARRA RAMIREZ</v>
      </c>
      <c r="L763" s="33" t="str">
        <f>OBRA!N765</f>
        <v>GMJ 028C OP/2023</v>
      </c>
      <c r="M763" s="2" t="str">
        <f>OBRA!O765</f>
        <v>ADJUDICACIÓN DIRECTA</v>
      </c>
      <c r="N763" s="3" t="str">
        <f>OBRA!P765</f>
        <v>"CONSTRUCCIÓN DE BAÑOS, VESTIDORES, LOCALES COMERCIALES, DRENAJE SANITARIO Y PLUVIALES EN UNIDAD DEPORTIVA", EN LA LOCALIDAD DE CHANTEPEC, MUNICIPIO DE JOCOTEPEC, JALISCO.</v>
      </c>
      <c r="O763" s="504" t="s">
        <v>6040</v>
      </c>
      <c r="P763" s="67">
        <f>OBRA!S765</f>
        <v>45258</v>
      </c>
      <c r="Q763" s="79">
        <f>OBRA!R765</f>
        <v>1777367.51</v>
      </c>
      <c r="R763" s="5">
        <f>OBRA!T765</f>
        <v>45264</v>
      </c>
      <c r="S763" s="11">
        <f>OBRA!U765</f>
        <v>45374</v>
      </c>
      <c r="T763" s="207" t="s">
        <v>4446</v>
      </c>
      <c r="U763" s="206" t="s">
        <v>1428</v>
      </c>
      <c r="V763" s="499" t="s">
        <v>5900</v>
      </c>
      <c r="W763" s="597" t="s">
        <v>5900</v>
      </c>
      <c r="X763" s="986">
        <f>OBRA!AR765</f>
        <v>915633.23</v>
      </c>
      <c r="Y763" s="309"/>
      <c r="Z763" s="309"/>
      <c r="AA763" s="5"/>
      <c r="AB763" s="313"/>
      <c r="AC763" s="317"/>
      <c r="AD763" s="352"/>
      <c r="AE763" s="352"/>
    </row>
    <row r="764" spans="1:31" ht="90.75" customHeight="1">
      <c r="A764" s="22" t="s">
        <v>2206</v>
      </c>
      <c r="B764" s="809" t="str">
        <f>GRAL!B766</f>
        <v>2021-2024</v>
      </c>
      <c r="C764" s="16">
        <f>OBRA!J766</f>
        <v>2023</v>
      </c>
      <c r="D764" s="1415"/>
      <c r="E764" s="17" t="str">
        <f>OBRA!M766</f>
        <v>RAMO 33</v>
      </c>
      <c r="F764" s="478" t="s">
        <v>1428</v>
      </c>
      <c r="G764" s="496" t="s">
        <v>5901</v>
      </c>
      <c r="H764" s="495" t="s">
        <v>5901</v>
      </c>
      <c r="I764" s="496" t="s">
        <v>5901</v>
      </c>
      <c r="J764" s="54" t="str">
        <f>OBRA!W766</f>
        <v>TERRACERÍAS Y PAVIMENTOS DE LA RIBERA, S.A. DE C.V.</v>
      </c>
      <c r="K764" s="55" t="str">
        <f>OBRA!X766</f>
        <v>C. DANIEL RODRIGUEZ VALENZUELA</v>
      </c>
      <c r="L764" s="33" t="str">
        <f>OBRA!N766</f>
        <v>GMJ 029C OP/2023</v>
      </c>
      <c r="M764" s="2" t="str">
        <f>OBRA!O766</f>
        <v>ADJUDICACIÓN DIRECTA</v>
      </c>
      <c r="N764" s="3" t="str">
        <f>OBRA!P766</f>
        <v>"CONSTRUCCIÓN DE LÍNEA DE COLECTOR SANITARIO DE PVC DE 18 PULGADAS A NUEVO CARCAMO DE BOMBEO Y LÍNEA DE BOMBEO DE ACERO DE 8 PULGADAS DE NUEVO CARCAMO A PLANTA DE TRATAMIENTO", EN LA CABECERA MUNICIPAL DE JOCOTEPEC, JALISCO.</v>
      </c>
      <c r="O764" s="504" t="s">
        <v>6040</v>
      </c>
      <c r="P764" s="67">
        <f>OBRA!S766</f>
        <v>45257</v>
      </c>
      <c r="Q764" s="79">
        <f>OBRA!R766</f>
        <v>521271.1</v>
      </c>
      <c r="R764" s="5">
        <f>OBRA!T766</f>
        <v>45258</v>
      </c>
      <c r="S764" s="11">
        <f>OBRA!U766</f>
        <v>45276</v>
      </c>
      <c r="T764" s="1352" t="s">
        <v>3816</v>
      </c>
      <c r="U764" s="206"/>
      <c r="V764" s="499" t="s">
        <v>5901</v>
      </c>
      <c r="W764" s="597" t="s">
        <v>5901</v>
      </c>
      <c r="X764" s="986">
        <f>OBRA!AR766</f>
        <v>168143.53</v>
      </c>
      <c r="Y764" s="309"/>
      <c r="Z764" s="309"/>
      <c r="AA764" s="5"/>
      <c r="AB764" s="313"/>
      <c r="AC764" s="317"/>
      <c r="AD764" s="352"/>
      <c r="AE764" s="352"/>
    </row>
    <row r="765" spans="1:31" ht="82.5" customHeight="1">
      <c r="A765" s="22" t="s">
        <v>2206</v>
      </c>
      <c r="B765" s="809" t="str">
        <f>GRAL!B767</f>
        <v>2021-2024</v>
      </c>
      <c r="C765" s="16">
        <f>OBRA!J767</f>
        <v>2023</v>
      </c>
      <c r="D765" s="1415"/>
      <c r="E765" s="17" t="str">
        <f>OBRA!M767</f>
        <v xml:space="preserve">FORTAMUN </v>
      </c>
      <c r="F765" s="478" t="s">
        <v>1428</v>
      </c>
      <c r="G765" s="146"/>
      <c r="H765" s="495" t="s">
        <v>5902</v>
      </c>
      <c r="I765" s="496" t="s">
        <v>5902</v>
      </c>
      <c r="J765" s="54" t="str">
        <f>OBRA!W767</f>
        <v>ESTRUCTURAS PLANEADAS DE OCCIDENTE, S.A. DE C.V.</v>
      </c>
      <c r="K765" s="55" t="str">
        <f>OBRA!X767</f>
        <v>C. DANIEL RODRIGUEZ VALENZUELA</v>
      </c>
      <c r="L765" s="33" t="str">
        <f>OBRA!N767</f>
        <v>GMJ 030C OP/2023</v>
      </c>
      <c r="M765" s="2" t="str">
        <f>OBRA!O767</f>
        <v>ADJUDICACIÓN DIRECTA</v>
      </c>
      <c r="N765" s="3" t="str">
        <f>OBRA!P767</f>
        <v>"CONSTRUCCIÓN DE LÍNEA DE ABASTECIMIENTO DEL POZO DE AGUA POTABLE EN PRIV. GUADALUPE VICTORIA A RED PRINCIPAL EN C. ZARAGOZA", EN LA LOCALIDAD DE SAN JUAN COSALÁ, MUNICIPIO DE JOCOTEPEC, JALISCO.</v>
      </c>
      <c r="O765" s="504" t="s">
        <v>6040</v>
      </c>
      <c r="P765" s="67">
        <f>OBRA!S767</f>
        <v>45269</v>
      </c>
      <c r="Q765" s="79">
        <f>OBRA!R767</f>
        <v>810268.98</v>
      </c>
      <c r="R765" s="5">
        <f>OBRA!T767</f>
        <v>45271</v>
      </c>
      <c r="S765" s="11">
        <f>OBRA!U767</f>
        <v>45290</v>
      </c>
      <c r="T765" s="1352" t="s">
        <v>3816</v>
      </c>
      <c r="U765" s="206"/>
      <c r="V765" s="499" t="s">
        <v>5902</v>
      </c>
      <c r="W765" s="597" t="s">
        <v>5902</v>
      </c>
      <c r="X765" s="986">
        <f>OBRA!AR767</f>
        <v>179958.37</v>
      </c>
      <c r="Y765" s="309"/>
      <c r="Z765" s="309"/>
      <c r="AA765" s="5"/>
      <c r="AB765" s="313"/>
      <c r="AC765" s="317"/>
      <c r="AD765" s="352"/>
      <c r="AE765" s="352"/>
    </row>
    <row r="766" spans="1:31" ht="21" hidden="1" customHeight="1">
      <c r="A766" s="22" t="s">
        <v>2206</v>
      </c>
      <c r="B766" s="809">
        <f>GRAL!B1007</f>
        <v>0</v>
      </c>
      <c r="C766" s="16">
        <f>OBRA!J768</f>
        <v>2023</v>
      </c>
      <c r="D766" s="1415"/>
      <c r="E766" s="17">
        <f>OBRA!M768</f>
        <v>0</v>
      </c>
      <c r="F766" s="1170"/>
      <c r="G766" s="1108"/>
      <c r="H766" s="219"/>
      <c r="I766" s="1108"/>
      <c r="J766" s="54"/>
      <c r="K766" s="55"/>
      <c r="L766" s="19" t="str">
        <f>OBRA!N768</f>
        <v>GMJ 031C OP/2023</v>
      </c>
      <c r="M766" s="2" t="str">
        <f>OBRA!O768</f>
        <v>CANCELADA</v>
      </c>
      <c r="N766" s="3">
        <f>OBRA!P768</f>
        <v>0</v>
      </c>
      <c r="O766" s="541"/>
      <c r="P766" s="6">
        <f>OBRA!S768</f>
        <v>0</v>
      </c>
      <c r="Q766" s="4">
        <f>OBRA!R768</f>
        <v>0</v>
      </c>
      <c r="R766" s="5">
        <f>OBRA!T768</f>
        <v>0</v>
      </c>
      <c r="S766" s="11">
        <f>OBRA!U768</f>
        <v>0</v>
      </c>
      <c r="T766" s="692"/>
      <c r="U766" s="203"/>
      <c r="V766" s="508"/>
      <c r="W766" s="509"/>
      <c r="X766" s="534">
        <f>OBRA!AR768</f>
        <v>0</v>
      </c>
      <c r="Y766" s="309"/>
      <c r="Z766" s="309"/>
      <c r="AA766" s="5"/>
      <c r="AB766" s="313"/>
      <c r="AC766" s="317">
        <f>OBRA!BW768</f>
        <v>0</v>
      </c>
      <c r="AD766" s="352"/>
      <c r="AE766" s="352"/>
    </row>
    <row r="767" spans="1:31" ht="86.25" customHeight="1">
      <c r="A767" s="22" t="s">
        <v>2206</v>
      </c>
      <c r="B767" s="809" t="str">
        <f>GRAL!B769</f>
        <v>2021-2024</v>
      </c>
      <c r="C767" s="16">
        <f>OBRA!J769</f>
        <v>2023</v>
      </c>
      <c r="D767" s="1415"/>
      <c r="E767" s="17" t="str">
        <f>OBRA!M769</f>
        <v xml:space="preserve">FORTAMUN </v>
      </c>
      <c r="F767" s="478" t="s">
        <v>1428</v>
      </c>
      <c r="G767" s="496" t="s">
        <v>6139</v>
      </c>
      <c r="H767" s="495" t="s">
        <v>6139</v>
      </c>
      <c r="I767" s="496" t="s">
        <v>6139</v>
      </c>
      <c r="J767" s="54" t="str">
        <f>OBRA!W769</f>
        <v>URBANIZADORA Y PAVIMENTADORA MONLE, S.A. DE C.V.</v>
      </c>
      <c r="K767" s="55" t="str">
        <f>OBRA!X769</f>
        <v>C. DANIEL RODRIGUEZ VALENZUELA</v>
      </c>
      <c r="L767" s="33" t="str">
        <f>OBRA!N769</f>
        <v>GMJ 032C OP/2023</v>
      </c>
      <c r="M767" s="2" t="str">
        <f>OBRA!O769</f>
        <v>ADJUDICACIÓN DIRECTA</v>
      </c>
      <c r="N767" s="3" t="str">
        <f>OBRA!P769</f>
        <v>"REHABILITACIÓN DE LA UNIDAD DEPORTIVA DONATO GUERRA SUR", EN LA CABECERA MUNICIPAL DE JOCOTEPEC, JALISCO.</v>
      </c>
      <c r="O767" s="504" t="s">
        <v>6040</v>
      </c>
      <c r="P767" s="67">
        <f>OBRA!S769</f>
        <v>45275</v>
      </c>
      <c r="Q767" s="79">
        <f>OBRA!R769</f>
        <v>1060774.83</v>
      </c>
      <c r="R767" s="5">
        <f>OBRA!T769</f>
        <v>45278</v>
      </c>
      <c r="S767" s="11">
        <f>OBRA!U769</f>
        <v>45322</v>
      </c>
      <c r="T767" s="1352" t="s">
        <v>3816</v>
      </c>
      <c r="U767" s="206"/>
      <c r="V767" s="499" t="s">
        <v>6139</v>
      </c>
      <c r="W767" s="597" t="s">
        <v>6139</v>
      </c>
      <c r="X767" s="986">
        <f>OBRA!AR769</f>
        <v>212154.96</v>
      </c>
      <c r="Y767" s="309"/>
      <c r="Z767" s="309"/>
      <c r="AA767" s="5"/>
      <c r="AB767" s="313"/>
      <c r="AC767" s="317"/>
      <c r="AD767" s="352"/>
      <c r="AE767" s="352"/>
    </row>
    <row r="768" spans="1:31" ht="21" hidden="1" customHeight="1">
      <c r="A768" s="22" t="s">
        <v>2206</v>
      </c>
      <c r="B768" s="809">
        <f>GRAL!B1009</f>
        <v>0</v>
      </c>
      <c r="C768" s="16">
        <f>OBRA!J770</f>
        <v>2024</v>
      </c>
      <c r="D768" s="1415"/>
      <c r="E768" s="17" t="str">
        <f>OBRA!M770</f>
        <v>RAMO 23</v>
      </c>
      <c r="F768" s="1170"/>
      <c r="G768" s="1108"/>
      <c r="H768" s="219"/>
      <c r="I768" s="1108"/>
      <c r="J768" s="54"/>
      <c r="K768" s="55"/>
      <c r="L768" s="19" t="str">
        <f>OBRA!N770</f>
        <v>-</v>
      </c>
      <c r="M768" s="2" t="str">
        <f>OBRA!O770</f>
        <v>CONVENIO</v>
      </c>
      <c r="N768" s="3" t="str">
        <f>OBRA!P770</f>
        <v>PAVIMENTACIÓN EN EL MUNICIPIO DE JOCOTEPEC</v>
      </c>
      <c r="O768" s="541"/>
      <c r="P768" s="6" t="str">
        <f>OBRA!S770</f>
        <v>-</v>
      </c>
      <c r="Q768" s="4">
        <f>OBRA!R770</f>
        <v>0</v>
      </c>
      <c r="R768" s="5">
        <f>OBRA!T770</f>
        <v>0</v>
      </c>
      <c r="S768" s="11">
        <f>OBRA!U770</f>
        <v>0</v>
      </c>
      <c r="T768" s="692"/>
      <c r="U768" s="203"/>
      <c r="V768" s="508"/>
      <c r="W768" s="509"/>
      <c r="X768" s="534">
        <f>OBRA!AR770</f>
        <v>0</v>
      </c>
      <c r="Y768" s="309"/>
      <c r="Z768" s="309"/>
      <c r="AA768" s="5"/>
      <c r="AB768" s="313"/>
      <c r="AC768" s="317">
        <f>OBRA!BW770</f>
        <v>0</v>
      </c>
      <c r="AD768" s="352"/>
      <c r="AE768" s="352"/>
    </row>
    <row r="769" spans="1:31" ht="21" hidden="1" customHeight="1">
      <c r="A769" s="22" t="s">
        <v>2206</v>
      </c>
      <c r="B769" s="809">
        <f>GRAL!B1010</f>
        <v>0</v>
      </c>
      <c r="C769" s="16">
        <f>OBRA!J771</f>
        <v>2024</v>
      </c>
      <c r="D769" s="1415"/>
      <c r="E769" s="17" t="str">
        <f>OBRA!M771</f>
        <v>CUENTA CORRIENTE</v>
      </c>
      <c r="F769" s="1170"/>
      <c r="G769" s="1108"/>
      <c r="H769" s="219"/>
      <c r="I769" s="1108"/>
      <c r="J769" s="54"/>
      <c r="K769" s="55"/>
      <c r="L769" s="33" t="str">
        <f>OBRA!N771</f>
        <v>CPSP DOP 001/2024</v>
      </c>
      <c r="M769" s="2" t="str">
        <f>OBRA!O771</f>
        <v>SERVICIOS</v>
      </c>
      <c r="N769" s="3" t="str">
        <f>OBRA!P771</f>
        <v>CONTRATACIÓN DE SERVICIOS PARA REALIZACIÓN DE: UN VIDEO INSPECCIÓN INTERIOR PARA CONOCERSU ESTATUS Y ESTRUCTURA DEL POZO UBICADO EN EL ATRIO DE LA PARROQUÍA DEL SR. DEL MONTE, EN LA CABECERA MUNICIPAL DE JOCOTEPEC, JALISCO.</v>
      </c>
      <c r="O769" s="541"/>
      <c r="P769" s="6">
        <f>OBRA!S771</f>
        <v>45293</v>
      </c>
      <c r="Q769" s="4">
        <f>OBRA!R771</f>
        <v>9222</v>
      </c>
      <c r="R769" s="5">
        <f>OBRA!T771</f>
        <v>45294</v>
      </c>
      <c r="S769" s="11">
        <f>OBRA!U771</f>
        <v>45295</v>
      </c>
      <c r="T769" s="692"/>
      <c r="U769" s="203"/>
      <c r="V769" s="508"/>
      <c r="W769" s="509"/>
      <c r="X769" s="534">
        <f>OBRA!AR771</f>
        <v>0</v>
      </c>
      <c r="Y769" s="309"/>
      <c r="Z769" s="309"/>
      <c r="AA769" s="5"/>
      <c r="AB769" s="313"/>
      <c r="AC769" s="317">
        <f>OBRA!BW771</f>
        <v>0</v>
      </c>
      <c r="AD769" s="352"/>
      <c r="AE769" s="352"/>
    </row>
    <row r="770" spans="1:31" ht="21" hidden="1" customHeight="1">
      <c r="A770" s="22" t="s">
        <v>2206</v>
      </c>
      <c r="B770" s="809">
        <f>GRAL!B1011</f>
        <v>0</v>
      </c>
      <c r="C770" s="16">
        <f>OBRA!J772</f>
        <v>2024</v>
      </c>
      <c r="D770" s="1415"/>
      <c r="E770" s="17" t="str">
        <f>OBRA!M772</f>
        <v>CUENTA CORRIENTE</v>
      </c>
      <c r="F770" s="1170"/>
      <c r="G770" s="1108"/>
      <c r="H770" s="219"/>
      <c r="I770" s="1108"/>
      <c r="J770" s="54"/>
      <c r="K770" s="55"/>
      <c r="L770" s="33" t="str">
        <f>OBRA!N772</f>
        <v>CPSP DOP 002/2024</v>
      </c>
      <c r="M770" s="2" t="str">
        <f>OBRA!O772</f>
        <v>SERVICIOS</v>
      </c>
      <c r="N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1"/>
      <c r="P770" s="6">
        <f>OBRA!S772</f>
        <v>45293</v>
      </c>
      <c r="Q770" s="4">
        <f>OBRA!R772</f>
        <v>23200</v>
      </c>
      <c r="R770" s="5">
        <f>OBRA!T772</f>
        <v>45293</v>
      </c>
      <c r="S770" s="11">
        <f>OBRA!U772</f>
        <v>45294</v>
      </c>
      <c r="T770" s="692"/>
      <c r="U770" s="203"/>
      <c r="V770" s="508"/>
      <c r="W770" s="509"/>
      <c r="X770" s="534">
        <f>OBRA!AR772</f>
        <v>0</v>
      </c>
      <c r="Y770" s="309"/>
      <c r="Z770" s="309"/>
      <c r="AA770" s="5"/>
      <c r="AB770" s="313"/>
      <c r="AC770" s="317">
        <f>OBRA!BW772</f>
        <v>0</v>
      </c>
      <c r="AD770" s="352"/>
      <c r="AE770" s="352"/>
    </row>
    <row r="771" spans="1:31" ht="21" hidden="1" customHeight="1">
      <c r="A771" s="22" t="s">
        <v>2206</v>
      </c>
      <c r="B771" s="809">
        <f>GRAL!B1012</f>
        <v>0</v>
      </c>
      <c r="C771" s="16">
        <f>OBRA!J773</f>
        <v>2024</v>
      </c>
      <c r="D771" s="1415"/>
      <c r="E771" s="17" t="str">
        <f>OBRA!M773</f>
        <v>CUENTA CORRIENTE</v>
      </c>
      <c r="F771" s="1170"/>
      <c r="G771" s="1108"/>
      <c r="H771" s="219"/>
      <c r="I771" s="1108"/>
      <c r="J771" s="54"/>
      <c r="K771" s="55"/>
      <c r="L771" s="33" t="str">
        <f>OBRA!N773</f>
        <v>CPSP DOP 003/2024</v>
      </c>
      <c r="M771" s="2" t="str">
        <f>OBRA!O773</f>
        <v>SERVICIOS</v>
      </c>
      <c r="N771" s="3" t="str">
        <f>OBRA!P773</f>
        <v>CONTRATACIÓN DE SERVICIOS PROFESIONALES: PARA REUBICACIÓN Y LEVANTAMIENTO DE LA BAJA TENSIÓN EN CALLE PLAYAS DEL SOL, EN LA LOCALIDAD DE CHANTEPEC, MUNICIPIO DE JOCOTEPEC, JALISCO</v>
      </c>
      <c r="O771" s="541"/>
      <c r="P771" s="6">
        <f>OBRA!S773</f>
        <v>45308</v>
      </c>
      <c r="Q771" s="4">
        <f>OBRA!R773</f>
        <v>33325.64</v>
      </c>
      <c r="R771" s="5">
        <f>OBRA!T773</f>
        <v>45309</v>
      </c>
      <c r="S771" s="11">
        <f>OBRA!U773</f>
        <v>45315</v>
      </c>
      <c r="T771" s="692"/>
      <c r="U771" s="203"/>
      <c r="V771" s="508"/>
      <c r="W771" s="509"/>
      <c r="X771" s="534">
        <f>OBRA!AR773</f>
        <v>0</v>
      </c>
      <c r="Y771" s="309"/>
      <c r="Z771" s="309"/>
      <c r="AA771" s="5"/>
      <c r="AB771" s="313"/>
      <c r="AC771" s="317">
        <f>OBRA!BW773</f>
        <v>0</v>
      </c>
      <c r="AD771" s="352"/>
      <c r="AE771" s="352"/>
    </row>
    <row r="772" spans="1:31" ht="21" hidden="1" customHeight="1">
      <c r="A772" s="22" t="s">
        <v>2206</v>
      </c>
      <c r="B772" s="809">
        <f>GRAL!B1013</f>
        <v>0</v>
      </c>
      <c r="C772" s="16">
        <f>OBRA!J774</f>
        <v>2024</v>
      </c>
      <c r="D772" s="1415"/>
      <c r="E772" s="17" t="str">
        <f>OBRA!M774</f>
        <v>CUENTA CORRIENTE</v>
      </c>
      <c r="F772" s="1170"/>
      <c r="G772" s="1108"/>
      <c r="H772" s="219"/>
      <c r="I772" s="1108"/>
      <c r="J772" s="54"/>
      <c r="K772" s="55"/>
      <c r="L772" s="33" t="str">
        <f>OBRA!N774</f>
        <v>CPSP DOP 004/2024</v>
      </c>
      <c r="M772" s="2" t="str">
        <f>OBRA!O774</f>
        <v>SERVICIOS</v>
      </c>
      <c r="N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1"/>
      <c r="P772" s="6">
        <f>OBRA!S774</f>
        <v>45296</v>
      </c>
      <c r="Q772" s="4">
        <f>OBRA!R774</f>
        <v>25520</v>
      </c>
      <c r="R772" s="5">
        <f>OBRA!T774</f>
        <v>45299</v>
      </c>
      <c r="S772" s="11">
        <f>OBRA!U774</f>
        <v>45300</v>
      </c>
      <c r="T772" s="692"/>
      <c r="U772" s="203"/>
      <c r="V772" s="508"/>
      <c r="W772" s="509"/>
      <c r="X772" s="534">
        <f>OBRA!AR774</f>
        <v>0</v>
      </c>
      <c r="Y772" s="309"/>
      <c r="Z772" s="309"/>
      <c r="AA772" s="5"/>
      <c r="AB772" s="313"/>
      <c r="AC772" s="317">
        <f>OBRA!BW774</f>
        <v>0</v>
      </c>
      <c r="AD772" s="352"/>
      <c r="AE772" s="352"/>
    </row>
    <row r="773" spans="1:31" ht="21" hidden="1" customHeight="1">
      <c r="A773" s="22" t="s">
        <v>2206</v>
      </c>
      <c r="B773" s="809">
        <f>GRAL!B1014</f>
        <v>0</v>
      </c>
      <c r="C773" s="16">
        <f>OBRA!J775</f>
        <v>2024</v>
      </c>
      <c r="D773" s="1415"/>
      <c r="E773" s="17" t="str">
        <f>OBRA!M775</f>
        <v>CUENTA CORRIENTE</v>
      </c>
      <c r="F773" s="1170"/>
      <c r="G773" s="1108"/>
      <c r="H773" s="219"/>
      <c r="I773" s="1108"/>
      <c r="J773" s="54"/>
      <c r="K773" s="55"/>
      <c r="L773" s="33" t="str">
        <f>OBRA!N775</f>
        <v>CPSP DOP 005/2024</v>
      </c>
      <c r="M773" s="2" t="str">
        <f>OBRA!O775</f>
        <v>SERVICIOS</v>
      </c>
      <c r="N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1"/>
      <c r="P773" s="6">
        <f>OBRA!S775</f>
        <v>45348</v>
      </c>
      <c r="Q773" s="4">
        <f>OBRA!R775</f>
        <v>69600</v>
      </c>
      <c r="R773" s="5">
        <f>OBRA!T775</f>
        <v>45349</v>
      </c>
      <c r="S773" s="11">
        <f>OBRA!U775</f>
        <v>45352</v>
      </c>
      <c r="T773" s="692"/>
      <c r="U773" s="203"/>
      <c r="V773" s="508"/>
      <c r="W773" s="509"/>
      <c r="X773" s="534">
        <f>OBRA!AR775</f>
        <v>0</v>
      </c>
      <c r="Y773" s="309"/>
      <c r="Z773" s="309"/>
      <c r="AA773" s="5"/>
      <c r="AB773" s="313"/>
      <c r="AC773" s="317">
        <f>OBRA!BW775</f>
        <v>0</v>
      </c>
      <c r="AD773" s="352"/>
      <c r="AE773" s="352"/>
    </row>
    <row r="774" spans="1:31" ht="21" hidden="1" customHeight="1">
      <c r="A774" s="22" t="s">
        <v>2206</v>
      </c>
      <c r="B774" s="809">
        <f>GRAL!B1015</f>
        <v>0</v>
      </c>
      <c r="C774" s="16">
        <f>OBRA!J776</f>
        <v>2024</v>
      </c>
      <c r="D774" s="1415"/>
      <c r="E774" s="17" t="str">
        <f>OBRA!M776</f>
        <v>CUENTA CORRIENTE</v>
      </c>
      <c r="F774" s="1170"/>
      <c r="G774" s="1108"/>
      <c r="H774" s="219"/>
      <c r="I774" s="1108"/>
      <c r="J774" s="54"/>
      <c r="K774" s="55"/>
      <c r="L774" s="33" t="str">
        <f>OBRA!N776</f>
        <v>CPSP DOP 006/2024</v>
      </c>
      <c r="M774" s="2" t="str">
        <f>OBRA!O776</f>
        <v>SERVICIOS</v>
      </c>
      <c r="N774" s="3" t="str">
        <f>OBRA!P776</f>
        <v>CONTRATACIÓN DE SERVICIOS PROFESIONALES PARA REUBICACIÓN DE ACOMETIDA AÉREA DE CFE DE LOS LOCALES DE LOS PORTALES Y MOVIMIENTO DE FIBRA ÓPTICA EN LA CALLE MIGUEL ARANA, MUNICIPIO DE JOCOTEPEC, JALISCO.</v>
      </c>
      <c r="O774" s="541"/>
      <c r="P774" s="6">
        <f>OBRA!S776</f>
        <v>45362</v>
      </c>
      <c r="Q774" s="4">
        <f>OBRA!R776</f>
        <v>9048</v>
      </c>
      <c r="R774" s="5">
        <f>OBRA!T776</f>
        <v>45363</v>
      </c>
      <c r="S774" s="11">
        <f>OBRA!U776</f>
        <v>45365</v>
      </c>
      <c r="T774" s="692"/>
      <c r="U774" s="203"/>
      <c r="V774" s="508"/>
      <c r="W774" s="509"/>
      <c r="X774" s="534">
        <f>OBRA!AR776</f>
        <v>0</v>
      </c>
      <c r="Y774" s="309"/>
      <c r="Z774" s="309"/>
      <c r="AA774" s="5"/>
      <c r="AB774" s="313"/>
      <c r="AC774" s="317">
        <f>OBRA!BW776</f>
        <v>0</v>
      </c>
      <c r="AD774" s="352"/>
      <c r="AE774" s="352"/>
    </row>
    <row r="775" spans="1:31" ht="21" hidden="1" customHeight="1">
      <c r="A775" s="22" t="s">
        <v>2206</v>
      </c>
      <c r="B775" s="809">
        <f>GRAL!B1016</f>
        <v>0</v>
      </c>
      <c r="C775" s="16">
        <f>OBRA!J777</f>
        <v>2024</v>
      </c>
      <c r="D775" s="1415"/>
      <c r="E775" s="17" t="str">
        <f>OBRA!M777</f>
        <v>CUENTA CORRIENTE</v>
      </c>
      <c r="F775" s="1170"/>
      <c r="G775" s="1108"/>
      <c r="H775" s="219"/>
      <c r="I775" s="1108"/>
      <c r="J775" s="54"/>
      <c r="K775" s="55"/>
      <c r="L775" s="33" t="str">
        <f>OBRA!N777</f>
        <v>CPSP DOP 007/2024</v>
      </c>
      <c r="M775" s="2" t="str">
        <f>OBRA!O777</f>
        <v>SERVICIOS</v>
      </c>
      <c r="N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1"/>
      <c r="P775" s="6">
        <f>OBRA!S777</f>
        <v>45363</v>
      </c>
      <c r="Q775" s="4">
        <f>OBRA!R777</f>
        <v>5800</v>
      </c>
      <c r="R775" s="5">
        <f>OBRA!T777</f>
        <v>45365</v>
      </c>
      <c r="S775" s="11">
        <f>OBRA!U777</f>
        <v>45365</v>
      </c>
      <c r="T775" s="692"/>
      <c r="U775" s="203"/>
      <c r="V775" s="508"/>
      <c r="W775" s="509"/>
      <c r="X775" s="534">
        <f>OBRA!AR777</f>
        <v>0</v>
      </c>
      <c r="Y775" s="309"/>
      <c r="Z775" s="309"/>
      <c r="AA775" s="5"/>
      <c r="AB775" s="313"/>
      <c r="AC775" s="317">
        <f>OBRA!BW777</f>
        <v>0</v>
      </c>
      <c r="AD775" s="352"/>
      <c r="AE775" s="352"/>
    </row>
    <row r="776" spans="1:31" ht="21" hidden="1" customHeight="1">
      <c r="A776" s="22" t="s">
        <v>2206</v>
      </c>
      <c r="B776" s="809">
        <f>GRAL!B1017</f>
        <v>0</v>
      </c>
      <c r="C776" s="16">
        <f>OBRA!J778</f>
        <v>2024</v>
      </c>
      <c r="D776" s="1415"/>
      <c r="E776" s="17" t="str">
        <f>OBRA!M778</f>
        <v>CUENTA CORRIENTE</v>
      </c>
      <c r="F776" s="1170"/>
      <c r="G776" s="1108"/>
      <c r="H776" s="219"/>
      <c r="I776" s="1108"/>
      <c r="J776" s="54"/>
      <c r="K776" s="55"/>
      <c r="L776" s="33" t="str">
        <f>OBRA!N778</f>
        <v>CPSP DOP 008/2024</v>
      </c>
      <c r="M776" s="2" t="str">
        <f>OBRA!O778</f>
        <v>SERVICIOS</v>
      </c>
      <c r="N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1"/>
      <c r="P776" s="6">
        <f>OBRA!S778</f>
        <v>45362</v>
      </c>
      <c r="Q776" s="4">
        <f>OBRA!R778</f>
        <v>77546</v>
      </c>
      <c r="R776" s="5">
        <f>OBRA!T778</f>
        <v>45363</v>
      </c>
      <c r="S776" s="11">
        <f>OBRA!U778</f>
        <v>45364</v>
      </c>
      <c r="T776" s="692"/>
      <c r="U776" s="203"/>
      <c r="V776" s="508"/>
      <c r="W776" s="509"/>
      <c r="X776" s="534">
        <f>OBRA!AR778</f>
        <v>0</v>
      </c>
      <c r="Y776" s="309"/>
      <c r="Z776" s="309"/>
      <c r="AA776" s="5"/>
      <c r="AB776" s="313"/>
      <c r="AC776" s="317">
        <f>OBRA!BW778</f>
        <v>0</v>
      </c>
      <c r="AD776" s="352"/>
      <c r="AE776" s="352"/>
    </row>
    <row r="777" spans="1:31" ht="21" hidden="1" customHeight="1">
      <c r="A777" s="22" t="s">
        <v>2206</v>
      </c>
      <c r="B777" s="809">
        <f>GRAL!B1018</f>
        <v>0</v>
      </c>
      <c r="C777" s="16">
        <f>OBRA!J779</f>
        <v>2024</v>
      </c>
      <c r="D777" s="1415"/>
      <c r="E777" s="17" t="str">
        <f>OBRA!M779</f>
        <v>CUENTA CORRIENTE</v>
      </c>
      <c r="F777" s="1170"/>
      <c r="G777" s="1108"/>
      <c r="H777" s="219"/>
      <c r="I777" s="1108"/>
      <c r="J777" s="54"/>
      <c r="K777" s="55"/>
      <c r="L777" s="33" t="str">
        <f>OBRA!N779</f>
        <v>CPSP DOP 009/2024</v>
      </c>
      <c r="M777" s="2" t="str">
        <f>OBRA!O779</f>
        <v>SERVICIOS</v>
      </c>
      <c r="N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1"/>
      <c r="P777" s="6">
        <f>OBRA!S779</f>
        <v>45369</v>
      </c>
      <c r="Q777" s="4">
        <f>OBRA!R779</f>
        <v>61479.999999999993</v>
      </c>
      <c r="R777" s="5">
        <f>OBRA!T779</f>
        <v>45370</v>
      </c>
      <c r="S777" s="11">
        <f>OBRA!U779</f>
        <v>45372</v>
      </c>
      <c r="T777" s="692"/>
      <c r="U777" s="203"/>
      <c r="V777" s="508"/>
      <c r="W777" s="509"/>
      <c r="X777" s="534">
        <f>OBRA!AR779</f>
        <v>0</v>
      </c>
      <c r="Y777" s="309"/>
      <c r="Z777" s="309"/>
      <c r="AA777" s="5"/>
      <c r="AB777" s="313"/>
      <c r="AC777" s="317">
        <f>OBRA!BW779</f>
        <v>0</v>
      </c>
      <c r="AD777" s="352"/>
      <c r="AE777" s="352"/>
    </row>
    <row r="778" spans="1:31" ht="21" hidden="1" customHeight="1">
      <c r="A778" s="22" t="s">
        <v>2206</v>
      </c>
      <c r="B778" s="809">
        <f>GRAL!B1019</f>
        <v>0</v>
      </c>
      <c r="C778" s="16">
        <f>OBRA!J780</f>
        <v>2024</v>
      </c>
      <c r="D778" s="1415"/>
      <c r="E778" s="17" t="str">
        <f>OBRA!M780</f>
        <v>CUENTA CORRIENTE</v>
      </c>
      <c r="F778" s="1170"/>
      <c r="G778" s="1108"/>
      <c r="H778" s="219"/>
      <c r="I778" s="1108"/>
      <c r="J778" s="54"/>
      <c r="K778" s="55"/>
      <c r="L778" s="33" t="str">
        <f>OBRA!N780</f>
        <v>CPSP DOP 010/2024</v>
      </c>
      <c r="M778" s="2" t="str">
        <f>OBRA!O780</f>
        <v>SERVICIOS</v>
      </c>
      <c r="N778" s="3" t="str">
        <f>OBRA!P780</f>
        <v>CONTRATACIÓN DE SERVICIOS PROFEFESIONALES PARA: ALIMENTACIÓN ELÉCTRICA DE BASE 7-200 A PASTILLA GENERAL DEL POZO DE AGUA POTABLE UBICADO EN PRIV. GUADALUPE VICTORIA, EN LA LOCALIDAD DE SAN JUAN COSALÁ,  MUNICIPIO DE JOCOTEPEC, JALISCO.</v>
      </c>
      <c r="O778" s="541"/>
      <c r="P778" s="6">
        <f>OBRA!S780</f>
        <v>45370</v>
      </c>
      <c r="Q778" s="4">
        <f>OBRA!R780</f>
        <v>47923.079999999994</v>
      </c>
      <c r="R778" s="5">
        <f>OBRA!T780</f>
        <v>45372</v>
      </c>
      <c r="S778" s="11">
        <f>OBRA!U780</f>
        <v>45376</v>
      </c>
      <c r="T778" s="692"/>
      <c r="U778" s="203"/>
      <c r="V778" s="508"/>
      <c r="W778" s="509"/>
      <c r="X778" s="534">
        <f>OBRA!AR780</f>
        <v>0</v>
      </c>
      <c r="Y778" s="309"/>
      <c r="Z778" s="309"/>
      <c r="AA778" s="5"/>
      <c r="AB778" s="313"/>
      <c r="AC778" s="317">
        <f>OBRA!BW780</f>
        <v>0</v>
      </c>
      <c r="AD778" s="352"/>
      <c r="AE778" s="352"/>
    </row>
    <row r="779" spans="1:31" ht="21" hidden="1" customHeight="1">
      <c r="A779" s="22" t="s">
        <v>2206</v>
      </c>
      <c r="B779" s="809">
        <f>GRAL!B1020</f>
        <v>0</v>
      </c>
      <c r="C779" s="16">
        <f>OBRA!J781</f>
        <v>2024</v>
      </c>
      <c r="D779" s="1415"/>
      <c r="E779" s="17" t="str">
        <f>OBRA!M781</f>
        <v>CUENTA CORRIENTE</v>
      </c>
      <c r="F779" s="1170"/>
      <c r="G779" s="1108"/>
      <c r="H779" s="219"/>
      <c r="I779" s="1108"/>
      <c r="J779" s="54"/>
      <c r="K779" s="55"/>
      <c r="L779" s="33" t="str">
        <f>OBRA!N781</f>
        <v>CPSP DOP 011/2024</v>
      </c>
      <c r="M779" s="2" t="str">
        <f>OBRA!O781</f>
        <v>SERVICIOS</v>
      </c>
      <c r="N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1"/>
      <c r="P779" s="6">
        <f>OBRA!S781</f>
        <v>45383</v>
      </c>
      <c r="Q779" s="4">
        <f>OBRA!R781</f>
        <v>97208</v>
      </c>
      <c r="R779" s="5">
        <f>OBRA!T781</f>
        <v>45384</v>
      </c>
      <c r="S779" s="11">
        <f>OBRA!U781</f>
        <v>45386</v>
      </c>
      <c r="T779" s="692"/>
      <c r="U779" s="203"/>
      <c r="V779" s="508"/>
      <c r="W779" s="509"/>
      <c r="X779" s="534">
        <f>OBRA!AR781</f>
        <v>0</v>
      </c>
      <c r="Y779" s="309"/>
      <c r="Z779" s="309"/>
      <c r="AA779" s="5"/>
      <c r="AB779" s="313"/>
      <c r="AC779" s="317">
        <f>OBRA!BW781</f>
        <v>0</v>
      </c>
      <c r="AD779" s="352"/>
      <c r="AE779" s="352"/>
    </row>
    <row r="780" spans="1:31" ht="21" hidden="1" customHeight="1">
      <c r="A780" s="22" t="s">
        <v>2206</v>
      </c>
      <c r="B780" s="809">
        <f>GRAL!B1021</f>
        <v>0</v>
      </c>
      <c r="C780" s="16">
        <f>OBRA!J782</f>
        <v>2024</v>
      </c>
      <c r="D780" s="1415"/>
      <c r="E780" s="17" t="str">
        <f>OBRA!M782</f>
        <v>CUENTA CORRIENTE</v>
      </c>
      <c r="F780" s="1170"/>
      <c r="G780" s="1108"/>
      <c r="H780" s="219"/>
      <c r="I780" s="1108"/>
      <c r="J780" s="54"/>
      <c r="K780" s="55"/>
      <c r="L780" s="33" t="str">
        <f>OBRA!N782</f>
        <v>CPSP DOP 012/2024</v>
      </c>
      <c r="M780" s="2" t="str">
        <f>OBRA!O782</f>
        <v>SERVICIOS</v>
      </c>
      <c r="N780" s="3" t="str">
        <f>OBRA!P782</f>
        <v>"AFORO DE POZO PROFUNDO UBICADO EN CALLE MIGUEL ARANA CRUCE CON CALLE ALLENDE (ZONA CENTRO)", EN LA CABECERA MUNICIPAL DE JOCOTEPEC, JALISCO.</v>
      </c>
      <c r="O780" s="541"/>
      <c r="P780" s="6">
        <f>OBRA!S782</f>
        <v>45400</v>
      </c>
      <c r="Q780" s="4">
        <f>OBRA!R782</f>
        <v>174092.79999999999</v>
      </c>
      <c r="R780" s="5">
        <f>OBRA!T782</f>
        <v>45404</v>
      </c>
      <c r="S780" s="11">
        <f>OBRA!U782</f>
        <v>45408</v>
      </c>
      <c r="T780" s="692"/>
      <c r="U780" s="203"/>
      <c r="V780" s="508"/>
      <c r="W780" s="509"/>
      <c r="X780" s="534">
        <f>OBRA!AR782</f>
        <v>0</v>
      </c>
      <c r="Y780" s="309"/>
      <c r="Z780" s="309"/>
      <c r="AA780" s="5"/>
      <c r="AB780" s="313"/>
      <c r="AC780" s="317">
        <f>OBRA!BW782</f>
        <v>0</v>
      </c>
      <c r="AD780" s="352"/>
      <c r="AE780" s="352"/>
    </row>
    <row r="781" spans="1:31" ht="21" hidden="1" customHeight="1">
      <c r="A781" s="22" t="s">
        <v>2206</v>
      </c>
      <c r="B781" s="809">
        <f>GRAL!B1022</f>
        <v>0</v>
      </c>
      <c r="C781" s="16">
        <f>OBRA!J783</f>
        <v>2024</v>
      </c>
      <c r="D781" s="1415"/>
      <c r="E781" s="17" t="str">
        <f>OBRA!M783</f>
        <v>CUENTA CORRIENTE</v>
      </c>
      <c r="F781" s="1170"/>
      <c r="G781" s="1108"/>
      <c r="H781" s="219"/>
      <c r="I781" s="1108"/>
      <c r="J781" s="54"/>
      <c r="K781" s="55"/>
      <c r="L781" s="33" t="str">
        <f>OBRA!N783</f>
        <v>CPSP DOP 013/2024</v>
      </c>
      <c r="M781" s="2" t="str">
        <f>OBRA!O783</f>
        <v>SERVICIOS</v>
      </c>
      <c r="N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1"/>
      <c r="P781" s="6">
        <f>OBRA!S783</f>
        <v>45399</v>
      </c>
      <c r="Q781" s="4">
        <f>OBRA!R783</f>
        <v>6380</v>
      </c>
      <c r="R781" s="5">
        <f>OBRA!T783</f>
        <v>45400</v>
      </c>
      <c r="S781" s="11">
        <f>OBRA!U783</f>
        <v>45401</v>
      </c>
      <c r="T781" s="692"/>
      <c r="U781" s="203"/>
      <c r="V781" s="508"/>
      <c r="W781" s="509"/>
      <c r="X781" s="534">
        <f>OBRA!AR783</f>
        <v>0</v>
      </c>
      <c r="Y781" s="309"/>
      <c r="Z781" s="309"/>
      <c r="AA781" s="5"/>
      <c r="AB781" s="313"/>
      <c r="AC781" s="317">
        <f>OBRA!BW783</f>
        <v>0</v>
      </c>
      <c r="AD781" s="352"/>
      <c r="AE781" s="352"/>
    </row>
    <row r="782" spans="1:31" ht="21" hidden="1" customHeight="1">
      <c r="A782" s="22" t="s">
        <v>2206</v>
      </c>
      <c r="B782" s="809">
        <f>GRAL!B1023</f>
        <v>0</v>
      </c>
      <c r="C782" s="16">
        <f>OBRA!J784</f>
        <v>2024</v>
      </c>
      <c r="D782" s="1415"/>
      <c r="E782" s="17" t="str">
        <f>OBRA!M784</f>
        <v>CUENTA CORRIENTE</v>
      </c>
      <c r="F782" s="1170"/>
      <c r="G782" s="1108"/>
      <c r="H782" s="219"/>
      <c r="I782" s="1108"/>
      <c r="J782" s="54"/>
      <c r="K782" s="55"/>
      <c r="L782" s="33" t="str">
        <f>OBRA!N784</f>
        <v>CPSP DOP 014/2024</v>
      </c>
      <c r="M782" s="2" t="str">
        <f>OBRA!O784</f>
        <v>SERVICIOS</v>
      </c>
      <c r="N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1"/>
      <c r="P782" s="6">
        <f>OBRA!S784</f>
        <v>45397</v>
      </c>
      <c r="Q782" s="4">
        <f>OBRA!R784</f>
        <v>23200</v>
      </c>
      <c r="R782" s="5">
        <f>OBRA!T784</f>
        <v>45398</v>
      </c>
      <c r="S782" s="11">
        <f>OBRA!U784</f>
        <v>45401</v>
      </c>
      <c r="T782" s="692"/>
      <c r="U782" s="203"/>
      <c r="V782" s="508"/>
      <c r="W782" s="509"/>
      <c r="X782" s="534">
        <f>OBRA!AR784</f>
        <v>0</v>
      </c>
      <c r="Y782" s="309"/>
      <c r="Z782" s="309"/>
      <c r="AA782" s="5"/>
      <c r="AB782" s="313"/>
      <c r="AC782" s="317">
        <f>OBRA!BW784</f>
        <v>0</v>
      </c>
      <c r="AD782" s="352"/>
      <c r="AE782" s="352"/>
    </row>
    <row r="783" spans="1:31" ht="21" hidden="1" customHeight="1">
      <c r="A783" s="22" t="s">
        <v>2206</v>
      </c>
      <c r="B783" s="809">
        <f>GRAL!B1024</f>
        <v>0</v>
      </c>
      <c r="C783" s="16">
        <f>OBRA!J785</f>
        <v>2024</v>
      </c>
      <c r="D783" s="1415"/>
      <c r="E783" s="17" t="str">
        <f>OBRA!M785</f>
        <v>CUENTA CORRIENTE</v>
      </c>
      <c r="F783" s="1170"/>
      <c r="G783" s="1108"/>
      <c r="H783" s="219"/>
      <c r="I783" s="1108"/>
      <c r="J783" s="54"/>
      <c r="K783" s="55"/>
      <c r="L783" s="33" t="str">
        <f>OBRA!N785</f>
        <v>CPSP DOP 015/2024</v>
      </c>
      <c r="M783" s="2" t="str">
        <f>OBRA!O785</f>
        <v>SERVICIOS</v>
      </c>
      <c r="N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1"/>
      <c r="P783" s="6">
        <f>OBRA!S785</f>
        <v>45401</v>
      </c>
      <c r="Q783" s="4">
        <f>OBRA!R785</f>
        <v>6380</v>
      </c>
      <c r="R783" s="5">
        <f>OBRA!T785</f>
        <v>45405</v>
      </c>
      <c r="S783" s="11">
        <f>OBRA!U785</f>
        <v>45406</v>
      </c>
      <c r="T783" s="692"/>
      <c r="U783" s="203"/>
      <c r="V783" s="508"/>
      <c r="W783" s="509"/>
      <c r="X783" s="534">
        <f>OBRA!AR785</f>
        <v>0</v>
      </c>
      <c r="Y783" s="309"/>
      <c r="Z783" s="309"/>
      <c r="AA783" s="5"/>
      <c r="AB783" s="313"/>
      <c r="AC783" s="317">
        <f>OBRA!BW785</f>
        <v>0</v>
      </c>
      <c r="AD783" s="352"/>
      <c r="AE783" s="352"/>
    </row>
    <row r="784" spans="1:31" ht="21" hidden="1" customHeight="1">
      <c r="A784" s="22" t="s">
        <v>2206</v>
      </c>
      <c r="B784" s="809">
        <f>GRAL!B1025</f>
        <v>0</v>
      </c>
      <c r="C784" s="16">
        <f>OBRA!J786</f>
        <v>2024</v>
      </c>
      <c r="D784" s="1415"/>
      <c r="E784" s="17" t="str">
        <f>OBRA!M786</f>
        <v>CUENTA CORRIENTE</v>
      </c>
      <c r="F784" s="1170"/>
      <c r="G784" s="1108"/>
      <c r="H784" s="219"/>
      <c r="I784" s="1108"/>
      <c r="J784" s="54"/>
      <c r="K784" s="55"/>
      <c r="L784" s="33" t="str">
        <f>OBRA!N786</f>
        <v>CPSP DOP 016/2024</v>
      </c>
      <c r="M784" s="2" t="str">
        <f>OBRA!O786</f>
        <v>SERVICIOS</v>
      </c>
      <c r="N784" s="3" t="str">
        <f>OBRA!P786</f>
        <v>CONTRATACIÓN PARA REALIZAR: EL REGISTRO ELÉCTRICO EN POZO NUEVO DE AGUA POTABLE UBICADO EN CALLE MORELOS, EN LA CABECERA MUNICIPAL DE JOCTEPEC, JALISCO.</v>
      </c>
      <c r="O784" s="541"/>
      <c r="P784" s="6">
        <f>OBRA!S786</f>
        <v>45450</v>
      </c>
      <c r="Q784" s="4">
        <f>OBRA!R786</f>
        <v>19720</v>
      </c>
      <c r="R784" s="5">
        <f>OBRA!T786</f>
        <v>45453</v>
      </c>
      <c r="S784" s="11">
        <f>OBRA!U786</f>
        <v>45453</v>
      </c>
      <c r="T784" s="692"/>
      <c r="U784" s="203"/>
      <c r="V784" s="508"/>
      <c r="W784" s="509"/>
      <c r="X784" s="534">
        <f>OBRA!AR786</f>
        <v>0</v>
      </c>
      <c r="Y784" s="309"/>
      <c r="Z784" s="309"/>
      <c r="AA784" s="5"/>
      <c r="AB784" s="313"/>
      <c r="AC784" s="317">
        <f>OBRA!BW786</f>
        <v>0</v>
      </c>
      <c r="AD784" s="352"/>
      <c r="AE784" s="352"/>
    </row>
    <row r="785" spans="1:31" ht="21" hidden="1" customHeight="1">
      <c r="A785" s="22" t="s">
        <v>2206</v>
      </c>
      <c r="B785" s="809">
        <f>GRAL!B1026</f>
        <v>0</v>
      </c>
      <c r="C785" s="16">
        <f>OBRA!J787</f>
        <v>2024</v>
      </c>
      <c r="D785" s="1415"/>
      <c r="E785" s="17" t="str">
        <f>OBRA!M787</f>
        <v>CUENTA CORRIENTE</v>
      </c>
      <c r="F785" s="1170"/>
      <c r="G785" s="1108"/>
      <c r="H785" s="219"/>
      <c r="I785" s="1108"/>
      <c r="J785" s="54"/>
      <c r="K785" s="55"/>
      <c r="L785" s="33" t="str">
        <f>OBRA!N787</f>
        <v>CPSP DOP 017/2024</v>
      </c>
      <c r="M785" s="2" t="str">
        <f>OBRA!O787</f>
        <v>SERVICIOS</v>
      </c>
      <c r="N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1"/>
      <c r="P785" s="6">
        <f>OBRA!S787</f>
        <v>45456</v>
      </c>
      <c r="Q785" s="4">
        <f>OBRA!R787</f>
        <v>85747.199999999997</v>
      </c>
      <c r="R785" s="5">
        <f>OBRA!T787</f>
        <v>45460</v>
      </c>
      <c r="S785" s="11">
        <f>OBRA!U787</f>
        <v>45471</v>
      </c>
      <c r="T785" s="692"/>
      <c r="U785" s="203"/>
      <c r="V785" s="508"/>
      <c r="W785" s="509"/>
      <c r="X785" s="534">
        <f>OBRA!AR787</f>
        <v>0</v>
      </c>
      <c r="Y785" s="309"/>
      <c r="Z785" s="309"/>
      <c r="AA785" s="5"/>
      <c r="AB785" s="313"/>
      <c r="AC785" s="317">
        <f>OBRA!BW787</f>
        <v>0</v>
      </c>
      <c r="AD785" s="352"/>
      <c r="AE785" s="352"/>
    </row>
    <row r="786" spans="1:31" ht="21" hidden="1" customHeight="1">
      <c r="A786" s="22" t="s">
        <v>2206</v>
      </c>
      <c r="B786" s="809">
        <f>GRAL!B1027</f>
        <v>0</v>
      </c>
      <c r="C786" s="16">
        <f>OBRA!J788</f>
        <v>2024</v>
      </c>
      <c r="D786" s="1415"/>
      <c r="E786" s="17" t="str">
        <f>OBRA!M788</f>
        <v>CUENTA CORRIENTE</v>
      </c>
      <c r="F786" s="1170"/>
      <c r="G786" s="1108"/>
      <c r="H786" s="219"/>
      <c r="I786" s="1108"/>
      <c r="J786" s="54"/>
      <c r="K786" s="55"/>
      <c r="L786" s="33" t="str">
        <f>OBRA!N788</f>
        <v>CPSP DOP 018/2024</v>
      </c>
      <c r="M786" s="2" t="str">
        <f>OBRA!O788</f>
        <v>SERVICIOS</v>
      </c>
      <c r="N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1"/>
      <c r="P786" s="6">
        <f>OBRA!S788</f>
        <v>45443</v>
      </c>
      <c r="Q786" s="4">
        <f>OBRA!R788</f>
        <v>39770</v>
      </c>
      <c r="R786" s="5">
        <f>OBRA!T788</f>
        <v>45444</v>
      </c>
      <c r="S786" s="11">
        <f>OBRA!U788</f>
        <v>45451</v>
      </c>
      <c r="T786" s="692"/>
      <c r="U786" s="203"/>
      <c r="V786" s="508"/>
      <c r="W786" s="509"/>
      <c r="X786" s="534">
        <f>OBRA!AR788</f>
        <v>0</v>
      </c>
      <c r="Y786" s="309"/>
      <c r="Z786" s="309"/>
      <c r="AA786" s="5"/>
      <c r="AB786" s="313"/>
      <c r="AC786" s="317">
        <f>OBRA!BW788</f>
        <v>0</v>
      </c>
      <c r="AD786" s="352"/>
      <c r="AE786" s="352"/>
    </row>
    <row r="787" spans="1:31" ht="21" hidden="1" customHeight="1">
      <c r="A787" s="22" t="s">
        <v>2206</v>
      </c>
      <c r="B787" s="809">
        <f>GRAL!B1028</f>
        <v>0</v>
      </c>
      <c r="C787" s="16">
        <f>OBRA!J789</f>
        <v>2024</v>
      </c>
      <c r="D787" s="1415"/>
      <c r="E787" s="17" t="str">
        <f>OBRA!M789</f>
        <v>CUENTA CORRIENTE</v>
      </c>
      <c r="F787" s="1170"/>
      <c r="G787" s="1108"/>
      <c r="H787" s="219"/>
      <c r="I787" s="1108"/>
      <c r="J787" s="54"/>
      <c r="K787" s="55"/>
      <c r="L787" s="33" t="str">
        <f>OBRA!N789</f>
        <v>CPSP DOP 019/2024</v>
      </c>
      <c r="M787" s="2" t="str">
        <f>OBRA!O789</f>
        <v>SERVICIOS</v>
      </c>
      <c r="N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1"/>
      <c r="P787" s="6">
        <f>OBRA!S789</f>
        <v>45450</v>
      </c>
      <c r="Q787" s="4">
        <f>OBRA!R789</f>
        <v>46080</v>
      </c>
      <c r="R787" s="5">
        <f>OBRA!T789</f>
        <v>45452</v>
      </c>
      <c r="S787" s="11">
        <f>OBRA!U789</f>
        <v>45463</v>
      </c>
      <c r="T787" s="692"/>
      <c r="U787" s="203"/>
      <c r="V787" s="508"/>
      <c r="W787" s="509"/>
      <c r="X787" s="534">
        <f>OBRA!AR789</f>
        <v>0</v>
      </c>
      <c r="Y787" s="309"/>
      <c r="Z787" s="309"/>
      <c r="AA787" s="5"/>
      <c r="AB787" s="313"/>
      <c r="AC787" s="317">
        <f>OBRA!BW789</f>
        <v>0</v>
      </c>
      <c r="AD787" s="352"/>
      <c r="AE787" s="352"/>
    </row>
    <row r="788" spans="1:31" ht="21" hidden="1" customHeight="1">
      <c r="A788" s="22" t="s">
        <v>2206</v>
      </c>
      <c r="B788" s="809">
        <f>GRAL!B1029</f>
        <v>0</v>
      </c>
      <c r="C788" s="16">
        <f>OBRA!J790</f>
        <v>2024</v>
      </c>
      <c r="D788" s="1415"/>
      <c r="E788" s="17" t="str">
        <f>OBRA!M790</f>
        <v>CUENTA CORRIENTE</v>
      </c>
      <c r="F788" s="1170"/>
      <c r="G788" s="1108"/>
      <c r="H788" s="219"/>
      <c r="I788" s="1108"/>
      <c r="J788" s="54"/>
      <c r="K788" s="55"/>
      <c r="L788" s="33" t="str">
        <f>OBRA!N790</f>
        <v>CPSP DOP 020/2024</v>
      </c>
      <c r="M788" s="2" t="str">
        <f>OBRA!O790</f>
        <v>SERVICIOS</v>
      </c>
      <c r="N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1"/>
      <c r="P788" s="6">
        <f>OBRA!S790</f>
        <v>45469</v>
      </c>
      <c r="Q788" s="4">
        <f>OBRA!R790</f>
        <v>30159.999999999996</v>
      </c>
      <c r="R788" s="5">
        <f>OBRA!T790</f>
        <v>45470</v>
      </c>
      <c r="S788" s="11">
        <f>OBRA!U790</f>
        <v>45474</v>
      </c>
      <c r="T788" s="692"/>
      <c r="U788" s="203"/>
      <c r="V788" s="508"/>
      <c r="W788" s="509"/>
      <c r="X788" s="534">
        <f>OBRA!AR790</f>
        <v>0</v>
      </c>
      <c r="Y788" s="309"/>
      <c r="Z788" s="309"/>
      <c r="AA788" s="5"/>
      <c r="AB788" s="313"/>
      <c r="AC788" s="317">
        <f>OBRA!BW790</f>
        <v>0</v>
      </c>
      <c r="AD788" s="352"/>
      <c r="AE788" s="352"/>
    </row>
    <row r="789" spans="1:31" ht="21" hidden="1" customHeight="1">
      <c r="A789" s="22" t="s">
        <v>2206</v>
      </c>
      <c r="B789" s="809">
        <f>GRAL!B1030</f>
        <v>0</v>
      </c>
      <c r="C789" s="16">
        <f>OBRA!J791</f>
        <v>2024</v>
      </c>
      <c r="D789" s="1415"/>
      <c r="E789" s="17" t="str">
        <f>OBRA!M791</f>
        <v>CUENTA CORRIENTE</v>
      </c>
      <c r="F789" s="1170"/>
      <c r="G789" s="1108"/>
      <c r="H789" s="219"/>
      <c r="I789" s="1108"/>
      <c r="J789" s="54"/>
      <c r="K789" s="55"/>
      <c r="L789" s="33" t="str">
        <f>OBRA!N791</f>
        <v>CPSP DOP 021/2024</v>
      </c>
      <c r="M789" s="2" t="str">
        <f>OBRA!O791</f>
        <v>SERVICIOS</v>
      </c>
      <c r="N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1"/>
      <c r="P789" s="6">
        <f>OBRA!S791</f>
        <v>45463</v>
      </c>
      <c r="Q789" s="4">
        <f>OBRA!R791</f>
        <v>31180.799999999999</v>
      </c>
      <c r="R789" s="5">
        <f>OBRA!T791</f>
        <v>45464</v>
      </c>
      <c r="S789" s="11">
        <f>OBRA!U791</f>
        <v>45470</v>
      </c>
      <c r="T789" s="692"/>
      <c r="U789" s="203"/>
      <c r="V789" s="508"/>
      <c r="W789" s="509"/>
      <c r="X789" s="534">
        <f>OBRA!AR791</f>
        <v>0</v>
      </c>
      <c r="Y789" s="309"/>
      <c r="Z789" s="309"/>
      <c r="AA789" s="5"/>
      <c r="AB789" s="313"/>
      <c r="AC789" s="317">
        <f>OBRA!BW791</f>
        <v>0</v>
      </c>
      <c r="AD789" s="352"/>
      <c r="AE789" s="352"/>
    </row>
    <row r="790" spans="1:31" ht="21" hidden="1" customHeight="1">
      <c r="A790" s="22" t="s">
        <v>2206</v>
      </c>
      <c r="B790" s="809">
        <f>GRAL!B1031</f>
        <v>0</v>
      </c>
      <c r="C790" s="16">
        <f>OBRA!J792</f>
        <v>2024</v>
      </c>
      <c r="D790" s="1415"/>
      <c r="E790" s="17" t="str">
        <f>OBRA!M792</f>
        <v>CUENTA CORRIENTE</v>
      </c>
      <c r="F790" s="1170"/>
      <c r="G790" s="1108"/>
      <c r="H790" s="219"/>
      <c r="I790" s="1108"/>
      <c r="J790" s="54"/>
      <c r="K790" s="55"/>
      <c r="L790" s="33" t="str">
        <f>OBRA!N792</f>
        <v>CPSP DOP 022/2024</v>
      </c>
      <c r="M790" s="2" t="str">
        <f>OBRA!O792</f>
        <v>SERVICIOS</v>
      </c>
      <c r="N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1"/>
      <c r="P790" s="6">
        <f>OBRA!S792</f>
        <v>45502</v>
      </c>
      <c r="Q790" s="4">
        <f>OBRA!R792</f>
        <v>205842</v>
      </c>
      <c r="R790" s="5">
        <f>OBRA!T792</f>
        <v>45503</v>
      </c>
      <c r="S790" s="11">
        <f>OBRA!U792</f>
        <v>45517</v>
      </c>
      <c r="T790" s="692"/>
      <c r="U790" s="203"/>
      <c r="V790" s="508"/>
      <c r="W790" s="509"/>
      <c r="X790" s="534">
        <f>OBRA!AR792</f>
        <v>0</v>
      </c>
      <c r="Y790" s="309"/>
      <c r="Z790" s="309"/>
      <c r="AA790" s="5"/>
      <c r="AB790" s="313"/>
      <c r="AC790" s="317">
        <f>OBRA!BW792</f>
        <v>0</v>
      </c>
      <c r="AD790" s="352"/>
      <c r="AE790" s="352"/>
    </row>
    <row r="791" spans="1:31" ht="21" hidden="1" customHeight="1">
      <c r="A791" s="22" t="s">
        <v>2206</v>
      </c>
      <c r="B791" s="809">
        <f>GRAL!B1032</f>
        <v>0</v>
      </c>
      <c r="C791" s="16">
        <f>OBRA!J793</f>
        <v>2024</v>
      </c>
      <c r="D791" s="1415"/>
      <c r="E791" s="17" t="str">
        <f>OBRA!M793</f>
        <v>CUENTA CORRIENTE</v>
      </c>
      <c r="F791" s="1170"/>
      <c r="G791" s="1108"/>
      <c r="H791" s="219"/>
      <c r="I791" s="1108"/>
      <c r="J791" s="54"/>
      <c r="K791" s="55"/>
      <c r="L791" s="33" t="str">
        <f>OBRA!N793</f>
        <v>CPSP DOP 023/2024</v>
      </c>
      <c r="M791" s="2" t="str">
        <f>OBRA!O793</f>
        <v>SERVICIOS</v>
      </c>
      <c r="N791" s="3" t="str">
        <f>OBRA!P793</f>
        <v>CONTRATACIÓN DEL SERVICIO PARA LOS TRÁMITES DE GESTORÍA PARA EL AUMENTO DE CARGA DEL POZO DE AGUA POTABLE UBICASO EN PRIV. JUAN PABLO II, EN LA LOCALIDAD DE SAN JUAN COSALÁ, MUNICIPIO DE JOCOTEPEC, JALISCO.</v>
      </c>
      <c r="O791" s="541"/>
      <c r="P791" s="6">
        <f>OBRA!S793</f>
        <v>45520</v>
      </c>
      <c r="Q791" s="4">
        <f>OBRA!R793</f>
        <v>28419.999999999996</v>
      </c>
      <c r="R791" s="5">
        <f>OBRA!T793</f>
        <v>45524</v>
      </c>
      <c r="S791" s="11">
        <f>OBRA!U793</f>
        <v>45530</v>
      </c>
      <c r="T791" s="692"/>
      <c r="U791" s="203"/>
      <c r="V791" s="508"/>
      <c r="W791" s="509"/>
      <c r="X791" s="534">
        <f>OBRA!AR793</f>
        <v>0</v>
      </c>
      <c r="Y791" s="309"/>
      <c r="Z791" s="309"/>
      <c r="AA791" s="5"/>
      <c r="AB791" s="313"/>
      <c r="AC791" s="317">
        <f>OBRA!BW793</f>
        <v>0</v>
      </c>
      <c r="AD791" s="352"/>
      <c r="AE791" s="352"/>
    </row>
    <row r="792" spans="1:31" ht="21" hidden="1" customHeight="1">
      <c r="A792" s="22" t="s">
        <v>2206</v>
      </c>
      <c r="B792" s="809">
        <f>GRAL!B1033</f>
        <v>0</v>
      </c>
      <c r="C792" s="16">
        <f>OBRA!J794</f>
        <v>2024</v>
      </c>
      <c r="D792" s="1415"/>
      <c r="E792" s="17" t="str">
        <f>OBRA!M794</f>
        <v>CUENTA CORRIENTE</v>
      </c>
      <c r="F792" s="1170"/>
      <c r="G792" s="1108"/>
      <c r="H792" s="219"/>
      <c r="I792" s="1108"/>
      <c r="J792" s="54"/>
      <c r="K792" s="55"/>
      <c r="L792" s="33" t="str">
        <f>OBRA!N794</f>
        <v>CPSP DOP 024/2024</v>
      </c>
      <c r="M792" s="2" t="str">
        <f>OBRA!O794</f>
        <v>SERVICIOS</v>
      </c>
      <c r="N792" s="3" t="str">
        <f>OBRA!P794</f>
        <v>CONTRATACIÓN DE SERVICIO PARA REALIZAR ESTUDIO DE MATERIALES PARA LA BASE HIDRÁULICA EN CALLE MATAMOROS SUR, EN LA CABECERA MUNICIPAL DE JOCOTEPEC, JALISCO.</v>
      </c>
      <c r="O792" s="541"/>
      <c r="P792" s="6">
        <f>OBRA!S794</f>
        <v>45520</v>
      </c>
      <c r="Q792" s="4">
        <f>OBRA!R794</f>
        <v>13919.999999999998</v>
      </c>
      <c r="R792" s="5">
        <f>OBRA!T794</f>
        <v>45523</v>
      </c>
      <c r="S792" s="11">
        <f>OBRA!U794</f>
        <v>45524</v>
      </c>
      <c r="T792" s="692"/>
      <c r="U792" s="203"/>
      <c r="V792" s="508"/>
      <c r="W792" s="509"/>
      <c r="X792" s="534">
        <f>OBRA!AR794</f>
        <v>0</v>
      </c>
      <c r="Y792" s="309"/>
      <c r="Z792" s="309"/>
      <c r="AA792" s="5"/>
      <c r="AB792" s="313"/>
      <c r="AC792" s="317">
        <f>OBRA!BW794</f>
        <v>0</v>
      </c>
      <c r="AD792" s="352"/>
      <c r="AE792" s="352"/>
    </row>
    <row r="793" spans="1:31" ht="21" hidden="1" customHeight="1">
      <c r="A793" s="22" t="s">
        <v>2206</v>
      </c>
      <c r="B793" s="809">
        <f>GRAL!B1034</f>
        <v>0</v>
      </c>
      <c r="C793" s="16">
        <f>OBRA!J795</f>
        <v>2024</v>
      </c>
      <c r="D793" s="1415"/>
      <c r="E793" s="17" t="str">
        <f>OBRA!M795</f>
        <v>CUENTA CORRIENTE</v>
      </c>
      <c r="F793" s="1170"/>
      <c r="G793" s="1108"/>
      <c r="H793" s="219"/>
      <c r="I793" s="1108"/>
      <c r="J793" s="54"/>
      <c r="K793" s="55"/>
      <c r="L793" s="33" t="str">
        <f>OBRA!N795</f>
        <v>CPSP DOP 025/2024</v>
      </c>
      <c r="M793" s="2" t="str">
        <f>OBRA!O795</f>
        <v>SERVICIOS</v>
      </c>
      <c r="N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1"/>
      <c r="P793" s="6">
        <f>OBRA!S795</f>
        <v>45533</v>
      </c>
      <c r="Q793" s="4">
        <f>OBRA!R795</f>
        <v>32479.999999999996</v>
      </c>
      <c r="R793" s="5">
        <f>OBRA!T795</f>
        <v>45537</v>
      </c>
      <c r="S793" s="11">
        <f>OBRA!U795</f>
        <v>45538</v>
      </c>
      <c r="T793" s="692"/>
      <c r="U793" s="203"/>
      <c r="V793" s="508"/>
      <c r="W793" s="509"/>
      <c r="X793" s="534">
        <f>OBRA!AR795</f>
        <v>0</v>
      </c>
      <c r="Y793" s="309"/>
      <c r="Z793" s="309"/>
      <c r="AA793" s="5"/>
      <c r="AB793" s="313"/>
      <c r="AC793" s="317">
        <f>OBRA!BW795</f>
        <v>0</v>
      </c>
      <c r="AD793" s="352"/>
      <c r="AE793" s="352"/>
    </row>
    <row r="794" spans="1:31" ht="21" hidden="1" customHeight="1">
      <c r="A794" s="22" t="s">
        <v>2206</v>
      </c>
      <c r="B794" s="809">
        <f>GRAL!B1035</f>
        <v>0</v>
      </c>
      <c r="C794" s="16">
        <f>OBRA!J796</f>
        <v>2024</v>
      </c>
      <c r="D794" s="1415"/>
      <c r="E794" s="17" t="str">
        <f>OBRA!M796</f>
        <v>CUENTA CORRIENTE</v>
      </c>
      <c r="F794" s="1170"/>
      <c r="G794" s="1108"/>
      <c r="H794" s="219"/>
      <c r="I794" s="1108"/>
      <c r="J794" s="54"/>
      <c r="K794" s="55"/>
      <c r="L794" s="33" t="str">
        <f>OBRA!N796</f>
        <v>CPSP DOP 026/2024</v>
      </c>
      <c r="M794" s="2" t="str">
        <f>OBRA!O796</f>
        <v>SERVICIOS</v>
      </c>
      <c r="N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1"/>
      <c r="P794" s="6">
        <f>OBRA!S796</f>
        <v>45533</v>
      </c>
      <c r="Q794" s="4">
        <f>OBRA!R796</f>
        <v>30125.199999999997</v>
      </c>
      <c r="R794" s="5">
        <f>OBRA!T796</f>
        <v>45539</v>
      </c>
      <c r="S794" s="11">
        <f>OBRA!U796</f>
        <v>45540</v>
      </c>
      <c r="T794" s="692"/>
      <c r="U794" s="203"/>
      <c r="V794" s="508"/>
      <c r="W794" s="509"/>
      <c r="X794" s="534">
        <f>OBRA!AR796</f>
        <v>0</v>
      </c>
      <c r="Y794" s="309"/>
      <c r="Z794" s="309"/>
      <c r="AA794" s="5"/>
      <c r="AB794" s="313"/>
      <c r="AC794" s="317">
        <f>OBRA!BW796</f>
        <v>0</v>
      </c>
      <c r="AD794" s="352"/>
      <c r="AE794" s="352"/>
    </row>
    <row r="795" spans="1:31" ht="21" hidden="1" customHeight="1">
      <c r="A795" s="22" t="s">
        <v>2206</v>
      </c>
      <c r="B795" s="809">
        <f>GRAL!B1036</f>
        <v>0</v>
      </c>
      <c r="C795" s="16" t="e">
        <f>OBRA!#REF!</f>
        <v>#REF!</v>
      </c>
      <c r="D795" s="1415"/>
      <c r="E795" s="17" t="e">
        <f>OBRA!#REF!</f>
        <v>#REF!</v>
      </c>
      <c r="F795" s="1170"/>
      <c r="G795" s="1108"/>
      <c r="H795" s="219"/>
      <c r="I795" s="1108"/>
      <c r="J795" s="54"/>
      <c r="K795" s="55"/>
      <c r="L795" s="33" t="e">
        <f>OBRA!#REF!</f>
        <v>#REF!</v>
      </c>
      <c r="M795" s="2" t="e">
        <f>OBRA!#REF!</f>
        <v>#REF!</v>
      </c>
      <c r="N795" s="3" t="e">
        <f>OBRA!#REF!</f>
        <v>#REF!</v>
      </c>
      <c r="O795" s="541"/>
      <c r="P795" s="6" t="e">
        <f>OBRA!#REF!</f>
        <v>#REF!</v>
      </c>
      <c r="Q795" s="4" t="e">
        <f>OBRA!#REF!</f>
        <v>#REF!</v>
      </c>
      <c r="R795" s="5" t="e">
        <f>OBRA!#REF!</f>
        <v>#REF!</v>
      </c>
      <c r="S795" s="11" t="e">
        <f>OBRA!#REF!</f>
        <v>#REF!</v>
      </c>
      <c r="T795" s="692"/>
      <c r="U795" s="203"/>
      <c r="V795" s="508"/>
      <c r="W795" s="509"/>
      <c r="X795" s="534" t="e">
        <f>OBRA!#REF!</f>
        <v>#REF!</v>
      </c>
      <c r="Y795" s="309"/>
      <c r="Z795" s="309"/>
      <c r="AA795" s="5"/>
      <c r="AB795" s="313"/>
      <c r="AC795" s="317" t="e">
        <f>OBRA!#REF!</f>
        <v>#REF!</v>
      </c>
      <c r="AD795" s="352"/>
      <c r="AE795" s="352"/>
    </row>
    <row r="796" spans="1:31" ht="21" hidden="1" customHeight="1">
      <c r="A796" s="22" t="s">
        <v>2206</v>
      </c>
      <c r="B796" s="809">
        <f>GRAL!B1020</f>
        <v>0</v>
      </c>
      <c r="C796" s="16">
        <f>OBRA!J797</f>
        <v>2024</v>
      </c>
      <c r="D796" s="1415"/>
      <c r="E796" s="17" t="str">
        <f>OBRA!M797</f>
        <v>CUENTA CORRIENTE</v>
      </c>
      <c r="F796" s="1170"/>
      <c r="G796" s="1108"/>
      <c r="H796" s="219"/>
      <c r="I796" s="1108"/>
      <c r="J796" s="54"/>
      <c r="K796" s="55"/>
      <c r="L796" s="19" t="str">
        <f>OBRA!N797</f>
        <v>C- OP 001/2024</v>
      </c>
      <c r="M796" s="2" t="str">
        <f>OBRA!O797</f>
        <v>ARRENDAMIENTO</v>
      </c>
      <c r="N796" s="3" t="str">
        <f>OBRA!P797</f>
        <v>RENTA DE UNA EXCAVADORA SOBRE ORUGAS CATERPILLAR 336E Y CAMIÓN DE VOLTEO DE 14M3, PARA LA LIMPIEZA A LA ORILLA DE LA PLAYA EN LA ZONA DEL MALECÓN DE SAN JUAN COSALÁ, MUNICIPIO DE JOCOTEPEC, JALISCO.</v>
      </c>
      <c r="O796" s="541"/>
      <c r="P796" s="6">
        <f>OBRA!S797</f>
        <v>45341</v>
      </c>
      <c r="Q796" s="4">
        <f>OBRA!R797</f>
        <v>3943.9999999999995</v>
      </c>
      <c r="R796" s="5">
        <f>OBRA!T797</f>
        <v>45343</v>
      </c>
      <c r="S796" s="11">
        <f>OBRA!U797</f>
        <v>45349</v>
      </c>
      <c r="T796" s="692"/>
      <c r="U796" s="203"/>
      <c r="V796" s="508"/>
      <c r="W796" s="509"/>
      <c r="X796" s="534">
        <f>OBRA!AR797</f>
        <v>0</v>
      </c>
      <c r="Y796" s="309"/>
      <c r="Z796" s="309"/>
      <c r="AA796" s="5"/>
      <c r="AB796" s="313"/>
      <c r="AC796" s="317">
        <f>OBRA!BW797</f>
        <v>0</v>
      </c>
      <c r="AD796" s="352"/>
      <c r="AE796" s="352"/>
    </row>
    <row r="797" spans="1:31" ht="21" hidden="1" customHeight="1">
      <c r="A797" s="22" t="s">
        <v>2206</v>
      </c>
      <c r="B797" s="809">
        <f>GRAL!B1021</f>
        <v>0</v>
      </c>
      <c r="C797" s="16">
        <f>OBRA!J798</f>
        <v>2024</v>
      </c>
      <c r="D797" s="1415"/>
      <c r="E797" s="17" t="str">
        <f>OBRA!M798</f>
        <v>CUENTA CORRIENTE</v>
      </c>
      <c r="F797" s="1170"/>
      <c r="G797" s="1108"/>
      <c r="H797" s="219"/>
      <c r="I797" s="1108"/>
      <c r="J797" s="54"/>
      <c r="K797" s="55"/>
      <c r="L797" s="19" t="str">
        <f>OBRA!N798</f>
        <v>C- OP 002/2024</v>
      </c>
      <c r="M797" s="2" t="str">
        <f>OBRA!O798</f>
        <v>ARRENDAMIENTO</v>
      </c>
      <c r="N797" s="3" t="str">
        <f>OBRA!P798</f>
        <v>RENTA DE UNA MOTOCONFORMADORA CATERPILLAR 160 Y UNA PIPA DE 10,000 LITROS MARCA INTERNATIONAL, PARA LA CONFORMACIÓN DE BASE EN CALLE COLÓN SUR, EN LA CABECERA MUNICIPAL DE JOCOTEPEC, JALISCO.</v>
      </c>
      <c r="O797" s="541"/>
      <c r="P797" s="6">
        <f>OBRA!S798</f>
        <v>45345</v>
      </c>
      <c r="Q797" s="4">
        <f>OBRA!R798</f>
        <v>2204</v>
      </c>
      <c r="R797" s="5">
        <f>OBRA!T798</f>
        <v>45348</v>
      </c>
      <c r="S797" s="11">
        <f>OBRA!U798</f>
        <v>45350</v>
      </c>
      <c r="T797" s="692"/>
      <c r="U797" s="203"/>
      <c r="V797" s="508"/>
      <c r="W797" s="509"/>
      <c r="X797" s="534">
        <f>OBRA!AR798</f>
        <v>0</v>
      </c>
      <c r="Y797" s="309"/>
      <c r="Z797" s="309"/>
      <c r="AA797" s="5"/>
      <c r="AB797" s="313"/>
      <c r="AC797" s="317">
        <f>OBRA!BW798</f>
        <v>0</v>
      </c>
      <c r="AD797" s="352"/>
      <c r="AE797" s="352"/>
    </row>
    <row r="798" spans="1:31" ht="21" hidden="1" customHeight="1">
      <c r="A798" s="22" t="s">
        <v>2206</v>
      </c>
      <c r="B798" s="809">
        <f>GRAL!B1022</f>
        <v>0</v>
      </c>
      <c r="C798" s="16">
        <f>OBRA!J799</f>
        <v>2024</v>
      </c>
      <c r="D798" s="1415"/>
      <c r="E798" s="17" t="str">
        <f>OBRA!M799</f>
        <v>CUENTA CORRIENTE</v>
      </c>
      <c r="F798" s="1170"/>
      <c r="G798" s="1108"/>
      <c r="H798" s="219"/>
      <c r="I798" s="1108"/>
      <c r="J798" s="54"/>
      <c r="K798" s="55"/>
      <c r="L798" s="19" t="str">
        <f>OBRA!N799</f>
        <v>C- OP 003/2024</v>
      </c>
      <c r="M798" s="2" t="str">
        <f>OBRA!O799</f>
        <v>ARRENDAMIENTO</v>
      </c>
      <c r="N798" s="3" t="str">
        <f>OBRA!P799</f>
        <v>RENTA DE UNA RETROEXCAVADORA CARTEPILLAR 416E, PARA RECONEXIÓN DE DESCARGA DOMICILIARÍA EN TELESECUNDARÍA ENTRE CALLE ZARAGOZA Y VICENTE GUERRERO", EN LA LOCALIDAD DE ZAPOTITÁN DE HIDALGO, DEL MUNICIPIO DE JOCOTEPEC, JALISCO.</v>
      </c>
      <c r="O798" s="541"/>
      <c r="P798" s="6">
        <f>OBRA!S799</f>
        <v>45345</v>
      </c>
      <c r="Q798" s="4">
        <f>OBRA!R799</f>
        <v>696</v>
      </c>
      <c r="R798" s="5">
        <f>OBRA!T799</f>
        <v>45348</v>
      </c>
      <c r="S798" s="11">
        <f>OBRA!U799</f>
        <v>45353</v>
      </c>
      <c r="T798" s="692"/>
      <c r="U798" s="203"/>
      <c r="V798" s="508"/>
      <c r="W798" s="509"/>
      <c r="X798" s="534">
        <f>OBRA!AR799</f>
        <v>0</v>
      </c>
      <c r="Y798" s="309"/>
      <c r="Z798" s="309"/>
      <c r="AA798" s="5"/>
      <c r="AB798" s="313"/>
      <c r="AC798" s="317">
        <f>OBRA!BW799</f>
        <v>0</v>
      </c>
      <c r="AD798" s="352"/>
      <c r="AE798" s="352"/>
    </row>
    <row r="799" spans="1:31" ht="21" hidden="1" customHeight="1">
      <c r="A799" s="22" t="s">
        <v>2206</v>
      </c>
      <c r="B799" s="809">
        <f>GRAL!B1023</f>
        <v>0</v>
      </c>
      <c r="C799" s="16">
        <f>OBRA!J800</f>
        <v>2024</v>
      </c>
      <c r="D799" s="1415"/>
      <c r="E799" s="17" t="str">
        <f>OBRA!M800</f>
        <v>CUENTA CORRIENTE</v>
      </c>
      <c r="F799" s="1170"/>
      <c r="G799" s="1108"/>
      <c r="H799" s="219"/>
      <c r="I799" s="1108"/>
      <c r="J799" s="54"/>
      <c r="K799" s="55"/>
      <c r="L799" s="19" t="str">
        <f>OBRA!N800</f>
        <v>C- OP 004/2024</v>
      </c>
      <c r="M799" s="2" t="str">
        <f>OBRA!O800</f>
        <v>ARRENDAMIENTO</v>
      </c>
      <c r="N799" s="3" t="str">
        <f>OBRA!P800</f>
        <v>RENTA DE UNA EXCAVADORA JOHN DEER 200B, RETROEXCAVADORA JCV 214E, 4 CAMIONES DE VOLTEO FREIGHLINER DE 14 M3, PARA LA LIMPIEZA DE LA PLAYA EN LA ZONA DEL EMBARCADERO DEL MALECÓN DE JOCOTEPEC, JALISCO.</v>
      </c>
      <c r="O799" s="541"/>
      <c r="P799" s="6">
        <f>OBRA!S800</f>
        <v>45363</v>
      </c>
      <c r="Q799" s="4">
        <f>OBRA!R800</f>
        <v>4292</v>
      </c>
      <c r="R799" s="5">
        <f>OBRA!T800</f>
        <v>45365</v>
      </c>
      <c r="S799" s="11">
        <f>OBRA!U800</f>
        <v>45372</v>
      </c>
      <c r="T799" s="692"/>
      <c r="U799" s="203"/>
      <c r="V799" s="508"/>
      <c r="W799" s="509"/>
      <c r="X799" s="534">
        <f>OBRA!AR800</f>
        <v>0</v>
      </c>
      <c r="Y799" s="309"/>
      <c r="Z799" s="309"/>
      <c r="AA799" s="5"/>
      <c r="AB799" s="313"/>
      <c r="AC799" s="317">
        <f>OBRA!BW800</f>
        <v>0</v>
      </c>
      <c r="AD799" s="352"/>
      <c r="AE799" s="352"/>
    </row>
    <row r="800" spans="1:31" ht="21" hidden="1" customHeight="1">
      <c r="A800" s="22" t="s">
        <v>2206</v>
      </c>
      <c r="B800" s="809">
        <f>GRAL!B1024</f>
        <v>0</v>
      </c>
      <c r="C800" s="16">
        <f>OBRA!J801</f>
        <v>2024</v>
      </c>
      <c r="D800" s="1415"/>
      <c r="E800" s="17" t="str">
        <f>OBRA!M801</f>
        <v>CUENTA CORRIENTE</v>
      </c>
      <c r="F800" s="1170"/>
      <c r="G800" s="1108"/>
      <c r="H800" s="219"/>
      <c r="I800" s="1108"/>
      <c r="J800" s="54"/>
      <c r="K800" s="55"/>
      <c r="L800" s="19" t="str">
        <f>OBRA!N801</f>
        <v>C- OP 005/2024</v>
      </c>
      <c r="M800" s="2" t="str">
        <f>OBRA!O801</f>
        <v>ARRENDAMIENTO</v>
      </c>
      <c r="N800" s="3" t="str">
        <f>OBRA!P801</f>
        <v>RENTA DE UNA EXCAVADORA SOBRE ORUGAS CATERPILLAR 336E Y CAMIÓN DE VOLTEO DE 14M3, PARA LA LIMPIEZA A LA ORILLA DE LA PLAYA EN LA ZONA DEL MALECÓN DE SAN CRISTÓBAL ZAPOTITLÁN, MUNICIPIO DE JOCOTEPEC, JALISCO</v>
      </c>
      <c r="O800" s="541"/>
      <c r="P800" s="6">
        <f>OBRA!S801</f>
        <v>45362</v>
      </c>
      <c r="Q800" s="4">
        <f>OBRA!R801</f>
        <v>3711.9999999999995</v>
      </c>
      <c r="R800" s="5">
        <f>OBRA!T801</f>
        <v>45363</v>
      </c>
      <c r="S800" s="11">
        <f>OBRA!U801</f>
        <v>45367</v>
      </c>
      <c r="T800" s="692"/>
      <c r="U800" s="203"/>
      <c r="V800" s="508"/>
      <c r="W800" s="509"/>
      <c r="X800" s="534">
        <f>OBRA!AR801</f>
        <v>0</v>
      </c>
      <c r="Y800" s="309"/>
      <c r="Z800" s="309"/>
      <c r="AA800" s="5"/>
      <c r="AB800" s="313"/>
      <c r="AC800" s="317">
        <f>OBRA!BW801</f>
        <v>0</v>
      </c>
      <c r="AD800" s="352"/>
      <c r="AE800" s="352"/>
    </row>
    <row r="801" spans="1:31" ht="21" hidden="1" customHeight="1">
      <c r="A801" s="22" t="s">
        <v>2206</v>
      </c>
      <c r="B801" s="809">
        <f>GRAL!B1025</f>
        <v>0</v>
      </c>
      <c r="C801" s="16">
        <f>OBRA!J802</f>
        <v>2024</v>
      </c>
      <c r="D801" s="1415"/>
      <c r="E801" s="17" t="str">
        <f>OBRA!M802</f>
        <v>CUENTA CORRIENTE</v>
      </c>
      <c r="F801" s="1170"/>
      <c r="G801" s="1108"/>
      <c r="H801" s="219"/>
      <c r="I801" s="1108"/>
      <c r="J801" s="54"/>
      <c r="K801" s="55"/>
      <c r="L801" s="19" t="str">
        <f>OBRA!N802</f>
        <v>C- OP 006/2024</v>
      </c>
      <c r="M801" s="2" t="str">
        <f>OBRA!O802</f>
        <v>ARRENDAMIENTO</v>
      </c>
      <c r="N801" s="3" t="str">
        <f>OBRA!P802</f>
        <v>RENTA DE CAMIÓN TIPO PIPA MARCA DINA, PLACAS JU-79-346, CON CAPACIDAD DE 10,000 LITROS, PARA EL TRASLADO DE AGUA POTABLE EN EL MUNICIPIO DE JOCOTEPEC, JALISCO.</v>
      </c>
      <c r="O801" s="541"/>
      <c r="P801" s="6">
        <f>OBRA!S802</f>
        <v>45352</v>
      </c>
      <c r="Q801" s="4">
        <f>OBRA!R802</f>
        <v>1971.9999999999998</v>
      </c>
      <c r="R801" s="5">
        <f>OBRA!T802</f>
        <v>45352</v>
      </c>
      <c r="S801" s="11">
        <f>OBRA!U802</f>
        <v>45381</v>
      </c>
      <c r="T801" s="692"/>
      <c r="U801" s="203"/>
      <c r="V801" s="508"/>
      <c r="W801" s="509"/>
      <c r="X801" s="534">
        <f>OBRA!AR802</f>
        <v>0</v>
      </c>
      <c r="Y801" s="309"/>
      <c r="Z801" s="309"/>
      <c r="AA801" s="5"/>
      <c r="AB801" s="313"/>
      <c r="AC801" s="317">
        <f>OBRA!BW802</f>
        <v>0</v>
      </c>
      <c r="AD801" s="352"/>
      <c r="AE801" s="352"/>
    </row>
    <row r="802" spans="1:31" ht="21" hidden="1" customHeight="1">
      <c r="A802" s="22" t="s">
        <v>2206</v>
      </c>
      <c r="B802" s="809">
        <f>GRAL!B1026</f>
        <v>0</v>
      </c>
      <c r="C802" s="16">
        <f>OBRA!J803</f>
        <v>2024</v>
      </c>
      <c r="D802" s="1415"/>
      <c r="E802" s="17" t="str">
        <f>OBRA!M803</f>
        <v>CUENTA CORRIENTE</v>
      </c>
      <c r="F802" s="1170"/>
      <c r="G802" s="1108"/>
      <c r="H802" s="219"/>
      <c r="I802" s="1108"/>
      <c r="J802" s="54"/>
      <c r="K802" s="55"/>
      <c r="L802" s="19" t="str">
        <f>OBRA!N803</f>
        <v>C- OP 007/2024</v>
      </c>
      <c r="M802" s="2" t="str">
        <f>OBRA!O803</f>
        <v>ARRENDAMIENTO</v>
      </c>
      <c r="N802" s="3" t="str">
        <f>OBRA!P803</f>
        <v>RENTA DE UNA RETROEXCAVADORA CATERPILLAR 420E Y CAMIÓN VOLTEO DE 14 M3, PARA LA LIMPIEZA EN ZONAS DE LA CABECERA MUNICIPAL DE JOCOTEPEC, JALISCO.</v>
      </c>
      <c r="O802" s="541"/>
      <c r="P802" s="6">
        <f>OBRA!S803</f>
        <v>45378</v>
      </c>
      <c r="Q802" s="4">
        <f>OBRA!R803</f>
        <v>1508</v>
      </c>
      <c r="R802" s="5">
        <f>OBRA!T803</f>
        <v>45383</v>
      </c>
      <c r="S802" s="11">
        <f>OBRA!U803</f>
        <v>45412</v>
      </c>
      <c r="T802" s="692"/>
      <c r="U802" s="203"/>
      <c r="V802" s="508"/>
      <c r="W802" s="509"/>
      <c r="X802" s="534">
        <f>OBRA!AR803</f>
        <v>0</v>
      </c>
      <c r="Y802" s="309"/>
      <c r="Z802" s="309"/>
      <c r="AA802" s="5"/>
      <c r="AB802" s="313"/>
      <c r="AC802" s="317">
        <f>OBRA!BW803</f>
        <v>0</v>
      </c>
      <c r="AD802" s="352"/>
      <c r="AE802" s="352"/>
    </row>
    <row r="803" spans="1:31" ht="21" hidden="1" customHeight="1">
      <c r="A803" s="22" t="s">
        <v>2206</v>
      </c>
      <c r="B803" s="809">
        <f>GRAL!B1027</f>
        <v>0</v>
      </c>
      <c r="C803" s="16">
        <f>OBRA!J804</f>
        <v>2024</v>
      </c>
      <c r="D803" s="1415"/>
      <c r="E803" s="17" t="str">
        <f>OBRA!M804</f>
        <v>CUENTA CORRIENTE</v>
      </c>
      <c r="F803" s="1170"/>
      <c r="G803" s="1108"/>
      <c r="H803" s="219"/>
      <c r="I803" s="1108"/>
      <c r="J803" s="54"/>
      <c r="K803" s="55"/>
      <c r="L803" s="19" t="str">
        <f>OBRA!N804</f>
        <v>C- OP 008/2024</v>
      </c>
      <c r="M803" s="2" t="str">
        <f>OBRA!O804</f>
        <v>ARRENDAMIENTO</v>
      </c>
      <c r="N803" s="3" t="str">
        <f>OBRA!P804</f>
        <v>RENTA DE CAMIÓN TIPO PIPA MARCA KENWORT T800, PLACAS JY-06-625, CON CAPACIDAD DE 20,000 LITROS, PARA EL TRASLADO DE AGUA POTABLE EN EL MUNICIPIO DE JOCOTEPEC, JALISCO.</v>
      </c>
      <c r="O803" s="541"/>
      <c r="P803" s="6">
        <f>OBRA!S804</f>
        <v>45394</v>
      </c>
      <c r="Q803" s="4">
        <f>OBRA!R804</f>
        <v>4640</v>
      </c>
      <c r="R803" s="5">
        <f>OBRA!T804</f>
        <v>45397</v>
      </c>
      <c r="S803" s="11">
        <f>OBRA!U804</f>
        <v>45401</v>
      </c>
      <c r="T803" s="692"/>
      <c r="U803" s="203"/>
      <c r="V803" s="508"/>
      <c r="W803" s="509"/>
      <c r="X803" s="534">
        <f>OBRA!AR804</f>
        <v>0</v>
      </c>
      <c r="Y803" s="309"/>
      <c r="Z803" s="309"/>
      <c r="AA803" s="5"/>
      <c r="AB803" s="313"/>
      <c r="AC803" s="317">
        <f>OBRA!BW804</f>
        <v>0</v>
      </c>
      <c r="AD803" s="352"/>
      <c r="AE803" s="352"/>
    </row>
    <row r="804" spans="1:31" ht="21" hidden="1" customHeight="1">
      <c r="A804" s="22" t="s">
        <v>2206</v>
      </c>
      <c r="B804" s="809">
        <f>GRAL!B1028</f>
        <v>0</v>
      </c>
      <c r="C804" s="16">
        <f>OBRA!J805</f>
        <v>2024</v>
      </c>
      <c r="D804" s="1415"/>
      <c r="E804" s="17" t="str">
        <f>OBRA!M805</f>
        <v>CUENTA CORRIENTE</v>
      </c>
      <c r="F804" s="1170"/>
      <c r="G804" s="1108"/>
      <c r="H804" s="219"/>
      <c r="I804" s="1108"/>
      <c r="J804" s="54"/>
      <c r="K804" s="55"/>
      <c r="L804" s="19" t="str">
        <f>OBRA!N805</f>
        <v>C- OP 009/2024</v>
      </c>
      <c r="M804" s="2" t="str">
        <f>OBRA!O805</f>
        <v>ARRENDAMIENTO</v>
      </c>
      <c r="N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O804" s="541"/>
      <c r="P804" s="6">
        <f>OBRA!S805</f>
        <v>45352</v>
      </c>
      <c r="Q804" s="4">
        <f>OBRA!R805</f>
        <v>788.8</v>
      </c>
      <c r="R804" s="5">
        <f>OBRA!T805</f>
        <v>45352</v>
      </c>
      <c r="S804" s="11">
        <f>OBRA!U805</f>
        <v>45443</v>
      </c>
      <c r="T804" s="692"/>
      <c r="U804" s="203"/>
      <c r="V804" s="508"/>
      <c r="W804" s="509"/>
      <c r="X804" s="534">
        <f>OBRA!AR805</f>
        <v>0</v>
      </c>
      <c r="Y804" s="309"/>
      <c r="Z804" s="309"/>
      <c r="AA804" s="5"/>
      <c r="AB804" s="313"/>
      <c r="AC804" s="317">
        <f>OBRA!BW805</f>
        <v>0</v>
      </c>
      <c r="AD804" s="352"/>
      <c r="AE804" s="352"/>
    </row>
    <row r="805" spans="1:31" ht="21" hidden="1" customHeight="1">
      <c r="A805" s="22" t="s">
        <v>2206</v>
      </c>
      <c r="B805" s="809">
        <f>GRAL!B1029</f>
        <v>0</v>
      </c>
      <c r="C805" s="16">
        <f>OBRA!J806</f>
        <v>2024</v>
      </c>
      <c r="D805" s="1415"/>
      <c r="E805" s="17" t="str">
        <f>OBRA!M806</f>
        <v>CUENTA CORRIENTE</v>
      </c>
      <c r="F805" s="1170"/>
      <c r="G805" s="1108"/>
      <c r="H805" s="219"/>
      <c r="I805" s="1108"/>
      <c r="J805" s="54"/>
      <c r="K805" s="55"/>
      <c r="L805" s="19" t="str">
        <f>OBRA!N806</f>
        <v>C- OP 010/2024</v>
      </c>
      <c r="M805" s="2" t="str">
        <f>OBRA!O806</f>
        <v>ARRENDAMIENTO</v>
      </c>
      <c r="N805" s="3" t="str">
        <f>OBRA!P806</f>
        <v>RENTA DE CAMIÓN VOLTEO CON CAPACIDAD DE 7 M3, PARA EL RETIRO DE MATERIAL POR LOS TRABAJOS DE INSTALACIÓN Y ACONDICIONAMIENTO DE DRENAJE SANITARIO EN CALLE ZARAGOZA EN JDN NIÑOS HÉROES", EN LA CABECERA MUNICIPAL DE JOCOTEPEC, JALISCO.</v>
      </c>
      <c r="O805" s="541"/>
      <c r="P805" s="6">
        <f>OBRA!S806</f>
        <v>45420</v>
      </c>
      <c r="Q805" s="4">
        <f>OBRA!R806</f>
        <v>1482.4799999999998</v>
      </c>
      <c r="R805" s="5">
        <f>OBRA!T806</f>
        <v>45422</v>
      </c>
      <c r="S805" s="11">
        <f>OBRA!U806</f>
        <v>45423</v>
      </c>
      <c r="T805" s="692"/>
      <c r="U805" s="203"/>
      <c r="V805" s="508"/>
      <c r="W805" s="509"/>
      <c r="X805" s="534">
        <f>OBRA!AR806</f>
        <v>0</v>
      </c>
      <c r="Y805" s="309"/>
      <c r="Z805" s="309"/>
      <c r="AA805" s="5"/>
      <c r="AB805" s="313"/>
      <c r="AC805" s="317">
        <f>OBRA!BW806</f>
        <v>0</v>
      </c>
      <c r="AD805" s="352"/>
      <c r="AE805" s="352"/>
    </row>
    <row r="806" spans="1:31" ht="21" hidden="1" customHeight="1">
      <c r="A806" s="22" t="s">
        <v>2206</v>
      </c>
      <c r="B806" s="809">
        <f>GRAL!B1030</f>
        <v>0</v>
      </c>
      <c r="C806" s="16">
        <f>OBRA!J807</f>
        <v>2024</v>
      </c>
      <c r="D806" s="1415"/>
      <c r="E806" s="17" t="str">
        <f>OBRA!M807</f>
        <v>CUENTA CORRIENTE</v>
      </c>
      <c r="F806" s="1170"/>
      <c r="G806" s="1108"/>
      <c r="H806" s="219"/>
      <c r="I806" s="1108"/>
      <c r="J806" s="54"/>
      <c r="K806" s="55"/>
      <c r="L806" s="19" t="str">
        <f>OBRA!N807</f>
        <v>C- OP 011/2024</v>
      </c>
      <c r="M806" s="2" t="str">
        <f>OBRA!O807</f>
        <v>ARRENDAMIENTO</v>
      </c>
      <c r="N806" s="3" t="str">
        <f>OBRA!P807</f>
        <v>RENTA DE CAMIÓN TIPO PIPA MARCA INTERNATIONAL, PLACAS JU-51-888, CON CAPACIDAD DE 20,000 LITROS, PARA EL TRASLADO DE AGUA POTABLE EN EL MUNICIPIO DE JOCOTEPEC, JALISCO.</v>
      </c>
      <c r="O806" s="541"/>
      <c r="P806" s="6">
        <f>OBRA!S807</f>
        <v>45425</v>
      </c>
      <c r="Q806" s="4">
        <f>OBRA!R807</f>
        <v>4640</v>
      </c>
      <c r="R806" s="5">
        <f>OBRA!T807</f>
        <v>45425</v>
      </c>
      <c r="S806" s="11">
        <f>OBRA!U807</f>
        <v>45430</v>
      </c>
      <c r="T806" s="692"/>
      <c r="U806" s="203"/>
      <c r="V806" s="508"/>
      <c r="W806" s="509"/>
      <c r="X806" s="534">
        <f>OBRA!AR807</f>
        <v>0</v>
      </c>
      <c r="Y806" s="309"/>
      <c r="Z806" s="309"/>
      <c r="AA806" s="5"/>
      <c r="AB806" s="313"/>
      <c r="AC806" s="317">
        <f>OBRA!BW807</f>
        <v>0</v>
      </c>
      <c r="AD806" s="352"/>
      <c r="AE806" s="352"/>
    </row>
    <row r="807" spans="1:31" ht="21" hidden="1" customHeight="1">
      <c r="A807" s="22" t="s">
        <v>2206</v>
      </c>
      <c r="B807" s="809">
        <f>GRAL!B1031</f>
        <v>0</v>
      </c>
      <c r="C807" s="16">
        <f>OBRA!J808</f>
        <v>2024</v>
      </c>
      <c r="D807" s="1415"/>
      <c r="E807" s="17" t="str">
        <f>OBRA!M808</f>
        <v>CUENTA CORRIENTE</v>
      </c>
      <c r="F807" s="1170"/>
      <c r="G807" s="1108"/>
      <c r="H807" s="219"/>
      <c r="I807" s="1108"/>
      <c r="J807" s="54"/>
      <c r="K807" s="55"/>
      <c r="L807" s="19" t="str">
        <f>OBRA!N808</f>
        <v>C- OP 012/2024</v>
      </c>
      <c r="M807" s="2" t="str">
        <f>OBRA!O808</f>
        <v>ARRENDAMIENTO</v>
      </c>
      <c r="N807" s="3" t="str">
        <f>OBRA!P808</f>
        <v>RENTA DE UNA EXCAVADORA CAT SERIE 416E, PARA LOS TRABAJOS DE CONSTRUCCIÓN DE BASE Y LETRAS MONUMENTALES "HUEJOTITÁN" EN INGRESO A LA POBLACIÓN, EN LA LOCALIDAD DE HUEJOTITÁN, DEL MUNICIPIO DE JOCOTEPEC, JALISCO.</v>
      </c>
      <c r="O807" s="541"/>
      <c r="P807" s="6">
        <f>OBRA!S808</f>
        <v>45372</v>
      </c>
      <c r="Q807" s="4">
        <f>OBRA!R808</f>
        <v>788.8</v>
      </c>
      <c r="R807" s="5">
        <f>OBRA!T808</f>
        <v>45372</v>
      </c>
      <c r="S807" s="11">
        <f>OBRA!U808</f>
        <v>45411</v>
      </c>
      <c r="T807" s="692"/>
      <c r="U807" s="203"/>
      <c r="V807" s="508"/>
      <c r="W807" s="509"/>
      <c r="X807" s="534">
        <f>OBRA!AR808</f>
        <v>0</v>
      </c>
      <c r="Y807" s="309"/>
      <c r="Z807" s="309"/>
      <c r="AA807" s="5"/>
      <c r="AB807" s="313"/>
      <c r="AC807" s="317">
        <f>OBRA!BW808</f>
        <v>0</v>
      </c>
      <c r="AD807" s="352"/>
      <c r="AE807" s="352"/>
    </row>
    <row r="808" spans="1:31" ht="21" hidden="1" customHeight="1">
      <c r="A808" s="22" t="s">
        <v>2206</v>
      </c>
      <c r="B808" s="809">
        <f>GRAL!B1032</f>
        <v>0</v>
      </c>
      <c r="C808" s="16">
        <f>OBRA!J809</f>
        <v>2024</v>
      </c>
      <c r="D808" s="1415"/>
      <c r="E808" s="17" t="str">
        <f>OBRA!M809</f>
        <v>CUENTA CORRIENTE</v>
      </c>
      <c r="F808" s="1170"/>
      <c r="G808" s="1108"/>
      <c r="H808" s="219"/>
      <c r="I808" s="1108"/>
      <c r="J808" s="54"/>
      <c r="K808" s="55"/>
      <c r="L808" s="19" t="str">
        <f>OBRA!N809</f>
        <v>C- OP 013/2024</v>
      </c>
      <c r="M808" s="2" t="str">
        <f>OBRA!O809</f>
        <v>ARRENDAMIENTO</v>
      </c>
      <c r="N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8" s="541"/>
      <c r="P808" s="6">
        <f>OBRA!S809</f>
        <v>45432</v>
      </c>
      <c r="Q808" s="4">
        <f>OBRA!R809</f>
        <v>4605.2</v>
      </c>
      <c r="R808" s="5">
        <f>OBRA!T809</f>
        <v>45434</v>
      </c>
      <c r="S808" s="11">
        <f>OBRA!U809</f>
        <v>45478</v>
      </c>
      <c r="T808" s="692"/>
      <c r="U808" s="203"/>
      <c r="V808" s="508"/>
      <c r="W808" s="509"/>
      <c r="X808" s="534">
        <f>OBRA!AR809</f>
        <v>0</v>
      </c>
      <c r="Y808" s="309"/>
      <c r="Z808" s="309"/>
      <c r="AA808" s="5"/>
      <c r="AB808" s="313"/>
      <c r="AC808" s="317">
        <f>OBRA!BW809</f>
        <v>0</v>
      </c>
      <c r="AD808" s="352"/>
      <c r="AE808" s="352"/>
    </row>
    <row r="809" spans="1:31" ht="21" hidden="1" customHeight="1">
      <c r="A809" s="22" t="s">
        <v>2206</v>
      </c>
      <c r="B809" s="809">
        <f>GRAL!B1033</f>
        <v>0</v>
      </c>
      <c r="C809" s="16">
        <f>OBRA!J810</f>
        <v>2024</v>
      </c>
      <c r="D809" s="1415"/>
      <c r="E809" s="17" t="str">
        <f>OBRA!M810</f>
        <v>CUENTA CORRIENTE</v>
      </c>
      <c r="F809" s="1170"/>
      <c r="G809" s="1108"/>
      <c r="H809" s="219"/>
      <c r="I809" s="1108"/>
      <c r="J809" s="54"/>
      <c r="K809" s="55"/>
      <c r="L809" s="19" t="str">
        <f>OBRA!N810</f>
        <v>C- OP 014/2024</v>
      </c>
      <c r="M809" s="2" t="str">
        <f>OBRA!O810</f>
        <v>ARRENDAMIENTO</v>
      </c>
      <c r="N809" s="3" t="str">
        <f>OBRA!P810</f>
        <v>RENTA DE CAMIÓN TIPO PIPA MARCA INTERNATIONAL, MODELO 2014 CON CAPACIDAD DE 10,000 LITROS, PARA EL TRASLADO DE AGUA POTABLE EN EL MUNICIPIO DE JOCOTEPEC, JALISCO.</v>
      </c>
      <c r="O809" s="541"/>
      <c r="P809" s="6">
        <f>OBRA!S810</f>
        <v>45380</v>
      </c>
      <c r="Q809" s="4">
        <f>OBRA!R810</f>
        <v>90828</v>
      </c>
      <c r="R809" s="5">
        <f>OBRA!T810</f>
        <v>45383</v>
      </c>
      <c r="S809" s="11">
        <f>OBRA!U810</f>
        <v>45412</v>
      </c>
      <c r="T809" s="692"/>
      <c r="U809" s="203"/>
      <c r="V809" s="508"/>
      <c r="W809" s="509"/>
      <c r="X809" s="534">
        <f>OBRA!AR810</f>
        <v>0</v>
      </c>
      <c r="Y809" s="309"/>
      <c r="Z809" s="309"/>
      <c r="AA809" s="5"/>
      <c r="AB809" s="313"/>
      <c r="AC809" s="317">
        <f>OBRA!BW810</f>
        <v>0</v>
      </c>
      <c r="AD809" s="352"/>
      <c r="AE809" s="352"/>
    </row>
    <row r="810" spans="1:31" ht="21" hidden="1" customHeight="1">
      <c r="A810" s="22" t="s">
        <v>2206</v>
      </c>
      <c r="B810" s="809">
        <f>GRAL!B1034</f>
        <v>0</v>
      </c>
      <c r="C810" s="16">
        <f>OBRA!J811</f>
        <v>2024</v>
      </c>
      <c r="D810" s="1415"/>
      <c r="E810" s="17" t="str">
        <f>OBRA!M811</f>
        <v>CUENTA CORRIENTE</v>
      </c>
      <c r="F810" s="1170"/>
      <c r="G810" s="1108"/>
      <c r="H810" s="219"/>
      <c r="I810" s="1108"/>
      <c r="J810" s="54"/>
      <c r="K810" s="55"/>
      <c r="L810" s="19" t="str">
        <f>OBRA!N811</f>
        <v>C- OP 015/2024</v>
      </c>
      <c r="M810" s="2" t="str">
        <f>OBRA!O811</f>
        <v>ARRENDAMIENTO</v>
      </c>
      <c r="N810" s="3" t="str">
        <f>OBRA!P811</f>
        <v>RENTA DE CAMIÓN TIPO PIPA MARCA FREIGHTLINER, CON CAPACIDAD DE 10,000 LITROS, PARA EL TRASLADO DE AGUA POTABLE EN EL MUNICIPIO DE JOCOTEPEC, JALISCO.</v>
      </c>
      <c r="O810" s="541"/>
      <c r="P810" s="6">
        <f>OBRA!S811</f>
        <v>45412</v>
      </c>
      <c r="Q810" s="4">
        <f>OBRA!R811</f>
        <v>90828</v>
      </c>
      <c r="R810" s="5">
        <f>OBRA!T811</f>
        <v>45413</v>
      </c>
      <c r="S810" s="11">
        <f>OBRA!U811</f>
        <v>45443</v>
      </c>
      <c r="T810" s="692"/>
      <c r="U810" s="203"/>
      <c r="V810" s="508"/>
      <c r="W810" s="509"/>
      <c r="X810" s="534">
        <f>OBRA!AR811</f>
        <v>0</v>
      </c>
      <c r="Y810" s="309"/>
      <c r="Z810" s="309"/>
      <c r="AA810" s="5"/>
      <c r="AB810" s="313"/>
      <c r="AC810" s="317">
        <f>OBRA!BW811</f>
        <v>0</v>
      </c>
      <c r="AD810" s="352"/>
      <c r="AE810" s="352"/>
    </row>
    <row r="811" spans="1:31" ht="21" hidden="1" customHeight="1">
      <c r="A811" s="22" t="s">
        <v>2206</v>
      </c>
      <c r="B811" s="809">
        <f>GRAL!B1035</f>
        <v>0</v>
      </c>
      <c r="C811" s="16">
        <f>OBRA!J812</f>
        <v>2024</v>
      </c>
      <c r="D811" s="1415"/>
      <c r="E811" s="17" t="str">
        <f>OBRA!M812</f>
        <v>CUENTA CORRIENTE</v>
      </c>
      <c r="F811" s="1170"/>
      <c r="G811" s="1108"/>
      <c r="H811" s="219"/>
      <c r="I811" s="1108"/>
      <c r="J811" s="54"/>
      <c r="K811" s="55"/>
      <c r="L811" s="19" t="str">
        <f>OBRA!N812</f>
        <v>C- OP 016/2024</v>
      </c>
      <c r="M811" s="2" t="str">
        <f>OBRA!O812</f>
        <v>ARRENDAMIENTO</v>
      </c>
      <c r="N811" s="3" t="str">
        <f>OBRA!P812</f>
        <v>RENTA DE CAMIÓN TIPO PIPA MARCA KENWORT CON CAPACIDAD DE 10,000 LITROS, PARA EL TRASLADO DE AGUA POTABLE EN EL MUNICIPIO DE JOCOTEPEC, JALISCO.</v>
      </c>
      <c r="O811" s="541"/>
      <c r="P811" s="6">
        <f>OBRA!S812</f>
        <v>45443</v>
      </c>
      <c r="Q811" s="4">
        <f>OBRA!R812</f>
        <v>3711.9999999999995</v>
      </c>
      <c r="R811" s="5">
        <f>OBRA!T812</f>
        <v>45446</v>
      </c>
      <c r="S811" s="11">
        <f>OBRA!U812</f>
        <v>45453</v>
      </c>
      <c r="T811" s="692"/>
      <c r="U811" s="203"/>
      <c r="V811" s="508"/>
      <c r="W811" s="509"/>
      <c r="X811" s="534">
        <f>OBRA!AR812</f>
        <v>0</v>
      </c>
      <c r="Y811" s="309"/>
      <c r="Z811" s="309"/>
      <c r="AA811" s="5"/>
      <c r="AB811" s="313"/>
      <c r="AC811" s="317">
        <f>OBRA!BW812</f>
        <v>0</v>
      </c>
      <c r="AD811" s="352"/>
      <c r="AE811" s="352"/>
    </row>
    <row r="812" spans="1:31" ht="21" hidden="1" customHeight="1">
      <c r="A812" s="22" t="s">
        <v>2206</v>
      </c>
      <c r="B812" s="809">
        <f>GRAL!B1036</f>
        <v>0</v>
      </c>
      <c r="C812" s="16">
        <f>OBRA!J813</f>
        <v>2024</v>
      </c>
      <c r="D812" s="1415"/>
      <c r="E812" s="17" t="str">
        <f>OBRA!M813</f>
        <v>CUENTA CORRIENTE</v>
      </c>
      <c r="F812" s="1170"/>
      <c r="G812" s="1108"/>
      <c r="H812" s="219"/>
      <c r="I812" s="1108"/>
      <c r="J812" s="54"/>
      <c r="K812" s="55"/>
      <c r="L812" s="19" t="str">
        <f>OBRA!N813</f>
        <v>C- OP 017/2024</v>
      </c>
      <c r="M812" s="2" t="str">
        <f>OBRA!O813</f>
        <v>ARRENDAMIENTO</v>
      </c>
      <c r="N812" s="3" t="str">
        <f>OBRA!P813</f>
        <v>RENTA DE RETROEXCAVADORA CAT SERIE 416E, PARA TRABAJOS DE DEMOLICIÓN Y ADECUACIONES PARA LOS EQUIPOS DE PERFORACIÓN DE POZO PROFUNDO, EN LA CABECERA MUNICIPAL DE JOCOTEPEC, JALISCO.</v>
      </c>
      <c r="O812" s="541"/>
      <c r="P812" s="6">
        <f>OBRA!S813</f>
        <v>45372</v>
      </c>
      <c r="Q812" s="4">
        <f>OBRA!R813</f>
        <v>696</v>
      </c>
      <c r="R812" s="5">
        <f>OBRA!T813</f>
        <v>45358</v>
      </c>
      <c r="S812" s="11">
        <f>OBRA!U813</f>
        <v>45363</v>
      </c>
      <c r="T812" s="692"/>
      <c r="U812" s="203"/>
      <c r="V812" s="508"/>
      <c r="W812" s="509"/>
      <c r="X812" s="534">
        <f>OBRA!AR813</f>
        <v>0</v>
      </c>
      <c r="Y812" s="309"/>
      <c r="Z812" s="309"/>
      <c r="AA812" s="5"/>
      <c r="AB812" s="313"/>
      <c r="AC812" s="317">
        <f>OBRA!BW813</f>
        <v>0</v>
      </c>
      <c r="AD812" s="352"/>
      <c r="AE812" s="352"/>
    </row>
    <row r="813" spans="1:31" ht="21" hidden="1" customHeight="1">
      <c r="A813" s="22" t="s">
        <v>2206</v>
      </c>
      <c r="B813" s="809">
        <f>GRAL!B1037</f>
        <v>0</v>
      </c>
      <c r="C813" s="16">
        <f>OBRA!J814</f>
        <v>2024</v>
      </c>
      <c r="D813" s="1415"/>
      <c r="E813" s="17" t="str">
        <f>OBRA!M814</f>
        <v>CUENTA CORRIENTE</v>
      </c>
      <c r="F813" s="1170"/>
      <c r="G813" s="1108"/>
      <c r="H813" s="219"/>
      <c r="I813" s="1108"/>
      <c r="J813" s="54"/>
      <c r="K813" s="55"/>
      <c r="L813" s="19" t="str">
        <f>OBRA!N814</f>
        <v>C- OP 018/2024</v>
      </c>
      <c r="M813" s="2" t="str">
        <f>OBRA!O814</f>
        <v>ARRENDAMIENTO</v>
      </c>
      <c r="N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3" s="541"/>
      <c r="P813" s="6">
        <f>OBRA!S814</f>
        <v>45415</v>
      </c>
      <c r="Q813" s="4">
        <f>OBRA!R814</f>
        <v>3329.2</v>
      </c>
      <c r="R813" s="5">
        <f>OBRA!T814</f>
        <v>45418</v>
      </c>
      <c r="S813" s="11">
        <f>OBRA!U814</f>
        <v>45437</v>
      </c>
      <c r="T813" s="692"/>
      <c r="U813" s="203"/>
      <c r="V813" s="508"/>
      <c r="W813" s="509"/>
      <c r="X813" s="534">
        <f>OBRA!AR814</f>
        <v>0</v>
      </c>
      <c r="Y813" s="309"/>
      <c r="Z813" s="309"/>
      <c r="AA813" s="5"/>
      <c r="AB813" s="313"/>
      <c r="AC813" s="317">
        <f>OBRA!BW814</f>
        <v>0</v>
      </c>
      <c r="AD813" s="352"/>
      <c r="AE813" s="352"/>
    </row>
    <row r="814" spans="1:31" ht="21" hidden="1" customHeight="1">
      <c r="A814" s="22" t="s">
        <v>2206</v>
      </c>
      <c r="B814" s="809">
        <f>GRAL!B1038</f>
        <v>0</v>
      </c>
      <c r="C814" s="16">
        <f>OBRA!J815</f>
        <v>2024</v>
      </c>
      <c r="D814" s="1415"/>
      <c r="E814" s="17" t="str">
        <f>OBRA!M815</f>
        <v>CUENTA CORRIENTE</v>
      </c>
      <c r="F814" s="1170"/>
      <c r="G814" s="1108"/>
      <c r="H814" s="219"/>
      <c r="I814" s="1108"/>
      <c r="J814" s="54"/>
      <c r="K814" s="55"/>
      <c r="L814" s="19" t="str">
        <f>OBRA!N815</f>
        <v>C- OP 019/2024</v>
      </c>
      <c r="M814" s="2" t="str">
        <f>OBRA!O815</f>
        <v>CANCELADA</v>
      </c>
      <c r="N814" s="3">
        <f>OBRA!P815</f>
        <v>0</v>
      </c>
      <c r="O814" s="541"/>
      <c r="P814" s="6" t="str">
        <f>OBRA!S815</f>
        <v>-</v>
      </c>
      <c r="Q814" s="4">
        <f>OBRA!R815</f>
        <v>0</v>
      </c>
      <c r="R814" s="5">
        <f>OBRA!T815</f>
        <v>0</v>
      </c>
      <c r="S814" s="11">
        <f>OBRA!U815</f>
        <v>0</v>
      </c>
      <c r="T814" s="692"/>
      <c r="U814" s="203"/>
      <c r="V814" s="508"/>
      <c r="W814" s="509"/>
      <c r="X814" s="534">
        <f>OBRA!AR815</f>
        <v>0</v>
      </c>
      <c r="Y814" s="309"/>
      <c r="Z814" s="309"/>
      <c r="AA814" s="5"/>
      <c r="AB814" s="313"/>
      <c r="AC814" s="317">
        <f>OBRA!BW815</f>
        <v>0</v>
      </c>
      <c r="AD814" s="352"/>
      <c r="AE814" s="352"/>
    </row>
    <row r="815" spans="1:31" ht="21" hidden="1" customHeight="1">
      <c r="A815" s="22" t="s">
        <v>2206</v>
      </c>
      <c r="B815" s="809">
        <f>GRAL!B1039</f>
        <v>0</v>
      </c>
      <c r="C815" s="16">
        <f>OBRA!J816</f>
        <v>2024</v>
      </c>
      <c r="D815" s="1415"/>
      <c r="E815" s="17" t="str">
        <f>OBRA!M816</f>
        <v>CUENTA CORRIENTE</v>
      </c>
      <c r="F815" s="1170"/>
      <c r="G815" s="1108"/>
      <c r="H815" s="219"/>
      <c r="I815" s="1108"/>
      <c r="J815" s="54"/>
      <c r="K815" s="55"/>
      <c r="L815" s="19" t="str">
        <f>OBRA!N816</f>
        <v>C- OP 020/2024</v>
      </c>
      <c r="M815" s="2" t="str">
        <f>OBRA!O816</f>
        <v>ARRENDAMIENTO</v>
      </c>
      <c r="N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5" s="541"/>
      <c r="P815" s="6">
        <f>OBRA!S816</f>
        <v>45468</v>
      </c>
      <c r="Q815" s="4">
        <f>OBRA!R816</f>
        <v>2888.3999999999996</v>
      </c>
      <c r="R815" s="5">
        <f>OBRA!T816</f>
        <v>45469</v>
      </c>
      <c r="S815" s="11">
        <f>OBRA!U816</f>
        <v>45499</v>
      </c>
      <c r="T815" s="692"/>
      <c r="U815" s="203"/>
      <c r="V815" s="508"/>
      <c r="W815" s="509"/>
      <c r="X815" s="534">
        <f>OBRA!AR816</f>
        <v>0</v>
      </c>
      <c r="Y815" s="309"/>
      <c r="Z815" s="309"/>
      <c r="AA815" s="5"/>
      <c r="AB815" s="313"/>
      <c r="AC815" s="317">
        <f>OBRA!BW816</f>
        <v>0</v>
      </c>
      <c r="AD815" s="352"/>
      <c r="AE815" s="352"/>
    </row>
    <row r="816" spans="1:31" ht="21" hidden="1" customHeight="1">
      <c r="A816" s="22" t="s">
        <v>2206</v>
      </c>
      <c r="B816" s="809">
        <f>GRAL!B1040</f>
        <v>0</v>
      </c>
      <c r="C816" s="16">
        <f>OBRA!J817</f>
        <v>2024</v>
      </c>
      <c r="D816" s="1415"/>
      <c r="E816" s="17" t="str">
        <f>OBRA!M817</f>
        <v>CUENTA CORRIENTE</v>
      </c>
      <c r="F816" s="1170"/>
      <c r="G816" s="1108"/>
      <c r="H816" s="219"/>
      <c r="I816" s="1108"/>
      <c r="J816" s="54"/>
      <c r="K816" s="55"/>
      <c r="L816" s="19" t="str">
        <f>OBRA!N817</f>
        <v>C- OP 021/2024</v>
      </c>
      <c r="M816" s="2" t="str">
        <f>OBRA!O817</f>
        <v>ARRENDAMIENTO</v>
      </c>
      <c r="N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6" s="541"/>
      <c r="P816" s="6">
        <f>OBRA!S817</f>
        <v>45397</v>
      </c>
      <c r="Q816" s="4">
        <f>OBRA!R817</f>
        <v>1252.8</v>
      </c>
      <c r="R816" s="5">
        <f>OBRA!T817</f>
        <v>45399</v>
      </c>
      <c r="S816" s="11">
        <f>OBRA!U817</f>
        <v>45434</v>
      </c>
      <c r="T816" s="692"/>
      <c r="U816" s="203"/>
      <c r="V816" s="508"/>
      <c r="W816" s="509"/>
      <c r="X816" s="534">
        <f>OBRA!AR817</f>
        <v>0</v>
      </c>
      <c r="Y816" s="309"/>
      <c r="Z816" s="309"/>
      <c r="AA816" s="5"/>
      <c r="AB816" s="313"/>
      <c r="AC816" s="317">
        <f>OBRA!BW817</f>
        <v>0</v>
      </c>
      <c r="AD816" s="352"/>
      <c r="AE816" s="352"/>
    </row>
    <row r="817" spans="1:31" ht="21" hidden="1" customHeight="1">
      <c r="A817" s="22" t="s">
        <v>2206</v>
      </c>
      <c r="B817" s="809">
        <f>GRAL!B1041</f>
        <v>0</v>
      </c>
      <c r="C817" s="16">
        <f>OBRA!J818</f>
        <v>2024</v>
      </c>
      <c r="D817" s="1415"/>
      <c r="E817" s="17" t="str">
        <f>OBRA!M818</f>
        <v>CUENTA CORRIENTE</v>
      </c>
      <c r="F817" s="1170"/>
      <c r="G817" s="1108"/>
      <c r="H817" s="219"/>
      <c r="I817" s="1108"/>
      <c r="J817" s="54"/>
      <c r="K817" s="55"/>
      <c r="L817" s="19" t="str">
        <f>OBRA!N818</f>
        <v>C- OP 022/2024</v>
      </c>
      <c r="M817" s="2" t="str">
        <f>OBRA!O818</f>
        <v>CANCELADA</v>
      </c>
      <c r="N817" s="3">
        <f>OBRA!P818</f>
        <v>0</v>
      </c>
      <c r="O817" s="541"/>
      <c r="P817" s="6" t="str">
        <f>OBRA!S818</f>
        <v>-</v>
      </c>
      <c r="Q817" s="4">
        <f>OBRA!R818</f>
        <v>0</v>
      </c>
      <c r="R817" s="5">
        <f>OBRA!T818</f>
        <v>0</v>
      </c>
      <c r="S817" s="11">
        <f>OBRA!U818</f>
        <v>0</v>
      </c>
      <c r="T817" s="692"/>
      <c r="U817" s="203"/>
      <c r="V817" s="508"/>
      <c r="W817" s="509"/>
      <c r="X817" s="534">
        <f>OBRA!AR818</f>
        <v>0</v>
      </c>
      <c r="Y817" s="309"/>
      <c r="Z817" s="309"/>
      <c r="AA817" s="5"/>
      <c r="AB817" s="313"/>
      <c r="AC817" s="317">
        <f>OBRA!BW818</f>
        <v>0</v>
      </c>
      <c r="AD817" s="352"/>
      <c r="AE817" s="352"/>
    </row>
    <row r="818" spans="1:31" ht="21" hidden="1" customHeight="1">
      <c r="A818" s="22" t="s">
        <v>2206</v>
      </c>
      <c r="B818" s="809">
        <f>GRAL!B1042</f>
        <v>0</v>
      </c>
      <c r="C818" s="16">
        <f>OBRA!J819</f>
        <v>2024</v>
      </c>
      <c r="D818" s="1415"/>
      <c r="E818" s="17" t="str">
        <f>OBRA!M819</f>
        <v>CUENTA CORRIENTE</v>
      </c>
      <c r="F818" s="1170"/>
      <c r="G818" s="1108"/>
      <c r="H818" s="219"/>
      <c r="I818" s="1108"/>
      <c r="J818" s="54"/>
      <c r="K818" s="55"/>
      <c r="L818" s="19" t="str">
        <f>OBRA!N819</f>
        <v>C- OP 023/2024</v>
      </c>
      <c r="M818" s="2" t="str">
        <f>OBRA!O819</f>
        <v>ARRENDAMIENTO</v>
      </c>
      <c r="N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8" s="541"/>
      <c r="P818" s="6">
        <f>OBRA!S819</f>
        <v>45491</v>
      </c>
      <c r="Q818" s="4">
        <f>OBRA!R819</f>
        <v>1400.0039999999999</v>
      </c>
      <c r="R818" s="5">
        <f>OBRA!T819</f>
        <v>45495</v>
      </c>
      <c r="S818" s="11">
        <f>OBRA!U819</f>
        <v>45504</v>
      </c>
      <c r="T818" s="692"/>
      <c r="U818" s="203"/>
      <c r="V818" s="508"/>
      <c r="W818" s="509"/>
      <c r="X818" s="534">
        <f>OBRA!AR819</f>
        <v>0</v>
      </c>
      <c r="Y818" s="309"/>
      <c r="Z818" s="309"/>
      <c r="AA818" s="5"/>
      <c r="AB818" s="313"/>
      <c r="AC818" s="317">
        <f>OBRA!BW819</f>
        <v>0</v>
      </c>
      <c r="AD818" s="352"/>
      <c r="AE818" s="352"/>
    </row>
    <row r="819" spans="1:31" ht="21" hidden="1" customHeight="1">
      <c r="A819" s="22" t="s">
        <v>2206</v>
      </c>
      <c r="B819" s="809">
        <f>GRAL!B1043</f>
        <v>0</v>
      </c>
      <c r="C819" s="16">
        <f>OBRA!J820</f>
        <v>2024</v>
      </c>
      <c r="D819" s="1415"/>
      <c r="E819" s="17" t="str">
        <f>OBRA!M820</f>
        <v>CUENTA CORRIENTE</v>
      </c>
      <c r="F819" s="1170"/>
      <c r="G819" s="1108"/>
      <c r="H819" s="219"/>
      <c r="I819" s="1108"/>
      <c r="J819" s="54"/>
      <c r="K819" s="55"/>
      <c r="L819" s="19" t="str">
        <f>OBRA!N820</f>
        <v>C- OP 024/2024</v>
      </c>
      <c r="M819" s="2" t="str">
        <f>OBRA!O820</f>
        <v>ARRENDAMIENTO</v>
      </c>
      <c r="N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9" s="541"/>
      <c r="P819" s="6">
        <f>OBRA!S820</f>
        <v>45531</v>
      </c>
      <c r="Q819" s="4">
        <f>OBRA!R820</f>
        <v>9512</v>
      </c>
      <c r="R819" s="5">
        <f>OBRA!T820</f>
        <v>45533</v>
      </c>
      <c r="S819" s="11">
        <f>OBRA!U820</f>
        <v>45537</v>
      </c>
      <c r="T819" s="692"/>
      <c r="U819" s="203"/>
      <c r="V819" s="508"/>
      <c r="W819" s="509"/>
      <c r="X819" s="534">
        <f>OBRA!AR820</f>
        <v>0</v>
      </c>
      <c r="Y819" s="309"/>
      <c r="Z819" s="309"/>
      <c r="AA819" s="5"/>
      <c r="AB819" s="313"/>
      <c r="AC819" s="317">
        <f>OBRA!BW820</f>
        <v>0</v>
      </c>
      <c r="AD819" s="352"/>
      <c r="AE819" s="352"/>
    </row>
    <row r="820" spans="1:31" ht="21" hidden="1" customHeight="1">
      <c r="A820" s="22" t="s">
        <v>2206</v>
      </c>
      <c r="B820" s="809">
        <f>GRAL!B1044</f>
        <v>0</v>
      </c>
      <c r="C820" s="16">
        <f>OBRA!J821</f>
        <v>2024</v>
      </c>
      <c r="D820" s="1415"/>
      <c r="E820" s="17" t="str">
        <f>OBRA!M821</f>
        <v>CUENTA CORRIENTE</v>
      </c>
      <c r="F820" s="1170"/>
      <c r="G820" s="1108"/>
      <c r="H820" s="219"/>
      <c r="I820" s="1108"/>
      <c r="J820" s="54"/>
      <c r="K820" s="55"/>
      <c r="L820" s="19" t="str">
        <f>OBRA!N821</f>
        <v>C- OP 025/2024</v>
      </c>
      <c r="M820" s="2" t="str">
        <f>OBRA!O821</f>
        <v>ARRENDAMIENTO</v>
      </c>
      <c r="N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1"/>
      <c r="P820" s="6">
        <f>OBRA!S821</f>
        <v>45474</v>
      </c>
      <c r="Q820" s="4">
        <f>OBRA!R821</f>
        <v>4452.1611999999996</v>
      </c>
      <c r="R820" s="5">
        <f>OBRA!T821</f>
        <v>45488</v>
      </c>
      <c r="S820" s="11">
        <f>OBRA!U821</f>
        <v>45545</v>
      </c>
      <c r="T820" s="692"/>
      <c r="U820" s="203"/>
      <c r="V820" s="508"/>
      <c r="W820" s="509"/>
      <c r="X820" s="534">
        <f>OBRA!AR821</f>
        <v>0</v>
      </c>
      <c r="Y820" s="309"/>
      <c r="Z820" s="309"/>
      <c r="AA820" s="5"/>
      <c r="AB820" s="313"/>
      <c r="AC820" s="317">
        <f>OBRA!BW821</f>
        <v>0</v>
      </c>
      <c r="AD820" s="352"/>
      <c r="AE820" s="352"/>
    </row>
    <row r="821" spans="1:31" ht="21" hidden="1" customHeight="1">
      <c r="A821" s="22" t="s">
        <v>2206</v>
      </c>
      <c r="B821" s="809">
        <f>GRAL!B1045</f>
        <v>0</v>
      </c>
      <c r="C821" s="16">
        <f>OBRA!J822</f>
        <v>2024</v>
      </c>
      <c r="D821" s="1415"/>
      <c r="E821" s="17" t="str">
        <f>OBRA!M822</f>
        <v>CUENTA CORRIENTE</v>
      </c>
      <c r="F821" s="1170"/>
      <c r="G821" s="1108"/>
      <c r="H821" s="219"/>
      <c r="I821" s="1108"/>
      <c r="J821" s="54"/>
      <c r="K821" s="55"/>
      <c r="L821" s="19" t="str">
        <f>OBRA!N822</f>
        <v>C- OP 026/2024</v>
      </c>
      <c r="M821" s="2" t="str">
        <f>OBRA!O822</f>
        <v>ARRENDAMIENTO</v>
      </c>
      <c r="N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1" s="541"/>
      <c r="P821" s="6">
        <f>OBRA!S822</f>
        <v>45474</v>
      </c>
      <c r="Q821" s="4">
        <f>OBRA!R822</f>
        <v>4452.1611999999996</v>
      </c>
      <c r="R821" s="5">
        <f>OBRA!T822</f>
        <v>45488</v>
      </c>
      <c r="S821" s="11">
        <f>OBRA!U822</f>
        <v>45545</v>
      </c>
      <c r="T821" s="692"/>
      <c r="U821" s="203"/>
      <c r="V821" s="508"/>
      <c r="W821" s="509"/>
      <c r="X821" s="534">
        <f>OBRA!AR822</f>
        <v>0</v>
      </c>
      <c r="Y821" s="309"/>
      <c r="Z821" s="309"/>
      <c r="AA821" s="5"/>
      <c r="AB821" s="313"/>
      <c r="AC821" s="317">
        <f>OBRA!BW822</f>
        <v>0</v>
      </c>
      <c r="AD821" s="352"/>
      <c r="AE821" s="352"/>
    </row>
    <row r="822" spans="1:31" ht="21" hidden="1" customHeight="1">
      <c r="A822" s="22" t="s">
        <v>2206</v>
      </c>
      <c r="B822" s="809">
        <f>GRAL!B1046</f>
        <v>0</v>
      </c>
      <c r="C822" s="16">
        <f>OBRA!J823</f>
        <v>2024</v>
      </c>
      <c r="D822" s="1415"/>
      <c r="E822" s="17" t="str">
        <f>OBRA!M823</f>
        <v>CUENTA CORRIENTE</v>
      </c>
      <c r="F822" s="1170"/>
      <c r="G822" s="1108"/>
      <c r="H822" s="219"/>
      <c r="I822" s="1108"/>
      <c r="J822" s="54"/>
      <c r="K822" s="55"/>
      <c r="L822" s="19" t="str">
        <f>OBRA!N823</f>
        <v>C- OP 027/2024</v>
      </c>
      <c r="M822" s="2" t="str">
        <f>OBRA!O823</f>
        <v>ARRENDAMIENTO</v>
      </c>
      <c r="N822" s="3" t="str">
        <f>OBRA!P823</f>
        <v>RENTA DE UNA RETROEXCAVADORA 420E, UN CAMIÓN VOLTEO DE 14 M3 Y JORNAL DE LIMPIEZA, PARA LOS TRABAJOS DE LIMPIEZA EN LA CALLE DEGOLLADO DE CALLE MATAMOROS A CALLE NICOLÁS BRAVO, EN LA CABECERA MUNICIPAL DE JOCOTEPEC, JALISCO.</v>
      </c>
      <c r="O822" s="541"/>
      <c r="P822" s="6">
        <f>OBRA!S823</f>
        <v>45541</v>
      </c>
      <c r="Q822" s="4">
        <f>OBRA!R823</f>
        <v>2204</v>
      </c>
      <c r="R822" s="5">
        <f>OBRA!T823</f>
        <v>45544</v>
      </c>
      <c r="S822" s="11">
        <f>OBRA!U823</f>
        <v>45548</v>
      </c>
      <c r="T822" s="692"/>
      <c r="U822" s="203"/>
      <c r="V822" s="508"/>
      <c r="W822" s="509"/>
      <c r="X822" s="534">
        <f>OBRA!AR823</f>
        <v>0</v>
      </c>
      <c r="Y822" s="309"/>
      <c r="Z822" s="309"/>
      <c r="AA822" s="5"/>
      <c r="AB822" s="313"/>
      <c r="AC822" s="317">
        <f>OBRA!BW823</f>
        <v>0</v>
      </c>
      <c r="AD822" s="352"/>
      <c r="AE822" s="352"/>
    </row>
    <row r="823" spans="1:31" ht="21" hidden="1" customHeight="1">
      <c r="A823" s="22" t="s">
        <v>2206</v>
      </c>
      <c r="B823" s="809">
        <f>GRAL!B1030</f>
        <v>0</v>
      </c>
      <c r="C823" s="16">
        <f>OBRA!J824</f>
        <v>2024</v>
      </c>
      <c r="D823" s="1415"/>
      <c r="E823" s="17" t="str">
        <f>OBRA!M824</f>
        <v>REGULARIZACIÓN DE VEHÍCULOS DE PROCEDENCIA EXTRANJERA - RAMO 23/2024</v>
      </c>
      <c r="F823" s="1170"/>
      <c r="G823" s="1108"/>
      <c r="H823" s="219"/>
      <c r="I823" s="1108"/>
      <c r="J823" s="54"/>
      <c r="K823" s="55"/>
      <c r="L823" s="19" t="str">
        <f>OBRA!N824</f>
        <v>DOP/AD/001/2024</v>
      </c>
      <c r="M823" s="2" t="str">
        <f>OBRA!O824</f>
        <v>ADMINISTRACIÓN DIRECTA</v>
      </c>
      <c r="N823" s="3" t="str">
        <f>OBRA!P824</f>
        <v>"BACHEO SUPERFICIAL AISLADO CON MEZCLA ASFÁLTICA EN LA CALLE NIÑÓS HÉROES ENTRE CALLE DEGOLLADO Y CALLE ITURBIDE EN EL BARRIO LA CALABAZA DE LA CABECERA MUNICIPAL DE JOCOTEPEC, JALISCO, MUNICIPIO DE JOCOTEPEC, JALISCO</v>
      </c>
      <c r="O823" s="541"/>
      <c r="P823" s="6" t="str">
        <f>OBRA!S824</f>
        <v>-</v>
      </c>
      <c r="Q823" s="4">
        <f>OBRA!R824</f>
        <v>89910</v>
      </c>
      <c r="R823" s="5">
        <f>OBRA!T824</f>
        <v>45392</v>
      </c>
      <c r="S823" s="11">
        <f>OBRA!U824</f>
        <v>45394</v>
      </c>
      <c r="T823" s="692"/>
      <c r="U823" s="203"/>
      <c r="V823" s="508"/>
      <c r="W823" s="509"/>
      <c r="X823" s="534">
        <f>OBRA!AR824</f>
        <v>0</v>
      </c>
      <c r="Y823" s="309"/>
      <c r="Z823" s="309"/>
      <c r="AA823" s="5"/>
      <c r="AB823" s="313"/>
      <c r="AC823" s="317">
        <f>OBRA!BW824</f>
        <v>0</v>
      </c>
      <c r="AD823" s="352"/>
      <c r="AE823" s="352"/>
    </row>
    <row r="824" spans="1:31" ht="21" hidden="1" customHeight="1">
      <c r="A824" s="22" t="s">
        <v>2206</v>
      </c>
      <c r="B824" s="809">
        <f>GRAL!B1031</f>
        <v>0</v>
      </c>
      <c r="C824" s="16">
        <f>OBRA!J825</f>
        <v>2024</v>
      </c>
      <c r="D824" s="1415"/>
      <c r="E824" s="17" t="str">
        <f>OBRA!M825</f>
        <v>RAMO 33</v>
      </c>
      <c r="F824" s="1170"/>
      <c r="G824" s="1108"/>
      <c r="H824" s="219"/>
      <c r="I824" s="1108"/>
      <c r="J824" s="54"/>
      <c r="K824" s="55"/>
      <c r="L824" s="19" t="str">
        <f>OBRA!N825</f>
        <v>DOP/AD/002/2024</v>
      </c>
      <c r="M824" s="2" t="str">
        <f>OBRA!O825</f>
        <v>ADMINISTRACIÓN DIRECTA</v>
      </c>
      <c r="N824" s="3" t="str">
        <f>OBRA!P825</f>
        <v>"CONSTRUCCIÓN DE DRENAJE EN CARRETERA JOCOTEPEC-CHAPALA DE CALLE XOCHITL A CALLE PLAYAS DEL SOL", EN LA LOCALIDAD DE CHANTEPEC, MUNICIPIO DE JOCOTEPEC, JALISCO.</v>
      </c>
      <c r="O824" s="541"/>
      <c r="P824" s="6">
        <f>OBRA!S825</f>
        <v>45414</v>
      </c>
      <c r="Q824" s="4">
        <f>OBRA!R825</f>
        <v>448614.85</v>
      </c>
      <c r="R824" s="5">
        <f>OBRA!T825</f>
        <v>45418</v>
      </c>
      <c r="S824" s="11">
        <f>OBRA!U825</f>
        <v>45437</v>
      </c>
      <c r="T824" s="692"/>
      <c r="U824" s="203"/>
      <c r="V824" s="508"/>
      <c r="W824" s="509"/>
      <c r="X824" s="534">
        <f>OBRA!AR825</f>
        <v>0</v>
      </c>
      <c r="Y824" s="309"/>
      <c r="Z824" s="309"/>
      <c r="AA824" s="5"/>
      <c r="AB824" s="313"/>
      <c r="AC824" s="317">
        <f>OBRA!BW825</f>
        <v>0</v>
      </c>
      <c r="AD824" s="352"/>
      <c r="AE824" s="352"/>
    </row>
    <row r="825" spans="1:31" ht="21" hidden="1" customHeight="1">
      <c r="A825" s="22" t="s">
        <v>2206</v>
      </c>
      <c r="B825" s="809">
        <f>GRAL!B1032</f>
        <v>0</v>
      </c>
      <c r="C825" s="16">
        <f>OBRA!J826</f>
        <v>2024</v>
      </c>
      <c r="D825" s="1415"/>
      <c r="E825" s="17" t="str">
        <f>OBRA!M826</f>
        <v>CUENTA CORRIENTE</v>
      </c>
      <c r="F825" s="1170"/>
      <c r="G825" s="1108"/>
      <c r="H825" s="219"/>
      <c r="I825" s="1108"/>
      <c r="J825" s="54"/>
      <c r="K825" s="55"/>
      <c r="L825" s="19" t="str">
        <f>OBRA!N826</f>
        <v>DOP/AD/003/2024</v>
      </c>
      <c r="M825" s="2" t="str">
        <f>OBRA!O826</f>
        <v>ADMINISTRACIÓN DIRECTA</v>
      </c>
      <c r="N825" s="3" t="str">
        <f>OBRA!P826</f>
        <v xml:space="preserve">"DELIMITACIÓN PERIMETRAL, CASETA DE CONTROL U CLORACIÓN DEL POZO DE AGUA", EN LA LOCALIDAD DE SAN PEDRO TESITÁN </v>
      </c>
      <c r="O825" s="541"/>
      <c r="P825" s="6">
        <f>OBRA!S826</f>
        <v>45432</v>
      </c>
      <c r="Q825" s="4">
        <f>OBRA!R826</f>
        <v>831839.5</v>
      </c>
      <c r="R825" s="5">
        <f>OBRA!T826</f>
        <v>45434</v>
      </c>
      <c r="S825" s="11">
        <f>OBRA!U826</f>
        <v>45478</v>
      </c>
      <c r="T825" s="692"/>
      <c r="U825" s="203"/>
      <c r="V825" s="508"/>
      <c r="W825" s="509"/>
      <c r="X825" s="534">
        <f>OBRA!AR826</f>
        <v>0</v>
      </c>
      <c r="Y825" s="309"/>
      <c r="Z825" s="309"/>
      <c r="AA825" s="5"/>
      <c r="AB825" s="313"/>
      <c r="AC825" s="317">
        <f>OBRA!BW826</f>
        <v>0</v>
      </c>
      <c r="AD825" s="352"/>
      <c r="AE825" s="352"/>
    </row>
    <row r="826" spans="1:31" ht="21" hidden="1" customHeight="1">
      <c r="A826" s="22" t="s">
        <v>2206</v>
      </c>
      <c r="B826" s="809">
        <f>GRAL!B1033</f>
        <v>0</v>
      </c>
      <c r="C826" s="16">
        <f>OBRA!J827</f>
        <v>2024</v>
      </c>
      <c r="D826" s="1415"/>
      <c r="E826" s="17" t="str">
        <f>OBRA!M827</f>
        <v>RAMO 33</v>
      </c>
      <c r="F826" s="1170"/>
      <c r="G826" s="1108"/>
      <c r="H826" s="219"/>
      <c r="I826" s="1108"/>
      <c r="J826" s="54"/>
      <c r="K826" s="55"/>
      <c r="L826" s="19" t="str">
        <f>OBRA!N827</f>
        <v>DOP/AD/004/2024</v>
      </c>
      <c r="M826" s="2" t="str">
        <f>OBRA!O827</f>
        <v>ADMINISTRACIÓN DIRECTA</v>
      </c>
      <c r="N826" s="3" t="str">
        <f>OBRA!P827</f>
        <v>"REHABILITACIÓN DE SUPERFICIE DE RODAMIENTO Y CONSTRUCCIÓN DE BOCA DE TORMENTA EN CALLE MATAMOROS", EN LA CABECERA MUNICIPAL DE JOCOTEPEC, JALISCO.</v>
      </c>
      <c r="O826" s="541"/>
      <c r="P826" s="6">
        <f>OBRA!S827</f>
        <v>45474</v>
      </c>
      <c r="Q826" s="4">
        <f>OBRA!R827</f>
        <v>1572787.58</v>
      </c>
      <c r="R826" s="5">
        <f>OBRA!T827</f>
        <v>45488</v>
      </c>
      <c r="S826" s="11">
        <f>OBRA!U827</f>
        <v>45545</v>
      </c>
      <c r="T826" s="692"/>
      <c r="U826" s="203"/>
      <c r="V826" s="508"/>
      <c r="W826" s="509"/>
      <c r="X826" s="534">
        <f>OBRA!AR827</f>
        <v>0</v>
      </c>
      <c r="Y826" s="309"/>
      <c r="Z826" s="309"/>
      <c r="AA826" s="5"/>
      <c r="AB826" s="313"/>
      <c r="AC826" s="317">
        <f>OBRA!BW827</f>
        <v>0</v>
      </c>
      <c r="AD826" s="352"/>
      <c r="AE826" s="352"/>
    </row>
    <row r="827" spans="1:31" ht="21" hidden="1" customHeight="1">
      <c r="A827" s="22" t="s">
        <v>2206</v>
      </c>
      <c r="B827" s="809">
        <f>GRAL!B1034</f>
        <v>0</v>
      </c>
      <c r="C827" s="16">
        <f>OBRA!J828</f>
        <v>2024</v>
      </c>
      <c r="D827" s="1415"/>
      <c r="E827" s="17" t="str">
        <f>OBRA!M828</f>
        <v>CUENTA CORRIENTE</v>
      </c>
      <c r="F827" s="1170"/>
      <c r="G827" s="1108"/>
      <c r="H827" s="219"/>
      <c r="I827" s="1108"/>
      <c r="J827" s="54"/>
      <c r="K827" s="55"/>
      <c r="L827" s="19" t="str">
        <f>OBRA!N828</f>
        <v>DOP/AD/005/2024</v>
      </c>
      <c r="M827" s="2" t="str">
        <f>OBRA!O828</f>
        <v>ADMINISTRACIÓN DIRECTA</v>
      </c>
      <c r="N827" s="3" t="str">
        <f>OBRA!P828</f>
        <v>"REHABILITACIÓN DE SUPERFICIE DE RODAMIENTO Y CONSTRUCCIÓN DE BOCA DE TORMENTA EN CALLE MATAMOROS", EN LA CABECERA MUNICIPAL DE JOCOTEPEC, JALISCO.</v>
      </c>
      <c r="O827" s="541"/>
      <c r="P827" s="6">
        <f>OBRA!S828</f>
        <v>45492</v>
      </c>
      <c r="Q827" s="4">
        <f>OBRA!R828</f>
        <v>600000</v>
      </c>
      <c r="R827" s="5">
        <f>OBRA!T828</f>
        <v>45496</v>
      </c>
      <c r="S827" s="11">
        <f>OBRA!U828</f>
        <v>45549</v>
      </c>
      <c r="T827" s="692"/>
      <c r="U827" s="203"/>
      <c r="V827" s="508"/>
      <c r="W827" s="509"/>
      <c r="X827" s="534">
        <f>OBRA!AR828</f>
        <v>0</v>
      </c>
      <c r="Y827" s="309"/>
      <c r="Z827" s="309"/>
      <c r="AA827" s="5"/>
      <c r="AB827" s="313"/>
      <c r="AC827" s="317">
        <f>OBRA!BW828</f>
        <v>0</v>
      </c>
      <c r="AD827" s="352"/>
      <c r="AE827" s="352"/>
    </row>
    <row r="828" spans="1:31" ht="21" hidden="1" customHeight="1">
      <c r="A828" s="22" t="s">
        <v>2206</v>
      </c>
      <c r="B828" s="809">
        <f>GRAL!B1035</f>
        <v>0</v>
      </c>
      <c r="C828" s="16">
        <f>OBRA!J829</f>
        <v>2024</v>
      </c>
      <c r="D828" s="1415"/>
      <c r="E828" s="17" t="str">
        <f>OBRA!M829</f>
        <v>RAMO 33</v>
      </c>
      <c r="F828" s="1170"/>
      <c r="G828" s="1108"/>
      <c r="H828" s="219"/>
      <c r="I828" s="1108"/>
      <c r="J828" s="54"/>
      <c r="K828" s="55"/>
      <c r="L828" s="19" t="str">
        <f>OBRA!N829</f>
        <v>DOP/AD/001/2024</v>
      </c>
      <c r="M828" s="2" t="str">
        <f>OBRA!O829</f>
        <v>ADMINISTRACIÓN DIRECTA</v>
      </c>
      <c r="N828" s="3" t="str">
        <f>OBRA!P829</f>
        <v>REHABILITACIÓN DE REDES HIDROSANITARIAS Y SUPERFICIE DE RODAMIENTO EN C. MATAMOROS ENTRE DEGOLLADO Y ALDAMA", EN LA CABECERA MUNICIPAL DE JOCOTEPEC, JALISCO.</v>
      </c>
      <c r="O828" s="541"/>
      <c r="P828" s="6">
        <f>OBRA!S829</f>
        <v>45616</v>
      </c>
      <c r="Q828" s="4">
        <f>OBRA!R829</f>
        <v>1057005.33</v>
      </c>
      <c r="R828" s="5">
        <f>OBRA!T829</f>
        <v>45617</v>
      </c>
      <c r="S828" s="11">
        <f>OBRA!U829</f>
        <v>45645</v>
      </c>
      <c r="T828" s="692"/>
      <c r="U828" s="203"/>
      <c r="V828" s="508"/>
      <c r="W828" s="509"/>
      <c r="X828" s="534">
        <f>OBRA!AR829</f>
        <v>0</v>
      </c>
      <c r="Y828" s="309"/>
      <c r="Z828" s="309"/>
      <c r="AA828" s="5"/>
      <c r="AB828" s="313"/>
      <c r="AC828" s="317">
        <f>OBRA!BW829</f>
        <v>0</v>
      </c>
      <c r="AD828" s="352"/>
      <c r="AE828" s="352"/>
    </row>
    <row r="829" spans="1:31" ht="21" hidden="1" customHeight="1">
      <c r="A829" s="22" t="s">
        <v>2206</v>
      </c>
      <c r="B829" s="809">
        <f>GRAL!B1036</f>
        <v>0</v>
      </c>
      <c r="C829" s="16">
        <f>OBRA!J830</f>
        <v>2024</v>
      </c>
      <c r="D829" s="1415"/>
      <c r="E829" s="17" t="str">
        <f>OBRA!M830</f>
        <v>RAMO 33</v>
      </c>
      <c r="F829" s="1170"/>
      <c r="G829" s="1108"/>
      <c r="H829" s="219"/>
      <c r="I829" s="1108"/>
      <c r="J829" s="54"/>
      <c r="K829" s="55"/>
      <c r="L829" s="19" t="str">
        <f>OBRA!N830</f>
        <v>DOP/AD/002/2024</v>
      </c>
      <c r="M829" s="2" t="str">
        <f>OBRA!O830</f>
        <v>ADMINISTRACIÓN DIRECTA</v>
      </c>
      <c r="N829" s="3" t="str">
        <f>OBRA!P830</f>
        <v>"CONSTRUCCIÓN DE SUPERFICIE DE RODAMIENTO EN CALLE JOSÉ SANTANA DE C. RIVERA DEL LAGO A 30 ML HACIA COLÓN", EN LA CABECERA MUNICIPAL DE JOCOTEPEC, JALISCO.</v>
      </c>
      <c r="O829" s="541"/>
      <c r="P829" s="6">
        <f>OBRA!S830</f>
        <v>45616</v>
      </c>
      <c r="Q829" s="4">
        <f>OBRA!R830</f>
        <v>722232.67</v>
      </c>
      <c r="R829" s="5">
        <f>OBRA!T830</f>
        <v>45618</v>
      </c>
      <c r="S829" s="11">
        <f>OBRA!U830</f>
        <v>45645</v>
      </c>
      <c r="T829" s="692"/>
      <c r="U829" s="203"/>
      <c r="V829" s="508"/>
      <c r="W829" s="509"/>
      <c r="X829" s="534">
        <f>OBRA!AR830</f>
        <v>0</v>
      </c>
      <c r="Y829" s="309"/>
      <c r="Z829" s="309"/>
      <c r="AA829" s="5"/>
      <c r="AB829" s="313"/>
      <c r="AC829" s="317">
        <f>OBRA!BW830</f>
        <v>0</v>
      </c>
      <c r="AD829" s="352"/>
      <c r="AE829" s="352"/>
    </row>
    <row r="830" spans="1:31" ht="21" hidden="1" customHeight="1">
      <c r="A830" s="22" t="s">
        <v>2206</v>
      </c>
      <c r="B830" s="809">
        <f>GRAL!B1037</f>
        <v>0</v>
      </c>
      <c r="C830" s="16">
        <f>OBRA!J831</f>
        <v>2024</v>
      </c>
      <c r="D830" s="1415"/>
      <c r="E830" s="17">
        <f>OBRA!M831</f>
        <v>0</v>
      </c>
      <c r="F830" s="1170"/>
      <c r="G830" s="1108"/>
      <c r="H830" s="219"/>
      <c r="I830" s="1108"/>
      <c r="J830" s="54"/>
      <c r="K830" s="55"/>
      <c r="L830" s="19" t="str">
        <f>OBRA!N831</f>
        <v>DOP/AD/003/2024</v>
      </c>
      <c r="M830" s="2" t="str">
        <f>OBRA!O831</f>
        <v>ADMINISTRACIÓN DIRECTA</v>
      </c>
      <c r="N830" s="3">
        <f>OBRA!P831</f>
        <v>0</v>
      </c>
      <c r="O830" s="541"/>
      <c r="P830" s="6" t="str">
        <f>OBRA!S831</f>
        <v>-</v>
      </c>
      <c r="Q830" s="4">
        <f>OBRA!R831</f>
        <v>0</v>
      </c>
      <c r="R830" s="5">
        <f>OBRA!T831</f>
        <v>0</v>
      </c>
      <c r="S830" s="11">
        <f>OBRA!U831</f>
        <v>0</v>
      </c>
      <c r="T830" s="692"/>
      <c r="U830" s="203"/>
      <c r="V830" s="508"/>
      <c r="W830" s="509"/>
      <c r="X830" s="534">
        <f>OBRA!AR831</f>
        <v>0</v>
      </c>
      <c r="Y830" s="309"/>
      <c r="Z830" s="309"/>
      <c r="AA830" s="5"/>
      <c r="AB830" s="313"/>
      <c r="AC830" s="317">
        <f>OBRA!BW831</f>
        <v>0</v>
      </c>
      <c r="AD830" s="352"/>
      <c r="AE830" s="352"/>
    </row>
    <row r="831" spans="1:31" ht="21" hidden="1" customHeight="1">
      <c r="A831" s="22" t="s">
        <v>2206</v>
      </c>
      <c r="B831" s="809">
        <f>GRAL!B1038</f>
        <v>0</v>
      </c>
      <c r="C831" s="16">
        <f>OBRA!J832</f>
        <v>2024</v>
      </c>
      <c r="D831" s="1415"/>
      <c r="E831" s="17">
        <f>OBRA!M832</f>
        <v>0</v>
      </c>
      <c r="F831" s="1170"/>
      <c r="G831" s="1108"/>
      <c r="H831" s="219"/>
      <c r="I831" s="1108"/>
      <c r="J831" s="54"/>
      <c r="K831" s="55"/>
      <c r="L831" s="19" t="str">
        <f>OBRA!N832</f>
        <v>DOP/AD/004/2024</v>
      </c>
      <c r="M831" s="2" t="str">
        <f>OBRA!O832</f>
        <v>ADMINISTRACIÓN DIRECTA</v>
      </c>
      <c r="N831" s="3">
        <f>OBRA!P832</f>
        <v>0</v>
      </c>
      <c r="O831" s="541"/>
      <c r="P831" s="6" t="str">
        <f>OBRA!S832</f>
        <v>-</v>
      </c>
      <c r="Q831" s="4">
        <f>OBRA!R832</f>
        <v>0</v>
      </c>
      <c r="R831" s="5">
        <f>OBRA!T832</f>
        <v>0</v>
      </c>
      <c r="S831" s="11">
        <f>OBRA!U832</f>
        <v>0</v>
      </c>
      <c r="T831" s="692"/>
      <c r="U831" s="203"/>
      <c r="V831" s="508"/>
      <c r="W831" s="509"/>
      <c r="X831" s="534">
        <f>OBRA!AR832</f>
        <v>0</v>
      </c>
      <c r="Y831" s="309"/>
      <c r="Z831" s="309"/>
      <c r="AA831" s="5"/>
      <c r="AB831" s="313"/>
      <c r="AC831" s="317">
        <f>OBRA!BW832</f>
        <v>0</v>
      </c>
      <c r="AD831" s="352"/>
      <c r="AE831" s="352"/>
    </row>
    <row r="832" spans="1:31" ht="21" hidden="1" customHeight="1">
      <c r="A832" s="22" t="s">
        <v>2206</v>
      </c>
      <c r="B832" s="809">
        <f>GRAL!B1039</f>
        <v>0</v>
      </c>
      <c r="C832" s="16">
        <f>OBRA!J833</f>
        <v>2024</v>
      </c>
      <c r="D832" s="1415"/>
      <c r="E832" s="17">
        <f>OBRA!M833</f>
        <v>0</v>
      </c>
      <c r="F832" s="1170"/>
      <c r="G832" s="1108"/>
      <c r="H832" s="219"/>
      <c r="I832" s="1108"/>
      <c r="J832" s="54"/>
      <c r="K832" s="55"/>
      <c r="L832" s="19" t="str">
        <f>OBRA!N833</f>
        <v>DOP/AD/005/2024</v>
      </c>
      <c r="M832" s="2" t="str">
        <f>OBRA!O833</f>
        <v>ADMINISTRACIÓN DIRECTA</v>
      </c>
      <c r="N832" s="3">
        <f>OBRA!P833</f>
        <v>0</v>
      </c>
      <c r="O832" s="541"/>
      <c r="P832" s="6" t="str">
        <f>OBRA!S833</f>
        <v>-</v>
      </c>
      <c r="Q832" s="4">
        <f>OBRA!R833</f>
        <v>0</v>
      </c>
      <c r="R832" s="5">
        <f>OBRA!T833</f>
        <v>0</v>
      </c>
      <c r="S832" s="11">
        <f>OBRA!U833</f>
        <v>0</v>
      </c>
      <c r="T832" s="692"/>
      <c r="U832" s="203"/>
      <c r="V832" s="508"/>
      <c r="W832" s="509"/>
      <c r="X832" s="534">
        <f>OBRA!AR833</f>
        <v>0</v>
      </c>
      <c r="Y832" s="309"/>
      <c r="Z832" s="309"/>
      <c r="AA832" s="5"/>
      <c r="AB832" s="313"/>
      <c r="AC832" s="317">
        <f>OBRA!BW833</f>
        <v>0</v>
      </c>
      <c r="AD832" s="352"/>
      <c r="AE832" s="352"/>
    </row>
    <row r="833" spans="1:31" ht="77.25" customHeight="1">
      <c r="A833" s="22" t="s">
        <v>2206</v>
      </c>
      <c r="B833" s="809" t="str">
        <f>GRAL!B834</f>
        <v>2021-2024</v>
      </c>
      <c r="C833" s="16">
        <f>OBRA!J834</f>
        <v>2024</v>
      </c>
      <c r="D833" s="1415"/>
      <c r="E833" s="17" t="str">
        <f>OBRA!M834</f>
        <v>CUENTA CORRIENTE</v>
      </c>
      <c r="F833" s="478" t="s">
        <v>1428</v>
      </c>
      <c r="G833" s="496" t="s">
        <v>6049</v>
      </c>
      <c r="H833" s="495" t="s">
        <v>6049</v>
      </c>
      <c r="I833" s="496" t="s">
        <v>6049</v>
      </c>
      <c r="J833" s="54" t="str">
        <f>OBRA!W834</f>
        <v>C. EDURADO VENTURA PADILLA</v>
      </c>
      <c r="K833" s="55" t="str">
        <f>OBRA!X834</f>
        <v>ING. DANIEL RODRIGUEZ VALENZUELA</v>
      </c>
      <c r="L833" s="33" t="str">
        <f>OBRA!N834</f>
        <v>GMJ 001C- OP/2024</v>
      </c>
      <c r="M833" s="2" t="str">
        <f>OBRA!O834</f>
        <v>ADJUDICACIÓN DIRECTA</v>
      </c>
      <c r="N833" s="3" t="str">
        <f>OBRA!P834</f>
        <v>"EQUIPAMIENTO DE POZO PROFUNDO EN PRIVADA GUADALUPE VICTORIA, EN LA LOCALIDAD DE SAN JUAN COSALÁ, MUNICIPIO DE JOCOTEPEC, JALISCO.</v>
      </c>
      <c r="O833" s="504" t="s">
        <v>6041</v>
      </c>
      <c r="P833" s="67">
        <f>OBRA!S834</f>
        <v>45322</v>
      </c>
      <c r="Q833" s="79">
        <f>OBRA!R834</f>
        <v>653611.4</v>
      </c>
      <c r="R833" s="5">
        <f>OBRA!T834</f>
        <v>45331</v>
      </c>
      <c r="S833" s="11">
        <f>OBRA!U834</f>
        <v>45320</v>
      </c>
      <c r="T833" s="207" t="s">
        <v>4446</v>
      </c>
      <c r="U833" s="206" t="s">
        <v>1428</v>
      </c>
      <c r="V833" s="499" t="s">
        <v>6049</v>
      </c>
      <c r="W833" s="597" t="s">
        <v>6049</v>
      </c>
      <c r="X833" s="986">
        <f>OBRA!AR834</f>
        <v>448824.74000000005</v>
      </c>
      <c r="Y833" s="309"/>
      <c r="Z833" s="309"/>
      <c r="AA833" s="895"/>
      <c r="AB833" s="1917"/>
      <c r="AC833" s="317"/>
      <c r="AD833" s="352"/>
      <c r="AE833" s="352"/>
    </row>
    <row r="834" spans="1:31" ht="81.75" customHeight="1">
      <c r="A834" s="22" t="s">
        <v>2206</v>
      </c>
      <c r="B834" s="809" t="str">
        <f>GRAL!B835</f>
        <v>2021-2024</v>
      </c>
      <c r="C834" s="16">
        <f>OBRA!J835</f>
        <v>2024</v>
      </c>
      <c r="D834" s="1415"/>
      <c r="E834" s="17" t="str">
        <f>OBRA!M835</f>
        <v>CUENTA CORRIENTE</v>
      </c>
      <c r="F834" s="478" t="s">
        <v>1428</v>
      </c>
      <c r="G834" s="496" t="s">
        <v>6050</v>
      </c>
      <c r="H834" s="495" t="s">
        <v>6050</v>
      </c>
      <c r="I834" s="496" t="s">
        <v>6050</v>
      </c>
      <c r="J834" s="54" t="str">
        <f>OBRA!W835</f>
        <v>ESTRUCTURAS PLANEADAS DE OCCIDENTE, S.A. DE C.V.</v>
      </c>
      <c r="K834" s="55" t="str">
        <f>OBRA!X835</f>
        <v>ING. DANIEL RODRIGUEZ VALENZUELA</v>
      </c>
      <c r="L834" s="33" t="str">
        <f>OBRA!N835</f>
        <v>GMJ 002C- OP/2024</v>
      </c>
      <c r="M834" s="2" t="str">
        <f>OBRA!O835</f>
        <v>ADJUDICACIÓN DIRECTA</v>
      </c>
      <c r="N834" s="3" t="str">
        <f>OBRA!P835</f>
        <v>"CASETA DE CONTROL Y CLORACIÒN, ENMALLADO, DELIMITACIÒN DE PREDIO EN POZO EN PRIVADA GUADALUPE VICTORIA", EN LA LOCALIDAD DE SAN JUAN COSALÁ, MUNICIPIO DE JOCOTEPEC, JALISCO.</v>
      </c>
      <c r="O834" s="504" t="s">
        <v>6041</v>
      </c>
      <c r="P834" s="67">
        <f>OBRA!S835</f>
        <v>45335</v>
      </c>
      <c r="Q834" s="79">
        <f>OBRA!R835</f>
        <v>388619.27</v>
      </c>
      <c r="R834" s="5">
        <f>OBRA!T835</f>
        <v>45336</v>
      </c>
      <c r="S834" s="11">
        <f>OBRA!U835</f>
        <v>45351</v>
      </c>
      <c r="T834" s="207" t="s">
        <v>4446</v>
      </c>
      <c r="U834" s="206" t="s">
        <v>1428</v>
      </c>
      <c r="V834" s="499" t="s">
        <v>6050</v>
      </c>
      <c r="W834" s="597" t="s">
        <v>6050</v>
      </c>
      <c r="X834" s="986">
        <f>OBRA!AR835</f>
        <v>77635.87</v>
      </c>
      <c r="Y834" s="309"/>
      <c r="Z834" s="309"/>
      <c r="AA834" s="895"/>
      <c r="AB834" s="1917"/>
      <c r="AC834" s="317"/>
      <c r="AD834" s="352"/>
      <c r="AE834" s="352"/>
    </row>
    <row r="835" spans="1:31" ht="89.25" customHeight="1">
      <c r="A835" s="22" t="s">
        <v>2206</v>
      </c>
      <c r="B835" s="809" t="str">
        <f>GRAL!B836</f>
        <v>2021-2024</v>
      </c>
      <c r="C835" s="16">
        <f>OBRA!J836</f>
        <v>2024</v>
      </c>
      <c r="D835" s="1415"/>
      <c r="E835" s="17" t="str">
        <f>OBRA!M836</f>
        <v>CUENTA CORRIENTE</v>
      </c>
      <c r="F835" s="478" t="s">
        <v>1428</v>
      </c>
      <c r="G835" s="496" t="s">
        <v>6051</v>
      </c>
      <c r="H835" s="495" t="s">
        <v>6051</v>
      </c>
      <c r="I835" s="496" t="s">
        <v>6051</v>
      </c>
      <c r="J835" s="54" t="str">
        <f>OBRA!W836</f>
        <v>ING. SERGIO CABRERA</v>
      </c>
      <c r="K835" s="55" t="str">
        <f>OBRA!X836</f>
        <v>ING. DANIEL RODRIGUEZ VALENZUELA</v>
      </c>
      <c r="L835" s="33" t="str">
        <f>OBRA!N836</f>
        <v>GMJ 003C- OP/2024</v>
      </c>
      <c r="M835" s="2" t="str">
        <f>OBRA!O836</f>
        <v>ADJUDICACIÓN DIRECTA</v>
      </c>
      <c r="N835" s="3" t="str">
        <f>OBRA!P836</f>
        <v>"CONSTRUCCIÒN DE BANQUETAS Y SUPERFICIE DE RODAMIENTO EN C. MATAMOROS ENTRTE CARRETERA JOCOTEPEC-CHAPALA Y C. LA PAZ", EN LA LOCALIDAD DE SAN JUAN COSALÁ, MUNICIPIO DE JOCOTEPEC, JALISCO.</v>
      </c>
      <c r="O835" s="504" t="s">
        <v>6041</v>
      </c>
      <c r="P835" s="67">
        <f>OBRA!S836</f>
        <v>45331</v>
      </c>
      <c r="Q835" s="79">
        <f>OBRA!R836</f>
        <v>132689.01999999999</v>
      </c>
      <c r="R835" s="5">
        <f>OBRA!T836</f>
        <v>45332</v>
      </c>
      <c r="S835" s="11">
        <f>OBRA!U836</f>
        <v>45344</v>
      </c>
      <c r="T835" s="207" t="s">
        <v>4446</v>
      </c>
      <c r="U835" s="206" t="s">
        <v>1428</v>
      </c>
      <c r="V835" s="499" t="s">
        <v>6051</v>
      </c>
      <c r="W835" s="597" t="s">
        <v>6051</v>
      </c>
      <c r="X835" s="986">
        <f>OBRA!AR836</f>
        <v>24939.96</v>
      </c>
      <c r="Y835" s="309"/>
      <c r="Z835" s="309"/>
      <c r="AA835" s="895"/>
      <c r="AB835" s="1917"/>
      <c r="AC835" s="317"/>
      <c r="AD835" s="352"/>
      <c r="AE835" s="352"/>
    </row>
    <row r="836" spans="1:31" ht="21" hidden="1" customHeight="1">
      <c r="A836" s="22" t="s">
        <v>2206</v>
      </c>
      <c r="B836" s="809">
        <f>GRAL!B1043</f>
        <v>0</v>
      </c>
      <c r="C836" s="16">
        <f>OBRA!J837</f>
        <v>2024</v>
      </c>
      <c r="D836" s="1415"/>
      <c r="E836" s="17" t="str">
        <f>OBRA!M837</f>
        <v>CUENTA CORRIENTE</v>
      </c>
      <c r="F836" s="1170"/>
      <c r="G836" s="1108"/>
      <c r="H836" s="219"/>
      <c r="I836" s="1108"/>
      <c r="J836" s="54"/>
      <c r="K836" s="55"/>
      <c r="L836" s="19" t="str">
        <f>OBRA!N837</f>
        <v>CSS-OP-CC-004/2024</v>
      </c>
      <c r="M836" s="2" t="str">
        <f>OBRA!O837</f>
        <v>CONCURSO SIMPLIFICADO SUMARIO</v>
      </c>
      <c r="N836" s="3" t="str">
        <f>OBRA!P837</f>
        <v>"PERFORACIÓN DE UN POZO PROFUNDO PARA LA EXTRACIÓN DE AGUA POTABLE A 250 ML", EN LA LOCALIDAD DE SAN PEDRO TESISTÁN, MUNICIPIO DE JOCOTEPEC, JALISCO.</v>
      </c>
      <c r="O836" s="541"/>
      <c r="P836" s="6">
        <f>OBRA!S837</f>
        <v>45338</v>
      </c>
      <c r="Q836" s="4">
        <f>OBRA!R837</f>
        <v>4461580.4000000004</v>
      </c>
      <c r="R836" s="5">
        <f>OBRA!T837</f>
        <v>45343</v>
      </c>
      <c r="S836" s="11">
        <f>OBRA!U837</f>
        <v>45402</v>
      </c>
      <c r="T836" s="692"/>
      <c r="U836" s="203"/>
      <c r="V836" s="508"/>
      <c r="W836" s="509"/>
      <c r="X836" s="534">
        <f>OBRA!AR837</f>
        <v>2248345.2600000002</v>
      </c>
      <c r="Y836" s="309"/>
      <c r="Z836" s="309"/>
      <c r="AA836" s="5"/>
      <c r="AB836" s="313"/>
      <c r="AC836" s="317">
        <f>OBRA!BW837</f>
        <v>0</v>
      </c>
      <c r="AD836" s="352"/>
      <c r="AE836" s="352"/>
    </row>
    <row r="837" spans="1:31" ht="78.75" customHeight="1">
      <c r="A837" s="22" t="s">
        <v>2206</v>
      </c>
      <c r="B837" s="809" t="str">
        <f>GRAL!B838</f>
        <v>2021-2024</v>
      </c>
      <c r="C837" s="16">
        <f>OBRA!J838</f>
        <v>2024</v>
      </c>
      <c r="D837" s="1415"/>
      <c r="E837" s="17" t="str">
        <f>OBRA!M838</f>
        <v>CUENTA CORRIENTE</v>
      </c>
      <c r="F837" s="478" t="s">
        <v>1428</v>
      </c>
      <c r="G837" s="496" t="s">
        <v>6166</v>
      </c>
      <c r="H837" s="495" t="s">
        <v>6166</v>
      </c>
      <c r="I837" s="496" t="s">
        <v>6166</v>
      </c>
      <c r="J837" s="54" t="str">
        <f>OBRA!W838</f>
        <v>C. SERGIO CABRERA</v>
      </c>
      <c r="K837" s="55" t="str">
        <f>OBRA!X838</f>
        <v>ING. DALIA JUDITH VARGAS HOYOS</v>
      </c>
      <c r="L837" s="33" t="str">
        <f>OBRA!N838</f>
        <v>GMJ 005C- OP/2024</v>
      </c>
      <c r="M837" s="2" t="str">
        <f>OBRA!O838</f>
        <v>ADJUDICACIÓN DIRECTA</v>
      </c>
      <c r="N837" s="3" t="str">
        <f>OBRA!P838</f>
        <v>"REHABILITACIÓN DE LÍNEAS HIDROSANITARIAS EN CALLE RAMÓN CORONA ENTRE CARRETERA JIQUILPAN-GUADALAJARA Y CALLE PINO SUAREZ", EN LA LOCALIDAD DE SAN PEDRO TESISTÁN, MUNICIPIO DE JOCOTEPEC, JALISCO.</v>
      </c>
      <c r="O837" s="504" t="s">
        <v>6041</v>
      </c>
      <c r="P837" s="67">
        <f>OBRA!S838</f>
        <v>45356</v>
      </c>
      <c r="Q837" s="79">
        <f>OBRA!R838</f>
        <v>1863104.13</v>
      </c>
      <c r="R837" s="5">
        <f>OBRA!T838</f>
        <v>45362</v>
      </c>
      <c r="S837" s="11">
        <f>OBRA!U838</f>
        <v>45376</v>
      </c>
      <c r="T837" s="207" t="s">
        <v>4446</v>
      </c>
      <c r="U837" s="206" t="s">
        <v>1428</v>
      </c>
      <c r="V837" s="201"/>
      <c r="W837" s="597" t="s">
        <v>6166</v>
      </c>
      <c r="X837" s="986">
        <f>OBRA!AR838</f>
        <v>0</v>
      </c>
      <c r="Y837" s="309"/>
      <c r="Z837" s="309"/>
      <c r="AA837" s="895"/>
      <c r="AB837" s="1917"/>
      <c r="AC837" s="317"/>
      <c r="AD837" s="352"/>
      <c r="AE837" s="352"/>
    </row>
    <row r="838" spans="1:31" ht="86.25" customHeight="1">
      <c r="A838" s="22" t="s">
        <v>2206</v>
      </c>
      <c r="B838" s="809" t="str">
        <f>GRAL!B839</f>
        <v>2021-2024</v>
      </c>
      <c r="C838" s="16">
        <f>OBRA!J839</f>
        <v>2024</v>
      </c>
      <c r="D838" s="1415"/>
      <c r="E838" s="17" t="str">
        <f>OBRA!M839</f>
        <v>CUENTA CORRIENTE</v>
      </c>
      <c r="F838" s="478" t="s">
        <v>1428</v>
      </c>
      <c r="G838" s="496" t="s">
        <v>6168</v>
      </c>
      <c r="H838" s="495" t="s">
        <v>6168</v>
      </c>
      <c r="I838" s="496" t="s">
        <v>6168</v>
      </c>
      <c r="J838" s="54" t="str">
        <f>OBRA!W839</f>
        <v>C. SERGIO CABRERA</v>
      </c>
      <c r="K838" s="55" t="str">
        <f>OBRA!X839</f>
        <v>ING. DALIA JUDITH VARGAS HOYOS</v>
      </c>
      <c r="L838" s="33" t="str">
        <f>OBRA!N839</f>
        <v>GMJ 006C- OP/2024</v>
      </c>
      <c r="M838" s="2" t="str">
        <f>OBRA!O839</f>
        <v>ADJUDICACIÓN DIRECTA</v>
      </c>
      <c r="N838" s="3" t="str">
        <f>OBRA!P839</f>
        <v>"REHABILITACIÓN DE SUPERFICIE DE RODAMIENTO EN CALLE RAMÓN CORONA ENTRE CARRETERA JIQUILPAN-GUADALAJARA Y CALLE PINO SUAREZ", EN LA LOCALIDAD DE SAN PEDRO TESISTÁN, MUNICIPIO DE JOCOTEPEC, JALISCO.</v>
      </c>
      <c r="O838" s="504" t="s">
        <v>6041</v>
      </c>
      <c r="P838" s="67">
        <f>OBRA!S839</f>
        <v>45355</v>
      </c>
      <c r="Q838" s="79">
        <f>OBRA!R839</f>
        <v>1911380.28</v>
      </c>
      <c r="R838" s="5">
        <f>OBRA!T839</f>
        <v>45355</v>
      </c>
      <c r="S838" s="11">
        <f>OBRA!U839</f>
        <v>45369</v>
      </c>
      <c r="T838" s="207" t="s">
        <v>4446</v>
      </c>
      <c r="U838" s="206" t="s">
        <v>1428</v>
      </c>
      <c r="V838" s="201"/>
      <c r="W838" s="597" t="s">
        <v>6168</v>
      </c>
      <c r="X838" s="986">
        <f>OBRA!AR839</f>
        <v>0</v>
      </c>
      <c r="Y838" s="309"/>
      <c r="Z838" s="309"/>
      <c r="AA838" s="895"/>
      <c r="AB838" s="1917"/>
      <c r="AC838" s="317"/>
      <c r="AD838" s="352"/>
      <c r="AE838" s="352"/>
    </row>
    <row r="839" spans="1:31" ht="90.75" customHeight="1">
      <c r="A839" s="22" t="s">
        <v>2206</v>
      </c>
      <c r="B839" s="809" t="str">
        <f>GRAL!B840</f>
        <v>2021-2024</v>
      </c>
      <c r="C839" s="16">
        <f>OBRA!J840</f>
        <v>2024</v>
      </c>
      <c r="D839" s="1415"/>
      <c r="E839" s="17" t="str">
        <f>OBRA!M840</f>
        <v>CUENTA CORRIENTE</v>
      </c>
      <c r="F839" s="478" t="s">
        <v>1428</v>
      </c>
      <c r="G839" s="496" t="s">
        <v>6504</v>
      </c>
      <c r="H839" s="495" t="s">
        <v>6504</v>
      </c>
      <c r="I839" s="496" t="s">
        <v>6504</v>
      </c>
      <c r="J839" s="54" t="str">
        <f>OBRA!W840</f>
        <v>TERRACERÍAS Y PAVIMENTOS DE LA RIBERA, S.A. DE C.V.</v>
      </c>
      <c r="K839" s="55" t="str">
        <f>OBRA!X840</f>
        <v>ING. DALIA JUDITH VARGAS HOYOS</v>
      </c>
      <c r="L839" s="33" t="str">
        <f>OBRA!N840</f>
        <v>GMJ 007C- OP/2024</v>
      </c>
      <c r="M839" s="2" t="str">
        <f>OBRA!O840</f>
        <v>ADJUDICACIÓN DIRECTA</v>
      </c>
      <c r="N839" s="3" t="str">
        <f>OBRA!P840</f>
        <v>"REHABILITACIÓN DE BANQUETAS E IMAGEN URBANA EN CALLE RAMÓN CORONA ENTRE CARRETERA JIQUILPAN-GUADALAJARA Y CALLE PINO SUAREZ", EN LA LOCALIDAD DE SAN PEDRO TESISTÁN, MUNICIPIO DE JOCOTEPEC, JALISCO.</v>
      </c>
      <c r="O839" s="504" t="s">
        <v>6041</v>
      </c>
      <c r="P839" s="67">
        <f>OBRA!S840</f>
        <v>45356</v>
      </c>
      <c r="Q839" s="79">
        <f>OBRA!R840</f>
        <v>431465.57</v>
      </c>
      <c r="R839" s="5">
        <f>OBRA!T840</f>
        <v>45374</v>
      </c>
      <c r="S839" s="11">
        <f>OBRA!U840</f>
        <v>45379</v>
      </c>
      <c r="T839" s="207" t="s">
        <v>4446</v>
      </c>
      <c r="U839" s="206" t="s">
        <v>1428</v>
      </c>
      <c r="V839" s="499" t="s">
        <v>6504</v>
      </c>
      <c r="W839" s="597" t="s">
        <v>6504</v>
      </c>
      <c r="X839" s="986">
        <f>OBRA!AR840</f>
        <v>86293.1</v>
      </c>
      <c r="Y839" s="309"/>
      <c r="Z839" s="309"/>
      <c r="AA839" s="895"/>
      <c r="AB839" s="1917"/>
      <c r="AC839" s="317"/>
      <c r="AD839" s="352"/>
      <c r="AE839" s="352"/>
    </row>
    <row r="840" spans="1:31" ht="21" hidden="1" customHeight="1">
      <c r="A840" s="22" t="s">
        <v>2206</v>
      </c>
      <c r="B840" s="809">
        <f>GRAL!B1047</f>
        <v>0</v>
      </c>
      <c r="C840" s="16">
        <f>OBRA!J841</f>
        <v>2024</v>
      </c>
      <c r="D840" s="1415"/>
      <c r="E840" s="17" t="str">
        <f>OBRA!M841</f>
        <v>CUENTA CORRIENTE</v>
      </c>
      <c r="F840" s="1170"/>
      <c r="G840" s="1108"/>
      <c r="H840" s="219"/>
      <c r="I840" s="1108"/>
      <c r="J840" s="54"/>
      <c r="K840" s="55"/>
      <c r="L840" s="19" t="str">
        <f>OBRA!N841</f>
        <v>CSS-OP-CC-008/2024</v>
      </c>
      <c r="M840" s="2" t="str">
        <f>OBRA!O841</f>
        <v>CONCURSO SIMPLIFICADO SUMARIO</v>
      </c>
      <c r="N840" s="3" t="str">
        <f>OBRA!P841</f>
        <v>"PERFORACIÓN DE UN POZO PROFUNDO EN CALLE MIGUEL ARANA CRUCE CON ALLENDE (ZONA CENTRO)", EN LA CABECERA MUNICIPAL DE JOCOTEPEC, JALISCO.</v>
      </c>
      <c r="O840" s="541"/>
      <c r="P840" s="6">
        <f>OBRA!S841</f>
        <v>45350</v>
      </c>
      <c r="Q840" s="4">
        <f>OBRA!R841</f>
        <v>7514599.0899999999</v>
      </c>
      <c r="R840" s="5">
        <f>OBRA!T841</f>
        <v>45351</v>
      </c>
      <c r="S840" s="11">
        <f>OBRA!U841</f>
        <v>45427</v>
      </c>
      <c r="T840" s="692"/>
      <c r="U840" s="203"/>
      <c r="V840" s="508"/>
      <c r="W840" s="509"/>
      <c r="X840" s="534">
        <f>OBRA!AR841</f>
        <v>3747299.53</v>
      </c>
      <c r="Y840" s="309"/>
      <c r="Z840" s="309"/>
      <c r="AA840" s="5"/>
      <c r="AB840" s="313"/>
      <c r="AC840" s="317">
        <f>OBRA!BW841</f>
        <v>0</v>
      </c>
      <c r="AD840" s="352"/>
      <c r="AE840" s="352"/>
    </row>
    <row r="841" spans="1:31" ht="75.75" customHeight="1">
      <c r="A841" s="22" t="s">
        <v>2206</v>
      </c>
      <c r="B841" s="809" t="str">
        <f>GRAL!B842</f>
        <v>2021-2024</v>
      </c>
      <c r="C841" s="16">
        <f>OBRA!J842</f>
        <v>2024</v>
      </c>
      <c r="D841" s="1415"/>
      <c r="E841" s="17" t="str">
        <f>OBRA!M842</f>
        <v>CUENTA CORRIENTE</v>
      </c>
      <c r="F841" s="478" t="s">
        <v>1428</v>
      </c>
      <c r="G841" s="496" t="s">
        <v>6169</v>
      </c>
      <c r="H841" s="495" t="s">
        <v>6169</v>
      </c>
      <c r="I841" s="496" t="s">
        <v>6169</v>
      </c>
      <c r="J841" s="54" t="str">
        <f>OBRA!W842</f>
        <v>SOLEC ENERGY, S.A. DE C.V.</v>
      </c>
      <c r="K841" s="55" t="str">
        <f>OBRA!X842</f>
        <v>ING. LUIS RIGOBERTO OLMEDO NAVARRO</v>
      </c>
      <c r="L841" s="33" t="str">
        <f>OBRA!N842</f>
        <v>GMJ 009C- OP/2024</v>
      </c>
      <c r="M841" s="2" t="str">
        <f>OBRA!O842</f>
        <v>ADJUDICACIÓN DIRECTA</v>
      </c>
      <c r="N841" s="3" t="str">
        <f>OBRA!P842</f>
        <v>"ELECTRIFICACIÓN DE NUEVO CÁRCAMO DE BOMBEO UBICADO EN LA CALLE RIVERA DEL LAGO ESQUINA CON JOSÉ SANTANA", EN LA CABECERA MUNICIPAL DE JOCOTEPEC, JALISCO.</v>
      </c>
      <c r="O841" s="504" t="s">
        <v>6041</v>
      </c>
      <c r="P841" s="67">
        <f>OBRA!S842</f>
        <v>45363</v>
      </c>
      <c r="Q841" s="79">
        <f>OBRA!R842</f>
        <v>948599.13</v>
      </c>
      <c r="R841" s="5">
        <f>OBRA!T842</f>
        <v>45384</v>
      </c>
      <c r="S841" s="11">
        <f>OBRA!U842</f>
        <v>45467</v>
      </c>
      <c r="T841" s="207" t="s">
        <v>4446</v>
      </c>
      <c r="U841" s="206" t="s">
        <v>1428</v>
      </c>
      <c r="V841" s="499" t="s">
        <v>6779</v>
      </c>
      <c r="W841" s="597" t="s">
        <v>6779</v>
      </c>
      <c r="X841" s="986">
        <f>OBRA!AR842</f>
        <v>379439.65</v>
      </c>
      <c r="Y841" s="309"/>
      <c r="Z841" s="309"/>
      <c r="AA841" s="895"/>
      <c r="AB841" s="1917"/>
      <c r="AC841" s="317"/>
      <c r="AD841" s="352"/>
      <c r="AE841" s="352"/>
    </row>
    <row r="842" spans="1:31" ht="75.75" customHeight="1">
      <c r="A842" s="22" t="s">
        <v>2206</v>
      </c>
      <c r="B842" s="809" t="str">
        <f>GRAL!B843</f>
        <v>2021-2024</v>
      </c>
      <c r="C842" s="16">
        <f>OBRA!J843</f>
        <v>2024</v>
      </c>
      <c r="D842" s="1415"/>
      <c r="E842" s="17" t="str">
        <f>OBRA!M843</f>
        <v>RAMO 33</v>
      </c>
      <c r="F842" s="478" t="s">
        <v>1428</v>
      </c>
      <c r="G842" s="496" t="s">
        <v>6170</v>
      </c>
      <c r="H842" s="495" t="s">
        <v>6170</v>
      </c>
      <c r="I842" s="496" t="s">
        <v>6170</v>
      </c>
      <c r="J842" s="54" t="str">
        <f>OBRA!W843</f>
        <v>ALSERCON SA DE CV</v>
      </c>
      <c r="K842" s="55" t="str">
        <f>OBRA!X843</f>
        <v>ARQ. JAIME CONDE GOMEZ</v>
      </c>
      <c r="L842" s="33" t="str">
        <f>OBRA!N843</f>
        <v>GMJ 010C- OP/2024</v>
      </c>
      <c r="M842" s="2" t="str">
        <f>OBRA!O843</f>
        <v>ADJUDICACIÓN DIRECTA</v>
      </c>
      <c r="N842" s="3" t="str">
        <f>OBRA!P843</f>
        <v>"CONSTRUCCIÓN DE PUENTE PEATONAL EN CALLE LIBERTAD", EN LA LOCALIDAD DE ZAPOTITÁN DE HIDALGO, MUNICIPIO DE JOCOTEPEC, JALISCO.</v>
      </c>
      <c r="O842" s="504" t="s">
        <v>6041</v>
      </c>
      <c r="P842" s="67">
        <f>OBRA!S843</f>
        <v>45364</v>
      </c>
      <c r="Q842" s="79">
        <f>OBRA!R843</f>
        <v>568143.82999999996</v>
      </c>
      <c r="R842" s="5">
        <f>OBRA!T843</f>
        <v>45376</v>
      </c>
      <c r="S842" s="11">
        <f>OBRA!U843</f>
        <v>45413</v>
      </c>
      <c r="T842" s="1352" t="s">
        <v>3816</v>
      </c>
      <c r="U842" s="206"/>
      <c r="V842" s="496" t="s">
        <v>6170</v>
      </c>
      <c r="W842" s="496" t="s">
        <v>6170</v>
      </c>
      <c r="X842" s="986">
        <f>OBRA!AR843</f>
        <v>284071.90999999997</v>
      </c>
      <c r="Y842" s="499" t="s">
        <v>6041</v>
      </c>
      <c r="Z842" s="5">
        <v>45408</v>
      </c>
      <c r="AA842" s="895">
        <v>709361.51</v>
      </c>
      <c r="AB842" s="5">
        <v>45417</v>
      </c>
      <c r="AC842" s="1698" t="s">
        <v>6563</v>
      </c>
      <c r="AD842" s="352"/>
      <c r="AE842" s="352"/>
    </row>
    <row r="843" spans="1:31" ht="75.75" hidden="1" customHeight="1">
      <c r="A843" s="22" t="s">
        <v>2206</v>
      </c>
      <c r="B843" s="809" t="str">
        <f>GRAL!B844</f>
        <v>2021-2024</v>
      </c>
      <c r="C843" s="16">
        <f>OBRA!J844</f>
        <v>2024</v>
      </c>
      <c r="D843" s="1415"/>
      <c r="E843" s="17" t="str">
        <f>OBRA!M844</f>
        <v>RAMO 33</v>
      </c>
      <c r="F843" s="478" t="s">
        <v>1428</v>
      </c>
      <c r="G843" s="163"/>
      <c r="H843" s="510"/>
      <c r="I843" s="163"/>
      <c r="J843" s="54" t="str">
        <f>OBRA!W844</f>
        <v>TERRACERÍAS Y PAVIMENTOS DE LA RIBERA, S.A. DE C.V.</v>
      </c>
      <c r="K843" s="55" t="str">
        <f>OBRA!X844</f>
        <v>C. DANIEL RODRIGUEZ VALENZUELA</v>
      </c>
      <c r="L843" s="33" t="str">
        <f>OBRA!N844</f>
        <v>CSS-OP-FAIS/RAMO 33-011/2024</v>
      </c>
      <c r="M843" s="2" t="str">
        <f>OBRA!O844</f>
        <v>CONCURSO SIMPLIFICADO SUMARIO</v>
      </c>
      <c r="N843" s="3" t="str">
        <f>OBRA!P844</f>
        <v>"CONSTRUCCIÓN DE LÍNEA DE COLECTOR  DE 18", EN LA CABECERA MUNICIPAL DE JOCOTEPEC, JALISCO.</v>
      </c>
      <c r="O843" s="504" t="s">
        <v>6041</v>
      </c>
      <c r="P843" s="6">
        <f>OBRA!S844</f>
        <v>45394</v>
      </c>
      <c r="Q843" s="4">
        <f>OBRA!R844</f>
        <v>5799082.5300000003</v>
      </c>
      <c r="R843" s="5">
        <f>OBRA!T844</f>
        <v>45397</v>
      </c>
      <c r="S843" s="11">
        <f>OBRA!U844</f>
        <v>45458</v>
      </c>
      <c r="T843" s="1352" t="s">
        <v>3816</v>
      </c>
      <c r="U843" s="1582" t="s">
        <v>1428</v>
      </c>
      <c r="V843" s="496"/>
      <c r="W843" s="437"/>
      <c r="X843" s="534">
        <f>OBRA!AR844</f>
        <v>1739724.76</v>
      </c>
      <c r="Y843" s="587" t="s">
        <v>6490</v>
      </c>
      <c r="Z843" s="474">
        <v>45442</v>
      </c>
      <c r="AA843" s="902">
        <v>5799082.5300000003</v>
      </c>
      <c r="AB843" s="5" t="s">
        <v>68</v>
      </c>
      <c r="AC843" s="1853" t="s">
        <v>3552</v>
      </c>
      <c r="AD843" s="352"/>
      <c r="AE843" s="352"/>
    </row>
    <row r="844" spans="1:31" ht="75.75" hidden="1" customHeight="1">
      <c r="A844" s="22" t="s">
        <v>2206</v>
      </c>
      <c r="B844" s="809" t="str">
        <f>GRAL!B845</f>
        <v>2021-2024</v>
      </c>
      <c r="C844" s="16">
        <f>OBRA!J845</f>
        <v>2024</v>
      </c>
      <c r="D844" s="1415"/>
      <c r="E844" s="17" t="str">
        <f>OBRA!M845</f>
        <v>CUENTA CORRIENTE</v>
      </c>
      <c r="F844" s="478"/>
      <c r="G844" s="163"/>
      <c r="H844" s="510"/>
      <c r="I844" s="163"/>
      <c r="J844" s="54" t="str">
        <f>OBRA!W845</f>
        <v>VICTOR SAUL RAMOS MORALES</v>
      </c>
      <c r="K844" s="55" t="str">
        <f>OBRA!X845</f>
        <v>ING. LUIS RIGOBERTO OLMEDO NAVARRO</v>
      </c>
      <c r="L844" s="33" t="str">
        <f>OBRA!N845</f>
        <v>CSS-OP-CC-012/2024</v>
      </c>
      <c r="M844" s="2" t="str">
        <f>OBRA!O845</f>
        <v>CONCURSO SIMPLIFICADO SUMARIO</v>
      </c>
      <c r="N844" s="3" t="str">
        <f>OBRA!P845</f>
        <v>"PERFORACIÓN DE UN POZO PROFUNDO A 250 ML EN CALLE MORELOS CRUCE CON C. GONZÁLEZ ORTEGA", EN LA CABECERA MUNICIPAL DE JOCOTEPEC, JALISCO</v>
      </c>
      <c r="O844" s="504"/>
      <c r="P844" s="6">
        <f>OBRA!S845</f>
        <v>45394</v>
      </c>
      <c r="Q844" s="4">
        <f>OBRA!R845</f>
        <v>4428068</v>
      </c>
      <c r="R844" s="5">
        <f>OBRA!T845</f>
        <v>45414</v>
      </c>
      <c r="S844" s="11">
        <f>OBRA!U845</f>
        <v>45458</v>
      </c>
      <c r="T844" s="1352"/>
      <c r="U844" s="1582"/>
      <c r="V844" s="496"/>
      <c r="W844" s="437"/>
      <c r="X844" s="534">
        <f>OBRA!AR845</f>
        <v>2329376.9900000002</v>
      </c>
      <c r="Y844" s="587" t="s">
        <v>6490</v>
      </c>
      <c r="Z844" s="474">
        <v>45447</v>
      </c>
      <c r="AA844" s="902">
        <v>5581497.9199999999</v>
      </c>
      <c r="AB844" s="474">
        <v>45473</v>
      </c>
      <c r="AC844" s="1853" t="s">
        <v>6563</v>
      </c>
      <c r="AD844" s="352"/>
      <c r="AE844" s="352"/>
    </row>
    <row r="845" spans="1:31" ht="75.75" customHeight="1">
      <c r="A845" s="22" t="s">
        <v>2206</v>
      </c>
      <c r="B845" s="809" t="str">
        <f>GRAL!B846</f>
        <v>2021-2024</v>
      </c>
      <c r="C845" s="16">
        <f>OBRA!J846</f>
        <v>2024</v>
      </c>
      <c r="D845" s="1415"/>
      <c r="E845" s="17" t="str">
        <f>OBRA!M846</f>
        <v>RAMO 33</v>
      </c>
      <c r="F845" s="478" t="s">
        <v>1428</v>
      </c>
      <c r="G845" s="496" t="s">
        <v>6510</v>
      </c>
      <c r="H845" s="495" t="s">
        <v>6510</v>
      </c>
      <c r="I845" s="496" t="s">
        <v>6510</v>
      </c>
      <c r="J845" s="54" t="str">
        <f>OBRA!W846</f>
        <v>ALSERCON SA DE CV</v>
      </c>
      <c r="K845" s="55" t="str">
        <f>OBRA!X846</f>
        <v>ARQ. JAIME CONDE GOMEZ</v>
      </c>
      <c r="L845" s="33" t="str">
        <f>OBRA!N846</f>
        <v>GMJ 013C- OP/2024</v>
      </c>
      <c r="M845" s="2" t="str">
        <f>OBRA!O846</f>
        <v>ADJUDICACIÓN DIRECTA</v>
      </c>
      <c r="N845" s="3" t="str">
        <f>OBRA!P846</f>
        <v>"CONSTRUCCIÓN DE PUENTE PEATONAL EN CALLE GALEANA", EN LA DELEGACIÓN DE ZAPOTITÁN DE HIDALGO, DEL MUNICIPIO DE JOCOTEPEC, JALISCO.</v>
      </c>
      <c r="O845" s="504" t="s">
        <v>6490</v>
      </c>
      <c r="P845" s="67">
        <f>OBRA!S846</f>
        <v>45400</v>
      </c>
      <c r="Q845" s="79">
        <f>OBRA!R846</f>
        <v>979189.38</v>
      </c>
      <c r="R845" s="5">
        <f>OBRA!T846</f>
        <v>45418</v>
      </c>
      <c r="S845" s="11">
        <f>OBRA!U846</f>
        <v>45443</v>
      </c>
      <c r="T845" s="1352" t="s">
        <v>3816</v>
      </c>
      <c r="U845" s="206"/>
      <c r="V845" s="496" t="s">
        <v>6510</v>
      </c>
      <c r="W845" s="597" t="s">
        <v>6510</v>
      </c>
      <c r="X845" s="986">
        <f>OBRA!AR846</f>
        <v>489594.69</v>
      </c>
      <c r="Y845" s="309"/>
      <c r="Z845" s="309"/>
      <c r="AA845" s="895"/>
      <c r="AB845" s="1917"/>
      <c r="AC845" s="317"/>
      <c r="AD845" s="352"/>
      <c r="AE845" s="352"/>
    </row>
    <row r="846" spans="1:31" ht="93.75" customHeight="1">
      <c r="A846" s="22" t="s">
        <v>2206</v>
      </c>
      <c r="B846" s="809" t="str">
        <f>GRAL!B847</f>
        <v>2021-2024</v>
      </c>
      <c r="C846" s="16">
        <f>OBRA!J847</f>
        <v>2024</v>
      </c>
      <c r="D846" s="1415"/>
      <c r="E846" s="17" t="str">
        <f>OBRA!M847</f>
        <v>CUENTA CORRIENTE</v>
      </c>
      <c r="F846" s="478" t="s">
        <v>1428</v>
      </c>
      <c r="G846" s="496" t="s">
        <v>6511</v>
      </c>
      <c r="H846" s="495" t="s">
        <v>6511</v>
      </c>
      <c r="I846" s="496" t="s">
        <v>6511</v>
      </c>
      <c r="J846" s="54" t="str">
        <f>OBRA!W847</f>
        <v>ING. MARCO ANTONIO PAREDES RODRÍGUEZ</v>
      </c>
      <c r="K846" s="55" t="str">
        <f>OBRA!X847</f>
        <v>ING. J. GUADALUPE IBARRA RAMIREZ</v>
      </c>
      <c r="L846" s="33" t="str">
        <f>OBRA!N847</f>
        <v>GMJ 014C- OP/2024</v>
      </c>
      <c r="M846" s="2" t="str">
        <f>OBRA!O847</f>
        <v>ADJUDICACIÓN DIRECTA</v>
      </c>
      <c r="N846" s="3" t="str">
        <f>OBRA!P847</f>
        <v>"EQUIPAMIENTO DE NUEVO POZO PROFUNDO DE AGUA POTABLE EN CALLE MIGUEL ARANA CRUCE CON CALLE ALLENDE (ZONA CENTRO) Y ADECUACIÓN DE GARZA EN POZO ACTUAL UBICADO EN EL ATRIO", EN LA CABECERA MUNICIPAL DE JOCOTEPEC, JALISCO.</v>
      </c>
      <c r="O846" s="504" t="s">
        <v>6490</v>
      </c>
      <c r="P846" s="67">
        <f>OBRA!S847</f>
        <v>45419</v>
      </c>
      <c r="Q846" s="79">
        <f>OBRA!R847</f>
        <v>802898.64</v>
      </c>
      <c r="R846" s="5">
        <f>OBRA!T847</f>
        <v>45420</v>
      </c>
      <c r="S846" s="11">
        <f>OBRA!U847</f>
        <v>45442</v>
      </c>
      <c r="T846" s="207" t="s">
        <v>4446</v>
      </c>
      <c r="U846" s="206" t="s">
        <v>1428</v>
      </c>
      <c r="V846" s="499" t="s">
        <v>6511</v>
      </c>
      <c r="W846" s="597" t="s">
        <v>6511</v>
      </c>
      <c r="X846" s="986">
        <f>OBRA!AR847</f>
        <v>321159.45</v>
      </c>
      <c r="Y846" s="309"/>
      <c r="Z846" s="309"/>
      <c r="AA846" s="895"/>
      <c r="AB846" s="1917"/>
      <c r="AC846" s="317"/>
      <c r="AD846" s="352"/>
      <c r="AE846" s="352"/>
    </row>
    <row r="847" spans="1:31" ht="97.5" customHeight="1">
      <c r="A847" s="22" t="s">
        <v>2206</v>
      </c>
      <c r="B847" s="809" t="str">
        <f>GRAL!B848</f>
        <v>2021-2024</v>
      </c>
      <c r="C847" s="16">
        <f>OBRA!J848</f>
        <v>2024</v>
      </c>
      <c r="D847" s="1415"/>
      <c r="E847" s="17" t="str">
        <f>OBRA!M848</f>
        <v>RAMO 33</v>
      </c>
      <c r="F847" s="478" t="s">
        <v>1428</v>
      </c>
      <c r="G847" s="496" t="s">
        <v>6771</v>
      </c>
      <c r="H847" s="495" t="s">
        <v>6771</v>
      </c>
      <c r="I847" s="496" t="s">
        <v>6771</v>
      </c>
      <c r="J847" s="54" t="str">
        <f>OBRA!W848</f>
        <v>SOLEC ENERGY, S.A. DE C.V.</v>
      </c>
      <c r="K847" s="55" t="str">
        <f>OBRA!X848</f>
        <v>ING. J. GUADALUPE IBARRA RAMIREZ</v>
      </c>
      <c r="L847" s="33" t="str">
        <f>OBRA!N848</f>
        <v>GMJ 015C- OP/2024</v>
      </c>
      <c r="M847" s="2" t="str">
        <f>OBRA!O848</f>
        <v>ADJUDICACIÓN DIRECTA</v>
      </c>
      <c r="N847" s="3" t="str">
        <f>OBRA!P848</f>
        <v>"ELECTRIFICACIÓN DE NUEVO POZO PROFUNDO DE AGUA POTABLE ENTUBADA EN JOCOTEPEC CENTRO, INCLUYE CONSTRUCCIÓN Y ELECTRIFICACIÓN DE CASETA DE CONTROL ELÉCTRICO EN POZO ACTUAL UBICADO EN EL ATRIO", EN LA CABECERA MUNICIPAL DE JOCOTEPEC, JALISCO</v>
      </c>
      <c r="O847" s="504" t="s">
        <v>6490</v>
      </c>
      <c r="P847" s="67">
        <f>OBRA!S848</f>
        <v>45419</v>
      </c>
      <c r="Q847" s="79">
        <f>OBRA!R848</f>
        <v>944743.84</v>
      </c>
      <c r="R847" s="5">
        <f>OBRA!T848</f>
        <v>45423</v>
      </c>
      <c r="S847" s="11">
        <f>OBRA!U848</f>
        <v>45443</v>
      </c>
      <c r="T847" s="1352" t="s">
        <v>3816</v>
      </c>
      <c r="U847" s="660" t="s">
        <v>6771</v>
      </c>
      <c r="V847" s="499" t="s">
        <v>6771</v>
      </c>
      <c r="W847" s="597" t="s">
        <v>6771</v>
      </c>
      <c r="X847" s="986">
        <f>OBRA!AR848</f>
        <v>189900.22</v>
      </c>
      <c r="Y847" s="309"/>
      <c r="Z847" s="309"/>
      <c r="AA847" s="895"/>
      <c r="AB847" s="1917"/>
      <c r="AC847" s="317"/>
      <c r="AD847" s="352"/>
      <c r="AE847" s="352"/>
    </row>
    <row r="848" spans="1:31" ht="75.75" customHeight="1">
      <c r="A848" s="22" t="s">
        <v>2206</v>
      </c>
      <c r="B848" s="809" t="str">
        <f>GRAL!B849</f>
        <v>2021-2024</v>
      </c>
      <c r="C848" s="16">
        <f>OBRA!J849</f>
        <v>2024</v>
      </c>
      <c r="D848" s="1415"/>
      <c r="E848" s="17" t="str">
        <f>OBRA!M849</f>
        <v>CUENTA CORRIENTE</v>
      </c>
      <c r="F848" s="478" t="s">
        <v>1428</v>
      </c>
      <c r="G848" s="496" t="s">
        <v>6512</v>
      </c>
      <c r="H848" s="495" t="s">
        <v>6512</v>
      </c>
      <c r="I848" s="496" t="s">
        <v>6512</v>
      </c>
      <c r="J848" s="54" t="str">
        <f>OBRA!W849</f>
        <v>SOLEC ENERGY, S.A. DE C.V.</v>
      </c>
      <c r="K848" s="55" t="str">
        <f>OBRA!X849</f>
        <v>ING. LUIS RIGOBERTO OLMEDO NAVARRO</v>
      </c>
      <c r="L848" s="33" t="str">
        <f>OBRA!N849</f>
        <v>GMJ 016C- OP/2024</v>
      </c>
      <c r="M848" s="2" t="str">
        <f>OBRA!O849</f>
        <v>ADJUDICACIÓN DIRECTA</v>
      </c>
      <c r="N848" s="3" t="str">
        <f>OBRA!P849</f>
        <v>"SUMINISTRO E INSTALACIÓN DE POSTES PARA ALUMBRADO DE CAMPO DE FUTBOL EN LA UNIDAD DEPORTIVA SUR DONATO GUERRA", EN LA CABECERA MUNICIPAL DE JOCOTEPEC, JALISCO.</v>
      </c>
      <c r="O848" s="504" t="s">
        <v>6490</v>
      </c>
      <c r="P848" s="67">
        <f>OBRA!S849</f>
        <v>45446</v>
      </c>
      <c r="Q848" s="79">
        <f>OBRA!R849</f>
        <v>152167.64000000001</v>
      </c>
      <c r="R848" s="5">
        <f>OBRA!T849</f>
        <v>45432</v>
      </c>
      <c r="S848" s="11">
        <f>OBRA!U849</f>
        <v>45440</v>
      </c>
      <c r="T848" s="207" t="s">
        <v>4446</v>
      </c>
      <c r="U848" s="206" t="s">
        <v>1428</v>
      </c>
      <c r="V848" s="499" t="s">
        <v>6512</v>
      </c>
      <c r="W848" s="597" t="s">
        <v>6512</v>
      </c>
      <c r="X848" s="986">
        <f>OBRA!AR849</f>
        <v>30433.52</v>
      </c>
      <c r="Y848" s="309"/>
      <c r="Z848" s="309"/>
      <c r="AA848" s="895"/>
      <c r="AB848" s="1917"/>
      <c r="AC848" s="317"/>
      <c r="AD848" s="352"/>
      <c r="AE848" s="352"/>
    </row>
    <row r="849" spans="1:31" ht="94.5" customHeight="1">
      <c r="A849" s="22" t="s">
        <v>2206</v>
      </c>
      <c r="B849" s="809" t="str">
        <f>GRAL!B850</f>
        <v>2021-2024</v>
      </c>
      <c r="C849" s="16">
        <f>OBRA!J850</f>
        <v>2024</v>
      </c>
      <c r="D849" s="1415"/>
      <c r="E849" s="17" t="str">
        <f>OBRA!M850</f>
        <v>CUENTA CORRIENTE</v>
      </c>
      <c r="F849" s="478" t="s">
        <v>1428</v>
      </c>
      <c r="G849" s="496" t="s">
        <v>6513</v>
      </c>
      <c r="H849" s="495" t="s">
        <v>6513</v>
      </c>
      <c r="I849" s="496" t="s">
        <v>6513</v>
      </c>
      <c r="J849" s="54" t="str">
        <f>OBRA!W850</f>
        <v xml:space="preserve">DORIA &amp; SAMPIER CONSTRUCTORA, S.A. DE C.V. </v>
      </c>
      <c r="K849" s="55" t="str">
        <f>OBRA!X850</f>
        <v>ING. J. GUADALUPE IBARRA RAMIREZ</v>
      </c>
      <c r="L849" s="33" t="str">
        <f>OBRA!N850</f>
        <v>GMJ 017C- OP/2024</v>
      </c>
      <c r="M849" s="2" t="str">
        <f>OBRA!O850</f>
        <v>ADJUDICACIÓN DIRECTA</v>
      </c>
      <c r="N849" s="3" t="str">
        <f>OBRA!P850</f>
        <v>"TRABAJOS PRELIMINARES DE DELIMITACIÓN, DESPALME Y CONFORMACIÓN DE PLATAFORMA, REHABILITACIÓN DE CAMINO DE ACCESO Y EXCAVACIÓN DE FOSA Y CANAL PREVIA CANCELACIÓN DE VERTEDERO MUNICIPAL", EN LA CABECERA MUNICIPAL DE JOCOTEPEC, JALISCO.</v>
      </c>
      <c r="O849" s="504" t="s">
        <v>6490</v>
      </c>
      <c r="P849" s="67">
        <f>OBRA!S850</f>
        <v>45450</v>
      </c>
      <c r="Q849" s="79">
        <f>OBRA!R850</f>
        <v>687485.47</v>
      </c>
      <c r="R849" s="5">
        <f>OBRA!T850</f>
        <v>45453</v>
      </c>
      <c r="S849" s="11">
        <f>OBRA!U850</f>
        <v>45471</v>
      </c>
      <c r="T849" s="207" t="s">
        <v>4446</v>
      </c>
      <c r="U849" s="206" t="s">
        <v>1428</v>
      </c>
      <c r="V849" s="499" t="s">
        <v>6513</v>
      </c>
      <c r="W849" s="205"/>
      <c r="X849" s="986">
        <f>OBRA!AR850</f>
        <v>137497.07999999999</v>
      </c>
      <c r="Y849" s="309"/>
      <c r="Z849" s="309"/>
      <c r="AA849" s="895"/>
      <c r="AB849" s="1917"/>
      <c r="AC849" s="317"/>
      <c r="AD849" s="352"/>
      <c r="AE849" s="352"/>
    </row>
    <row r="850" spans="1:31" ht="75.75" customHeight="1">
      <c r="A850" s="22" t="s">
        <v>2206</v>
      </c>
      <c r="B850" s="809" t="str">
        <f>GRAL!B851</f>
        <v>2021-2024</v>
      </c>
      <c r="C850" s="16">
        <f>OBRA!J851</f>
        <v>2024</v>
      </c>
      <c r="D850" s="1415"/>
      <c r="E850" s="17" t="str">
        <f>OBRA!M851</f>
        <v xml:space="preserve">FORTAMUN </v>
      </c>
      <c r="F850" s="478" t="s">
        <v>1428</v>
      </c>
      <c r="G850" s="496" t="s">
        <v>6518</v>
      </c>
      <c r="H850" s="495" t="s">
        <v>6518</v>
      </c>
      <c r="I850" s="496" t="s">
        <v>6518</v>
      </c>
      <c r="J850" s="54" t="str">
        <f>OBRA!W851</f>
        <v>INFRAESTRUCTURA GUSEV, S.A. DE C.V.</v>
      </c>
      <c r="K850" s="55" t="str">
        <f>OBRA!X851</f>
        <v>C. DANIEL RODRIGUEZ VALENZUELA</v>
      </c>
      <c r="L850" s="33" t="str">
        <f>OBRA!N851</f>
        <v>GMJ 018C- OP/2024</v>
      </c>
      <c r="M850" s="2" t="str">
        <f>OBRA!O851</f>
        <v>ADJUDICACIÓN DIRECTA</v>
      </c>
      <c r="N850" s="3" t="str">
        <f>OBRA!P851</f>
        <v>"CONSTRUCCIÓN DE LÍNEA DE ABASTECIMIENTO DE 6" DEL POZO DE AGUA POTABLE NUEVO A RED PRINCIPAL EN ZONA ORIENTE DE LA POBLACIÓN", EN LA LOCALIDAD DE SAN PEDRO TESISTÁN, MUNICIPIO DE JOCOTEPEC, JALISCO.</v>
      </c>
      <c r="O850" s="504" t="s">
        <v>6490</v>
      </c>
      <c r="P850" s="67">
        <f>OBRA!S851</f>
        <v>45448</v>
      </c>
      <c r="Q850" s="79">
        <f>OBRA!R851</f>
        <v>1298701.05</v>
      </c>
      <c r="R850" s="5">
        <f>OBRA!T851</f>
        <v>45450</v>
      </c>
      <c r="S850" s="11">
        <f>OBRA!U851</f>
        <v>45464</v>
      </c>
      <c r="T850" s="1352" t="s">
        <v>3816</v>
      </c>
      <c r="U850" s="660"/>
      <c r="V850" s="499" t="s">
        <v>6518</v>
      </c>
      <c r="W850" s="597" t="s">
        <v>6518</v>
      </c>
      <c r="X850" s="986">
        <f>OBRA!AR851</f>
        <v>267682.66000000003</v>
      </c>
      <c r="Y850" s="309"/>
      <c r="Z850" s="309"/>
      <c r="AA850" s="895"/>
      <c r="AB850" s="1917"/>
      <c r="AC850" s="317"/>
      <c r="AD850" s="352"/>
      <c r="AE850" s="352"/>
    </row>
    <row r="851" spans="1:31" ht="75.75" customHeight="1">
      <c r="A851" s="22" t="s">
        <v>2206</v>
      </c>
      <c r="B851" s="809" t="str">
        <f>GRAL!B852</f>
        <v>2021-2024</v>
      </c>
      <c r="C851" s="16">
        <f>OBRA!J852</f>
        <v>2024</v>
      </c>
      <c r="D851" s="1415"/>
      <c r="E851" s="17" t="str">
        <f>OBRA!M852</f>
        <v xml:space="preserve">FORTAMUN </v>
      </c>
      <c r="F851" s="478" t="s">
        <v>1428</v>
      </c>
      <c r="G851" s="496" t="s">
        <v>6519</v>
      </c>
      <c r="H851" s="495" t="s">
        <v>6519</v>
      </c>
      <c r="I851" s="496" t="s">
        <v>6519</v>
      </c>
      <c r="J851" s="54" t="str">
        <f>OBRA!W852</f>
        <v>SOLEC ENERGY, S.A. DE C.V.</v>
      </c>
      <c r="K851" s="55" t="str">
        <f>OBRA!X852</f>
        <v>ING. LUIS RIGOBERTO OLMEDO NAVARRO</v>
      </c>
      <c r="L851" s="33" t="str">
        <f>OBRA!N852</f>
        <v>GMJ 019C- OP/2024</v>
      </c>
      <c r="M851" s="2" t="str">
        <f>OBRA!O852</f>
        <v>ADJUDICACIÓN DIRECTA</v>
      </c>
      <c r="N851" s="3" t="str">
        <f>OBRA!P852</f>
        <v>"AMPLIACIÓN DE ALUMBRADO PÚBLICO EN CALLE JOSEFA ORTÍZ DE DOMINGUEZ ENTRE CALLE CIENTÍFICOS Y LIBRAMIENTO", EN LA CABECERA MUNICIPAL DE JOCOTEPEC, JALISCO.</v>
      </c>
      <c r="O851" s="504" t="s">
        <v>6490</v>
      </c>
      <c r="P851" s="67">
        <f>OBRA!S852</f>
        <v>45470</v>
      </c>
      <c r="Q851" s="79">
        <f>OBRA!R852</f>
        <v>204310.14</v>
      </c>
      <c r="R851" s="5">
        <f>OBRA!T852</f>
        <v>45477</v>
      </c>
      <c r="S851" s="11">
        <f>OBRA!U852</f>
        <v>45491</v>
      </c>
      <c r="T851" s="1352" t="s">
        <v>3816</v>
      </c>
      <c r="U851" s="206"/>
      <c r="V851" s="201"/>
      <c r="W851" s="597" t="s">
        <v>6519</v>
      </c>
      <c r="X851" s="986">
        <f>OBRA!AR852</f>
        <v>40862.019999999997</v>
      </c>
      <c r="Y851" s="309"/>
      <c r="Z851" s="309"/>
      <c r="AA851" s="895"/>
      <c r="AB851" s="1917"/>
      <c r="AC851" s="317"/>
      <c r="AD851" s="352"/>
      <c r="AE851" s="352"/>
    </row>
    <row r="852" spans="1:31" ht="75.75" customHeight="1">
      <c r="A852" s="22" t="s">
        <v>2206</v>
      </c>
      <c r="B852" s="809" t="str">
        <f>GRAL!B853</f>
        <v>2021-2024</v>
      </c>
      <c r="C852" s="16">
        <f>OBRA!J853</f>
        <v>2024</v>
      </c>
      <c r="D852" s="1415"/>
      <c r="E852" s="17" t="str">
        <f>OBRA!M853</f>
        <v xml:space="preserve">FORTAMUN </v>
      </c>
      <c r="F852" s="478" t="s">
        <v>1428</v>
      </c>
      <c r="G852" s="496" t="s">
        <v>6520</v>
      </c>
      <c r="H852" s="495" t="s">
        <v>6520</v>
      </c>
      <c r="I852" s="496" t="s">
        <v>6520</v>
      </c>
      <c r="J852" s="54" t="str">
        <f>OBRA!W853</f>
        <v>INFRAESTRUCTURA GUSEV, S.A. DE C.V.</v>
      </c>
      <c r="K852" s="55" t="str">
        <f>OBRA!X853</f>
        <v>C. DANIEL RODRIGUEZ VALENZUELA</v>
      </c>
      <c r="L852" s="33" t="str">
        <f>OBRA!N853</f>
        <v>GMJ 020C- OP/2024</v>
      </c>
      <c r="M852" s="2" t="str">
        <f>OBRA!O853</f>
        <v>ADJUDICACIÓN DIRECTA</v>
      </c>
      <c r="N852" s="3" t="str">
        <f>OBRA!P853</f>
        <v>"REMODELACIÓN DE LAS INSTALACIONES DE LA COMANDANCIA MUNICIPAL", EN LA CABECERA MUNICIPAL", EN LA CABECERA MUNICIPAL DE JOCOTEPEC, JALISCO.</v>
      </c>
      <c r="O852" s="504" t="s">
        <v>6490</v>
      </c>
      <c r="P852" s="67">
        <f>OBRA!S853</f>
        <v>45468</v>
      </c>
      <c r="Q852" s="79">
        <f>OBRA!R853</f>
        <v>1801948.36</v>
      </c>
      <c r="R852" s="5">
        <f>OBRA!T853</f>
        <v>45470</v>
      </c>
      <c r="S852" s="11">
        <f>OBRA!U853</f>
        <v>45548</v>
      </c>
      <c r="T852" s="1352" t="s">
        <v>3816</v>
      </c>
      <c r="U852" s="206"/>
      <c r="V852" s="499" t="s">
        <v>6520</v>
      </c>
      <c r="W852" s="597" t="s">
        <v>6520</v>
      </c>
      <c r="X852" s="986">
        <f>OBRA!AR853</f>
        <v>914441.15999999992</v>
      </c>
      <c r="Y852" s="309"/>
      <c r="Z852" s="309"/>
      <c r="AA852" s="895"/>
      <c r="AB852" s="1917"/>
      <c r="AC852" s="317"/>
      <c r="AD852" s="352"/>
      <c r="AE852" s="352"/>
    </row>
    <row r="853" spans="1:31" ht="75.75" customHeight="1">
      <c r="A853" s="22" t="s">
        <v>2206</v>
      </c>
      <c r="B853" s="809" t="str">
        <f>GRAL!B854</f>
        <v>2021-2024</v>
      </c>
      <c r="C853" s="16">
        <f>OBRA!J854</f>
        <v>2024</v>
      </c>
      <c r="D853" s="1415"/>
      <c r="E853" s="17" t="str">
        <f>OBRA!M854</f>
        <v xml:space="preserve">FORTAMUN </v>
      </c>
      <c r="F853" s="478" t="s">
        <v>1428</v>
      </c>
      <c r="G853" s="496" t="s">
        <v>6521</v>
      </c>
      <c r="H853" s="495" t="s">
        <v>6521</v>
      </c>
      <c r="I853" s="496" t="s">
        <v>6521</v>
      </c>
      <c r="J853" s="54" t="str">
        <f>OBRA!W854</f>
        <v>SERGIO CABRERA</v>
      </c>
      <c r="K853" s="55" t="str">
        <f>OBRA!X854</f>
        <v>C. DANIEL RODRIGUEZ VALENZUELA</v>
      </c>
      <c r="L853" s="33" t="str">
        <f>OBRA!N854</f>
        <v>GMJ 021C- OP/2024</v>
      </c>
      <c r="M853" s="2" t="str">
        <f>OBRA!O854</f>
        <v>ADJUDICACIÓN DIRECTA</v>
      </c>
      <c r="N853" s="3" t="str">
        <f>OBRA!P854</f>
        <v>"REHABILITACIÓN DE LÍNEA DE DRENAJE DE 12" EN CALLE RIVERA DEL LAGO ENTRE ANDADOR XOCHITL Y CARRETERA JOCOTEPEC, CHAPALA", EN LA LOCALIDAD DE NEXTIPAC, MUNICIPIO DE JOCOTEPEC, JALISCO.</v>
      </c>
      <c r="O853" s="504" t="s">
        <v>6491</v>
      </c>
      <c r="P853" s="67">
        <f>OBRA!S854</f>
        <v>45470</v>
      </c>
      <c r="Q853" s="79">
        <f>OBRA!R854</f>
        <v>424277.78</v>
      </c>
      <c r="R853" s="5">
        <f>OBRA!T854</f>
        <v>45471</v>
      </c>
      <c r="S853" s="11">
        <f>OBRA!U854</f>
        <v>45476</v>
      </c>
      <c r="T853" s="1352" t="s">
        <v>3816</v>
      </c>
      <c r="U853" s="206"/>
      <c r="V853" s="499" t="s">
        <v>6521</v>
      </c>
      <c r="W853" s="597" t="s">
        <v>6521</v>
      </c>
      <c r="X853" s="986">
        <f>OBRA!AR854</f>
        <v>84855.54</v>
      </c>
      <c r="Y853" s="309"/>
      <c r="Z853" s="309"/>
      <c r="AA853" s="895"/>
      <c r="AB853" s="1917"/>
      <c r="AC853" s="317"/>
      <c r="AD853" s="1698">
        <f>OBRA!BW854</f>
        <v>0</v>
      </c>
      <c r="AE853" s="352"/>
    </row>
    <row r="854" spans="1:31" ht="75.75" customHeight="1">
      <c r="A854" s="22" t="s">
        <v>2206</v>
      </c>
      <c r="B854" s="809" t="str">
        <f>GRAL!B855</f>
        <v>2021-2024</v>
      </c>
      <c r="C854" s="16">
        <f>OBRA!J855</f>
        <v>2024</v>
      </c>
      <c r="D854" s="1415"/>
      <c r="E854" s="17" t="str">
        <f>OBRA!M855</f>
        <v xml:space="preserve">FORTAMUN </v>
      </c>
      <c r="F854" s="478" t="s">
        <v>1428</v>
      </c>
      <c r="G854" s="496" t="s">
        <v>6522</v>
      </c>
      <c r="H854" s="495" t="s">
        <v>6522</v>
      </c>
      <c r="I854" s="496" t="s">
        <v>6522</v>
      </c>
      <c r="J854" s="54" t="str">
        <f>OBRA!W855</f>
        <v>SERGIO CABRERA</v>
      </c>
      <c r="K854" s="55" t="str">
        <f>OBRA!X855</f>
        <v>C. DANIEL RODRIGUEZ VALENZUELA</v>
      </c>
      <c r="L854" s="33" t="str">
        <f>OBRA!N855</f>
        <v>GMJ 022C- OP/2024</v>
      </c>
      <c r="M854" s="2" t="str">
        <f>OBRA!O855</f>
        <v>ADJUDICACIÓN DIRECTA</v>
      </c>
      <c r="N854" s="3" t="str">
        <f>OBRA!P855</f>
        <v>"REHABILITACIÓN DE LÍNEA DE AGUA POTABLE DE 3" EN CALLE RIVERA DEL LAGO ENTRE ANDADOR XOCHITL Y CARRETERA JOCOTEPEC, CHAPALA", EN LA LOCALIDAD DE NEXTIPAC, MUNICIPIO DE JOCOTPEC, JALISCO.</v>
      </c>
      <c r="O854" s="504" t="s">
        <v>6491</v>
      </c>
      <c r="P854" s="67">
        <f>OBRA!S855</f>
        <v>45470</v>
      </c>
      <c r="Q854" s="79">
        <f>OBRA!R855</f>
        <v>238287.78</v>
      </c>
      <c r="R854" s="5">
        <f>OBRA!T855</f>
        <v>45477</v>
      </c>
      <c r="S854" s="11">
        <f>OBRA!U855</f>
        <v>45483</v>
      </c>
      <c r="T854" s="1352" t="s">
        <v>3816</v>
      </c>
      <c r="U854" s="660" t="s">
        <v>6522</v>
      </c>
      <c r="V854" s="499" t="s">
        <v>6522</v>
      </c>
      <c r="W854" s="597" t="s">
        <v>6522</v>
      </c>
      <c r="X854" s="986">
        <f>OBRA!AR855</f>
        <v>47657.54</v>
      </c>
      <c r="Y854" s="309"/>
      <c r="Z854" s="309"/>
      <c r="AA854" s="895"/>
      <c r="AB854" s="1917"/>
      <c r="AC854" s="317"/>
      <c r="AD854" s="1698">
        <f>OBRA!BW855</f>
        <v>0</v>
      </c>
      <c r="AE854" s="352"/>
    </row>
    <row r="855" spans="1:31" ht="75.75" customHeight="1">
      <c r="A855" s="22" t="s">
        <v>2206</v>
      </c>
      <c r="B855" s="809" t="str">
        <f>GRAL!B856</f>
        <v>2021-2024</v>
      </c>
      <c r="C855" s="16">
        <f>OBRA!J856</f>
        <v>2024</v>
      </c>
      <c r="D855" s="1415"/>
      <c r="E855" s="17" t="str">
        <f>OBRA!M856</f>
        <v xml:space="preserve">FORTAMUN </v>
      </c>
      <c r="F855" s="478" t="s">
        <v>1428</v>
      </c>
      <c r="G855" s="496" t="s">
        <v>6772</v>
      </c>
      <c r="H855" s="495" t="s">
        <v>6772</v>
      </c>
      <c r="I855" s="496" t="s">
        <v>6772</v>
      </c>
      <c r="J855" s="54" t="str">
        <f>OBRA!W856</f>
        <v>SERGIO CABRERA</v>
      </c>
      <c r="K855" s="55" t="str">
        <f>OBRA!X856</f>
        <v>C. DANIEL RODRIGUEZ VALENZUELA</v>
      </c>
      <c r="L855" s="33" t="str">
        <f>OBRA!N856</f>
        <v>GMJ 023C- OP/2024</v>
      </c>
      <c r="M855" s="2" t="str">
        <f>OBRA!O856</f>
        <v>ADJUDICACIÓN DIRECTA</v>
      </c>
      <c r="N855" s="3" t="str">
        <f>OBRA!P856</f>
        <v>"REHABILITACIÓN DE SUPERFICIE DE RODAMIENTO EN CALLE RIVERA DEL LAGO ENTRE ANDADOR XOCHITL Y CARRETERA JOCOTEPEC, CHAPALA", EN LA LOCALIDAD DE NEXTIPAC, MUNICIPIO DE JOCOTEPEC, JALISCO.</v>
      </c>
      <c r="O855" s="504" t="s">
        <v>6491</v>
      </c>
      <c r="P855" s="67">
        <f>OBRA!S856</f>
        <v>45470</v>
      </c>
      <c r="Q855" s="79">
        <f>OBRA!R856</f>
        <v>974176.38</v>
      </c>
      <c r="R855" s="5">
        <f>OBRA!T856</f>
        <v>45484</v>
      </c>
      <c r="S855" s="11">
        <f>OBRA!U856</f>
        <v>45497</v>
      </c>
      <c r="T855" s="1352" t="s">
        <v>3816</v>
      </c>
      <c r="U855" s="206"/>
      <c r="V855" s="496" t="s">
        <v>6772</v>
      </c>
      <c r="W855" s="597" t="s">
        <v>6772</v>
      </c>
      <c r="X855" s="986">
        <f>OBRA!AR856</f>
        <v>224465.23</v>
      </c>
      <c r="Y855" s="499" t="s">
        <v>6491</v>
      </c>
      <c r="Z855" s="309">
        <v>45488</v>
      </c>
      <c r="AA855" s="895">
        <v>1270476.05</v>
      </c>
      <c r="AB855" s="309">
        <v>45502</v>
      </c>
      <c r="AC855" s="1698" t="s">
        <v>6563</v>
      </c>
      <c r="AD855" s="1698">
        <f>OBRA!BW856</f>
        <v>0</v>
      </c>
      <c r="AE855" s="352"/>
    </row>
    <row r="856" spans="1:31" ht="75.75" customHeight="1">
      <c r="A856" s="22" t="s">
        <v>2206</v>
      </c>
      <c r="B856" s="809" t="str">
        <f>GRAL!B857</f>
        <v>2021-2024</v>
      </c>
      <c r="C856" s="16">
        <f>OBRA!J857</f>
        <v>2024</v>
      </c>
      <c r="D856" s="1415"/>
      <c r="E856" s="17" t="str">
        <f>OBRA!M857</f>
        <v>CUENTA CORRIENTE</v>
      </c>
      <c r="F856" s="478" t="s">
        <v>1428</v>
      </c>
      <c r="G856" s="146"/>
      <c r="H856" s="2"/>
      <c r="I856" s="496" t="s">
        <v>6524</v>
      </c>
      <c r="J856" s="54" t="str">
        <f>OBRA!W857</f>
        <v>ING. MARCO ANTONIO PAREDES RODRÍGUEZ</v>
      </c>
      <c r="K856" s="55" t="str">
        <f>OBRA!X857</f>
        <v>ING. LUIS RIGOBERTO OLMEDO NAVARRO</v>
      </c>
      <c r="L856" s="33" t="str">
        <f>OBRA!N857</f>
        <v>GMJ 024C- OP/2024</v>
      </c>
      <c r="M856" s="2" t="str">
        <f>OBRA!O857</f>
        <v>ADJUDICACIÓN DIRECTA</v>
      </c>
      <c r="N856" s="3" t="str">
        <f>OBRA!P857</f>
        <v>"EQUIPAMIENTO DE POZO PROFUNDO DE AGUA POTABLE" EN LA LOCALIDAD DE SAN PEDRO TESISTÁN MUNICIPIO DE JOCOTEPEC, JALISCO.</v>
      </c>
      <c r="O856" s="504" t="s">
        <v>6491</v>
      </c>
      <c r="P856" s="67">
        <f>OBRA!S857</f>
        <v>45485</v>
      </c>
      <c r="Q856" s="79">
        <f>OBRA!R857</f>
        <v>375226.36</v>
      </c>
      <c r="R856" s="5">
        <f>OBRA!T857</f>
        <v>45495</v>
      </c>
      <c r="S856" s="11">
        <f>OBRA!U857</f>
        <v>45513</v>
      </c>
      <c r="T856" s="207" t="s">
        <v>4446</v>
      </c>
      <c r="U856" s="206" t="s">
        <v>1428</v>
      </c>
      <c r="V856" s="201"/>
      <c r="W856" s="205"/>
      <c r="X856" s="986">
        <f>OBRA!AR857</f>
        <v>150090.53</v>
      </c>
      <c r="Y856" s="309"/>
      <c r="Z856" s="309"/>
      <c r="AA856" s="895"/>
      <c r="AB856" s="1917"/>
      <c r="AC856" s="317"/>
      <c r="AD856" s="1698">
        <f>OBRA!BW857</f>
        <v>0</v>
      </c>
      <c r="AE856" s="352"/>
    </row>
    <row r="857" spans="1:31" ht="75.75" customHeight="1">
      <c r="A857" s="22" t="s">
        <v>2206</v>
      </c>
      <c r="B857" s="809" t="str">
        <f>GRAL!B858</f>
        <v>2021-2024</v>
      </c>
      <c r="C857" s="16">
        <f>OBRA!J858</f>
        <v>2024</v>
      </c>
      <c r="D857" s="1415"/>
      <c r="E857" s="17" t="str">
        <f>OBRA!M858</f>
        <v>CUENTA CORRIENTE</v>
      </c>
      <c r="F857" s="478" t="s">
        <v>1428</v>
      </c>
      <c r="G857" s="496" t="s">
        <v>6525</v>
      </c>
      <c r="H857" s="2"/>
      <c r="I857" s="496" t="s">
        <v>6525</v>
      </c>
      <c r="J857" s="54" t="str">
        <f>OBRA!W858</f>
        <v>SOLEC ENERGY, S.A. DE C.V.</v>
      </c>
      <c r="K857" s="55" t="str">
        <f>OBRA!X858</f>
        <v>ING. LUIS RIGOBERTO OLMEDO NAVARRO</v>
      </c>
      <c r="L857" s="33" t="str">
        <f>OBRA!N858</f>
        <v>GMJ 025C- OP/2024</v>
      </c>
      <c r="M857" s="2" t="str">
        <f>OBRA!O858</f>
        <v>ADJUDICACIÓN DIRECTA</v>
      </c>
      <c r="N857" s="3" t="str">
        <f>OBRA!P858</f>
        <v>"ELECTRIFICACIÓN DE POZO PROFUNDO DE AGUA POTABLE", EN LA LOCALIDAD DE SAN PEDRO TESISTÁN, MUNICIPIO DE JOCOTEPEC, JALISCO.</v>
      </c>
      <c r="O857" s="504" t="s">
        <v>6491</v>
      </c>
      <c r="P857" s="67">
        <f>OBRA!S858</f>
        <v>45490</v>
      </c>
      <c r="Q857" s="79">
        <f>OBRA!R858</f>
        <v>932099.44</v>
      </c>
      <c r="R857" s="5">
        <f>OBRA!T858</f>
        <v>45497</v>
      </c>
      <c r="S857" s="11">
        <f>OBRA!U858</f>
        <v>45506</v>
      </c>
      <c r="T857" s="207" t="s">
        <v>4446</v>
      </c>
      <c r="U857" s="206" t="s">
        <v>1428</v>
      </c>
      <c r="V857" s="499" t="s">
        <v>6525</v>
      </c>
      <c r="W857" s="597" t="s">
        <v>6525</v>
      </c>
      <c r="X857" s="986">
        <f>OBRA!AR858</f>
        <v>466249.71</v>
      </c>
      <c r="Y857" s="309"/>
      <c r="Z857" s="309"/>
      <c r="AA857" s="895"/>
      <c r="AB857" s="1917"/>
      <c r="AC857" s="317"/>
      <c r="AD857" s="1698">
        <f>OBRA!BW858</f>
        <v>0</v>
      </c>
      <c r="AE857" s="352"/>
    </row>
    <row r="858" spans="1:31" ht="75.75" customHeight="1">
      <c r="A858" s="22" t="s">
        <v>2206</v>
      </c>
      <c r="B858" s="809" t="str">
        <f>GRAL!B859</f>
        <v>2021-2024</v>
      </c>
      <c r="C858" s="16">
        <f>OBRA!J859</f>
        <v>2024</v>
      </c>
      <c r="D858" s="1415"/>
      <c r="E858" s="17" t="str">
        <f>OBRA!M859</f>
        <v>CUENTA CORRIENTE</v>
      </c>
      <c r="F858" s="478" t="s">
        <v>1428</v>
      </c>
      <c r="G858" s="496" t="s">
        <v>6528</v>
      </c>
      <c r="H858" s="495" t="s">
        <v>6528</v>
      </c>
      <c r="I858" s="496" t="s">
        <v>6528</v>
      </c>
      <c r="J858" s="54" t="str">
        <f>OBRA!W859</f>
        <v>CONSTRUCTORA ELITE Y MOVIMIENTOS DE TIERRAS, S.A. DE C.V.</v>
      </c>
      <c r="K858" s="55" t="str">
        <f>OBRA!X859</f>
        <v>ING. LUIS RIGOBERTO OLMEDO NAVARRO</v>
      </c>
      <c r="L858" s="33" t="str">
        <f>OBRA!N859</f>
        <v>GMJ 026C- OP/2024</v>
      </c>
      <c r="M858" s="2" t="str">
        <f>OBRA!O859</f>
        <v>ADJUDICACIÓN DIRECTA</v>
      </c>
      <c r="N858" s="3" t="str">
        <f>OBRA!P859</f>
        <v>"TRABAJOS COMPLETARIOS E IMPERMEABILIZACIÓN DEL DEPÓSITO DE AGUA UBICADO EN LA ZONA NORTE", DE LA CABCERA MUNICIPAL DE JOCOTEPEC, JALISCO.</v>
      </c>
      <c r="O858" s="504" t="s">
        <v>6491</v>
      </c>
      <c r="P858" s="67">
        <f>OBRA!S859</f>
        <v>45497</v>
      </c>
      <c r="Q858" s="79">
        <f>OBRA!R859</f>
        <v>759205.81</v>
      </c>
      <c r="R858" s="5">
        <f>OBRA!T859</f>
        <v>45502</v>
      </c>
      <c r="S858" s="11">
        <f>OBRA!U859</f>
        <v>45535</v>
      </c>
      <c r="T858" s="207" t="s">
        <v>4446</v>
      </c>
      <c r="U858" s="206" t="s">
        <v>1428</v>
      </c>
      <c r="V858" s="499" t="s">
        <v>6528</v>
      </c>
      <c r="W858" s="597" t="s">
        <v>6528</v>
      </c>
      <c r="X858" s="986">
        <f>OBRA!AR859</f>
        <v>152249.79</v>
      </c>
      <c r="Y858" s="309"/>
      <c r="Z858" s="309"/>
      <c r="AA858" s="895"/>
      <c r="AB858" s="1917"/>
      <c r="AC858" s="317"/>
      <c r="AD858" s="1698">
        <f>OBRA!BW859</f>
        <v>0</v>
      </c>
      <c r="AE858" s="352"/>
    </row>
    <row r="859" spans="1:31" ht="75.75" customHeight="1">
      <c r="A859" s="22" t="s">
        <v>2206</v>
      </c>
      <c r="B859" s="809" t="str">
        <f>GRAL!B860</f>
        <v>2021-2024</v>
      </c>
      <c r="C859" s="16">
        <f>OBRA!J860</f>
        <v>2024</v>
      </c>
      <c r="D859" s="1415"/>
      <c r="E859" s="17" t="str">
        <f>OBRA!M860</f>
        <v xml:space="preserve">FORTAMUN </v>
      </c>
      <c r="F859" s="478" t="s">
        <v>1428</v>
      </c>
      <c r="G859" s="496" t="s">
        <v>6773</v>
      </c>
      <c r="H859" s="495" t="s">
        <v>6773</v>
      </c>
      <c r="I859" s="496" t="s">
        <v>6773</v>
      </c>
      <c r="J859" s="54" t="str">
        <f>OBRA!W860</f>
        <v>SOLEC ENERGY, S.A. DE C.V.</v>
      </c>
      <c r="K859" s="55">
        <f>OBRA!X860</f>
        <v>0</v>
      </c>
      <c r="L859" s="33" t="str">
        <f>OBRA!N860</f>
        <v>GMJ 027C- OP/2024</v>
      </c>
      <c r="M859" s="2" t="str">
        <f>OBRA!O860</f>
        <v>ADJUDICACIÓN DIRECTA</v>
      </c>
      <c r="N859" s="3" t="str">
        <f>OBRA!P860</f>
        <v>"PROYECTO DE ELECTRIFICACIÓN DE UNIDAD DEPORTIVA DE MEDIA Y BAJA TENSIÓN", EN LA LOCALIDAD DE CHANTEPEC, MUNICIPIO DE JOCOTEPEC, JALISCO.</v>
      </c>
      <c r="O859" s="504" t="s">
        <v>6491</v>
      </c>
      <c r="P859" s="67">
        <f>OBRA!S860</f>
        <v>45507</v>
      </c>
      <c r="Q859" s="79">
        <f>OBRA!R860</f>
        <v>779373.61</v>
      </c>
      <c r="R859" s="5">
        <f>OBRA!T860</f>
        <v>45510</v>
      </c>
      <c r="S859" s="11">
        <f>OBRA!U860</f>
        <v>45527</v>
      </c>
      <c r="T859" s="1352" t="s">
        <v>3816</v>
      </c>
      <c r="U859" s="206"/>
      <c r="V859" s="496" t="s">
        <v>6773</v>
      </c>
      <c r="W859" s="496" t="s">
        <v>6773</v>
      </c>
      <c r="X859" s="986">
        <f>OBRA!AR860</f>
        <v>0</v>
      </c>
      <c r="Y859" s="309"/>
      <c r="Z859" s="309"/>
      <c r="AA859" s="895"/>
      <c r="AB859" s="1917"/>
      <c r="AC859" s="317"/>
      <c r="AD859" s="1698" t="str">
        <f>OBRA!BW860</f>
        <v>FALTA TODO EXPEDIENTE</v>
      </c>
      <c r="AE859" s="352"/>
    </row>
    <row r="860" spans="1:31" ht="75.75" customHeight="1">
      <c r="A860" s="22" t="s">
        <v>2206</v>
      </c>
      <c r="B860" s="809" t="str">
        <f>GRAL!B861</f>
        <v>2021-2024</v>
      </c>
      <c r="C860" s="16">
        <f>OBRA!J861</f>
        <v>2024</v>
      </c>
      <c r="D860" s="1415"/>
      <c r="E860" s="17" t="str">
        <f>OBRA!M861</f>
        <v xml:space="preserve">FORTAMUN </v>
      </c>
      <c r="F860" s="478" t="s">
        <v>1428</v>
      </c>
      <c r="G860" s="496" t="s">
        <v>6774</v>
      </c>
      <c r="H860" s="495" t="s">
        <v>6774</v>
      </c>
      <c r="I860" s="496" t="s">
        <v>6774</v>
      </c>
      <c r="J860" s="54" t="str">
        <f>OBRA!W861</f>
        <v>ING. MARCO ANTONIO PAREDES RODRÍGUEZ</v>
      </c>
      <c r="K860" s="55" t="str">
        <f>OBRA!X861</f>
        <v>ING. LUIS RIGOBERTO OLMEDO NAVARRO</v>
      </c>
      <c r="L860" s="33" t="str">
        <f>OBRA!N861</f>
        <v>GMJ 028C- OP/2024</v>
      </c>
      <c r="M860" s="2" t="str">
        <f>OBRA!O861</f>
        <v>ADJUDICACIÓN DIRECTA</v>
      </c>
      <c r="N860" s="3" t="str">
        <f>OBRA!P861</f>
        <v>"ADECUACIÓN DE ELECTRIFICACIÓN, EQUIPAMIENTO Y TREN DE DESCARGA DEL POZO DE AGUA POTABLE EN CALLE MORELOS ENTRE CALLE GONZALEZ ORTEGA Y CALLE NICOLÁS BRAVO", EN LOCALIDAD DE NEXTIPAC, MUNICIPIO DE JOCOTEPEC, JALISCO.</v>
      </c>
      <c r="O860" s="504" t="s">
        <v>6491</v>
      </c>
      <c r="P860" s="67">
        <f>OBRA!S861</f>
        <v>0</v>
      </c>
      <c r="Q860" s="79">
        <f>OBRA!R861</f>
        <v>1025125.64</v>
      </c>
      <c r="R860" s="5">
        <f>OBRA!T861</f>
        <v>45516</v>
      </c>
      <c r="S860" s="11">
        <f>OBRA!U861</f>
        <v>45526</v>
      </c>
      <c r="T860" s="1352" t="s">
        <v>3816</v>
      </c>
      <c r="U860" s="206"/>
      <c r="V860" s="201"/>
      <c r="W860" s="205"/>
      <c r="X860" s="986">
        <f>OBRA!AR861</f>
        <v>0</v>
      </c>
      <c r="Y860" s="309"/>
      <c r="Z860" s="309"/>
      <c r="AA860" s="895"/>
      <c r="AB860" s="1917"/>
      <c r="AC860" s="317"/>
      <c r="AD860" s="1698">
        <f>OBRA!BW861</f>
        <v>0</v>
      </c>
      <c r="AE860" s="352"/>
    </row>
    <row r="861" spans="1:31" ht="75.75" customHeight="1">
      <c r="A861" s="22" t="s">
        <v>2206</v>
      </c>
      <c r="B861" s="809" t="str">
        <f>GRAL!B862</f>
        <v>2021-2024</v>
      </c>
      <c r="C861" s="16">
        <f>OBRA!J862</f>
        <v>2024</v>
      </c>
      <c r="D861" s="1415"/>
      <c r="E861" s="17" t="str">
        <f>OBRA!M862</f>
        <v>CUENTA CORRIENTE</v>
      </c>
      <c r="F861" s="478" t="s">
        <v>1428</v>
      </c>
      <c r="G861" s="496" t="s">
        <v>6775</v>
      </c>
      <c r="H861" s="495" t="s">
        <v>6775</v>
      </c>
      <c r="I861" s="496" t="s">
        <v>6775</v>
      </c>
      <c r="J861" s="54" t="str">
        <f>OBRA!W862</f>
        <v>C. OSCAR HERNÁNDEZ HERNÁNDEZ</v>
      </c>
      <c r="K861" s="55">
        <f>OBRA!X862</f>
        <v>0</v>
      </c>
      <c r="L861" s="33" t="str">
        <f>OBRA!N862</f>
        <v>GMJ 029C- OP/2024</v>
      </c>
      <c r="M861" s="2" t="str">
        <f>OBRA!O862</f>
        <v>ADJUDICACIÓN DIRECTA</v>
      </c>
      <c r="N861" s="3" t="str">
        <f>OBRA!P862</f>
        <v>"MANTENIMIENTO DE PINTURA E IMPERMEABILIZACIÓN, RETIRO Y COLOCACIÓN DE PISOS EN PLANTA DE AZOTEA EN EDIFICIO ADMINISTRATIVO DE CALLE HIDALGO SUR # 187" EN LA CABECERA MUNICIPAL DE JOCOTEPEC, JALISCO</v>
      </c>
      <c r="O861" s="504" t="s">
        <v>6491</v>
      </c>
      <c r="P861" s="67">
        <f>OBRA!S862</f>
        <v>45531</v>
      </c>
      <c r="Q861" s="79">
        <f>OBRA!R862</f>
        <v>347680.34</v>
      </c>
      <c r="R861" s="5">
        <f>OBRA!T862</f>
        <v>45535</v>
      </c>
      <c r="S861" s="11">
        <f>OBRA!U862</f>
        <v>45551</v>
      </c>
      <c r="T861" s="207" t="s">
        <v>4446</v>
      </c>
      <c r="U861" s="206" t="s">
        <v>1428</v>
      </c>
      <c r="V861" s="496" t="s">
        <v>6775</v>
      </c>
      <c r="W861" s="496" t="s">
        <v>6775</v>
      </c>
      <c r="X861" s="986">
        <f>OBRA!AR862</f>
        <v>0</v>
      </c>
      <c r="Y861" s="309"/>
      <c r="Z861" s="309"/>
      <c r="AA861" s="895"/>
      <c r="AB861" s="1917"/>
      <c r="AC861" s="317"/>
      <c r="AD861" s="1698" t="str">
        <f>OBRA!BW862</f>
        <v>FALTA TODO EXPEDIENTE</v>
      </c>
      <c r="AE861" s="352"/>
    </row>
    <row r="862" spans="1:31" ht="75.75" customHeight="1">
      <c r="A862" s="22" t="s">
        <v>2206</v>
      </c>
      <c r="B862" s="809" t="str">
        <f>GRAL!B863</f>
        <v>2021-2024</v>
      </c>
      <c r="C862" s="16">
        <f>OBRA!J863</f>
        <v>2024</v>
      </c>
      <c r="D862" s="1415"/>
      <c r="E862" s="17" t="str">
        <f>OBRA!M863</f>
        <v>CUENTA CORRIENTE</v>
      </c>
      <c r="F862" s="478" t="s">
        <v>1428</v>
      </c>
      <c r="G862" s="496" t="s">
        <v>6776</v>
      </c>
      <c r="H862" s="495" t="s">
        <v>6776</v>
      </c>
      <c r="I862" s="496" t="s">
        <v>6776</v>
      </c>
      <c r="J862" s="54" t="str">
        <f>OBRA!W863</f>
        <v>ALSERCON SA DE CV</v>
      </c>
      <c r="K862" s="55">
        <f>OBRA!X863</f>
        <v>0</v>
      </c>
      <c r="L862" s="33" t="str">
        <f>OBRA!N863</f>
        <v>GMJ 030C- OP/2024</v>
      </c>
      <c r="M862" s="2" t="str">
        <f>OBRA!O863</f>
        <v>ADJUDICACIÓN DIRECTA</v>
      </c>
      <c r="N862" s="3" t="str">
        <f>OBRA!P863</f>
        <v>"MANTENIMIENTO DE CANCHA DE USOS MULTIPLES UBICADA EN ZONA DEL MALECÓN", EN LA LOCALIDAD DE SAN JUAN COSALÁ, MUNICIPIO DE JOCOTEPEC, JALISCO.</v>
      </c>
      <c r="O862" s="504" t="s">
        <v>6491</v>
      </c>
      <c r="P862" s="67">
        <f>OBRA!S863</f>
        <v>45532</v>
      </c>
      <c r="Q862" s="79">
        <f>OBRA!R863</f>
        <v>215269.78</v>
      </c>
      <c r="R862" s="5">
        <f>OBRA!T863</f>
        <v>45534</v>
      </c>
      <c r="S862" s="11">
        <f>OBRA!U863</f>
        <v>45548</v>
      </c>
      <c r="T862" s="207" t="s">
        <v>4446</v>
      </c>
      <c r="U862" s="206" t="s">
        <v>1428</v>
      </c>
      <c r="V862" s="496" t="s">
        <v>6776</v>
      </c>
      <c r="W862" s="205"/>
      <c r="X862" s="986">
        <f>OBRA!AR863</f>
        <v>0</v>
      </c>
      <c r="Y862" s="309"/>
      <c r="Z862" s="309"/>
      <c r="AA862" s="895"/>
      <c r="AB862" s="1917"/>
      <c r="AC862" s="317"/>
      <c r="AD862" s="1698" t="str">
        <f>OBRA!BW863</f>
        <v>FALTA TODO EXPEDIENTE</v>
      </c>
      <c r="AE862" s="352"/>
    </row>
    <row r="863" spans="1:31" ht="75.75" customHeight="1">
      <c r="A863" s="22" t="s">
        <v>2206</v>
      </c>
      <c r="B863" s="809" t="str">
        <f>GRAL!B864</f>
        <v>2021-2024</v>
      </c>
      <c r="C863" s="16">
        <f>OBRA!J864</f>
        <v>2024</v>
      </c>
      <c r="D863" s="1415"/>
      <c r="E863" s="17" t="str">
        <f>OBRA!M864</f>
        <v>CUENTA CORRIENTE</v>
      </c>
      <c r="F863" s="478" t="s">
        <v>1428</v>
      </c>
      <c r="G863" s="146"/>
      <c r="H863" s="495" t="s">
        <v>6529</v>
      </c>
      <c r="I863" s="496" t="s">
        <v>6529</v>
      </c>
      <c r="J863" s="54" t="str">
        <f>OBRA!W864</f>
        <v>SOLEC ENERGY, S.A. DE C.V.</v>
      </c>
      <c r="K863" s="55" t="str">
        <f>OBRA!X864</f>
        <v>ING. LUIS RIGOBERTO OLMEDO NAVARRO</v>
      </c>
      <c r="L863" s="33" t="str">
        <f>OBRA!N864</f>
        <v>GMJ 031C- OP/2024</v>
      </c>
      <c r="M863" s="2" t="str">
        <f>OBRA!O864</f>
        <v>ADJUDICACIÓN DIRECTA</v>
      </c>
      <c r="N863" s="3" t="str">
        <f>OBRA!P864</f>
        <v>"ELECTRIFICACIÓN DE LOCALES COMERCIALES EN PLAZA CÍVICA", EN LA LOCALIDAD DE CHANTEPEC, MUNICIPIO DE JOCOTEPEC, JALISCO</v>
      </c>
      <c r="O863" s="504" t="s">
        <v>6492</v>
      </c>
      <c r="P863" s="67">
        <f>OBRA!S864</f>
        <v>45532</v>
      </c>
      <c r="Q863" s="79">
        <f>OBRA!R864</f>
        <v>672254.43</v>
      </c>
      <c r="R863" s="5">
        <f>OBRA!T864</f>
        <v>45533</v>
      </c>
      <c r="S863" s="11">
        <f>OBRA!U864</f>
        <v>45562</v>
      </c>
      <c r="T863" s="207" t="s">
        <v>4446</v>
      </c>
      <c r="U863" s="206" t="s">
        <v>1428</v>
      </c>
      <c r="V863" s="201"/>
      <c r="W863" s="597" t="s">
        <v>6529</v>
      </c>
      <c r="X863" s="986">
        <f>OBRA!AR864</f>
        <v>0</v>
      </c>
      <c r="Y863" s="309"/>
      <c r="Z863" s="309"/>
      <c r="AA863" s="895"/>
      <c r="AB863" s="1917"/>
      <c r="AC863" s="317"/>
      <c r="AD863" s="1698">
        <f>OBRA!BW864</f>
        <v>0</v>
      </c>
      <c r="AE863" s="352"/>
    </row>
    <row r="864" spans="1:31" ht="75.75" hidden="1" customHeight="1">
      <c r="A864" s="22" t="s">
        <v>2206</v>
      </c>
      <c r="B864" s="809" t="str">
        <f>GRAL!B865</f>
        <v>2021-2024</v>
      </c>
      <c r="C864" s="16">
        <f>OBRA!J865</f>
        <v>2024</v>
      </c>
      <c r="D864" s="1415"/>
      <c r="E864" s="17">
        <f>OBRA!M865</f>
        <v>0</v>
      </c>
      <c r="F864" s="478"/>
      <c r="G864" s="163"/>
      <c r="H864" s="510"/>
      <c r="I864" s="163"/>
      <c r="J864" s="54" t="str">
        <f>OBRA!W865</f>
        <v>-</v>
      </c>
      <c r="K864" s="55">
        <f>OBRA!X865</f>
        <v>0</v>
      </c>
      <c r="L864" s="19" t="str">
        <f>OBRA!N865</f>
        <v>GMJ 032C- OP/2024</v>
      </c>
      <c r="M864" s="2" t="str">
        <f>OBRA!O865</f>
        <v>CANCELADA</v>
      </c>
      <c r="N864" s="3">
        <f>OBRA!P865</f>
        <v>0</v>
      </c>
      <c r="O864" s="504"/>
      <c r="P864" s="6">
        <f>OBRA!S865</f>
        <v>0</v>
      </c>
      <c r="Q864" s="4">
        <f>OBRA!R865</f>
        <v>0</v>
      </c>
      <c r="R864" s="5">
        <f>OBRA!T865</f>
        <v>0</v>
      </c>
      <c r="S864" s="11">
        <f>OBRA!U865</f>
        <v>0</v>
      </c>
      <c r="T864" s="1352"/>
      <c r="U864" s="1582"/>
      <c r="V864" s="535"/>
      <c r="W864" s="437"/>
      <c r="X864" s="534">
        <f>OBRA!AR865</f>
        <v>0</v>
      </c>
      <c r="Y864" s="309"/>
      <c r="Z864" s="309"/>
      <c r="AA864" s="5"/>
      <c r="AB864" s="313"/>
      <c r="AC864" s="317">
        <f>OBRA!BW865</f>
        <v>0</v>
      </c>
      <c r="AD864" s="352"/>
      <c r="AE864" s="352"/>
    </row>
    <row r="865" spans="1:31" ht="75.75" customHeight="1">
      <c r="A865" s="22" t="s">
        <v>2206</v>
      </c>
      <c r="B865" s="809" t="str">
        <f>GRAL!B866</f>
        <v>2021-2024</v>
      </c>
      <c r="C865" s="16">
        <f>OBRA!J866</f>
        <v>2024</v>
      </c>
      <c r="D865" s="1415"/>
      <c r="E865" s="17" t="str">
        <f>OBRA!M866</f>
        <v>CUENTA CORRIENTE</v>
      </c>
      <c r="F865" s="478" t="s">
        <v>1428</v>
      </c>
      <c r="G865" s="146"/>
      <c r="H865" s="2"/>
      <c r="I865" s="146"/>
      <c r="J865" s="54" t="str">
        <f>OBRA!W866</f>
        <v>SERGIO CABRERA</v>
      </c>
      <c r="K865" s="55" t="str">
        <f>OBRA!X866</f>
        <v>IMELDA KARINA PÉREZ GONZÁLEZ</v>
      </c>
      <c r="L865" s="33" t="str">
        <f>OBRA!N866</f>
        <v>GMJ 033C- OP/2024</v>
      </c>
      <c r="M865" s="2" t="str">
        <f>OBRA!O866</f>
        <v>ADJUDICACIÓN DIRECTA</v>
      </c>
      <c r="N865" s="3" t="str">
        <f>OBRA!P866</f>
        <v>"INSTALACIÓN DE REDUCTORES DE VELOCIDAD EN CRUCERO", EN LA LOCALIDAD DE HUEJOTITÁN, MUNICIPIO DE JOCOTEPEC, JALISCO.</v>
      </c>
      <c r="O865" s="504" t="s">
        <v>6492</v>
      </c>
      <c r="P865" s="67">
        <f>OBRA!S866</f>
        <v>45532</v>
      </c>
      <c r="Q865" s="79">
        <f>OBRA!R866</f>
        <v>299463.51</v>
      </c>
      <c r="R865" s="5">
        <f>OBRA!T866</f>
        <v>45536</v>
      </c>
      <c r="S865" s="11">
        <f>OBRA!U866</f>
        <v>45540</v>
      </c>
      <c r="T865" s="207" t="s">
        <v>4446</v>
      </c>
      <c r="U865" s="206" t="s">
        <v>1428</v>
      </c>
      <c r="V865" s="201"/>
      <c r="W865" s="205"/>
      <c r="X865" s="986">
        <f>OBRA!AR866</f>
        <v>0</v>
      </c>
      <c r="Y865" s="309"/>
      <c r="Z865" s="309"/>
      <c r="AA865" s="895"/>
      <c r="AB865" s="1917"/>
      <c r="AC865" s="317"/>
      <c r="AD865" s="1698">
        <f>OBRA!BW866</f>
        <v>0</v>
      </c>
      <c r="AE865" s="352"/>
    </row>
    <row r="866" spans="1:31" ht="75.75" customHeight="1">
      <c r="A866" s="22" t="s">
        <v>2206</v>
      </c>
      <c r="B866" s="809" t="str">
        <f>GRAL!B867</f>
        <v>2021-2024</v>
      </c>
      <c r="C866" s="16">
        <f>OBRA!J867</f>
        <v>2024</v>
      </c>
      <c r="D866" s="1415"/>
      <c r="E866" s="17" t="str">
        <f>OBRA!M867</f>
        <v>CUENTA CORRIENTE</v>
      </c>
      <c r="F866" s="478" t="s">
        <v>1428</v>
      </c>
      <c r="G866" s="496" t="s">
        <v>6777</v>
      </c>
      <c r="H866" s="495" t="s">
        <v>6777</v>
      </c>
      <c r="I866" s="496" t="s">
        <v>6777</v>
      </c>
      <c r="J866" s="54" t="str">
        <f>OBRA!W867</f>
        <v xml:space="preserve">DORIA &amp; SAMPIER CONSTRUCTORA, S.A. DE C.V. </v>
      </c>
      <c r="K866" s="55" t="str">
        <f>OBRA!X867</f>
        <v>ARQ. JAIME CONDE GOMEZ</v>
      </c>
      <c r="L866" s="33" t="str">
        <f>OBRA!N867</f>
        <v>GMJ 034C- OP/2024</v>
      </c>
      <c r="M866" s="2" t="str">
        <f>OBRA!O867</f>
        <v>ADJUDICACIÓN DIRECTA</v>
      </c>
      <c r="N866" s="3" t="str">
        <f>OBRA!P867</f>
        <v>"REHABILITACIÓN DE ÁREA PARA LA COLOCACIÓN DE LA CRUZ ATRIAL EN LA EXPLANADA SUR DEL TEMPLO DEL SEÑOR DEL MONTE", EN LA CABECERA MUNICIPAL DE JOCOTEPEC, JALISCO.</v>
      </c>
      <c r="O866" s="504" t="s">
        <v>6492</v>
      </c>
      <c r="P866" s="67">
        <f>OBRA!S867</f>
        <v>45531</v>
      </c>
      <c r="Q866" s="79">
        <f>OBRA!R867</f>
        <v>109760.7</v>
      </c>
      <c r="R866" s="5">
        <f>OBRA!T867</f>
        <v>45537</v>
      </c>
      <c r="S866" s="11">
        <f>OBRA!U867</f>
        <v>45555</v>
      </c>
      <c r="T866" s="207" t="s">
        <v>4446</v>
      </c>
      <c r="U866" s="206" t="s">
        <v>1428</v>
      </c>
      <c r="V866" s="496" t="s">
        <v>6777</v>
      </c>
      <c r="W866" s="496" t="s">
        <v>6777</v>
      </c>
      <c r="X866" s="986">
        <f>OBRA!AR867</f>
        <v>0</v>
      </c>
      <c r="Y866" s="309"/>
      <c r="Z866" s="309"/>
      <c r="AA866" s="895"/>
      <c r="AB866" s="1917"/>
      <c r="AC866" s="317"/>
      <c r="AD866" s="1698" t="str">
        <f>OBRA!BW867</f>
        <v>FALTA TODO EXPEDIENTE</v>
      </c>
      <c r="AE866" s="352"/>
    </row>
    <row r="867" spans="1:31" ht="75.75" customHeight="1">
      <c r="A867" s="22" t="s">
        <v>2206</v>
      </c>
      <c r="B867" s="809" t="str">
        <f>GRAL!B868</f>
        <v>2021-2024</v>
      </c>
      <c r="C867" s="16">
        <f>OBRA!J868</f>
        <v>2024</v>
      </c>
      <c r="D867" s="1415"/>
      <c r="E867" s="17" t="str">
        <f>OBRA!M868</f>
        <v>CUENTA CORRIENTE</v>
      </c>
      <c r="F867" s="478" t="s">
        <v>1428</v>
      </c>
      <c r="G867" s="496" t="s">
        <v>6778</v>
      </c>
      <c r="H867" s="495" t="s">
        <v>6778</v>
      </c>
      <c r="I867" s="496" t="s">
        <v>6778</v>
      </c>
      <c r="J867" s="54" t="str">
        <f>OBRA!W868</f>
        <v>TERRACERÍAS Y PAVIMENTOS DE LA RIBERA, S.A. DE C.V.</v>
      </c>
      <c r="K867" s="55" t="str">
        <f>OBRA!X868</f>
        <v>C. IMELDA KARINA PÉREZ GONZÁLEZ</v>
      </c>
      <c r="L867" s="33" t="str">
        <f>OBRA!N868</f>
        <v>GMJ 035C- OP/2024</v>
      </c>
      <c r="M867" s="2" t="str">
        <f>OBRA!O868</f>
        <v>ADJUDICACIÓN DIRECTA</v>
      </c>
      <c r="N867" s="3" t="str">
        <f>OBRA!P868</f>
        <v>"RECONSTRUCCIÓN DE SUPERFICIE DE RODAMIENTO EN LA CALLE MIGUEL ARANA ENTRE CALLE GONZALEZ ORTEGA Y CALLE NICOLÁS BRAVO", EN LA CABECERA MUNICIPAL JOCOTEPEC, JALISCO.</v>
      </c>
      <c r="O867" s="504" t="s">
        <v>6492</v>
      </c>
      <c r="P867" s="67">
        <f>OBRA!S868</f>
        <v>45537</v>
      </c>
      <c r="Q867" s="79">
        <f>OBRA!R868</f>
        <v>1641205.93</v>
      </c>
      <c r="R867" s="5">
        <f>OBRA!T868</f>
        <v>45545</v>
      </c>
      <c r="S867" s="11">
        <f>OBRA!U868</f>
        <v>45550</v>
      </c>
      <c r="T867" s="207" t="s">
        <v>4446</v>
      </c>
      <c r="U867" s="206" t="s">
        <v>1428</v>
      </c>
      <c r="V867" s="496" t="s">
        <v>6778</v>
      </c>
      <c r="W867" s="496" t="s">
        <v>6778</v>
      </c>
      <c r="X867" s="986">
        <f>OBRA!AR868</f>
        <v>0</v>
      </c>
      <c r="Y867" s="309"/>
      <c r="Z867" s="309"/>
      <c r="AA867" s="895"/>
      <c r="AB867" s="1917"/>
      <c r="AC867" s="317"/>
      <c r="AD867" s="1698" t="str">
        <f>OBRA!BW868</f>
        <v>FALTA TODO EXPEDIENTE</v>
      </c>
      <c r="AE867" s="352"/>
    </row>
    <row r="868" spans="1:31" ht="75.75" customHeight="1">
      <c r="A868" s="22" t="s">
        <v>2206</v>
      </c>
      <c r="B868" s="809" t="str">
        <f>GRAL!B869</f>
        <v>2021-2024</v>
      </c>
      <c r="C868" s="16">
        <f>OBRA!J869</f>
        <v>2024</v>
      </c>
      <c r="D868" s="1415"/>
      <c r="E868" s="17" t="str">
        <f>OBRA!M869</f>
        <v>CUENTA CORRIENTE</v>
      </c>
      <c r="F868" s="478" t="s">
        <v>1428</v>
      </c>
      <c r="G868" s="496" t="s">
        <v>6531</v>
      </c>
      <c r="H868" s="495" t="s">
        <v>6531</v>
      </c>
      <c r="I868" s="496" t="s">
        <v>6531</v>
      </c>
      <c r="J868" s="54" t="str">
        <f>OBRA!W869</f>
        <v>SERGIO CABRERA</v>
      </c>
      <c r="K868" s="55" t="str">
        <f>OBRA!X869</f>
        <v>C. IMELDA KARINA PÉREZ GONZÁLEZ</v>
      </c>
      <c r="L868" s="33" t="str">
        <f>OBRA!N869</f>
        <v>GMJ 036C- OP/2024</v>
      </c>
      <c r="M868" s="2" t="str">
        <f>OBRA!O869</f>
        <v>ADJUDICACIÓN DIRECTA</v>
      </c>
      <c r="N868" s="3" t="str">
        <f>OBRA!P869</f>
        <v>"RECONSTRUCCIÓN DE SUPERFICIE DE RODAMIENTO EN EL INGRESO AL POBLADO", EN LA LOCALIDAD DE HUEJOTITÁN, MUNICIPIO DE JOCOTEPEC, JALISCO.</v>
      </c>
      <c r="O868" s="504" t="s">
        <v>6492</v>
      </c>
      <c r="P868" s="67">
        <f>OBRA!S869</f>
        <v>45540</v>
      </c>
      <c r="Q868" s="79">
        <f>OBRA!R869</f>
        <v>2600448.56</v>
      </c>
      <c r="R868" s="5">
        <f>OBRA!T869</f>
        <v>45541</v>
      </c>
      <c r="S868" s="11">
        <f>OBRA!U869</f>
        <v>45551</v>
      </c>
      <c r="T868" s="207" t="s">
        <v>4446</v>
      </c>
      <c r="U868" s="206" t="s">
        <v>1428</v>
      </c>
      <c r="V868" s="499" t="s">
        <v>6531</v>
      </c>
      <c r="W868" s="496" t="s">
        <v>6531</v>
      </c>
      <c r="X868" s="986">
        <f>OBRA!AR869</f>
        <v>0</v>
      </c>
      <c r="Y868" s="309"/>
      <c r="Z868" s="309"/>
      <c r="AA868" s="895"/>
      <c r="AB868" s="1917"/>
      <c r="AC868" s="317"/>
      <c r="AD868" s="1698">
        <f>OBRA!BW869</f>
        <v>0</v>
      </c>
      <c r="AE868" s="352"/>
    </row>
    <row r="869" spans="1:31" ht="75.75" customHeight="1">
      <c r="A869" s="22" t="s">
        <v>2206</v>
      </c>
      <c r="B869" s="809" t="str">
        <f>GRAL!B870</f>
        <v>2021-2024</v>
      </c>
      <c r="C869" s="16">
        <f>OBRA!J870</f>
        <v>2024</v>
      </c>
      <c r="D869" s="1415"/>
      <c r="E869" s="17" t="str">
        <f>OBRA!M870</f>
        <v xml:space="preserve">FORTAMUN </v>
      </c>
      <c r="F869" s="478"/>
      <c r="G869" s="146"/>
      <c r="H869" s="495" t="s">
        <v>6780</v>
      </c>
      <c r="I869" s="146"/>
      <c r="J869" s="54" t="str">
        <f>OBRA!W870</f>
        <v>ING. MARCO ANTONIO PAREDES RODRÍGUEZ</v>
      </c>
      <c r="K869" s="55" t="str">
        <f>OBRA!X870</f>
        <v>ING. LUIS RIGOBERTO OLMEDO NAVARRO</v>
      </c>
      <c r="L869" s="33" t="str">
        <f>OBRA!N870</f>
        <v>GMJ 037C- OP/2024</v>
      </c>
      <c r="M869" s="2" t="str">
        <f>OBRA!O870</f>
        <v>ADJUDICACIÓN DIRECTA</v>
      </c>
      <c r="N869" s="3" t="str">
        <f>OBRA!P870</f>
        <v>"MANTENIMIENTO A POZO PROFUNDO Y SUMINISTRO DE TUBERÍA UBICADO EN FRACCIONAMIENTO MAGISTERIAL", EN LA CABECERA MUNICIPAL DE JOCOTEPEC, JALISCO.</v>
      </c>
      <c r="O869" s="504" t="s">
        <v>6492</v>
      </c>
      <c r="P869" s="67">
        <f>OBRA!S870</f>
        <v>45562</v>
      </c>
      <c r="Q869" s="79">
        <f>OBRA!R870</f>
        <v>758548.36</v>
      </c>
      <c r="R869" s="5">
        <f>OBRA!T870</f>
        <v>45562</v>
      </c>
      <c r="S869" s="11">
        <f>OBRA!U870</f>
        <v>45569</v>
      </c>
      <c r="T869" s="1352" t="s">
        <v>3816</v>
      </c>
      <c r="U869" s="206"/>
      <c r="V869" s="201"/>
      <c r="W869" s="205"/>
      <c r="X869" s="986">
        <f>OBRA!AR870</f>
        <v>0</v>
      </c>
      <c r="Y869" s="309"/>
      <c r="Z869" s="309"/>
      <c r="AA869" s="895"/>
      <c r="AB869" s="1917"/>
      <c r="AC869" s="317"/>
      <c r="AD869" s="1698">
        <f>OBRA!BW870</f>
        <v>0</v>
      </c>
      <c r="AE869" s="352"/>
    </row>
    <row r="870" spans="1:31" ht="75.75" hidden="1" customHeight="1">
      <c r="A870" s="22" t="s">
        <v>2206</v>
      </c>
      <c r="B870" s="809" t="str">
        <f>GRAL!B871</f>
        <v>2021-2024</v>
      </c>
      <c r="C870" s="16">
        <f>OBRA!J871</f>
        <v>0</v>
      </c>
      <c r="D870" s="1415"/>
      <c r="E870" s="17">
        <f>OBRA!M871</f>
        <v>0</v>
      </c>
      <c r="F870" s="478"/>
      <c r="G870" s="163"/>
      <c r="H870" s="510"/>
      <c r="I870" s="163"/>
      <c r="J870" s="54">
        <f>OBRA!W871</f>
        <v>0</v>
      </c>
      <c r="K870" s="55">
        <f>OBRA!X871</f>
        <v>0</v>
      </c>
      <c r="L870" s="19">
        <f>OBRA!N871</f>
        <v>0</v>
      </c>
      <c r="M870" s="2">
        <f>OBRA!O871</f>
        <v>0</v>
      </c>
      <c r="N870" s="3">
        <f>OBRA!P871</f>
        <v>0</v>
      </c>
      <c r="O870" s="504"/>
      <c r="P870" s="6">
        <f>OBRA!S871</f>
        <v>0</v>
      </c>
      <c r="Q870" s="4">
        <f>OBRA!R871</f>
        <v>0</v>
      </c>
      <c r="R870" s="5">
        <f>OBRA!T871</f>
        <v>0</v>
      </c>
      <c r="S870" s="11">
        <f>OBRA!U871</f>
        <v>0</v>
      </c>
      <c r="T870" s="1352"/>
      <c r="U870" s="1582"/>
      <c r="V870" s="535"/>
      <c r="W870" s="437"/>
      <c r="X870" s="534">
        <f>OBRA!AR871</f>
        <v>0</v>
      </c>
      <c r="Y870" s="309"/>
      <c r="Z870" s="309"/>
      <c r="AA870" s="5"/>
      <c r="AB870" s="313"/>
      <c r="AC870" s="317">
        <f>OBRA!BW871</f>
        <v>0</v>
      </c>
      <c r="AD870" s="352"/>
      <c r="AE870" s="352"/>
    </row>
    <row r="871" spans="1:31" ht="75.75" hidden="1" customHeight="1">
      <c r="A871" s="22" t="s">
        <v>2206</v>
      </c>
      <c r="B871" s="809" t="str">
        <f>GRAL!B872</f>
        <v>2021-2024</v>
      </c>
      <c r="C871" s="16">
        <f>OBRA!J872</f>
        <v>0</v>
      </c>
      <c r="D871" s="1415"/>
      <c r="E871" s="17">
        <f>OBRA!M872</f>
        <v>0</v>
      </c>
      <c r="F871" s="478"/>
      <c r="G871" s="163"/>
      <c r="H871" s="510"/>
      <c r="I871" s="163"/>
      <c r="J871" s="54">
        <f>OBRA!W872</f>
        <v>0</v>
      </c>
      <c r="K871" s="55">
        <f>OBRA!X872</f>
        <v>0</v>
      </c>
      <c r="L871" s="19">
        <f>OBRA!N872</f>
        <v>0</v>
      </c>
      <c r="M871" s="2">
        <f>OBRA!O872</f>
        <v>0</v>
      </c>
      <c r="N871" s="3">
        <f>OBRA!P872</f>
        <v>0</v>
      </c>
      <c r="O871" s="504"/>
      <c r="P871" s="6">
        <f>OBRA!S872</f>
        <v>0</v>
      </c>
      <c r="Q871" s="4">
        <f>OBRA!R872</f>
        <v>0</v>
      </c>
      <c r="R871" s="5">
        <f>OBRA!T872</f>
        <v>0</v>
      </c>
      <c r="S871" s="11">
        <f>OBRA!U872</f>
        <v>0</v>
      </c>
      <c r="T871" s="1352"/>
      <c r="U871" s="1582"/>
      <c r="V871" s="535"/>
      <c r="W871" s="437"/>
      <c r="X871" s="534">
        <f>OBRA!AR872</f>
        <v>0</v>
      </c>
      <c r="Y871" s="309"/>
      <c r="Z871" s="309"/>
      <c r="AA871" s="5"/>
      <c r="AB871" s="313"/>
      <c r="AC871" s="317">
        <f>OBRA!BW872</f>
        <v>0</v>
      </c>
      <c r="AD871" s="352"/>
      <c r="AE871" s="352"/>
    </row>
    <row r="872" spans="1:31" ht="75.75" hidden="1" customHeight="1">
      <c r="A872" s="22" t="s">
        <v>2206</v>
      </c>
      <c r="B872" s="809" t="str">
        <f>GRAL!B873</f>
        <v>2021-2024</v>
      </c>
      <c r="C872" s="16">
        <f>OBRA!J873</f>
        <v>0</v>
      </c>
      <c r="D872" s="1415"/>
      <c r="E872" s="17">
        <f>OBRA!M873</f>
        <v>0</v>
      </c>
      <c r="F872" s="478"/>
      <c r="G872" s="163"/>
      <c r="H872" s="510"/>
      <c r="I872" s="163"/>
      <c r="J872" s="54">
        <f>OBRA!W873</f>
        <v>0</v>
      </c>
      <c r="K872" s="55">
        <f>OBRA!X873</f>
        <v>0</v>
      </c>
      <c r="L872" s="19">
        <f>OBRA!N873</f>
        <v>0</v>
      </c>
      <c r="M872" s="2">
        <f>OBRA!O873</f>
        <v>0</v>
      </c>
      <c r="N872" s="3">
        <f>OBRA!P873</f>
        <v>0</v>
      </c>
      <c r="O872" s="504"/>
      <c r="P872" s="6">
        <f>OBRA!S873</f>
        <v>0</v>
      </c>
      <c r="Q872" s="4">
        <f>OBRA!R873</f>
        <v>0</v>
      </c>
      <c r="R872" s="5">
        <f>OBRA!T873</f>
        <v>0</v>
      </c>
      <c r="S872" s="11">
        <f>OBRA!U873</f>
        <v>0</v>
      </c>
      <c r="T872" s="1352"/>
      <c r="U872" s="1582"/>
      <c r="V872" s="535"/>
      <c r="W872" s="437"/>
      <c r="X872" s="534">
        <f>OBRA!AR873</f>
        <v>0</v>
      </c>
      <c r="Y872" s="309"/>
      <c r="Z872" s="309"/>
      <c r="AA872" s="5"/>
      <c r="AB872" s="313"/>
      <c r="AC872" s="317">
        <f>OBRA!BW873</f>
        <v>0</v>
      </c>
      <c r="AD872" s="352"/>
      <c r="AE872" s="352"/>
    </row>
    <row r="873" spans="1:31" ht="75.75" hidden="1" customHeight="1">
      <c r="A873" s="22" t="s">
        <v>2206</v>
      </c>
      <c r="B873" s="809" t="str">
        <f>GRAL!B874</f>
        <v>2021-2024</v>
      </c>
      <c r="C873" s="16">
        <f>OBRA!J874</f>
        <v>0</v>
      </c>
      <c r="D873" s="1415"/>
      <c r="E873" s="17">
        <f>OBRA!M874</f>
        <v>0</v>
      </c>
      <c r="F873" s="478"/>
      <c r="G873" s="163"/>
      <c r="H873" s="510"/>
      <c r="I873" s="163"/>
      <c r="J873" s="54">
        <f>OBRA!W874</f>
        <v>0</v>
      </c>
      <c r="K873" s="55">
        <f>OBRA!X874</f>
        <v>0</v>
      </c>
      <c r="L873" s="19">
        <f>OBRA!N874</f>
        <v>0</v>
      </c>
      <c r="M873" s="2">
        <f>OBRA!O874</f>
        <v>0</v>
      </c>
      <c r="N873" s="3">
        <f>OBRA!P874</f>
        <v>0</v>
      </c>
      <c r="O873" s="504"/>
      <c r="P873" s="6">
        <f>OBRA!S874</f>
        <v>0</v>
      </c>
      <c r="Q873" s="4">
        <f>OBRA!R874</f>
        <v>0</v>
      </c>
      <c r="R873" s="5">
        <f>OBRA!T874</f>
        <v>0</v>
      </c>
      <c r="S873" s="11">
        <f>OBRA!U874</f>
        <v>0</v>
      </c>
      <c r="T873" s="1352"/>
      <c r="U873" s="1582"/>
      <c r="V873" s="535"/>
      <c r="W873" s="437"/>
      <c r="X873" s="534">
        <f>OBRA!AR874</f>
        <v>0</v>
      </c>
      <c r="Y873" s="309"/>
      <c r="Z873" s="309"/>
      <c r="AA873" s="5"/>
      <c r="AB873" s="313"/>
      <c r="AC873" s="317">
        <f>OBRA!BW874</f>
        <v>0</v>
      </c>
      <c r="AD873" s="352"/>
      <c r="AE873" s="352"/>
    </row>
    <row r="874" spans="1:31" ht="75.75" hidden="1" customHeight="1">
      <c r="A874" s="22" t="s">
        <v>2206</v>
      </c>
      <c r="B874" s="809" t="str">
        <f>GRAL!B875</f>
        <v>2021-2024</v>
      </c>
      <c r="C874" s="16">
        <f>OBRA!J875</f>
        <v>0</v>
      </c>
      <c r="D874" s="1415"/>
      <c r="E874" s="17">
        <f>OBRA!M875</f>
        <v>0</v>
      </c>
      <c r="F874" s="478"/>
      <c r="G874" s="163"/>
      <c r="H874" s="510"/>
      <c r="I874" s="163"/>
      <c r="J874" s="54">
        <f>OBRA!W875</f>
        <v>0</v>
      </c>
      <c r="K874" s="55">
        <f>OBRA!X875</f>
        <v>0</v>
      </c>
      <c r="L874" s="19">
        <f>OBRA!N875</f>
        <v>0</v>
      </c>
      <c r="M874" s="2">
        <f>OBRA!O875</f>
        <v>0</v>
      </c>
      <c r="N874" s="3">
        <f>OBRA!P875</f>
        <v>0</v>
      </c>
      <c r="O874" s="504"/>
      <c r="P874" s="6">
        <f>OBRA!S875</f>
        <v>0</v>
      </c>
      <c r="Q874" s="4">
        <f>OBRA!R875</f>
        <v>0</v>
      </c>
      <c r="R874" s="5">
        <f>OBRA!T875</f>
        <v>0</v>
      </c>
      <c r="S874" s="11">
        <f>OBRA!U875</f>
        <v>0</v>
      </c>
      <c r="T874" s="1352"/>
      <c r="U874" s="1582"/>
      <c r="V874" s="535"/>
      <c r="W874" s="437"/>
      <c r="X874" s="534">
        <f>OBRA!AR875</f>
        <v>0</v>
      </c>
      <c r="Y874" s="309"/>
      <c r="Z874" s="309"/>
      <c r="AA874" s="5"/>
      <c r="AB874" s="313"/>
      <c r="AC874" s="317">
        <f>OBRA!BW875</f>
        <v>0</v>
      </c>
      <c r="AD874" s="352"/>
      <c r="AE874" s="352"/>
    </row>
    <row r="875" spans="1:31" ht="75.75" hidden="1" customHeight="1">
      <c r="A875" s="22" t="s">
        <v>2206</v>
      </c>
      <c r="B875" s="809">
        <f>GRAL!B876</f>
        <v>0</v>
      </c>
      <c r="C875" s="16">
        <f>OBRA!J876</f>
        <v>0</v>
      </c>
      <c r="D875" s="1415"/>
      <c r="E875" s="17">
        <f>OBRA!M876</f>
        <v>0</v>
      </c>
      <c r="F875" s="478"/>
      <c r="G875" s="163"/>
      <c r="H875" s="510"/>
      <c r="I875" s="163"/>
      <c r="J875" s="54">
        <f>OBRA!W876</f>
        <v>0</v>
      </c>
      <c r="K875" s="55">
        <f>OBRA!X876</f>
        <v>0</v>
      </c>
      <c r="L875" s="19">
        <f>OBRA!N876</f>
        <v>0</v>
      </c>
      <c r="M875" s="2">
        <f>OBRA!O876</f>
        <v>0</v>
      </c>
      <c r="N875" s="3">
        <f>OBRA!P876</f>
        <v>0</v>
      </c>
      <c r="O875" s="504"/>
      <c r="P875" s="6">
        <f>OBRA!S876</f>
        <v>0</v>
      </c>
      <c r="Q875" s="4">
        <f>OBRA!R876</f>
        <v>0</v>
      </c>
      <c r="R875" s="5">
        <f>OBRA!T876</f>
        <v>0</v>
      </c>
      <c r="S875" s="11">
        <f>OBRA!U876</f>
        <v>0</v>
      </c>
      <c r="T875" s="1352"/>
      <c r="U875" s="1582"/>
      <c r="V875" s="535"/>
      <c r="W875" s="437"/>
      <c r="X875" s="534">
        <f>OBRA!AR876</f>
        <v>0</v>
      </c>
      <c r="Y875" s="309"/>
      <c r="Z875" s="309"/>
      <c r="AA875" s="5"/>
      <c r="AB875" s="313"/>
      <c r="AC875" s="317">
        <f>OBRA!BW876</f>
        <v>0</v>
      </c>
      <c r="AD875" s="352"/>
      <c r="AE875" s="352"/>
    </row>
    <row r="876" spans="1:31" ht="75.75" hidden="1" customHeight="1">
      <c r="A876" s="22" t="s">
        <v>2206</v>
      </c>
      <c r="B876" s="809">
        <f>GRAL!B877</f>
        <v>0</v>
      </c>
      <c r="C876" s="16">
        <f>OBRA!J877</f>
        <v>0</v>
      </c>
      <c r="D876" s="1415"/>
      <c r="E876" s="17">
        <f>OBRA!M877</f>
        <v>0</v>
      </c>
      <c r="F876" s="478"/>
      <c r="G876" s="163"/>
      <c r="H876" s="510"/>
      <c r="I876" s="163"/>
      <c r="J876" s="54">
        <f>OBRA!W877</f>
        <v>0</v>
      </c>
      <c r="K876" s="55">
        <f>OBRA!X877</f>
        <v>0</v>
      </c>
      <c r="L876" s="19">
        <f>OBRA!N877</f>
        <v>0</v>
      </c>
      <c r="M876" s="2">
        <f>OBRA!O877</f>
        <v>0</v>
      </c>
      <c r="N876" s="3">
        <f>OBRA!P877</f>
        <v>0</v>
      </c>
      <c r="O876" s="504"/>
      <c r="P876" s="6">
        <f>OBRA!S877</f>
        <v>0</v>
      </c>
      <c r="Q876" s="4">
        <f>OBRA!R877</f>
        <v>0</v>
      </c>
      <c r="R876" s="5">
        <f>OBRA!T877</f>
        <v>0</v>
      </c>
      <c r="S876" s="11">
        <f>OBRA!U877</f>
        <v>0</v>
      </c>
      <c r="T876" s="1352"/>
      <c r="U876" s="1582"/>
      <c r="V876" s="535"/>
      <c r="W876" s="437"/>
      <c r="X876" s="534">
        <f>OBRA!AR877</f>
        <v>0</v>
      </c>
      <c r="Y876" s="309"/>
      <c r="Z876" s="309"/>
      <c r="AA876" s="5"/>
      <c r="AB876" s="313"/>
      <c r="AC876" s="317">
        <f>OBRA!BW877</f>
        <v>0</v>
      </c>
      <c r="AD876" s="352"/>
      <c r="AE876" s="352"/>
    </row>
    <row r="877" spans="1:31" ht="75.75" hidden="1" customHeight="1">
      <c r="A877" s="22" t="s">
        <v>2206</v>
      </c>
      <c r="B877" s="809">
        <f>GRAL!B878</f>
        <v>0</v>
      </c>
      <c r="C877" s="16">
        <f>OBRA!J878</f>
        <v>0</v>
      </c>
      <c r="D877" s="1415"/>
      <c r="E877" s="17">
        <f>OBRA!M878</f>
        <v>0</v>
      </c>
      <c r="F877" s="478"/>
      <c r="G877" s="163"/>
      <c r="H877" s="510"/>
      <c r="I877" s="163"/>
      <c r="J877" s="54">
        <f>OBRA!W878</f>
        <v>0</v>
      </c>
      <c r="K877" s="55">
        <f>OBRA!X878</f>
        <v>0</v>
      </c>
      <c r="L877" s="19" t="str">
        <f>OBRA!N878</f>
        <v>ULTIMA ACTUALIZACION</v>
      </c>
      <c r="M877" s="2">
        <f>OBRA!O878</f>
        <v>0</v>
      </c>
      <c r="N877" s="3">
        <f>OBRA!P878</f>
        <v>45631</v>
      </c>
      <c r="O877" s="504"/>
      <c r="P877" s="6">
        <f>OBRA!S878</f>
        <v>0</v>
      </c>
      <c r="Q877" s="4">
        <f>OBRA!R878</f>
        <v>0</v>
      </c>
      <c r="R877" s="5" t="str">
        <f>OBRA!T878</f>
        <v xml:space="preserve"> </v>
      </c>
      <c r="S877" s="11">
        <f>OBRA!U878</f>
        <v>0</v>
      </c>
      <c r="T877" s="1352"/>
      <c r="U877" s="1582"/>
      <c r="V877" s="535"/>
      <c r="W877" s="437"/>
      <c r="X877" s="534">
        <f>OBRA!AR878</f>
        <v>0</v>
      </c>
      <c r="Y877" s="309"/>
      <c r="Z877" s="309"/>
      <c r="AA877" s="5"/>
      <c r="AB877" s="313"/>
      <c r="AC877" s="317">
        <f>OBRA!BW878</f>
        <v>0</v>
      </c>
      <c r="AD877" s="352"/>
      <c r="AE877" s="352"/>
    </row>
    <row r="878" spans="1:31" ht="75.75" hidden="1" customHeight="1">
      <c r="A878" s="22" t="s">
        <v>2206</v>
      </c>
      <c r="B878" s="809">
        <f>GRAL!B879</f>
        <v>0</v>
      </c>
      <c r="C878" s="16">
        <f>OBRA!J879</f>
        <v>0</v>
      </c>
      <c r="D878" s="1415"/>
      <c r="E878" s="17">
        <f>OBRA!M879</f>
        <v>0</v>
      </c>
      <c r="F878" s="478"/>
      <c r="G878" s="163"/>
      <c r="H878" s="510"/>
      <c r="I878" s="163"/>
      <c r="J878" s="54">
        <f>OBRA!W879</f>
        <v>0</v>
      </c>
      <c r="K878" s="55">
        <f>OBRA!X879</f>
        <v>0</v>
      </c>
      <c r="L878" s="19">
        <f>OBRA!N879</f>
        <v>0</v>
      </c>
      <c r="M878" s="2">
        <f>OBRA!O879</f>
        <v>0</v>
      </c>
      <c r="N878" s="3">
        <f>OBRA!P879</f>
        <v>0</v>
      </c>
      <c r="O878" s="504"/>
      <c r="P878" s="6">
        <f>OBRA!S879</f>
        <v>0</v>
      </c>
      <c r="Q878" s="4">
        <f>OBRA!R879</f>
        <v>0</v>
      </c>
      <c r="R878" s="5">
        <f>OBRA!T879</f>
        <v>0</v>
      </c>
      <c r="S878" s="11">
        <f>OBRA!U879</f>
        <v>0</v>
      </c>
      <c r="T878" s="1352"/>
      <c r="U878" s="1582"/>
      <c r="V878" s="535"/>
      <c r="W878" s="437"/>
      <c r="X878" s="534">
        <f>OBRA!AR879</f>
        <v>0</v>
      </c>
      <c r="Y878" s="309"/>
      <c r="Z878" s="309"/>
      <c r="AA878" s="5"/>
      <c r="AB878" s="313"/>
      <c r="AC878" s="317">
        <f>OBRA!BW879</f>
        <v>0</v>
      </c>
      <c r="AD878" s="352"/>
      <c r="AE878" s="352"/>
    </row>
    <row r="879" spans="1:31" ht="75.75" hidden="1" customHeight="1">
      <c r="A879" s="22" t="s">
        <v>2206</v>
      </c>
      <c r="B879" s="809">
        <f>GRAL!B880</f>
        <v>0</v>
      </c>
      <c r="C879" s="16">
        <f>OBRA!J880</f>
        <v>0</v>
      </c>
      <c r="D879" s="1415"/>
      <c r="E879" s="17">
        <f>OBRA!M880</f>
        <v>0</v>
      </c>
      <c r="F879" s="478"/>
      <c r="G879" s="163"/>
      <c r="H879" s="510"/>
      <c r="I879" s="163"/>
      <c r="J879" s="54">
        <f>OBRA!W880</f>
        <v>0</v>
      </c>
      <c r="K879" s="55">
        <f>OBRA!X880</f>
        <v>0</v>
      </c>
      <c r="L879" s="19">
        <f>OBRA!N880</f>
        <v>0</v>
      </c>
      <c r="M879" s="2">
        <f>OBRA!O880</f>
        <v>0</v>
      </c>
      <c r="N879" s="3">
        <f>OBRA!P880</f>
        <v>0</v>
      </c>
      <c r="O879" s="504"/>
      <c r="P879" s="6">
        <f>OBRA!S880</f>
        <v>0</v>
      </c>
      <c r="Q879" s="4">
        <f>OBRA!R880</f>
        <v>0</v>
      </c>
      <c r="R879" s="5">
        <f>OBRA!T880</f>
        <v>0</v>
      </c>
      <c r="S879" s="11">
        <f>OBRA!U880</f>
        <v>0</v>
      </c>
      <c r="T879" s="1352"/>
      <c r="U879" s="1582"/>
      <c r="V879" s="535"/>
      <c r="W879" s="437"/>
      <c r="X879" s="534">
        <f>OBRA!AR880</f>
        <v>0</v>
      </c>
      <c r="Y879" s="309"/>
      <c r="Z879" s="309"/>
      <c r="AA879" s="5"/>
      <c r="AB879" s="313"/>
      <c r="AC879" s="317">
        <f>OBRA!BW880</f>
        <v>0</v>
      </c>
      <c r="AD879" s="352"/>
      <c r="AE879" s="352"/>
    </row>
    <row r="880" spans="1:31" ht="75.75" hidden="1" customHeight="1">
      <c r="A880" s="22" t="s">
        <v>2206</v>
      </c>
      <c r="B880" s="809">
        <f>GRAL!B881</f>
        <v>0</v>
      </c>
      <c r="C880" s="16">
        <f>OBRA!J881</f>
        <v>0</v>
      </c>
      <c r="D880" s="1415"/>
      <c r="E880" s="17">
        <f>OBRA!M881</f>
        <v>0</v>
      </c>
      <c r="F880" s="478"/>
      <c r="G880" s="163"/>
      <c r="H880" s="510"/>
      <c r="I880" s="163"/>
      <c r="J880" s="54">
        <f>OBRA!W881</f>
        <v>0</v>
      </c>
      <c r="K880" s="55">
        <f>OBRA!X881</f>
        <v>0</v>
      </c>
      <c r="L880" s="19">
        <f>OBRA!N881</f>
        <v>0</v>
      </c>
      <c r="M880" s="2">
        <f>OBRA!O881</f>
        <v>0</v>
      </c>
      <c r="N880" s="3">
        <f>OBRA!P881</f>
        <v>0</v>
      </c>
      <c r="O880" s="504"/>
      <c r="P880" s="6">
        <f>OBRA!S881</f>
        <v>0</v>
      </c>
      <c r="Q880" s="4">
        <f>OBRA!R881</f>
        <v>50167877.390000001</v>
      </c>
      <c r="R880" s="5">
        <f>OBRA!T881</f>
        <v>0</v>
      </c>
      <c r="S880" s="11">
        <f>OBRA!U881</f>
        <v>0</v>
      </c>
      <c r="T880" s="1352"/>
      <c r="U880" s="1582"/>
      <c r="V880" s="535"/>
      <c r="W880" s="437"/>
      <c r="X880" s="534">
        <f>OBRA!AR881</f>
        <v>0</v>
      </c>
      <c r="Y880" s="309"/>
      <c r="Z880" s="309"/>
      <c r="AA880" s="5"/>
      <c r="AB880" s="313"/>
      <c r="AC880" s="317">
        <f>OBRA!BW881</f>
        <v>0</v>
      </c>
      <c r="AD880" s="352"/>
      <c r="AE880" s="352"/>
    </row>
    <row r="881" spans="1:31" ht="75.75" hidden="1" customHeight="1">
      <c r="A881" s="22" t="s">
        <v>2206</v>
      </c>
      <c r="B881" s="809">
        <f>GRAL!B882</f>
        <v>0</v>
      </c>
      <c r="C881" s="16">
        <f>OBRA!J882</f>
        <v>0</v>
      </c>
      <c r="D881" s="1415"/>
      <c r="E881" s="17">
        <f>OBRA!M882</f>
        <v>0</v>
      </c>
      <c r="F881" s="478"/>
      <c r="G881" s="163"/>
      <c r="H881" s="510"/>
      <c r="I881" s="163"/>
      <c r="J881" s="54">
        <f>OBRA!W882</f>
        <v>0</v>
      </c>
      <c r="K881" s="55">
        <f>OBRA!X882</f>
        <v>0</v>
      </c>
      <c r="L881" s="19">
        <f>OBRA!N882</f>
        <v>0</v>
      </c>
      <c r="M881" s="2">
        <f>OBRA!O882</f>
        <v>0</v>
      </c>
      <c r="N881" s="3">
        <f>OBRA!P882</f>
        <v>0</v>
      </c>
      <c r="O881" s="504"/>
      <c r="P881" s="6">
        <f>OBRA!S882</f>
        <v>0</v>
      </c>
      <c r="Q881" s="4">
        <f>OBRA!R882</f>
        <v>0</v>
      </c>
      <c r="R881" s="5">
        <f>OBRA!T882</f>
        <v>0</v>
      </c>
      <c r="S881" s="11">
        <f>OBRA!U882</f>
        <v>0</v>
      </c>
      <c r="T881" s="1352"/>
      <c r="U881" s="1582"/>
      <c r="V881" s="535"/>
      <c r="W881" s="437"/>
      <c r="X881" s="534">
        <f>OBRA!AR882</f>
        <v>0</v>
      </c>
      <c r="Y881" s="309"/>
      <c r="Z881" s="309"/>
      <c r="AA881" s="5"/>
      <c r="AB881" s="313"/>
      <c r="AC881" s="317">
        <f>OBRA!BW882</f>
        <v>0</v>
      </c>
      <c r="AD881" s="352"/>
      <c r="AE881" s="352"/>
    </row>
    <row r="882" spans="1:31" ht="75.75" hidden="1" customHeight="1">
      <c r="A882" s="22" t="s">
        <v>2206</v>
      </c>
      <c r="B882" s="809">
        <f>GRAL!B883</f>
        <v>0</v>
      </c>
      <c r="C882" s="16">
        <f>OBRA!J883</f>
        <v>0</v>
      </c>
      <c r="D882" s="1415"/>
      <c r="E882" s="17">
        <f>OBRA!M883</f>
        <v>0</v>
      </c>
      <c r="F882" s="478"/>
      <c r="G882" s="163"/>
      <c r="H882" s="510"/>
      <c r="I882" s="163"/>
      <c r="J882" s="54">
        <f>OBRA!W883</f>
        <v>0</v>
      </c>
      <c r="K882" s="55">
        <f>OBRA!X883</f>
        <v>0</v>
      </c>
      <c r="L882" s="19">
        <f>OBRA!N883</f>
        <v>0</v>
      </c>
      <c r="M882" s="2">
        <f>OBRA!O883</f>
        <v>0</v>
      </c>
      <c r="N882" s="3">
        <f>OBRA!P883</f>
        <v>0</v>
      </c>
      <c r="O882" s="504"/>
      <c r="P882" s="6">
        <f>OBRA!S883</f>
        <v>0</v>
      </c>
      <c r="Q882" s="4">
        <f>OBRA!R883</f>
        <v>0</v>
      </c>
      <c r="R882" s="5">
        <f>OBRA!T883</f>
        <v>0</v>
      </c>
      <c r="S882" s="11">
        <f>OBRA!U883</f>
        <v>0</v>
      </c>
      <c r="T882" s="1352"/>
      <c r="U882" s="1582"/>
      <c r="V882" s="535"/>
      <c r="W882" s="437"/>
      <c r="X882" s="534">
        <f>OBRA!AR883</f>
        <v>0</v>
      </c>
      <c r="Y882" s="309"/>
      <c r="Z882" s="309"/>
      <c r="AA882" s="5"/>
      <c r="AB882" s="313"/>
      <c r="AC882" s="317">
        <f>OBRA!BW883</f>
        <v>0</v>
      </c>
      <c r="AD882" s="352"/>
      <c r="AE882" s="352"/>
    </row>
    <row r="883" spans="1:31" ht="75.75" hidden="1" customHeight="1">
      <c r="A883" s="22" t="s">
        <v>2206</v>
      </c>
      <c r="B883" s="809">
        <f>GRAL!B884</f>
        <v>0</v>
      </c>
      <c r="C883" s="16">
        <f>OBRA!J884</f>
        <v>0</v>
      </c>
      <c r="D883" s="1415"/>
      <c r="E883" s="17">
        <f>OBRA!M884</f>
        <v>0</v>
      </c>
      <c r="F883" s="478"/>
      <c r="G883" s="163"/>
      <c r="H883" s="510"/>
      <c r="I883" s="163"/>
      <c r="J883" s="54">
        <f>OBRA!W884</f>
        <v>0</v>
      </c>
      <c r="K883" s="55">
        <f>OBRA!X884</f>
        <v>0</v>
      </c>
      <c r="L883" s="19">
        <f>OBRA!N884</f>
        <v>0</v>
      </c>
      <c r="M883" s="2">
        <f>OBRA!O884</f>
        <v>0</v>
      </c>
      <c r="N883" s="3">
        <f>OBRA!P884</f>
        <v>0</v>
      </c>
      <c r="O883" s="504"/>
      <c r="P883" s="6">
        <f>OBRA!S884</f>
        <v>0</v>
      </c>
      <c r="Q883" s="4">
        <f>OBRA!R884</f>
        <v>0</v>
      </c>
      <c r="R883" s="5">
        <f>OBRA!T884</f>
        <v>0</v>
      </c>
      <c r="S883" s="11">
        <f>OBRA!U884</f>
        <v>0</v>
      </c>
      <c r="T883" s="1352"/>
      <c r="U883" s="1582"/>
      <c r="V883" s="535"/>
      <c r="W883" s="437"/>
      <c r="X883" s="534">
        <f>OBRA!AR884</f>
        <v>0</v>
      </c>
      <c r="Y883" s="309"/>
      <c r="Z883" s="309"/>
      <c r="AA883" s="5"/>
      <c r="AB883" s="313"/>
      <c r="AC883" s="317">
        <f>OBRA!BW884</f>
        <v>0</v>
      </c>
      <c r="AD883" s="352"/>
      <c r="AE883" s="352"/>
    </row>
    <row r="884" spans="1:31" ht="75.75" hidden="1" customHeight="1">
      <c r="A884" s="22" t="s">
        <v>2206</v>
      </c>
      <c r="B884" s="809" t="e">
        <f>GRAL!#REF!</f>
        <v>#REF!</v>
      </c>
      <c r="C884" s="16">
        <f>OBRA!J885</f>
        <v>0</v>
      </c>
      <c r="D884" s="1415"/>
      <c r="E884" s="17">
        <f>OBRA!M885</f>
        <v>0</v>
      </c>
      <c r="F884" s="478"/>
      <c r="G884" s="163"/>
      <c r="H884" s="510"/>
      <c r="I884" s="163"/>
      <c r="J884" s="54">
        <f>OBRA!W885</f>
        <v>0</v>
      </c>
      <c r="K884" s="55">
        <f>OBRA!X885</f>
        <v>0</v>
      </c>
      <c r="L884" s="19">
        <f>OBRA!N885</f>
        <v>0</v>
      </c>
      <c r="M884" s="2">
        <f>OBRA!O885</f>
        <v>0</v>
      </c>
      <c r="N884" s="3">
        <f>OBRA!P885</f>
        <v>0</v>
      </c>
      <c r="O884" s="504"/>
      <c r="P884" s="6">
        <f>OBRA!S885</f>
        <v>0</v>
      </c>
      <c r="Q884" s="4">
        <f>OBRA!R885</f>
        <v>0</v>
      </c>
      <c r="R884" s="5">
        <f>OBRA!T885</f>
        <v>0</v>
      </c>
      <c r="S884" s="11">
        <f>OBRA!U885</f>
        <v>0</v>
      </c>
      <c r="T884" s="1352"/>
      <c r="U884" s="1582"/>
      <c r="V884" s="535"/>
      <c r="W884" s="437"/>
      <c r="X884" s="534">
        <f>OBRA!AR885</f>
        <v>0</v>
      </c>
      <c r="Y884" s="309"/>
      <c r="Z884" s="309"/>
      <c r="AA884" s="5"/>
      <c r="AB884" s="313"/>
      <c r="AC884" s="317">
        <f>OBRA!BW885</f>
        <v>0</v>
      </c>
      <c r="AD884" s="352"/>
      <c r="AE884" s="352"/>
    </row>
    <row r="885" spans="1:31" ht="75.75" hidden="1" customHeight="1">
      <c r="A885" s="22" t="s">
        <v>2206</v>
      </c>
      <c r="B885" s="809" t="e">
        <f>GRAL!#REF!</f>
        <v>#REF!</v>
      </c>
      <c r="C885" s="16">
        <f>OBRA!J886</f>
        <v>0</v>
      </c>
      <c r="D885" s="1415"/>
      <c r="E885" s="17">
        <f>OBRA!M886</f>
        <v>0</v>
      </c>
      <c r="F885" s="478"/>
      <c r="G885" s="163"/>
      <c r="H885" s="510"/>
      <c r="I885" s="163"/>
      <c r="J885" s="54">
        <f>OBRA!W886</f>
        <v>0</v>
      </c>
      <c r="K885" s="55">
        <f>OBRA!X886</f>
        <v>0</v>
      </c>
      <c r="L885" s="19">
        <f>OBRA!N886</f>
        <v>0</v>
      </c>
      <c r="M885" s="2">
        <f>OBRA!O886</f>
        <v>0</v>
      </c>
      <c r="N885" s="3">
        <f>OBRA!P886</f>
        <v>0</v>
      </c>
      <c r="O885" s="504"/>
      <c r="P885" s="6">
        <f>OBRA!S886</f>
        <v>0</v>
      </c>
      <c r="Q885" s="4">
        <f>OBRA!R886</f>
        <v>0</v>
      </c>
      <c r="R885" s="5">
        <f>OBRA!T886</f>
        <v>0</v>
      </c>
      <c r="S885" s="11">
        <f>OBRA!U886</f>
        <v>0</v>
      </c>
      <c r="T885" s="1352"/>
      <c r="U885" s="1582"/>
      <c r="V885" s="535"/>
      <c r="W885" s="437"/>
      <c r="X885" s="534">
        <f>OBRA!AR886</f>
        <v>0</v>
      </c>
      <c r="Y885" s="309"/>
      <c r="Z885" s="309"/>
      <c r="AA885" s="5"/>
      <c r="AB885" s="313"/>
      <c r="AC885" s="317">
        <f>OBRA!BW886</f>
        <v>0</v>
      </c>
      <c r="AD885" s="352"/>
      <c r="AE885" s="352"/>
    </row>
    <row r="886" spans="1:31" ht="75.75" hidden="1" customHeight="1">
      <c r="A886" s="22" t="s">
        <v>2206</v>
      </c>
      <c r="B886" s="809" t="e">
        <f>GRAL!#REF!</f>
        <v>#REF!</v>
      </c>
      <c r="C886" s="16">
        <f>OBRA!J887</f>
        <v>0</v>
      </c>
      <c r="D886" s="1415"/>
      <c r="E886" s="17">
        <f>OBRA!M887</f>
        <v>0</v>
      </c>
      <c r="F886" s="478"/>
      <c r="G886" s="163"/>
      <c r="H886" s="510"/>
      <c r="I886" s="163"/>
      <c r="J886" s="54">
        <f>OBRA!W887</f>
        <v>0</v>
      </c>
      <c r="K886" s="55">
        <f>OBRA!X887</f>
        <v>0</v>
      </c>
      <c r="L886" s="19">
        <f>OBRA!N887</f>
        <v>0</v>
      </c>
      <c r="M886" s="2">
        <f>OBRA!O887</f>
        <v>0</v>
      </c>
      <c r="N886" s="3">
        <f>OBRA!P887</f>
        <v>0</v>
      </c>
      <c r="O886" s="504"/>
      <c r="P886" s="6">
        <f>OBRA!S887</f>
        <v>0</v>
      </c>
      <c r="Q886" s="4">
        <f>OBRA!R887</f>
        <v>0</v>
      </c>
      <c r="R886" s="5">
        <f>OBRA!T887</f>
        <v>0</v>
      </c>
      <c r="S886" s="11">
        <f>OBRA!U887</f>
        <v>0</v>
      </c>
      <c r="T886" s="1352"/>
      <c r="U886" s="1582"/>
      <c r="V886" s="535"/>
      <c r="W886" s="437"/>
      <c r="X886" s="534">
        <f>OBRA!AR887</f>
        <v>0</v>
      </c>
      <c r="Y886" s="309"/>
      <c r="Z886" s="309"/>
      <c r="AA886" s="5"/>
      <c r="AB886" s="313"/>
      <c r="AC886" s="317">
        <f>OBRA!BW887</f>
        <v>0</v>
      </c>
      <c r="AD886" s="352"/>
      <c r="AE886" s="352"/>
    </row>
    <row r="887" spans="1:31" ht="75.75" hidden="1" customHeight="1">
      <c r="A887" s="22" t="s">
        <v>2206</v>
      </c>
      <c r="B887" s="809" t="e">
        <f>GRAL!#REF!</f>
        <v>#REF!</v>
      </c>
      <c r="C887" s="16">
        <f>OBRA!J888</f>
        <v>0</v>
      </c>
      <c r="D887" s="1415"/>
      <c r="E887" s="17">
        <f>OBRA!M888</f>
        <v>0</v>
      </c>
      <c r="F887" s="478"/>
      <c r="G887" s="163"/>
      <c r="H887" s="510"/>
      <c r="I887" s="163"/>
      <c r="J887" s="54">
        <f>OBRA!W888</f>
        <v>0</v>
      </c>
      <c r="K887" s="55">
        <f>OBRA!X888</f>
        <v>0</v>
      </c>
      <c r="L887" s="19">
        <f>OBRA!N888</f>
        <v>0</v>
      </c>
      <c r="M887" s="2">
        <f>OBRA!O888</f>
        <v>0</v>
      </c>
      <c r="N887" s="3">
        <f>OBRA!P888</f>
        <v>0</v>
      </c>
      <c r="O887" s="504"/>
      <c r="P887" s="6">
        <f>OBRA!S888</f>
        <v>0</v>
      </c>
      <c r="Q887" s="4">
        <f>OBRA!R888</f>
        <v>0</v>
      </c>
      <c r="R887" s="5">
        <f>OBRA!T888</f>
        <v>0</v>
      </c>
      <c r="S887" s="11">
        <f>OBRA!U888</f>
        <v>0</v>
      </c>
      <c r="T887" s="1352"/>
      <c r="U887" s="1582"/>
      <c r="V887" s="535"/>
      <c r="W887" s="437"/>
      <c r="X887" s="534">
        <f>OBRA!AR888</f>
        <v>0</v>
      </c>
      <c r="Y887" s="309"/>
      <c r="Z887" s="309"/>
      <c r="AA887" s="5"/>
      <c r="AB887" s="313"/>
      <c r="AC887" s="317">
        <f>OBRA!BW888</f>
        <v>0</v>
      </c>
      <c r="AD887" s="352"/>
      <c r="AE887" s="352"/>
    </row>
    <row r="888" spans="1:31" ht="75.75" hidden="1" customHeight="1">
      <c r="A888" s="22" t="s">
        <v>2206</v>
      </c>
      <c r="B888" s="809" t="e">
        <f>GRAL!#REF!</f>
        <v>#REF!</v>
      </c>
      <c r="C888" s="16">
        <f>OBRA!J889</f>
        <v>0</v>
      </c>
      <c r="D888" s="1415"/>
      <c r="E888" s="17">
        <f>OBRA!M889</f>
        <v>0</v>
      </c>
      <c r="F888" s="478"/>
      <c r="G888" s="163"/>
      <c r="H888" s="510"/>
      <c r="I888" s="163"/>
      <c r="J888" s="54">
        <f>OBRA!W889</f>
        <v>0</v>
      </c>
      <c r="K888" s="55">
        <f>OBRA!X889</f>
        <v>0</v>
      </c>
      <c r="L888" s="19">
        <f>OBRA!N889</f>
        <v>0</v>
      </c>
      <c r="M888" s="2">
        <f>OBRA!O889</f>
        <v>0</v>
      </c>
      <c r="N888" s="3">
        <f>OBRA!P889</f>
        <v>0</v>
      </c>
      <c r="O888" s="504"/>
      <c r="P888" s="6">
        <f>OBRA!S889</f>
        <v>0</v>
      </c>
      <c r="Q888" s="4">
        <f>OBRA!R889</f>
        <v>0</v>
      </c>
      <c r="R888" s="5">
        <f>OBRA!T889</f>
        <v>0</v>
      </c>
      <c r="S888" s="11">
        <f>OBRA!U889</f>
        <v>0</v>
      </c>
      <c r="T888" s="1352"/>
      <c r="U888" s="1582"/>
      <c r="V888" s="535"/>
      <c r="W888" s="437"/>
      <c r="X888" s="534">
        <f>OBRA!AR889</f>
        <v>0</v>
      </c>
      <c r="Y888" s="309"/>
      <c r="Z888" s="309"/>
      <c r="AA888" s="5"/>
      <c r="AB888" s="313"/>
      <c r="AC888" s="317">
        <f>OBRA!BW889</f>
        <v>0</v>
      </c>
      <c r="AD888" s="352"/>
      <c r="AE888" s="352"/>
    </row>
    <row r="889" spans="1:31" ht="75.75" hidden="1" customHeight="1">
      <c r="A889" s="22" t="s">
        <v>2206</v>
      </c>
      <c r="B889" s="809" t="e">
        <f>GRAL!#REF!</f>
        <v>#REF!</v>
      </c>
      <c r="C889" s="16">
        <f>OBRA!J890</f>
        <v>0</v>
      </c>
      <c r="D889" s="1415"/>
      <c r="E889" s="17">
        <f>OBRA!M890</f>
        <v>0</v>
      </c>
      <c r="F889" s="478"/>
      <c r="G889" s="163"/>
      <c r="H889" s="510"/>
      <c r="I889" s="163"/>
      <c r="J889" s="54">
        <f>OBRA!W890</f>
        <v>0</v>
      </c>
      <c r="K889" s="55">
        <f>OBRA!X890</f>
        <v>0</v>
      </c>
      <c r="L889" s="19">
        <f>OBRA!N890</f>
        <v>0</v>
      </c>
      <c r="M889" s="2">
        <f>OBRA!O890</f>
        <v>0</v>
      </c>
      <c r="N889" s="3">
        <f>OBRA!P890</f>
        <v>0</v>
      </c>
      <c r="O889" s="504"/>
      <c r="P889" s="6">
        <f>OBRA!S890</f>
        <v>0</v>
      </c>
      <c r="Q889" s="4">
        <f>OBRA!R890</f>
        <v>0</v>
      </c>
      <c r="R889" s="5">
        <f>OBRA!T890</f>
        <v>0</v>
      </c>
      <c r="S889" s="11">
        <f>OBRA!U890</f>
        <v>0</v>
      </c>
      <c r="T889" s="1352"/>
      <c r="U889" s="1582"/>
      <c r="V889" s="535"/>
      <c r="W889" s="437"/>
      <c r="X889" s="534">
        <f>OBRA!AR890</f>
        <v>0</v>
      </c>
      <c r="Y889" s="309"/>
      <c r="Z889" s="309"/>
      <c r="AA889" s="5"/>
      <c r="AB889" s="313"/>
      <c r="AC889" s="317">
        <f>OBRA!BW890</f>
        <v>0</v>
      </c>
      <c r="AD889" s="352"/>
      <c r="AE889" s="352"/>
    </row>
    <row r="890" spans="1:31" ht="75.75" hidden="1" customHeight="1">
      <c r="A890" s="22" t="s">
        <v>2206</v>
      </c>
      <c r="B890" s="809" t="e">
        <f>GRAL!#REF!</f>
        <v>#REF!</v>
      </c>
      <c r="C890" s="16">
        <f>OBRA!J891</f>
        <v>0</v>
      </c>
      <c r="D890" s="1415"/>
      <c r="E890" s="17">
        <f>OBRA!M891</f>
        <v>0</v>
      </c>
      <c r="F890" s="478"/>
      <c r="G890" s="163"/>
      <c r="H890" s="510"/>
      <c r="I890" s="163"/>
      <c r="J890" s="54">
        <f>OBRA!W891</f>
        <v>0</v>
      </c>
      <c r="K890" s="55">
        <f>OBRA!X891</f>
        <v>0</v>
      </c>
      <c r="L890" s="19">
        <f>OBRA!N891</f>
        <v>0</v>
      </c>
      <c r="M890" s="2">
        <f>OBRA!O891</f>
        <v>0</v>
      </c>
      <c r="N890" s="3">
        <f>OBRA!P891</f>
        <v>0</v>
      </c>
      <c r="O890" s="504"/>
      <c r="P890" s="6">
        <f>OBRA!S891</f>
        <v>0</v>
      </c>
      <c r="Q890" s="4">
        <f>OBRA!R891</f>
        <v>0</v>
      </c>
      <c r="R890" s="5">
        <f>OBRA!T891</f>
        <v>0</v>
      </c>
      <c r="S890" s="11">
        <f>OBRA!U891</f>
        <v>0</v>
      </c>
      <c r="T890" s="1352"/>
      <c r="U890" s="1582"/>
      <c r="V890" s="535"/>
      <c r="W890" s="437"/>
      <c r="X890" s="534">
        <f>OBRA!AR891</f>
        <v>0</v>
      </c>
      <c r="Y890" s="309"/>
      <c r="Z890" s="309"/>
      <c r="AA890" s="5"/>
      <c r="AB890" s="313"/>
      <c r="AC890" s="317">
        <f>OBRA!BW891</f>
        <v>0</v>
      </c>
      <c r="AD890" s="352"/>
      <c r="AE890" s="352"/>
    </row>
    <row r="891" spans="1:31" ht="75.75" hidden="1" customHeight="1">
      <c r="A891" s="22" t="s">
        <v>2206</v>
      </c>
      <c r="B891" s="809" t="e">
        <f>GRAL!#REF!</f>
        <v>#REF!</v>
      </c>
      <c r="C891" s="16">
        <f>OBRA!J892</f>
        <v>0</v>
      </c>
      <c r="D891" s="1415"/>
      <c r="E891" s="17">
        <f>OBRA!M892</f>
        <v>0</v>
      </c>
      <c r="F891" s="478"/>
      <c r="G891" s="163"/>
      <c r="H891" s="510"/>
      <c r="I891" s="163"/>
      <c r="J891" s="54">
        <f>OBRA!W892</f>
        <v>0</v>
      </c>
      <c r="K891" s="55">
        <f>OBRA!X892</f>
        <v>0</v>
      </c>
      <c r="L891" s="19">
        <f>OBRA!N892</f>
        <v>0</v>
      </c>
      <c r="M891" s="2">
        <f>OBRA!O892</f>
        <v>0</v>
      </c>
      <c r="N891" s="3">
        <f>OBRA!P892</f>
        <v>0</v>
      </c>
      <c r="O891" s="504"/>
      <c r="P891" s="6">
        <f>OBRA!S892</f>
        <v>0</v>
      </c>
      <c r="Q891" s="4">
        <f>OBRA!R892</f>
        <v>0</v>
      </c>
      <c r="R891" s="5">
        <f>OBRA!T892</f>
        <v>0</v>
      </c>
      <c r="S891" s="11">
        <f>OBRA!U892</f>
        <v>0</v>
      </c>
      <c r="T891" s="1352"/>
      <c r="U891" s="1582"/>
      <c r="V891" s="535"/>
      <c r="W891" s="437"/>
      <c r="X891" s="534">
        <f>OBRA!AR892</f>
        <v>0</v>
      </c>
      <c r="Y891" s="309"/>
      <c r="Z891" s="309"/>
      <c r="AA891" s="5"/>
      <c r="AB891" s="313"/>
      <c r="AC891" s="317">
        <f>OBRA!BW892</f>
        <v>0</v>
      </c>
      <c r="AD891" s="352"/>
      <c r="AE891" s="352"/>
    </row>
    <row r="892" spans="1:31" ht="75.75" hidden="1" customHeight="1">
      <c r="A892" s="22" t="s">
        <v>2206</v>
      </c>
      <c r="B892" s="809" t="e">
        <f>GRAL!#REF!</f>
        <v>#REF!</v>
      </c>
      <c r="C892" s="16">
        <f>OBRA!J893</f>
        <v>0</v>
      </c>
      <c r="D892" s="1415"/>
      <c r="E892" s="17">
        <f>OBRA!M893</f>
        <v>0</v>
      </c>
      <c r="F892" s="478"/>
      <c r="G892" s="163"/>
      <c r="H892" s="510"/>
      <c r="I892" s="163"/>
      <c r="J892" s="54">
        <f>OBRA!W893</f>
        <v>0</v>
      </c>
      <c r="K892" s="55">
        <f>OBRA!X893</f>
        <v>0</v>
      </c>
      <c r="L892" s="19">
        <f>OBRA!N893</f>
        <v>0</v>
      </c>
      <c r="M892" s="2">
        <f>OBRA!O893</f>
        <v>0</v>
      </c>
      <c r="N892" s="3">
        <f>OBRA!P893</f>
        <v>0</v>
      </c>
      <c r="O892" s="504"/>
      <c r="P892" s="6">
        <f>OBRA!S893</f>
        <v>0</v>
      </c>
      <c r="Q892" s="4">
        <f>OBRA!R893</f>
        <v>0</v>
      </c>
      <c r="R892" s="5">
        <f>OBRA!T893</f>
        <v>0</v>
      </c>
      <c r="S892" s="11">
        <f>OBRA!U893</f>
        <v>0</v>
      </c>
      <c r="T892" s="1352"/>
      <c r="U892" s="1582"/>
      <c r="V892" s="535"/>
      <c r="W892" s="437"/>
      <c r="X892" s="534">
        <f>OBRA!AR893</f>
        <v>0</v>
      </c>
      <c r="Y892" s="309"/>
      <c r="Z892" s="309"/>
      <c r="AA892" s="5"/>
      <c r="AB892" s="313"/>
      <c r="AC892" s="317">
        <f>OBRA!BW893</f>
        <v>0</v>
      </c>
      <c r="AD892" s="352"/>
      <c r="AE892" s="352"/>
    </row>
    <row r="893" spans="1:31" ht="75.75" hidden="1" customHeight="1">
      <c r="A893" s="22" t="s">
        <v>2206</v>
      </c>
      <c r="B893" s="809" t="e">
        <f>GRAL!#REF!</f>
        <v>#REF!</v>
      </c>
      <c r="C893" s="16">
        <f>OBRA!J894</f>
        <v>0</v>
      </c>
      <c r="D893" s="1415"/>
      <c r="E893" s="17">
        <f>OBRA!M894</f>
        <v>0</v>
      </c>
      <c r="F893" s="478"/>
      <c r="G893" s="163"/>
      <c r="H893" s="510"/>
      <c r="I893" s="163"/>
      <c r="J893" s="54">
        <f>OBRA!W894</f>
        <v>0</v>
      </c>
      <c r="K893" s="55">
        <f>OBRA!X894</f>
        <v>0</v>
      </c>
      <c r="L893" s="19">
        <f>OBRA!N894</f>
        <v>0</v>
      </c>
      <c r="M893" s="2">
        <f>OBRA!O894</f>
        <v>0</v>
      </c>
      <c r="N893" s="3">
        <f>OBRA!P894</f>
        <v>0</v>
      </c>
      <c r="O893" s="504"/>
      <c r="P893" s="6">
        <f>OBRA!S894</f>
        <v>0</v>
      </c>
      <c r="Q893" s="4">
        <f>OBRA!R894</f>
        <v>0</v>
      </c>
      <c r="R893" s="5">
        <f>OBRA!T894</f>
        <v>0</v>
      </c>
      <c r="S893" s="11">
        <f>OBRA!U894</f>
        <v>0</v>
      </c>
      <c r="T893" s="1352"/>
      <c r="U893" s="1582"/>
      <c r="V893" s="535"/>
      <c r="W893" s="437"/>
      <c r="X893" s="534">
        <f>OBRA!AR894</f>
        <v>0</v>
      </c>
      <c r="Y893" s="309"/>
      <c r="Z893" s="309"/>
      <c r="AA893" s="5"/>
      <c r="AB893" s="313"/>
      <c r="AC893" s="317">
        <f>OBRA!BW894</f>
        <v>0</v>
      </c>
      <c r="AD893" s="352"/>
      <c r="AE893" s="352"/>
    </row>
    <row r="894" spans="1:31" ht="75.75" hidden="1" customHeight="1">
      <c r="A894" s="22" t="s">
        <v>2206</v>
      </c>
      <c r="B894" s="809">
        <f>GRAL!B885</f>
        <v>0</v>
      </c>
      <c r="C894" s="16">
        <f>OBRA!J895</f>
        <v>0</v>
      </c>
      <c r="D894" s="1415"/>
      <c r="E894" s="17">
        <f>OBRA!M895</f>
        <v>0</v>
      </c>
      <c r="F894" s="478"/>
      <c r="G894" s="163"/>
      <c r="H894" s="510"/>
      <c r="I894" s="163"/>
      <c r="J894" s="54">
        <f>OBRA!W895</f>
        <v>0</v>
      </c>
      <c r="K894" s="55">
        <f>OBRA!X895</f>
        <v>0</v>
      </c>
      <c r="L894" s="19">
        <f>OBRA!N895</f>
        <v>0</v>
      </c>
      <c r="M894" s="2">
        <f>OBRA!O895</f>
        <v>0</v>
      </c>
      <c r="N894" s="3">
        <f>OBRA!P895</f>
        <v>0</v>
      </c>
      <c r="O894" s="504"/>
      <c r="P894" s="6">
        <f>OBRA!S895</f>
        <v>0</v>
      </c>
      <c r="Q894" s="4">
        <f>OBRA!R895</f>
        <v>0</v>
      </c>
      <c r="R894" s="5">
        <f>OBRA!T895</f>
        <v>0</v>
      </c>
      <c r="S894" s="11">
        <f>OBRA!U895</f>
        <v>0</v>
      </c>
      <c r="T894" s="1352"/>
      <c r="U894" s="1582"/>
      <c r="V894" s="535"/>
      <c r="W894" s="437"/>
      <c r="X894" s="534">
        <f>OBRA!AR895</f>
        <v>0</v>
      </c>
      <c r="Y894" s="309"/>
      <c r="Z894" s="309"/>
      <c r="AA894" s="5"/>
      <c r="AB894" s="313"/>
      <c r="AC894" s="317">
        <f>OBRA!BW895</f>
        <v>0</v>
      </c>
      <c r="AD894" s="352"/>
      <c r="AE894" s="352"/>
    </row>
    <row r="895" spans="1:31">
      <c r="A895" s="23"/>
      <c r="B895" s="23"/>
      <c r="C895" s="24"/>
      <c r="D895" s="24"/>
      <c r="E895" s="23"/>
      <c r="F895" s="23"/>
      <c r="G895" s="23"/>
      <c r="H895" s="23"/>
      <c r="I895" s="23"/>
      <c r="J895" s="23"/>
      <c r="K895" s="23"/>
      <c r="L895" s="23"/>
      <c r="M895" s="25"/>
      <c r="N895" s="26"/>
      <c r="O895" s="26"/>
      <c r="P895" s="28"/>
      <c r="Q895" s="28"/>
      <c r="R895" s="29"/>
      <c r="S895" s="29"/>
      <c r="T895" s="29"/>
      <c r="U895" s="29"/>
      <c r="V895" s="1358"/>
      <c r="W895" s="1358"/>
      <c r="X895" s="29"/>
      <c r="Y895" s="252"/>
      <c r="Z895" s="252"/>
      <c r="AA895" s="252"/>
      <c r="AB895" s="252"/>
      <c r="AC895" s="252"/>
      <c r="AD895" s="252"/>
      <c r="AE895" s="252"/>
    </row>
    <row r="896" spans="1:31" ht="15.75" thickBot="1">
      <c r="V896" s="938"/>
      <c r="W896" s="938"/>
    </row>
    <row r="897" spans="1:17" ht="18.75">
      <c r="A897" s="1666" t="s">
        <v>2273</v>
      </c>
      <c r="B897" s="1667"/>
      <c r="C897" s="1667"/>
      <c r="D897" s="1667"/>
      <c r="E897" s="1667"/>
      <c r="F897" s="1667"/>
      <c r="G897" s="1667"/>
      <c r="H897" s="1667"/>
      <c r="I897" s="1667"/>
      <c r="J897" s="1667"/>
      <c r="K897" s="1667"/>
      <c r="L897" s="1668"/>
    </row>
    <row r="898" spans="1:17" ht="6" customHeight="1">
      <c r="A898" s="371"/>
      <c r="B898" s="806"/>
      <c r="L898" s="372"/>
    </row>
    <row r="899" spans="1:17" ht="18.75">
      <c r="A899" s="376">
        <v>2</v>
      </c>
      <c r="B899" s="807"/>
      <c r="E899" t="s">
        <v>2274</v>
      </c>
      <c r="L899" s="372"/>
    </row>
    <row r="900" spans="1:17" ht="18.75">
      <c r="A900" s="376">
        <v>6</v>
      </c>
      <c r="B900" s="807"/>
      <c r="E900" t="s">
        <v>2275</v>
      </c>
      <c r="L900" s="372"/>
    </row>
    <row r="901" spans="1:17" ht="16.5" thickBot="1">
      <c r="A901" s="373"/>
      <c r="B901" s="808"/>
      <c r="C901" s="374"/>
      <c r="D901" s="374"/>
      <c r="E901" s="374"/>
      <c r="F901" s="374"/>
      <c r="G901" s="374"/>
      <c r="H901" s="374"/>
      <c r="I901" s="374"/>
      <c r="J901" s="374"/>
      <c r="K901" s="374"/>
      <c r="L901" s="375"/>
    </row>
    <row r="903" spans="1:17" s="423" customFormat="1" ht="18.75">
      <c r="A903" s="2029" t="s">
        <v>2182</v>
      </c>
      <c r="B903" s="2030"/>
      <c r="C903" s="2030"/>
      <c r="D903" s="2030"/>
      <c r="E903" s="2031"/>
      <c r="F903" s="1003"/>
    </row>
    <row r="904" spans="1:17" s="998" customFormat="1" ht="24" customHeight="1">
      <c r="A904" s="2026">
        <f>OBRA!P878</f>
        <v>45631</v>
      </c>
      <c r="B904" s="2027"/>
      <c r="C904" s="2027"/>
      <c r="D904" s="2027"/>
      <c r="E904" s="2028"/>
      <c r="F904" s="1004"/>
      <c r="N904" s="1005"/>
      <c r="Q904" s="1006"/>
    </row>
    <row r="905" spans="1:17">
      <c r="Q905" s="505"/>
    </row>
  </sheetData>
  <autoFilter ref="A6:AE894" xr:uid="{00000000-0009-0000-0000-000003000000}">
    <filterColumn colId="2">
      <filters>
        <filter val="2021"/>
        <filter val="2022"/>
        <filter val="2023"/>
        <filter val="2024"/>
      </filters>
    </filterColumn>
    <filterColumn colId="12">
      <filters>
        <filter val="ADJUDICACIÓN DIRECTA"/>
      </filters>
    </filterColumn>
  </autoFilter>
  <mergeCells count="7">
    <mergeCell ref="A904:E904"/>
    <mergeCell ref="A903:E903"/>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3" r:id="rId426" xr:uid="{00000000-0004-0000-0300-000023020000}"/>
    <hyperlink ref="O834:O835" r:id="rId427" display="https://portaltransparencia.jocotepec.gob.mx/informacion/5303" xr:uid="{00000000-0004-0000-0300-000024020000}"/>
    <hyperlink ref="O837:O839" r:id="rId428" display="https://portaltransparencia.jocotepec.gob.mx/informacion/5303" xr:uid="{00000000-0004-0000-0300-000025020000}"/>
    <hyperlink ref="O841" r:id="rId429" xr:uid="{00000000-0004-0000-0300-000026020000}"/>
    <hyperlink ref="O842" r:id="rId430" xr:uid="{00000000-0004-0000-0300-000027020000}"/>
    <hyperlink ref="O843" r:id="rId431" xr:uid="{00000000-0004-0000-0300-000028020000}"/>
    <hyperlink ref="G833" r:id="rId432" xr:uid="{00000000-0004-0000-0300-000029020000}"/>
    <hyperlink ref="H833" r:id="rId433" xr:uid="{00000000-0004-0000-0300-00002A020000}"/>
    <hyperlink ref="I833" r:id="rId434" xr:uid="{00000000-0004-0000-0300-00002B020000}"/>
    <hyperlink ref="G834" r:id="rId435" xr:uid="{00000000-0004-0000-0300-00002C020000}"/>
    <hyperlink ref="H834" r:id="rId436" xr:uid="{00000000-0004-0000-0300-00002D020000}"/>
    <hyperlink ref="I834" r:id="rId437" xr:uid="{00000000-0004-0000-0300-00002E020000}"/>
    <hyperlink ref="G835" r:id="rId438" xr:uid="{00000000-0004-0000-0300-00002F020000}"/>
    <hyperlink ref="H835" r:id="rId439" xr:uid="{00000000-0004-0000-0300-000030020000}"/>
    <hyperlink ref="I835" r:id="rId440" xr:uid="{00000000-0004-0000-0300-000031020000}"/>
    <hyperlink ref="G837" r:id="rId441" xr:uid="{00000000-0004-0000-0300-000032020000}"/>
    <hyperlink ref="I837" r:id="rId442" xr:uid="{00000000-0004-0000-0300-000033020000}"/>
    <hyperlink ref="G838" r:id="rId443" xr:uid="{00000000-0004-0000-0300-000034020000}"/>
    <hyperlink ref="I838" r:id="rId444" xr:uid="{00000000-0004-0000-0300-000035020000}"/>
    <hyperlink ref="G841" r:id="rId445" xr:uid="{00000000-0004-0000-0300-000036020000}"/>
    <hyperlink ref="H841" r:id="rId446" xr:uid="{00000000-0004-0000-0300-000037020000}"/>
    <hyperlink ref="I841" r:id="rId447" xr:uid="{00000000-0004-0000-0300-000038020000}"/>
    <hyperlink ref="G842" r:id="rId448" xr:uid="{00000000-0004-0000-0300-000039020000}"/>
    <hyperlink ref="I842" r:id="rId449" xr:uid="{00000000-0004-0000-0300-00003A020000}"/>
    <hyperlink ref="V758" r:id="rId450" xr:uid="{0EB9CCA0-F70C-49A9-8BA2-16D5DDA24F4D}"/>
    <hyperlink ref="W758" r:id="rId451" xr:uid="{D239F72F-68EF-4C41-94CC-1D7D796B3C1B}"/>
    <hyperlink ref="O845" r:id="rId452" xr:uid="{A6887B22-A103-4A16-9996-CB1396312E2B}"/>
    <hyperlink ref="O853" r:id="rId453" xr:uid="{1157A95E-892D-491F-86CF-053817E08462}"/>
    <hyperlink ref="O863" r:id="rId454" xr:uid="{68E78E6E-131B-4007-8CD2-EEC65940A831}"/>
    <hyperlink ref="O846:O852" r:id="rId455" display="https://portaltransparencia.jocotepec.gob.mx/informacion/5519" xr:uid="{D235C75B-3DE0-4621-ACA8-AF6E9CC2E651}"/>
    <hyperlink ref="O854:O862" r:id="rId456" display="https://portaltransparencia.jocotepec.gob.mx/informacion/5748" xr:uid="{88B69B13-FBF8-441C-A18A-F34596DE0477}"/>
    <hyperlink ref="O865:O869" r:id="rId457" display="https://portaltransparencia.jocotepec.gob.mx/informacion/5749" xr:uid="{52475B6D-AFF7-4A27-A3EC-925515004D7D}"/>
    <hyperlink ref="G839" r:id="rId458" xr:uid="{A7EC237C-66B1-4BC7-97CA-90CF0CE1DA96}"/>
    <hyperlink ref="H839" r:id="rId459" xr:uid="{E20E6CAC-974E-433B-B888-76241C8B62A1}"/>
    <hyperlink ref="I839" r:id="rId460" xr:uid="{1FEE5881-E14F-4271-A10A-75892B4142B6}"/>
    <hyperlink ref="V839" r:id="rId461" xr:uid="{A4AD655B-14E7-46CC-92B5-9D0440A6381C}"/>
    <hyperlink ref="W839" r:id="rId462" xr:uid="{B22D020C-57B8-4152-A955-B42D2A53F208}"/>
    <hyperlink ref="H837" r:id="rId463" xr:uid="{0E75A921-10B3-4E89-A927-B7CB3F88C308}"/>
    <hyperlink ref="W837" r:id="rId464" xr:uid="{7C514258-2E90-430F-8AFA-8729B0DC489F}"/>
    <hyperlink ref="V833" r:id="rId465" xr:uid="{6F286049-DAFE-4B9D-BC5D-8E99F3496E08}"/>
    <hyperlink ref="W833" r:id="rId466" xr:uid="{BD717DD7-AD69-4417-A151-DCA81F3F7DB7}"/>
    <hyperlink ref="V834" r:id="rId467" xr:uid="{E43F45A7-96B6-44E3-B8C3-03D6771BD6D0}"/>
    <hyperlink ref="W834" r:id="rId468" xr:uid="{86B0C062-69CF-408B-A0C9-0F7082AE6F83}"/>
    <hyperlink ref="V835" r:id="rId469" xr:uid="{CD8AC7A4-FB65-4CA8-AD9C-EF1943E025D8}"/>
    <hyperlink ref="W835" r:id="rId470" xr:uid="{1A23CA70-C54C-46E9-A1EC-F8CD736F3233}"/>
    <hyperlink ref="O838" r:id="rId471" xr:uid="{BA207111-5411-482D-B6AF-5A59E363B380}"/>
    <hyperlink ref="H838" r:id="rId472" xr:uid="{CB46BDF2-3F7F-404D-9B93-193DF3B2FE48}"/>
    <hyperlink ref="W838" r:id="rId473" xr:uid="{1FE1BDDC-B8BB-441C-95B6-0B1B1915D93A}"/>
    <hyperlink ref="H842" r:id="rId474" xr:uid="{08B308FF-A5B3-4D67-8CA2-62AF689D5ECC}"/>
    <hyperlink ref="G845" r:id="rId475" xr:uid="{1ACC1DF7-CE73-4FE5-B934-467B987C9C41}"/>
    <hyperlink ref="H845" r:id="rId476" xr:uid="{45A8FC84-52A4-48D6-88B8-2083CD67EDB6}"/>
    <hyperlink ref="I845" r:id="rId477" xr:uid="{545DEC91-FE9F-46D8-9A5A-820A8F3E1547}"/>
    <hyperlink ref="W845" r:id="rId478" xr:uid="{F5279E12-EBC5-475E-BDC3-6D435F4F0016}"/>
    <hyperlink ref="G846" r:id="rId479" xr:uid="{C24E71C2-4F8C-4621-B586-98C22CBA8E4C}"/>
    <hyperlink ref="H846" r:id="rId480" xr:uid="{B66174D9-88FC-4FDB-A535-3433DD38A3CF}"/>
    <hyperlink ref="I846" r:id="rId481" xr:uid="{5B4E95D2-F66A-4B40-AE9D-6371CC29330B}"/>
    <hyperlink ref="V846" r:id="rId482" xr:uid="{C987DD7B-0863-47D2-90D1-FCAA5FE42321}"/>
    <hyperlink ref="W846" r:id="rId483" xr:uid="{6978B9DD-3337-479A-B47B-C5D9A8BEE8B2}"/>
    <hyperlink ref="G848" r:id="rId484" xr:uid="{ADF88158-0C1B-4B68-9CCC-C79CE0FE14CE}"/>
    <hyperlink ref="H848" r:id="rId485" xr:uid="{5C0823B0-D95F-4916-A429-89397EEF84FD}"/>
    <hyperlink ref="I848" r:id="rId486" xr:uid="{B2D3D519-CFA7-4FDB-94C3-9998F336A5FB}"/>
    <hyperlink ref="V848" r:id="rId487" xr:uid="{42D37B4D-7F3E-45E9-ACC0-0E3F124AFAF5}"/>
    <hyperlink ref="W848" r:id="rId488" xr:uid="{FB012A30-C4D6-4ECF-8607-BF05D2401492}"/>
    <hyperlink ref="G849" r:id="rId489" xr:uid="{D3BCB4CE-CD62-4E0E-94EC-3E5809B34D60}"/>
    <hyperlink ref="H849" r:id="rId490" xr:uid="{A422A009-EBB0-46C3-9144-68E112CC05D1}"/>
    <hyperlink ref="I849" r:id="rId491" xr:uid="{776B5B18-86D6-4565-9CB5-4A22EE7242F7}"/>
    <hyperlink ref="V849" r:id="rId492" xr:uid="{0EDE9703-1CFC-4729-91CD-4070905DB6D6}"/>
    <hyperlink ref="G850" r:id="rId493" xr:uid="{34616EFB-3AE9-40D2-9A9D-AB4F858F1A03}"/>
    <hyperlink ref="H850" r:id="rId494" xr:uid="{64E1491E-62FC-4ACB-8C2E-703DB4537506}"/>
    <hyperlink ref="I850" r:id="rId495" xr:uid="{6439FB50-8AF1-439A-A3AD-67DB4EEB70C5}"/>
    <hyperlink ref="V850" r:id="rId496" xr:uid="{0AB85E15-F9A8-4628-9049-30B5B5621FFB}"/>
    <hyperlink ref="W850" r:id="rId497" xr:uid="{DDCA27F2-FA9B-4EED-B90B-1B0560DBFEC6}"/>
    <hyperlink ref="G851" r:id="rId498" xr:uid="{9011FF2D-766D-4FA1-98D3-814CBA1D38C7}"/>
    <hyperlink ref="H851" r:id="rId499" xr:uid="{F3C834AB-2580-45C7-A829-1530CAC8E2CE}"/>
    <hyperlink ref="I851" r:id="rId500" xr:uid="{258A6848-F658-45D3-A517-1604719DC4F4}"/>
    <hyperlink ref="W851" r:id="rId501" xr:uid="{4E5B342C-5C99-4A82-85FE-857753287EF6}"/>
    <hyperlink ref="G852" r:id="rId502" xr:uid="{84CA3F3C-F66A-455B-8C0D-BD3910AFB7F1}"/>
    <hyperlink ref="H852" r:id="rId503" xr:uid="{1C65DD91-A7BA-40AB-B82D-FD6E6069E399}"/>
    <hyperlink ref="I852" r:id="rId504" xr:uid="{BC284B0C-EF22-4F3B-A568-F265D856DFF8}"/>
    <hyperlink ref="V852" r:id="rId505" xr:uid="{B5C10B66-EF28-4A67-B555-40176A03C83D}"/>
    <hyperlink ref="W852" r:id="rId506" xr:uid="{F378FE45-A635-4231-AA53-9C54A62254D5}"/>
    <hyperlink ref="G853" r:id="rId507" xr:uid="{3BD97C85-F9DC-4F37-B896-8C824C8CB864}"/>
    <hyperlink ref="H853" r:id="rId508" xr:uid="{24DE5B5B-A150-4200-8BA5-DD92BA0EA1E0}"/>
    <hyperlink ref="I853" r:id="rId509" xr:uid="{644D583D-AF02-4B15-853F-718C39A85FC2}"/>
    <hyperlink ref="V853" r:id="rId510" xr:uid="{6B733CCF-284F-448F-B425-68C2AFD37B97}"/>
    <hyperlink ref="W853" r:id="rId511" xr:uid="{978F4247-C8EA-4E2C-AA75-0A8BC2F85556}"/>
    <hyperlink ref="G854" r:id="rId512" xr:uid="{24E33181-DA52-4761-91B6-158F2EFFDF9E}"/>
    <hyperlink ref="H854" r:id="rId513" xr:uid="{2114FD36-F48F-44F3-8716-ADB3A20B3151}"/>
    <hyperlink ref="I854" r:id="rId514" xr:uid="{0212CCDA-50FA-478C-B498-86B4A4CADE71}"/>
    <hyperlink ref="U854" r:id="rId515" xr:uid="{81D77FDF-ACCA-4211-A41F-EC699A27E392}"/>
    <hyperlink ref="V854" r:id="rId516" xr:uid="{1A3EE0D8-71AE-4190-B0E2-959EC1F84736}"/>
    <hyperlink ref="W854" r:id="rId517" xr:uid="{40BD6627-96C6-4AE7-AC68-B396D17A74BF}"/>
    <hyperlink ref="I856" r:id="rId518" xr:uid="{B195216B-48AE-4B61-9218-8A5BA63AAFD0}"/>
    <hyperlink ref="G857" r:id="rId519" xr:uid="{F9B47F89-1F34-4724-90FD-6DB3CA238CB1}"/>
    <hyperlink ref="I857" r:id="rId520" xr:uid="{7153D2C2-D83C-4B1E-9615-8D07D582D350}"/>
    <hyperlink ref="V857" r:id="rId521" xr:uid="{C8C76021-FD03-45D9-9751-1B77232CF815}"/>
    <hyperlink ref="W857" r:id="rId522" xr:uid="{2D4A7D42-63D7-4900-BC7B-396404FD8DE3}"/>
    <hyperlink ref="G858" r:id="rId523" xr:uid="{1229083B-738F-49B8-B8CB-BCE80A84CF84}"/>
    <hyperlink ref="H858" r:id="rId524" xr:uid="{593AF983-F558-4182-A4DF-B3C1BD7D09A5}"/>
    <hyperlink ref="I858" r:id="rId525" xr:uid="{A61CB45E-F757-42C2-85C4-9D82801EFBF2}"/>
    <hyperlink ref="V858" r:id="rId526" xr:uid="{43CCB5E7-6803-4FE1-BA82-C1E689E729ED}"/>
    <hyperlink ref="W858" r:id="rId527" xr:uid="{923D33FE-F53D-4D59-9354-52F091D333CA}"/>
    <hyperlink ref="H863" r:id="rId528" xr:uid="{61820922-4C8D-48F4-A215-C079AF0A1052}"/>
    <hyperlink ref="W863" r:id="rId529" xr:uid="{870C1944-5673-4068-8C3C-6896823C4792}"/>
    <hyperlink ref="G868" r:id="rId530" xr:uid="{79C7ACAF-F1E0-4499-8F34-202DD3C919C8}"/>
    <hyperlink ref="H868" r:id="rId531" xr:uid="{5CBE604A-55AB-40B5-8BEE-4E24972925D7}"/>
    <hyperlink ref="I868" r:id="rId532" xr:uid="{09F353B5-C292-4628-8E05-E4DB782B5741}"/>
    <hyperlink ref="V868" r:id="rId533" xr:uid="{1D979FB5-BDC0-4EBF-A9C2-0C792758234A}"/>
    <hyperlink ref="W868" r:id="rId534" xr:uid="{6D63E692-AE95-42AA-930C-370C14B2BAA5}"/>
    <hyperlink ref="Y842" r:id="rId535" xr:uid="{9AB1B12B-3657-4FAC-A732-29236C84BAA5}"/>
    <hyperlink ref="Y843" r:id="rId536" xr:uid="{CD19EF8E-56BC-4287-8AA7-C2B6A3B873A7}"/>
    <hyperlink ref="Y844" r:id="rId537" xr:uid="{9A3DC031-7AD1-4834-989F-9AAD7E81A128}"/>
    <hyperlink ref="Y855"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1" r:id="rId553" xr:uid="{807A3A1F-89A6-4633-BB71-2BF0BE279AC2}"/>
    <hyperlink ref="W841" r:id="rId554" xr:uid="{24A29D61-EE00-4098-9789-34CA2CD5C628}"/>
    <hyperlink ref="V842" r:id="rId555" xr:uid="{300F1AF4-FD37-4D49-BFF1-AB7BAC5BDDEF}"/>
    <hyperlink ref="W842" r:id="rId556" xr:uid="{56E8C4C2-EC40-463F-B629-53744D290BEA}"/>
    <hyperlink ref="V845" r:id="rId557" xr:uid="{E511FC25-1103-4285-AB01-51F3684197F3}"/>
    <hyperlink ref="G847" r:id="rId558" xr:uid="{FE9B0278-A2E7-4BFB-9269-CF0D2A1DC3A1}"/>
    <hyperlink ref="H847" r:id="rId559" xr:uid="{DFDAB8B6-8094-4F45-B373-3BE4E5313E1C}"/>
    <hyperlink ref="I847" r:id="rId560" xr:uid="{5CAEE35D-7129-4F1F-B6BA-996D02ACF2CA}"/>
    <hyperlink ref="U847" r:id="rId561" xr:uid="{6CD85902-B9ED-4361-80DB-3D6CE910EB1E}"/>
    <hyperlink ref="V847" r:id="rId562" xr:uid="{089EA673-B0AF-4FA0-8AA4-60A90FF19908}"/>
    <hyperlink ref="W847" r:id="rId563" xr:uid="{DBE98BAF-14BE-4D0C-8998-436A9DB1F186}"/>
    <hyperlink ref="G855" r:id="rId564" xr:uid="{A736F270-99AE-448E-AB1B-187AD817A49C}"/>
    <hyperlink ref="H855" r:id="rId565" xr:uid="{540809B3-3741-41E9-9732-266C4939E89B}"/>
    <hyperlink ref="I855" r:id="rId566" xr:uid="{5BAE0AB8-E409-4F5A-B2CF-FF679681DF11}"/>
    <hyperlink ref="V855" r:id="rId567" xr:uid="{B93649FD-23B6-45B5-B816-CB4F72C8C17E}"/>
    <hyperlink ref="W855" r:id="rId568" xr:uid="{134393AF-D37C-4E97-A320-2794475056F9}"/>
    <hyperlink ref="G859" r:id="rId569" xr:uid="{26CF872A-F3B2-402E-B7B8-6AD66FE51E79}"/>
    <hyperlink ref="H859" r:id="rId570" xr:uid="{D2E6A804-0045-4493-BDE4-DC7AAA0227DD}"/>
    <hyperlink ref="I859" r:id="rId571" xr:uid="{8499BB4D-17F2-447B-B25E-5AB4191595B0}"/>
    <hyperlink ref="V859" r:id="rId572" xr:uid="{00FFC67D-1ECD-4AE1-B488-8A62C50C02C8}"/>
    <hyperlink ref="W859" r:id="rId573" xr:uid="{2384580E-F5A9-415B-A898-BD600549E91E}"/>
    <hyperlink ref="G860" r:id="rId574" xr:uid="{C26C8B24-07D3-4FCC-8470-8DE0D04031AB}"/>
    <hyperlink ref="H860" r:id="rId575" xr:uid="{F681F0AC-EEC1-40D8-BEB5-5D75C6B690A3}"/>
    <hyperlink ref="I860" r:id="rId576" xr:uid="{AFD65C85-3A4A-45B3-A256-F6611536C6D8}"/>
    <hyperlink ref="G861" r:id="rId577" xr:uid="{65D4BE42-2F42-4771-BBF8-6FA5D44CE8C3}"/>
    <hyperlink ref="H861" r:id="rId578" xr:uid="{DC6A5437-D852-47BD-A402-9FA9807D7D18}"/>
    <hyperlink ref="I861" r:id="rId579" xr:uid="{FDB9EDF1-4AEE-4DCD-9E6E-CE1D05C05CE8}"/>
    <hyperlink ref="V861" r:id="rId580" xr:uid="{04B68B46-6579-42F0-82A8-3BCD066C1DCE}"/>
    <hyperlink ref="W861" r:id="rId581" xr:uid="{BF6BECB4-4EA4-4858-9E69-6E8E8D0E4AF8}"/>
    <hyperlink ref="G862" r:id="rId582" xr:uid="{8798BA7A-14F8-4808-A0A7-44A65EB7320C}"/>
    <hyperlink ref="H862" r:id="rId583" xr:uid="{AEAC879C-9D82-4707-9BE5-77D6E930F731}"/>
    <hyperlink ref="I862" r:id="rId584" xr:uid="{12AAC76E-D145-4CFD-A3C9-1978D7F35A85}"/>
    <hyperlink ref="V862" r:id="rId585" xr:uid="{49F61B34-CCA5-4FEB-AABD-A9E64B7F79A1}"/>
    <hyperlink ref="I863" r:id="rId586" xr:uid="{82CB41A3-5139-454B-B0AA-B3F74A87C16A}"/>
    <hyperlink ref="G866" r:id="rId587" xr:uid="{CAE34967-BEBA-493D-88C0-6846CD2A8AAC}"/>
    <hyperlink ref="H866" r:id="rId588" xr:uid="{A7E320DE-199A-47B3-90FA-6BA9BF67FF23}"/>
    <hyperlink ref="I866" r:id="rId589" xr:uid="{0A07D87E-39F4-4D08-BA4B-24EED35C79FA}"/>
    <hyperlink ref="V866" r:id="rId590" xr:uid="{6091A5A0-CAFF-4FFC-8A74-B0518A817A0A}"/>
    <hyperlink ref="W866" r:id="rId591" xr:uid="{BEB58EFF-40EC-4DBC-89EC-2F6514B38809}"/>
    <hyperlink ref="G867" r:id="rId592" xr:uid="{2553721F-9B65-4559-8D57-E0E8B2D266E8}"/>
    <hyperlink ref="H867" r:id="rId593" xr:uid="{4B993AA7-90CD-4971-BE51-8987591DABD5}"/>
    <hyperlink ref="I867" r:id="rId594" xr:uid="{AA2B9117-FE82-4C5C-A1A4-391E5EC2DB71}"/>
    <hyperlink ref="V867" r:id="rId595" xr:uid="{D8F206C3-FF6F-4971-908E-5B1AEC5560B2}"/>
    <hyperlink ref="W867" r:id="rId596" xr:uid="{7AFD1EBC-BD66-4244-A3A5-30AA2B80DA9A}"/>
    <hyperlink ref="H869" r:id="rId597" xr:uid="{4E4A6297-A91B-4818-99BE-934B6AD433E0}"/>
  </hyperlinks>
  <pageMargins left="0.47244094488188981" right="0.23622047244094491" top="0.43307086614173229" bottom="0.39370078740157483" header="0.31496062992125984" footer="0.31496062992125984"/>
  <pageSetup scale="22" orientation="portrait" r:id="rId598"/>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D883"/>
  <sheetViews>
    <sheetView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s>
  <sheetData>
    <row r="1" spans="1:30" ht="35.1" customHeight="1">
      <c r="A1" s="2035" t="s">
        <v>3628</v>
      </c>
      <c r="B1" s="2035"/>
      <c r="C1" s="2035"/>
      <c r="D1" s="2035"/>
      <c r="E1" s="2035"/>
      <c r="F1" s="2035"/>
      <c r="G1" s="2035"/>
      <c r="H1" s="2035"/>
      <c r="I1" s="2035"/>
      <c r="J1" s="2035"/>
      <c r="K1" s="2035"/>
      <c r="L1" s="2035"/>
      <c r="M1" s="2035"/>
      <c r="N1" s="2035"/>
      <c r="O1" s="2035"/>
      <c r="P1" s="2035"/>
      <c r="Q1" s="2035"/>
      <c r="R1" s="2035"/>
      <c r="S1" s="2035"/>
      <c r="T1" s="2035"/>
      <c r="U1" s="1038"/>
      <c r="V1" s="1038"/>
      <c r="W1" s="1038"/>
      <c r="X1" s="1038"/>
      <c r="Y1" s="1038"/>
      <c r="Z1" s="1038"/>
      <c r="AA1" s="1038"/>
      <c r="AB1" s="1038"/>
      <c r="AC1" s="1038"/>
      <c r="AD1" s="1038"/>
    </row>
    <row r="2" spans="1:30" ht="23.25" customHeight="1" thickBot="1">
      <c r="A2" s="2036" t="str">
        <f>GRAL!A2:AS2</f>
        <v>DEL 01 DE ENERO 2021 A FECHA ACTUAL</v>
      </c>
      <c r="B2" s="2036"/>
      <c r="C2" s="2036"/>
      <c r="D2" s="2036"/>
      <c r="E2" s="2036"/>
      <c r="F2" s="2036"/>
      <c r="G2" s="2036"/>
      <c r="H2" s="2036"/>
      <c r="I2" s="2036"/>
      <c r="J2" s="2036"/>
      <c r="K2" s="2036"/>
      <c r="L2" s="2036"/>
      <c r="M2" s="2036"/>
      <c r="N2" s="2036"/>
      <c r="O2" s="2036"/>
      <c r="P2" s="2036"/>
      <c r="Q2" s="2036"/>
      <c r="R2" s="2036"/>
      <c r="S2" s="2036"/>
      <c r="T2" s="2036"/>
      <c r="U2" s="766"/>
      <c r="V2" s="1114"/>
      <c r="W2" s="766"/>
      <c r="X2" s="766"/>
      <c r="Y2" s="766"/>
      <c r="Z2" s="766"/>
      <c r="AA2" s="766"/>
      <c r="AB2" s="766"/>
      <c r="AC2" s="766"/>
      <c r="AD2" s="766"/>
    </row>
    <row r="3" spans="1:30" ht="33" customHeight="1" thickTop="1" thickBot="1">
      <c r="A3" s="133"/>
      <c r="B3" s="133"/>
      <c r="C3" s="39"/>
      <c r="D3" s="431"/>
      <c r="E3" s="143"/>
      <c r="F3" s="143"/>
      <c r="G3" s="143"/>
      <c r="H3" s="143"/>
      <c r="I3" s="1958" t="s">
        <v>4</v>
      </c>
      <c r="J3" s="1959"/>
      <c r="K3" s="2037" t="s">
        <v>2</v>
      </c>
      <c r="L3" s="2038"/>
      <c r="M3" s="2038"/>
      <c r="N3" s="2038"/>
      <c r="O3" s="2038"/>
      <c r="P3" s="2038"/>
      <c r="Q3" s="2038"/>
      <c r="R3" s="2038"/>
      <c r="S3" s="2038"/>
      <c r="T3" s="2039"/>
      <c r="U3" s="1340"/>
      <c r="V3" s="1344"/>
      <c r="W3" s="1338"/>
      <c r="X3" s="362"/>
      <c r="Y3" s="982"/>
      <c r="Z3" s="2032" t="s">
        <v>2184</v>
      </c>
      <c r="AA3" s="2032"/>
      <c r="AB3" s="2033"/>
      <c r="AC3" s="2034"/>
      <c r="AD3" s="1272"/>
    </row>
    <row r="4" spans="1:30" ht="26.1" customHeight="1">
      <c r="A4" s="137"/>
      <c r="B4" s="137"/>
      <c r="C4" s="287"/>
      <c r="D4" s="489"/>
      <c r="E4" s="488"/>
      <c r="F4" s="435" t="s">
        <v>2185</v>
      </c>
      <c r="G4" s="351" t="s">
        <v>2186</v>
      </c>
      <c r="H4" s="351" t="s">
        <v>2187</v>
      </c>
      <c r="I4" s="285" t="s">
        <v>2188</v>
      </c>
      <c r="J4" s="140"/>
      <c r="K4" s="138" t="s">
        <v>2189</v>
      </c>
      <c r="L4" s="139"/>
      <c r="M4" s="139"/>
      <c r="N4" s="139"/>
      <c r="O4" s="139"/>
      <c r="P4" s="139" t="s">
        <v>2190</v>
      </c>
      <c r="Q4" s="139" t="s">
        <v>2191</v>
      </c>
      <c r="R4" s="139"/>
      <c r="S4" s="139"/>
      <c r="T4" s="357" t="s">
        <v>2192</v>
      </c>
      <c r="U4" s="356"/>
      <c r="V4" s="1345" t="s">
        <v>2193</v>
      </c>
      <c r="W4" s="312" t="s">
        <v>2194</v>
      </c>
      <c r="X4" s="363" t="s">
        <v>2195</v>
      </c>
      <c r="Y4" s="983"/>
      <c r="Z4" s="312"/>
      <c r="AA4" s="314"/>
      <c r="AB4" s="316"/>
      <c r="AC4" s="314"/>
      <c r="AD4" s="517"/>
    </row>
    <row r="5" spans="1:30" ht="66" customHeight="1" thickBot="1">
      <c r="A5" s="134" t="s">
        <v>1420</v>
      </c>
      <c r="B5" s="286" t="s">
        <v>1409</v>
      </c>
      <c r="C5" s="286" t="s">
        <v>19</v>
      </c>
      <c r="D5" s="490" t="s">
        <v>2196</v>
      </c>
      <c r="E5" s="598" t="s">
        <v>467</v>
      </c>
      <c r="F5" s="145" t="s">
        <v>2197</v>
      </c>
      <c r="G5" s="355" t="s">
        <v>2198</v>
      </c>
      <c r="H5" s="434" t="s">
        <v>2199</v>
      </c>
      <c r="I5" s="41" t="s">
        <v>28</v>
      </c>
      <c r="J5" s="44" t="s">
        <v>29</v>
      </c>
      <c r="K5" s="41" t="s">
        <v>21</v>
      </c>
      <c r="L5" s="42" t="s">
        <v>22</v>
      </c>
      <c r="M5" s="154" t="s">
        <v>6823</v>
      </c>
      <c r="N5" s="1892" t="s">
        <v>2200</v>
      </c>
      <c r="O5" s="1893" t="s">
        <v>6824</v>
      </c>
      <c r="P5" s="43" t="s">
        <v>25</v>
      </c>
      <c r="Q5" s="43" t="s">
        <v>24</v>
      </c>
      <c r="R5" s="154" t="s">
        <v>5590</v>
      </c>
      <c r="S5" s="43" t="s">
        <v>26</v>
      </c>
      <c r="T5" s="44" t="s">
        <v>27</v>
      </c>
      <c r="U5" s="706" t="s">
        <v>3813</v>
      </c>
      <c r="V5" s="1346" t="s">
        <v>2201</v>
      </c>
      <c r="W5" s="111" t="s">
        <v>63</v>
      </c>
      <c r="X5" s="364" t="s">
        <v>2202</v>
      </c>
      <c r="Y5" s="984" t="s">
        <v>2203</v>
      </c>
      <c r="Z5" s="111" t="s">
        <v>2204</v>
      </c>
      <c r="AA5" s="111" t="s">
        <v>25</v>
      </c>
      <c r="AB5" s="43" t="s">
        <v>24</v>
      </c>
      <c r="AC5" s="315" t="s">
        <v>57</v>
      </c>
      <c r="AD5" s="518" t="s">
        <v>1426</v>
      </c>
    </row>
    <row r="6" spans="1:30" s="729" customFormat="1" ht="23.25" hidden="1" customHeight="1" thickTop="1">
      <c r="A6" s="709"/>
      <c r="B6" s="709"/>
      <c r="C6" s="710"/>
      <c r="D6" s="711"/>
      <c r="E6" s="712"/>
      <c r="F6" s="713"/>
      <c r="G6" s="714"/>
      <c r="H6" s="714"/>
      <c r="I6" s="715"/>
      <c r="J6" s="711"/>
      <c r="K6" s="716"/>
      <c r="L6" s="717"/>
      <c r="M6" s="718"/>
      <c r="N6" s="719"/>
      <c r="O6" s="719"/>
      <c r="P6" s="718"/>
      <c r="Q6" s="718"/>
      <c r="R6" s="718"/>
      <c r="S6" s="718"/>
      <c r="T6" s="720"/>
      <c r="U6" s="723"/>
      <c r="V6" s="721"/>
      <c r="W6" s="709"/>
      <c r="X6" s="722"/>
      <c r="Y6" s="985"/>
      <c r="Z6" s="724"/>
      <c r="AA6" s="724"/>
      <c r="AB6" s="725"/>
      <c r="AC6" s="726"/>
      <c r="AD6" s="727"/>
    </row>
    <row r="7" spans="1:30" ht="60.75" hidden="1" customHeight="1" thickTop="1">
      <c r="A7" s="22" t="s">
        <v>2206</v>
      </c>
      <c r="B7" s="809" t="str">
        <f>GRAL!B8</f>
        <v>2012-2015</v>
      </c>
      <c r="C7" s="16">
        <f>OBRA!J6</f>
        <v>2013</v>
      </c>
      <c r="D7" s="17" t="str">
        <f>OBRA!M6</f>
        <v>FONDEREG</v>
      </c>
      <c r="E7" s="274"/>
      <c r="F7" s="471"/>
      <c r="G7" s="591"/>
      <c r="H7" s="352"/>
      <c r="I7" s="208" t="str">
        <f>OBRA!W6</f>
        <v>C. URIEL PALOS CUEVAS</v>
      </c>
      <c r="J7" s="231" t="str">
        <f>OBRA!X6</f>
        <v>C. DANIEL RODRIGUEZ VALENZUELA</v>
      </c>
      <c r="K7" s="19" t="str">
        <f>OBRA!N6</f>
        <v>GMJ 015C OP/2013</v>
      </c>
      <c r="L7" s="2" t="str">
        <f>OBRA!O6</f>
        <v>INVITACIÓN</v>
      </c>
      <c r="M7" s="3" t="str">
        <f>OBRA!P6</f>
        <v>RED DE AGUA POTABLE, DRENAJE Y EMPEDRADO EN CEMENTO, EN PROLONGACIÓN MORELOS, EN LA LOCALIDAD DE CHANTEPEC</v>
      </c>
      <c r="N7" s="3"/>
      <c r="O7" s="3"/>
      <c r="P7" s="6">
        <f>OBRA!S6</f>
        <v>41501</v>
      </c>
      <c r="Q7" s="4">
        <f>OBRA!R6</f>
        <v>2564102.67</v>
      </c>
      <c r="R7" s="4"/>
      <c r="S7" s="5">
        <f>OBRA!T6</f>
        <v>41518</v>
      </c>
      <c r="T7" s="11">
        <f>OBRA!U6</f>
        <v>41608</v>
      </c>
      <c r="U7" s="224"/>
      <c r="V7" s="224" t="s">
        <v>1428</v>
      </c>
      <c r="W7" s="368"/>
      <c r="X7" s="365"/>
      <c r="Y7" s="278">
        <f>OBRA!AR6</f>
        <v>0</v>
      </c>
      <c r="Z7" s="313"/>
      <c r="AA7" s="313"/>
      <c r="AB7" s="193"/>
      <c r="AC7" s="317">
        <f>OBRA!BW6</f>
        <v>0</v>
      </c>
      <c r="AD7" s="352"/>
    </row>
    <row r="8" spans="1:30" s="299" customFormat="1" ht="75.75" hidden="1" customHeight="1">
      <c r="A8" s="305" t="s">
        <v>2206</v>
      </c>
      <c r="B8" s="853" t="str">
        <f>GRAL!B9</f>
        <v>2012-2015</v>
      </c>
      <c r="C8" s="288">
        <f>OBRA!J7</f>
        <v>2013</v>
      </c>
      <c r="D8" s="306" t="str">
        <f>OBRA!M7</f>
        <v>RAMO 33</v>
      </c>
      <c r="E8" s="487" t="s">
        <v>1428</v>
      </c>
      <c r="F8" s="353"/>
      <c r="G8" s="429"/>
      <c r="H8" s="353"/>
      <c r="I8" s="307" t="str">
        <f>OBRA!W7</f>
        <v>CONSTRUCTORA TGV, S.A. DE C.V.</v>
      </c>
      <c r="J8" s="304" t="str">
        <f>OBRA!X7</f>
        <v>C. DANIEL RODRIGUEZ VALENZUELA</v>
      </c>
      <c r="K8" s="290" t="str">
        <f>OBRA!N7</f>
        <v>GMJ 022C OP/2013</v>
      </c>
      <c r="L8" s="291" t="str">
        <f>OBRA!O7</f>
        <v>ADJUDICACIÓN DIRECTA</v>
      </c>
      <c r="M8" s="292" t="str">
        <f>OBRA!P7</f>
        <v>REHABILITACIÓN DE UNIDAD DEPORTIVA, UBICADA EN ESQUINA DE AVENIDA DEL PARQUE Y CALLE ARTE EN LA DELEGACIÓN DE HUEJOTITAN</v>
      </c>
      <c r="N8" s="292"/>
      <c r="O8" s="292"/>
      <c r="P8" s="294">
        <f>OBRA!S7</f>
        <v>41610</v>
      </c>
      <c r="Q8" s="293">
        <f>OBRA!R7</f>
        <v>666000</v>
      </c>
      <c r="R8" s="293"/>
      <c r="S8" s="295">
        <f>OBRA!T7</f>
        <v>41612</v>
      </c>
      <c r="T8" s="296">
        <f>OBRA!U7</f>
        <v>41638</v>
      </c>
      <c r="U8" s="854"/>
      <c r="V8" s="854" t="s">
        <v>1428</v>
      </c>
      <c r="W8" s="369"/>
      <c r="X8" s="366"/>
      <c r="Y8" s="805">
        <f>OBRA!AR7</f>
        <v>0</v>
      </c>
      <c r="Z8" s="310"/>
      <c r="AA8" s="310"/>
      <c r="AB8" s="295"/>
      <c r="AC8" s="384">
        <f>OBRA!BW7</f>
        <v>0</v>
      </c>
      <c r="AD8" s="353"/>
    </row>
    <row r="9" spans="1:30" s="299" customFormat="1" ht="60.75" hidden="1" customHeight="1">
      <c r="A9" s="305" t="s">
        <v>2206</v>
      </c>
      <c r="B9" s="853" t="str">
        <f>GRAL!B10</f>
        <v>2012-2015</v>
      </c>
      <c r="C9" s="288">
        <f>OBRA!J8</f>
        <v>2013</v>
      </c>
      <c r="D9" s="306" t="str">
        <f>OBRA!M8</f>
        <v>RAMO 33</v>
      </c>
      <c r="E9" s="487" t="s">
        <v>1428</v>
      </c>
      <c r="F9" s="353"/>
      <c r="G9" s="429"/>
      <c r="H9" s="353"/>
      <c r="I9" s="307" t="str">
        <f>OBRA!W8</f>
        <v>CONSTRUCTORA TGV, S.A. DE C.V.</v>
      </c>
      <c r="J9" s="304" t="str">
        <f>OBRA!X8</f>
        <v>C. DANIEL RODRIGUEZ VALENZUELA</v>
      </c>
      <c r="K9" s="290" t="str">
        <f>OBRA!N8</f>
        <v>GMJ 023C OP/2013</v>
      </c>
      <c r="L9" s="291" t="str">
        <f>OBRA!O8</f>
        <v>ADJUDICACIÓN DIRECTA</v>
      </c>
      <c r="M9" s="292" t="str">
        <f>OBRA!P8</f>
        <v>CONSTRUCCIÓN DE MODULOS DE BAÑOS JUNTO A LA UNIDAD DEPORTIVA, EN LA AGENCIA MUNICIPAL DE EL MOLINO</v>
      </c>
      <c r="N9" s="292"/>
      <c r="O9" s="292"/>
      <c r="P9" s="294">
        <f>OBRA!S8</f>
        <v>41610</v>
      </c>
      <c r="Q9" s="293">
        <f>OBRA!R8</f>
        <v>160000</v>
      </c>
      <c r="R9" s="293"/>
      <c r="S9" s="295">
        <f>OBRA!T8</f>
        <v>41617</v>
      </c>
      <c r="T9" s="296">
        <f>OBRA!U8</f>
        <v>41638</v>
      </c>
      <c r="U9" s="854"/>
      <c r="V9" s="854" t="s">
        <v>1428</v>
      </c>
      <c r="W9" s="369"/>
      <c r="X9" s="366"/>
      <c r="Y9" s="805">
        <f>OBRA!AR8</f>
        <v>0</v>
      </c>
      <c r="Z9" s="310"/>
      <c r="AA9" s="310"/>
      <c r="AB9" s="295"/>
      <c r="AC9" s="384">
        <f>OBRA!BW8</f>
        <v>0</v>
      </c>
      <c r="AD9" s="353"/>
    </row>
    <row r="10" spans="1:30" ht="60.75" hidden="1" customHeight="1">
      <c r="A10" s="22" t="s">
        <v>2206</v>
      </c>
      <c r="B10" s="809" t="str">
        <f>GRAL!B11</f>
        <v>2012-2015</v>
      </c>
      <c r="C10" s="16">
        <f>OBRA!J9</f>
        <v>2013</v>
      </c>
      <c r="D10" s="17" t="str">
        <f>OBRA!M9</f>
        <v>RAMO 33</v>
      </c>
      <c r="E10" s="487" t="s">
        <v>1428</v>
      </c>
      <c r="F10" s="352"/>
      <c r="G10" s="1"/>
      <c r="H10" s="352"/>
      <c r="I10" s="208" t="str">
        <f>OBRA!W9</f>
        <v>-</v>
      </c>
      <c r="J10" s="231">
        <f>OBRA!X9</f>
        <v>0</v>
      </c>
      <c r="K10" s="19" t="str">
        <f>OBRA!N9</f>
        <v>DOP/AD/011/2013</v>
      </c>
      <c r="L10" s="2" t="str">
        <f>OBRA!O9</f>
        <v>ADMINISTRACIÓN DIRECTA</v>
      </c>
      <c r="M10" s="3" t="str">
        <f>OBRA!P9</f>
        <v>BACHEO DE EMPEDRADO NORMAL EN CALLES: ALLENE, PORFIRIO DIAZ Y MATAMOROS, EN SAN CRISTOBAL ZAPOTITLAN</v>
      </c>
      <c r="N10" s="3"/>
      <c r="O10" s="3"/>
      <c r="P10" s="87" t="s">
        <v>68</v>
      </c>
      <c r="Q10" s="4">
        <f>OBRA!R9</f>
        <v>0</v>
      </c>
      <c r="R10" s="4"/>
      <c r="S10" s="88" t="s">
        <v>68</v>
      </c>
      <c r="T10" s="89" t="s">
        <v>68</v>
      </c>
      <c r="U10" s="101"/>
      <c r="V10" s="226" t="s">
        <v>1428</v>
      </c>
      <c r="W10" s="370"/>
      <c r="X10" s="91"/>
      <c r="Y10" s="278">
        <f>OBRA!AR9</f>
        <v>0</v>
      </c>
      <c r="Z10" s="311"/>
      <c r="AA10" s="311"/>
      <c r="AB10" s="88"/>
      <c r="AC10" s="317">
        <f>OBRA!BW9</f>
        <v>0</v>
      </c>
      <c r="AD10" s="352"/>
    </row>
    <row r="11" spans="1:30" ht="60.75" hidden="1" customHeight="1">
      <c r="A11" s="22" t="s">
        <v>2206</v>
      </c>
      <c r="B11" s="809" t="str">
        <f>GRAL!B12</f>
        <v>2012-2015</v>
      </c>
      <c r="C11" s="16">
        <f>OBRA!J10</f>
        <v>2013</v>
      </c>
      <c r="D11" s="17" t="str">
        <f>OBRA!M10</f>
        <v>RAMO 33</v>
      </c>
      <c r="E11" s="487" t="s">
        <v>1428</v>
      </c>
      <c r="F11" s="352"/>
      <c r="G11" s="1"/>
      <c r="H11" s="352"/>
      <c r="I11" s="208" t="str">
        <f>OBRA!W10</f>
        <v>-</v>
      </c>
      <c r="J11" s="231">
        <f>OBRA!X10</f>
        <v>0</v>
      </c>
      <c r="K11" s="19" t="str">
        <f>OBRA!N10</f>
        <v>DOP/AD/010/2013</v>
      </c>
      <c r="L11" s="2" t="str">
        <f>OBRA!O10</f>
        <v>ADMINISTRACIÓN DIRECTA</v>
      </c>
      <c r="M11" s="3" t="str">
        <f>OBRA!P10</f>
        <v>COLOCACIÓN DE CARPETA ASFALTICA EN C. ZARAGOZA Y C. RAMÓN CORONA, EN LA LOCALIDAD DE SAN CRISTOBAL ZAPOTITLAN</v>
      </c>
      <c r="N11" s="3"/>
      <c r="O11" s="3"/>
      <c r="P11" s="6">
        <f>OBRA!S10</f>
        <v>41479</v>
      </c>
      <c r="Q11" s="4">
        <f>OBRA!R10</f>
        <v>234538.12</v>
      </c>
      <c r="R11" s="4"/>
      <c r="S11" s="5">
        <f>OBRA!T10</f>
        <v>41479</v>
      </c>
      <c r="T11" s="11">
        <f>OBRA!U10</f>
        <v>41486</v>
      </c>
      <c r="U11" s="52"/>
      <c r="V11" s="226" t="s">
        <v>1428</v>
      </c>
      <c r="W11" s="105"/>
      <c r="X11" s="53"/>
      <c r="Y11" s="278">
        <f>OBRA!AR10</f>
        <v>0</v>
      </c>
      <c r="Z11" s="309"/>
      <c r="AA11" s="309"/>
      <c r="AB11" s="5"/>
      <c r="AC11" s="317">
        <f>OBRA!BW10</f>
        <v>0</v>
      </c>
      <c r="AD11" s="352"/>
    </row>
    <row r="12" spans="1:30" ht="60.75" hidden="1" customHeight="1">
      <c r="A12" s="22" t="s">
        <v>2206</v>
      </c>
      <c r="B12" s="809" t="str">
        <f>GRAL!B13</f>
        <v>2012-2015</v>
      </c>
      <c r="C12" s="16">
        <f>OBRA!J11</f>
        <v>2013</v>
      </c>
      <c r="D12" s="17" t="str">
        <f>OBRA!M11</f>
        <v>RAMO 33</v>
      </c>
      <c r="E12" s="487" t="s">
        <v>1428</v>
      </c>
      <c r="F12" s="352"/>
      <c r="G12" s="1"/>
      <c r="H12" s="352"/>
      <c r="I12" s="208" t="str">
        <f>OBRA!W11</f>
        <v>-</v>
      </c>
      <c r="J12" s="231">
        <f>OBRA!X11</f>
        <v>0</v>
      </c>
      <c r="K12" s="19" t="str">
        <f>OBRA!N11</f>
        <v>DOP/AD/007/2013</v>
      </c>
      <c r="L12" s="2" t="str">
        <f>OBRA!O11</f>
        <v>ADMINISTRACIÓN DIRECTA</v>
      </c>
      <c r="M12" s="3" t="str">
        <f>OBRA!P11</f>
        <v>EMPEDRADO AHOGADO EN CEMENTO EN C. GALEANA DE ZARGOZA AL NORTE, EN LA LOCALIDAD DE SAN JUAN COSALA</v>
      </c>
      <c r="N12" s="3"/>
      <c r="O12" s="3"/>
      <c r="P12" s="6">
        <f>OBRA!S11</f>
        <v>41484</v>
      </c>
      <c r="Q12" s="4">
        <f>OBRA!R11</f>
        <v>270189.96000000002</v>
      </c>
      <c r="R12" s="4"/>
      <c r="S12" s="5">
        <f>OBRA!T11</f>
        <v>41479</v>
      </c>
      <c r="T12" s="11">
        <f>OBRA!U11</f>
        <v>41510</v>
      </c>
      <c r="U12" s="52"/>
      <c r="V12" s="226" t="s">
        <v>1428</v>
      </c>
      <c r="W12" s="105"/>
      <c r="X12" s="53"/>
      <c r="Y12" s="278">
        <f>OBRA!AR11</f>
        <v>0</v>
      </c>
      <c r="Z12" s="309"/>
      <c r="AA12" s="309"/>
      <c r="AB12" s="5"/>
      <c r="AC12" s="317">
        <f>OBRA!BW11</f>
        <v>0</v>
      </c>
      <c r="AD12" s="352"/>
    </row>
    <row r="13" spans="1:30" ht="60.75" hidden="1" customHeight="1">
      <c r="A13" s="22" t="s">
        <v>2206</v>
      </c>
      <c r="B13" s="809" t="str">
        <f>GRAL!B14</f>
        <v>2012-2015</v>
      </c>
      <c r="C13" s="16">
        <f>OBRA!J12</f>
        <v>2013</v>
      </c>
      <c r="D13" s="17" t="str">
        <f>OBRA!M12</f>
        <v>RAMO 33</v>
      </c>
      <c r="E13" s="486" t="s">
        <v>1428</v>
      </c>
      <c r="F13" s="352"/>
      <c r="G13" s="1"/>
      <c r="H13" s="352"/>
      <c r="I13" s="208" t="str">
        <f>OBRA!W12</f>
        <v>-</v>
      </c>
      <c r="J13" s="231">
        <f>OBRA!X12</f>
        <v>0</v>
      </c>
      <c r="K13" s="19" t="str">
        <f>OBRA!N12</f>
        <v>DOP/AD/006/2013</v>
      </c>
      <c r="L13" s="2" t="str">
        <f>OBRA!O12</f>
        <v>ADMINISTRACIÓN DIRECTA</v>
      </c>
      <c r="M13" s="3" t="str">
        <f>OBRA!P12</f>
        <v>EMPEDRADO AHOGADO EN CEMENTO, MURO Y BANQUETA CALLEJON ALLENDE EN LA LOCALIDAD DE CHANTEPEC</v>
      </c>
      <c r="N13" s="3"/>
      <c r="O13" s="3"/>
      <c r="P13" s="6">
        <f>OBRA!S12</f>
        <v>41479</v>
      </c>
      <c r="Q13" s="4">
        <f>OBRA!R12</f>
        <v>297377.52</v>
      </c>
      <c r="R13" s="4"/>
      <c r="S13" s="5">
        <f>OBRA!T12</f>
        <v>41479</v>
      </c>
      <c r="T13" s="11">
        <f>OBRA!U12</f>
        <v>41501</v>
      </c>
      <c r="U13" s="52"/>
      <c r="V13" s="226" t="s">
        <v>1428</v>
      </c>
      <c r="W13" s="105"/>
      <c r="X13" s="53"/>
      <c r="Y13" s="278">
        <f>OBRA!AR12</f>
        <v>0</v>
      </c>
      <c r="Z13" s="309"/>
      <c r="AA13" s="309"/>
      <c r="AB13" s="5"/>
      <c r="AC13" s="317">
        <f>OBRA!BW12</f>
        <v>0</v>
      </c>
      <c r="AD13" s="352"/>
    </row>
    <row r="14" spans="1:30" ht="45.75" hidden="1" customHeight="1">
      <c r="A14" s="22" t="s">
        <v>2206</v>
      </c>
      <c r="B14" s="809" t="str">
        <f>GRAL!B15</f>
        <v>2012-2015</v>
      </c>
      <c r="C14" s="16">
        <f>OBRA!J13</f>
        <v>2013</v>
      </c>
      <c r="D14" s="17" t="str">
        <f>OBRA!M13</f>
        <v>RAMO 33</v>
      </c>
      <c r="E14" s="487" t="s">
        <v>1428</v>
      </c>
      <c r="F14" s="352"/>
      <c r="G14" s="1"/>
      <c r="H14" s="352"/>
      <c r="I14" s="208" t="str">
        <f>OBRA!W13</f>
        <v>-</v>
      </c>
      <c r="J14" s="231">
        <f>OBRA!X13</f>
        <v>0</v>
      </c>
      <c r="K14" s="19" t="str">
        <f>OBRA!N13</f>
        <v>DOP/AD/018/2013</v>
      </c>
      <c r="L14" s="2" t="str">
        <f>OBRA!O13</f>
        <v>ADMINISTRACIÓN DIRECTA</v>
      </c>
      <c r="M14" s="3" t="str">
        <f>OBRA!P13</f>
        <v>EMPEDRADO NORMAL EN C. VICENTE GUERRERO, EN LA DELEGACIÓN DE ZAPOTITAN DE HIDALGO</v>
      </c>
      <c r="N14" s="3"/>
      <c r="O14" s="3"/>
      <c r="P14" s="6">
        <f>OBRA!S13</f>
        <v>41502</v>
      </c>
      <c r="Q14" s="4">
        <f>OBRA!R13</f>
        <v>371000</v>
      </c>
      <c r="R14" s="4"/>
      <c r="S14" s="5">
        <f>OBRA!T13</f>
        <v>41507</v>
      </c>
      <c r="T14" s="11">
        <f>OBRA!U13</f>
        <v>41538</v>
      </c>
      <c r="U14" s="52"/>
      <c r="V14" s="226" t="s">
        <v>1428</v>
      </c>
      <c r="W14" s="105"/>
      <c r="X14" s="53"/>
      <c r="Y14" s="278">
        <f>OBRA!AR13</f>
        <v>0</v>
      </c>
      <c r="Z14" s="309"/>
      <c r="AA14" s="309"/>
      <c r="AB14" s="5"/>
      <c r="AC14" s="317">
        <f>OBRA!BW13</f>
        <v>0</v>
      </c>
      <c r="AD14" s="352"/>
    </row>
    <row r="15" spans="1:30" ht="60.75" hidden="1" customHeight="1">
      <c r="A15" s="22" t="s">
        <v>2206</v>
      </c>
      <c r="B15" s="809" t="str">
        <f>GRAL!B16</f>
        <v>2012-2015</v>
      </c>
      <c r="C15" s="16">
        <f>OBRA!J14</f>
        <v>2013</v>
      </c>
      <c r="D15" s="17" t="str">
        <f>OBRA!M14</f>
        <v>RAMO 33</v>
      </c>
      <c r="E15" s="487" t="s">
        <v>1428</v>
      </c>
      <c r="F15" s="352"/>
      <c r="G15" s="1"/>
      <c r="H15" s="352"/>
      <c r="I15" s="208" t="str">
        <f>OBRA!W14</f>
        <v>-</v>
      </c>
      <c r="J15" s="231">
        <f>OBRA!X14</f>
        <v>0</v>
      </c>
      <c r="K15" s="19" t="str">
        <f>OBRA!N14</f>
        <v>DOP/AD/016/2013</v>
      </c>
      <c r="L15" s="2" t="str">
        <f>OBRA!O14</f>
        <v>ADMINISTRACIÓN DIRECTA</v>
      </c>
      <c r="M15" s="3" t="str">
        <f>OBRA!P14</f>
        <v>EMPEDRADO NORMAL CON PIEDRA BRAZA EN C. JUAREZ ENTRE INGRESO Y PLAZA, EN LA DELEGACIÓN DE EL SAUZ</v>
      </c>
      <c r="N15" s="3"/>
      <c r="O15" s="3"/>
      <c r="P15" s="6">
        <f>OBRA!S14</f>
        <v>41479</v>
      </c>
      <c r="Q15" s="4">
        <f>OBRA!R14</f>
        <v>355866.93</v>
      </c>
      <c r="R15" s="4"/>
      <c r="S15" s="5">
        <f>OBRA!T14</f>
        <v>41479</v>
      </c>
      <c r="T15" s="11">
        <f>OBRA!U14</f>
        <v>41493</v>
      </c>
      <c r="U15" s="52"/>
      <c r="V15" s="226" t="s">
        <v>1428</v>
      </c>
      <c r="W15" s="105"/>
      <c r="X15" s="53"/>
      <c r="Y15" s="278">
        <f>OBRA!AR14</f>
        <v>0</v>
      </c>
      <c r="Z15" s="309"/>
      <c r="AA15" s="309"/>
      <c r="AB15" s="5"/>
      <c r="AC15" s="317">
        <f>OBRA!BW14</f>
        <v>0</v>
      </c>
      <c r="AD15" s="352"/>
    </row>
    <row r="16" spans="1:30" ht="45.75" hidden="1" customHeight="1">
      <c r="A16" s="22" t="s">
        <v>2206</v>
      </c>
      <c r="B16" s="809" t="str">
        <f>GRAL!B17</f>
        <v>2012-2015</v>
      </c>
      <c r="C16" s="16">
        <f>OBRA!J15</f>
        <v>2013</v>
      </c>
      <c r="D16" s="17" t="str">
        <f>OBRA!M15</f>
        <v>RAMO 33</v>
      </c>
      <c r="E16" s="487" t="s">
        <v>1428</v>
      </c>
      <c r="F16" s="352"/>
      <c r="G16" s="1"/>
      <c r="H16" s="352"/>
      <c r="I16" s="208" t="str">
        <f>OBRA!W15</f>
        <v>-</v>
      </c>
      <c r="J16" s="231">
        <f>OBRA!X15</f>
        <v>0</v>
      </c>
      <c r="K16" s="19" t="str">
        <f>OBRA!N15</f>
        <v>DOP/AD/015/2013</v>
      </c>
      <c r="L16" s="2" t="str">
        <f>OBRA!O15</f>
        <v>ADMINISTRACIÓN DIRECTA</v>
      </c>
      <c r="M16" s="3" t="str">
        <f>OBRA!P15</f>
        <v>COLECTOR DE ALEJAMIENTO DE AGUAS RESIDUALES EN LA AGENCIA MUNICIPAL DE EL MOLINO</v>
      </c>
      <c r="N16" s="3"/>
      <c r="O16" s="3"/>
      <c r="P16" s="6">
        <f>OBRA!S15</f>
        <v>41488</v>
      </c>
      <c r="Q16" s="4">
        <f>OBRA!R15</f>
        <v>73286.47</v>
      </c>
      <c r="R16" s="4"/>
      <c r="S16" s="5">
        <f>OBRA!T15</f>
        <v>41507</v>
      </c>
      <c r="T16" s="11">
        <f>OBRA!U15</f>
        <v>41538</v>
      </c>
      <c r="U16" s="52"/>
      <c r="V16" s="226" t="s">
        <v>1428</v>
      </c>
      <c r="W16" s="105"/>
      <c r="X16" s="53"/>
      <c r="Y16" s="278">
        <f>OBRA!AR15</f>
        <v>0</v>
      </c>
      <c r="Z16" s="309"/>
      <c r="AA16" s="309"/>
      <c r="AB16" s="5"/>
      <c r="AC16" s="317">
        <f>OBRA!BW15</f>
        <v>0</v>
      </c>
      <c r="AD16" s="352"/>
    </row>
    <row r="17" spans="1:30" ht="30.75" hidden="1" customHeight="1">
      <c r="A17" s="22" t="s">
        <v>2206</v>
      </c>
      <c r="B17" s="809" t="str">
        <f>GRAL!B18</f>
        <v>2012-2015</v>
      </c>
      <c r="C17" s="16">
        <f>OBRA!J16</f>
        <v>2013</v>
      </c>
      <c r="D17" s="17" t="str">
        <f>OBRA!M16</f>
        <v>RAMO 33</v>
      </c>
      <c r="E17" s="487" t="s">
        <v>1428</v>
      </c>
      <c r="F17" s="352"/>
      <c r="G17" s="1"/>
      <c r="H17" s="352"/>
      <c r="I17" s="208" t="str">
        <f>OBRA!W16</f>
        <v>-</v>
      </c>
      <c r="J17" s="231">
        <f>OBRA!X16</f>
        <v>0</v>
      </c>
      <c r="K17" s="19" t="str">
        <f>OBRA!N16</f>
        <v>DOP/AD/014/2013</v>
      </c>
      <c r="L17" s="2" t="str">
        <f>OBRA!O16</f>
        <v>ADMINISTRACIÓN DIRECTA</v>
      </c>
      <c r="M17" s="3" t="str">
        <f>OBRA!P16</f>
        <v>EMPEDRADO NORMAL C. 16 DE SEPTIEMBRE LA LOMA</v>
      </c>
      <c r="N17" s="3"/>
      <c r="O17" s="3"/>
      <c r="P17" s="6">
        <f>OBRA!S16</f>
        <v>41488</v>
      </c>
      <c r="Q17" s="4">
        <f>OBRA!R16</f>
        <v>172000</v>
      </c>
      <c r="R17" s="4"/>
      <c r="S17" s="5">
        <f>OBRA!T16</f>
        <v>41493</v>
      </c>
      <c r="T17" s="11">
        <f>OBRA!U16</f>
        <v>41506</v>
      </c>
      <c r="U17" s="52"/>
      <c r="V17" s="226" t="s">
        <v>1428</v>
      </c>
      <c r="W17" s="105"/>
      <c r="X17" s="53"/>
      <c r="Y17" s="278">
        <f>OBRA!AR16</f>
        <v>0</v>
      </c>
      <c r="Z17" s="309"/>
      <c r="AA17" s="309"/>
      <c r="AB17" s="5"/>
      <c r="AC17" s="317">
        <f>OBRA!BW16</f>
        <v>0</v>
      </c>
      <c r="AD17" s="352"/>
    </row>
    <row r="18" spans="1:30" ht="75.75" hidden="1" customHeight="1">
      <c r="A18" s="22" t="s">
        <v>2206</v>
      </c>
      <c r="B18" s="809" t="str">
        <f>GRAL!B19</f>
        <v>2012-2015</v>
      </c>
      <c r="C18" s="16">
        <f>OBRA!J17</f>
        <v>2013</v>
      </c>
      <c r="D18" s="17" t="str">
        <f>OBRA!M17</f>
        <v>RAMO 33</v>
      </c>
      <c r="E18" s="487" t="s">
        <v>1428</v>
      </c>
      <c r="F18" s="352"/>
      <c r="G18" s="1"/>
      <c r="H18" s="352"/>
      <c r="I18" s="208" t="str">
        <f>OBRA!W17</f>
        <v>EQUIPO MANTENIMIENTO Y PLANEACION ELECTRICA S.A. DE C.V.</v>
      </c>
      <c r="J18" s="231" t="str">
        <f>OBRA!X17</f>
        <v>C. DANIEL RODRIGUEZ VALENZUELA</v>
      </c>
      <c r="K18" s="19" t="str">
        <f>OBRA!N17</f>
        <v>GMJ 017C OP/2013</v>
      </c>
      <c r="L18" s="2" t="str">
        <f>OBRA!O17</f>
        <v>INVITACIÓN</v>
      </c>
      <c r="M18" s="3" t="str">
        <f>OBRA!P17</f>
        <v>ELECTRIFICACIÓN Y EQUIPAMIENTO DE POZO PROFUNDO, EN EL FRACCIONAMIENTO UBICADO EN LA ZONO OESTE DE LA MAGISTERIAL CABECERA MUNICIPAL</v>
      </c>
      <c r="N18" s="3"/>
      <c r="O18" s="3"/>
      <c r="P18" s="6">
        <f>OBRA!S17</f>
        <v>41516</v>
      </c>
      <c r="Q18" s="4">
        <f>OBRA!R17</f>
        <v>1084867.96</v>
      </c>
      <c r="R18" s="4"/>
      <c r="S18" s="5">
        <f>OBRA!T17</f>
        <v>41553</v>
      </c>
      <c r="T18" s="11">
        <f>OBRA!U17</f>
        <v>41623</v>
      </c>
      <c r="U18" s="52"/>
      <c r="V18" s="226" t="s">
        <v>1428</v>
      </c>
      <c r="W18" s="105"/>
      <c r="X18" s="53"/>
      <c r="Y18" s="278">
        <f>OBRA!AR17</f>
        <v>0</v>
      </c>
      <c r="Z18" s="309"/>
      <c r="AA18" s="309"/>
      <c r="AB18" s="5"/>
      <c r="AC18" s="317">
        <f>OBRA!BW17</f>
        <v>0</v>
      </c>
      <c r="AD18" s="352"/>
    </row>
    <row r="19" spans="1:30" s="299" customFormat="1" ht="45.75" hidden="1" customHeight="1">
      <c r="A19" s="305" t="s">
        <v>2206</v>
      </c>
      <c r="B19" s="853" t="str">
        <f>GRAL!B20</f>
        <v>2012-2015</v>
      </c>
      <c r="C19" s="288">
        <f>OBRA!J18</f>
        <v>2013</v>
      </c>
      <c r="D19" s="306" t="str">
        <f>OBRA!M18</f>
        <v>RAMO 33</v>
      </c>
      <c r="E19" s="487" t="s">
        <v>1428</v>
      </c>
      <c r="F19" s="353"/>
      <c r="G19" s="429"/>
      <c r="H19" s="353"/>
      <c r="I19" s="307" t="str">
        <f>OBRA!W18</f>
        <v>C. JOSE LUIS VILLALPANDO GARCIA</v>
      </c>
      <c r="J19" s="304" t="str">
        <f>OBRA!X18</f>
        <v>ING. RIGOBERTO OLMEDO RAMOS</v>
      </c>
      <c r="K19" s="290" t="str">
        <f>OBRA!N18</f>
        <v>GMJ 018C OP/2013</v>
      </c>
      <c r="L19" s="291" t="str">
        <f>OBRA!O18</f>
        <v>ADJUDICACIÓN DIRECTA</v>
      </c>
      <c r="M19" s="292" t="str">
        <f>OBRA!P18</f>
        <v>ELECTRIFICACIÓN EN BARRIO DEL RICON EN LA AGENCIA MUNICIPAL DE LAS TROJES</v>
      </c>
      <c r="N19" s="292"/>
      <c r="O19" s="292"/>
      <c r="P19" s="294">
        <f>OBRA!S18</f>
        <v>41501</v>
      </c>
      <c r="Q19" s="293">
        <f>OBRA!R18</f>
        <v>223854.45</v>
      </c>
      <c r="R19" s="293"/>
      <c r="S19" s="295">
        <f>OBRA!T18</f>
        <v>41505</v>
      </c>
      <c r="T19" s="296">
        <f>OBRA!U18</f>
        <v>41547</v>
      </c>
      <c r="U19" s="854"/>
      <c r="V19" s="854" t="s">
        <v>1428</v>
      </c>
      <c r="W19" s="369"/>
      <c r="X19" s="366"/>
      <c r="Y19" s="805">
        <f>OBRA!AR18</f>
        <v>0</v>
      </c>
      <c r="Z19" s="310"/>
      <c r="AA19" s="310"/>
      <c r="AB19" s="295"/>
      <c r="AC19" s="384">
        <f>OBRA!BW18</f>
        <v>0</v>
      </c>
      <c r="AD19" s="353"/>
    </row>
    <row r="20" spans="1:30" s="299" customFormat="1" ht="45.75" hidden="1" customHeight="1">
      <c r="A20" s="305" t="s">
        <v>2206</v>
      </c>
      <c r="B20" s="853" t="str">
        <f>GRAL!B21</f>
        <v>2012-2015</v>
      </c>
      <c r="C20" s="288">
        <f>OBRA!J19</f>
        <v>2013</v>
      </c>
      <c r="D20" s="306" t="str">
        <f>OBRA!M19</f>
        <v>RAMO 33</v>
      </c>
      <c r="E20" s="487" t="s">
        <v>1428</v>
      </c>
      <c r="F20" s="353"/>
      <c r="G20" s="429"/>
      <c r="H20" s="353"/>
      <c r="I20" s="307" t="str">
        <f>OBRA!W19</f>
        <v>C. JOSE LUIS VILLALPANDO GARCIA</v>
      </c>
      <c r="J20" s="304" t="str">
        <f>OBRA!X19</f>
        <v>ING. RIGOBERTO OLMEDO RAMOS</v>
      </c>
      <c r="K20" s="290" t="str">
        <f>OBRA!N19</f>
        <v>GMJ 013C OP/2013</v>
      </c>
      <c r="L20" s="291" t="str">
        <f>OBRA!O19</f>
        <v>ADJUDICACIÓN DIRECTA</v>
      </c>
      <c r="M20" s="292" t="str">
        <f>OBRA!P19</f>
        <v>ELECTRIFICACIÓN EN C. CUAHUTEMOC, EN LA AGENCIA MUNICIPAL DE LAS TROJES</v>
      </c>
      <c r="N20" s="292"/>
      <c r="O20" s="292"/>
      <c r="P20" s="294">
        <f>OBRA!S19</f>
        <v>41501</v>
      </c>
      <c r="Q20" s="293">
        <f>OBRA!R19</f>
        <v>318371.84999999998</v>
      </c>
      <c r="R20" s="293"/>
      <c r="S20" s="295">
        <f>OBRA!T19</f>
        <v>41519</v>
      </c>
      <c r="T20" s="296">
        <f>OBRA!U19</f>
        <v>41573</v>
      </c>
      <c r="U20" s="854"/>
      <c r="V20" s="854" t="s">
        <v>1428</v>
      </c>
      <c r="W20" s="369"/>
      <c r="X20" s="366"/>
      <c r="Y20" s="805">
        <f>OBRA!AR19</f>
        <v>0</v>
      </c>
      <c r="Z20" s="310"/>
      <c r="AA20" s="310"/>
      <c r="AB20" s="295"/>
      <c r="AC20" s="384">
        <f>OBRA!BW19</f>
        <v>0</v>
      </c>
      <c r="AD20" s="353"/>
    </row>
    <row r="21" spans="1:30" ht="30.75" hidden="1" customHeight="1">
      <c r="A21" s="22" t="s">
        <v>2206</v>
      </c>
      <c r="B21" s="809" t="str">
        <f>GRAL!B22</f>
        <v>2012-2015</v>
      </c>
      <c r="C21" s="16">
        <f>OBRA!J20</f>
        <v>2013</v>
      </c>
      <c r="D21" s="17" t="str">
        <f>OBRA!M20</f>
        <v>RAMO 33</v>
      </c>
      <c r="E21" s="487" t="s">
        <v>1428</v>
      </c>
      <c r="F21" s="352"/>
      <c r="G21" s="1"/>
      <c r="H21" s="352"/>
      <c r="I21" s="208" t="str">
        <f>OBRA!W20</f>
        <v>-</v>
      </c>
      <c r="J21" s="231">
        <f>OBRA!X20</f>
        <v>0</v>
      </c>
      <c r="K21" s="19" t="str">
        <f>OBRA!N20</f>
        <v>DOP/AD/028/2013</v>
      </c>
      <c r="L21" s="2" t="str">
        <f>OBRA!O20</f>
        <v>ADMINISTRACIÓN DIRECTA</v>
      </c>
      <c r="M21" s="3" t="str">
        <f>OBRA!P20</f>
        <v>CONST. MURO PERIMETRAL FRACC. MAGISTERIAL CABECERA MUNICIPAL</v>
      </c>
      <c r="N21" s="3"/>
      <c r="O21" s="3"/>
      <c r="P21" s="6">
        <f>OBRA!S20</f>
        <v>41596</v>
      </c>
      <c r="Q21" s="4">
        <f>OBRA!R20</f>
        <v>65000</v>
      </c>
      <c r="R21" s="4"/>
      <c r="S21" s="5">
        <f>OBRA!T20</f>
        <v>41589</v>
      </c>
      <c r="T21" s="11">
        <f>OBRA!U20</f>
        <v>41638</v>
      </c>
      <c r="U21" s="52"/>
      <c r="V21" s="226" t="s">
        <v>1428</v>
      </c>
      <c r="W21" s="105"/>
      <c r="X21" s="53"/>
      <c r="Y21" s="278">
        <f>OBRA!AR20</f>
        <v>0</v>
      </c>
      <c r="Z21" s="309"/>
      <c r="AA21" s="309"/>
      <c r="AB21" s="5"/>
      <c r="AC21" s="317">
        <f>OBRA!BW20</f>
        <v>0</v>
      </c>
      <c r="AD21" s="352"/>
    </row>
    <row r="22" spans="1:30" ht="45.75" hidden="1" customHeight="1">
      <c r="A22" s="22" t="s">
        <v>2206</v>
      </c>
      <c r="B22" s="809" t="str">
        <f>GRAL!B23</f>
        <v>2012-2015</v>
      </c>
      <c r="C22" s="16">
        <f>OBRA!J21</f>
        <v>2013</v>
      </c>
      <c r="D22" s="17" t="str">
        <f>OBRA!M21</f>
        <v>RAMO 33</v>
      </c>
      <c r="E22" s="487" t="s">
        <v>1428</v>
      </c>
      <c r="F22" s="352"/>
      <c r="G22" s="1"/>
      <c r="H22" s="352"/>
      <c r="I22" s="208" t="str">
        <f>OBRA!W21</f>
        <v>-</v>
      </c>
      <c r="J22" s="231">
        <f>OBRA!X21</f>
        <v>0</v>
      </c>
      <c r="K22" s="19" t="str">
        <f>OBRA!N21</f>
        <v>OP/AD/027/2013</v>
      </c>
      <c r="L22" s="2" t="str">
        <f>OBRA!O21</f>
        <v>ADMINISTRACIÓN DIRECTA</v>
      </c>
      <c r="M22" s="3" t="str">
        <f>OBRA!P21</f>
        <v>CASETA DE CONTROL Y CLORACION DEL POZO FRACC. MAGISTERIAL CABECERA MUNICIPAL</v>
      </c>
      <c r="N22" s="3"/>
      <c r="O22" s="3"/>
      <c r="P22" s="87" t="s">
        <v>68</v>
      </c>
      <c r="Q22" s="4" t="str">
        <f>OBRA!R21</f>
        <v>FALTA</v>
      </c>
      <c r="R22" s="4"/>
      <c r="S22" s="88" t="s">
        <v>68</v>
      </c>
      <c r="T22" s="89" t="s">
        <v>68</v>
      </c>
      <c r="U22" s="101"/>
      <c r="V22" s="226" t="s">
        <v>1428</v>
      </c>
      <c r="W22" s="370"/>
      <c r="X22" s="91"/>
      <c r="Y22" s="278">
        <f>OBRA!AR21</f>
        <v>0</v>
      </c>
      <c r="Z22" s="311"/>
      <c r="AA22" s="311"/>
      <c r="AB22" s="88"/>
      <c r="AC22" s="317">
        <f>OBRA!BW21</f>
        <v>0</v>
      </c>
      <c r="AD22" s="352"/>
    </row>
    <row r="23" spans="1:30" s="299" customFormat="1" ht="60.75" hidden="1" customHeight="1">
      <c r="A23" s="305" t="s">
        <v>2206</v>
      </c>
      <c r="B23" s="853" t="str">
        <f>GRAL!B24</f>
        <v>2012-2015</v>
      </c>
      <c r="C23" s="288">
        <f>OBRA!J22</f>
        <v>2013</v>
      </c>
      <c r="D23" s="306" t="str">
        <f>OBRA!M22</f>
        <v>RAMO 33</v>
      </c>
      <c r="E23" s="487" t="s">
        <v>1428</v>
      </c>
      <c r="F23" s="353"/>
      <c r="G23" s="429"/>
      <c r="H23" s="353"/>
      <c r="I23" s="307" t="str">
        <f>OBRA!W22</f>
        <v>C. JUAN MANUEL PALOS VACA</v>
      </c>
      <c r="J23" s="304" t="str">
        <f>OBRA!X22</f>
        <v>ING. ISER RANGEL REVILLA</v>
      </c>
      <c r="K23" s="290" t="str">
        <f>OBRA!N22</f>
        <v>GMJ 020C OP/2013</v>
      </c>
      <c r="L23" s="291" t="str">
        <f>OBRA!O22</f>
        <v>ADJUDICACIÓN DIRECTA</v>
      </c>
      <c r="M23" s="292" t="str">
        <f>OBRA!P22</f>
        <v xml:space="preserve">RENOVACION DE RED DE DRENAJE EN LA CALLE RAMON CORONA ENTRE MORELOS Y LOPEZ COTILLA EN LA DELEGACION DE POTRERILLOS </v>
      </c>
      <c r="N23" s="292"/>
      <c r="O23" s="292"/>
      <c r="P23" s="294">
        <f>OBRA!S22</f>
        <v>41547</v>
      </c>
      <c r="Q23" s="293">
        <f>OBRA!R22</f>
        <v>99364.64</v>
      </c>
      <c r="R23" s="293"/>
      <c r="S23" s="295">
        <f>OBRA!T22</f>
        <v>41548</v>
      </c>
      <c r="T23" s="296">
        <f>OBRA!U22</f>
        <v>41580</v>
      </c>
      <c r="U23" s="854"/>
      <c r="V23" s="854" t="s">
        <v>1428</v>
      </c>
      <c r="W23" s="369"/>
      <c r="X23" s="366"/>
      <c r="Y23" s="805">
        <f>OBRA!AR22</f>
        <v>0</v>
      </c>
      <c r="Z23" s="310"/>
      <c r="AA23" s="310"/>
      <c r="AB23" s="295"/>
      <c r="AC23" s="384">
        <f>OBRA!BW22</f>
        <v>0</v>
      </c>
      <c r="AD23" s="353"/>
    </row>
    <row r="24" spans="1:30" s="299" customFormat="1" ht="75.75" hidden="1" customHeight="1">
      <c r="A24" s="305" t="s">
        <v>2206</v>
      </c>
      <c r="B24" s="853" t="str">
        <f>GRAL!B25</f>
        <v>2012-2015</v>
      </c>
      <c r="C24" s="288">
        <f>OBRA!J23</f>
        <v>2013</v>
      </c>
      <c r="D24" s="306" t="str">
        <f>OBRA!M23</f>
        <v>RAMO 33</v>
      </c>
      <c r="E24" s="487" t="s">
        <v>1428</v>
      </c>
      <c r="F24" s="353"/>
      <c r="G24" s="429"/>
      <c r="H24" s="353"/>
      <c r="I24" s="307" t="str">
        <f>OBRA!W23</f>
        <v>C. JUAN MANUEL PALOS VACA</v>
      </c>
      <c r="J24" s="304" t="str">
        <f>OBRA!X23</f>
        <v>ING. ISER RANGEL REVILLA</v>
      </c>
      <c r="K24" s="290" t="str">
        <f>OBRA!N23</f>
        <v>GMJ 019C OP/2013</v>
      </c>
      <c r="L24" s="291" t="str">
        <f>OBRA!O23</f>
        <v>ADJUDICACIÓN DIRECTA</v>
      </c>
      <c r="M24" s="292" t="str">
        <f>OBRA!P23</f>
        <v xml:space="preserve">PAVIMENTO DE EMPEDRADO AHOGADO EN CEMENTO EN LA CALLE RAMON CORONA ENTRE MORELOS Y LOPEZ COTILLAEN LA DELEGACION DE POTRERILLOS </v>
      </c>
      <c r="N24" s="292"/>
      <c r="O24" s="292"/>
      <c r="P24" s="294">
        <f>OBRA!S23</f>
        <v>41547</v>
      </c>
      <c r="Q24" s="293">
        <f>OBRA!R23</f>
        <v>363453.99</v>
      </c>
      <c r="R24" s="293"/>
      <c r="S24" s="295">
        <f>OBRA!T23</f>
        <v>41548</v>
      </c>
      <c r="T24" s="296">
        <f>OBRA!U23</f>
        <v>41580</v>
      </c>
      <c r="U24" s="854"/>
      <c r="V24" s="854" t="s">
        <v>1428</v>
      </c>
      <c r="W24" s="369"/>
      <c r="X24" s="366"/>
      <c r="Y24" s="805">
        <f>OBRA!AR23</f>
        <v>0</v>
      </c>
      <c r="Z24" s="310"/>
      <c r="AA24" s="310"/>
      <c r="AB24" s="295"/>
      <c r="AC24" s="384">
        <f>OBRA!BW23</f>
        <v>0</v>
      </c>
      <c r="AD24" s="353"/>
    </row>
    <row r="25" spans="1:30" ht="45.75" hidden="1" customHeight="1">
      <c r="A25" s="22" t="s">
        <v>2206</v>
      </c>
      <c r="B25" s="809" t="str">
        <f>GRAL!B26</f>
        <v>2012-2015</v>
      </c>
      <c r="C25" s="16">
        <f>OBRA!J24</f>
        <v>2013</v>
      </c>
      <c r="D25" s="17" t="str">
        <f>OBRA!M24</f>
        <v>RAMO 33</v>
      </c>
      <c r="E25" s="486" t="s">
        <v>1428</v>
      </c>
      <c r="F25" s="352"/>
      <c r="G25" s="1"/>
      <c r="H25" s="352"/>
      <c r="I25" s="208" t="str">
        <f>OBRA!W24</f>
        <v>-</v>
      </c>
      <c r="J25" s="231">
        <f>OBRA!X24</f>
        <v>0</v>
      </c>
      <c r="K25" s="19" t="str">
        <f>OBRA!N24</f>
        <v>DOP/AD/022/2013</v>
      </c>
      <c r="L25" s="2" t="str">
        <f>OBRA!O24</f>
        <v>ADMINISTRACIÓN DIRECTA</v>
      </c>
      <c r="M25" s="3" t="str">
        <f>OBRA!P24</f>
        <v>COLOCACION DE ADOQUIN EN CALLE JUAREZ Y 5 DE MAYO, EN LA LOCALIDAD DE SAN PEDRO TESISTAN</v>
      </c>
      <c r="N25" s="3"/>
      <c r="O25" s="3"/>
      <c r="P25" s="6">
        <f>OBRA!S24</f>
        <v>41599</v>
      </c>
      <c r="Q25" s="4">
        <f>OBRA!R24</f>
        <v>339164.5</v>
      </c>
      <c r="R25" s="4"/>
      <c r="S25" s="5">
        <f>OBRA!T24</f>
        <v>41600</v>
      </c>
      <c r="T25" s="11">
        <f>OBRA!U24</f>
        <v>41623</v>
      </c>
      <c r="U25" s="52"/>
      <c r="V25" s="226" t="s">
        <v>1428</v>
      </c>
      <c r="W25" s="105"/>
      <c r="X25" s="53"/>
      <c r="Y25" s="278">
        <f>OBRA!AR24</f>
        <v>0</v>
      </c>
      <c r="Z25" s="309"/>
      <c r="AA25" s="309"/>
      <c r="AB25" s="5"/>
      <c r="AC25" s="317">
        <f>OBRA!BW24</f>
        <v>0</v>
      </c>
      <c r="AD25" s="352"/>
    </row>
    <row r="26" spans="1:30" ht="45.75" hidden="1" customHeight="1">
      <c r="A26" s="22" t="s">
        <v>2206</v>
      </c>
      <c r="B26" s="809" t="str">
        <f>GRAL!B27</f>
        <v>2012-2015</v>
      </c>
      <c r="C26" s="16">
        <f>OBRA!J25</f>
        <v>2013</v>
      </c>
      <c r="D26" s="17" t="str">
        <f>OBRA!M25</f>
        <v>RAMO 33</v>
      </c>
      <c r="E26" s="487" t="s">
        <v>1428</v>
      </c>
      <c r="F26" s="352"/>
      <c r="G26" s="1"/>
      <c r="H26" s="352"/>
      <c r="I26" s="208" t="str">
        <f>OBRA!W25</f>
        <v>-</v>
      </c>
      <c r="J26" s="231">
        <f>OBRA!X25</f>
        <v>0</v>
      </c>
      <c r="K26" s="19" t="str">
        <f>OBRA!N25</f>
        <v>DOP/AD/023/2013</v>
      </c>
      <c r="L26" s="2" t="str">
        <f>OBRA!O25</f>
        <v>ADMINISTRACIÓN DIRECTA</v>
      </c>
      <c r="M26" s="3" t="str">
        <f>OBRA!P25</f>
        <v>RENOVACION DE AGUA POTABLE, EN C. 16 DE SEPTIEMBRE EN LA AGENCIA MUNICIPAL DE NEXTIPAC</v>
      </c>
      <c r="N26" s="3"/>
      <c r="O26" s="3"/>
      <c r="P26" s="6">
        <f>OBRA!S25</f>
        <v>41593</v>
      </c>
      <c r="Q26" s="4">
        <f>OBRA!R25</f>
        <v>108190</v>
      </c>
      <c r="R26" s="4"/>
      <c r="S26" s="5">
        <f>OBRA!T25</f>
        <v>41596</v>
      </c>
      <c r="T26" s="11">
        <f>OBRA!U25</f>
        <v>41610</v>
      </c>
      <c r="U26" s="52"/>
      <c r="V26" s="226" t="s">
        <v>1428</v>
      </c>
      <c r="W26" s="105"/>
      <c r="X26" s="53"/>
      <c r="Y26" s="278">
        <f>OBRA!AR25</f>
        <v>0</v>
      </c>
      <c r="Z26" s="309"/>
      <c r="AA26" s="309"/>
      <c r="AB26" s="5"/>
      <c r="AC26" s="317">
        <f>OBRA!BW25</f>
        <v>0</v>
      </c>
      <c r="AD26" s="352"/>
    </row>
    <row r="27" spans="1:30" ht="45.75" hidden="1" customHeight="1">
      <c r="A27" s="22" t="s">
        <v>2206</v>
      </c>
      <c r="B27" s="809" t="str">
        <f>GRAL!B28</f>
        <v>2012-2015</v>
      </c>
      <c r="C27" s="16">
        <f>OBRA!J26</f>
        <v>2013</v>
      </c>
      <c r="D27" s="17" t="str">
        <f>OBRA!M26</f>
        <v>RAMO 33</v>
      </c>
      <c r="E27" s="487" t="s">
        <v>1428</v>
      </c>
      <c r="F27" s="352"/>
      <c r="G27" s="1"/>
      <c r="H27" s="352"/>
      <c r="I27" s="208" t="str">
        <f>OBRA!W26</f>
        <v>-</v>
      </c>
      <c r="J27" s="231">
        <f>OBRA!X26</f>
        <v>0</v>
      </c>
      <c r="K27" s="19" t="str">
        <f>OBRA!N26</f>
        <v>DOP/AD/017/2013</v>
      </c>
      <c r="L27" s="2" t="str">
        <f>OBRA!O26</f>
        <v>ADMINISTRACIÓN DIRECTA</v>
      </c>
      <c r="M27" s="3" t="str">
        <f>OBRA!P26</f>
        <v>RENOVACION DE RED DE DRENAJE, EN C. 16 DE SEPTIEMBRE EN LA AGENCIA MUNICIPAL DE NEXTIPAC</v>
      </c>
      <c r="N27" s="3"/>
      <c r="O27" s="3"/>
      <c r="P27" s="6">
        <f>OBRA!S26</f>
        <v>41593</v>
      </c>
      <c r="Q27" s="4">
        <f>OBRA!R26</f>
        <v>120948.09</v>
      </c>
      <c r="R27" s="4"/>
      <c r="S27" s="5">
        <f>OBRA!T26</f>
        <v>41596</v>
      </c>
      <c r="T27" s="11">
        <f>OBRA!U26</f>
        <v>41610</v>
      </c>
      <c r="U27" s="52"/>
      <c r="V27" s="226" t="s">
        <v>1428</v>
      </c>
      <c r="W27" s="105"/>
      <c r="X27" s="53"/>
      <c r="Y27" s="278">
        <f>OBRA!AR26</f>
        <v>0</v>
      </c>
      <c r="Z27" s="309"/>
      <c r="AA27" s="309"/>
      <c r="AB27" s="5"/>
      <c r="AC27" s="317">
        <f>OBRA!BW26</f>
        <v>0</v>
      </c>
      <c r="AD27" s="352"/>
    </row>
    <row r="28" spans="1:30" ht="75.75" hidden="1" customHeight="1">
      <c r="A28" s="22" t="s">
        <v>2206</v>
      </c>
      <c r="B28" s="809" t="str">
        <f>GRAL!B29</f>
        <v>2012-2015</v>
      </c>
      <c r="C28" s="16">
        <f>OBRA!J27</f>
        <v>2013</v>
      </c>
      <c r="D28" s="17" t="str">
        <f>OBRA!M27</f>
        <v>RAMO 33</v>
      </c>
      <c r="E28" s="487" t="s">
        <v>1428</v>
      </c>
      <c r="F28" s="352"/>
      <c r="G28" s="1"/>
      <c r="H28" s="352"/>
      <c r="I28" s="208" t="str">
        <f>OBRA!W27</f>
        <v>-</v>
      </c>
      <c r="J28" s="231">
        <f>OBRA!X27</f>
        <v>0</v>
      </c>
      <c r="K28" s="19" t="str">
        <f>OBRA!N27</f>
        <v>DOP/AD/021/2013</v>
      </c>
      <c r="L28" s="2" t="str">
        <f>OBRA!O27</f>
        <v>ADMINISTRACIÓN DIRECTA</v>
      </c>
      <c r="M28" s="3" t="str">
        <f>OBRA!P27</f>
        <v>REEMPEDRADO NORMALEN CALLE LAZARO CARDENAS ENTRE C. PERO MORENO Y C. 16 DE SEPTIEMPRE, EN LA LOCALIDAD DE ZAPOTITAN DE HIDALGO</v>
      </c>
      <c r="N28" s="3"/>
      <c r="O28" s="3"/>
      <c r="P28" s="6">
        <f>OBRA!S27</f>
        <v>41588</v>
      </c>
      <c r="Q28" s="4">
        <f>OBRA!R27</f>
        <v>150310.03</v>
      </c>
      <c r="R28" s="4"/>
      <c r="S28" s="5">
        <f>OBRA!T27</f>
        <v>41589</v>
      </c>
      <c r="T28" s="11">
        <f>OBRA!U27</f>
        <v>41608</v>
      </c>
      <c r="U28" s="52"/>
      <c r="V28" s="226" t="s">
        <v>1428</v>
      </c>
      <c r="W28" s="105"/>
      <c r="X28" s="53"/>
      <c r="Y28" s="278">
        <f>OBRA!AR27</f>
        <v>0</v>
      </c>
      <c r="Z28" s="309"/>
      <c r="AA28" s="309"/>
      <c r="AB28" s="5"/>
      <c r="AC28" s="317">
        <f>OBRA!BW27</f>
        <v>0</v>
      </c>
      <c r="AD28" s="352"/>
    </row>
    <row r="29" spans="1:30" ht="45.75" hidden="1" customHeight="1">
      <c r="A29" s="22" t="s">
        <v>2206</v>
      </c>
      <c r="B29" s="809" t="str">
        <f>GRAL!B30</f>
        <v>2012-2015</v>
      </c>
      <c r="C29" s="16">
        <f>OBRA!J28</f>
        <v>2013</v>
      </c>
      <c r="D29" s="17" t="str">
        <f>OBRA!M28</f>
        <v>RAMO 33</v>
      </c>
      <c r="E29" s="487" t="s">
        <v>1428</v>
      </c>
      <c r="F29" s="352"/>
      <c r="G29" s="1"/>
      <c r="H29" s="352"/>
      <c r="I29" s="208" t="str">
        <f>OBRA!W28</f>
        <v>-</v>
      </c>
      <c r="J29" s="231">
        <f>OBRA!X28</f>
        <v>0</v>
      </c>
      <c r="K29" s="19" t="str">
        <f>OBRA!N28</f>
        <v>DOP/AD/019/2013</v>
      </c>
      <c r="L29" s="2" t="str">
        <f>OBRA!O28</f>
        <v>ADMINISTRACIÓN DIRECTA</v>
      </c>
      <c r="M29" s="3" t="str">
        <f>OBRA!P28</f>
        <v>REMODELACION DE DELEGACION EN LA POBLACION DE SAN PEDRO TESISTAN</v>
      </c>
      <c r="N29" s="3"/>
      <c r="O29" s="3"/>
      <c r="P29" s="6">
        <f>OBRA!S28</f>
        <v>41502</v>
      </c>
      <c r="Q29" s="4">
        <f>OBRA!R28</f>
        <v>93916.43</v>
      </c>
      <c r="R29" s="4"/>
      <c r="S29" s="5">
        <f>OBRA!T28</f>
        <v>41507</v>
      </c>
      <c r="T29" s="11">
        <f>OBRA!U28</f>
        <v>41545</v>
      </c>
      <c r="U29" s="52"/>
      <c r="V29" s="226" t="s">
        <v>1428</v>
      </c>
      <c r="W29" s="105"/>
      <c r="X29" s="53"/>
      <c r="Y29" s="278">
        <f>OBRA!AR28</f>
        <v>0</v>
      </c>
      <c r="Z29" s="309"/>
      <c r="AA29" s="309"/>
      <c r="AB29" s="5"/>
      <c r="AC29" s="317">
        <f>OBRA!BW28</f>
        <v>0</v>
      </c>
      <c r="AD29" s="352"/>
    </row>
    <row r="30" spans="1:30" ht="60.75" hidden="1" customHeight="1">
      <c r="A30" s="22" t="s">
        <v>2206</v>
      </c>
      <c r="B30" s="809" t="str">
        <f>GRAL!B31</f>
        <v>2012-2015</v>
      </c>
      <c r="C30" s="16">
        <f>OBRA!J29</f>
        <v>2013</v>
      </c>
      <c r="D30" s="17" t="str">
        <f>OBRA!M29</f>
        <v>RAMO 33</v>
      </c>
      <c r="E30" s="487" t="s">
        <v>1428</v>
      </c>
      <c r="F30" s="352"/>
      <c r="G30" s="1"/>
      <c r="H30" s="352"/>
      <c r="I30" s="208" t="str">
        <f>OBRA!W29</f>
        <v>-</v>
      </c>
      <c r="J30" s="231">
        <f>OBRA!X29</f>
        <v>0</v>
      </c>
      <c r="K30" s="19" t="str">
        <f>OBRA!N29</f>
        <v>DOP/AD/024/2013</v>
      </c>
      <c r="L30" s="2" t="str">
        <f>OBRA!O29</f>
        <v>ADMINISTRACIÓN DIRECTA</v>
      </c>
      <c r="M30" s="3" t="str">
        <f>OBRA!P29</f>
        <v>EMPEDRADO AHOGADO EN CEMENTO EN LA CALLE DONATO GUERRA DE CHURUBUSCO HASTA ARROYO EN LA AGENCIA MUNICIPAL DE; LA LOMA</v>
      </c>
      <c r="N30" s="3"/>
      <c r="O30" s="3"/>
      <c r="P30" s="6">
        <f>OBRA!S29</f>
        <v>41614</v>
      </c>
      <c r="Q30" s="4">
        <f>OBRA!R29</f>
        <v>300000</v>
      </c>
      <c r="R30" s="4"/>
      <c r="S30" s="5">
        <f>OBRA!T29</f>
        <v>41617</v>
      </c>
      <c r="T30" s="11">
        <f>OBRA!U29</f>
        <v>41638</v>
      </c>
      <c r="U30" s="52"/>
      <c r="V30" s="226" t="s">
        <v>1428</v>
      </c>
      <c r="W30" s="105"/>
      <c r="X30" s="53"/>
      <c r="Y30" s="278">
        <f>OBRA!AR29</f>
        <v>0</v>
      </c>
      <c r="Z30" s="309"/>
      <c r="AA30" s="309"/>
      <c r="AB30" s="5"/>
      <c r="AC30" s="317">
        <f>OBRA!BW29</f>
        <v>0</v>
      </c>
      <c r="AD30" s="352"/>
    </row>
    <row r="31" spans="1:30" ht="75.75" hidden="1" customHeight="1">
      <c r="A31" s="22" t="s">
        <v>2206</v>
      </c>
      <c r="B31" s="809" t="str">
        <f>GRAL!B32</f>
        <v>2012-2015</v>
      </c>
      <c r="C31" s="16">
        <f>OBRA!J30</f>
        <v>2013</v>
      </c>
      <c r="D31" s="17" t="str">
        <f>OBRA!M30</f>
        <v>RAMO 33</v>
      </c>
      <c r="E31" s="487" t="s">
        <v>1428</v>
      </c>
      <c r="F31" s="352"/>
      <c r="G31" s="1"/>
      <c r="H31" s="352"/>
      <c r="I31" s="208" t="str">
        <f>OBRA!W30</f>
        <v>-</v>
      </c>
      <c r="J31" s="231">
        <f>OBRA!X30</f>
        <v>0</v>
      </c>
      <c r="K31" s="19" t="str">
        <f>OBRA!N30</f>
        <v>DOP/AD/026/2013</v>
      </c>
      <c r="L31" s="2" t="str">
        <f>OBRA!O30</f>
        <v>ADMINISTRACIÓN DIRECTA</v>
      </c>
      <c r="M31" s="3" t="str">
        <f>OBRA!P30</f>
        <v>CONSTRUCCION DE RED DE AGUA POTABLE EN LA CALLE DONATO GUERRA DE CHURUBUSCO HASTA ARROYO, EN LA AGENCIA MUNICIPAL DE; LA LOMA</v>
      </c>
      <c r="N31" s="3"/>
      <c r="O31" s="3"/>
      <c r="P31" s="6">
        <f>OBRA!S30</f>
        <v>41614</v>
      </c>
      <c r="Q31" s="4">
        <f>OBRA!R30</f>
        <v>51673.18</v>
      </c>
      <c r="R31" s="4"/>
      <c r="S31" s="5">
        <f>OBRA!T30</f>
        <v>41617</v>
      </c>
      <c r="T31" s="11">
        <f>OBRA!U30</f>
        <v>41638</v>
      </c>
      <c r="U31" s="52"/>
      <c r="V31" s="226" t="s">
        <v>1428</v>
      </c>
      <c r="W31" s="105"/>
      <c r="X31" s="53"/>
      <c r="Y31" s="278">
        <f>OBRA!AR30</f>
        <v>0</v>
      </c>
      <c r="Z31" s="309"/>
      <c r="AA31" s="309"/>
      <c r="AB31" s="5"/>
      <c r="AC31" s="317">
        <f>OBRA!BW30</f>
        <v>0</v>
      </c>
      <c r="AD31" s="352"/>
    </row>
    <row r="32" spans="1:30" ht="60.75" hidden="1" customHeight="1">
      <c r="A32" s="22" t="s">
        <v>2206</v>
      </c>
      <c r="B32" s="809" t="str">
        <f>GRAL!B33</f>
        <v>2012-2015</v>
      </c>
      <c r="C32" s="16">
        <f>OBRA!J31</f>
        <v>2013</v>
      </c>
      <c r="D32" s="17" t="str">
        <f>OBRA!M31</f>
        <v>RAMO 33</v>
      </c>
      <c r="E32" s="487" t="s">
        <v>1428</v>
      </c>
      <c r="F32" s="352"/>
      <c r="G32" s="1"/>
      <c r="H32" s="352"/>
      <c r="I32" s="208" t="str">
        <f>OBRA!W31</f>
        <v>-</v>
      </c>
      <c r="J32" s="231">
        <f>OBRA!X31</f>
        <v>0</v>
      </c>
      <c r="K32" s="19" t="str">
        <f>OBRA!N31</f>
        <v>DOP/AD/025/2013</v>
      </c>
      <c r="L32" s="2" t="str">
        <f>OBRA!O31</f>
        <v>ADMINISTRACIÓN DIRECTA</v>
      </c>
      <c r="M32" s="3" t="str">
        <f>OBRA!P31</f>
        <v>CONSTRUCCION DE DRENAJE, EN LA C. DONATO GUERRA DE CHURUBUSCO HASTA EL ARROYO EN LA AGENCIA MUNICIPAL DE LA LOMA</v>
      </c>
      <c r="N32" s="3"/>
      <c r="O32" s="3"/>
      <c r="P32" s="6">
        <f>OBRA!S31</f>
        <v>41614</v>
      </c>
      <c r="Q32" s="4">
        <f>OBRA!R31</f>
        <v>63457.87</v>
      </c>
      <c r="R32" s="4"/>
      <c r="S32" s="5">
        <f>OBRA!T31</f>
        <v>41617</v>
      </c>
      <c r="T32" s="11">
        <f>OBRA!U31</f>
        <v>41638</v>
      </c>
      <c r="U32" s="52"/>
      <c r="V32" s="226" t="s">
        <v>1428</v>
      </c>
      <c r="W32" s="105"/>
      <c r="X32" s="53"/>
      <c r="Y32" s="278">
        <f>OBRA!AR31</f>
        <v>0</v>
      </c>
      <c r="Z32" s="309"/>
      <c r="AA32" s="309"/>
      <c r="AB32" s="5"/>
      <c r="AC32" s="317">
        <f>OBRA!BW31</f>
        <v>0</v>
      </c>
      <c r="AD32" s="352"/>
    </row>
    <row r="33" spans="1:30" ht="45.75" hidden="1" customHeight="1">
      <c r="A33" s="22" t="s">
        <v>2206</v>
      </c>
      <c r="B33" s="809" t="str">
        <f>GRAL!B34</f>
        <v>2012-2015</v>
      </c>
      <c r="C33" s="16">
        <f>OBRA!J32</f>
        <v>2013</v>
      </c>
      <c r="D33" s="17" t="str">
        <f>OBRA!M32</f>
        <v>RAMO 33</v>
      </c>
      <c r="E33" s="486" t="s">
        <v>1428</v>
      </c>
      <c r="F33" s="352"/>
      <c r="G33" s="1"/>
      <c r="H33" s="352"/>
      <c r="I33" s="208" t="str">
        <f>OBRA!W32</f>
        <v>-</v>
      </c>
      <c r="J33" s="231">
        <f>OBRA!X32</f>
        <v>0</v>
      </c>
      <c r="K33" s="19" t="str">
        <f>OBRA!N32</f>
        <v>DOP/AD/008/2013</v>
      </c>
      <c r="L33" s="2" t="str">
        <f>OBRA!O32</f>
        <v>ADMINISTRACIÓN DIRECTA</v>
      </c>
      <c r="M33" s="3" t="str">
        <f>OBRA!P32</f>
        <v>EMPEDRADO NORMAL, EN C. 16 DE SEPTIEMBRE EN LA AGENCIA MUNICIPAL DE NEXTIPAC</v>
      </c>
      <c r="N33" s="3"/>
      <c r="O33" s="3"/>
      <c r="P33" s="6">
        <f>OBRA!S32</f>
        <v>41600</v>
      </c>
      <c r="Q33" s="4">
        <f>OBRA!R32</f>
        <v>387451.67</v>
      </c>
      <c r="R33" s="4"/>
      <c r="S33" s="5">
        <f>OBRA!T32</f>
        <v>41603</v>
      </c>
      <c r="T33" s="11">
        <f>OBRA!U32</f>
        <v>41608</v>
      </c>
      <c r="U33" s="52"/>
      <c r="V33" s="226" t="s">
        <v>1428</v>
      </c>
      <c r="W33" s="105"/>
      <c r="X33" s="53"/>
      <c r="Y33" s="278">
        <f>OBRA!AR32</f>
        <v>0</v>
      </c>
      <c r="Z33" s="309"/>
      <c r="AA33" s="309"/>
      <c r="AB33" s="5"/>
      <c r="AC33" s="317">
        <f>OBRA!BW32</f>
        <v>0</v>
      </c>
      <c r="AD33" s="352"/>
    </row>
    <row r="34" spans="1:30" s="299" customFormat="1" ht="60.75" hidden="1" customHeight="1">
      <c r="A34" s="305" t="s">
        <v>2206</v>
      </c>
      <c r="B34" s="853" t="str">
        <f>GRAL!B35</f>
        <v>2012-2015</v>
      </c>
      <c r="C34" s="288">
        <f>OBRA!J33</f>
        <v>2013</v>
      </c>
      <c r="D34" s="306" t="str">
        <f>OBRA!M33</f>
        <v>Resc Esp Pub</v>
      </c>
      <c r="E34" s="487"/>
      <c r="F34" s="353"/>
      <c r="G34" s="429"/>
      <c r="H34" s="353"/>
      <c r="I34" s="307" t="str">
        <f>OBRA!W33</f>
        <v>KARLAY S.A. DE S.V.</v>
      </c>
      <c r="J34" s="304" t="str">
        <f>OBRA!X33</f>
        <v>C. DANIEL RODRIGUEZ VALENZUELA</v>
      </c>
      <c r="K34" s="290" t="str">
        <f>OBRA!N33</f>
        <v>GMJ 021C OP/2013</v>
      </c>
      <c r="L34" s="291" t="str">
        <f>OBRA!O33</f>
        <v>ADJUDICACIÓN DIRECTA</v>
      </c>
      <c r="M34" s="292" t="str">
        <f>OBRA!P33</f>
        <v>RESCATE DE LA UNIDAD DEPORTIVA ZARAGOZA, EN LA CABECERA MUNICIPAL, DEL MUNICIPIO DE JOCOTEPEC, JALISCO</v>
      </c>
      <c r="N34" s="292"/>
      <c r="O34" s="292"/>
      <c r="P34" s="294">
        <f>OBRA!S33</f>
        <v>41547</v>
      </c>
      <c r="Q34" s="293">
        <f>OBRA!R33</f>
        <v>1299999</v>
      </c>
      <c r="R34" s="293"/>
      <c r="S34" s="295">
        <f>OBRA!T33</f>
        <v>41547</v>
      </c>
      <c r="T34" s="296">
        <f>OBRA!U33</f>
        <v>41608</v>
      </c>
      <c r="U34" s="854"/>
      <c r="V34" s="854" t="s">
        <v>1428</v>
      </c>
      <c r="W34" s="369"/>
      <c r="X34" s="366"/>
      <c r="Y34" s="805">
        <f>OBRA!AR33</f>
        <v>0</v>
      </c>
      <c r="Z34" s="310"/>
      <c r="AA34" s="310"/>
      <c r="AB34" s="295"/>
      <c r="AC34" s="384">
        <f>OBRA!BW33</f>
        <v>0</v>
      </c>
      <c r="AD34" s="353"/>
    </row>
    <row r="35" spans="1:30" ht="75.75" hidden="1" customHeight="1">
      <c r="A35" s="22" t="s">
        <v>2206</v>
      </c>
      <c r="B35" s="809" t="str">
        <f>GRAL!B36</f>
        <v>2012-2015</v>
      </c>
      <c r="C35" s="16">
        <f>OBRA!J34</f>
        <v>2013</v>
      </c>
      <c r="D35" s="17" t="str">
        <f>OBRA!M34</f>
        <v>3X1 PARA MIGRANTES</v>
      </c>
      <c r="E35" s="478"/>
      <c r="F35" s="352"/>
      <c r="G35" s="1"/>
      <c r="H35" s="352"/>
      <c r="I35" s="208" t="str">
        <f>OBRA!W34</f>
        <v>-</v>
      </c>
      <c r="J35" s="231">
        <f>OBRA!X34</f>
        <v>0</v>
      </c>
      <c r="K35" s="19" t="str">
        <f>OBRA!N34</f>
        <v>DOP/AD/030/2013</v>
      </c>
      <c r="L35" s="2" t="str">
        <f>OBRA!O34</f>
        <v>ADMINISTRACIÓN DIRECTA</v>
      </c>
      <c r="M35" s="3" t="str">
        <f>OBRA!P34</f>
        <v>REHABILITACIÓN DE RED DE AGUA POTBLE EN C. VICENTE GUERRERO, DE CARR. FED. #15 HASTA ZONA FEDERAL (LAGO) EN LA DELEGACIÓN DE SAN PEDRO TESISTAN</v>
      </c>
      <c r="N35" s="3"/>
      <c r="O35" s="3"/>
      <c r="P35" s="6">
        <f>OBRA!S34</f>
        <v>41617</v>
      </c>
      <c r="Q35" s="4">
        <f>OBRA!R34</f>
        <v>125188</v>
      </c>
      <c r="R35" s="4"/>
      <c r="S35" s="5">
        <f>OBRA!T34</f>
        <v>41612</v>
      </c>
      <c r="T35" s="11">
        <f>OBRA!U34</f>
        <v>41638</v>
      </c>
      <c r="U35" s="52"/>
      <c r="V35" s="226" t="s">
        <v>1428</v>
      </c>
      <c r="W35" s="105"/>
      <c r="X35" s="53"/>
      <c r="Y35" s="278">
        <f>OBRA!AR34</f>
        <v>0</v>
      </c>
      <c r="Z35" s="309"/>
      <c r="AA35" s="309"/>
      <c r="AB35" s="5"/>
      <c r="AC35" s="317">
        <f>OBRA!BW34</f>
        <v>0</v>
      </c>
      <c r="AD35" s="352"/>
    </row>
    <row r="36" spans="1:30" ht="75.75" hidden="1" customHeight="1">
      <c r="A36" s="22" t="s">
        <v>2206</v>
      </c>
      <c r="B36" s="809" t="str">
        <f>GRAL!B37</f>
        <v>2012-2015</v>
      </c>
      <c r="C36" s="16">
        <f>OBRA!J35</f>
        <v>2013</v>
      </c>
      <c r="D36" s="17" t="str">
        <f>OBRA!M35</f>
        <v>CUENTA CORRIENTE</v>
      </c>
      <c r="E36" s="478" t="s">
        <v>1428</v>
      </c>
      <c r="F36" s="352"/>
      <c r="G36" s="1"/>
      <c r="H36" s="352"/>
      <c r="I36" s="208" t="str">
        <f>OBRA!W35</f>
        <v>-</v>
      </c>
      <c r="J36" s="231">
        <f>OBRA!X35</f>
        <v>0</v>
      </c>
      <c r="K36" s="19" t="str">
        <f>OBRA!N35</f>
        <v>DOP/AD/001/2013</v>
      </c>
      <c r="L36" s="2" t="str">
        <f>OBRA!O35</f>
        <v>ADMINISTRACIÓN DIRECTA</v>
      </c>
      <c r="M36" s="3" t="str">
        <f>OBRA!P35</f>
        <v>REHABILITACIÓN DE RED DE AGUA POTABLE EN C.  FRANCISCO I. MADERO ENTRE ITURBIDE Y VICENTE GUERRERO EN L LOCALIDAD DE; SAN JUAN COSALA</v>
      </c>
      <c r="N36" s="3"/>
      <c r="O36" s="3"/>
      <c r="P36" s="6">
        <f>OBRA!S35</f>
        <v>41447</v>
      </c>
      <c r="Q36" s="4">
        <f>OBRA!R35</f>
        <v>75847.88</v>
      </c>
      <c r="R36" s="4"/>
      <c r="S36" s="5">
        <f>OBRA!T35</f>
        <v>41447</v>
      </c>
      <c r="T36" s="11">
        <f>OBRA!U35</f>
        <v>41460</v>
      </c>
      <c r="U36" s="52"/>
      <c r="V36" s="226" t="s">
        <v>1428</v>
      </c>
      <c r="W36" s="105"/>
      <c r="X36" s="53"/>
      <c r="Y36" s="278">
        <f>OBRA!AR35</f>
        <v>0</v>
      </c>
      <c r="Z36" s="309"/>
      <c r="AA36" s="309"/>
      <c r="AB36" s="5"/>
      <c r="AC36" s="317">
        <f>OBRA!BW35</f>
        <v>0</v>
      </c>
      <c r="AD36" s="352"/>
    </row>
    <row r="37" spans="1:30" ht="75.75" hidden="1" customHeight="1">
      <c r="A37" s="22" t="s">
        <v>2206</v>
      </c>
      <c r="B37" s="809" t="str">
        <f>GRAL!B38</f>
        <v>2012-2015</v>
      </c>
      <c r="C37" s="16">
        <f>OBRA!J36</f>
        <v>2013</v>
      </c>
      <c r="D37" s="17" t="str">
        <f>OBRA!M36</f>
        <v>CUENTA CORRIENTE</v>
      </c>
      <c r="E37" s="478" t="s">
        <v>1428</v>
      </c>
      <c r="F37" s="352"/>
      <c r="G37" s="1"/>
      <c r="H37" s="352"/>
      <c r="I37" s="208" t="str">
        <f>OBRA!W36</f>
        <v>-</v>
      </c>
      <c r="J37" s="231">
        <f>OBRA!X36</f>
        <v>0</v>
      </c>
      <c r="K37" s="19" t="str">
        <f>OBRA!N36</f>
        <v>DOP/AD/002/2013</v>
      </c>
      <c r="L37" s="2" t="str">
        <f>OBRA!O36</f>
        <v>ADMINISTRACIÓN DIRECTA</v>
      </c>
      <c r="M37" s="3" t="str">
        <f>OBRA!P36</f>
        <v>BACHEO DE EMPEDRADO NORMAL EN ZANJA EN  C. FRANCISCO I. MADERO ENTRE ITURBIDE Y VICENTE GUERRERO EN LA LOCALIDAD DE SAN JUAN COSALA</v>
      </c>
      <c r="N37" s="3"/>
      <c r="O37" s="3"/>
      <c r="P37" s="6">
        <f>OBRA!S36</f>
        <v>41446</v>
      </c>
      <c r="Q37" s="4">
        <f>OBRA!R36</f>
        <v>38585.949999999997</v>
      </c>
      <c r="R37" s="4"/>
      <c r="S37" s="5">
        <f>OBRA!T36</f>
        <v>41446</v>
      </c>
      <c r="T37" s="11">
        <f>OBRA!U36</f>
        <v>41453</v>
      </c>
      <c r="U37" s="52"/>
      <c r="V37" s="226" t="s">
        <v>1428</v>
      </c>
      <c r="W37" s="105"/>
      <c r="X37" s="53"/>
      <c r="Y37" s="278">
        <f>OBRA!AR36</f>
        <v>0</v>
      </c>
      <c r="Z37" s="309"/>
      <c r="AA37" s="309"/>
      <c r="AB37" s="5"/>
      <c r="AC37" s="317">
        <f>OBRA!BW36</f>
        <v>0</v>
      </c>
      <c r="AD37" s="352"/>
    </row>
    <row r="38" spans="1:30" ht="45.75" hidden="1" customHeight="1">
      <c r="A38" s="22" t="s">
        <v>2206</v>
      </c>
      <c r="B38" s="809" t="str">
        <f>GRAL!B39</f>
        <v>2012-2015</v>
      </c>
      <c r="C38" s="16">
        <f>OBRA!J37</f>
        <v>2013</v>
      </c>
      <c r="D38" s="17" t="str">
        <f>OBRA!M37</f>
        <v>CUENTA CORRIENTE</v>
      </c>
      <c r="E38" s="478" t="s">
        <v>1428</v>
      </c>
      <c r="F38" s="352"/>
      <c r="G38" s="1"/>
      <c r="H38" s="352"/>
      <c r="I38" s="208" t="str">
        <f>OBRA!W37</f>
        <v>-</v>
      </c>
      <c r="J38" s="231">
        <f>OBRA!X37</f>
        <v>0</v>
      </c>
      <c r="K38" s="19" t="str">
        <f>OBRA!N37</f>
        <v>DOP/AD/003/2013</v>
      </c>
      <c r="L38" s="2" t="str">
        <f>OBRA!O37</f>
        <v>ADMINISTRACIÓN DIRECTA</v>
      </c>
      <c r="M38" s="3" t="str">
        <f>OBRA!P37</f>
        <v>EMPEDRADO AHOGADO EN PRIVADA MATAMOROS EN L LOCALIDAD DE SAN JUAN COSALA</v>
      </c>
      <c r="N38" s="3"/>
      <c r="O38" s="3"/>
      <c r="P38" s="6">
        <f>OBRA!S37</f>
        <v>41446</v>
      </c>
      <c r="Q38" s="4">
        <f>OBRA!R37</f>
        <v>396797.76</v>
      </c>
      <c r="R38" s="4"/>
      <c r="S38" s="5">
        <f>OBRA!T37</f>
        <v>41446</v>
      </c>
      <c r="T38" s="11">
        <f>OBRA!U37</f>
        <v>41460</v>
      </c>
      <c r="U38" s="52"/>
      <c r="V38" s="226" t="s">
        <v>1428</v>
      </c>
      <c r="W38" s="105"/>
      <c r="X38" s="53"/>
      <c r="Y38" s="278">
        <f>OBRA!AR37</f>
        <v>0</v>
      </c>
      <c r="Z38" s="309"/>
      <c r="AA38" s="309"/>
      <c r="AB38" s="5"/>
      <c r="AC38" s="317">
        <f>OBRA!BW37</f>
        <v>0</v>
      </c>
      <c r="AD38" s="352"/>
    </row>
    <row r="39" spans="1:30" ht="45.75" hidden="1" customHeight="1">
      <c r="A39" s="22" t="s">
        <v>2206</v>
      </c>
      <c r="B39" s="809" t="str">
        <f>GRAL!B40</f>
        <v>2012-2015</v>
      </c>
      <c r="C39" s="16">
        <f>OBRA!J38</f>
        <v>2013</v>
      </c>
      <c r="D39" s="17" t="str">
        <f>OBRA!M38</f>
        <v>CUENTA CORRIENTE</v>
      </c>
      <c r="E39" s="478" t="s">
        <v>1428</v>
      </c>
      <c r="F39" s="352"/>
      <c r="G39" s="1"/>
      <c r="H39" s="352"/>
      <c r="I39" s="208" t="str">
        <f>OBRA!W38</f>
        <v>-</v>
      </c>
      <c r="J39" s="231">
        <f>OBRA!X38</f>
        <v>0</v>
      </c>
      <c r="K39" s="19" t="str">
        <f>OBRA!N38</f>
        <v>DOP/AD/004/2013</v>
      </c>
      <c r="L39" s="2" t="str">
        <f>OBRA!O38</f>
        <v>ADMINISTRACIÓN DIRECTA</v>
      </c>
      <c r="M39" s="3" t="str">
        <f>OBRA!P38</f>
        <v>DESASOLVES PREVENTIVOS PARA EVITAR INUNDCIONES EN CBECERA Y SUS LOCALIDADES</v>
      </c>
      <c r="N39" s="3"/>
      <c r="O39" s="3"/>
      <c r="P39" s="6">
        <f>OBRA!S38</f>
        <v>41449</v>
      </c>
      <c r="Q39" s="4">
        <f>OBRA!R38</f>
        <v>300000</v>
      </c>
      <c r="R39" s="4"/>
      <c r="S39" s="5">
        <f>OBRA!T38</f>
        <v>41449</v>
      </c>
      <c r="T39" s="11">
        <f>OBRA!U38</f>
        <v>41517</v>
      </c>
      <c r="U39" s="52"/>
      <c r="V39" s="226" t="s">
        <v>1428</v>
      </c>
      <c r="W39" s="105"/>
      <c r="X39" s="53"/>
      <c r="Y39" s="278">
        <f>OBRA!AR38</f>
        <v>0</v>
      </c>
      <c r="Z39" s="309"/>
      <c r="AA39" s="309"/>
      <c r="AB39" s="5"/>
      <c r="AC39" s="317">
        <f>OBRA!BW38</f>
        <v>0</v>
      </c>
      <c r="AD39" s="352"/>
    </row>
    <row r="40" spans="1:30" ht="45.75" hidden="1" customHeight="1">
      <c r="A40" s="22" t="s">
        <v>2206</v>
      </c>
      <c r="B40" s="809" t="str">
        <f>GRAL!B41</f>
        <v>2012-2015</v>
      </c>
      <c r="C40" s="16">
        <f>OBRA!J39</f>
        <v>2013</v>
      </c>
      <c r="D40" s="17" t="str">
        <f>OBRA!M39</f>
        <v>CUENTA CORRIENTE</v>
      </c>
      <c r="E40" s="478" t="s">
        <v>1428</v>
      </c>
      <c r="F40" s="352"/>
      <c r="G40" s="1"/>
      <c r="H40" s="352"/>
      <c r="I40" s="208" t="str">
        <f>OBRA!W39</f>
        <v>-</v>
      </c>
      <c r="J40" s="231">
        <f>OBRA!X39</f>
        <v>0</v>
      </c>
      <c r="K40" s="19" t="str">
        <f>OBRA!N39</f>
        <v>DOP/AD/012/2013</v>
      </c>
      <c r="L40" s="2" t="str">
        <f>OBRA!O39</f>
        <v>ADMINISTRACIÓN DIRECTA</v>
      </c>
      <c r="M40" s="3" t="str">
        <f>OBRA!P39</f>
        <v>REMODELACION DE FACHADA EN ZONA CENTRO 1ª ETAPA, EN LA  CABECERA MUNICIPAL</v>
      </c>
      <c r="N40" s="3"/>
      <c r="O40" s="3"/>
      <c r="P40" s="87" t="s">
        <v>68</v>
      </c>
      <c r="Q40" s="4">
        <f>OBRA!R39</f>
        <v>0</v>
      </c>
      <c r="R40" s="4"/>
      <c r="S40" s="88" t="s">
        <v>68</v>
      </c>
      <c r="T40" s="89" t="s">
        <v>68</v>
      </c>
      <c r="U40" s="101"/>
      <c r="V40" s="226" t="s">
        <v>1428</v>
      </c>
      <c r="W40" s="370"/>
      <c r="X40" s="91"/>
      <c r="Y40" s="278">
        <f>OBRA!AR39</f>
        <v>0</v>
      </c>
      <c r="Z40" s="311"/>
      <c r="AA40" s="311"/>
      <c r="AB40" s="88"/>
      <c r="AC40" s="317">
        <f>OBRA!BW39</f>
        <v>0</v>
      </c>
      <c r="AD40" s="352"/>
    </row>
    <row r="41" spans="1:30" ht="30.75" hidden="1" customHeight="1">
      <c r="A41" s="22" t="s">
        <v>2206</v>
      </c>
      <c r="B41" s="809" t="str">
        <f>GRAL!B42</f>
        <v>2012-2015</v>
      </c>
      <c r="C41" s="16">
        <f>OBRA!J40</f>
        <v>2013</v>
      </c>
      <c r="D41" s="17" t="str">
        <f>OBRA!M40</f>
        <v>CUENTA CORRIENTE</v>
      </c>
      <c r="E41" s="478" t="s">
        <v>1428</v>
      </c>
      <c r="F41" s="352"/>
      <c r="G41" s="1"/>
      <c r="H41" s="352"/>
      <c r="I41" s="208" t="str">
        <f>OBRA!W40</f>
        <v>-</v>
      </c>
      <c r="J41" s="231">
        <f>OBRA!X40</f>
        <v>0</v>
      </c>
      <c r="K41" s="19" t="str">
        <f>OBRA!N40</f>
        <v>DOP/AD/013/2013</v>
      </c>
      <c r="L41" s="2" t="str">
        <f>OBRA!O40</f>
        <v>ADMINISTRACIÓN DIRECTA</v>
      </c>
      <c r="M41" s="3" t="str">
        <f>OBRA!P40</f>
        <v>CONST. DE LOCAL COMERCIAL MALECON CABECERA MUNICIPAL</v>
      </c>
      <c r="N41" s="3"/>
      <c r="O41" s="3"/>
      <c r="P41" s="6">
        <f>OBRA!S40</f>
        <v>41463</v>
      </c>
      <c r="Q41" s="4">
        <f>OBRA!R40</f>
        <v>60000</v>
      </c>
      <c r="R41" s="4"/>
      <c r="S41" s="5">
        <f>OBRA!T40</f>
        <v>41433</v>
      </c>
      <c r="T41" s="11">
        <f>OBRA!U40</f>
        <v>41501</v>
      </c>
      <c r="U41" s="52"/>
      <c r="V41" s="226" t="s">
        <v>1428</v>
      </c>
      <c r="W41" s="105"/>
      <c r="X41" s="53"/>
      <c r="Y41" s="278">
        <f>OBRA!AR40</f>
        <v>0</v>
      </c>
      <c r="Z41" s="309"/>
      <c r="AA41" s="309"/>
      <c r="AB41" s="5"/>
      <c r="AC41" s="317">
        <f>OBRA!BW40</f>
        <v>0</v>
      </c>
      <c r="AD41" s="352"/>
    </row>
    <row r="42" spans="1:30" ht="30.75" hidden="1" customHeight="1">
      <c r="A42" s="22" t="s">
        <v>2206</v>
      </c>
      <c r="B42" s="809" t="str">
        <f>GRAL!B43</f>
        <v>2012-2015</v>
      </c>
      <c r="C42" s="16">
        <f>OBRA!J41</f>
        <v>2013</v>
      </c>
      <c r="D42" s="17" t="str">
        <f>OBRA!M41</f>
        <v>CUENTA CORRIENTE</v>
      </c>
      <c r="E42" s="478" t="s">
        <v>1428</v>
      </c>
      <c r="F42" s="352"/>
      <c r="G42" s="1"/>
      <c r="H42" s="352"/>
      <c r="I42" s="208" t="str">
        <f>OBRA!W41</f>
        <v>-</v>
      </c>
      <c r="J42" s="231">
        <f>OBRA!X41</f>
        <v>0</v>
      </c>
      <c r="K42" s="19" t="str">
        <f>OBRA!N41</f>
        <v>DOP/AD/028/2013</v>
      </c>
      <c r="L42" s="2" t="str">
        <f>OBRA!O41</f>
        <v>ADMINISTRACIÓN DIRECTA</v>
      </c>
      <c r="M42" s="3" t="str">
        <f>OBRA!P41</f>
        <v>CONST. MURO PERIMETRAL FRACC. MAGISTERIAL CABECERA MUNICIPAL</v>
      </c>
      <c r="N42" s="3"/>
      <c r="O42" s="3"/>
      <c r="P42" s="6">
        <f>OBRA!S41</f>
        <v>41596</v>
      </c>
      <c r="Q42" s="4">
        <f>OBRA!R41</f>
        <v>65000</v>
      </c>
      <c r="R42" s="4"/>
      <c r="S42" s="5">
        <f>OBRA!T41</f>
        <v>41589</v>
      </c>
      <c r="T42" s="11">
        <f>OBRA!U41</f>
        <v>41638</v>
      </c>
      <c r="U42" s="52"/>
      <c r="V42" s="226" t="s">
        <v>1428</v>
      </c>
      <c r="W42" s="105"/>
      <c r="X42" s="53"/>
      <c r="Y42" s="278">
        <f>OBRA!AR41</f>
        <v>0</v>
      </c>
      <c r="Z42" s="309"/>
      <c r="AA42" s="309"/>
      <c r="AB42" s="5"/>
      <c r="AC42" s="317">
        <f>OBRA!BW41</f>
        <v>0</v>
      </c>
      <c r="AD42" s="352"/>
    </row>
    <row r="43" spans="1:30" ht="45.75" hidden="1" customHeight="1">
      <c r="A43" s="22" t="s">
        <v>2206</v>
      </c>
      <c r="B43" s="809" t="str">
        <f>GRAL!B44</f>
        <v>2012-2015</v>
      </c>
      <c r="C43" s="16">
        <f>OBRA!J42</f>
        <v>2013</v>
      </c>
      <c r="D43" s="17" t="str">
        <f>OBRA!M42</f>
        <v>CUENTA CORRIENTE</v>
      </c>
      <c r="E43" s="478" t="s">
        <v>1428</v>
      </c>
      <c r="F43" s="352"/>
      <c r="G43" s="1"/>
      <c r="H43" s="352"/>
      <c r="I43" s="208" t="str">
        <f>OBRA!W42</f>
        <v>BRAILOGA CONSTRUCTORES S.A. DE C.V.</v>
      </c>
      <c r="J43" s="231" t="str">
        <f>OBRA!X42</f>
        <v>ING. RIGOBERTO OLMEDO RAMOS</v>
      </c>
      <c r="K43" s="19" t="str">
        <f>OBRA!N42</f>
        <v>GMJ 001C OP/2013</v>
      </c>
      <c r="L43" s="2" t="str">
        <f>OBRA!O42</f>
        <v>INVITACIÓN</v>
      </c>
      <c r="M43" s="3" t="str">
        <f>OBRA!P42</f>
        <v>TERMINACION DEL CENTRO DE SALUD, EN LA POBLACION LAS TROJES</v>
      </c>
      <c r="N43" s="3"/>
      <c r="O43" s="3"/>
      <c r="P43" s="6">
        <f>OBRA!S42</f>
        <v>41278</v>
      </c>
      <c r="Q43" s="4">
        <f>OBRA!R42</f>
        <v>977397.28</v>
      </c>
      <c r="R43" s="4"/>
      <c r="S43" s="5">
        <f>OBRA!T42</f>
        <v>41316</v>
      </c>
      <c r="T43" s="11">
        <f>OBRA!U42</f>
        <v>41394</v>
      </c>
      <c r="U43" s="52"/>
      <c r="V43" s="226" t="s">
        <v>1428</v>
      </c>
      <c r="W43" s="105"/>
      <c r="X43" s="53"/>
      <c r="Y43" s="278">
        <f>OBRA!AR42</f>
        <v>0</v>
      </c>
      <c r="Z43" s="309"/>
      <c r="AA43" s="309"/>
      <c r="AB43" s="5"/>
      <c r="AC43" s="317">
        <f>OBRA!BW42</f>
        <v>0</v>
      </c>
      <c r="AD43" s="352"/>
    </row>
    <row r="44" spans="1:30" s="299" customFormat="1" ht="75.75" hidden="1" customHeight="1">
      <c r="A44" s="305" t="s">
        <v>2206</v>
      </c>
      <c r="B44" s="853" t="str">
        <f>GRAL!B45</f>
        <v>2012-2015</v>
      </c>
      <c r="C44" s="288">
        <f>OBRA!J43</f>
        <v>2013</v>
      </c>
      <c r="D44" s="306" t="str">
        <f>OBRA!M43</f>
        <v>CUENTA CORRIENTE</v>
      </c>
      <c r="E44" s="486" t="s">
        <v>1428</v>
      </c>
      <c r="F44" s="353"/>
      <c r="G44" s="429"/>
      <c r="H44" s="353"/>
      <c r="I44" s="307" t="str">
        <f>OBRA!W43</f>
        <v>BRAILOGA CONSTRUCTORES S.A. DE C.V.</v>
      </c>
      <c r="J44" s="304" t="str">
        <f>OBRA!X43</f>
        <v>ING. LUIS JOEL HUERTA LOMA</v>
      </c>
      <c r="K44" s="290" t="str">
        <f>OBRA!N43</f>
        <v>GMJ 003C OP/2013</v>
      </c>
      <c r="L44" s="291" t="str">
        <f>OBRA!O43</f>
        <v>ADJUDICACIÓN DIRECTA</v>
      </c>
      <c r="M44" s="292" t="str">
        <f>OBRA!P43</f>
        <v>ELABORACION DE TOPES EN CARRETERA A CHAPALA Y BACHEO EN ASFALTO C. MORELOS ENTRE INDEPENDENCIA Y ALLENDE EN LA POBLACION DE LA CABECERA</v>
      </c>
      <c r="N44" s="292"/>
      <c r="O44" s="292"/>
      <c r="P44" s="294">
        <f>OBRA!S43</f>
        <v>41278</v>
      </c>
      <c r="Q44" s="293">
        <f>OBRA!R43</f>
        <v>253692.08</v>
      </c>
      <c r="R44" s="293"/>
      <c r="S44" s="295">
        <f>OBRA!T43</f>
        <v>41281</v>
      </c>
      <c r="T44" s="296">
        <f>OBRA!U43</f>
        <v>41286</v>
      </c>
      <c r="U44" s="854"/>
      <c r="V44" s="854" t="s">
        <v>1428</v>
      </c>
      <c r="W44" s="369"/>
      <c r="X44" s="366"/>
      <c r="Y44" s="805">
        <f>OBRA!AR43</f>
        <v>0</v>
      </c>
      <c r="Z44" s="310"/>
      <c r="AA44" s="310"/>
      <c r="AB44" s="295"/>
      <c r="AC44" s="384">
        <f>OBRA!BW43</f>
        <v>0</v>
      </c>
      <c r="AD44" s="353"/>
    </row>
    <row r="45" spans="1:30" s="299" customFormat="1" ht="45.75" hidden="1" customHeight="1">
      <c r="A45" s="305" t="s">
        <v>2206</v>
      </c>
      <c r="B45" s="853" t="str">
        <f>GRAL!B46</f>
        <v>2012-2015</v>
      </c>
      <c r="C45" s="288">
        <f>OBRA!J44</f>
        <v>2013</v>
      </c>
      <c r="D45" s="306" t="str">
        <f>OBRA!M44</f>
        <v>CUENTA CORRIENTE</v>
      </c>
      <c r="E45" s="487" t="s">
        <v>1428</v>
      </c>
      <c r="F45" s="353"/>
      <c r="G45" s="429"/>
      <c r="H45" s="353"/>
      <c r="I45" s="307" t="str">
        <f>OBRA!W44</f>
        <v>BRAILOGA CONSTRUCTORES S.A. DE C.V.</v>
      </c>
      <c r="J45" s="304" t="str">
        <f>OBRA!X44</f>
        <v>ING. LUIS JOEL HUERTA LOMA</v>
      </c>
      <c r="K45" s="290" t="str">
        <f>OBRA!N44</f>
        <v>GMJ 004C OP/2013</v>
      </c>
      <c r="L45" s="291" t="str">
        <f>OBRA!O44</f>
        <v>ADJUDICACIÓN DIRECTA</v>
      </c>
      <c r="M45" s="292" t="str">
        <f>OBRA!P44</f>
        <v>BACHEO EN ASFALTO EN C. MORELOS ENTRE ALLENDE Y PEDRO MORENO EN LA POBLACION DE LA CABECERA</v>
      </c>
      <c r="N45" s="292"/>
      <c r="O45" s="292"/>
      <c r="P45" s="294">
        <f>OBRA!S44</f>
        <v>41278</v>
      </c>
      <c r="Q45" s="293">
        <f>OBRA!R44</f>
        <v>213963.7</v>
      </c>
      <c r="R45" s="293"/>
      <c r="S45" s="295">
        <f>OBRA!T44</f>
        <v>41281</v>
      </c>
      <c r="T45" s="296">
        <f>OBRA!U44</f>
        <v>41286</v>
      </c>
      <c r="U45" s="854"/>
      <c r="V45" s="854" t="s">
        <v>1428</v>
      </c>
      <c r="W45" s="369"/>
      <c r="X45" s="366"/>
      <c r="Y45" s="805">
        <f>OBRA!AR44</f>
        <v>0</v>
      </c>
      <c r="Z45" s="310"/>
      <c r="AA45" s="310"/>
      <c r="AB45" s="295"/>
      <c r="AC45" s="384">
        <f>OBRA!BW44</f>
        <v>0</v>
      </c>
      <c r="AD45" s="353"/>
    </row>
    <row r="46" spans="1:30" s="299" customFormat="1" ht="210.75" hidden="1" customHeight="1">
      <c r="A46" s="305" t="s">
        <v>2206</v>
      </c>
      <c r="B46" s="853" t="str">
        <f>GRAL!B47</f>
        <v>2012-2015</v>
      </c>
      <c r="C46" s="288">
        <f>OBRA!J45</f>
        <v>2013</v>
      </c>
      <c r="D46" s="306" t="str">
        <f>OBRA!M45</f>
        <v>CUENTA CORRIENTE</v>
      </c>
      <c r="E46" s="487" t="s">
        <v>1428</v>
      </c>
      <c r="F46" s="353"/>
      <c r="G46" s="429"/>
      <c r="H46" s="353"/>
      <c r="I46" s="307" t="str">
        <f>OBRA!W45</f>
        <v>C. JOSÉ MIGUEL GARCIA VALLE</v>
      </c>
      <c r="J46" s="304" t="str">
        <f>OBRA!X45</f>
        <v>ING. ISER RANGEL REVILLA</v>
      </c>
      <c r="K46" s="290" t="str">
        <f>OBRA!N45</f>
        <v>GMJ 005C OP/2013</v>
      </c>
      <c r="L46" s="291" t="str">
        <f>OBRA!O45</f>
        <v>ADJUDICACIÓN DIRECTA</v>
      </c>
      <c r="M46" s="292"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2"/>
      <c r="O46" s="292"/>
      <c r="P46" s="294">
        <f>OBRA!S45</f>
        <v>41324</v>
      </c>
      <c r="Q46" s="293">
        <f>OBRA!R45</f>
        <v>318104.90999999997</v>
      </c>
      <c r="R46" s="293"/>
      <c r="S46" s="295">
        <f>OBRA!T45</f>
        <v>41324</v>
      </c>
      <c r="T46" s="296">
        <f>OBRA!U45</f>
        <v>41344</v>
      </c>
      <c r="U46" s="854"/>
      <c r="V46" s="854" t="s">
        <v>1428</v>
      </c>
      <c r="W46" s="369"/>
      <c r="X46" s="366"/>
      <c r="Y46" s="805">
        <f>OBRA!AR45</f>
        <v>0</v>
      </c>
      <c r="Z46" s="310"/>
      <c r="AA46" s="310"/>
      <c r="AB46" s="295"/>
      <c r="AC46" s="384">
        <f>OBRA!BW45</f>
        <v>0</v>
      </c>
      <c r="AD46" s="353"/>
    </row>
    <row r="47" spans="1:30" ht="75.75" hidden="1" customHeight="1">
      <c r="A47" s="22" t="s">
        <v>2206</v>
      </c>
      <c r="B47" s="809" t="str">
        <f>GRAL!B48</f>
        <v>2012-2015</v>
      </c>
      <c r="C47" s="16">
        <f>OBRA!J46</f>
        <v>2013</v>
      </c>
      <c r="D47" s="17" t="str">
        <f>OBRA!M46</f>
        <v>CUENTA CORRIENTE</v>
      </c>
      <c r="E47" s="478" t="s">
        <v>1428</v>
      </c>
      <c r="F47" s="352"/>
      <c r="G47" s="1"/>
      <c r="H47" s="352"/>
      <c r="I47" s="208" t="str">
        <f>OBRA!W46</f>
        <v>BRAILOGA CONSTRUCTORES S.A. DE C.V.</v>
      </c>
      <c r="J47" s="231" t="str">
        <f>OBRA!X46</f>
        <v>ING. LUIS JOEL HUERTA LOMA</v>
      </c>
      <c r="K47" s="19" t="str">
        <f>OBRA!N46</f>
        <v>GMJ 006C OP/2013</v>
      </c>
      <c r="L47" s="2" t="str">
        <f>OBRA!O46</f>
        <v>INVITACIÓN</v>
      </c>
      <c r="M47" s="3" t="str">
        <f>OBRA!P46</f>
        <v>COLOCACIÓN DE CARPETA ASFALTICA EN AV. DEL TRABAJO (EN EL INGRESO PRINCIPAL A LA LOCLIDAD) EN LA POBLCIÓN DE ZAPOTITAN DE HIDALGO</v>
      </c>
      <c r="N47" s="3"/>
      <c r="O47" s="3"/>
      <c r="P47" s="6">
        <f>OBRA!S46</f>
        <v>41327</v>
      </c>
      <c r="Q47" s="4">
        <f>OBRA!R46</f>
        <v>1807551.01</v>
      </c>
      <c r="R47" s="4"/>
      <c r="S47" s="5">
        <f>OBRA!T46</f>
        <v>41328</v>
      </c>
      <c r="T47" s="11">
        <f>OBRA!U46</f>
        <v>41337</v>
      </c>
      <c r="U47" s="52"/>
      <c r="V47" s="226" t="s">
        <v>1428</v>
      </c>
      <c r="W47" s="105"/>
      <c r="X47" s="53"/>
      <c r="Y47" s="278">
        <f>OBRA!AR46</f>
        <v>0</v>
      </c>
      <c r="Z47" s="309"/>
      <c r="AA47" s="309"/>
      <c r="AB47" s="5"/>
      <c r="AC47" s="317">
        <f>OBRA!BW46</f>
        <v>0</v>
      </c>
      <c r="AD47" s="352"/>
    </row>
    <row r="48" spans="1:30" s="299" customFormat="1" ht="75.75" hidden="1" customHeight="1">
      <c r="A48" s="305" t="s">
        <v>2206</v>
      </c>
      <c r="B48" s="853" t="str">
        <f>GRAL!B49</f>
        <v>2012-2015</v>
      </c>
      <c r="C48" s="288">
        <f>OBRA!J47</f>
        <v>2013</v>
      </c>
      <c r="D48" s="306" t="str">
        <f>OBRA!M47</f>
        <v>CUENTA CORRIENTE</v>
      </c>
      <c r="E48" s="486" t="s">
        <v>1428</v>
      </c>
      <c r="F48" s="353"/>
      <c r="G48" s="429"/>
      <c r="H48" s="353"/>
      <c r="I48" s="307" t="str">
        <f>OBRA!W47</f>
        <v>C. JOSÉ MIGUEL GARCIA VALLE</v>
      </c>
      <c r="J48" s="304" t="str">
        <f>OBRA!X47</f>
        <v>ING. ISER RANGEL REVILLA</v>
      </c>
      <c r="K48" s="290" t="str">
        <f>OBRA!N47</f>
        <v>GMJ 007C OP/2013</v>
      </c>
      <c r="L48" s="291" t="str">
        <f>OBRA!O47</f>
        <v>ADJUDICACIÓN DIRECTA</v>
      </c>
      <c r="M48" s="292" t="str">
        <f>OBRA!P47</f>
        <v>BACHEO CON ASFALTO EN C. XOCHILT ENTRE CARRETERA CHAPALA-JOCOTEPEC Y CALLE CUAHUTEMOC, EN LA POBLACION CHANTEPEC EN EL MUNICIPIO DE JOCOTEPEC, JALISCO</v>
      </c>
      <c r="N48" s="292"/>
      <c r="O48" s="292"/>
      <c r="P48" s="294">
        <f>OBRA!S47</f>
        <v>41353</v>
      </c>
      <c r="Q48" s="293">
        <f>OBRA!R47</f>
        <v>224365</v>
      </c>
      <c r="R48" s="293"/>
      <c r="S48" s="295">
        <f>OBRA!T47</f>
        <v>41358</v>
      </c>
      <c r="T48" s="296">
        <f>OBRA!U47</f>
        <v>41378</v>
      </c>
      <c r="U48" s="854"/>
      <c r="V48" s="854" t="s">
        <v>1428</v>
      </c>
      <c r="W48" s="369"/>
      <c r="X48" s="366"/>
      <c r="Y48" s="805">
        <f>OBRA!AR47</f>
        <v>0</v>
      </c>
      <c r="Z48" s="310"/>
      <c r="AA48" s="310"/>
      <c r="AB48" s="295"/>
      <c r="AC48" s="384">
        <f>OBRA!BW47</f>
        <v>0</v>
      </c>
      <c r="AD48" s="353"/>
    </row>
    <row r="49" spans="1:30" ht="60.75" hidden="1" customHeight="1">
      <c r="A49" s="22" t="s">
        <v>2206</v>
      </c>
      <c r="B49" s="809" t="str">
        <f>GRAL!B50</f>
        <v>2012-2015</v>
      </c>
      <c r="C49" s="16">
        <f>OBRA!J48</f>
        <v>2013</v>
      </c>
      <c r="D49" s="17" t="str">
        <f>OBRA!M48</f>
        <v>FOPEDEM</v>
      </c>
      <c r="E49" s="478"/>
      <c r="F49" s="352"/>
      <c r="G49" s="1"/>
      <c r="H49" s="352"/>
      <c r="I49" s="208" t="str">
        <f>OBRA!W48</f>
        <v>C. MIGUEL RAFAEL RODRIGUEZ ALLENDE</v>
      </c>
      <c r="J49" s="231" t="str">
        <f>OBRA!X48</f>
        <v>ARQ. JAIME CONDE GOMEZ</v>
      </c>
      <c r="K49" s="19" t="str">
        <f>OBRA!N48</f>
        <v>GMJ 008C OP/2013</v>
      </c>
      <c r="L49" s="2" t="str">
        <f>OBRA!O48</f>
        <v>INVITACIÓN</v>
      </c>
      <c r="M49" s="3" t="str">
        <f>OBRA!P48</f>
        <v>COLOCACIÓN DE CARPETA ASFALTICA C. ZARAGOZA ENTRE VICENTE GUERRERO Y JOSE SANTANA, EN LA CABECERA MUNICIPAL</v>
      </c>
      <c r="N49" s="3"/>
      <c r="O49" s="3"/>
      <c r="P49" s="6">
        <f>OBRA!S48</f>
        <v>41407</v>
      </c>
      <c r="Q49" s="4">
        <f>OBRA!R48</f>
        <v>1998053.6</v>
      </c>
      <c r="R49" s="4"/>
      <c r="S49" s="5">
        <f>OBRA!T48</f>
        <v>41407</v>
      </c>
      <c r="T49" s="11">
        <f>OBRA!U48</f>
        <v>41468</v>
      </c>
      <c r="U49" s="52"/>
      <c r="V49" s="226" t="s">
        <v>1428</v>
      </c>
      <c r="W49" s="105"/>
      <c r="X49" s="53"/>
      <c r="Y49" s="278">
        <f>OBRA!AR48</f>
        <v>0</v>
      </c>
      <c r="Z49" s="309"/>
      <c r="AA49" s="309"/>
      <c r="AB49" s="5"/>
      <c r="AC49" s="317">
        <f>OBRA!BW48</f>
        <v>0</v>
      </c>
      <c r="AD49" s="352"/>
    </row>
    <row r="50" spans="1:30" s="299" customFormat="1" ht="240.75" hidden="1" customHeight="1">
      <c r="A50" s="305" t="s">
        <v>2206</v>
      </c>
      <c r="B50" s="853" t="str">
        <f>GRAL!B51</f>
        <v>2012-2015</v>
      </c>
      <c r="C50" s="288">
        <f>OBRA!J49</f>
        <v>2013</v>
      </c>
      <c r="D50" s="306" t="str">
        <f>OBRA!M49</f>
        <v>CUENTA CORRIENTE</v>
      </c>
      <c r="E50" s="487" t="s">
        <v>1428</v>
      </c>
      <c r="F50" s="353"/>
      <c r="G50" s="429"/>
      <c r="H50" s="353"/>
      <c r="I50" s="307" t="str">
        <f>OBRA!W49</f>
        <v>C. JOSÉ MIGUEL GARCIA VALLE</v>
      </c>
      <c r="J50" s="304" t="str">
        <f>OBRA!X49</f>
        <v>ING. LUIS JOEL HUERTA LOMA</v>
      </c>
      <c r="K50" s="290" t="str">
        <f>OBRA!N49</f>
        <v>GMJ 009C OP/2013</v>
      </c>
      <c r="L50" s="291" t="str">
        <f>OBRA!O49</f>
        <v>ADJUDICACIÓN DIRECTA</v>
      </c>
      <c r="M50" s="292"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2"/>
      <c r="O50" s="292"/>
      <c r="P50" s="294">
        <f>OBRA!S49</f>
        <v>41402</v>
      </c>
      <c r="Q50" s="293">
        <f>OBRA!R49</f>
        <v>572707.94999999995</v>
      </c>
      <c r="R50" s="293"/>
      <c r="S50" s="295">
        <f>OBRA!T49</f>
        <v>41404</v>
      </c>
      <c r="T50" s="296">
        <f>OBRA!U49</f>
        <v>41424</v>
      </c>
      <c r="U50" s="854"/>
      <c r="V50" s="854" t="s">
        <v>1428</v>
      </c>
      <c r="W50" s="369"/>
      <c r="X50" s="366"/>
      <c r="Y50" s="805">
        <f>OBRA!AR49</f>
        <v>0</v>
      </c>
      <c r="Z50" s="310"/>
      <c r="AA50" s="310"/>
      <c r="AB50" s="295"/>
      <c r="AC50" s="384">
        <f>OBRA!BW49</f>
        <v>0</v>
      </c>
      <c r="AD50" s="353"/>
    </row>
    <row r="51" spans="1:30" ht="60.75" hidden="1" customHeight="1">
      <c r="A51" s="22" t="s">
        <v>2206</v>
      </c>
      <c r="B51" s="809" t="str">
        <f>GRAL!B52</f>
        <v>2012-2015</v>
      </c>
      <c r="C51" s="16">
        <f>OBRA!J50</f>
        <v>2013</v>
      </c>
      <c r="D51" s="17" t="str">
        <f>OBRA!M50</f>
        <v>CUENTA CORRIENTE</v>
      </c>
      <c r="E51" s="487" t="s">
        <v>1428</v>
      </c>
      <c r="F51" s="352"/>
      <c r="G51" s="1"/>
      <c r="H51" s="352"/>
      <c r="I51" s="208" t="str">
        <f>OBRA!W50</f>
        <v>RAMPER DRILLINGS S.A. DE C.V.</v>
      </c>
      <c r="J51" s="231" t="str">
        <f>OBRA!X50</f>
        <v>C. DANIEL RODRIGUEZ VALENZUELA</v>
      </c>
      <c r="K51" s="19" t="str">
        <f>OBRA!N50</f>
        <v>GMJ 010C OP/2013</v>
      </c>
      <c r="L51" s="2" t="str">
        <f>OBRA!O50</f>
        <v>INVITACIÓN</v>
      </c>
      <c r="M51" s="3" t="str">
        <f>OBRA!P50</f>
        <v>PERFORACION Y ADEME DE POZO PROFUNDO EN EL FRACCIONMIENTO MAGISTERIAL UBICDO EN L ZONA OESTE DE LA CABECERA MUNICIPAL</v>
      </c>
      <c r="N51" s="3"/>
      <c r="O51" s="3"/>
      <c r="P51" s="6">
        <f>OBRA!S50</f>
        <v>41428</v>
      </c>
      <c r="Q51" s="4">
        <f>OBRA!R50</f>
        <v>1398728</v>
      </c>
      <c r="R51" s="4"/>
      <c r="S51" s="5">
        <f>OBRA!T50</f>
        <v>41436</v>
      </c>
      <c r="T51" s="11">
        <f>OBRA!U50</f>
        <v>41466</v>
      </c>
      <c r="U51" s="52"/>
      <c r="V51" s="226" t="s">
        <v>1428</v>
      </c>
      <c r="W51" s="105"/>
      <c r="X51" s="53"/>
      <c r="Y51" s="278">
        <f>OBRA!AR50</f>
        <v>0</v>
      </c>
      <c r="Z51" s="309"/>
      <c r="AA51" s="309"/>
      <c r="AB51" s="5"/>
      <c r="AC51" s="317">
        <f>OBRA!BW50</f>
        <v>0</v>
      </c>
      <c r="AD51" s="352"/>
    </row>
    <row r="52" spans="1:30" s="299" customFormat="1" ht="45.75" hidden="1" customHeight="1">
      <c r="A52" s="305" t="s">
        <v>2206</v>
      </c>
      <c r="B52" s="853" t="str">
        <f>GRAL!B53</f>
        <v>2012-2015</v>
      </c>
      <c r="C52" s="288">
        <f>OBRA!J51</f>
        <v>2013</v>
      </c>
      <c r="D52" s="306" t="str">
        <f>OBRA!M51</f>
        <v>CUENTA CORRIENTE</v>
      </c>
      <c r="E52" s="486" t="s">
        <v>1428</v>
      </c>
      <c r="F52" s="353"/>
      <c r="G52" s="429"/>
      <c r="H52" s="353"/>
      <c r="I52" s="307" t="str">
        <f>OBRA!W51</f>
        <v>C. URIEL PALOS CUEVAS</v>
      </c>
      <c r="J52" s="304" t="str">
        <f>OBRA!X51</f>
        <v>C. DANIEL RODRIGUEZ VALENZUELA</v>
      </c>
      <c r="K52" s="290" t="str">
        <f>OBRA!N51</f>
        <v>GMJ 011C OP/2013</v>
      </c>
      <c r="L52" s="291" t="str">
        <f>OBRA!O51</f>
        <v>ADJUDICACIÓN DIRECTA</v>
      </c>
      <c r="M52" s="292" t="str">
        <f>OBRA!P51</f>
        <v>EMPEDRADO AHOGADO EN CEMENTO PRIVADA FRANCISCO I. MADERO, EN LA DELEGACION SAN JUAN COSALA</v>
      </c>
      <c r="N52" s="292"/>
      <c r="O52" s="292"/>
      <c r="P52" s="294">
        <f>OBRA!S51</f>
        <v>41404</v>
      </c>
      <c r="Q52" s="293">
        <f>OBRA!R51</f>
        <v>97904</v>
      </c>
      <c r="R52" s="293"/>
      <c r="S52" s="295">
        <f>OBRA!T51</f>
        <v>41407</v>
      </c>
      <c r="T52" s="296">
        <f>OBRA!U51</f>
        <v>41412</v>
      </c>
      <c r="U52" s="854"/>
      <c r="V52" s="854" t="s">
        <v>1428</v>
      </c>
      <c r="W52" s="369"/>
      <c r="X52" s="366"/>
      <c r="Y52" s="805">
        <f>OBRA!AR51</f>
        <v>0</v>
      </c>
      <c r="Z52" s="310"/>
      <c r="AA52" s="310"/>
      <c r="AB52" s="295"/>
      <c r="AC52" s="384">
        <f>OBRA!BW51</f>
        <v>0</v>
      </c>
      <c r="AD52" s="353"/>
    </row>
    <row r="53" spans="1:30" s="299" customFormat="1" ht="60.75" hidden="1" customHeight="1">
      <c r="A53" s="305" t="s">
        <v>2206</v>
      </c>
      <c r="B53" s="853" t="str">
        <f>GRAL!B54</f>
        <v>2012-2015</v>
      </c>
      <c r="C53" s="288">
        <f>OBRA!J52</f>
        <v>2013</v>
      </c>
      <c r="D53" s="306" t="str">
        <f>OBRA!M52</f>
        <v>CUENTA CORRIENTE</v>
      </c>
      <c r="E53" s="487" t="s">
        <v>1428</v>
      </c>
      <c r="F53" s="353"/>
      <c r="G53" s="429"/>
      <c r="H53" s="353"/>
      <c r="I53" s="307" t="str">
        <f>OBRA!W52</f>
        <v>C. MIGUEL RAFAEL RODRIGUEZ ALLENDE</v>
      </c>
      <c r="J53" s="304" t="str">
        <f>OBRA!X52</f>
        <v>ARQ. JAIME CONDE GOMEZ</v>
      </c>
      <c r="K53" s="290" t="str">
        <f>OBRA!N52</f>
        <v>GMJ 012C OP/2013</v>
      </c>
      <c r="L53" s="291" t="str">
        <f>OBRA!O52</f>
        <v>ADJUDICACIÓN DIRECTA</v>
      </c>
      <c r="M53" s="292" t="str">
        <f>OBRA!P52</f>
        <v>COLOCACIÓN DE CARPETA ASFALTICA EN C. JUAREZ ENTRE C. ZARAAGOZA Y C. NIÑOS HEROES, EN LA CABECERA MUNICIPAL</v>
      </c>
      <c r="N53" s="292"/>
      <c r="O53" s="292"/>
      <c r="P53" s="294">
        <f>OBRA!S52</f>
        <v>41435</v>
      </c>
      <c r="Q53" s="293">
        <f>OBRA!R52</f>
        <v>427449.56</v>
      </c>
      <c r="R53" s="293"/>
      <c r="S53" s="295">
        <f>OBRA!T52</f>
        <v>41435</v>
      </c>
      <c r="T53" s="296">
        <f>OBRA!U52</f>
        <v>41453</v>
      </c>
      <c r="U53" s="854"/>
      <c r="V53" s="854" t="s">
        <v>1428</v>
      </c>
      <c r="W53" s="369"/>
      <c r="X53" s="366"/>
      <c r="Y53" s="805">
        <f>OBRA!AR52</f>
        <v>0</v>
      </c>
      <c r="Z53" s="310"/>
      <c r="AA53" s="310"/>
      <c r="AB53" s="295"/>
      <c r="AC53" s="384">
        <f>OBRA!BW52</f>
        <v>0</v>
      </c>
      <c r="AD53" s="353"/>
    </row>
    <row r="54" spans="1:30" s="299" customFormat="1" ht="270.75" hidden="1" customHeight="1">
      <c r="A54" s="305" t="s">
        <v>2206</v>
      </c>
      <c r="B54" s="853" t="str">
        <f>GRAL!B55</f>
        <v>2012-2015</v>
      </c>
      <c r="C54" s="288">
        <f>OBRA!J53</f>
        <v>2013</v>
      </c>
      <c r="D54" s="306" t="str">
        <f>OBRA!M53</f>
        <v>CUENTA CORRIENTE</v>
      </c>
      <c r="E54" s="487" t="s">
        <v>1428</v>
      </c>
      <c r="F54" s="353"/>
      <c r="G54" s="429"/>
      <c r="H54" s="353"/>
      <c r="I54" s="307" t="str">
        <f>OBRA!W53</f>
        <v>BRAILOGA CONSTRUCTORES S.A. DE C.V.</v>
      </c>
      <c r="J54" s="304" t="str">
        <f>OBRA!X53</f>
        <v>ING. ISER RANGEL REVILLA</v>
      </c>
      <c r="K54" s="290" t="str">
        <f>OBRA!N53</f>
        <v>GMJ 016C OP/2013</v>
      </c>
      <c r="L54" s="291" t="str">
        <f>OBRA!O53</f>
        <v>ADJUDICACIÓN DIRECTA</v>
      </c>
      <c r="M54" s="292"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2"/>
      <c r="O54" s="292"/>
      <c r="P54" s="294">
        <f>OBRA!S53</f>
        <v>41516</v>
      </c>
      <c r="Q54" s="293">
        <f>OBRA!R53</f>
        <v>418619.7</v>
      </c>
      <c r="R54" s="293"/>
      <c r="S54" s="295">
        <f>OBRA!T53</f>
        <v>41519</v>
      </c>
      <c r="T54" s="296">
        <f>OBRA!U53</f>
        <v>41530</v>
      </c>
      <c r="U54" s="854"/>
      <c r="V54" s="854" t="s">
        <v>1428</v>
      </c>
      <c r="W54" s="369"/>
      <c r="X54" s="366"/>
      <c r="Y54" s="805">
        <f>OBRA!AR53</f>
        <v>0</v>
      </c>
      <c r="Z54" s="310"/>
      <c r="AA54" s="310"/>
      <c r="AB54" s="295"/>
      <c r="AC54" s="384">
        <f>OBRA!BW53</f>
        <v>0</v>
      </c>
      <c r="AD54" s="353"/>
    </row>
    <row r="55" spans="1:30" ht="60.75" hidden="1" customHeight="1">
      <c r="A55" s="22" t="s">
        <v>2206</v>
      </c>
      <c r="B55" s="809" t="str">
        <f>GRAL!B56</f>
        <v>2012-2015</v>
      </c>
      <c r="C55" s="16">
        <f>OBRA!J54</f>
        <v>2013</v>
      </c>
      <c r="D55" s="17" t="str">
        <f>OBRA!M54</f>
        <v>CUENTA CORRIENTE</v>
      </c>
      <c r="E55" s="487" t="s">
        <v>1428</v>
      </c>
      <c r="F55" s="352"/>
      <c r="G55" s="1"/>
      <c r="H55" s="352"/>
      <c r="I55" s="208" t="str">
        <f>OBRA!W54</f>
        <v>-</v>
      </c>
      <c r="J55" s="231">
        <f>OBRA!X54</f>
        <v>0</v>
      </c>
      <c r="K55" s="19" t="str">
        <f>OBRA!N54</f>
        <v>DOP/AD/020/2013</v>
      </c>
      <c r="L55" s="2" t="str">
        <f>OBRA!O54</f>
        <v>ADMINISTRACIÓN DIRECTA</v>
      </c>
      <c r="M55" s="3" t="str">
        <f>OBRA!P54</f>
        <v>"DESASOLVES PREVENTIVOS PARA EVITAR INUNDACIONES" EN LA CABECERA Y SUS LOCALIDADES 2ª ETAPA</v>
      </c>
      <c r="N55" s="3"/>
      <c r="O55" s="3"/>
      <c r="P55" s="6">
        <f>OBRA!S54</f>
        <v>41465</v>
      </c>
      <c r="Q55" s="4">
        <f>OBRA!R54</f>
        <v>100000</v>
      </c>
      <c r="R55" s="4"/>
      <c r="S55" s="5">
        <f>OBRA!T54</f>
        <v>41465</v>
      </c>
      <c r="T55" s="11">
        <f>OBRA!U54</f>
        <v>41479</v>
      </c>
      <c r="U55" s="52"/>
      <c r="V55" s="226" t="s">
        <v>1428</v>
      </c>
      <c r="W55" s="105"/>
      <c r="X55" s="53"/>
      <c r="Y55" s="278">
        <f>OBRA!AR54</f>
        <v>0</v>
      </c>
      <c r="Z55" s="309"/>
      <c r="AA55" s="309"/>
      <c r="AB55" s="5"/>
      <c r="AC55" s="317">
        <f>OBRA!BW54</f>
        <v>0</v>
      </c>
      <c r="AD55" s="352"/>
    </row>
    <row r="56" spans="1:30" ht="75.75" hidden="1" customHeight="1">
      <c r="A56" s="22" t="s">
        <v>2206</v>
      </c>
      <c r="B56" s="809" t="str">
        <f>GRAL!B57</f>
        <v>2012-2015</v>
      </c>
      <c r="C56" s="16">
        <f>OBRA!J55</f>
        <v>2013</v>
      </c>
      <c r="D56" s="17" t="str">
        <f>OBRA!M55</f>
        <v>3X1 PARA MIGRANTES</v>
      </c>
      <c r="E56" s="13"/>
      <c r="F56" s="352"/>
      <c r="G56" s="1"/>
      <c r="H56" s="352"/>
      <c r="I56" s="208" t="str">
        <f>OBRA!W55</f>
        <v>-</v>
      </c>
      <c r="J56" s="231">
        <f>OBRA!X55</f>
        <v>0</v>
      </c>
      <c r="K56" s="19" t="str">
        <f>OBRA!N55</f>
        <v>DOP/AD/029/2013</v>
      </c>
      <c r="L56" s="2" t="str">
        <f>OBRA!O55</f>
        <v>ADMINISTRACIÓN DIRECTA</v>
      </c>
      <c r="M56" s="3" t="str">
        <f>OBRA!P55</f>
        <v>REHABILITACIÓN DE RED DE DRENAJE EN C. VICENTE GUERRERO, DE CARR. FED. #15 HASTA ZONA FEDERAL (LAGO) EN LA DELEGACIÓN DE SAN PEDRO TESISTAN</v>
      </c>
      <c r="N56" s="3"/>
      <c r="O56" s="3"/>
      <c r="P56" s="6">
        <f>OBRA!S55</f>
        <v>41617</v>
      </c>
      <c r="Q56" s="4">
        <f>OBRA!R55</f>
        <v>280952</v>
      </c>
      <c r="R56" s="4"/>
      <c r="S56" s="5">
        <f>OBRA!T55</f>
        <v>41612</v>
      </c>
      <c r="T56" s="11">
        <f>OBRA!U55</f>
        <v>41635</v>
      </c>
      <c r="U56" s="52"/>
      <c r="V56" s="226" t="s">
        <v>1428</v>
      </c>
      <c r="W56" s="105"/>
      <c r="X56" s="53"/>
      <c r="Y56" s="278">
        <f>OBRA!AR55</f>
        <v>0</v>
      </c>
      <c r="Z56" s="309"/>
      <c r="AA56" s="309"/>
      <c r="AB56" s="5"/>
      <c r="AC56" s="317">
        <f>OBRA!BW55</f>
        <v>0</v>
      </c>
      <c r="AD56" s="352"/>
    </row>
    <row r="57" spans="1:30" ht="105.75" hidden="1" customHeight="1">
      <c r="A57" s="22" t="s">
        <v>2206</v>
      </c>
      <c r="B57" s="809" t="str">
        <f>GRAL!B58</f>
        <v>2012-2015</v>
      </c>
      <c r="C57" s="16">
        <f>OBRA!J56</f>
        <v>2013</v>
      </c>
      <c r="D57" s="17" t="str">
        <f>OBRA!M56</f>
        <v>3X1 PARA MIGRANTES</v>
      </c>
      <c r="E57" s="478"/>
      <c r="F57" s="352"/>
      <c r="G57" s="1"/>
      <c r="H57" s="352"/>
      <c r="I57" s="208" t="str">
        <f>OBRA!W56</f>
        <v>-</v>
      </c>
      <c r="J57" s="231">
        <f>OBRA!X56</f>
        <v>0</v>
      </c>
      <c r="K57" s="19" t="str">
        <f>OBRA!N56</f>
        <v>DOP/AD/031/2013</v>
      </c>
      <c r="L57" s="2" t="str">
        <f>OBRA!O56</f>
        <v>ADMINISTRACIÓN DIRECTA</v>
      </c>
      <c r="M57" s="3" t="str">
        <f>OBRA!P56</f>
        <v>REHABILITACIÓN DE SUPERFICIE DE RODAMIENTO CON EMPEDRDO AHOGADO EN CEMENTO EN C. VICENTE GUERRERO, DE CARR. FED. #15 HASTA ZONA FEDERAL (LAGO) EN LA DELEGACIÓN DE SAN PEDRO TESISTAN</v>
      </c>
      <c r="N57" s="3"/>
      <c r="O57" s="3"/>
      <c r="P57" s="6">
        <f>OBRA!S56</f>
        <v>41617</v>
      </c>
      <c r="Q57" s="4">
        <f>OBRA!R56</f>
        <v>670884</v>
      </c>
      <c r="R57" s="4"/>
      <c r="S57" s="5">
        <f>OBRA!T56</f>
        <v>41612</v>
      </c>
      <c r="T57" s="11">
        <f>OBRA!U56</f>
        <v>41638</v>
      </c>
      <c r="U57" s="52"/>
      <c r="V57" s="226" t="s">
        <v>1428</v>
      </c>
      <c r="W57" s="105"/>
      <c r="X57" s="53"/>
      <c r="Y57" s="278">
        <f>OBRA!AR56</f>
        <v>0</v>
      </c>
      <c r="Z57" s="309"/>
      <c r="AA57" s="309"/>
      <c r="AB57" s="5"/>
      <c r="AC57" s="317">
        <f>OBRA!BW56</f>
        <v>0</v>
      </c>
      <c r="AD57" s="352"/>
    </row>
    <row r="58" spans="1:30" s="299" customFormat="1" ht="75.75" hidden="1" customHeight="1">
      <c r="A58" s="305" t="s">
        <v>2206</v>
      </c>
      <c r="B58" s="853" t="str">
        <f>GRAL!B59</f>
        <v>2012-2015</v>
      </c>
      <c r="C58" s="288">
        <f>OBRA!J57</f>
        <v>2013</v>
      </c>
      <c r="D58" s="306" t="str">
        <f>OBRA!M57</f>
        <v>FISE</v>
      </c>
      <c r="E58" s="487"/>
      <c r="F58" s="353"/>
      <c r="G58" s="429"/>
      <c r="H58" s="353"/>
      <c r="I58" s="307" t="str">
        <f>OBRA!W57</f>
        <v>EQUIPO MANTENIMIENTO Y PLANEACION ELECTRICA S.A. DE C.V.</v>
      </c>
      <c r="J58" s="304">
        <f>OBRA!X57</f>
        <v>0</v>
      </c>
      <c r="K58" s="290" t="str">
        <f>OBRA!N57</f>
        <v>GMJ 024 OP/2013</v>
      </c>
      <c r="L58" s="291" t="str">
        <f>OBRA!O57</f>
        <v>ADJUDICACIÓN DIRECTA</v>
      </c>
      <c r="M58" s="292" t="str">
        <f>OBRA!P57</f>
        <v>PERFORACIÓN DE POZO PROFUNDO, EN EL PREDIO NO. 10 AL FINAL DE LA CALLE ALLENDE EN LA LOCALIDAD DE LAS TROJES</v>
      </c>
      <c r="N58" s="292"/>
      <c r="O58" s="292"/>
      <c r="P58" s="294">
        <f>OBRA!S57</f>
        <v>41516</v>
      </c>
      <c r="Q58" s="293">
        <f>OBRA!R57</f>
        <v>667000</v>
      </c>
      <c r="R58" s="293"/>
      <c r="S58" s="295">
        <f>OBRA!T57</f>
        <v>41638</v>
      </c>
      <c r="T58" s="296">
        <f>OBRA!U57</f>
        <v>41691</v>
      </c>
      <c r="U58" s="854"/>
      <c r="V58" s="854" t="s">
        <v>1428</v>
      </c>
      <c r="W58" s="369"/>
      <c r="X58" s="366"/>
      <c r="Y58" s="805">
        <f>OBRA!AR57</f>
        <v>0</v>
      </c>
      <c r="Z58" s="310"/>
      <c r="AA58" s="310"/>
      <c r="AB58" s="295"/>
      <c r="AC58" s="384">
        <f>OBRA!BW57</f>
        <v>0</v>
      </c>
      <c r="AD58" s="353"/>
    </row>
    <row r="59" spans="1:30" s="104" customFormat="1" ht="90.75" hidden="1" customHeight="1">
      <c r="A59" s="81" t="s">
        <v>251</v>
      </c>
      <c r="B59" s="809" t="str">
        <f>GRAL!B60</f>
        <v>2012-2015</v>
      </c>
      <c r="C59" s="82">
        <f>OBRA!J58</f>
        <v>2013</v>
      </c>
      <c r="D59" s="97" t="str">
        <f>OBRA!M58</f>
        <v>FODIM</v>
      </c>
      <c r="E59" s="479"/>
      <c r="F59" s="354"/>
      <c r="G59" s="96"/>
      <c r="H59" s="354"/>
      <c r="I59" s="276">
        <f>OBRA!W58</f>
        <v>0</v>
      </c>
      <c r="J59" s="277">
        <f>OBRA!X58</f>
        <v>0</v>
      </c>
      <c r="K59" s="84">
        <f>OBRA!N58</f>
        <v>0</v>
      </c>
      <c r="L59" s="85" t="str">
        <f>OBRA!O58</f>
        <v>CANCELADA</v>
      </c>
      <c r="M59" s="125" t="str">
        <f>OBRA!P58</f>
        <v>FABRICACIÓN DE LOZA DE CONCRETO HIDRAULICO CON RENOVACIÓN DE REDES DE AGUA POTABLE Y RED DE DRENAJE EN CALLE MORELOS ENTRE C. NICOLAS BRAVO Y NIÑOS HEROES 1ERA ETAPA</v>
      </c>
      <c r="N59" s="125"/>
      <c r="O59" s="125"/>
      <c r="P59" s="87" t="s">
        <v>68</v>
      </c>
      <c r="Q59" s="4">
        <f>OBRA!R58</f>
        <v>0</v>
      </c>
      <c r="R59" s="4"/>
      <c r="S59" s="88" t="s">
        <v>68</v>
      </c>
      <c r="T59" s="89" t="s">
        <v>68</v>
      </c>
      <c r="U59" s="101"/>
      <c r="V59" s="226" t="s">
        <v>1428</v>
      </c>
      <c r="W59" s="370"/>
      <c r="X59" s="91"/>
      <c r="Y59" s="278">
        <f>OBRA!AR58</f>
        <v>0</v>
      </c>
      <c r="Z59" s="311"/>
      <c r="AA59" s="311"/>
      <c r="AB59" s="88"/>
      <c r="AC59" s="317">
        <f>OBRA!BW58</f>
        <v>0</v>
      </c>
      <c r="AD59" s="352"/>
    </row>
    <row r="60" spans="1:30" ht="105.75" hidden="1" customHeight="1">
      <c r="A60" s="22" t="s">
        <v>2206</v>
      </c>
      <c r="B60" s="809" t="str">
        <f>GRAL!B61</f>
        <v>2012-2015</v>
      </c>
      <c r="C60" s="16">
        <f>OBRA!J59</f>
        <v>2014</v>
      </c>
      <c r="D60" s="17" t="str">
        <f>OBRA!M59</f>
        <v>R33 - FODIM</v>
      </c>
      <c r="E60" s="478"/>
      <c r="F60" s="352"/>
      <c r="G60" s="1"/>
      <c r="H60" s="352"/>
      <c r="I60" s="208" t="str">
        <f>OBRA!W59</f>
        <v>JOSE LUIS RANGEL GALVEZ</v>
      </c>
      <c r="J60" s="231" t="str">
        <f>OBRA!X59</f>
        <v>C. DANIEL RODRIGUEZ VALENZUELA</v>
      </c>
      <c r="K60" s="19" t="str">
        <f>OBRA!N59</f>
        <v>GMJ 002C OP/2014</v>
      </c>
      <c r="L60" s="2" t="str">
        <f>OBRA!O59</f>
        <v>INVITACIÓN</v>
      </c>
      <c r="M60" s="3" t="str">
        <f>OBRA!P59</f>
        <v>FABRICACION DE LOZA DE CONCRETO HIDRAULICO, CON RENOVACIÓN DE REDES DE AGUA POTABLE Y RED DE DRENAJE EN LA CALLE MORELOS DE CALLE INDEPENDENCIA A CALLE MATAMOROS EN LA CABECERA MUNICIPAL</v>
      </c>
      <c r="N60" s="3"/>
      <c r="O60" s="3"/>
      <c r="P60" s="6">
        <f>OBRA!S59</f>
        <v>41690</v>
      </c>
      <c r="Q60" s="4">
        <f>OBRA!R59</f>
        <v>5400000</v>
      </c>
      <c r="R60" s="4"/>
      <c r="S60" s="5">
        <f>OBRA!T59</f>
        <v>41694</v>
      </c>
      <c r="T60" s="11">
        <f>OBRA!U59</f>
        <v>41783</v>
      </c>
      <c r="U60" s="52"/>
      <c r="V60" s="226" t="s">
        <v>1428</v>
      </c>
      <c r="W60" s="105"/>
      <c r="X60" s="53"/>
      <c r="Y60" s="278">
        <f>OBRA!AR59</f>
        <v>0</v>
      </c>
      <c r="Z60" s="309"/>
      <c r="AA60" s="309"/>
      <c r="AB60" s="5"/>
      <c r="AC60" s="317">
        <f>OBRA!BW59</f>
        <v>0</v>
      </c>
      <c r="AD60" s="352"/>
    </row>
    <row r="61" spans="1:30" ht="60.75" hidden="1" customHeight="1">
      <c r="A61" s="22" t="s">
        <v>2206</v>
      </c>
      <c r="B61" s="809" t="str">
        <f>GRAL!B62</f>
        <v>2012-2015</v>
      </c>
      <c r="C61" s="16">
        <f>OBRA!J60</f>
        <v>2014</v>
      </c>
      <c r="D61" s="17" t="str">
        <f>OBRA!M60</f>
        <v>RAMO 33</v>
      </c>
      <c r="E61" s="478" t="s">
        <v>1428</v>
      </c>
      <c r="F61" s="352"/>
      <c r="G61" s="1"/>
      <c r="H61" s="352"/>
      <c r="I61" s="208" t="str">
        <f>OBRA!W60</f>
        <v>HIDRAULICOS TRUJILLO S.A. DE C.V.</v>
      </c>
      <c r="J61" s="231" t="str">
        <f>OBRA!X60</f>
        <v>C. DANIEL RODRIGUEZ VALENZUELA</v>
      </c>
      <c r="K61" s="19" t="str">
        <f>OBRA!N60</f>
        <v>GMJ 001C OP/2014</v>
      </c>
      <c r="L61" s="2" t="str">
        <f>OBRA!O60</f>
        <v>LICITACION</v>
      </c>
      <c r="M61" s="3" t="str">
        <f>OBRA!P60</f>
        <v>LINEA DE CONEXIÓN ENTRE POZO DEL FRACCIONAMIENTO MAGISTERIAL Y LA RED DE AGUA MUNICIPAL EN LA CABECERA MUNICIPAL</v>
      </c>
      <c r="N61" s="3"/>
      <c r="O61" s="3"/>
      <c r="P61" s="6">
        <f>OBRA!S60</f>
        <v>41683</v>
      </c>
      <c r="Q61" s="4">
        <f>OBRA!R60</f>
        <v>1489185.94</v>
      </c>
      <c r="R61" s="4"/>
      <c r="S61" s="5">
        <f>OBRA!T60</f>
        <v>41687</v>
      </c>
      <c r="T61" s="11">
        <f>OBRA!U60</f>
        <v>41734</v>
      </c>
      <c r="U61" s="52"/>
      <c r="V61" s="226" t="s">
        <v>1428</v>
      </c>
      <c r="W61" s="105"/>
      <c r="X61" s="53"/>
      <c r="Y61" s="278">
        <f>OBRA!AR60</f>
        <v>0</v>
      </c>
      <c r="Z61" s="309"/>
      <c r="AA61" s="309"/>
      <c r="AB61" s="5"/>
      <c r="AC61" s="317">
        <f>OBRA!BW60</f>
        <v>0</v>
      </c>
      <c r="AD61" s="352"/>
    </row>
    <row r="62" spans="1:30" ht="30.75" hidden="1" customHeight="1">
      <c r="A62" s="22" t="s">
        <v>2206</v>
      </c>
      <c r="B62" s="809" t="str">
        <f>GRAL!B63</f>
        <v>2012-2015</v>
      </c>
      <c r="C62" s="16">
        <f>OBRA!J61</f>
        <v>2014</v>
      </c>
      <c r="D62" s="17" t="str">
        <f>OBRA!M61</f>
        <v>POA</v>
      </c>
      <c r="E62" s="478"/>
      <c r="F62" s="352"/>
      <c r="G62" s="1"/>
      <c r="H62" s="352"/>
      <c r="I62" s="208" t="str">
        <f>OBRA!W61</f>
        <v>-</v>
      </c>
      <c r="J62" s="231" t="str">
        <f>OBRA!X61</f>
        <v>ARQ. JAIME CONDE GOMEZ</v>
      </c>
      <c r="K62" s="19" t="str">
        <f>OBRA!N61</f>
        <v>DOP/AD/004/2014</v>
      </c>
      <c r="L62" s="2" t="str">
        <f>OBRA!O61</f>
        <v>ADMINISTRACIÓN DIRECTA</v>
      </c>
      <c r="M62" s="3" t="str">
        <f>OBRA!P61</f>
        <v>REHABILITACIÓN DE AUDITORIO ANTONIA PALOMARES</v>
      </c>
      <c r="N62" s="3"/>
      <c r="O62" s="3"/>
      <c r="P62" s="6">
        <f>OBRA!S61</f>
        <v>41781</v>
      </c>
      <c r="Q62" s="4">
        <f>OBRA!R61</f>
        <v>450000</v>
      </c>
      <c r="R62" s="4"/>
      <c r="S62" s="5">
        <f>OBRA!T61</f>
        <v>41705</v>
      </c>
      <c r="T62" s="11">
        <f>OBRA!U61</f>
        <v>41789</v>
      </c>
      <c r="U62" s="52"/>
      <c r="V62" s="226" t="s">
        <v>1428</v>
      </c>
      <c r="W62" s="105"/>
      <c r="X62" s="53"/>
      <c r="Y62" s="278">
        <f>OBRA!AR61</f>
        <v>0</v>
      </c>
      <c r="Z62" s="309"/>
      <c r="AA62" s="309"/>
      <c r="AB62" s="5"/>
      <c r="AC62" s="317">
        <f>OBRA!BW61</f>
        <v>0</v>
      </c>
      <c r="AD62" s="352"/>
    </row>
    <row r="63" spans="1:30" ht="30.75" hidden="1" customHeight="1">
      <c r="A63" s="22" t="s">
        <v>2206</v>
      </c>
      <c r="B63" s="809" t="str">
        <f>GRAL!B64</f>
        <v>2012-2015</v>
      </c>
      <c r="C63" s="16">
        <f>OBRA!J62</f>
        <v>2014</v>
      </c>
      <c r="D63" s="17" t="str">
        <f>OBRA!M62</f>
        <v>POA</v>
      </c>
      <c r="E63" s="478"/>
      <c r="F63" s="352"/>
      <c r="G63" s="1"/>
      <c r="H63" s="352"/>
      <c r="I63" s="208" t="str">
        <f>OBRA!W62</f>
        <v>-</v>
      </c>
      <c r="J63" s="231" t="str">
        <f>OBRA!X62</f>
        <v>ARQ. JAIME CONDE GOMEZ</v>
      </c>
      <c r="K63" s="19" t="str">
        <f>OBRA!N62</f>
        <v>DOP/AD/003/2014</v>
      </c>
      <c r="L63" s="2" t="str">
        <f>OBRA!O62</f>
        <v>ADMINISTRACIÓN DIRECTA</v>
      </c>
      <c r="M63" s="3" t="str">
        <f>OBRA!P62</f>
        <v>CONSTRUCCION DE AREA DE LECTURA AL AIRE LIBRE DE LA BIBLIOTECA</v>
      </c>
      <c r="N63" s="3"/>
      <c r="O63" s="3"/>
      <c r="P63" s="6">
        <f>OBRA!S62</f>
        <v>41761</v>
      </c>
      <c r="Q63" s="4">
        <f>OBRA!R62</f>
        <v>300000</v>
      </c>
      <c r="R63" s="4"/>
      <c r="S63" s="5">
        <f>OBRA!T62</f>
        <v>41761</v>
      </c>
      <c r="T63" s="11">
        <f>OBRA!U62</f>
        <v>41822</v>
      </c>
      <c r="U63" s="52"/>
      <c r="V63" s="226" t="s">
        <v>1428</v>
      </c>
      <c r="W63" s="105"/>
      <c r="X63" s="53"/>
      <c r="Y63" s="278">
        <f>OBRA!AR62</f>
        <v>0</v>
      </c>
      <c r="Z63" s="309"/>
      <c r="AA63" s="309"/>
      <c r="AB63" s="5"/>
      <c r="AC63" s="317">
        <f>OBRA!BW62</f>
        <v>0</v>
      </c>
      <c r="AD63" s="352"/>
    </row>
    <row r="64" spans="1:30" ht="45.75" hidden="1" customHeight="1">
      <c r="A64" s="22" t="s">
        <v>2206</v>
      </c>
      <c r="B64" s="809" t="str">
        <f>GRAL!B65</f>
        <v>2012-2015</v>
      </c>
      <c r="C64" s="16">
        <f>OBRA!J63</f>
        <v>2014</v>
      </c>
      <c r="D64" s="17" t="str">
        <f>OBRA!M63</f>
        <v>CUENTA CORRIENTE</v>
      </c>
      <c r="E64" s="478" t="s">
        <v>1428</v>
      </c>
      <c r="F64" s="352"/>
      <c r="G64" s="1"/>
      <c r="H64" s="352"/>
      <c r="I64" s="208" t="str">
        <f>OBRA!W63</f>
        <v>-</v>
      </c>
      <c r="J64" s="231" t="str">
        <f>OBRA!X63</f>
        <v>ARQ. JAIME CONDE GOMEZ</v>
      </c>
      <c r="K64" s="19" t="str">
        <f>OBRA!N63</f>
        <v>DOP/AD/001/2014</v>
      </c>
      <c r="L64" s="2" t="str">
        <f>OBRA!O63</f>
        <v>ADMINISTRACIÓN DIRECTA</v>
      </c>
      <c r="M64" s="3" t="str">
        <f>OBRA!P63</f>
        <v>REHABILITACIÓN DE BAÑOS EN CAMPO MEXICO, EN LA CABECERA MUNICIPAL</v>
      </c>
      <c r="N64" s="3"/>
      <c r="O64" s="3"/>
      <c r="P64" s="6">
        <f>OBRA!S63</f>
        <v>41705</v>
      </c>
      <c r="Q64" s="4">
        <f>OBRA!R63</f>
        <v>91000</v>
      </c>
      <c r="R64" s="4"/>
      <c r="S64" s="5">
        <f>OBRA!T63</f>
        <v>41705</v>
      </c>
      <c r="T64" s="11">
        <f>OBRA!U63</f>
        <v>41789</v>
      </c>
      <c r="U64" s="52"/>
      <c r="V64" s="226" t="s">
        <v>1428</v>
      </c>
      <c r="W64" s="105"/>
      <c r="X64" s="53"/>
      <c r="Y64" s="278">
        <f>OBRA!AR63</f>
        <v>0</v>
      </c>
      <c r="Z64" s="309"/>
      <c r="AA64" s="309"/>
      <c r="AB64" s="5"/>
      <c r="AC64" s="317">
        <f>OBRA!BW63</f>
        <v>0</v>
      </c>
      <c r="AD64" s="352"/>
    </row>
    <row r="65" spans="1:30" s="104" customFormat="1" ht="90.75" hidden="1" customHeight="1">
      <c r="A65" s="81" t="s">
        <v>2206</v>
      </c>
      <c r="B65" s="820" t="str">
        <f>GRAL!B66</f>
        <v>2012-2015</v>
      </c>
      <c r="C65" s="82">
        <f>OBRA!J64</f>
        <v>2014</v>
      </c>
      <c r="D65" s="97" t="str">
        <f>OBRA!M64</f>
        <v>RAMO 33</v>
      </c>
      <c r="E65" s="102" t="s">
        <v>1428</v>
      </c>
      <c r="F65" s="354"/>
      <c r="G65" s="96"/>
      <c r="H65" s="354"/>
      <c r="I65" s="276" t="str">
        <f>OBRA!W64</f>
        <v>-</v>
      </c>
      <c r="J65" s="277" t="str">
        <f>OBRA!X64</f>
        <v>ING. RIGOBERTO OLMEDO RAMOS</v>
      </c>
      <c r="K65" s="829" t="str">
        <f>OBRA!N64</f>
        <v>DOP/AD/009/2014</v>
      </c>
      <c r="L65" s="186" t="str">
        <f>OBRA!O64</f>
        <v>CANCELADA</v>
      </c>
      <c r="M65" s="106" t="str">
        <f>OBRA!P64</f>
        <v>REHABILITACIÓN DE RED DE AGUA POTABLE EN C. NIÑOS HEROES DE C. HIDALGO HASTA LA ESCUELA TELESECUNDARIA NIÑOS HEROES, EN LA AGENCIA MUNICIPAL DE "EL MOLINO"</v>
      </c>
      <c r="N65" s="125"/>
      <c r="O65" s="125"/>
      <c r="P65" s="87">
        <f>OBRA!S64</f>
        <v>41859</v>
      </c>
      <c r="Q65" s="86">
        <f>OBRA!R64</f>
        <v>48856.42</v>
      </c>
      <c r="R65" s="86"/>
      <c r="S65" s="88">
        <f>OBRA!T64</f>
        <v>41862</v>
      </c>
      <c r="T65" s="89">
        <f>OBRA!U64</f>
        <v>41874</v>
      </c>
      <c r="U65" s="101"/>
      <c r="V65" s="101" t="s">
        <v>1428</v>
      </c>
      <c r="W65" s="370"/>
      <c r="X65" s="91"/>
      <c r="Y65" s="821">
        <f>OBRA!AR64</f>
        <v>0</v>
      </c>
      <c r="Z65" s="311"/>
      <c r="AA65" s="311"/>
      <c r="AB65" s="88"/>
      <c r="AC65" s="467">
        <f>OBRA!BW64</f>
        <v>0</v>
      </c>
      <c r="AD65" s="354"/>
    </row>
    <row r="66" spans="1:30" s="104" customFormat="1" ht="75.75" hidden="1" customHeight="1">
      <c r="A66" s="81" t="s">
        <v>2206</v>
      </c>
      <c r="B66" s="820" t="str">
        <f>GRAL!B67</f>
        <v>2012-2015</v>
      </c>
      <c r="C66" s="82">
        <f>OBRA!J65</f>
        <v>2014</v>
      </c>
      <c r="D66" s="97" t="str">
        <f>OBRA!M65</f>
        <v>RAMO 33</v>
      </c>
      <c r="E66" s="479" t="s">
        <v>1428</v>
      </c>
      <c r="F66" s="354"/>
      <c r="G66" s="96"/>
      <c r="H66" s="354"/>
      <c r="I66" s="276" t="str">
        <f>OBRA!W65</f>
        <v>-</v>
      </c>
      <c r="J66" s="277" t="str">
        <f>OBRA!X65</f>
        <v>ING. RIGOBERTO OLMEDO RAMOS</v>
      </c>
      <c r="K66" s="829" t="str">
        <f>OBRA!N65</f>
        <v>DOP/AD/006/2014</v>
      </c>
      <c r="L66" s="186" t="str">
        <f>OBRA!O65</f>
        <v>CANCELADA</v>
      </c>
      <c r="M66" s="106" t="str">
        <f>OBRA!P65</f>
        <v>REHABILITACIÓN DE RED DE AGUA POTABLE EN C. HIDALGO DE C. NIÑOS HEROES HASTA ESCUELA J. VICENTE NEGRETE, EN LA AGENCIA MUNICIPAL DE "EL MOLINO"</v>
      </c>
      <c r="N66" s="125"/>
      <c r="O66" s="125"/>
      <c r="P66" s="87">
        <f>OBRA!S65</f>
        <v>41831</v>
      </c>
      <c r="Q66" s="86">
        <f>OBRA!R65</f>
        <v>75328.27</v>
      </c>
      <c r="R66" s="86"/>
      <c r="S66" s="88">
        <f>OBRA!T65</f>
        <v>41834</v>
      </c>
      <c r="T66" s="89">
        <f>OBRA!U65</f>
        <v>41846</v>
      </c>
      <c r="U66" s="101"/>
      <c r="V66" s="101" t="s">
        <v>1428</v>
      </c>
      <c r="W66" s="370"/>
      <c r="X66" s="91"/>
      <c r="Y66" s="821">
        <f>OBRA!AR65</f>
        <v>0</v>
      </c>
      <c r="Z66" s="311"/>
      <c r="AA66" s="311"/>
      <c r="AB66" s="88"/>
      <c r="AC66" s="467">
        <f>OBRA!BW65</f>
        <v>0</v>
      </c>
      <c r="AD66" s="354"/>
    </row>
    <row r="67" spans="1:30" s="104" customFormat="1" ht="75.75" hidden="1" customHeight="1">
      <c r="A67" s="81" t="s">
        <v>2206</v>
      </c>
      <c r="B67" s="820" t="str">
        <f>GRAL!B68</f>
        <v>2012-2015</v>
      </c>
      <c r="C67" s="82">
        <f>OBRA!J66</f>
        <v>2014</v>
      </c>
      <c r="D67" s="97" t="str">
        <f>OBRA!M66</f>
        <v>RAMO 33</v>
      </c>
      <c r="E67" s="479" t="s">
        <v>1428</v>
      </c>
      <c r="F67" s="354"/>
      <c r="G67" s="96"/>
      <c r="H67" s="354"/>
      <c r="I67" s="276" t="str">
        <f>OBRA!W66</f>
        <v>-</v>
      </c>
      <c r="J67" s="277" t="str">
        <f>OBRA!X66</f>
        <v>ING. RIGOBERTO OLMEDO RAMOS</v>
      </c>
      <c r="K67" s="829" t="str">
        <f>OBRA!N66</f>
        <v>DOP/AD/005/2014</v>
      </c>
      <c r="L67" s="186" t="str">
        <f>OBRA!O66</f>
        <v>CANCELADA</v>
      </c>
      <c r="M67" s="106" t="str">
        <f>OBRA!P66</f>
        <v>REHABILITACIÓN DE RED DE DRENAJE EN C. HIDALGO DE C. NIÑOS HEROES HASTA ESCUELA J. VICENTE NEGRETE, EN LA AGENCIA MUNICIPAL DE "EL MOLINO"</v>
      </c>
      <c r="N67" s="125"/>
      <c r="O67" s="125"/>
      <c r="P67" s="87">
        <f>OBRA!S66</f>
        <v>41817</v>
      </c>
      <c r="Q67" s="86">
        <f>OBRA!R66</f>
        <v>109593.60000000001</v>
      </c>
      <c r="R67" s="86"/>
      <c r="S67" s="88">
        <f>OBRA!T66</f>
        <v>41821</v>
      </c>
      <c r="T67" s="89">
        <f>OBRA!U66</f>
        <v>41834</v>
      </c>
      <c r="U67" s="101"/>
      <c r="V67" s="101" t="s">
        <v>1428</v>
      </c>
      <c r="W67" s="370"/>
      <c r="X67" s="91"/>
      <c r="Y67" s="821">
        <f>OBRA!AR66</f>
        <v>0</v>
      </c>
      <c r="Z67" s="311"/>
      <c r="AA67" s="311"/>
      <c r="AB67" s="88"/>
      <c r="AC67" s="467">
        <f>OBRA!BW66</f>
        <v>0</v>
      </c>
      <c r="AD67" s="354"/>
    </row>
    <row r="68" spans="1:30" s="104" customFormat="1" ht="75.75" hidden="1" customHeight="1">
      <c r="A68" s="81" t="s">
        <v>2206</v>
      </c>
      <c r="B68" s="820" t="str">
        <f>GRAL!B69</f>
        <v>2012-2015</v>
      </c>
      <c r="C68" s="82">
        <f>OBRA!J67</f>
        <v>2014</v>
      </c>
      <c r="D68" s="97" t="str">
        <f>OBRA!M67</f>
        <v>RAMO 33</v>
      </c>
      <c r="E68" s="479" t="s">
        <v>1428</v>
      </c>
      <c r="F68" s="354"/>
      <c r="G68" s="96"/>
      <c r="H68" s="354"/>
      <c r="I68" s="276" t="str">
        <f>OBRA!W67</f>
        <v>-</v>
      </c>
      <c r="J68" s="277" t="str">
        <f>OBRA!X67</f>
        <v>ING. RIGOBERTO OLMEDO RAMOS</v>
      </c>
      <c r="K68" s="829" t="str">
        <f>OBRA!N67</f>
        <v>DOP/AD/008/2014</v>
      </c>
      <c r="L68" s="186" t="str">
        <f>OBRA!O67</f>
        <v>CANCELADA</v>
      </c>
      <c r="M68" s="106" t="str">
        <f>OBRA!P67</f>
        <v>REHABILITACIÓN DE RED DE DRENAJE EN C. NIÑOS HEROES DE C. HIDALGO HASTA LA ESCUELA TELESECUNDARIA NIÑOS HEROES, EN LA AGENCIA MUNICIPAL DE "EL MOLINO"</v>
      </c>
      <c r="N68" s="125"/>
      <c r="O68" s="125"/>
      <c r="P68" s="87">
        <f>OBRA!S67</f>
        <v>41845</v>
      </c>
      <c r="Q68" s="86">
        <f>OBRA!R67</f>
        <v>56400.28</v>
      </c>
      <c r="R68" s="86"/>
      <c r="S68" s="88">
        <f>OBRA!T67</f>
        <v>41848</v>
      </c>
      <c r="T68" s="89">
        <f>OBRA!U67</f>
        <v>41860</v>
      </c>
      <c r="U68" s="101"/>
      <c r="V68" s="101" t="s">
        <v>1428</v>
      </c>
      <c r="W68" s="370"/>
      <c r="X68" s="91"/>
      <c r="Y68" s="821">
        <f>OBRA!AR67</f>
        <v>0</v>
      </c>
      <c r="Z68" s="311"/>
      <c r="AA68" s="311"/>
      <c r="AB68" s="88"/>
      <c r="AC68" s="467">
        <f>OBRA!BW67</f>
        <v>0</v>
      </c>
      <c r="AD68" s="354"/>
    </row>
    <row r="69" spans="1:30" s="104" customFormat="1" ht="75.75" hidden="1" customHeight="1">
      <c r="A69" s="81" t="s">
        <v>2206</v>
      </c>
      <c r="B69" s="820" t="str">
        <f>GRAL!B70</f>
        <v>2012-2015</v>
      </c>
      <c r="C69" s="82">
        <f>OBRA!J68</f>
        <v>2014</v>
      </c>
      <c r="D69" s="97" t="str">
        <f>OBRA!M68</f>
        <v>RAMO 33</v>
      </c>
      <c r="E69" s="479" t="s">
        <v>1428</v>
      </c>
      <c r="F69" s="354"/>
      <c r="G69" s="96"/>
      <c r="H69" s="354"/>
      <c r="I69" s="276" t="str">
        <f>OBRA!W68</f>
        <v>-</v>
      </c>
      <c r="J69" s="277" t="str">
        <f>OBRA!X68</f>
        <v>ING. RIGOBERTO OLMEDO RAMOS</v>
      </c>
      <c r="K69" s="829" t="str">
        <f>OBRA!N68</f>
        <v>DOP/AD/007/2014</v>
      </c>
      <c r="L69" s="186" t="str">
        <f>OBRA!O68</f>
        <v>CANCELADA</v>
      </c>
      <c r="M69" s="106" t="str">
        <f>OBRA!P68</f>
        <v>EMPEDRADO AHOGADO EN CEMENTO C. HIDALGO DE C. NIÑOS HEROES HASTA ESCUELA J. VICENTE NEGRETE, EN LA AGENCIA MUNICIPAL DE "EL MOLINO"</v>
      </c>
      <c r="N69" s="125"/>
      <c r="O69" s="125"/>
      <c r="P69" s="87">
        <f>OBRA!S68</f>
        <v>41831</v>
      </c>
      <c r="Q69" s="86">
        <f>OBRA!R68</f>
        <v>592587.04</v>
      </c>
      <c r="R69" s="86"/>
      <c r="S69" s="88">
        <f>OBRA!T68</f>
        <v>41848</v>
      </c>
      <c r="T69" s="89">
        <f>OBRA!U68</f>
        <v>41874</v>
      </c>
      <c r="U69" s="101"/>
      <c r="V69" s="101" t="s">
        <v>1428</v>
      </c>
      <c r="W69" s="370"/>
      <c r="X69" s="91"/>
      <c r="Y69" s="821">
        <f>OBRA!AR68</f>
        <v>0</v>
      </c>
      <c r="Z69" s="311"/>
      <c r="AA69" s="311"/>
      <c r="AB69" s="88"/>
      <c r="AC69" s="467">
        <f>OBRA!BW68</f>
        <v>0</v>
      </c>
      <c r="AD69" s="354"/>
    </row>
    <row r="70" spans="1:30" s="104" customFormat="1" ht="75.75" hidden="1" customHeight="1">
      <c r="A70" s="81" t="s">
        <v>2206</v>
      </c>
      <c r="B70" s="820" t="str">
        <f>GRAL!B71</f>
        <v>2012-2015</v>
      </c>
      <c r="C70" s="82">
        <f>OBRA!J69</f>
        <v>2014</v>
      </c>
      <c r="D70" s="97" t="str">
        <f>OBRA!M69</f>
        <v>RAMO 33</v>
      </c>
      <c r="E70" s="479" t="s">
        <v>1428</v>
      </c>
      <c r="F70" s="354"/>
      <c r="G70" s="96"/>
      <c r="H70" s="354"/>
      <c r="I70" s="276" t="str">
        <f>OBRA!W69</f>
        <v>-</v>
      </c>
      <c r="J70" s="277" t="str">
        <f>OBRA!X69</f>
        <v>ING. RIGOBERTO OLMEDO RAMOS</v>
      </c>
      <c r="K70" s="829" t="str">
        <f>OBRA!N69</f>
        <v>DOP/AD/010/2014</v>
      </c>
      <c r="L70" s="186" t="str">
        <f>OBRA!O69</f>
        <v>CANCELADA</v>
      </c>
      <c r="M70" s="106" t="str">
        <f>OBRA!P69</f>
        <v>EMPEDRADO AHOGADO EN CEMENTO C. NIÑOS HEROES DE C. HIDALGO HASTA LA ESCUELA TELESECUNDARIA NIÑOS HEROES, EN LA AGENCIA MUNICIPAL DE "EL MOLINO"</v>
      </c>
      <c r="N70" s="125"/>
      <c r="O70" s="125"/>
      <c r="P70" s="87">
        <f>OBRA!S69</f>
        <v>41873</v>
      </c>
      <c r="Q70" s="86">
        <f>OBRA!R69</f>
        <v>346618.19</v>
      </c>
      <c r="R70" s="86"/>
      <c r="S70" s="88">
        <f>OBRA!T69</f>
        <v>41876</v>
      </c>
      <c r="T70" s="89">
        <f>OBRA!U69</f>
        <v>41902</v>
      </c>
      <c r="U70" s="101"/>
      <c r="V70" s="101" t="s">
        <v>1428</v>
      </c>
      <c r="W70" s="370"/>
      <c r="X70" s="91"/>
      <c r="Y70" s="821">
        <f>OBRA!AR69</f>
        <v>0</v>
      </c>
      <c r="Z70" s="311"/>
      <c r="AA70" s="311"/>
      <c r="AB70" s="88"/>
      <c r="AC70" s="467">
        <f>OBRA!BW69</f>
        <v>0</v>
      </c>
      <c r="AD70" s="354"/>
    </row>
    <row r="71" spans="1:30" s="104" customFormat="1" ht="75.75" hidden="1" customHeight="1">
      <c r="A71" s="81" t="s">
        <v>2206</v>
      </c>
      <c r="B71" s="820" t="str">
        <f>GRAL!B72</f>
        <v>2012-2015</v>
      </c>
      <c r="C71" s="82">
        <f>OBRA!J70</f>
        <v>2014</v>
      </c>
      <c r="D71" s="97" t="str">
        <f>OBRA!M70</f>
        <v>RAMO 33</v>
      </c>
      <c r="E71" s="479" t="s">
        <v>1428</v>
      </c>
      <c r="F71" s="354"/>
      <c r="G71" s="96"/>
      <c r="H71" s="354"/>
      <c r="I71" s="276" t="str">
        <f>OBRA!W70</f>
        <v>-</v>
      </c>
      <c r="J71" s="277" t="str">
        <f>OBRA!X70</f>
        <v>ING. RIGOBERTO OLMEDO RAMOS</v>
      </c>
      <c r="K71" s="829" t="str">
        <f>OBRA!N70</f>
        <v>DOP/AD/012/2014</v>
      </c>
      <c r="L71" s="186" t="str">
        <f>OBRA!O70</f>
        <v>CANCELADA</v>
      </c>
      <c r="M71" s="106" t="str">
        <f>OBRA!P70</f>
        <v>REHABILITACIÓN DE RED DE AGUA POTABLE EN C. VICENTE SUAREZ ENTRE C. INDEPENDENCIA Y NIÑOS HEROES, EN LA AGENCIA MUNICIPAL DE "EL MOLINO"</v>
      </c>
      <c r="N71" s="125"/>
      <c r="O71" s="125"/>
      <c r="P71" s="87">
        <f>OBRA!S70</f>
        <v>41887</v>
      </c>
      <c r="Q71" s="86">
        <f>OBRA!R70</f>
        <v>100696.44</v>
      </c>
      <c r="R71" s="86"/>
      <c r="S71" s="88">
        <f>OBRA!T70</f>
        <v>41890</v>
      </c>
      <c r="T71" s="89">
        <f>OBRA!U70</f>
        <v>41902</v>
      </c>
      <c r="U71" s="101"/>
      <c r="V71" s="101" t="s">
        <v>1428</v>
      </c>
      <c r="W71" s="370"/>
      <c r="X71" s="91"/>
      <c r="Y71" s="821">
        <f>OBRA!AR70</f>
        <v>0</v>
      </c>
      <c r="Z71" s="311"/>
      <c r="AA71" s="311"/>
      <c r="AB71" s="88"/>
      <c r="AC71" s="467">
        <f>OBRA!BW70</f>
        <v>0</v>
      </c>
      <c r="AD71" s="354"/>
    </row>
    <row r="72" spans="1:30" s="104" customFormat="1" ht="75.75" hidden="1" customHeight="1">
      <c r="A72" s="81" t="s">
        <v>2206</v>
      </c>
      <c r="B72" s="820" t="str">
        <f>GRAL!B73</f>
        <v>2012-2015</v>
      </c>
      <c r="C72" s="82">
        <f>OBRA!J71</f>
        <v>2014</v>
      </c>
      <c r="D72" s="97" t="str">
        <f>OBRA!M71</f>
        <v>RAMO 33</v>
      </c>
      <c r="E72" s="102" t="s">
        <v>1428</v>
      </c>
      <c r="F72" s="354"/>
      <c r="G72" s="96"/>
      <c r="H72" s="354"/>
      <c r="I72" s="276" t="str">
        <f>OBRA!W71</f>
        <v>-</v>
      </c>
      <c r="J72" s="277" t="str">
        <f>OBRA!X71</f>
        <v>ING. RIGOBERTO OLMEDO RAMOS</v>
      </c>
      <c r="K72" s="829" t="str">
        <f>OBRA!N71</f>
        <v>DOP/AD/011/2014</v>
      </c>
      <c r="L72" s="186" t="str">
        <f>OBRA!O71</f>
        <v>CANCELADA</v>
      </c>
      <c r="M72" s="106" t="str">
        <f>OBRA!P71</f>
        <v>REHABILITACIÓN DE RED DE DRENAJE EN C. VICENTE SUAREZ ENTRE C. INDEPENDENCIA Y NIÑOS HEROES, EN LA AGENCIA MUNICIPAL DE "EL MOLINO"</v>
      </c>
      <c r="N72" s="125"/>
      <c r="O72" s="125"/>
      <c r="P72" s="87">
        <f>OBRA!S71</f>
        <v>41873</v>
      </c>
      <c r="Q72" s="86">
        <f>OBRA!R71</f>
        <v>129939.7</v>
      </c>
      <c r="R72" s="86"/>
      <c r="S72" s="88">
        <f>OBRA!T71</f>
        <v>41876</v>
      </c>
      <c r="T72" s="89">
        <f>OBRA!U71</f>
        <v>41888</v>
      </c>
      <c r="U72" s="101"/>
      <c r="V72" s="101" t="s">
        <v>1428</v>
      </c>
      <c r="W72" s="370"/>
      <c r="X72" s="91"/>
      <c r="Y72" s="821">
        <f>OBRA!AR71</f>
        <v>0</v>
      </c>
      <c r="Z72" s="311"/>
      <c r="AA72" s="311"/>
      <c r="AB72" s="88"/>
      <c r="AC72" s="467">
        <f>OBRA!BW71</f>
        <v>0</v>
      </c>
      <c r="AD72" s="354"/>
    </row>
    <row r="73" spans="1:30" s="104" customFormat="1" ht="75.75" hidden="1" customHeight="1">
      <c r="A73" s="81" t="s">
        <v>2206</v>
      </c>
      <c r="B73" s="820" t="str">
        <f>GRAL!B74</f>
        <v>2012-2015</v>
      </c>
      <c r="C73" s="82">
        <f>OBRA!J72</f>
        <v>2014</v>
      </c>
      <c r="D73" s="97" t="str">
        <f>OBRA!M72</f>
        <v>RAMO 33</v>
      </c>
      <c r="E73" s="479" t="s">
        <v>1428</v>
      </c>
      <c r="F73" s="354"/>
      <c r="G73" s="96"/>
      <c r="H73" s="354"/>
      <c r="I73" s="276" t="str">
        <f>OBRA!W72</f>
        <v>-</v>
      </c>
      <c r="J73" s="277" t="str">
        <f>OBRA!X72</f>
        <v>ING. RIGOBERTO OLMEDO RAMOS</v>
      </c>
      <c r="K73" s="829" t="str">
        <f>OBRA!N72</f>
        <v>DOP/AD/013/2014</v>
      </c>
      <c r="L73" s="186" t="str">
        <f>OBRA!O72</f>
        <v>CANCELADA</v>
      </c>
      <c r="M73" s="106" t="str">
        <f>OBRA!P72</f>
        <v>EMPEDRADO AHOGADO EN CEMENTO C. VICENTE SUAREZ ENTRE C. INDEPENDENCIA Y NIÑOS HEROES, EN LA AGENCIA MUNICIPAL DE "EL MOLINO"</v>
      </c>
      <c r="N73" s="125"/>
      <c r="O73" s="125"/>
      <c r="P73" s="87">
        <f>OBRA!S72</f>
        <v>41901</v>
      </c>
      <c r="Q73" s="86">
        <f>OBRA!R72</f>
        <v>659302.69999999995</v>
      </c>
      <c r="R73" s="86"/>
      <c r="S73" s="88">
        <f>OBRA!T72</f>
        <v>41904</v>
      </c>
      <c r="T73" s="89">
        <f>OBRA!U72</f>
        <v>41930</v>
      </c>
      <c r="U73" s="101"/>
      <c r="V73" s="101" t="s">
        <v>1428</v>
      </c>
      <c r="W73" s="370"/>
      <c r="X73" s="91"/>
      <c r="Y73" s="821">
        <f>OBRA!AR72</f>
        <v>0</v>
      </c>
      <c r="Z73" s="311"/>
      <c r="AA73" s="311"/>
      <c r="AB73" s="88"/>
      <c r="AC73" s="467">
        <f>OBRA!BW72</f>
        <v>0</v>
      </c>
      <c r="AD73" s="354"/>
    </row>
    <row r="74" spans="1:30" ht="105.75" hidden="1" customHeight="1">
      <c r="A74" s="22" t="s">
        <v>2206</v>
      </c>
      <c r="B74" s="809" t="str">
        <f>GRAL!B75</f>
        <v>2012-2015</v>
      </c>
      <c r="C74" s="16">
        <f>OBRA!J73</f>
        <v>2014</v>
      </c>
      <c r="D74" s="17" t="str">
        <f>OBRA!M73</f>
        <v>FONDEREG</v>
      </c>
      <c r="E74" s="478"/>
      <c r="F74" s="352"/>
      <c r="G74" s="1"/>
      <c r="H74" s="352"/>
      <c r="I74" s="208" t="str">
        <f>OBRA!W73</f>
        <v>C. URIEL PALOS CUEVAS</v>
      </c>
      <c r="J74" s="231" t="str">
        <f>OBRA!X73</f>
        <v>C. DANIEL RODRIGUEZ VALENZUELA</v>
      </c>
      <c r="K74" s="19" t="str">
        <f>OBRA!N73</f>
        <v>GMJ 003C OP/2014</v>
      </c>
      <c r="L74" s="2" t="str">
        <f>OBRA!O73</f>
        <v>INVITACIÓN</v>
      </c>
      <c r="M74" s="3" t="str">
        <f>OBRA!P73</f>
        <v>COLOCACIÓN DE ADOQUIN ASENTADO EN ARENA DE RIO EN LA CALLE PROFIRIO DÍAZ Y RENOVACIÓN DE REDES DE AGUA POTABLE Y DRENAJE, QUE SE LLEVARA A CABO EN LA LOCALIDAD DE SAN JUAN COSALA</v>
      </c>
      <c r="N74" s="3"/>
      <c r="O74" s="3"/>
      <c r="P74" s="6">
        <f>OBRA!S73</f>
        <v>41824</v>
      </c>
      <c r="Q74" s="4">
        <f>OBRA!R73</f>
        <v>2564100.69</v>
      </c>
      <c r="R74" s="4"/>
      <c r="S74" s="5">
        <f>OBRA!T73</f>
        <v>41855</v>
      </c>
      <c r="T74" s="11">
        <f>OBRA!U73</f>
        <v>41884</v>
      </c>
      <c r="U74" s="52"/>
      <c r="V74" s="226" t="s">
        <v>1428</v>
      </c>
      <c r="W74" s="105"/>
      <c r="X74" s="53"/>
      <c r="Y74" s="278">
        <f>OBRA!AR73</f>
        <v>0</v>
      </c>
      <c r="Z74" s="309"/>
      <c r="AA74" s="309"/>
      <c r="AB74" s="5"/>
      <c r="AC74" s="317">
        <f>OBRA!BW73</f>
        <v>0</v>
      </c>
      <c r="AD74" s="352"/>
    </row>
    <row r="75" spans="1:30" ht="75.75" hidden="1" customHeight="1">
      <c r="A75" s="22" t="s">
        <v>2206</v>
      </c>
      <c r="B75" s="809" t="str">
        <f>GRAL!B76</f>
        <v>2012-2015</v>
      </c>
      <c r="C75" s="16">
        <f>OBRA!J74</f>
        <v>2014</v>
      </c>
      <c r="D75" s="17" t="str">
        <f>OBRA!M74</f>
        <v>CUENTA CORRIENTE</v>
      </c>
      <c r="E75" s="478" t="s">
        <v>1428</v>
      </c>
      <c r="F75" s="352"/>
      <c r="G75" s="1"/>
      <c r="H75" s="352"/>
      <c r="I75" s="208" t="str">
        <f>OBRA!W74</f>
        <v>-</v>
      </c>
      <c r="J75" s="231" t="str">
        <f>OBRA!X74</f>
        <v>C. DANIEL RODRIGUEZ VALENZUELA</v>
      </c>
      <c r="K75" s="19" t="str">
        <f>OBRA!N74</f>
        <v>DOP/AD/014/2014</v>
      </c>
      <c r="L75" s="2" t="str">
        <f>OBRA!O74</f>
        <v>ADMINISTRACIÓN DIRECTA</v>
      </c>
      <c r="M75" s="3" t="str">
        <f>OBRA!P74</f>
        <v>CONSTRUCCIÓN DE BANQUETAS EN C. MORELOS ENTRE HIDALGO Y JOSEFA ORTIZ DE DOMÍNGUEZ (1 LADO) SUR, EN LA CABECERA MUNICIPAL</v>
      </c>
      <c r="N75" s="3"/>
      <c r="O75" s="3"/>
      <c r="P75" s="6">
        <f>OBRA!S74</f>
        <v>41876</v>
      </c>
      <c r="Q75" s="4">
        <f>OBRA!R74</f>
        <v>119790.69</v>
      </c>
      <c r="R75" s="4"/>
      <c r="S75" s="5">
        <f>OBRA!T74</f>
        <v>41876</v>
      </c>
      <c r="T75" s="11">
        <f>OBRA!U74</f>
        <v>41907</v>
      </c>
      <c r="U75" s="52"/>
      <c r="V75" s="226" t="s">
        <v>1428</v>
      </c>
      <c r="W75" s="105"/>
      <c r="X75" s="53"/>
      <c r="Y75" s="278">
        <f>OBRA!AR74</f>
        <v>0</v>
      </c>
      <c r="Z75" s="309"/>
      <c r="AA75" s="309"/>
      <c r="AB75" s="5"/>
      <c r="AC75" s="317">
        <f>OBRA!BW74</f>
        <v>0</v>
      </c>
      <c r="AD75" s="352"/>
    </row>
    <row r="76" spans="1:30" ht="75.75" hidden="1" customHeight="1">
      <c r="A76" s="22" t="s">
        <v>2206</v>
      </c>
      <c r="B76" s="809" t="str">
        <f>GRAL!B77</f>
        <v>2012-2015</v>
      </c>
      <c r="C76" s="16">
        <f>OBRA!J75</f>
        <v>2014</v>
      </c>
      <c r="D76" s="17" t="str">
        <f>OBRA!M75</f>
        <v>RAMO 33</v>
      </c>
      <c r="E76" s="478" t="s">
        <v>1428</v>
      </c>
      <c r="F76" s="352"/>
      <c r="G76" s="1"/>
      <c r="H76" s="352"/>
      <c r="I76" s="208" t="str">
        <f>OBRA!W75</f>
        <v>-</v>
      </c>
      <c r="J76" s="231" t="str">
        <f>OBRA!X75</f>
        <v>ING. RIGOBERTO OLMEDO RAMOS</v>
      </c>
      <c r="K76" s="19" t="str">
        <f>OBRA!N75</f>
        <v>DOP/AD/015/2014</v>
      </c>
      <c r="L76" s="2" t="str">
        <f>OBRA!O75</f>
        <v>ADMINISTRACIÓN DIRECTA</v>
      </c>
      <c r="M76" s="3" t="str">
        <f>OBRA!P75</f>
        <v>AMPLIACIÓN DE COLECTOR DE ALEJAMIENTO DEL DRENAJE SANITARIO (ENTRE AVE. DEL TRABAJO HASTA ARROYO) EN LA DELEGACIÓN DE ZAPOTITAN DE HIDALGO</v>
      </c>
      <c r="N76" s="3"/>
      <c r="O76" s="3"/>
      <c r="P76" s="6">
        <f>OBRA!S75</f>
        <v>41883</v>
      </c>
      <c r="Q76" s="4">
        <f>OBRA!R75</f>
        <v>1543344.7</v>
      </c>
      <c r="R76" s="4"/>
      <c r="S76" s="5">
        <f>OBRA!T75</f>
        <v>41883</v>
      </c>
      <c r="T76" s="11">
        <f>OBRA!U75</f>
        <v>41912</v>
      </c>
      <c r="U76" s="52"/>
      <c r="V76" s="226" t="s">
        <v>1428</v>
      </c>
      <c r="W76" s="105"/>
      <c r="X76" s="53"/>
      <c r="Y76" s="278">
        <f>OBRA!AR75</f>
        <v>0</v>
      </c>
      <c r="Z76" s="309"/>
      <c r="AA76" s="309"/>
      <c r="AB76" s="5"/>
      <c r="AC76" s="317">
        <f>OBRA!BW75</f>
        <v>0</v>
      </c>
      <c r="AD76" s="352"/>
    </row>
    <row r="77" spans="1:30" ht="165.75" hidden="1" customHeight="1">
      <c r="A77" s="22" t="s">
        <v>2206</v>
      </c>
      <c r="B77" s="809" t="str">
        <f>GRAL!B78</f>
        <v>2012-2015</v>
      </c>
      <c r="C77" s="16">
        <f>OBRA!J76</f>
        <v>2014</v>
      </c>
      <c r="D77" s="17" t="str">
        <f>OBRA!M76</f>
        <v>CUENTA CORRIENTE</v>
      </c>
      <c r="E77" s="478" t="s">
        <v>1428</v>
      </c>
      <c r="F77" s="352"/>
      <c r="G77" s="1"/>
      <c r="H77" s="352"/>
      <c r="I77" s="208" t="str">
        <f>OBRA!W76</f>
        <v>-</v>
      </c>
      <c r="J77" s="231" t="str">
        <f>OBRA!X76</f>
        <v>ARQ. JUAN MANUEL PIRUL CORTÉS</v>
      </c>
      <c r="K77" s="19" t="str">
        <f>OBRA!N76</f>
        <v>DOP/AD/016/2014</v>
      </c>
      <c r="L77" s="2" t="str">
        <f>OBRA!O76</f>
        <v>ADMINISTRACIÓN DIRECTA</v>
      </c>
      <c r="M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OBRA!S76</f>
        <v>41830</v>
      </c>
      <c r="Q77" s="4">
        <f>OBRA!R76</f>
        <v>200000</v>
      </c>
      <c r="R77" s="4"/>
      <c r="S77" s="5">
        <f>OBRA!T76</f>
        <v>41834</v>
      </c>
      <c r="T77" s="11">
        <f>OBRA!U76</f>
        <v>41897</v>
      </c>
      <c r="U77" s="52"/>
      <c r="V77" s="226" t="s">
        <v>1428</v>
      </c>
      <c r="W77" s="105"/>
      <c r="X77" s="53"/>
      <c r="Y77" s="278">
        <f>OBRA!AR76</f>
        <v>0</v>
      </c>
      <c r="Z77" s="309"/>
      <c r="AA77" s="309"/>
      <c r="AB77" s="5"/>
      <c r="AC77" s="317">
        <f>OBRA!BW76</f>
        <v>0</v>
      </c>
      <c r="AD77" s="352"/>
    </row>
    <row r="78" spans="1:30" ht="30.75" hidden="1" customHeight="1">
      <c r="A78" s="22" t="s">
        <v>2206</v>
      </c>
      <c r="B78" s="809" t="str">
        <f>GRAL!B79</f>
        <v>2012-2015</v>
      </c>
      <c r="C78" s="16">
        <f>OBRA!J77</f>
        <v>2014</v>
      </c>
      <c r="D78" s="17" t="str">
        <f>OBRA!M77</f>
        <v>PET</v>
      </c>
      <c r="E78" s="478"/>
      <c r="F78" s="352"/>
      <c r="G78" s="1"/>
      <c r="H78" s="352"/>
      <c r="I78" s="208" t="str">
        <f>OBRA!W77</f>
        <v>-</v>
      </c>
      <c r="J78" s="231" t="str">
        <f>OBRA!X77</f>
        <v>DANIEL RODRIGUEZ</v>
      </c>
      <c r="K78" s="19" t="str">
        <f>OBRA!N77</f>
        <v>DOP/AD/017/2014</v>
      </c>
      <c r="L78" s="2" t="str">
        <f>OBRA!O77</f>
        <v>ADMINISTRACIÓN DIRECTA</v>
      </c>
      <c r="M78" s="3" t="str">
        <f>OBRA!P77</f>
        <v xml:space="preserve">CONSTRUCCIÓN DE PISO FIRME EN LA LOCALIDAD DE POTRERILLOS </v>
      </c>
      <c r="N78" s="3"/>
      <c r="O78" s="3"/>
      <c r="P78" s="6">
        <f>OBRA!S77</f>
        <v>41922</v>
      </c>
      <c r="Q78" s="4">
        <f>OBRA!R77</f>
        <v>3311850</v>
      </c>
      <c r="R78" s="4"/>
      <c r="S78" s="5">
        <f>OBRA!T77</f>
        <v>41927</v>
      </c>
      <c r="T78" s="11">
        <f>OBRA!U77</f>
        <v>41988</v>
      </c>
      <c r="U78" s="52"/>
      <c r="V78" s="226" t="s">
        <v>1428</v>
      </c>
      <c r="W78" s="105"/>
      <c r="X78" s="53"/>
      <c r="Y78" s="278">
        <f>OBRA!AR77</f>
        <v>0</v>
      </c>
      <c r="Z78" s="309"/>
      <c r="AA78" s="309"/>
      <c r="AB78" s="5"/>
      <c r="AC78" s="317">
        <f>OBRA!BW77</f>
        <v>0</v>
      </c>
      <c r="AD78" s="352"/>
    </row>
    <row r="79" spans="1:30" ht="30.75" hidden="1" customHeight="1">
      <c r="A79" s="22" t="s">
        <v>2206</v>
      </c>
      <c r="B79" s="809" t="str">
        <f>GRAL!B80</f>
        <v>2012-2015</v>
      </c>
      <c r="C79" s="16">
        <f>OBRA!J78</f>
        <v>2014</v>
      </c>
      <c r="D79" s="17" t="str">
        <f>OBRA!M78</f>
        <v>PET</v>
      </c>
      <c r="E79" s="478"/>
      <c r="F79" s="352"/>
      <c r="G79" s="1"/>
      <c r="H79" s="352"/>
      <c r="I79" s="208" t="str">
        <f>OBRA!W78</f>
        <v>-</v>
      </c>
      <c r="J79" s="231" t="str">
        <f>OBRA!X78</f>
        <v>DANIEL RODRIGUEZ</v>
      </c>
      <c r="K79" s="19" t="str">
        <f>OBRA!N78</f>
        <v>DOP/AD/018/2014</v>
      </c>
      <c r="L79" s="2" t="str">
        <f>OBRA!O78</f>
        <v>ADMINISTRACIÓN DIRECTA</v>
      </c>
      <c r="M79" s="3" t="str">
        <f>OBRA!P78</f>
        <v xml:space="preserve">CONSTRUCCIÓN DE PISO FIRME EN LA LOCALIDAD LAS TROJES </v>
      </c>
      <c r="N79" s="3"/>
      <c r="O79" s="3"/>
      <c r="P79" s="6">
        <f>OBRA!S78</f>
        <v>41922</v>
      </c>
      <c r="Q79" s="4">
        <f>OBRA!R78</f>
        <v>540540</v>
      </c>
      <c r="R79" s="4"/>
      <c r="S79" s="5">
        <f>OBRA!T78</f>
        <v>41927</v>
      </c>
      <c r="T79" s="11">
        <f>OBRA!U78</f>
        <v>41988</v>
      </c>
      <c r="U79" s="52"/>
      <c r="V79" s="226" t="s">
        <v>1428</v>
      </c>
      <c r="W79" s="105"/>
      <c r="X79" s="53"/>
      <c r="Y79" s="278">
        <f>OBRA!AR78</f>
        <v>0</v>
      </c>
      <c r="Z79" s="309"/>
      <c r="AA79" s="309"/>
      <c r="AB79" s="5"/>
      <c r="AC79" s="317">
        <f>OBRA!BW78</f>
        <v>0</v>
      </c>
      <c r="AD79" s="352"/>
    </row>
    <row r="80" spans="1:30" ht="60.75" hidden="1" customHeight="1">
      <c r="A80" s="22" t="s">
        <v>2206</v>
      </c>
      <c r="B80" s="809" t="str">
        <f>GRAL!B81</f>
        <v>2012-2015</v>
      </c>
      <c r="C80" s="16">
        <f>OBRA!J79</f>
        <v>2014</v>
      </c>
      <c r="D80" s="17">
        <f>OBRA!M79</f>
        <v>0</v>
      </c>
      <c r="E80" s="478"/>
      <c r="F80" s="352"/>
      <c r="G80" s="1"/>
      <c r="H80" s="352"/>
      <c r="I80" s="208" t="str">
        <f>OBRA!W79</f>
        <v>-</v>
      </c>
      <c r="J80" s="231" t="str">
        <f>OBRA!X79</f>
        <v>ARQ. JAIME CONDE GOMEZ</v>
      </c>
      <c r="K80" s="19" t="str">
        <f>OBRA!N79</f>
        <v>DOP/AD/021/2014</v>
      </c>
      <c r="L80" s="2" t="str">
        <f>OBRA!O79</f>
        <v>ADMINISTRACIÓN DIRECTA</v>
      </c>
      <c r="M80" s="3" t="str">
        <f>OBRA!P79</f>
        <v>REHABILITACION DE BANQUETAS EN C. HIDALGO CRUCE CON CALLE DONATO GUERRA EN LA CABECERA MUNICIPAL</v>
      </c>
      <c r="N80" s="3"/>
      <c r="O80" s="3"/>
      <c r="P80" s="6">
        <f>OBRA!S79</f>
        <v>41939</v>
      </c>
      <c r="Q80" s="4">
        <f>OBRA!R79</f>
        <v>40279.599999999999</v>
      </c>
      <c r="R80" s="4"/>
      <c r="S80" s="5">
        <f>OBRA!T79</f>
        <v>41939</v>
      </c>
      <c r="T80" s="11">
        <f>OBRA!U79</f>
        <v>41954</v>
      </c>
      <c r="U80" s="52"/>
      <c r="V80" s="226" t="s">
        <v>1428</v>
      </c>
      <c r="W80" s="105"/>
      <c r="X80" s="53"/>
      <c r="Y80" s="278">
        <f>OBRA!AR79</f>
        <v>0</v>
      </c>
      <c r="Z80" s="309"/>
      <c r="AA80" s="309"/>
      <c r="AB80" s="5"/>
      <c r="AC80" s="317">
        <f>OBRA!BW79</f>
        <v>0</v>
      </c>
      <c r="AD80" s="352"/>
    </row>
    <row r="81" spans="1:30" ht="45.75" hidden="1" customHeight="1">
      <c r="A81" s="22" t="s">
        <v>2206</v>
      </c>
      <c r="B81" s="809" t="str">
        <f>GRAL!B82</f>
        <v>2012-2015</v>
      </c>
      <c r="C81" s="16">
        <f>OBRA!J80</f>
        <v>2014</v>
      </c>
      <c r="D81" s="17" t="str">
        <f>OBRA!M80</f>
        <v>3X1 PARA MIGRANTES</v>
      </c>
      <c r="E81" s="478"/>
      <c r="F81" s="23"/>
      <c r="G81" s="1"/>
      <c r="H81" s="352"/>
      <c r="I81" s="208" t="str">
        <f>OBRA!W80</f>
        <v>ESTUDIO CASA Y CIUDAD SA DE CV</v>
      </c>
      <c r="J81" s="231" t="str">
        <f>OBRA!X80</f>
        <v>C. DANIEL RODRIGUEZ VALENZUELA</v>
      </c>
      <c r="K81" s="19" t="str">
        <f>OBRA!N80</f>
        <v>GMJ 004C OP/2014</v>
      </c>
      <c r="L81" s="2" t="str">
        <f>OBRA!O80</f>
        <v>INVITACIÓN</v>
      </c>
      <c r="M81" s="3" t="str">
        <f>OBRA!P80</f>
        <v>TERMINACION DE GUARDERIA EN LA CABECERA MUNICIPAL DE JOCOTEPEC</v>
      </c>
      <c r="N81" s="3"/>
      <c r="O81" s="3"/>
      <c r="P81" s="6">
        <f>OBRA!S80</f>
        <v>41848</v>
      </c>
      <c r="Q81" s="4">
        <f>OBRA!R80</f>
        <v>3006508.94</v>
      </c>
      <c r="R81" s="4"/>
      <c r="S81" s="5">
        <f>OBRA!T80</f>
        <v>41855</v>
      </c>
      <c r="T81" s="11">
        <f>OBRA!U80</f>
        <v>41975</v>
      </c>
      <c r="U81" s="52"/>
      <c r="V81" s="226" t="s">
        <v>1428</v>
      </c>
      <c r="W81" s="105"/>
      <c r="X81" s="53"/>
      <c r="Y81" s="278">
        <f>OBRA!AR80</f>
        <v>0</v>
      </c>
      <c r="Z81" s="309"/>
      <c r="AA81" s="309"/>
      <c r="AB81" s="5"/>
      <c r="AC81" s="317">
        <f>OBRA!BW80</f>
        <v>0</v>
      </c>
      <c r="AD81" s="352"/>
    </row>
    <row r="82" spans="1:30" s="299" customFormat="1" ht="132.75" hidden="1" customHeight="1">
      <c r="A82" s="305" t="s">
        <v>2206</v>
      </c>
      <c r="B82" s="853" t="str">
        <f>GRAL!B83</f>
        <v>2012-2015</v>
      </c>
      <c r="C82" s="288">
        <f>OBRA!J81</f>
        <v>2014</v>
      </c>
      <c r="D82" s="484" t="str">
        <f>OBRA!M81</f>
        <v>RAMO 33</v>
      </c>
      <c r="E82" s="486" t="s">
        <v>1428</v>
      </c>
      <c r="F82" s="491" t="s">
        <v>2207</v>
      </c>
      <c r="G82" s="452" t="s">
        <v>2208</v>
      </c>
      <c r="H82" s="453" t="s">
        <v>2209</v>
      </c>
      <c r="I82" s="307" t="str">
        <f>OBRA!W81</f>
        <v>PROYECTO DISEÑO Y CONSTRUCCION</v>
      </c>
      <c r="J82" s="304" t="str">
        <f>OBRA!X81</f>
        <v>C. DANIEL RODRIGUEZ VALENZUELA</v>
      </c>
      <c r="K82" s="439" t="str">
        <f>OBRA!N81</f>
        <v>GMJ 005C OP/2014</v>
      </c>
      <c r="L82" s="291" t="str">
        <f>OBRA!O81</f>
        <v>ADJUDICACIÓN DIRECTA</v>
      </c>
      <c r="M82" s="292" t="str">
        <f>OBRA!P81</f>
        <v>ALUMBRADO PUBLICO EN AV. DEL TRABAJO, EN LA DELEGACIÓN DE ZAPOTITAN DE HIDALGO, DEL MUNICIPIO DE JOCOTEPEC, JALISCO</v>
      </c>
      <c r="N82" s="465" t="s">
        <v>2210</v>
      </c>
      <c r="O82" s="465"/>
      <c r="P82" s="294">
        <f>OBRA!S81</f>
        <v>41901</v>
      </c>
      <c r="Q82" s="293">
        <f>OBRA!R81</f>
        <v>887908.66</v>
      </c>
      <c r="R82" s="293"/>
      <c r="S82" s="295">
        <f>OBRA!T81</f>
        <v>41911</v>
      </c>
      <c r="T82" s="296">
        <f>OBRA!U81</f>
        <v>41954</v>
      </c>
      <c r="U82" s="366"/>
      <c r="V82" s="804" t="s">
        <v>1428</v>
      </c>
      <c r="W82" s="454" t="s">
        <v>2211</v>
      </c>
      <c r="X82" s="455" t="s">
        <v>2212</v>
      </c>
      <c r="Y82" s="446">
        <f>88790.87*2</f>
        <v>177581.74</v>
      </c>
      <c r="Z82" s="310"/>
      <c r="AA82" s="310"/>
      <c r="AB82" s="295"/>
      <c r="AC82" s="384">
        <f>OBRA!BW81</f>
        <v>0</v>
      </c>
      <c r="AD82" s="353" t="s">
        <v>551</v>
      </c>
    </row>
    <row r="83" spans="1:30" ht="90.75" hidden="1" customHeight="1">
      <c r="A83" s="22" t="s">
        <v>2206</v>
      </c>
      <c r="B83" s="809" t="str">
        <f>GRAL!B84</f>
        <v>2012-2015</v>
      </c>
      <c r="C83" s="16">
        <f>OBRA!J82</f>
        <v>2014</v>
      </c>
      <c r="D83" s="17" t="str">
        <f>OBRA!M82</f>
        <v>RAMO 33</v>
      </c>
      <c r="E83" s="436" t="s">
        <v>1428</v>
      </c>
      <c r="F83" s="492"/>
      <c r="G83" s="440"/>
      <c r="H83" s="441"/>
      <c r="I83" s="208" t="str">
        <f>OBRA!W82</f>
        <v>-</v>
      </c>
      <c r="J83" s="231" t="str">
        <f>OBRA!X82</f>
        <v>ING. RIGOBERTO OLMEDO RAMOS</v>
      </c>
      <c r="K83" s="439" t="str">
        <f>OBRA!N82</f>
        <v>DOP/AD/029/2014</v>
      </c>
      <c r="L83" s="2" t="str">
        <f>OBRA!O82</f>
        <v>ADMINISTRACIÓN DIRECTA</v>
      </c>
      <c r="M83" s="3" t="str">
        <f>OBRA!P82</f>
        <v>REHABILITACIÓN DE RED DE DRENAJE EN C. HIDALGO, CON REPOSICIÓN DE EMPEDRADO DE; C. NIÑOS HEROES HASTA ESCUELA J. VICENTE NEGRETE, EN LA AGENCIA MUNICIPAL DE EL MOLINO.</v>
      </c>
      <c r="N83" s="438"/>
      <c r="O83" s="438"/>
      <c r="P83" s="6">
        <f>OBRA!S82</f>
        <v>41823</v>
      </c>
      <c r="Q83" s="4">
        <f>OBRA!R82</f>
        <v>295674.09999999998</v>
      </c>
      <c r="R83" s="4"/>
      <c r="S83" s="5">
        <f>OBRA!T82</f>
        <v>41823</v>
      </c>
      <c r="T83" s="11">
        <f>OBRA!U82</f>
        <v>41850</v>
      </c>
      <c r="U83" s="52"/>
      <c r="V83" s="226" t="s">
        <v>1428</v>
      </c>
      <c r="W83" s="438"/>
      <c r="X83" s="442"/>
      <c r="Y83" s="278">
        <f>OBRA!AR82</f>
        <v>0</v>
      </c>
      <c r="Z83" s="309"/>
      <c r="AA83" s="309"/>
      <c r="AB83" s="5"/>
      <c r="AC83" s="317">
        <f>OBRA!BW82</f>
        <v>0</v>
      </c>
      <c r="AD83" s="352"/>
    </row>
    <row r="84" spans="1:30" ht="90.75" hidden="1" customHeight="1">
      <c r="A84" s="22" t="s">
        <v>2206</v>
      </c>
      <c r="B84" s="809" t="str">
        <f>GRAL!B85</f>
        <v>2012-2015</v>
      </c>
      <c r="C84" s="16">
        <f>OBRA!J83</f>
        <v>2014</v>
      </c>
      <c r="D84" s="17" t="str">
        <f>OBRA!M83</f>
        <v>RAMO 33</v>
      </c>
      <c r="E84" s="436" t="s">
        <v>1428</v>
      </c>
      <c r="F84" s="492"/>
      <c r="G84" s="440"/>
      <c r="H84" s="441"/>
      <c r="I84" s="208" t="str">
        <f>OBRA!W83</f>
        <v>-</v>
      </c>
      <c r="J84" s="231" t="str">
        <f>OBRA!X83</f>
        <v>ING. RIGOBERTO OLMEDO RAMOS</v>
      </c>
      <c r="K84" s="439" t="str">
        <f>OBRA!N83</f>
        <v>DOP/AD/030/2014</v>
      </c>
      <c r="L84" s="2" t="str">
        <f>OBRA!O83</f>
        <v>ADMINISTRACIÓN DIRECTA</v>
      </c>
      <c r="M84" s="3" t="str">
        <f>OBRA!P83</f>
        <v>REHABILITACIÓN DE RED DE AGUA POTABLE EN C. HIDALGO, CON REPOSICIÓN DE EMPEDRADO DE; C. NIÑOS HEROES HASTA ESCUELA J. VICENTE NEGRETE, EN LA AGENCIA MUNICIPAL DE EL MOLINO.</v>
      </c>
      <c r="N84" s="438"/>
      <c r="O84" s="438"/>
      <c r="P84" s="6">
        <f>OBRA!S83</f>
        <v>41823</v>
      </c>
      <c r="Q84" s="4">
        <f>OBRA!R83</f>
        <v>220909.46</v>
      </c>
      <c r="R84" s="4"/>
      <c r="S84" s="5">
        <f>OBRA!T83</f>
        <v>41841</v>
      </c>
      <c r="T84" s="11">
        <f>OBRA!U83</f>
        <v>41881</v>
      </c>
      <c r="U84" s="52"/>
      <c r="V84" s="226" t="s">
        <v>1428</v>
      </c>
      <c r="W84" s="438"/>
      <c r="X84" s="442"/>
      <c r="Y84" s="278">
        <f>OBRA!AR83</f>
        <v>0</v>
      </c>
      <c r="Z84" s="309"/>
      <c r="AA84" s="309"/>
      <c r="AB84" s="5"/>
      <c r="AC84" s="317">
        <f>OBRA!BW83</f>
        <v>0</v>
      </c>
      <c r="AD84" s="352"/>
    </row>
    <row r="85" spans="1:30" ht="105.75" hidden="1" customHeight="1">
      <c r="A85" s="22" t="s">
        <v>2206</v>
      </c>
      <c r="B85" s="809" t="str">
        <f>GRAL!B86</f>
        <v>2012-2015</v>
      </c>
      <c r="C85" s="16">
        <f>OBRA!J84</f>
        <v>2014</v>
      </c>
      <c r="D85" s="17" t="str">
        <f>OBRA!M84</f>
        <v>RAMO 33</v>
      </c>
      <c r="E85" s="436" t="s">
        <v>1428</v>
      </c>
      <c r="F85" s="492"/>
      <c r="G85" s="440"/>
      <c r="H85" s="441"/>
      <c r="I85" s="208" t="str">
        <f>OBRA!W84</f>
        <v>-</v>
      </c>
      <c r="J85" s="231" t="str">
        <f>OBRA!X84</f>
        <v>ING. RIGOBERTO OLMEDO RAMOS</v>
      </c>
      <c r="K85" s="439" t="str">
        <f>OBRA!N84</f>
        <v>DOP/AD/031/2014</v>
      </c>
      <c r="L85" s="2" t="str">
        <f>OBRA!O84</f>
        <v>ADMINISTRACIÓN DIRECTA</v>
      </c>
      <c r="M85" s="3" t="str">
        <f>OBRA!P84</f>
        <v>REHABILITACIÓN DE RED DE DRENAJE EN C. NIÑOS HEROES , CON REPOSICIÓN DE EMPEDRADO DE; C. HIDALGO HASTA ESCUELATELESECUNDARIA NIÑOS HEROES, EN LA AGENCIA MUNICIPAL DE EL MOLINO.</v>
      </c>
      <c r="N85" s="438"/>
      <c r="O85" s="438"/>
      <c r="P85" s="6">
        <f>OBRA!S84</f>
        <v>41823</v>
      </c>
      <c r="Q85" s="4">
        <f>OBRA!R84</f>
        <v>200492.77</v>
      </c>
      <c r="R85" s="4"/>
      <c r="S85" s="5">
        <f>OBRA!T84</f>
        <v>41827</v>
      </c>
      <c r="T85" s="11">
        <f>OBRA!U84</f>
        <v>41881</v>
      </c>
      <c r="U85" s="52"/>
      <c r="V85" s="226" t="s">
        <v>1428</v>
      </c>
      <c r="W85" s="438"/>
      <c r="X85" s="442"/>
      <c r="Y85" s="278">
        <f>OBRA!AR84</f>
        <v>0</v>
      </c>
      <c r="Z85" s="309"/>
      <c r="AA85" s="309"/>
      <c r="AB85" s="5"/>
      <c r="AC85" s="317">
        <f>OBRA!BW84</f>
        <v>0</v>
      </c>
      <c r="AD85" s="352"/>
    </row>
    <row r="86" spans="1:30" ht="105.75" hidden="1" customHeight="1">
      <c r="A86" s="22" t="s">
        <v>2206</v>
      </c>
      <c r="B86" s="809" t="str">
        <f>GRAL!B87</f>
        <v>2012-2015</v>
      </c>
      <c r="C86" s="16">
        <f>OBRA!J85</f>
        <v>2014</v>
      </c>
      <c r="D86" s="17" t="str">
        <f>OBRA!M85</f>
        <v>RAMO 33</v>
      </c>
      <c r="E86" s="436" t="s">
        <v>1428</v>
      </c>
      <c r="F86" s="492"/>
      <c r="G86" s="440"/>
      <c r="H86" s="441"/>
      <c r="I86" s="208" t="str">
        <f>OBRA!W85</f>
        <v>-</v>
      </c>
      <c r="J86" s="231" t="str">
        <f>OBRA!X85</f>
        <v>ING. RIGOBERTO OLMEDO RAMOS</v>
      </c>
      <c r="K86" s="439" t="str">
        <f>OBRA!N85</f>
        <v>DOP/AD/032/2014</v>
      </c>
      <c r="L86" s="2" t="str">
        <f>OBRA!O85</f>
        <v>ADMINISTRACIÓN DIRECTA</v>
      </c>
      <c r="M86" s="3" t="str">
        <f>OBRA!P85</f>
        <v>REHABILITACIÓN DE RED DE AGUA POTABLE EN C. NIÑOS HEROES , CON REPOSICIÓN DE EMPEDRADO DE; C. HIDALGO HASTA ESCUELA TELESECUNDARIA NIÑOS HEROES, EN LA AGENCIA MUNICIPAL DE EL MOLINO.</v>
      </c>
      <c r="N86" s="438"/>
      <c r="O86" s="438"/>
      <c r="P86" s="6">
        <f>OBRA!S85</f>
        <v>41823</v>
      </c>
      <c r="Q86" s="4">
        <f>OBRA!R85</f>
        <v>191497.02</v>
      </c>
      <c r="R86" s="4"/>
      <c r="S86" s="5">
        <f>OBRA!T85</f>
        <v>41865</v>
      </c>
      <c r="T86" s="11">
        <f>OBRA!U85</f>
        <v>41881</v>
      </c>
      <c r="U86" s="52"/>
      <c r="V86" s="226" t="s">
        <v>1428</v>
      </c>
      <c r="W86" s="438"/>
      <c r="X86" s="442"/>
      <c r="Y86" s="278">
        <f>OBRA!AR85</f>
        <v>0</v>
      </c>
      <c r="Z86" s="309"/>
      <c r="AA86" s="309"/>
      <c r="AB86" s="5"/>
      <c r="AC86" s="317">
        <f>OBRA!BW85</f>
        <v>0</v>
      </c>
      <c r="AD86" s="352"/>
    </row>
    <row r="87" spans="1:30" ht="90.75" hidden="1" customHeight="1">
      <c r="A87" s="22" t="s">
        <v>2206</v>
      </c>
      <c r="B87" s="809" t="str">
        <f>GRAL!B88</f>
        <v>2012-2015</v>
      </c>
      <c r="C87" s="16">
        <f>OBRA!J86</f>
        <v>2014</v>
      </c>
      <c r="D87" s="17" t="str">
        <f>OBRA!M86</f>
        <v>RAMO 33</v>
      </c>
      <c r="E87" s="436" t="s">
        <v>1428</v>
      </c>
      <c r="F87" s="492"/>
      <c r="G87" s="440"/>
      <c r="H87" s="441"/>
      <c r="I87" s="208" t="str">
        <f>OBRA!W86</f>
        <v>-</v>
      </c>
      <c r="J87" s="231" t="str">
        <f>OBRA!X86</f>
        <v>ING. RIGOBERTO OLMEDO RAMOS</v>
      </c>
      <c r="K87" s="439" t="str">
        <f>OBRA!N86</f>
        <v>DOP/AD/033/2014</v>
      </c>
      <c r="L87" s="2" t="str">
        <f>OBRA!O86</f>
        <v>ADMINISTRACIÓN DIRECTA</v>
      </c>
      <c r="M87" s="3" t="str">
        <f>OBRA!P86</f>
        <v>REHABILITACIÓN DE RED DE DRENAJE EN C. VICENTE SUAREZ, CON REPOSICIÓN DE EMPEDRADO; ENTRE C. INDEPENDENCIA Y NIÑOS HEROES, EN LA AGENCIA MUNICIPAL DE EL MOLINO.</v>
      </c>
      <c r="N87" s="438"/>
      <c r="O87" s="438"/>
      <c r="P87" s="6">
        <f>OBRA!S86</f>
        <v>41823</v>
      </c>
      <c r="Q87" s="4">
        <f>OBRA!R86</f>
        <v>278434.27</v>
      </c>
      <c r="R87" s="4"/>
      <c r="S87" s="5">
        <f>OBRA!T86</f>
        <v>41848</v>
      </c>
      <c r="T87" s="11">
        <f>OBRA!U86</f>
        <v>41912</v>
      </c>
      <c r="U87" s="52"/>
      <c r="V87" s="226" t="s">
        <v>1428</v>
      </c>
      <c r="W87" s="438"/>
      <c r="X87" s="442"/>
      <c r="Y87" s="278">
        <f>OBRA!AR86</f>
        <v>0</v>
      </c>
      <c r="Z87" s="309"/>
      <c r="AA87" s="309"/>
      <c r="AB87" s="5"/>
      <c r="AC87" s="317">
        <f>OBRA!BW86</f>
        <v>0</v>
      </c>
      <c r="AD87" s="352"/>
    </row>
    <row r="88" spans="1:30" ht="90.75" hidden="1" customHeight="1">
      <c r="A88" s="22" t="s">
        <v>2206</v>
      </c>
      <c r="B88" s="809" t="str">
        <f>GRAL!B89</f>
        <v>2012-2015</v>
      </c>
      <c r="C88" s="16">
        <f>OBRA!J87</f>
        <v>2014</v>
      </c>
      <c r="D88" s="17" t="str">
        <f>OBRA!M87</f>
        <v>RAMO 33</v>
      </c>
      <c r="E88" s="436" t="s">
        <v>1428</v>
      </c>
      <c r="F88" s="492"/>
      <c r="G88" s="440"/>
      <c r="H88" s="441"/>
      <c r="I88" s="208" t="str">
        <f>OBRA!W87</f>
        <v>-</v>
      </c>
      <c r="J88" s="231" t="str">
        <f>OBRA!X87</f>
        <v>ING. RIGOBERTO OLMEDO RAMOS</v>
      </c>
      <c r="K88" s="439" t="str">
        <f>OBRA!N87</f>
        <v>DOP/AD/034/2014</v>
      </c>
      <c r="L88" s="2" t="str">
        <f>OBRA!O87</f>
        <v>ADMINISTRACIÓN DIRECTA</v>
      </c>
      <c r="M88" s="3" t="str">
        <f>OBRA!P87</f>
        <v>REHABILITACIÓN DE RED DE AGUA POTABLE EN C. VICENTE SUAREZ, CON REPOSICIÓN DE EMPEDRADO; ENTRE C. INDEPENDENCIA Y NIÑOS HEROES, EN LA AGENCIA MUNICIPAL DE EL MOLINO.</v>
      </c>
      <c r="N88" s="438"/>
      <c r="O88" s="438"/>
      <c r="P88" s="6">
        <f>OBRA!S87</f>
        <v>41823</v>
      </c>
      <c r="Q88" s="4">
        <f>OBRA!R87</f>
        <v>231798.06</v>
      </c>
      <c r="R88" s="4"/>
      <c r="S88" s="5">
        <f>OBRA!T87</f>
        <v>41862</v>
      </c>
      <c r="T88" s="11">
        <f>OBRA!U87</f>
        <v>41912</v>
      </c>
      <c r="U88" s="52"/>
      <c r="V88" s="226" t="s">
        <v>1428</v>
      </c>
      <c r="W88" s="438"/>
      <c r="X88" s="442"/>
      <c r="Y88" s="278">
        <f>OBRA!AR87</f>
        <v>0</v>
      </c>
      <c r="Z88" s="309"/>
      <c r="AA88" s="309"/>
      <c r="AB88" s="5"/>
      <c r="AC88" s="317">
        <f>OBRA!BW87</f>
        <v>0</v>
      </c>
      <c r="AD88" s="352"/>
    </row>
    <row r="89" spans="1:30" s="299" customFormat="1" ht="204.75" hidden="1" customHeight="1">
      <c r="A89" s="305" t="s">
        <v>2206</v>
      </c>
      <c r="B89" s="853" t="str">
        <f>GRAL!B90</f>
        <v>2012-2015</v>
      </c>
      <c r="C89" s="288">
        <f>OBRA!J88</f>
        <v>2014</v>
      </c>
      <c r="D89" s="484" t="str">
        <f>OBRA!M88</f>
        <v>CUENTA CORRIENTE</v>
      </c>
      <c r="E89" s="486" t="s">
        <v>1428</v>
      </c>
      <c r="F89" s="491" t="s">
        <v>2213</v>
      </c>
      <c r="G89" s="452" t="s">
        <v>2214</v>
      </c>
      <c r="H89" s="453" t="s">
        <v>2215</v>
      </c>
      <c r="I89" s="307" t="str">
        <f>OBRA!W88</f>
        <v>JOSE LUIS RANGEL GALVEZ</v>
      </c>
      <c r="J89" s="304" t="str">
        <f>OBRA!X88</f>
        <v>C. DANIEL RODRIGUEZ VALENZUELA</v>
      </c>
      <c r="K89" s="439" t="str">
        <f>OBRA!N88</f>
        <v>GMJ 006C OP/2014</v>
      </c>
      <c r="L89" s="291" t="str">
        <f>OBRA!O88</f>
        <v>ADJUDICACIÓN DIRECTA</v>
      </c>
      <c r="M89" s="292" t="str">
        <f>OBRA!P88</f>
        <v>CONSTRUCCION DE BANQUETAS EN LA CALLE MORELOS ENTRE C. MATAMOROS Y C. GUADALUPE VICTORIA, (2 LADOS) NORTE Y SUR, CONSTRUCCIONDE BANQUETS EN  LA CALLE MORELOS ENTRE C. HIDALGO Y JOSEFA ORTIZ DE DOMINGUEZ, (1 LADO) NORTE EN LA CABECERA MUNICIPAL DE JOCOTEPEC, JALISCO</v>
      </c>
      <c r="N89" s="465" t="s">
        <v>2216</v>
      </c>
      <c r="O89" s="465"/>
      <c r="P89" s="294">
        <f>OBRA!S88</f>
        <v>41901</v>
      </c>
      <c r="Q89" s="293">
        <f>OBRA!R88</f>
        <v>425152.03</v>
      </c>
      <c r="R89" s="293"/>
      <c r="S89" s="295">
        <f>OBRA!T88</f>
        <v>41904</v>
      </c>
      <c r="T89" s="296">
        <f>OBRA!U88</f>
        <v>41941</v>
      </c>
      <c r="U89" s="366"/>
      <c r="V89" s="804" t="s">
        <v>1428</v>
      </c>
      <c r="W89" s="797" t="s">
        <v>2217</v>
      </c>
      <c r="X89" s="797" t="s">
        <v>2217</v>
      </c>
      <c r="Y89" s="797" t="s">
        <v>2218</v>
      </c>
      <c r="Z89" s="310"/>
      <c r="AA89" s="310"/>
      <c r="AB89" s="295"/>
      <c r="AC89" s="384">
        <f>OBRA!BW88</f>
        <v>0</v>
      </c>
      <c r="AD89" s="353" t="s">
        <v>551</v>
      </c>
    </row>
    <row r="90" spans="1:30" ht="60.75" hidden="1" customHeight="1">
      <c r="A90" s="22" t="s">
        <v>2206</v>
      </c>
      <c r="B90" s="809" t="str">
        <f>GRAL!B91</f>
        <v>2012-2015</v>
      </c>
      <c r="C90" s="16">
        <f>OBRA!J89</f>
        <v>2014</v>
      </c>
      <c r="D90" s="17" t="str">
        <f>OBRA!M89</f>
        <v>CUENTA CORRIENTE</v>
      </c>
      <c r="E90" s="436" t="s">
        <v>1428</v>
      </c>
      <c r="F90" s="492"/>
      <c r="G90" s="440"/>
      <c r="H90" s="441"/>
      <c r="I90" s="208" t="str">
        <f>OBRA!W89</f>
        <v>-</v>
      </c>
      <c r="J90" s="231" t="str">
        <f>OBRA!X89</f>
        <v>C. DANIEL RODRIGUEZ VALENZUELA</v>
      </c>
      <c r="K90" s="439" t="str">
        <f>OBRA!N89</f>
        <v>DOP/AD/039/2014</v>
      </c>
      <c r="L90" s="2" t="str">
        <f>OBRA!O89</f>
        <v>ADMINISTRACIÓN DIRECTA</v>
      </c>
      <c r="M90" s="3" t="str">
        <f>OBRA!P89</f>
        <v>CONSTRUCCION DE PLAZOLETA EN CALLE HIDALGO, EN LA DELEGACION DE SAN PERO TESISTAN, DEL MUNICIPIO DE JOCOTEPEC, JALISCO</v>
      </c>
      <c r="N90" s="438"/>
      <c r="O90" s="438"/>
      <c r="P90" s="6">
        <f>OBRA!S89</f>
        <v>41974</v>
      </c>
      <c r="Q90" s="4">
        <f>OBRA!R89</f>
        <v>40000</v>
      </c>
      <c r="R90" s="4"/>
      <c r="S90" s="5">
        <f>OBRA!T89</f>
        <v>41976</v>
      </c>
      <c r="T90" s="11">
        <f>OBRA!U89</f>
        <v>41997</v>
      </c>
      <c r="U90" s="52"/>
      <c r="V90" s="226" t="s">
        <v>1428</v>
      </c>
      <c r="W90" s="438"/>
      <c r="X90" s="442"/>
      <c r="Y90" s="278">
        <f>OBRA!AR89</f>
        <v>0</v>
      </c>
      <c r="Z90" s="309"/>
      <c r="AA90" s="309"/>
      <c r="AB90" s="5"/>
      <c r="AC90" s="317">
        <f>OBRA!BW89</f>
        <v>0</v>
      </c>
      <c r="AD90" s="352"/>
    </row>
    <row r="91" spans="1:30" ht="30.75" hidden="1" customHeight="1">
      <c r="A91" s="22" t="s">
        <v>2206</v>
      </c>
      <c r="B91" s="809" t="str">
        <f>GRAL!B92</f>
        <v>2012-2015</v>
      </c>
      <c r="C91" s="16">
        <f>OBRA!J90</f>
        <v>2014</v>
      </c>
      <c r="D91" s="17" t="str">
        <f>OBRA!M90</f>
        <v>CUENTA CORRIENTE</v>
      </c>
      <c r="E91" s="436" t="s">
        <v>1428</v>
      </c>
      <c r="F91" s="492"/>
      <c r="G91" s="440"/>
      <c r="H91" s="441"/>
      <c r="I91" s="208" t="str">
        <f>OBRA!W90</f>
        <v>-</v>
      </c>
      <c r="J91" s="231">
        <f>OBRA!X90</f>
        <v>0</v>
      </c>
      <c r="K91" s="439" t="str">
        <f>OBRA!N90</f>
        <v>DOP/AD/040/2014</v>
      </c>
      <c r="L91" s="2" t="str">
        <f>OBRA!O90</f>
        <v>ADMINISTRACIÓN DIRECTA</v>
      </c>
      <c r="M91" s="3" t="str">
        <f>OBRA!P90</f>
        <v>APOYO PARA LA CONSTRUCCION DE ESCATOPISTAS EN EL MALECON</v>
      </c>
      <c r="N91" s="438"/>
      <c r="O91" s="438"/>
      <c r="P91" s="6">
        <f>OBRA!S90</f>
        <v>41974</v>
      </c>
      <c r="Q91" s="4">
        <f>OBRA!R90</f>
        <v>15000</v>
      </c>
      <c r="R91" s="4"/>
      <c r="S91" s="5">
        <f>OBRA!T90</f>
        <v>41981</v>
      </c>
      <c r="T91" s="11">
        <f>OBRA!U90</f>
        <v>41995</v>
      </c>
      <c r="U91" s="52"/>
      <c r="V91" s="226" t="s">
        <v>1428</v>
      </c>
      <c r="W91" s="438"/>
      <c r="X91" s="442"/>
      <c r="Y91" s="278">
        <f>OBRA!AR90</f>
        <v>0</v>
      </c>
      <c r="Z91" s="309"/>
      <c r="AA91" s="309"/>
      <c r="AB91" s="5"/>
      <c r="AC91" s="317">
        <f>OBRA!BW90</f>
        <v>0</v>
      </c>
      <c r="AD91" s="352"/>
    </row>
    <row r="92" spans="1:30" ht="75.75" hidden="1" customHeight="1">
      <c r="A92" s="22" t="s">
        <v>2206</v>
      </c>
      <c r="B92" s="809" t="str">
        <f>GRAL!B93</f>
        <v>2012-2015</v>
      </c>
      <c r="C92" s="16">
        <f>OBRA!J91</f>
        <v>2014</v>
      </c>
      <c r="D92" s="17" t="str">
        <f>OBRA!M91</f>
        <v>CUENTA CORRIENTE</v>
      </c>
      <c r="E92" s="436" t="s">
        <v>1428</v>
      </c>
      <c r="F92" s="492"/>
      <c r="G92" s="440"/>
      <c r="H92" s="441"/>
      <c r="I92" s="208" t="str">
        <f>OBRA!W91</f>
        <v>-</v>
      </c>
      <c r="J92" s="231">
        <f>OBRA!X91</f>
        <v>0</v>
      </c>
      <c r="K92" s="439" t="str">
        <f>OBRA!N91</f>
        <v>DOP/AD/041/2014</v>
      </c>
      <c r="L92" s="2" t="str">
        <f>OBRA!O91</f>
        <v>ADMINISTRACIÓN DIRECTA</v>
      </c>
      <c r="M92" s="3" t="str">
        <f>OBRA!P91</f>
        <v>DEMOLICION Y REUBICACION DE NICHO DE IMAGEN RELIGIOSA EN PRIVADA ALLENDE ESQUINA MORELOS, EN AGENCIA DE CHANTEPEC</v>
      </c>
      <c r="N92" s="438"/>
      <c r="O92" s="438"/>
      <c r="P92" s="6">
        <f>OBRA!S91</f>
        <v>41974</v>
      </c>
      <c r="Q92" s="4">
        <f>OBRA!R91</f>
        <v>15000</v>
      </c>
      <c r="R92" s="4"/>
      <c r="S92" s="5">
        <f>OBRA!T91</f>
        <v>41981</v>
      </c>
      <c r="T92" s="11">
        <f>OBRA!U91</f>
        <v>41988</v>
      </c>
      <c r="U92" s="52"/>
      <c r="V92" s="226" t="s">
        <v>1428</v>
      </c>
      <c r="W92" s="438"/>
      <c r="X92" s="442"/>
      <c r="Y92" s="278">
        <f>OBRA!AR91</f>
        <v>0</v>
      </c>
      <c r="Z92" s="309"/>
      <c r="AA92" s="309"/>
      <c r="AB92" s="5"/>
      <c r="AC92" s="317">
        <f>OBRA!BW91</f>
        <v>0</v>
      </c>
      <c r="AD92" s="352"/>
    </row>
    <row r="93" spans="1:30" ht="60.75" hidden="1" customHeight="1">
      <c r="A93" s="22" t="s">
        <v>2206</v>
      </c>
      <c r="B93" s="809" t="str">
        <f>GRAL!B94</f>
        <v>2012-2015</v>
      </c>
      <c r="C93" s="16">
        <f>OBRA!J92</f>
        <v>2014</v>
      </c>
      <c r="D93" s="17" t="str">
        <f>OBRA!M92</f>
        <v>FISE</v>
      </c>
      <c r="E93" s="13"/>
      <c r="F93" s="492"/>
      <c r="G93" s="440"/>
      <c r="H93" s="441"/>
      <c r="I93" s="208" t="str">
        <f>OBRA!W92</f>
        <v>SIOP</v>
      </c>
      <c r="J93" s="231" t="str">
        <f>OBRA!X92</f>
        <v>SIOP</v>
      </c>
      <c r="K93" s="439" t="str">
        <f>OBRA!N92</f>
        <v>CONT X ESTADO</v>
      </c>
      <c r="L93" s="2" t="str">
        <f>OBRA!O92</f>
        <v>CONT X ESTADO</v>
      </c>
      <c r="M93" s="3" t="str">
        <f>OBRA!P92</f>
        <v>CONSTRUCCION DE RED DE AGUA POTABLE, DRENAJE SANITARIO Y/O ELECTRIFICACIÓN EN AV. TULE, ZAPOTITAN DE HIDALGO</v>
      </c>
      <c r="N93" s="438"/>
      <c r="O93" s="438"/>
      <c r="P93" s="6" t="str">
        <f>OBRA!S92</f>
        <v>-</v>
      </c>
      <c r="Q93" s="4" t="str">
        <f>OBRA!R92</f>
        <v>-</v>
      </c>
      <c r="R93" s="4"/>
      <c r="S93" s="5" t="str">
        <f>OBRA!T92</f>
        <v>-</v>
      </c>
      <c r="T93" s="11" t="str">
        <f>OBRA!U92</f>
        <v>-</v>
      </c>
      <c r="U93" s="52"/>
      <c r="V93" s="226" t="s">
        <v>1428</v>
      </c>
      <c r="W93" s="438"/>
      <c r="X93" s="442"/>
      <c r="Y93" s="278">
        <f>OBRA!AR92</f>
        <v>0</v>
      </c>
      <c r="Z93" s="309"/>
      <c r="AA93" s="309"/>
      <c r="AB93" s="5"/>
      <c r="AC93" s="317">
        <f>OBRA!BW92</f>
        <v>0</v>
      </c>
      <c r="AD93" s="352"/>
    </row>
    <row r="94" spans="1:30" ht="60.75" hidden="1" customHeight="1">
      <c r="A94" s="22" t="s">
        <v>2206</v>
      </c>
      <c r="B94" s="809" t="str">
        <f>GRAL!B95</f>
        <v>2012-2015</v>
      </c>
      <c r="C94" s="16">
        <f>OBRA!J93</f>
        <v>2014</v>
      </c>
      <c r="D94" s="17" t="str">
        <f>OBRA!M93</f>
        <v>FISE</v>
      </c>
      <c r="E94" s="478"/>
      <c r="F94" s="492"/>
      <c r="G94" s="440"/>
      <c r="H94" s="441"/>
      <c r="I94" s="208" t="str">
        <f>OBRA!W93</f>
        <v>SIOP</v>
      </c>
      <c r="J94" s="231" t="str">
        <f>OBRA!X93</f>
        <v>SIOP</v>
      </c>
      <c r="K94" s="439" t="str">
        <f>OBRA!N93</f>
        <v>CONT X ESTADO</v>
      </c>
      <c r="L94" s="2" t="str">
        <f>OBRA!O93</f>
        <v>CONT X ESTADO</v>
      </c>
      <c r="M94" s="3" t="str">
        <f>OBRA!P93</f>
        <v>CONSTRUCCION DE RED DE AGUA POTABLE, DRENAJE SANITARIO Y/O ELECTRIFICACIÓN EN AV. TULE 2, ZAPOTITAN DE HIDALGO</v>
      </c>
      <c r="N94" s="438"/>
      <c r="O94" s="438"/>
      <c r="P94" s="6" t="str">
        <f>OBRA!S93</f>
        <v>-</v>
      </c>
      <c r="Q94" s="4" t="str">
        <f>OBRA!R93</f>
        <v>-</v>
      </c>
      <c r="R94" s="4"/>
      <c r="S94" s="5" t="str">
        <f>OBRA!T93</f>
        <v>-</v>
      </c>
      <c r="T94" s="11" t="str">
        <f>OBRA!U93</f>
        <v>-</v>
      </c>
      <c r="U94" s="52"/>
      <c r="V94" s="226" t="s">
        <v>1428</v>
      </c>
      <c r="W94" s="438"/>
      <c r="X94" s="442"/>
      <c r="Y94" s="278">
        <f>OBRA!AR93</f>
        <v>0</v>
      </c>
      <c r="Z94" s="309"/>
      <c r="AA94" s="309"/>
      <c r="AB94" s="5"/>
      <c r="AC94" s="317">
        <f>OBRA!BW93</f>
        <v>0</v>
      </c>
      <c r="AD94" s="352"/>
    </row>
    <row r="95" spans="1:30" ht="75.75" hidden="1" customHeight="1">
      <c r="A95" s="22" t="s">
        <v>2206</v>
      </c>
      <c r="B95" s="809" t="str">
        <f>GRAL!B96</f>
        <v>2012-2015</v>
      </c>
      <c r="C95" s="16">
        <f>OBRA!J94</f>
        <v>2014</v>
      </c>
      <c r="D95" s="17" t="str">
        <f>OBRA!M94</f>
        <v>FISE</v>
      </c>
      <c r="E95" s="478"/>
      <c r="F95" s="492"/>
      <c r="G95" s="440"/>
      <c r="H95" s="441"/>
      <c r="I95" s="208" t="str">
        <f>OBRA!W94</f>
        <v>SIOP</v>
      </c>
      <c r="J95" s="231" t="str">
        <f>OBRA!X94</f>
        <v>SIOP</v>
      </c>
      <c r="K95" s="439" t="str">
        <f>OBRA!N94</f>
        <v>CONT X ESTADO</v>
      </c>
      <c r="L95" s="2" t="str">
        <f>OBRA!O94</f>
        <v>CONT X ESTADO</v>
      </c>
      <c r="M95" s="3" t="str">
        <f>OBRA!P94</f>
        <v>CONSTRUCCION DE RED DE AGUA POTABLE, DRENAJE SANITARIO Y/O ELECTRIFICACIÓN EN C. FRATERNIDAD, ZAPOTITAN DE HIDALGO</v>
      </c>
      <c r="N95" s="438"/>
      <c r="O95" s="438"/>
      <c r="P95" s="6" t="str">
        <f>OBRA!S94</f>
        <v>-</v>
      </c>
      <c r="Q95" s="4" t="str">
        <f>OBRA!R94</f>
        <v>-</v>
      </c>
      <c r="R95" s="4"/>
      <c r="S95" s="5" t="str">
        <f>OBRA!T94</f>
        <v>-</v>
      </c>
      <c r="T95" s="11" t="str">
        <f>OBRA!U94</f>
        <v>-</v>
      </c>
      <c r="U95" s="52"/>
      <c r="V95" s="226" t="s">
        <v>1428</v>
      </c>
      <c r="W95" s="438"/>
      <c r="X95" s="442"/>
      <c r="Y95" s="278">
        <f>OBRA!AR94</f>
        <v>0</v>
      </c>
      <c r="Z95" s="309"/>
      <c r="AA95" s="309"/>
      <c r="AB95" s="5"/>
      <c r="AC95" s="317">
        <f>OBRA!BW94</f>
        <v>0</v>
      </c>
      <c r="AD95" s="352"/>
    </row>
    <row r="96" spans="1:30" s="299" customFormat="1" ht="77.25" hidden="1" customHeight="1">
      <c r="A96" s="305" t="s">
        <v>2206</v>
      </c>
      <c r="B96" s="853" t="str">
        <f>GRAL!B97</f>
        <v>2012-2015</v>
      </c>
      <c r="C96" s="288">
        <f>OBRA!J95</f>
        <v>2015</v>
      </c>
      <c r="D96" s="306" t="str">
        <f>OBRA!M95</f>
        <v>RAMO 33</v>
      </c>
      <c r="E96" s="485" t="s">
        <v>1428</v>
      </c>
      <c r="F96" s="491" t="s">
        <v>2219</v>
      </c>
      <c r="G96" s="797" t="s">
        <v>2217</v>
      </c>
      <c r="H96" s="453" t="s">
        <v>2220</v>
      </c>
      <c r="I96" s="307" t="str">
        <f>OBRA!W95</f>
        <v>C. EFRAIN GONZALEZ CRUZ</v>
      </c>
      <c r="J96" s="304" t="str">
        <f>OBRA!X95</f>
        <v>ING. RIGOBERTO OLMEDO RAMOS</v>
      </c>
      <c r="K96" s="439" t="str">
        <f>OBRA!N95</f>
        <v>GMJ 001C OP/2015</v>
      </c>
      <c r="L96" s="291" t="str">
        <f>OBRA!O95</f>
        <v>ADJUDICACIÓN DIRECTA</v>
      </c>
      <c r="M96" s="292" t="str">
        <f>OBRA!P95</f>
        <v>ELECTRIFICACIÓN DE MEDIA Y BAJA TENSION EN EL BARRIO "LA BECERRERA", EN LA AGENCIA DE EL MOLINO</v>
      </c>
      <c r="N96" s="438" t="s">
        <v>1441</v>
      </c>
      <c r="O96" s="438"/>
      <c r="P96" s="294">
        <f>OBRA!S95</f>
        <v>42010</v>
      </c>
      <c r="Q96" s="293">
        <f>OBRA!R95</f>
        <v>265913.18</v>
      </c>
      <c r="R96" s="293"/>
      <c r="S96" s="295">
        <f>OBRA!T95</f>
        <v>42016</v>
      </c>
      <c r="T96" s="296">
        <f>OBRA!U95</f>
        <v>42030</v>
      </c>
      <c r="U96" s="366"/>
      <c r="V96" s="804" t="s">
        <v>1428</v>
      </c>
      <c r="W96" s="454" t="s">
        <v>1445</v>
      </c>
      <c r="X96" s="455" t="s">
        <v>2221</v>
      </c>
      <c r="Y96" s="805">
        <f>OBRA!AR95</f>
        <v>26591.360000000001</v>
      </c>
      <c r="Z96" s="310"/>
      <c r="AA96" s="310"/>
      <c r="AB96" s="295"/>
      <c r="AC96" s="384">
        <f>OBRA!BW95</f>
        <v>0</v>
      </c>
      <c r="AD96" s="353" t="s">
        <v>551</v>
      </c>
    </row>
    <row r="97" spans="1:30" s="299" customFormat="1" ht="101.25" hidden="1" customHeight="1">
      <c r="A97" s="305" t="s">
        <v>2206</v>
      </c>
      <c r="B97" s="853" t="str">
        <f>GRAL!B98</f>
        <v>2012-2015</v>
      </c>
      <c r="C97" s="288">
        <f>OBRA!J96</f>
        <v>2015</v>
      </c>
      <c r="D97" s="306" t="str">
        <f>OBRA!M96</f>
        <v>CUENTA CORRIENTE</v>
      </c>
      <c r="E97" s="485" t="s">
        <v>1428</v>
      </c>
      <c r="F97" s="491" t="s">
        <v>2222</v>
      </c>
      <c r="G97" s="797" t="s">
        <v>2217</v>
      </c>
      <c r="H97" s="453" t="s">
        <v>2223</v>
      </c>
      <c r="I97" s="307" t="str">
        <f>OBRA!W96</f>
        <v>HIDRAULICOS TRUJILLO S.A. DE C.V.</v>
      </c>
      <c r="J97" s="304" t="str">
        <f>OBRA!X96</f>
        <v>ING. RIGOBERTO OLMEDO RAMOS</v>
      </c>
      <c r="K97" s="439" t="str">
        <f>OBRA!N96</f>
        <v>GMJ 002C OP/2015</v>
      </c>
      <c r="L97" s="291" t="str">
        <f>OBRA!O96</f>
        <v>ADJUDICACIÓN DIRECTA</v>
      </c>
      <c r="M97" s="292" t="str">
        <f>OBRA!P96</f>
        <v>CONEXIÓN DE DRENAJE A PLANTA DE TRATAMIENTO PARALELO A CARRETERA CHAPALA-JOCOTEPEC, EN LA LOCALIDD DE: SAN JUAN COSALA</v>
      </c>
      <c r="N97" s="465" t="s">
        <v>1448</v>
      </c>
      <c r="O97" s="465"/>
      <c r="P97" s="294">
        <f>OBRA!S96</f>
        <v>42006</v>
      </c>
      <c r="Q97" s="293">
        <f>OBRA!R96</f>
        <v>95412.78</v>
      </c>
      <c r="R97" s="293"/>
      <c r="S97" s="295">
        <f>OBRA!T96</f>
        <v>42006</v>
      </c>
      <c r="T97" s="296">
        <f>OBRA!U96</f>
        <v>42015</v>
      </c>
      <c r="U97" s="366"/>
      <c r="V97" s="804" t="s">
        <v>1428</v>
      </c>
      <c r="W97" s="454" t="s">
        <v>1453</v>
      </c>
      <c r="X97" s="455" t="s">
        <v>2224</v>
      </c>
      <c r="Y97" s="805">
        <f>OBRA!AR96</f>
        <v>19082.560000000001</v>
      </c>
      <c r="Z97" s="310"/>
      <c r="AA97" s="310"/>
      <c r="AB97" s="295"/>
      <c r="AC97" s="384">
        <f>OBRA!BW96</f>
        <v>0</v>
      </c>
      <c r="AD97" s="353" t="s">
        <v>551</v>
      </c>
    </row>
    <row r="98" spans="1:30" ht="90.75" hidden="1" customHeight="1">
      <c r="A98" s="22" t="s">
        <v>2206</v>
      </c>
      <c r="B98" s="809" t="str">
        <f>GRAL!B99</f>
        <v>2012-2015</v>
      </c>
      <c r="C98" s="16">
        <f>OBRA!J97</f>
        <v>2015</v>
      </c>
      <c r="D98" s="17" t="str">
        <f>OBRA!M97</f>
        <v>RAMO 33</v>
      </c>
      <c r="E98" s="485" t="s">
        <v>1428</v>
      </c>
      <c r="F98" s="492"/>
      <c r="G98" s="440"/>
      <c r="H98" s="441"/>
      <c r="I98" s="208" t="str">
        <f>OBRA!W97</f>
        <v>G I LANDING S.A. DE C.V.</v>
      </c>
      <c r="J98" s="231" t="str">
        <f>OBRA!X97</f>
        <v>C. DANIEL RODRIGUEZ VALENZUELA</v>
      </c>
      <c r="K98" s="439" t="str">
        <f>OBRA!N97</f>
        <v>GMJ 003C OP/2015</v>
      </c>
      <c r="L98" s="2" t="str">
        <f>OBRA!O97</f>
        <v>INVITACIÓN</v>
      </c>
      <c r="M98" s="3" t="str">
        <f>OBRA!P97</f>
        <v>PERFORACIÓN, ADEME, AFORO, ELECTRIFICACIÓN Y EQUIPAMIENTO DE POZO PROFUNDO Y CONSTRUCCION DE CASETA DE CONTROL EN LA AGENCIA DE SAN LUCIANO</v>
      </c>
      <c r="N98" s="438"/>
      <c r="O98" s="438"/>
      <c r="P98" s="6">
        <f>OBRA!S97</f>
        <v>42046</v>
      </c>
      <c r="Q98" s="4">
        <f>OBRA!R97</f>
        <v>2359096.67</v>
      </c>
      <c r="R98" s="4"/>
      <c r="S98" s="5">
        <f>OBRA!T97</f>
        <v>42051</v>
      </c>
      <c r="T98" s="11">
        <f>OBRA!U97</f>
        <v>42080</v>
      </c>
      <c r="U98" s="52"/>
      <c r="V98" s="226" t="s">
        <v>1428</v>
      </c>
      <c r="W98" s="438"/>
      <c r="X98" s="442"/>
      <c r="Y98" s="278">
        <f>OBRA!AR97</f>
        <v>0</v>
      </c>
      <c r="Z98" s="309"/>
      <c r="AA98" s="309"/>
      <c r="AB98" s="5"/>
      <c r="AC98" s="317">
        <f>OBRA!BW97</f>
        <v>0</v>
      </c>
      <c r="AD98" s="352"/>
    </row>
    <row r="99" spans="1:30" s="299" customFormat="1" ht="61.5" hidden="1" customHeight="1">
      <c r="A99" s="305" t="s">
        <v>2206</v>
      </c>
      <c r="B99" s="853" t="str">
        <f>GRAL!B100</f>
        <v>2012-2015</v>
      </c>
      <c r="C99" s="288">
        <f>OBRA!J98</f>
        <v>2015</v>
      </c>
      <c r="D99" s="306" t="str">
        <f>OBRA!M98</f>
        <v>RAMO 33</v>
      </c>
      <c r="E99" s="485" t="s">
        <v>1428</v>
      </c>
      <c r="F99" s="491" t="s">
        <v>2225</v>
      </c>
      <c r="G99" s="452" t="s">
        <v>1464</v>
      </c>
      <c r="H99" s="453" t="s">
        <v>2226</v>
      </c>
      <c r="I99" s="307" t="str">
        <f>OBRA!W98</f>
        <v>GECLAN, S.A. DE C.V.</v>
      </c>
      <c r="J99" s="304" t="str">
        <f>OBRA!X98</f>
        <v>C. DANIEL RODRIGUEZ VALENZUELA</v>
      </c>
      <c r="K99" s="439" t="str">
        <f>OBRA!N98</f>
        <v>GMJ 004C OP/2015</v>
      </c>
      <c r="L99" s="291" t="str">
        <f>OBRA!O98</f>
        <v>ADJUDICACIÓN DIRECTA</v>
      </c>
      <c r="M99" s="292" t="str">
        <f>OBRA!P98</f>
        <v>ELECTRIFICACIÓN DE POZO PROFUNDO  EN LA AGENCIA DE SAN LUCIANO</v>
      </c>
      <c r="N99" s="465" t="s">
        <v>1462</v>
      </c>
      <c r="O99" s="465"/>
      <c r="P99" s="294">
        <f>OBRA!S98</f>
        <v>42209</v>
      </c>
      <c r="Q99" s="293">
        <f>OBRA!R98</f>
        <v>260536.84</v>
      </c>
      <c r="R99" s="293"/>
      <c r="S99" s="295">
        <f>OBRA!T98</f>
        <v>42212</v>
      </c>
      <c r="T99" s="296">
        <f>OBRA!U98</f>
        <v>42225</v>
      </c>
      <c r="U99" s="366"/>
      <c r="V99" s="804" t="s">
        <v>1428</v>
      </c>
      <c r="W99" s="454" t="s">
        <v>1465</v>
      </c>
      <c r="X99" s="455" t="s">
        <v>2227</v>
      </c>
      <c r="Y99" s="805">
        <f>OBRA!AR98</f>
        <v>26053.68</v>
      </c>
      <c r="Z99" s="310"/>
      <c r="AA99" s="310"/>
      <c r="AB99" s="295"/>
      <c r="AC99" s="384">
        <f>OBRA!BW98</f>
        <v>0</v>
      </c>
      <c r="AD99" s="353" t="s">
        <v>551</v>
      </c>
    </row>
    <row r="100" spans="1:30" s="299" customFormat="1" ht="99" hidden="1" customHeight="1">
      <c r="A100" s="305" t="s">
        <v>2206</v>
      </c>
      <c r="B100" s="853" t="str">
        <f>GRAL!B101</f>
        <v>2012-2015</v>
      </c>
      <c r="C100" s="288">
        <f>OBRA!J99</f>
        <v>2015</v>
      </c>
      <c r="D100" s="306" t="str">
        <f>OBRA!M99</f>
        <v>RAMO 33</v>
      </c>
      <c r="E100" s="485" t="s">
        <v>1428</v>
      </c>
      <c r="F100" s="491" t="s">
        <v>2228</v>
      </c>
      <c r="G100" s="452" t="s">
        <v>1469</v>
      </c>
      <c r="H100" s="453" t="s">
        <v>2229</v>
      </c>
      <c r="I100" s="307" t="str">
        <f>OBRA!W99</f>
        <v>C. EFRAIN GONZALEZ CRUZ</v>
      </c>
      <c r="J100" s="304" t="str">
        <f>OBRA!X99</f>
        <v>ING. RIGOBERTO OLMEDO RAMOS</v>
      </c>
      <c r="K100" s="439" t="str">
        <f>OBRA!N99</f>
        <v>GMJ 005C OP/2015</v>
      </c>
      <c r="L100" s="291" t="str">
        <f>OBRA!O99</f>
        <v>ADJUDICACIÓN DIRECTA</v>
      </c>
      <c r="M100" s="292" t="str">
        <f>OBRA!P99</f>
        <v>ELECTRIFICACIÓN DE MEDIA Y BAJA TENSION EN CALLES RAMÓN CORONA Y 12 DE OCTUBRE (BARRIO MEZQUITITO 1ER. ETAPA) EN LA DELEGACIÓN DE POTRERILLOS</v>
      </c>
      <c r="N100" s="465" t="s">
        <v>1467</v>
      </c>
      <c r="O100" s="465"/>
      <c r="P100" s="294">
        <f>OBRA!S99</f>
        <v>42047</v>
      </c>
      <c r="Q100" s="293">
        <f>OBRA!R99</f>
        <v>307899.96000000002</v>
      </c>
      <c r="R100" s="293"/>
      <c r="S100" s="295">
        <f>OBRA!T99</f>
        <v>42051</v>
      </c>
      <c r="T100" s="296">
        <f>OBRA!U99</f>
        <v>42065</v>
      </c>
      <c r="U100" s="366"/>
      <c r="V100" s="804" t="s">
        <v>1428</v>
      </c>
      <c r="W100" s="454" t="s">
        <v>1470</v>
      </c>
      <c r="X100" s="455" t="s">
        <v>2230</v>
      </c>
      <c r="Y100" s="805">
        <f>OBRA!AR99</f>
        <v>36948</v>
      </c>
      <c r="Z100" s="310"/>
      <c r="AA100" s="310"/>
      <c r="AB100" s="295"/>
      <c r="AC100" s="384">
        <f>OBRA!BW99</f>
        <v>0</v>
      </c>
      <c r="AD100" s="353" t="s">
        <v>551</v>
      </c>
    </row>
    <row r="101" spans="1:30" s="299" customFormat="1" ht="74.25" hidden="1" customHeight="1">
      <c r="A101" s="305" t="s">
        <v>2206</v>
      </c>
      <c r="B101" s="853" t="str">
        <f>GRAL!B102</f>
        <v>2012-2015</v>
      </c>
      <c r="C101" s="288">
        <f>OBRA!J100</f>
        <v>2015</v>
      </c>
      <c r="D101" s="306" t="str">
        <f>OBRA!M100</f>
        <v>RAMO 33</v>
      </c>
      <c r="E101" s="485" t="s">
        <v>1428</v>
      </c>
      <c r="F101" s="491" t="s">
        <v>2231</v>
      </c>
      <c r="G101" s="452" t="s">
        <v>1472</v>
      </c>
      <c r="H101" s="453" t="s">
        <v>2232</v>
      </c>
      <c r="I101" s="307" t="str">
        <f>OBRA!W100</f>
        <v>C. EFRAIN GONZALEZ CRUZ</v>
      </c>
      <c r="J101" s="304" t="str">
        <f>OBRA!X100</f>
        <v>ING. RIGOBERTO OLMEDO RAMOS</v>
      </c>
      <c r="K101" s="439" t="str">
        <f>OBRA!N100</f>
        <v>GMJ 006C OP/2015</v>
      </c>
      <c r="L101" s="291" t="str">
        <f>OBRA!O100</f>
        <v>ADJUDICACIÓN DIRECTA</v>
      </c>
      <c r="M101" s="292" t="str">
        <f>OBRA!P100</f>
        <v>ELECTRIFICACIÓN DE MEDIA Y BAJA TENSION EN EL BARRIO "LA BECERRERA" 2DA ETAPA, EN LA AGENCIA DE EL MOLINO</v>
      </c>
      <c r="N101" s="465" t="s">
        <v>1471</v>
      </c>
      <c r="O101" s="465"/>
      <c r="P101" s="294">
        <f>OBRA!S100</f>
        <v>42109</v>
      </c>
      <c r="Q101" s="293">
        <f>OBRA!R100</f>
        <v>422690.66</v>
      </c>
      <c r="R101" s="293"/>
      <c r="S101" s="295">
        <f>OBRA!T100</f>
        <v>42114</v>
      </c>
      <c r="T101" s="296">
        <f>OBRA!U100</f>
        <v>42128</v>
      </c>
      <c r="U101" s="366"/>
      <c r="V101" s="804" t="s">
        <v>1428</v>
      </c>
      <c r="W101" s="454" t="s">
        <v>1473</v>
      </c>
      <c r="X101" s="455" t="s">
        <v>2233</v>
      </c>
      <c r="Y101" s="805">
        <f>OBRA!AR100</f>
        <v>42269.07</v>
      </c>
      <c r="Z101" s="310"/>
      <c r="AA101" s="310"/>
      <c r="AB101" s="295"/>
      <c r="AC101" s="384">
        <f>OBRA!BW100</f>
        <v>0</v>
      </c>
      <c r="AD101" s="353" t="s">
        <v>551</v>
      </c>
    </row>
    <row r="102" spans="1:30" s="299" customFormat="1" ht="63.75" hidden="1" customHeight="1">
      <c r="A102" s="305" t="s">
        <v>2206</v>
      </c>
      <c r="B102" s="853" t="str">
        <f>GRAL!B103</f>
        <v>2012-2015</v>
      </c>
      <c r="C102" s="288">
        <f>OBRA!J101</f>
        <v>2015</v>
      </c>
      <c r="D102" s="306" t="str">
        <f>OBRA!M101</f>
        <v>RAMO 33</v>
      </c>
      <c r="E102" s="485" t="s">
        <v>1428</v>
      </c>
      <c r="F102" s="491" t="s">
        <v>2234</v>
      </c>
      <c r="G102" s="452" t="s">
        <v>1477</v>
      </c>
      <c r="H102" s="453" t="s">
        <v>2235</v>
      </c>
      <c r="I102" s="307" t="str">
        <f>OBRA!W101</f>
        <v>C. EFRAIN GONZALEZ CRUZ</v>
      </c>
      <c r="J102" s="304" t="str">
        <f>OBRA!X101</f>
        <v>ING. RIGOBERTO OLMEDO RAMOS</v>
      </c>
      <c r="K102" s="439" t="str">
        <f>OBRA!N101</f>
        <v>GMJ 011C OP/2015</v>
      </c>
      <c r="L102" s="291" t="str">
        <f>OBRA!O101</f>
        <v>ADJUDICACIÓN DIRECTA</v>
      </c>
      <c r="M102" s="292" t="str">
        <f>OBRA!P101</f>
        <v>ALUMBRADO PUBLICO AL INGRESO DEL POBLADO DE HUEJOTITAN</v>
      </c>
      <c r="N102" s="465" t="s">
        <v>1476</v>
      </c>
      <c r="O102" s="465"/>
      <c r="P102" s="294">
        <f>OBRA!S101</f>
        <v>42209</v>
      </c>
      <c r="Q102" s="293">
        <f>OBRA!R101</f>
        <v>1182630</v>
      </c>
      <c r="R102" s="293"/>
      <c r="S102" s="295">
        <f>OBRA!T101</f>
        <v>42212</v>
      </c>
      <c r="T102" s="296">
        <f>OBRA!U101</f>
        <v>42239</v>
      </c>
      <c r="U102" s="366"/>
      <c r="V102" s="804" t="s">
        <v>1428</v>
      </c>
      <c r="W102" s="454" t="s">
        <v>1478</v>
      </c>
      <c r="X102" s="455" t="s">
        <v>2236</v>
      </c>
      <c r="Y102" s="446">
        <f>118263+295657.5</f>
        <v>413920.5</v>
      </c>
      <c r="Z102" s="310"/>
      <c r="AA102" s="310"/>
      <c r="AB102" s="295"/>
      <c r="AC102" s="384">
        <f>OBRA!BW101</f>
        <v>0</v>
      </c>
      <c r="AD102" s="353" t="s">
        <v>551</v>
      </c>
    </row>
    <row r="103" spans="1:30" s="104" customFormat="1" ht="45.75" hidden="1" customHeight="1">
      <c r="A103" s="81" t="s">
        <v>2206</v>
      </c>
      <c r="B103" s="820" t="str">
        <f>GRAL!B104</f>
        <v>2012-2015</v>
      </c>
      <c r="C103" s="82">
        <f>OBRA!J102</f>
        <v>2015</v>
      </c>
      <c r="D103" s="97" t="str">
        <f>OBRA!M102</f>
        <v>CUENTA CORRIENTE</v>
      </c>
      <c r="E103" s="354" t="s">
        <v>1428</v>
      </c>
      <c r="F103" s="822"/>
      <c r="G103" s="823"/>
      <c r="H103" s="824"/>
      <c r="I103" s="276" t="str">
        <f>OBRA!W102</f>
        <v>-</v>
      </c>
      <c r="J103" s="277">
        <f>OBRA!X102</f>
        <v>0</v>
      </c>
      <c r="K103" s="308" t="str">
        <f>OBRA!N102</f>
        <v>GMJ 011C OP/2015</v>
      </c>
      <c r="L103" s="186" t="str">
        <f>OBRA!O102</f>
        <v>CANCELADA</v>
      </c>
      <c r="M103" s="106" t="str">
        <f>OBRA!P102</f>
        <v>AMPLIACIÓN DE ELECTRIFICACION EN BARRIO EL TORIL DE ZAPOTITAN DE HIDALGO</v>
      </c>
      <c r="N103" s="812"/>
      <c r="O103" s="812"/>
      <c r="P103" s="87" t="s">
        <v>68</v>
      </c>
      <c r="Q103" s="86">
        <f>OBRA!R102</f>
        <v>0</v>
      </c>
      <c r="R103" s="86"/>
      <c r="S103" s="88" t="s">
        <v>68</v>
      </c>
      <c r="T103" s="89" t="s">
        <v>68</v>
      </c>
      <c r="U103" s="101"/>
      <c r="V103" s="101" t="s">
        <v>1428</v>
      </c>
      <c r="W103" s="812"/>
      <c r="X103" s="816"/>
      <c r="Y103" s="821">
        <f>OBRA!AR102</f>
        <v>0</v>
      </c>
      <c r="Z103" s="311"/>
      <c r="AA103" s="311"/>
      <c r="AB103" s="88"/>
      <c r="AC103" s="467" t="str">
        <f>OBRA!BW102</f>
        <v>SE HIZO POR MANTENIMIENTO</v>
      </c>
      <c r="AD103" s="354"/>
    </row>
    <row r="104" spans="1:30" ht="75.75" hidden="1" customHeight="1">
      <c r="A104" s="22" t="s">
        <v>2206</v>
      </c>
      <c r="B104" s="809" t="str">
        <f>GRAL!B105</f>
        <v>2012-2015</v>
      </c>
      <c r="C104" s="16">
        <f>OBRA!J103</f>
        <v>2015</v>
      </c>
      <c r="D104" s="17" t="str">
        <f>OBRA!M103</f>
        <v>CUENTA CORRIENTE</v>
      </c>
      <c r="E104" s="13" t="s">
        <v>1428</v>
      </c>
      <c r="F104" s="492"/>
      <c r="G104" s="440"/>
      <c r="H104" s="441"/>
      <c r="I104" s="208" t="str">
        <f>OBRA!W103</f>
        <v>-</v>
      </c>
      <c r="J104" s="231" t="str">
        <f>OBRA!X103</f>
        <v>ING. RIGOBERTO OLMEDO RAMOS</v>
      </c>
      <c r="K104" s="439" t="str">
        <f>OBRA!N103</f>
        <v>DOP/AD/001/2015</v>
      </c>
      <c r="L104" s="2" t="str">
        <f>OBRA!O103</f>
        <v>ADMINISTRACIÓN DIRECTA</v>
      </c>
      <c r="M104" s="3" t="str">
        <f>OBRA!P103</f>
        <v>BACHEO CON MEZCLA ASFALTICA CALIENTE EN LAS CALLES ALLENDE, JUAREZ, HIDALGO Y PERO MORENO, EN LA DELEGCION DE ZAPOTITAN DE HIDALGO</v>
      </c>
      <c r="N104" s="438"/>
      <c r="O104" s="438"/>
      <c r="P104" s="6">
        <f>OBRA!S103</f>
        <v>42128</v>
      </c>
      <c r="Q104" s="4">
        <f>OBRA!R103</f>
        <v>92000</v>
      </c>
      <c r="R104" s="4"/>
      <c r="S104" s="5">
        <f>OBRA!T103</f>
        <v>42128</v>
      </c>
      <c r="T104" s="11">
        <f>OBRA!U103</f>
        <v>42133</v>
      </c>
      <c r="U104" s="52"/>
      <c r="V104" s="226" t="s">
        <v>1428</v>
      </c>
      <c r="W104" s="438"/>
      <c r="X104" s="442"/>
      <c r="Y104" s="278">
        <f>OBRA!AR103</f>
        <v>0</v>
      </c>
      <c r="Z104" s="309"/>
      <c r="AA104" s="309"/>
      <c r="AB104" s="5"/>
      <c r="AC104" s="317">
        <f>OBRA!BW103</f>
        <v>0</v>
      </c>
      <c r="AD104" s="352"/>
    </row>
    <row r="105" spans="1:30" ht="75.75" hidden="1" customHeight="1">
      <c r="A105" s="22" t="s">
        <v>2206</v>
      </c>
      <c r="B105" s="809" t="str">
        <f>GRAL!B106</f>
        <v>2012-2015</v>
      </c>
      <c r="C105" s="16">
        <f>OBRA!J104</f>
        <v>2015</v>
      </c>
      <c r="D105" s="17" t="str">
        <f>OBRA!M104</f>
        <v>CUENTA CORRIENTE</v>
      </c>
      <c r="E105" s="478" t="s">
        <v>1428</v>
      </c>
      <c r="F105" s="492"/>
      <c r="G105" s="440"/>
      <c r="H105" s="441"/>
      <c r="I105" s="208" t="str">
        <f>OBRA!W104</f>
        <v>-</v>
      </c>
      <c r="J105" s="231" t="str">
        <f>OBRA!X104</f>
        <v>JUAN CARLOS NAVARRO ROSALES</v>
      </c>
      <c r="K105" s="439" t="str">
        <f>OBRA!N104</f>
        <v>DOP/AD/002/2015</v>
      </c>
      <c r="L105" s="2" t="str">
        <f>OBRA!O104</f>
        <v>ADMINISTRACIÓN DIRECTA</v>
      </c>
      <c r="M105" s="3" t="str">
        <f>OBRA!P104</f>
        <v>CONSTRUCCION DE RED DE DRENAJE EN C. ZARAGOZA DE PRIVADA ZARAGOZA A AVENIDA DEL TRABAJO, EN LA DELEGACION DE SAN CRISTOBAL ZAPOTITLAN</v>
      </c>
      <c r="N105" s="438"/>
      <c r="O105" s="438"/>
      <c r="P105" s="6">
        <f>OBRA!S104</f>
        <v>42186</v>
      </c>
      <c r="Q105" s="4">
        <f>OBRA!R104</f>
        <v>180484.7</v>
      </c>
      <c r="R105" s="4"/>
      <c r="S105" s="5">
        <f>OBRA!T104</f>
        <v>42186</v>
      </c>
      <c r="T105" s="11">
        <f>OBRA!U104</f>
        <v>42195</v>
      </c>
      <c r="U105" s="52"/>
      <c r="V105" s="226" t="s">
        <v>1428</v>
      </c>
      <c r="W105" s="438"/>
      <c r="X105" s="442"/>
      <c r="Y105" s="278">
        <f>OBRA!AR104</f>
        <v>0</v>
      </c>
      <c r="Z105" s="309"/>
      <c r="AA105" s="309"/>
      <c r="AB105" s="5"/>
      <c r="AC105" s="317">
        <f>OBRA!BW104</f>
        <v>0</v>
      </c>
      <c r="AD105" s="352"/>
    </row>
    <row r="106" spans="1:30" ht="90.75" hidden="1" customHeight="1">
      <c r="A106" s="22" t="s">
        <v>2206</v>
      </c>
      <c r="B106" s="809" t="str">
        <f>GRAL!B107</f>
        <v>2012-2015</v>
      </c>
      <c r="C106" s="16">
        <f>OBRA!J105</f>
        <v>2015</v>
      </c>
      <c r="D106" s="17" t="str">
        <f>OBRA!M105</f>
        <v>CUENTA CORRIENTE</v>
      </c>
      <c r="E106" s="478" t="s">
        <v>1428</v>
      </c>
      <c r="F106" s="492"/>
      <c r="G106" s="440"/>
      <c r="H106" s="441"/>
      <c r="I106" s="208" t="str">
        <f>OBRA!W105</f>
        <v>-</v>
      </c>
      <c r="J106" s="231" t="str">
        <f>OBRA!X105</f>
        <v>JUAN CARLOS NAVARRO ROSALES</v>
      </c>
      <c r="K106" s="439" t="str">
        <f>OBRA!N105</f>
        <v>DOP/AD/003/2015</v>
      </c>
      <c r="L106" s="2" t="str">
        <f>OBRA!O105</f>
        <v>ADMINISTRACIÓN DIRECTA</v>
      </c>
      <c r="M106" s="3" t="str">
        <f>OBRA!P105</f>
        <v>CONSTRUCCION DE RED DE DRENAJE EN PRIVADA ZARAGOZA ENTRE VICENTE GUERRERO Y C. ZARAGOZA A AVENIDA DEL TRABAJO EN LA DELEGACION DE SAN CRISTOBAL ZAPOTITLAN</v>
      </c>
      <c r="N106" s="438"/>
      <c r="O106" s="438"/>
      <c r="P106" s="6">
        <f>OBRA!S105</f>
        <v>42186</v>
      </c>
      <c r="Q106" s="4">
        <f>OBRA!R105</f>
        <v>117631.84</v>
      </c>
      <c r="R106" s="4"/>
      <c r="S106" s="5">
        <f>OBRA!T105</f>
        <v>42186</v>
      </c>
      <c r="T106" s="11">
        <f>OBRA!U105</f>
        <v>42195</v>
      </c>
      <c r="U106" s="52"/>
      <c r="V106" s="226" t="s">
        <v>1428</v>
      </c>
      <c r="W106" s="438"/>
      <c r="X106" s="442"/>
      <c r="Y106" s="278">
        <f>OBRA!AR105</f>
        <v>0</v>
      </c>
      <c r="Z106" s="309"/>
      <c r="AA106" s="309"/>
      <c r="AB106" s="5"/>
      <c r="AC106" s="317">
        <f>OBRA!BW105</f>
        <v>0</v>
      </c>
      <c r="AD106" s="352"/>
    </row>
    <row r="107" spans="1:30" ht="75.75" hidden="1" customHeight="1">
      <c r="A107" s="22" t="s">
        <v>2206</v>
      </c>
      <c r="B107" s="809" t="str">
        <f>GRAL!B108</f>
        <v>2012-2015</v>
      </c>
      <c r="C107" s="16">
        <f>OBRA!J106</f>
        <v>2015</v>
      </c>
      <c r="D107" s="17" t="str">
        <f>OBRA!M106</f>
        <v>RAMO 33</v>
      </c>
      <c r="E107" s="478" t="s">
        <v>1428</v>
      </c>
      <c r="F107" s="492"/>
      <c r="G107" s="440"/>
      <c r="H107" s="441"/>
      <c r="I107" s="208" t="str">
        <f>OBRA!W106</f>
        <v>-</v>
      </c>
      <c r="J107" s="231" t="str">
        <f>OBRA!X106</f>
        <v>JUAN CARLOS NAVARRO ROSALES</v>
      </c>
      <c r="K107" s="439" t="str">
        <f>OBRA!N106</f>
        <v>DOP/AD/004/2015</v>
      </c>
      <c r="L107" s="2" t="str">
        <f>OBRA!O106</f>
        <v>ADMINISTRACIÓN DIRECTA</v>
      </c>
      <c r="M107" s="3" t="str">
        <f>OBRA!P106</f>
        <v>CONSTRUCCION DE RED DE DRENAJE EN C. VENUSTIANO CARRANZA Y JAVIER MINA DE C. ITURBIDE  A FRANCISCO VILLA, EN LA CABECERA MUNICIPAL</v>
      </c>
      <c r="N107" s="438"/>
      <c r="O107" s="438"/>
      <c r="P107" s="6">
        <f>OBRA!S106</f>
        <v>42193</v>
      </c>
      <c r="Q107" s="4">
        <f>OBRA!R106</f>
        <v>315420.59999999998</v>
      </c>
      <c r="R107" s="4"/>
      <c r="S107" s="5">
        <f>OBRA!T106</f>
        <v>42193</v>
      </c>
      <c r="T107" s="11">
        <f>OBRA!U106</f>
        <v>42200</v>
      </c>
      <c r="U107" s="52"/>
      <c r="V107" s="226" t="s">
        <v>1428</v>
      </c>
      <c r="W107" s="438"/>
      <c r="X107" s="442"/>
      <c r="Y107" s="278">
        <f>OBRA!AR106</f>
        <v>0</v>
      </c>
      <c r="Z107" s="309"/>
      <c r="AA107" s="309"/>
      <c r="AB107" s="5"/>
      <c r="AC107" s="317">
        <f>OBRA!BW106</f>
        <v>0</v>
      </c>
      <c r="AD107" s="352"/>
    </row>
    <row r="108" spans="1:30" ht="60.75" hidden="1" customHeight="1">
      <c r="A108" s="22" t="s">
        <v>2206</v>
      </c>
      <c r="B108" s="809" t="str">
        <f>GRAL!B109</f>
        <v>2012-2015</v>
      </c>
      <c r="C108" s="16">
        <f>OBRA!J107</f>
        <v>2015</v>
      </c>
      <c r="D108" s="17" t="str">
        <f>OBRA!M107</f>
        <v>RAMO 33</v>
      </c>
      <c r="E108" s="478" t="s">
        <v>1428</v>
      </c>
      <c r="F108" s="492"/>
      <c r="G108" s="440"/>
      <c r="H108" s="441"/>
      <c r="I108" s="208" t="str">
        <f>OBRA!W107</f>
        <v>-</v>
      </c>
      <c r="J108" s="231" t="str">
        <f>OBRA!X107</f>
        <v>JUAN CARLOS NAVARRO ROSALES</v>
      </c>
      <c r="K108" s="439" t="str">
        <f>OBRA!N107</f>
        <v>DOP/AD/005/2015</v>
      </c>
      <c r="L108" s="2" t="str">
        <f>OBRA!O107</f>
        <v>ADMINISTRACIÓN DIRECTA</v>
      </c>
      <c r="M108" s="3" t="str">
        <f>OBRA!P107</f>
        <v>CONSTRUCCION DE RED DE DRENAJE EN C. 21 DE MARZO E ITURBIDE DE C. VERANO A 20 DE NOVIEMBRE, EN LA CABECERA MUNICIPAL</v>
      </c>
      <c r="N108" s="438"/>
      <c r="O108" s="438"/>
      <c r="P108" s="6">
        <f>OBRA!S107</f>
        <v>42201</v>
      </c>
      <c r="Q108" s="4">
        <f>OBRA!R107</f>
        <v>144879.81</v>
      </c>
      <c r="R108" s="4"/>
      <c r="S108" s="5">
        <f>OBRA!T107</f>
        <v>42201</v>
      </c>
      <c r="T108" s="11">
        <f>OBRA!U107</f>
        <v>42216</v>
      </c>
      <c r="U108" s="52"/>
      <c r="V108" s="226" t="s">
        <v>1428</v>
      </c>
      <c r="W108" s="438"/>
      <c r="X108" s="442"/>
      <c r="Y108" s="278">
        <f>OBRA!AR107</f>
        <v>0</v>
      </c>
      <c r="Z108" s="309"/>
      <c r="AA108" s="309"/>
      <c r="AB108" s="5"/>
      <c r="AC108" s="317">
        <f>OBRA!BW107</f>
        <v>0</v>
      </c>
      <c r="AD108" s="352"/>
    </row>
    <row r="109" spans="1:30" ht="45.75" hidden="1" customHeight="1">
      <c r="A109" s="22" t="s">
        <v>2206</v>
      </c>
      <c r="B109" s="809" t="str">
        <f>GRAL!B110</f>
        <v>2012-2015</v>
      </c>
      <c r="C109" s="16">
        <f>OBRA!J108</f>
        <v>2015</v>
      </c>
      <c r="D109" s="17" t="str">
        <f>OBRA!M108</f>
        <v>RAMO 33</v>
      </c>
      <c r="E109" s="480" t="s">
        <v>1428</v>
      </c>
      <c r="F109" s="492"/>
      <c r="G109" s="440"/>
      <c r="H109" s="441"/>
      <c r="I109" s="208" t="str">
        <f>OBRA!W108</f>
        <v>-</v>
      </c>
      <c r="J109" s="231" t="str">
        <f>OBRA!X108</f>
        <v>JUAN CARLOS NAVARRO ROSALES</v>
      </c>
      <c r="K109" s="439" t="str">
        <f>OBRA!N108</f>
        <v>DOP/AD/006/2015</v>
      </c>
      <c r="L109" s="2" t="str">
        <f>OBRA!O108</f>
        <v>ADMINISTRACIÓN DIRECTA</v>
      </c>
      <c r="M109" s="3" t="str">
        <f>OBRA!P108</f>
        <v>CONSTRUCCION DE RED DE DRENAJE EN LA PRIVADA VERANO, EN LA CABECERA MUNICIPAL</v>
      </c>
      <c r="N109" s="438"/>
      <c r="O109" s="438"/>
      <c r="P109" s="6">
        <f>OBRA!S108</f>
        <v>42201</v>
      </c>
      <c r="Q109" s="4">
        <f>OBRA!R108</f>
        <v>74934.460000000006</v>
      </c>
      <c r="R109" s="4"/>
      <c r="S109" s="5">
        <f>OBRA!T108</f>
        <v>42201</v>
      </c>
      <c r="T109" s="11">
        <f>OBRA!U108</f>
        <v>42216</v>
      </c>
      <c r="U109" s="52"/>
      <c r="V109" s="226" t="s">
        <v>1428</v>
      </c>
      <c r="W109" s="438"/>
      <c r="X109" s="442"/>
      <c r="Y109" s="278">
        <f>OBRA!AR108</f>
        <v>0</v>
      </c>
      <c r="Z109" s="309"/>
      <c r="AA109" s="309"/>
      <c r="AB109" s="5"/>
      <c r="AC109" s="317">
        <f>OBRA!BW108</f>
        <v>0</v>
      </c>
      <c r="AD109" s="352"/>
    </row>
    <row r="110" spans="1:30" ht="60.75" hidden="1" customHeight="1">
      <c r="A110" s="22" t="s">
        <v>2206</v>
      </c>
      <c r="B110" s="809" t="str">
        <f>GRAL!B111</f>
        <v>2012-2015</v>
      </c>
      <c r="C110" s="16">
        <f>OBRA!J109</f>
        <v>2015</v>
      </c>
      <c r="D110" s="17" t="str">
        <f>OBRA!M109</f>
        <v>RAMO 33</v>
      </c>
      <c r="E110" s="481" t="s">
        <v>1428</v>
      </c>
      <c r="F110" s="492"/>
      <c r="G110" s="440"/>
      <c r="H110" s="441"/>
      <c r="I110" s="208" t="str">
        <f>OBRA!W109</f>
        <v>-</v>
      </c>
      <c r="J110" s="231" t="str">
        <f>OBRA!X109</f>
        <v>JUAN CARLOS NAVARRO ROSALES</v>
      </c>
      <c r="K110" s="439" t="str">
        <f>OBRA!N109</f>
        <v>DOP/AD/007/2015</v>
      </c>
      <c r="L110" s="2" t="str">
        <f>OBRA!O109</f>
        <v>ADMINISTRACIÓN DIRECTA</v>
      </c>
      <c r="M110" s="3" t="str">
        <f>OBRA!P109</f>
        <v>CONSTRUCCION DE RED DE AGUA POTABL EEN LA CALLE PRIVADA VERANO, EN LA CABECERA MUNICIPAL</v>
      </c>
      <c r="N110" s="438"/>
      <c r="O110" s="438"/>
      <c r="P110" s="6">
        <f>OBRA!S109</f>
        <v>42219</v>
      </c>
      <c r="Q110" s="4">
        <f>OBRA!R109</f>
        <v>116511.12</v>
      </c>
      <c r="R110" s="4"/>
      <c r="S110" s="5">
        <f>OBRA!T109</f>
        <v>42219</v>
      </c>
      <c r="T110" s="11">
        <f>OBRA!U109</f>
        <v>42226</v>
      </c>
      <c r="U110" s="52"/>
      <c r="V110" s="226" t="s">
        <v>1428</v>
      </c>
      <c r="W110" s="438"/>
      <c r="X110" s="442"/>
      <c r="Y110" s="278">
        <f>OBRA!AR109</f>
        <v>0</v>
      </c>
      <c r="Z110" s="309"/>
      <c r="AA110" s="309"/>
      <c r="AB110" s="5"/>
      <c r="AC110" s="317">
        <f>OBRA!BW109</f>
        <v>0</v>
      </c>
      <c r="AD110" s="352"/>
    </row>
    <row r="111" spans="1:30" ht="60.75" hidden="1" customHeight="1">
      <c r="A111" s="22" t="s">
        <v>2206</v>
      </c>
      <c r="B111" s="809" t="str">
        <f>GRAL!B112</f>
        <v>2012-2015</v>
      </c>
      <c r="C111" s="16">
        <f>OBRA!J110</f>
        <v>2015</v>
      </c>
      <c r="D111" s="17" t="str">
        <f>OBRA!M110</f>
        <v>RAMO 33</v>
      </c>
      <c r="E111" s="481" t="s">
        <v>1428</v>
      </c>
      <c r="F111" s="492"/>
      <c r="G111" s="440"/>
      <c r="H111" s="441"/>
      <c r="I111" s="208" t="str">
        <f>OBRA!W110</f>
        <v>-</v>
      </c>
      <c r="J111" s="231" t="str">
        <f>OBRA!X110</f>
        <v>JUAN CARLOS NAVARRO ROSALES</v>
      </c>
      <c r="K111" s="439" t="str">
        <f>OBRA!N110</f>
        <v>DOP/AD/008/2015</v>
      </c>
      <c r="L111" s="2" t="str">
        <f>OBRA!O110</f>
        <v>ADMINISTRACIÓN DIRECTA</v>
      </c>
      <c r="M111" s="3" t="str">
        <f>OBRA!P110</f>
        <v>CONSTRUCCION DE RED DE DRENAJE EN LA C. VERANO DE C. LOPEZ RAYON A NIÑOS HEROES, EN LA CABECERA MUNICIPAL</v>
      </c>
      <c r="N111" s="438"/>
      <c r="O111" s="438"/>
      <c r="P111" s="6">
        <f>OBRA!S110</f>
        <v>42201</v>
      </c>
      <c r="Q111" s="4">
        <f>OBRA!R110</f>
        <v>256635.81</v>
      </c>
      <c r="R111" s="4"/>
      <c r="S111" s="5">
        <f>OBRA!T110</f>
        <v>42201</v>
      </c>
      <c r="T111" s="11">
        <f>OBRA!U110</f>
        <v>42216</v>
      </c>
      <c r="U111" s="52"/>
      <c r="V111" s="226" t="s">
        <v>1428</v>
      </c>
      <c r="W111" s="438"/>
      <c r="X111" s="442"/>
      <c r="Y111" s="278">
        <f>OBRA!AR110</f>
        <v>0</v>
      </c>
      <c r="Z111" s="309"/>
      <c r="AA111" s="309"/>
      <c r="AB111" s="5"/>
      <c r="AC111" s="317">
        <f>OBRA!BW110</f>
        <v>0</v>
      </c>
      <c r="AD111" s="352"/>
    </row>
    <row r="112" spans="1:30" ht="45.75" hidden="1" customHeight="1">
      <c r="A112" s="22" t="s">
        <v>2206</v>
      </c>
      <c r="B112" s="809" t="str">
        <f>GRAL!B113</f>
        <v>2012-2015</v>
      </c>
      <c r="C112" s="16">
        <f>OBRA!J111</f>
        <v>2015</v>
      </c>
      <c r="D112" s="17" t="str">
        <f>OBRA!M111</f>
        <v>RAMO 33</v>
      </c>
      <c r="E112" s="481" t="s">
        <v>1428</v>
      </c>
      <c r="F112" s="492"/>
      <c r="G112" s="440"/>
      <c r="H112" s="441"/>
      <c r="I112" s="208" t="str">
        <f>OBRA!W111</f>
        <v>-</v>
      </c>
      <c r="J112" s="231" t="str">
        <f>OBRA!X111</f>
        <v>JUAN CARLOS NAVARRO ROSALES</v>
      </c>
      <c r="K112" s="439" t="str">
        <f>OBRA!N111</f>
        <v>DOP/AD/009/2015</v>
      </c>
      <c r="L112" s="2" t="str">
        <f>OBRA!O111</f>
        <v>ADMINISTRACIÓN DIRECTA</v>
      </c>
      <c r="M112" s="3" t="str">
        <f>OBRA!P111</f>
        <v>CONSTRUCCION DE RED DE AGUA POTABLE EN C. VERANO DE C. LOPEZ RAYON A NIÑOS HEROES</v>
      </c>
      <c r="N112" s="438"/>
      <c r="O112" s="438"/>
      <c r="P112" s="6">
        <f>OBRA!S111</f>
        <v>42188</v>
      </c>
      <c r="Q112" s="4">
        <f>OBRA!R111</f>
        <v>186751.07</v>
      </c>
      <c r="R112" s="4"/>
      <c r="S112" s="5">
        <f>OBRA!T111</f>
        <v>42191</v>
      </c>
      <c r="T112" s="11">
        <f>OBRA!U111</f>
        <v>42210</v>
      </c>
      <c r="U112" s="52"/>
      <c r="V112" s="226" t="s">
        <v>1428</v>
      </c>
      <c r="W112" s="438"/>
      <c r="X112" s="442"/>
      <c r="Y112" s="278">
        <f>OBRA!AR111</f>
        <v>0</v>
      </c>
      <c r="Z112" s="309"/>
      <c r="AA112" s="309"/>
      <c r="AB112" s="5"/>
      <c r="AC112" s="317">
        <f>OBRA!BW111</f>
        <v>0</v>
      </c>
      <c r="AD112" s="352"/>
    </row>
    <row r="113" spans="1:30" ht="60.75" hidden="1" customHeight="1">
      <c r="A113" s="22" t="s">
        <v>2206</v>
      </c>
      <c r="B113" s="809" t="str">
        <f>GRAL!B114</f>
        <v>2012-2015</v>
      </c>
      <c r="C113" s="16">
        <f>OBRA!J112</f>
        <v>2015</v>
      </c>
      <c r="D113" s="17" t="str">
        <f>OBRA!M112</f>
        <v>RAMO 33</v>
      </c>
      <c r="E113" s="481" t="s">
        <v>1428</v>
      </c>
      <c r="F113" s="492"/>
      <c r="G113" s="440"/>
      <c r="H113" s="441"/>
      <c r="I113" s="208" t="str">
        <f>OBRA!W112</f>
        <v>-</v>
      </c>
      <c r="J113" s="231" t="str">
        <f>OBRA!X112</f>
        <v>JUAN CARLOS NAVARRO ROSALES</v>
      </c>
      <c r="K113" s="439" t="str">
        <f>OBRA!N112</f>
        <v>DOP/AD/010/2015</v>
      </c>
      <c r="L113" s="2" t="str">
        <f>OBRA!O112</f>
        <v>ADMINISTRACIÓN DIRECTA</v>
      </c>
      <c r="M113" s="3" t="str">
        <f>OBRA!P112</f>
        <v>CONSTRUCCION DE RED DE DRENAJE EN LA C. LOPEZ RAYON ENTRE PRIVADA INDEPENDENCIA A OTOÑO, EN LA CABECERA MUNICIPAL</v>
      </c>
      <c r="N113" s="438"/>
      <c r="O113" s="438"/>
      <c r="P113" s="6">
        <f>OBRA!S112</f>
        <v>42210</v>
      </c>
      <c r="Q113" s="4">
        <f>OBRA!R112</f>
        <v>359833.1</v>
      </c>
      <c r="R113" s="4"/>
      <c r="S113" s="5">
        <f>OBRA!T112</f>
        <v>42210</v>
      </c>
      <c r="T113" s="11">
        <f>OBRA!U112</f>
        <v>42226</v>
      </c>
      <c r="U113" s="52"/>
      <c r="V113" s="226" t="s">
        <v>1428</v>
      </c>
      <c r="W113" s="438"/>
      <c r="X113" s="442"/>
      <c r="Y113" s="278">
        <f>OBRA!AR112</f>
        <v>0</v>
      </c>
      <c r="Z113" s="309"/>
      <c r="AA113" s="309"/>
      <c r="AB113" s="5"/>
      <c r="AC113" s="317">
        <f>OBRA!BW112</f>
        <v>0</v>
      </c>
      <c r="AD113" s="352"/>
    </row>
    <row r="114" spans="1:30" ht="60.75" hidden="1" customHeight="1">
      <c r="A114" s="22" t="s">
        <v>2206</v>
      </c>
      <c r="B114" s="809" t="str">
        <f>GRAL!B115</f>
        <v>2012-2015</v>
      </c>
      <c r="C114" s="16">
        <f>OBRA!J113</f>
        <v>2015</v>
      </c>
      <c r="D114" s="17" t="str">
        <f>OBRA!M113</f>
        <v>RAMO 33</v>
      </c>
      <c r="E114" s="481" t="s">
        <v>1428</v>
      </c>
      <c r="F114" s="492"/>
      <c r="G114" s="440"/>
      <c r="H114" s="441"/>
      <c r="I114" s="208" t="str">
        <f>OBRA!W113</f>
        <v>-</v>
      </c>
      <c r="J114" s="231" t="str">
        <f>OBRA!X113</f>
        <v>JUAN CARLOS NAVARRO ROSALES</v>
      </c>
      <c r="K114" s="439" t="str">
        <f>OBRA!N113</f>
        <v>DOP/AD/011/2015</v>
      </c>
      <c r="L114" s="2" t="str">
        <f>OBRA!O113</f>
        <v>ADMINISTRACIÓN DIRECTA</v>
      </c>
      <c r="M114" s="3" t="str">
        <f>OBRA!P113</f>
        <v>CONSTRUCCION DE RED DE AGUA POTABLE EN C. LOPEZ RAYON ENTRE PRIVADA INDEPENDENCIA Y OTOÑO, EN LA CABECERA MUNICIPAL</v>
      </c>
      <c r="N114" s="438"/>
      <c r="O114" s="438"/>
      <c r="P114" s="6">
        <f>OBRA!S113</f>
        <v>42226</v>
      </c>
      <c r="Q114" s="4">
        <f>OBRA!R113</f>
        <v>225508.89</v>
      </c>
      <c r="R114" s="4"/>
      <c r="S114" s="5">
        <f>OBRA!T113</f>
        <v>42226</v>
      </c>
      <c r="T114" s="11">
        <f>OBRA!U113</f>
        <v>42238</v>
      </c>
      <c r="U114" s="52"/>
      <c r="V114" s="226" t="s">
        <v>1428</v>
      </c>
      <c r="W114" s="438"/>
      <c r="X114" s="442"/>
      <c r="Y114" s="278">
        <f>OBRA!AR113</f>
        <v>0</v>
      </c>
      <c r="Z114" s="309"/>
      <c r="AA114" s="309"/>
      <c r="AB114" s="5"/>
      <c r="AC114" s="317">
        <f>OBRA!BW113</f>
        <v>0</v>
      </c>
      <c r="AD114" s="352"/>
    </row>
    <row r="115" spans="1:30" ht="75.75" hidden="1" customHeight="1">
      <c r="A115" s="22" t="s">
        <v>2206</v>
      </c>
      <c r="B115" s="809" t="str">
        <f>GRAL!B116</f>
        <v>2012-2015</v>
      </c>
      <c r="C115" s="16">
        <f>OBRA!J114</f>
        <v>2015</v>
      </c>
      <c r="D115" s="17" t="str">
        <f>OBRA!M114</f>
        <v>RAMO 33</v>
      </c>
      <c r="E115" s="481" t="s">
        <v>1428</v>
      </c>
      <c r="F115" s="492"/>
      <c r="G115" s="440"/>
      <c r="H115" s="441"/>
      <c r="I115" s="208" t="str">
        <f>OBRA!W114</f>
        <v>-</v>
      </c>
      <c r="J115" s="231" t="str">
        <f>OBRA!X114</f>
        <v>JUAN CARLOS NAVARRO ROSALES</v>
      </c>
      <c r="K115" s="439" t="str">
        <f>OBRA!N114</f>
        <v>DOP/AD/012/2015</v>
      </c>
      <c r="L115" s="2" t="str">
        <f>OBRA!O114</f>
        <v>ADMINISTRACIÓN DIRECTA</v>
      </c>
      <c r="M115" s="3" t="str">
        <f>OBRA!P114</f>
        <v>CONSTRUCCIÓN DE RED DE AGUA POTABLE EN C. CARDENAL DE CARRETERA CHAPALA-JOCOTEPEC HASTA FINAL, EN LA DELEGACIÓN DE SAN JUAN COSALA</v>
      </c>
      <c r="N115" s="438"/>
      <c r="O115" s="438"/>
      <c r="P115" s="6">
        <f>OBRA!S114</f>
        <v>42188</v>
      </c>
      <c r="Q115" s="4">
        <f>OBRA!R114</f>
        <v>373029.23</v>
      </c>
      <c r="R115" s="4"/>
      <c r="S115" s="5">
        <f>OBRA!T114</f>
        <v>42191</v>
      </c>
      <c r="T115" s="11">
        <f>OBRA!U114</f>
        <v>42210</v>
      </c>
      <c r="U115" s="52"/>
      <c r="V115" s="226" t="s">
        <v>1428</v>
      </c>
      <c r="W115" s="438"/>
      <c r="X115" s="442"/>
      <c r="Y115" s="278">
        <f>OBRA!AR114</f>
        <v>0</v>
      </c>
      <c r="Z115" s="309"/>
      <c r="AA115" s="309"/>
      <c r="AB115" s="5"/>
      <c r="AC115" s="317">
        <f>OBRA!BW114</f>
        <v>0</v>
      </c>
      <c r="AD115" s="352"/>
    </row>
    <row r="116" spans="1:30" ht="60.75" hidden="1" customHeight="1">
      <c r="A116" s="22" t="s">
        <v>2206</v>
      </c>
      <c r="B116" s="809" t="str">
        <f>GRAL!B117</f>
        <v>2012-2015</v>
      </c>
      <c r="C116" s="16">
        <f>OBRA!J115</f>
        <v>2015</v>
      </c>
      <c r="D116" s="17" t="str">
        <f>OBRA!M115</f>
        <v>RAMO 33</v>
      </c>
      <c r="E116" s="481" t="s">
        <v>1428</v>
      </c>
      <c r="F116" s="492"/>
      <c r="G116" s="440"/>
      <c r="H116" s="441"/>
      <c r="I116" s="208" t="str">
        <f>OBRA!W115</f>
        <v>-</v>
      </c>
      <c r="J116" s="231" t="str">
        <f>OBRA!X115</f>
        <v>JUAN CARLOS NAVARRO ROSALES</v>
      </c>
      <c r="K116" s="439" t="str">
        <f>OBRA!N115</f>
        <v>DOP/AD/013/2015</v>
      </c>
      <c r="L116" s="2" t="str">
        <f>OBRA!O115</f>
        <v>ADMINISTRACIÓN DIRECTA</v>
      </c>
      <c r="M116" s="3" t="str">
        <f>OBRA!P115</f>
        <v>CONSTRUCCION DE RED DE DRENAJE EN LA C. 20 DE NOVIEMBRE DE ANIMA SOLA A INVIERNO, EN LA CABECERA MUNICIPAL</v>
      </c>
      <c r="N116" s="438"/>
      <c r="O116" s="438"/>
      <c r="P116" s="6">
        <f>OBRA!S115</f>
        <v>42219</v>
      </c>
      <c r="Q116" s="4">
        <f>OBRA!R115</f>
        <v>847454.56</v>
      </c>
      <c r="R116" s="4"/>
      <c r="S116" s="5">
        <f>OBRA!T115</f>
        <v>42219</v>
      </c>
      <c r="T116" s="11">
        <f>OBRA!U115</f>
        <v>42231</v>
      </c>
      <c r="U116" s="52"/>
      <c r="V116" s="226" t="s">
        <v>1428</v>
      </c>
      <c r="W116" s="438"/>
      <c r="X116" s="442"/>
      <c r="Y116" s="278">
        <f>OBRA!AR115</f>
        <v>0</v>
      </c>
      <c r="Z116" s="309"/>
      <c r="AA116" s="309"/>
      <c r="AB116" s="5"/>
      <c r="AC116" s="317">
        <f>OBRA!BW115</f>
        <v>0</v>
      </c>
      <c r="AD116" s="352"/>
    </row>
    <row r="117" spans="1:30" ht="60.75" hidden="1" customHeight="1">
      <c r="A117" s="22" t="s">
        <v>2206</v>
      </c>
      <c r="B117" s="809" t="str">
        <f>GRAL!B118</f>
        <v>2012-2015</v>
      </c>
      <c r="C117" s="16">
        <f>OBRA!J116</f>
        <v>2015</v>
      </c>
      <c r="D117" s="17" t="str">
        <f>OBRA!M116</f>
        <v>RAMO 33</v>
      </c>
      <c r="E117" s="481" t="s">
        <v>1428</v>
      </c>
      <c r="F117" s="492"/>
      <c r="G117" s="440"/>
      <c r="H117" s="441"/>
      <c r="I117" s="208" t="str">
        <f>OBRA!W116</f>
        <v>-</v>
      </c>
      <c r="J117" s="231" t="str">
        <f>OBRA!X116</f>
        <v>JUAN CARLOS NAVARRO ROSALES</v>
      </c>
      <c r="K117" s="439" t="str">
        <f>OBRA!N116</f>
        <v>DOP/AD/014/2015</v>
      </c>
      <c r="L117" s="2" t="str">
        <f>OBRA!O116</f>
        <v>ADMINISTRACIÓN DIRECTA</v>
      </c>
      <c r="M117" s="3" t="str">
        <f>OBRA!P116</f>
        <v>CONSTRUCION DE RED DE AGUA POTABLE EN LA C. 20 DE NOVIEMBRE DE ANIMA SOLA A INVIERNO, EN LA CABECERA MUNICIPAL</v>
      </c>
      <c r="N117" s="438"/>
      <c r="O117" s="438"/>
      <c r="P117" s="6">
        <f>OBRA!S116</f>
        <v>42186</v>
      </c>
      <c r="Q117" s="4">
        <f>OBRA!R116</f>
        <v>510072.99</v>
      </c>
      <c r="R117" s="4"/>
      <c r="S117" s="5">
        <f>OBRA!T116</f>
        <v>42233</v>
      </c>
      <c r="T117" s="11">
        <f>OBRA!U116</f>
        <v>42247</v>
      </c>
      <c r="U117" s="52"/>
      <c r="V117" s="226" t="s">
        <v>1428</v>
      </c>
      <c r="W117" s="438"/>
      <c r="X117" s="442"/>
      <c r="Y117" s="278">
        <f>OBRA!AR116</f>
        <v>0</v>
      </c>
      <c r="Z117" s="309"/>
      <c r="AA117" s="309"/>
      <c r="AB117" s="5"/>
      <c r="AC117" s="317">
        <f>OBRA!BW116</f>
        <v>0</v>
      </c>
      <c r="AD117" s="352"/>
    </row>
    <row r="118" spans="1:30" ht="75.75" hidden="1" customHeight="1">
      <c r="A118" s="22" t="s">
        <v>2206</v>
      </c>
      <c r="B118" s="809" t="str">
        <f>GRAL!B119</f>
        <v>2012-2015</v>
      </c>
      <c r="C118" s="16">
        <f>OBRA!J117</f>
        <v>2015</v>
      </c>
      <c r="D118" s="17" t="str">
        <f>OBRA!M117</f>
        <v>RAMO 33</v>
      </c>
      <c r="E118" s="481" t="s">
        <v>1428</v>
      </c>
      <c r="F118" s="492"/>
      <c r="G118" s="440"/>
      <c r="H118" s="441"/>
      <c r="I118" s="208" t="str">
        <f>OBRA!W117</f>
        <v>-</v>
      </c>
      <c r="J118" s="231" t="str">
        <f>OBRA!X117</f>
        <v>JUAN CARLOS NAVARRO ROSALES</v>
      </c>
      <c r="K118" s="439" t="str">
        <f>OBRA!N117</f>
        <v>DOP/AD/015/2015</v>
      </c>
      <c r="L118" s="2" t="str">
        <f>OBRA!O117</f>
        <v>ADMINISTRACIÓN DIRECTA</v>
      </c>
      <c r="M118" s="3" t="str">
        <f>OBRA!P117</f>
        <v>CONSTRUCCION DE RED DE DRENAJE EN C. JAVIER MINA DE C. 20 DE NOVIEMBRE A VENUSTIANO CARRANZA, EN LA CABECERA MUNICIPAL</v>
      </c>
      <c r="N118" s="438"/>
      <c r="O118" s="438"/>
      <c r="P118" s="6">
        <f>OBRA!S117</f>
        <v>42219</v>
      </c>
      <c r="Q118" s="4">
        <f>OBRA!R117</f>
        <v>125552.88</v>
      </c>
      <c r="R118" s="4"/>
      <c r="S118" s="5">
        <f>OBRA!T117</f>
        <v>42219</v>
      </c>
      <c r="T118" s="11">
        <f>OBRA!U117</f>
        <v>42231</v>
      </c>
      <c r="U118" s="52"/>
      <c r="V118" s="226" t="s">
        <v>1428</v>
      </c>
      <c r="W118" s="438"/>
      <c r="X118" s="442"/>
      <c r="Y118" s="278">
        <f>OBRA!AR117</f>
        <v>0</v>
      </c>
      <c r="Z118" s="309"/>
      <c r="AA118" s="309"/>
      <c r="AB118" s="5"/>
      <c r="AC118" s="317">
        <f>OBRA!BW117</f>
        <v>0</v>
      </c>
      <c r="AD118" s="352"/>
    </row>
    <row r="119" spans="1:30" ht="60.75" hidden="1" customHeight="1">
      <c r="A119" s="22" t="s">
        <v>2206</v>
      </c>
      <c r="B119" s="809" t="str">
        <f>GRAL!B120</f>
        <v>2012-2015</v>
      </c>
      <c r="C119" s="16">
        <f>OBRA!J118</f>
        <v>2015</v>
      </c>
      <c r="D119" s="17" t="str">
        <f>OBRA!M118</f>
        <v>RAMO 33</v>
      </c>
      <c r="E119" s="481" t="s">
        <v>1428</v>
      </c>
      <c r="F119" s="492"/>
      <c r="G119" s="440"/>
      <c r="H119" s="441"/>
      <c r="I119" s="208" t="str">
        <f>OBRA!W118</f>
        <v>-</v>
      </c>
      <c r="J119" s="231" t="str">
        <f>OBRA!X118</f>
        <v>JUAN CARLOS NAVARRO ROSALES</v>
      </c>
      <c r="K119" s="439" t="str">
        <f>OBRA!N118</f>
        <v>DOP/AD/016/2015</v>
      </c>
      <c r="L119" s="2" t="str">
        <f>OBRA!O118</f>
        <v>ADMINISTRACIÓN DIRECTA</v>
      </c>
      <c r="M119" s="3" t="str">
        <f>OBRA!P118</f>
        <v>CONSTRUCCION DE RED DE AGUA POTABLE EN LA C. JAVIER MINA DE C. 20 E NOVIEMBRE A FRANCISCO VILLA, EN LA CABECERA MUNICIPAL</v>
      </c>
      <c r="N119" s="438"/>
      <c r="O119" s="438"/>
      <c r="P119" s="6">
        <f>OBRA!S118</f>
        <v>42225</v>
      </c>
      <c r="Q119" s="4">
        <f>OBRA!R118</f>
        <v>152209.54999999999</v>
      </c>
      <c r="R119" s="4"/>
      <c r="S119" s="5">
        <f>OBRA!T118</f>
        <v>42225</v>
      </c>
      <c r="T119" s="11">
        <f>OBRA!U118</f>
        <v>42247</v>
      </c>
      <c r="U119" s="52"/>
      <c r="V119" s="226" t="s">
        <v>1428</v>
      </c>
      <c r="W119" s="438"/>
      <c r="X119" s="442"/>
      <c r="Y119" s="278">
        <f>OBRA!AR118</f>
        <v>0</v>
      </c>
      <c r="Z119" s="309"/>
      <c r="AA119" s="309"/>
      <c r="AB119" s="5"/>
      <c r="AC119" s="317">
        <f>OBRA!BW118</f>
        <v>0</v>
      </c>
      <c r="AD119" s="352"/>
    </row>
    <row r="120" spans="1:30" s="299" customFormat="1" ht="81" hidden="1" customHeight="1">
      <c r="A120" s="305" t="s">
        <v>2206</v>
      </c>
      <c r="B120" s="853" t="str">
        <f>GRAL!B121</f>
        <v>2012-2015</v>
      </c>
      <c r="C120" s="288">
        <f>OBRA!J119</f>
        <v>2015</v>
      </c>
      <c r="D120" s="484" t="str">
        <f>OBRA!M119</f>
        <v>RAMO 33</v>
      </c>
      <c r="E120" s="486" t="s">
        <v>1428</v>
      </c>
      <c r="F120" s="491" t="s">
        <v>2237</v>
      </c>
      <c r="G120" s="452" t="s">
        <v>1526</v>
      </c>
      <c r="H120" s="453" t="s">
        <v>2238</v>
      </c>
      <c r="I120" s="307" t="str">
        <f>OBRA!W119</f>
        <v>HIDROLOGIAA PERFORACION Y GESTION DEL AGUA SA DE CV</v>
      </c>
      <c r="J120" s="304" t="str">
        <f>OBRA!X119</f>
        <v>ING. RIGOBERTO OLMEDO RAMOS</v>
      </c>
      <c r="K120" s="439" t="str">
        <f>OBRA!N119</f>
        <v>GMJ 007C OP/2015</v>
      </c>
      <c r="L120" s="291" t="str">
        <f>OBRA!O119</f>
        <v>ADJUDICACIÓN DIRECTA</v>
      </c>
      <c r="M120" s="292" t="str">
        <f>OBRA!P119</f>
        <v>PERFORACIÓN DE POZO PROFUNDO EN FRACCIONAMIENTO PASEO EL CARDENAL, EN LA DELEGACION DE SAN JUAN COSALA</v>
      </c>
      <c r="N120" s="465" t="s">
        <v>1523</v>
      </c>
      <c r="O120" s="465"/>
      <c r="P120" s="294">
        <f>OBRA!S119</f>
        <v>42208</v>
      </c>
      <c r="Q120" s="293">
        <f>OBRA!R119</f>
        <v>1093156.1599999999</v>
      </c>
      <c r="R120" s="293"/>
      <c r="S120" s="295">
        <f>OBRA!T119</f>
        <v>42212</v>
      </c>
      <c r="T120" s="296">
        <f>OBRA!U119</f>
        <v>42263</v>
      </c>
      <c r="U120" s="366"/>
      <c r="V120" s="804" t="s">
        <v>1428</v>
      </c>
      <c r="W120" s="454" t="s">
        <v>1527</v>
      </c>
      <c r="X120" s="456" t="s">
        <v>2239</v>
      </c>
      <c r="Y120" s="805">
        <f>OBRA!AR119</f>
        <v>218631.24</v>
      </c>
      <c r="Z120" s="310"/>
      <c r="AA120" s="310"/>
      <c r="AB120" s="295"/>
      <c r="AC120" s="384">
        <f>OBRA!BW119</f>
        <v>0</v>
      </c>
      <c r="AD120" s="353" t="s">
        <v>551</v>
      </c>
    </row>
    <row r="121" spans="1:30" ht="60.75" hidden="1" customHeight="1">
      <c r="A121" s="22" t="s">
        <v>2206</v>
      </c>
      <c r="B121" s="809" t="str">
        <f>GRAL!B122</f>
        <v>2012-2015</v>
      </c>
      <c r="C121" s="16">
        <f>OBRA!J120</f>
        <v>2015</v>
      </c>
      <c r="D121" s="17" t="str">
        <f>OBRA!M120</f>
        <v>RAMO 33</v>
      </c>
      <c r="E121" s="481" t="s">
        <v>1428</v>
      </c>
      <c r="F121" s="352"/>
      <c r="G121" s="1"/>
      <c r="H121" s="352"/>
      <c r="I121" s="208" t="str">
        <f>OBRA!W120</f>
        <v>-</v>
      </c>
      <c r="J121" s="231" t="str">
        <f>OBRA!X120</f>
        <v>JUAN CARLOS NAVARRO ROSALES</v>
      </c>
      <c r="K121" s="19" t="str">
        <f>OBRA!N120</f>
        <v>DOP/AD/017/2015</v>
      </c>
      <c r="L121" s="2" t="str">
        <f>OBRA!O120</f>
        <v>ADMINISTRACIÓN DIRECTA</v>
      </c>
      <c r="M121" s="3" t="str">
        <f>OBRA!P120</f>
        <v>CONSTRUCCION DE RED DE AGUA POTABLE EN LA C. CHAPULTEPEC ENTRE C. VICENTE GUERRERO HASTA EL DEPOSITO DE AGUA</v>
      </c>
      <c r="N121" s="3"/>
      <c r="O121" s="3"/>
      <c r="P121" s="6">
        <f>OBRA!S120</f>
        <v>42212</v>
      </c>
      <c r="Q121" s="4">
        <f>OBRA!R120</f>
        <v>652283.77</v>
      </c>
      <c r="R121" s="4"/>
      <c r="S121" s="5">
        <f>OBRA!T120</f>
        <v>42219</v>
      </c>
      <c r="T121" s="11">
        <f>OBRA!U120</f>
        <v>42231</v>
      </c>
      <c r="U121" s="52"/>
      <c r="V121" s="226" t="s">
        <v>1428</v>
      </c>
      <c r="W121" s="105"/>
      <c r="X121" s="53"/>
      <c r="Y121" s="278">
        <f>OBRA!AR120</f>
        <v>0</v>
      </c>
      <c r="Z121" s="309"/>
      <c r="AA121" s="309"/>
      <c r="AB121" s="5"/>
      <c r="AC121" s="317">
        <f>OBRA!BW120</f>
        <v>0</v>
      </c>
      <c r="AD121" s="352"/>
    </row>
    <row r="122" spans="1:30" ht="60.75" hidden="1" customHeight="1">
      <c r="A122" s="22" t="s">
        <v>2206</v>
      </c>
      <c r="B122" s="809" t="str">
        <f>GRAL!B123</f>
        <v>2012-2015</v>
      </c>
      <c r="C122" s="16">
        <f>OBRA!J121</f>
        <v>2015</v>
      </c>
      <c r="D122" s="17" t="str">
        <f>OBRA!M121</f>
        <v>RAMO 33</v>
      </c>
      <c r="E122" s="481" t="s">
        <v>1428</v>
      </c>
      <c r="F122" s="352"/>
      <c r="G122" s="1"/>
      <c r="H122" s="352"/>
      <c r="I122" s="208" t="str">
        <f>OBRA!W121</f>
        <v>-</v>
      </c>
      <c r="J122" s="231" t="str">
        <f>OBRA!X121</f>
        <v>JUAN CARLOS NAVARRO ROSALES</v>
      </c>
      <c r="K122" s="19" t="str">
        <f>OBRA!N121</f>
        <v>DOP/AD/018/2015</v>
      </c>
      <c r="L122" s="2" t="str">
        <f>OBRA!O121</f>
        <v>ADMINISTRACIÓN DIRECTA</v>
      </c>
      <c r="M122" s="3" t="str">
        <f>OBRA!P121</f>
        <v>CONSTRUCCION DE RED DE AGUA POTABLE EN C. CUAHAUTEMOC NORTE Y TRE PRIVADAS SIN NOMBRES EN LA DELEGACION DE SAN JUAN COSALA</v>
      </c>
      <c r="N122" s="3"/>
      <c r="O122" s="3"/>
      <c r="P122" s="6">
        <f>OBRA!S121</f>
        <v>42186</v>
      </c>
      <c r="Q122" s="4">
        <f>OBRA!R121</f>
        <v>363720.15</v>
      </c>
      <c r="R122" s="4"/>
      <c r="S122" s="5">
        <f>OBRA!T121</f>
        <v>42186</v>
      </c>
      <c r="T122" s="11">
        <f>OBRA!U121</f>
        <v>42195</v>
      </c>
      <c r="U122" s="52"/>
      <c r="V122" s="226" t="s">
        <v>1428</v>
      </c>
      <c r="W122" s="105"/>
      <c r="X122" s="53"/>
      <c r="Y122" s="278">
        <f>OBRA!AR121</f>
        <v>0</v>
      </c>
      <c r="Z122" s="309"/>
      <c r="AA122" s="309"/>
      <c r="AB122" s="5"/>
      <c r="AC122" s="317">
        <f>OBRA!BW121</f>
        <v>0</v>
      </c>
      <c r="AD122" s="352"/>
    </row>
    <row r="123" spans="1:30" ht="60.75" hidden="1" customHeight="1">
      <c r="A123" s="22" t="s">
        <v>2206</v>
      </c>
      <c r="B123" s="809" t="str">
        <f>GRAL!B124</f>
        <v>2012-2015</v>
      </c>
      <c r="C123" s="16">
        <f>OBRA!J122</f>
        <v>2015</v>
      </c>
      <c r="D123" s="17" t="str">
        <f>OBRA!M122</f>
        <v>RAMO 33</v>
      </c>
      <c r="E123" s="481" t="s">
        <v>1428</v>
      </c>
      <c r="F123" s="352"/>
      <c r="G123" s="1"/>
      <c r="H123" s="352"/>
      <c r="I123" s="208" t="str">
        <f>OBRA!W122</f>
        <v>-</v>
      </c>
      <c r="J123" s="231" t="str">
        <f>OBRA!X122</f>
        <v>JUAN CARLOS NAVARRO ROSALES</v>
      </c>
      <c r="K123" s="19" t="str">
        <f>OBRA!N122</f>
        <v>DOP/AD/019/2015</v>
      </c>
      <c r="L123" s="2" t="str">
        <f>OBRA!O122</f>
        <v>ADMINISTRACIÓN DIRECTA</v>
      </c>
      <c r="M123" s="3" t="str">
        <f>OBRA!P122</f>
        <v>CONSTRUCCION DE RED DE DRENAJE EN C. CARDENAL DEL PANTEON HASTA EL FINAL, EN LA DELEGCION DE SAN JUAN COSALA</v>
      </c>
      <c r="N123" s="3"/>
      <c r="O123" s="3"/>
      <c r="P123" s="6">
        <f>OBRA!S122</f>
        <v>42219</v>
      </c>
      <c r="Q123" s="4">
        <f>OBRA!R122</f>
        <v>410196.06</v>
      </c>
      <c r="R123" s="4"/>
      <c r="S123" s="5">
        <f>OBRA!T122</f>
        <v>42219</v>
      </c>
      <c r="T123" s="11">
        <f>OBRA!U122</f>
        <v>42231</v>
      </c>
      <c r="U123" s="52"/>
      <c r="V123" s="226" t="s">
        <v>1428</v>
      </c>
      <c r="W123" s="105"/>
      <c r="X123" s="53"/>
      <c r="Y123" s="278">
        <f>OBRA!AR122</f>
        <v>0</v>
      </c>
      <c r="Z123" s="309"/>
      <c r="AA123" s="309"/>
      <c r="AB123" s="5"/>
      <c r="AC123" s="317">
        <f>OBRA!BW122</f>
        <v>0</v>
      </c>
      <c r="AD123" s="352"/>
    </row>
    <row r="124" spans="1:30" ht="75.75" hidden="1" customHeight="1">
      <c r="A124" s="22" t="s">
        <v>2206</v>
      </c>
      <c r="B124" s="809" t="str">
        <f>GRAL!B125</f>
        <v>2012-2015</v>
      </c>
      <c r="C124" s="16">
        <f>OBRA!J123</f>
        <v>2015</v>
      </c>
      <c r="D124" s="17" t="str">
        <f>OBRA!M123</f>
        <v>RAMO 33</v>
      </c>
      <c r="E124" s="481" t="s">
        <v>1428</v>
      </c>
      <c r="F124" s="352"/>
      <c r="G124" s="1"/>
      <c r="H124" s="352"/>
      <c r="I124" s="208" t="str">
        <f>OBRA!W123</f>
        <v>-</v>
      </c>
      <c r="J124" s="231" t="str">
        <f>OBRA!X123</f>
        <v>JUAN CARLOS NAVARRO ROSALES</v>
      </c>
      <c r="K124" s="19" t="str">
        <f>OBRA!N123</f>
        <v>DOP/AD/020/2015</v>
      </c>
      <c r="L124" s="2" t="str">
        <f>OBRA!O123</f>
        <v>ADMINISTRACIÓN DIRECTA</v>
      </c>
      <c r="M124" s="3" t="str">
        <f>OBRA!P123</f>
        <v>CONSTRUCCION DE LA RED DE DRENAJE EN C. JUAREZ, PRIVADA LA GUASIMA Y NARCISO MENDOZA, EN LA DELEGACION DE SAN JUAN COSALA</v>
      </c>
      <c r="N124" s="3"/>
      <c r="O124" s="3"/>
      <c r="P124" s="6">
        <f>OBRA!S123</f>
        <v>42230</v>
      </c>
      <c r="Q124" s="4">
        <f>OBRA!R123</f>
        <v>471720.45</v>
      </c>
      <c r="R124" s="4"/>
      <c r="S124" s="5">
        <f>OBRA!T123</f>
        <v>42232</v>
      </c>
      <c r="T124" s="11">
        <f>OBRA!U123</f>
        <v>42247</v>
      </c>
      <c r="U124" s="52"/>
      <c r="V124" s="226" t="s">
        <v>1428</v>
      </c>
      <c r="W124" s="105"/>
      <c r="X124" s="53"/>
      <c r="Y124" s="278">
        <f>OBRA!AR123</f>
        <v>0</v>
      </c>
      <c r="Z124" s="309"/>
      <c r="AA124" s="309"/>
      <c r="AB124" s="5"/>
      <c r="AC124" s="317">
        <f>OBRA!BW123</f>
        <v>0</v>
      </c>
      <c r="AD124" s="352"/>
    </row>
    <row r="125" spans="1:30" ht="75.75" hidden="1" customHeight="1">
      <c r="A125" s="22" t="s">
        <v>2206</v>
      </c>
      <c r="B125" s="809" t="str">
        <f>GRAL!B126</f>
        <v>2012-2015</v>
      </c>
      <c r="C125" s="16">
        <f>OBRA!J124</f>
        <v>2015</v>
      </c>
      <c r="D125" s="17" t="str">
        <f>OBRA!M124</f>
        <v>RAMO 33</v>
      </c>
      <c r="E125" s="13" t="s">
        <v>1428</v>
      </c>
      <c r="F125" s="352"/>
      <c r="G125" s="1"/>
      <c r="H125" s="352"/>
      <c r="I125" s="208" t="str">
        <f>OBRA!W124</f>
        <v>-</v>
      </c>
      <c r="J125" s="231" t="str">
        <f>OBRA!X124</f>
        <v>JUAN CARLOS NAVARRO ROSALES</v>
      </c>
      <c r="K125" s="19" t="str">
        <f>OBRA!N124</f>
        <v>DOP/AD/021/2015</v>
      </c>
      <c r="L125" s="2" t="str">
        <f>OBRA!O124</f>
        <v>ADMINISTRACIÓN DIRECTA</v>
      </c>
      <c r="M125" s="3" t="str">
        <f>OBRA!P124</f>
        <v>CONSTRUCCION DE RED DE AGUA POTABLE EN C. JUAREZ, PRIVADA LA GUASIMA Y NARCISO MENDOZA, EN LA DELEGACION DE SAN JUAN COSALA</v>
      </c>
      <c r="N125" s="3"/>
      <c r="O125" s="3"/>
      <c r="P125" s="6">
        <f>OBRA!S124</f>
        <v>42230</v>
      </c>
      <c r="Q125" s="4">
        <f>OBRA!R124</f>
        <v>247047.85</v>
      </c>
      <c r="R125" s="4"/>
      <c r="S125" s="5">
        <f>OBRA!T124</f>
        <v>42233</v>
      </c>
      <c r="T125" s="11">
        <f>OBRA!U124</f>
        <v>42245</v>
      </c>
      <c r="U125" s="52"/>
      <c r="V125" s="226" t="s">
        <v>1428</v>
      </c>
      <c r="W125" s="105"/>
      <c r="X125" s="53"/>
      <c r="Y125" s="278">
        <f>OBRA!AR124</f>
        <v>0</v>
      </c>
      <c r="Z125" s="309"/>
      <c r="AA125" s="309"/>
      <c r="AB125" s="5"/>
      <c r="AC125" s="317">
        <f>OBRA!BW124</f>
        <v>0</v>
      </c>
      <c r="AD125" s="352"/>
    </row>
    <row r="126" spans="1:30" ht="60.75" hidden="1" customHeight="1">
      <c r="A126" s="22" t="s">
        <v>2206</v>
      </c>
      <c r="B126" s="809" t="str">
        <f>GRAL!B127</f>
        <v>2012-2015</v>
      </c>
      <c r="C126" s="16">
        <f>OBRA!J125</f>
        <v>2015</v>
      </c>
      <c r="D126" s="17" t="str">
        <f>OBRA!M125</f>
        <v>RAMO 33</v>
      </c>
      <c r="E126" s="478" t="s">
        <v>1428</v>
      </c>
      <c r="F126" s="352"/>
      <c r="G126" s="1"/>
      <c r="H126" s="352"/>
      <c r="I126" s="208" t="str">
        <f>OBRA!W125</f>
        <v>-</v>
      </c>
      <c r="J126" s="231" t="str">
        <f>OBRA!X125</f>
        <v>JUAN CARLOS NAVARRO ROSALES</v>
      </c>
      <c r="K126" s="19" t="str">
        <f>OBRA!N125</f>
        <v>DOP/AD/022/2015</v>
      </c>
      <c r="L126" s="2" t="str">
        <f>OBRA!O125</f>
        <v>ADMINISTRACIÓN DIRECTA</v>
      </c>
      <c r="M126" s="3" t="str">
        <f>OBRA!P125</f>
        <v>CONSTRUCCION DE RED DE AGUA POTABLE EN LA RANCHERIA DE EL SALITRE, DEL MUNICIPIO E JOCOTEPEC</v>
      </c>
      <c r="N126" s="3"/>
      <c r="O126" s="3"/>
      <c r="P126" s="6">
        <f>OBRA!S125</f>
        <v>42228</v>
      </c>
      <c r="Q126" s="4">
        <f>OBRA!R125</f>
        <v>650294</v>
      </c>
      <c r="R126" s="4"/>
      <c r="S126" s="5">
        <f>OBRA!T125</f>
        <v>42231</v>
      </c>
      <c r="T126" s="11">
        <f>OBRA!U125</f>
        <v>42247</v>
      </c>
      <c r="U126" s="52"/>
      <c r="V126" s="226" t="s">
        <v>1428</v>
      </c>
      <c r="W126" s="105"/>
      <c r="X126" s="53"/>
      <c r="Y126" s="278">
        <f>OBRA!AR125</f>
        <v>0</v>
      </c>
      <c r="Z126" s="309"/>
      <c r="AA126" s="309"/>
      <c r="AB126" s="5"/>
      <c r="AC126" s="317">
        <f>OBRA!BW125</f>
        <v>0</v>
      </c>
      <c r="AD126" s="352"/>
    </row>
    <row r="127" spans="1:30" s="104" customFormat="1" ht="30.75" hidden="1" customHeight="1">
      <c r="A127" s="81" t="s">
        <v>251</v>
      </c>
      <c r="B127" s="809" t="str">
        <f>GRAL!B128</f>
        <v>2012-2015</v>
      </c>
      <c r="C127" s="82">
        <f>OBRA!J126</f>
        <v>2015</v>
      </c>
      <c r="D127" s="97" t="str">
        <f>OBRA!M126</f>
        <v>CUENTA CORRIENTE</v>
      </c>
      <c r="E127" s="479"/>
      <c r="F127" s="354"/>
      <c r="G127" s="96"/>
      <c r="H127" s="354"/>
      <c r="I127" s="276" t="str">
        <f>OBRA!W126</f>
        <v>-</v>
      </c>
      <c r="J127" s="277" t="str">
        <f>OBRA!X126</f>
        <v>ING. RIGOBERTO OLMEDO RAMOS</v>
      </c>
      <c r="K127" s="84" t="str">
        <f>OBRA!N126</f>
        <v>DOP/AD/023/2015</v>
      </c>
      <c r="L127" s="85" t="str">
        <f>OBRA!O126</f>
        <v>ADMINISTRACIÓN DIRECTA</v>
      </c>
      <c r="M127" s="125" t="str">
        <f>OBRA!P126</f>
        <v>REMODELACIÓN DE BANQUETAS EN CALLE MORELOS ENTRE CALLES HIDALGO Y JOSEFA ORTIZ DE DOMINGUEZ (LADO NORTE), EN LA CABECERA MUNICIPAL DE JOCOTEPEC, JALISCO</v>
      </c>
      <c r="N127" s="125"/>
      <c r="O127" s="125"/>
      <c r="P127" s="87" t="s">
        <v>68</v>
      </c>
      <c r="Q127" s="4">
        <f>OBRA!R126</f>
        <v>425150</v>
      </c>
      <c r="R127" s="4"/>
      <c r="S127" s="88" t="s">
        <v>68</v>
      </c>
      <c r="T127" s="89" t="s">
        <v>68</v>
      </c>
      <c r="U127" s="101"/>
      <c r="V127" s="226" t="s">
        <v>1428</v>
      </c>
      <c r="W127" s="370"/>
      <c r="X127" s="91"/>
      <c r="Y127" s="278">
        <f>OBRA!AR126</f>
        <v>0</v>
      </c>
      <c r="Z127" s="311"/>
      <c r="AA127" s="311"/>
      <c r="AB127" s="88"/>
      <c r="AC127" s="317">
        <f>OBRA!BW126</f>
        <v>0</v>
      </c>
      <c r="AD127" s="352"/>
    </row>
    <row r="128" spans="1:30" ht="45.75" hidden="1" customHeight="1">
      <c r="A128" s="22" t="s">
        <v>2206</v>
      </c>
      <c r="B128" s="809" t="str">
        <f>GRAL!B129</f>
        <v>2012-2015</v>
      </c>
      <c r="C128" s="16">
        <f>OBRA!J127</f>
        <v>2015</v>
      </c>
      <c r="D128" s="17" t="str">
        <f>OBRA!M127</f>
        <v>RAMO 33</v>
      </c>
      <c r="E128" s="478" t="s">
        <v>1428</v>
      </c>
      <c r="F128" s="352"/>
      <c r="G128" s="1"/>
      <c r="H128" s="352"/>
      <c r="I128" s="208" t="str">
        <f>OBRA!W127</f>
        <v>-</v>
      </c>
      <c r="J128" s="231" t="str">
        <f>OBRA!X127</f>
        <v>ING. RIGOBERTO OLMEDO RAMOS</v>
      </c>
      <c r="K128" s="19" t="str">
        <f>OBRA!N127</f>
        <v>DOP/AD/024/2015</v>
      </c>
      <c r="L128" s="2" t="str">
        <f>OBRA!O127</f>
        <v>ADMINISTRACIÓN DIRECTA</v>
      </c>
      <c r="M128" s="3" t="str">
        <f>OBRA!P127</f>
        <v>EMPEDRADO NORMAL EN CALLE JUAREZ Y CALLEJON LA GUASIMA, EN LA DELEGCION DE SAN JUAN COSALA</v>
      </c>
      <c r="N128" s="3"/>
      <c r="O128" s="3"/>
      <c r="P128" s="6">
        <f>OBRA!S127</f>
        <v>42254</v>
      </c>
      <c r="Q128" s="4">
        <f>OBRA!R127</f>
        <v>365900.18</v>
      </c>
      <c r="R128" s="4"/>
      <c r="S128" s="5">
        <f>OBRA!T127</f>
        <v>42254</v>
      </c>
      <c r="T128" s="11">
        <f>OBRA!U127</f>
        <v>42210</v>
      </c>
      <c r="U128" s="52"/>
      <c r="V128" s="226" t="s">
        <v>1428</v>
      </c>
      <c r="W128" s="105"/>
      <c r="X128" s="53"/>
      <c r="Y128" s="278">
        <f>OBRA!AR127</f>
        <v>0</v>
      </c>
      <c r="Z128" s="309"/>
      <c r="AA128" s="309"/>
      <c r="AB128" s="5"/>
      <c r="AC128" s="317">
        <f>OBRA!BW127</f>
        <v>0</v>
      </c>
      <c r="AD128" s="352"/>
    </row>
    <row r="129" spans="1:30" ht="60.75" hidden="1" customHeight="1">
      <c r="A129" s="22" t="s">
        <v>2206</v>
      </c>
      <c r="B129" s="809" t="str">
        <f>GRAL!B130</f>
        <v>2012-2015</v>
      </c>
      <c r="C129" s="16">
        <f>OBRA!J128</f>
        <v>2015</v>
      </c>
      <c r="D129" s="17" t="str">
        <f>OBRA!M128</f>
        <v>RAMO 33</v>
      </c>
      <c r="E129" s="478" t="s">
        <v>1428</v>
      </c>
      <c r="F129" s="352"/>
      <c r="G129" s="1"/>
      <c r="H129" s="352"/>
      <c r="I129" s="208" t="str">
        <f>OBRA!W128</f>
        <v>-</v>
      </c>
      <c r="J129" s="231" t="str">
        <f>OBRA!X128</f>
        <v>JUAN CARLOS NAVARRO ROSALES</v>
      </c>
      <c r="K129" s="19" t="str">
        <f>OBRA!N128</f>
        <v>DOP/AD/025/2015</v>
      </c>
      <c r="L129" s="2" t="str">
        <f>OBRA!O128</f>
        <v>ADMINISTRACIÓN DIRECTA</v>
      </c>
      <c r="M129" s="3" t="str">
        <f>OBRA!P128</f>
        <v xml:space="preserve">CONSTRUCCION DE RED DE DRENAJE EN C. FILOSOFOS ENTRE INDEPENDENCIA Y ALLENDE, EN CABECERA MUNICIPAL </v>
      </c>
      <c r="N129" s="3"/>
      <c r="O129" s="3"/>
      <c r="P129" s="6">
        <f>OBRA!S128</f>
        <v>42258</v>
      </c>
      <c r="Q129" s="4">
        <f>OBRA!R128</f>
        <v>289480.24</v>
      </c>
      <c r="R129" s="4"/>
      <c r="S129" s="5">
        <f>OBRA!T128</f>
        <v>42258</v>
      </c>
      <c r="T129" s="11">
        <f>OBRA!U128</f>
        <v>42272</v>
      </c>
      <c r="U129" s="52"/>
      <c r="V129" s="226" t="s">
        <v>1428</v>
      </c>
      <c r="W129" s="105"/>
      <c r="X129" s="53"/>
      <c r="Y129" s="278">
        <f>OBRA!AR128</f>
        <v>0</v>
      </c>
      <c r="Z129" s="309"/>
      <c r="AA129" s="309"/>
      <c r="AB129" s="5"/>
      <c r="AC129" s="317">
        <f>OBRA!BW128</f>
        <v>0</v>
      </c>
      <c r="AD129" s="352"/>
    </row>
    <row r="130" spans="1:30" ht="90.75" hidden="1" customHeight="1">
      <c r="A130" s="22" t="s">
        <v>2206</v>
      </c>
      <c r="B130" s="809" t="str">
        <f>GRAL!B131</f>
        <v>2012-2015</v>
      </c>
      <c r="C130" s="16">
        <f>OBRA!J129</f>
        <v>2015</v>
      </c>
      <c r="D130" s="17" t="str">
        <f>OBRA!M129</f>
        <v>RAMO 33</v>
      </c>
      <c r="E130" s="478" t="s">
        <v>1428</v>
      </c>
      <c r="F130" s="352"/>
      <c r="G130" s="1"/>
      <c r="H130" s="352"/>
      <c r="I130" s="54" t="str">
        <f>OBRA!W129</f>
        <v>-</v>
      </c>
      <c r="J130" s="55" t="str">
        <f>OBRA!X129</f>
        <v>ING. J. GUADALUPE IBARRA RAMIREZ</v>
      </c>
      <c r="K130" s="19" t="str">
        <f>OBRA!N129</f>
        <v>DOP/AD/012/2015</v>
      </c>
      <c r="L130" s="2" t="str">
        <f>OBRA!O129</f>
        <v>ADMINISTRACIÓN DIRECTA</v>
      </c>
      <c r="M130" s="3" t="str">
        <f>OBRA!P129</f>
        <v>COLOCACIÓN DE ADOQUÍN Y REHABILITACIÓN DE REDES DE AGUA POTABLE Y DRENAJE CALLE PORFIRIO DÍAZ, 2DA ETAPA EN LA DELEGACIÓN DE SAN JUAN COSALA, MUNICIPIO DE JOCOTEPEC, JALISCO</v>
      </c>
      <c r="N130" s="3"/>
      <c r="O130" s="3"/>
      <c r="P130" s="6">
        <f>OBRA!S129</f>
        <v>42320</v>
      </c>
      <c r="Q130" s="4">
        <f>OBRA!R129</f>
        <v>1538461.54</v>
      </c>
      <c r="R130" s="4"/>
      <c r="S130" s="5">
        <f>OBRA!T129</f>
        <v>42321</v>
      </c>
      <c r="T130" s="11">
        <f>OBRA!U129</f>
        <v>42369</v>
      </c>
      <c r="U130" s="52"/>
      <c r="V130" s="226" t="s">
        <v>1428</v>
      </c>
      <c r="W130" s="105"/>
      <c r="X130" s="53"/>
      <c r="Y130" s="278">
        <f>OBRA!AR129</f>
        <v>0</v>
      </c>
      <c r="Z130" s="309"/>
      <c r="AA130" s="309"/>
      <c r="AB130" s="5"/>
      <c r="AC130" s="317" t="str">
        <f>OBRA!BW129</f>
        <v xml:space="preserve">OBRA AUDITADA 2016 </v>
      </c>
      <c r="AD130" s="352"/>
    </row>
    <row r="131" spans="1:30" ht="90.75" hidden="1" customHeight="1">
      <c r="A131" s="22" t="s">
        <v>2206</v>
      </c>
      <c r="B131" s="809" t="str">
        <f>GRAL!B132</f>
        <v>2012-2015</v>
      </c>
      <c r="C131" s="16">
        <f>OBRA!J130</f>
        <v>2015</v>
      </c>
      <c r="D131" s="17" t="str">
        <f>OBRA!M130</f>
        <v>CUENTA CORRIENTE</v>
      </c>
      <c r="E131" s="478" t="s">
        <v>1428</v>
      </c>
      <c r="F131" s="352"/>
      <c r="G131" s="1"/>
      <c r="H131" s="352"/>
      <c r="I131" s="54" t="str">
        <f>OBRA!W130</f>
        <v>-</v>
      </c>
      <c r="J131" s="55" t="str">
        <f>OBRA!X130</f>
        <v>ING. J. GUADALUPE IBARRA RAMIREZ</v>
      </c>
      <c r="K131" s="19" t="str">
        <f>OBRA!N130</f>
        <v>DOP/AD/026/2015</v>
      </c>
      <c r="L131" s="2" t="str">
        <f>OBRA!O130</f>
        <v>ADMINISTRACIÓN DIRECTA</v>
      </c>
      <c r="M131" s="3" t="str">
        <f>OBRA!P130</f>
        <v xml:space="preserve">BACHEO CON MEZCLA PREMIUM Y BACHEO CON MEZCLA ASFALTICA CALIENTE EN DIVERSAS CALLES, DE LA CABECERA MUNICIPAL, SUS DELEGACIONES Y AGENCIAS MUNICIPALES </v>
      </c>
      <c r="N131" s="3"/>
      <c r="O131" s="3"/>
      <c r="P131" s="6">
        <f>OBRA!S130</f>
        <v>42278</v>
      </c>
      <c r="Q131" s="4">
        <f>OBRA!R130</f>
        <v>162687</v>
      </c>
      <c r="R131" s="4"/>
      <c r="S131" s="5">
        <f>OBRA!T130</f>
        <v>42278</v>
      </c>
      <c r="T131" s="11">
        <f>OBRA!U130</f>
        <v>42338</v>
      </c>
      <c r="U131" s="52"/>
      <c r="V131" s="226" t="s">
        <v>1428</v>
      </c>
      <c r="W131" s="105"/>
      <c r="X131" s="53"/>
      <c r="Y131" s="278">
        <f>OBRA!AR130</f>
        <v>0</v>
      </c>
      <c r="Z131" s="309"/>
      <c r="AA131" s="309"/>
      <c r="AB131" s="5"/>
      <c r="AC131" s="317">
        <f>OBRA!BW130</f>
        <v>0</v>
      </c>
      <c r="AD131" s="352"/>
    </row>
    <row r="132" spans="1:30" ht="90.75" hidden="1" customHeight="1">
      <c r="A132" s="22" t="s">
        <v>2206</v>
      </c>
      <c r="B132" s="809" t="str">
        <f>GRAL!B133</f>
        <v>2015-2018</v>
      </c>
      <c r="C132" s="16">
        <f>OBRA!J131</f>
        <v>2015</v>
      </c>
      <c r="D132" s="17" t="str">
        <f>OBRA!M131</f>
        <v>R33 - FONDEREG</v>
      </c>
      <c r="E132" s="478"/>
      <c r="F132" s="352"/>
      <c r="G132" s="1"/>
      <c r="H132" s="352"/>
      <c r="I132" s="54" t="str">
        <f>OBRA!W131</f>
        <v>-</v>
      </c>
      <c r="J132" s="55" t="str">
        <f>OBRA!X131</f>
        <v>ING. J. GUADALUPE IBARRA RAMIREZ</v>
      </c>
      <c r="K132" s="19" t="str">
        <f>OBRA!N131</f>
        <v xml:space="preserve">DOP/AD/027/2015 </v>
      </c>
      <c r="L132" s="2" t="str">
        <f>OBRA!O131</f>
        <v>ADMINISTRACIÓN DIRECTA</v>
      </c>
      <c r="M132" s="3" t="str">
        <f>OBRA!P131</f>
        <v>COLOCACIÓN DE ADOQUÍN Y REHABILITACIÓN DE REDES DE AGUA POTABLE Y DRENAJE CALLE PORFIRIO DÍAZ, 2DA ETAPA EN LA DELEGACIÓN DE SAN JUAN COSALA, MUNICIPIO DE JOCOTEPEC, JALISCO</v>
      </c>
      <c r="N132" s="3"/>
      <c r="O132" s="3"/>
      <c r="P132" s="6">
        <f>OBRA!S131</f>
        <v>42320</v>
      </c>
      <c r="Q132" s="4">
        <f>OBRA!R131</f>
        <v>1538461.54</v>
      </c>
      <c r="R132" s="4"/>
      <c r="S132" s="5">
        <f>OBRA!T131</f>
        <v>42321</v>
      </c>
      <c r="T132" s="11">
        <f>OBRA!U131</f>
        <v>42369</v>
      </c>
      <c r="U132" s="52"/>
      <c r="V132" s="226" t="s">
        <v>1428</v>
      </c>
      <c r="W132" s="105"/>
      <c r="X132" s="53"/>
      <c r="Y132" s="278">
        <f>OBRA!AR131</f>
        <v>0</v>
      </c>
      <c r="Z132" s="309"/>
      <c r="AA132" s="309"/>
      <c r="AB132" s="5"/>
      <c r="AC132" s="317" t="str">
        <f>OBRA!BW131</f>
        <v xml:space="preserve">OBRA AUDITADA 2016 </v>
      </c>
      <c r="AD132" s="352"/>
    </row>
    <row r="133" spans="1:30" ht="90.75" hidden="1" customHeight="1">
      <c r="A133" s="22" t="s">
        <v>2206</v>
      </c>
      <c r="B133" s="809" t="str">
        <f>GRAL!B134</f>
        <v>2015-2018</v>
      </c>
      <c r="C133" s="16">
        <f>OBRA!J132</f>
        <v>2015</v>
      </c>
      <c r="D133" s="17" t="str">
        <f>OBRA!M132</f>
        <v>FONDEREG</v>
      </c>
      <c r="E133" s="478"/>
      <c r="F133" s="352"/>
      <c r="G133" s="1"/>
      <c r="H133" s="352"/>
      <c r="I133" s="54" t="str">
        <f>OBRA!W132</f>
        <v>-</v>
      </c>
      <c r="J133" s="55" t="str">
        <f>OBRA!X132</f>
        <v>ING. J. GUADALUPE IBARRA RAMIREZ</v>
      </c>
      <c r="K133" s="19" t="str">
        <f>OBRA!N132</f>
        <v>DOP/AD/028/2015</v>
      </c>
      <c r="L133" s="2" t="str">
        <f>OBRA!O132</f>
        <v>ADMINISTRACIÓN DIRECTA</v>
      </c>
      <c r="M133" s="3" t="str">
        <f>OBRA!P132</f>
        <v>COLOCACIÓN DE ADOQUIN Y REHABILITACIÓN DE REDES DE AGUA POTABLE Y DRENAJE EN CALLE PROFIRIO DÍAZ, 2DA. ETAPA EN LA DELEGACIÓN DE SAN JUAN COSALA, MUNICIPIO DE JOCOTEPEC, JALISCO</v>
      </c>
      <c r="N133" s="3"/>
      <c r="O133" s="3"/>
      <c r="P133" s="6">
        <f>OBRA!S132</f>
        <v>42320</v>
      </c>
      <c r="Q133" s="4">
        <f>OBRA!R132</f>
        <v>1025641.03</v>
      </c>
      <c r="R133" s="4"/>
      <c r="S133" s="5">
        <f>OBRA!T132</f>
        <v>42321</v>
      </c>
      <c r="T133" s="11">
        <f>OBRA!U132</f>
        <v>42369</v>
      </c>
      <c r="U133" s="52"/>
      <c r="V133" s="226" t="s">
        <v>1428</v>
      </c>
      <c r="W133" s="105"/>
      <c r="X133" s="53"/>
      <c r="Y133" s="278">
        <f>OBRA!AR132</f>
        <v>0</v>
      </c>
      <c r="Z133" s="309"/>
      <c r="AA133" s="309"/>
      <c r="AB133" s="5"/>
      <c r="AC133" s="317" t="str">
        <f>OBRA!BW132</f>
        <v xml:space="preserve">OBRA AUDITADA 2016 </v>
      </c>
      <c r="AD133" s="352"/>
    </row>
    <row r="134" spans="1:30" ht="60.75" hidden="1" customHeight="1">
      <c r="A134" s="22" t="s">
        <v>2206</v>
      </c>
      <c r="B134" s="809" t="str">
        <f>GRAL!B135</f>
        <v>2015-2018</v>
      </c>
      <c r="C134" s="16">
        <f>OBRA!J133</f>
        <v>2015</v>
      </c>
      <c r="D134" s="17" t="str">
        <f>OBRA!M133</f>
        <v>FOREMODA</v>
      </c>
      <c r="E134" s="478"/>
      <c r="F134" s="23"/>
      <c r="G134" s="1"/>
      <c r="H134" s="352"/>
      <c r="I134" s="54" t="str">
        <f>OBRA!W133</f>
        <v>-</v>
      </c>
      <c r="J134" s="55" t="str">
        <f>OBRA!X133</f>
        <v>-</v>
      </c>
      <c r="K134" s="19" t="str">
        <f>OBRA!N133</f>
        <v>CNCA/GDSPC/COLAB/03422</v>
      </c>
      <c r="L134" s="2" t="str">
        <f>OBRA!O133</f>
        <v>CONVENIO</v>
      </c>
      <c r="M134" s="3" t="str">
        <f>OBRA!P133</f>
        <v>TRABAJOS DE RESTAURACION DE LA PARROQUIA DEL SEÑOR DEL MONETE, UBICADO EN CALLE MIGUEL ARANA Nº 76 EN JOCOTEPEC, JAL</v>
      </c>
      <c r="N134" s="3"/>
      <c r="O134" s="3"/>
      <c r="P134" s="6">
        <f>OBRA!S133</f>
        <v>42307</v>
      </c>
      <c r="Q134" s="4">
        <f>OBRA!R133</f>
        <v>1500000</v>
      </c>
      <c r="R134" s="4"/>
      <c r="S134" s="5">
        <f>OBRA!T133</f>
        <v>42338</v>
      </c>
      <c r="T134" s="11">
        <f>OBRA!U133</f>
        <v>42696</v>
      </c>
      <c r="U134" s="52"/>
      <c r="V134" s="226" t="s">
        <v>1428</v>
      </c>
      <c r="W134" s="105"/>
      <c r="X134" s="53"/>
      <c r="Y134" s="278">
        <f>OBRA!AR133</f>
        <v>0</v>
      </c>
      <c r="Z134" s="309"/>
      <c r="AA134" s="309"/>
      <c r="AB134" s="5"/>
      <c r="AC134" s="317">
        <f>OBRA!BW133</f>
        <v>0</v>
      </c>
      <c r="AD134" s="352"/>
    </row>
    <row r="135" spans="1:30" ht="96" hidden="1" customHeight="1">
      <c r="A135" s="22" t="s">
        <v>2206</v>
      </c>
      <c r="B135" s="809" t="str">
        <f>GRAL!B136</f>
        <v>2015-2018</v>
      </c>
      <c r="C135" s="16">
        <f>OBRA!J134</f>
        <v>2015</v>
      </c>
      <c r="D135" s="17" t="str">
        <f>OBRA!M134</f>
        <v>FOREMODA</v>
      </c>
      <c r="E135" s="482" t="s">
        <v>1567</v>
      </c>
      <c r="F135" s="493" t="s">
        <v>2240</v>
      </c>
      <c r="G135" s="495" t="s">
        <v>1574</v>
      </c>
      <c r="H135" s="496" t="s">
        <v>2241</v>
      </c>
      <c r="I135" s="54" t="str">
        <f>OBRA!W134</f>
        <v>ARGUELLES ARQUITECTOS S.A. DE C.V.</v>
      </c>
      <c r="J135" s="55" t="str">
        <f>OBRA!X134</f>
        <v>ARQ. FRANCISCO SALAZAR</v>
      </c>
      <c r="K135" s="33" t="str">
        <f>OBRA!N134</f>
        <v>GMJC001OP-2015</v>
      </c>
      <c r="L135" s="2" t="str">
        <f>OBRA!O134</f>
        <v>ADJUDICACIÓN DIRECTA</v>
      </c>
      <c r="M135" s="3" t="str">
        <f>OBRA!P134</f>
        <v>TRABAJOS DE RESTAURACION DE LA PARROQUIA DEL SEÑOR DEL MONTE, UBICADO EN CALLE MIGUEL ARANA Nº 76 EN JOCOTEPEC, JAL</v>
      </c>
      <c r="N135" s="466" t="s">
        <v>1570</v>
      </c>
      <c r="O135" s="466"/>
      <c r="P135" s="67">
        <f>OBRA!S134</f>
        <v>42339</v>
      </c>
      <c r="Q135" s="4">
        <f>OBRA!R134</f>
        <v>1500000</v>
      </c>
      <c r="R135" s="4"/>
      <c r="S135" s="5">
        <f>OBRA!T134</f>
        <v>42338</v>
      </c>
      <c r="T135" s="11">
        <f>OBRA!U134</f>
        <v>42704</v>
      </c>
      <c r="U135" s="52"/>
      <c r="V135" s="497" t="s">
        <v>2242</v>
      </c>
      <c r="W135" s="498" t="s">
        <v>1575</v>
      </c>
      <c r="X135" s="525" t="s">
        <v>2243</v>
      </c>
      <c r="Y135" s="278">
        <f>OBRA!AR134</f>
        <v>825000</v>
      </c>
      <c r="Z135" s="499" t="s">
        <v>2244</v>
      </c>
      <c r="AA135" s="309">
        <v>42467</v>
      </c>
      <c r="AB135" s="544">
        <v>0</v>
      </c>
      <c r="AC135" s="317" t="str">
        <f>OBRA!BW134</f>
        <v>CLASULA SEGUNDA</v>
      </c>
      <c r="AD135" s="352" t="s">
        <v>551</v>
      </c>
    </row>
    <row r="136" spans="1:30" s="104" customFormat="1" ht="75.75" hidden="1" customHeight="1">
      <c r="A136" s="81" t="s">
        <v>2206</v>
      </c>
      <c r="B136" s="820" t="str">
        <f>GRAL!B137</f>
        <v>2012-2015</v>
      </c>
      <c r="C136" s="82">
        <f>OBRA!J135</f>
        <v>2015</v>
      </c>
      <c r="D136" s="97" t="str">
        <f>OBRA!M135</f>
        <v>RAMO 33</v>
      </c>
      <c r="E136" s="483" t="s">
        <v>1428</v>
      </c>
      <c r="F136" s="354"/>
      <c r="G136" s="96"/>
      <c r="H136" s="354"/>
      <c r="I136" s="151" t="str">
        <f>OBRA!W135</f>
        <v>CONSTRUCCIONES VIKBRAK, S.A. DE C.V.</v>
      </c>
      <c r="J136" s="152" t="str">
        <f>OBRA!X135</f>
        <v xml:space="preserve">LIC. SALVADOR CONTRERAS </v>
      </c>
      <c r="K136" s="308" t="str">
        <f>OBRA!N135</f>
        <v>GMJ 003C OP/2015</v>
      </c>
      <c r="L136" s="186" t="str">
        <f>OBRA!O135</f>
        <v>CANCELADA</v>
      </c>
      <c r="M136" s="106" t="str">
        <f>OBRA!P135</f>
        <v>1 ER ETAPA DE REHABILITACION, RED DE DRENAJE Y REPOCISION DE EMPEDRADO AHOGADO EN CEMENTO EN LA CALLE ANIMA SOLA DE LA CABECERA MUNICIPAL DE JOCOTEPEC</v>
      </c>
      <c r="N136" s="468" t="s">
        <v>627</v>
      </c>
      <c r="O136" s="468"/>
      <c r="P136" s="87">
        <f>OBRA!S135</f>
        <v>42593</v>
      </c>
      <c r="Q136" s="86">
        <f>OBRA!R135</f>
        <v>369433.09</v>
      </c>
      <c r="R136" s="86"/>
      <c r="S136" s="88">
        <f>OBRA!T135</f>
        <v>42597</v>
      </c>
      <c r="T136" s="89">
        <f>OBRA!U135</f>
        <v>42704</v>
      </c>
      <c r="U136" s="101"/>
      <c r="V136" s="101" t="s">
        <v>1428</v>
      </c>
      <c r="W136" s="100"/>
      <c r="X136" s="91"/>
      <c r="Y136" s="821">
        <f>OBRA!AR135</f>
        <v>0</v>
      </c>
      <c r="Z136" s="311"/>
      <c r="AA136" s="311"/>
      <c r="AB136" s="88"/>
      <c r="AC136" s="467">
        <f>OBRA!BW135</f>
        <v>0</v>
      </c>
      <c r="AD136" s="354"/>
    </row>
    <row r="137" spans="1:30" ht="105.75" hidden="1" customHeight="1">
      <c r="A137" s="22" t="s">
        <v>2206</v>
      </c>
      <c r="B137" s="809" t="str">
        <f>GRAL!B138</f>
        <v>2015-2018</v>
      </c>
      <c r="C137" s="16">
        <f>OBRA!J136</f>
        <v>2016</v>
      </c>
      <c r="D137" s="17" t="str">
        <f>OBRA!M136</f>
        <v>CUENTA CORRIENTE</v>
      </c>
      <c r="E137" s="481" t="s">
        <v>1428</v>
      </c>
      <c r="F137" s="352"/>
      <c r="G137" s="1"/>
      <c r="H137" s="352"/>
      <c r="I137" s="54" t="str">
        <f>OBRA!W136</f>
        <v>-</v>
      </c>
      <c r="J137" s="55" t="str">
        <f>OBRA!X136</f>
        <v>ING. J. GUADALUPE IBARRA RAMIREZ</v>
      </c>
      <c r="K137" s="19" t="str">
        <f>OBRA!N136</f>
        <v>DOP/AD/001/2016</v>
      </c>
      <c r="L137" s="2" t="str">
        <f>OBRA!O136</f>
        <v>ADMINISTRACIÓN DIRECTA</v>
      </c>
      <c r="M137" s="3" t="str">
        <f>OBRA!P136</f>
        <v xml:space="preserve">OBRA COMPLEMENTARIA PARA LA REHABILITACIÓN DE RED DE AGUA POTABLE, DRENAJE Y EMPEDRADO AHOGADO EN CEMENTO EN LA CALLE ALDAMA DESDE NICOLAS BRAVO HASTA CERRADA, EN LA CABECERA MUNICIPAL </v>
      </c>
      <c r="N137" s="3"/>
      <c r="O137" s="3"/>
      <c r="P137" s="6">
        <f>OBRA!S136</f>
        <v>42403</v>
      </c>
      <c r="Q137" s="4">
        <f>OBRA!R136</f>
        <v>375407.88</v>
      </c>
      <c r="R137" s="4"/>
      <c r="S137" s="5">
        <f>OBRA!T136</f>
        <v>42405</v>
      </c>
      <c r="T137" s="11">
        <f>OBRA!U136</f>
        <v>42441</v>
      </c>
      <c r="U137" s="52"/>
      <c r="V137" s="226" t="s">
        <v>1428</v>
      </c>
      <c r="W137" s="105"/>
      <c r="X137" s="53"/>
      <c r="Y137" s="278">
        <f>OBRA!AR136</f>
        <v>0</v>
      </c>
      <c r="Z137" s="309"/>
      <c r="AA137" s="309"/>
      <c r="AB137" s="5"/>
      <c r="AC137" s="317">
        <f>OBRA!BW136</f>
        <v>0</v>
      </c>
      <c r="AD137" s="352"/>
    </row>
    <row r="138" spans="1:30" ht="63.75" hidden="1" customHeight="1">
      <c r="A138" s="22" t="s">
        <v>2206</v>
      </c>
      <c r="B138" s="809" t="str">
        <f>GRAL!B139</f>
        <v>2015-2018</v>
      </c>
      <c r="C138" s="16">
        <f>OBRA!J137</f>
        <v>2016</v>
      </c>
      <c r="D138" s="17" t="str">
        <f>OBRA!M137</f>
        <v>CUENTA CORRIENTE</v>
      </c>
      <c r="E138" s="481" t="s">
        <v>1428</v>
      </c>
      <c r="F138" s="352"/>
      <c r="G138" s="1"/>
      <c r="H138" s="352"/>
      <c r="I138" s="54" t="str">
        <f>OBRA!W137</f>
        <v>-</v>
      </c>
      <c r="J138" s="55" t="str">
        <f>OBRA!X137</f>
        <v>ING. J. GUADALUPE IBARRA RAMIREZ</v>
      </c>
      <c r="K138" s="19" t="str">
        <f>OBRA!N137</f>
        <v>DOP/AD/002/2016</v>
      </c>
      <c r="L138" s="2" t="str">
        <f>OBRA!O137</f>
        <v>ADMINISTRACIÓN DIRECTA</v>
      </c>
      <c r="M138" s="3" t="str">
        <f>OBRA!P137</f>
        <v>RELLENO Y REPARACIÓN DE SOCAVON, DESLAVE LATERAL EN CARRETERA DE SAN LUCIANO</v>
      </c>
      <c r="N138" s="3"/>
      <c r="O138" s="3"/>
      <c r="P138" s="6">
        <f>OBRA!S137</f>
        <v>42433</v>
      </c>
      <c r="Q138" s="4">
        <f>OBRA!R137</f>
        <v>46400</v>
      </c>
      <c r="R138" s="4"/>
      <c r="S138" s="5">
        <f>OBRA!T137</f>
        <v>42434</v>
      </c>
      <c r="T138" s="11">
        <f>OBRA!U137</f>
        <v>42439</v>
      </c>
      <c r="U138" s="52"/>
      <c r="V138" s="226" t="s">
        <v>1428</v>
      </c>
      <c r="W138" s="105"/>
      <c r="X138" s="53"/>
      <c r="Y138" s="278">
        <f>OBRA!AR137</f>
        <v>0</v>
      </c>
      <c r="Z138" s="309"/>
      <c r="AA138" s="309"/>
      <c r="AB138" s="5"/>
      <c r="AC138" s="317">
        <f>OBRA!BW137</f>
        <v>0</v>
      </c>
      <c r="AD138" s="352"/>
    </row>
    <row r="139" spans="1:30" ht="60.75" hidden="1" customHeight="1">
      <c r="A139" s="22" t="s">
        <v>2206</v>
      </c>
      <c r="B139" s="809" t="str">
        <f>GRAL!B140</f>
        <v>2015-2018</v>
      </c>
      <c r="C139" s="16">
        <f>OBRA!J138</f>
        <v>2016</v>
      </c>
      <c r="D139" s="17" t="str">
        <f>OBRA!M138</f>
        <v>CUENTA CORRIENTE</v>
      </c>
      <c r="E139" s="13" t="s">
        <v>1428</v>
      </c>
      <c r="F139" s="352"/>
      <c r="G139" s="1"/>
      <c r="H139" s="352"/>
      <c r="I139" s="54" t="str">
        <f>OBRA!W138</f>
        <v>-</v>
      </c>
      <c r="J139" s="55" t="str">
        <f>OBRA!X138</f>
        <v>ING. J. GUADALUPE IBARRA RAMIREZ</v>
      </c>
      <c r="K139" s="19" t="str">
        <f>OBRA!N138</f>
        <v>DOP/AD/003/2016</v>
      </c>
      <c r="L139" s="2" t="str">
        <f>OBRA!O138</f>
        <v>ADMINISTRACIÓN DIRECTA</v>
      </c>
      <c r="M139" s="3" t="str">
        <f>OBRA!P138</f>
        <v>ACONDICIONAMIENTO DE INGRESO AL HOSPITAL COMUNITARIO DEL MUNICIPIO DE JOCOTEPEC, EN LA LOCALIDAD DE CHANTEPEC</v>
      </c>
      <c r="N139" s="3"/>
      <c r="O139" s="3"/>
      <c r="P139" s="6">
        <f>OBRA!S138</f>
        <v>42498</v>
      </c>
      <c r="Q139" s="4">
        <f>OBRA!R138</f>
        <v>192889.77</v>
      </c>
      <c r="R139" s="4"/>
      <c r="S139" s="5">
        <f>OBRA!T138</f>
        <v>42499</v>
      </c>
      <c r="T139" s="11">
        <f>OBRA!U138</f>
        <v>42560</v>
      </c>
      <c r="U139" s="52"/>
      <c r="V139" s="226" t="s">
        <v>1428</v>
      </c>
      <c r="W139" s="105"/>
      <c r="X139" s="53"/>
      <c r="Y139" s="278">
        <f>OBRA!AR138</f>
        <v>0</v>
      </c>
      <c r="Z139" s="309"/>
      <c r="AA139" s="309"/>
      <c r="AB139" s="5"/>
      <c r="AC139" s="317">
        <f>OBRA!BW138</f>
        <v>0</v>
      </c>
      <c r="AD139" s="352"/>
    </row>
    <row r="140" spans="1:30" ht="60.75" hidden="1" customHeight="1">
      <c r="A140" s="22" t="s">
        <v>2206</v>
      </c>
      <c r="B140" s="809" t="str">
        <f>GRAL!B141</f>
        <v>2015-2018</v>
      </c>
      <c r="C140" s="16">
        <f>OBRA!J139</f>
        <v>2016</v>
      </c>
      <c r="D140" s="17" t="str">
        <f>OBRA!M139</f>
        <v>FORTALECE</v>
      </c>
      <c r="E140" s="478"/>
      <c r="F140" s="352"/>
      <c r="G140" s="1"/>
      <c r="H140" s="352"/>
      <c r="I140" s="54" t="str">
        <f>OBRA!W139</f>
        <v>-</v>
      </c>
      <c r="J140" s="55" t="str">
        <f>OBRA!X139</f>
        <v>ING. J. GUADALUPE IBARRA RAMIREZ</v>
      </c>
      <c r="K140" s="19" t="str">
        <f>OBRA!N139</f>
        <v>DOP/AD/004/2016</v>
      </c>
      <c r="L140" s="2" t="str">
        <f>OBRA!O139</f>
        <v>ADMINISTRACIÓN DIRECTA</v>
      </c>
      <c r="M140" s="3" t="str">
        <f>OBRA!P139</f>
        <v>PROYECTO EMPEDRADO AHOGADO EN CEMENTO DE LA CALLE LÓPEZ RAYÓN ENTRE PRIV. ITURBIDE Y VERANO EN LA CABECERA MUNICIPAL</v>
      </c>
      <c r="N140" s="3"/>
      <c r="O140" s="3"/>
      <c r="P140" s="6">
        <f>OBRA!S139</f>
        <v>42521</v>
      </c>
      <c r="Q140" s="4">
        <f>OBRA!R139</f>
        <v>509990.89</v>
      </c>
      <c r="R140" s="4"/>
      <c r="S140" s="5">
        <f>OBRA!T139</f>
        <v>42522</v>
      </c>
      <c r="T140" s="11">
        <f>OBRA!U139</f>
        <v>42578</v>
      </c>
      <c r="U140" s="52"/>
      <c r="V140" s="226" t="s">
        <v>1428</v>
      </c>
      <c r="W140" s="105"/>
      <c r="X140" s="53"/>
      <c r="Y140" s="278">
        <f>OBRA!AR139</f>
        <v>0</v>
      </c>
      <c r="Z140" s="309"/>
      <c r="AA140" s="309"/>
      <c r="AB140" s="5"/>
      <c r="AC140" s="317">
        <f>OBRA!BW139</f>
        <v>0</v>
      </c>
      <c r="AD140" s="352"/>
    </row>
    <row r="141" spans="1:30" ht="90.75" hidden="1" customHeight="1">
      <c r="A141" s="22" t="s">
        <v>2206</v>
      </c>
      <c r="B141" s="809" t="str">
        <f>GRAL!B142</f>
        <v>2015-2018</v>
      </c>
      <c r="C141" s="16">
        <f>OBRA!J140</f>
        <v>2016</v>
      </c>
      <c r="D141" s="17" t="str">
        <f>OBRA!M140</f>
        <v>FORTALECE</v>
      </c>
      <c r="E141" s="478"/>
      <c r="F141" s="352"/>
      <c r="G141" s="1"/>
      <c r="H141" s="352"/>
      <c r="I141" s="54" t="str">
        <f>OBRA!W140</f>
        <v>-</v>
      </c>
      <c r="J141" s="55" t="str">
        <f>OBRA!X140</f>
        <v>ING. J. GUADALUPE IBARRA RAMIREZ</v>
      </c>
      <c r="K141" s="19" t="str">
        <f>OBRA!N140</f>
        <v>DOP/AD/005/2016</v>
      </c>
      <c r="L141" s="2" t="str">
        <f>OBRA!O140</f>
        <v>ADMINISTRACIÓN DIRECTA</v>
      </c>
      <c r="M141" s="3" t="str">
        <f>OBRA!P140</f>
        <v>PROYECTO EMPEDRADO AHOGADO EN CEMENTO Y CONSTRUCCIÓN DE GUARNICIÓN EN DIFERENTES CALLES DEL FRACCIONAMIENTO "EL CARRIZAL" 1ERA. ETAPA, EN LA CABECERA MUNICIPAL</v>
      </c>
      <c r="N141" s="3"/>
      <c r="O141" s="3"/>
      <c r="P141" s="6">
        <f>OBRA!S140</f>
        <v>42524</v>
      </c>
      <c r="Q141" s="4">
        <f>OBRA!R140</f>
        <v>1080009.1200000001</v>
      </c>
      <c r="R141" s="4"/>
      <c r="S141" s="5">
        <f>OBRA!T140</f>
        <v>42527</v>
      </c>
      <c r="T141" s="11">
        <f>OBRA!U140</f>
        <v>42710</v>
      </c>
      <c r="U141" s="52"/>
      <c r="V141" s="226" t="s">
        <v>1428</v>
      </c>
      <c r="W141" s="105"/>
      <c r="X141" s="53"/>
      <c r="Y141" s="278">
        <f>OBRA!AR140</f>
        <v>0</v>
      </c>
      <c r="Z141" s="309"/>
      <c r="AA141" s="309"/>
      <c r="AB141" s="5"/>
      <c r="AC141" s="317">
        <f>OBRA!BW140</f>
        <v>0</v>
      </c>
      <c r="AD141" s="352"/>
    </row>
    <row r="142" spans="1:30" ht="60.75" hidden="1" customHeight="1">
      <c r="A142" s="22" t="s">
        <v>2206</v>
      </c>
      <c r="B142" s="809" t="str">
        <f>GRAL!B143</f>
        <v>2015-2018</v>
      </c>
      <c r="C142" s="16">
        <f>OBRA!J141</f>
        <v>2016</v>
      </c>
      <c r="D142" s="17" t="str">
        <f>OBRA!M141</f>
        <v>RAMO 33</v>
      </c>
      <c r="E142" s="478" t="s">
        <v>1428</v>
      </c>
      <c r="F142" s="352"/>
      <c r="G142" s="1"/>
      <c r="H142" s="352"/>
      <c r="I142" s="54" t="str">
        <f>OBRA!W141</f>
        <v>-</v>
      </c>
      <c r="J142" s="55" t="str">
        <f>OBRA!X141</f>
        <v>ING. J. GUADALUPE IBARRA RAMIREZ</v>
      </c>
      <c r="K142" s="19" t="str">
        <f>OBRA!N141</f>
        <v>DOP/AD/006/2016</v>
      </c>
      <c r="L142" s="2" t="str">
        <f>OBRA!O141</f>
        <v>ADMINISTRACIÓN DIRECTA</v>
      </c>
      <c r="M142" s="3" t="str">
        <f>OBRA!P141</f>
        <v>EMPEDRADO AHOGADO EN CEMENTO EN LA C. LÓPEZ RAYON ENTRE VERANO Y CERRADA EN LA CABECERA MUNICIPAL</v>
      </c>
      <c r="N142" s="3"/>
      <c r="O142" s="3"/>
      <c r="P142" s="6">
        <f>OBRA!S141</f>
        <v>42499</v>
      </c>
      <c r="Q142" s="4">
        <f>OBRA!R141</f>
        <v>204355.89</v>
      </c>
      <c r="R142" s="4"/>
      <c r="S142" s="5">
        <f>OBRA!T141</f>
        <v>42502</v>
      </c>
      <c r="T142" s="11">
        <f>OBRA!U141</f>
        <v>42665</v>
      </c>
      <c r="U142" s="52"/>
      <c r="V142" s="226" t="s">
        <v>1428</v>
      </c>
      <c r="W142" s="105"/>
      <c r="X142" s="53"/>
      <c r="Y142" s="278">
        <f>OBRA!AR141</f>
        <v>0</v>
      </c>
      <c r="Z142" s="309"/>
      <c r="AA142" s="309"/>
      <c r="AB142" s="5"/>
      <c r="AC142" s="317">
        <f>OBRA!BW141</f>
        <v>0</v>
      </c>
      <c r="AD142" s="352"/>
    </row>
    <row r="143" spans="1:30" ht="60.75" hidden="1" customHeight="1">
      <c r="A143" s="22" t="s">
        <v>2206</v>
      </c>
      <c r="B143" s="809" t="str">
        <f>GRAL!B144</f>
        <v>2015-2018</v>
      </c>
      <c r="C143" s="16">
        <f>OBRA!J142</f>
        <v>2016</v>
      </c>
      <c r="D143" s="17" t="str">
        <f>OBRA!M142</f>
        <v>CUENTA CORRIENTE</v>
      </c>
      <c r="E143" s="478" t="s">
        <v>1428</v>
      </c>
      <c r="F143" s="352"/>
      <c r="G143" s="1"/>
      <c r="H143" s="352"/>
      <c r="I143" s="54" t="str">
        <f>OBRA!W142</f>
        <v>-</v>
      </c>
      <c r="J143" s="55" t="str">
        <f>OBRA!X142</f>
        <v>ING. RIGOBERTO OLMEDO RAMOS</v>
      </c>
      <c r="K143" s="19" t="str">
        <f>OBRA!N142</f>
        <v>DOP/AD/007/2016</v>
      </c>
      <c r="L143" s="2" t="str">
        <f>OBRA!O142</f>
        <v>ADMINISTRACIÓN DIRECTA</v>
      </c>
      <c r="M143" s="3" t="str">
        <f>OBRA!P142</f>
        <v>AMPLIACIÓN DE COLECTOR DE ALEJAMIENTO DEL DRENAJE SANITARIO" EN LA LOCALIDAD DE HUEJOTITAN.</v>
      </c>
      <c r="N143" s="3"/>
      <c r="O143" s="3"/>
      <c r="P143" s="6">
        <f>OBRA!S142</f>
        <v>42524</v>
      </c>
      <c r="Q143" s="4">
        <f>OBRA!R142</f>
        <v>426643.27</v>
      </c>
      <c r="R143" s="4"/>
      <c r="S143" s="5">
        <f>OBRA!T142</f>
        <v>42527</v>
      </c>
      <c r="T143" s="11">
        <f>OBRA!U142</f>
        <v>42581</v>
      </c>
      <c r="U143" s="52"/>
      <c r="V143" s="226" t="s">
        <v>1428</v>
      </c>
      <c r="W143" s="105"/>
      <c r="X143" s="53"/>
      <c r="Y143" s="278">
        <f>OBRA!AR142</f>
        <v>0</v>
      </c>
      <c r="Z143" s="309"/>
      <c r="AA143" s="309"/>
      <c r="AB143" s="5"/>
      <c r="AC143" s="317">
        <f>OBRA!BW142</f>
        <v>0</v>
      </c>
      <c r="AD143" s="352"/>
    </row>
    <row r="144" spans="1:30" ht="75.75" hidden="1" customHeight="1">
      <c r="A144" s="22" t="s">
        <v>2206</v>
      </c>
      <c r="B144" s="809" t="str">
        <f>GRAL!B145</f>
        <v>2015-2018</v>
      </c>
      <c r="C144" s="16">
        <f>OBRA!J143</f>
        <v>2016</v>
      </c>
      <c r="D144" s="17" t="str">
        <f>OBRA!M143</f>
        <v>RAMO 33</v>
      </c>
      <c r="E144" s="478" t="s">
        <v>1428</v>
      </c>
      <c r="F144" s="352"/>
      <c r="G144" s="1"/>
      <c r="H144" s="352"/>
      <c r="I144" s="54" t="str">
        <f>OBRA!W143</f>
        <v>-</v>
      </c>
      <c r="J144" s="55" t="str">
        <f>OBRA!X143</f>
        <v>ING. J. GUADALUPE IBARRA RAMIREZ</v>
      </c>
      <c r="K144" s="19" t="str">
        <f>OBRA!N143</f>
        <v>DOP/AD/008/2016</v>
      </c>
      <c r="L144" s="2" t="str">
        <f>OBRA!O143</f>
        <v>ADMINISTRACIÓN DIRECTA</v>
      </c>
      <c r="M144" s="3" t="str">
        <f>OBRA!P143</f>
        <v>AMPLIACIÓN DE RED DE DRENAJE PARALELO  A CARRETERA DESDE EL HOSPITAL COMUNITARIO HACIA EL ORIENTE, EN LA LOCALIDAD DE CHANTEPEC</v>
      </c>
      <c r="N144" s="3"/>
      <c r="O144" s="3"/>
      <c r="P144" s="6">
        <f>OBRA!S143</f>
        <v>42531</v>
      </c>
      <c r="Q144" s="4">
        <f>OBRA!R143</f>
        <v>291113.12</v>
      </c>
      <c r="R144" s="4"/>
      <c r="S144" s="5">
        <f>OBRA!T143</f>
        <v>42534</v>
      </c>
      <c r="T144" s="11">
        <f>OBRA!U143</f>
        <v>42546</v>
      </c>
      <c r="U144" s="52"/>
      <c r="V144" s="226" t="s">
        <v>1428</v>
      </c>
      <c r="W144" s="105"/>
      <c r="X144" s="53"/>
      <c r="Y144" s="278">
        <f>OBRA!AR143</f>
        <v>0</v>
      </c>
      <c r="Z144" s="309"/>
      <c r="AA144" s="309"/>
      <c r="AB144" s="5"/>
      <c r="AC144" s="317">
        <f>OBRA!BW143</f>
        <v>0</v>
      </c>
      <c r="AD144" s="352"/>
    </row>
    <row r="145" spans="1:30" ht="75.75" hidden="1" customHeight="1">
      <c r="A145" s="22" t="s">
        <v>2206</v>
      </c>
      <c r="B145" s="809" t="str">
        <f>GRAL!B146</f>
        <v>2015-2018</v>
      </c>
      <c r="C145" s="16">
        <f>OBRA!J144</f>
        <v>2016</v>
      </c>
      <c r="D145" s="17" t="str">
        <f>OBRA!M144</f>
        <v>RAMO 33</v>
      </c>
      <c r="E145" s="478" t="s">
        <v>1428</v>
      </c>
      <c r="F145" s="352"/>
      <c r="G145" s="1"/>
      <c r="H145" s="352"/>
      <c r="I145" s="54" t="str">
        <f>OBRA!W144</f>
        <v>-</v>
      </c>
      <c r="J145" s="55" t="str">
        <f>OBRA!X144</f>
        <v>ING. J. GUADALUPE IBARRA RAMIREZ</v>
      </c>
      <c r="K145" s="19" t="str">
        <f>OBRA!N144</f>
        <v>DOP/AD/009/2016</v>
      </c>
      <c r="L145" s="2" t="str">
        <f>OBRA!O144</f>
        <v>ADMINISTRACIÓN DIRECTA</v>
      </c>
      <c r="M145" s="3" t="str">
        <f>OBRA!P144</f>
        <v>EMPEDRADO AHOGADO EN CEMENTO DE LA CALLE VERANO DE LÓPEZ RAYÓN HASTA EL EMPEDRADO EXISTENTE, EN LA CABECERA MUNICIPAL</v>
      </c>
      <c r="N145" s="3"/>
      <c r="O145" s="3"/>
      <c r="P145" s="6">
        <f>OBRA!S144</f>
        <v>42499</v>
      </c>
      <c r="Q145" s="4">
        <f>OBRA!R144</f>
        <v>292744.34000000003</v>
      </c>
      <c r="R145" s="4"/>
      <c r="S145" s="5">
        <f>OBRA!T144</f>
        <v>42502</v>
      </c>
      <c r="T145" s="11">
        <f>OBRA!U144</f>
        <v>42665</v>
      </c>
      <c r="U145" s="52"/>
      <c r="V145" s="226" t="s">
        <v>1428</v>
      </c>
      <c r="W145" s="105"/>
      <c r="X145" s="53"/>
      <c r="Y145" s="278">
        <f>OBRA!AR144</f>
        <v>0</v>
      </c>
      <c r="Z145" s="309"/>
      <c r="AA145" s="309"/>
      <c r="AB145" s="5"/>
      <c r="AC145" s="317">
        <f>OBRA!BW144</f>
        <v>0</v>
      </c>
      <c r="AD145" s="352"/>
    </row>
    <row r="146" spans="1:30" ht="75.75" hidden="1" customHeight="1">
      <c r="A146" s="22" t="s">
        <v>2206</v>
      </c>
      <c r="B146" s="809" t="str">
        <f>GRAL!B147</f>
        <v>2015-2018</v>
      </c>
      <c r="C146" s="16">
        <f>OBRA!J145</f>
        <v>2016</v>
      </c>
      <c r="D146" s="17" t="str">
        <f>OBRA!M145</f>
        <v>RAMO 33</v>
      </c>
      <c r="E146" s="478" t="s">
        <v>1428</v>
      </c>
      <c r="F146" s="352"/>
      <c r="G146" s="1"/>
      <c r="H146" s="352"/>
      <c r="I146" s="54" t="str">
        <f>OBRA!W145</f>
        <v>-</v>
      </c>
      <c r="J146" s="55" t="str">
        <f>OBRA!X145</f>
        <v>ING. J. GUADALUPE IBARRA RAMIREZ</v>
      </c>
      <c r="K146" s="19" t="str">
        <f>OBRA!N145</f>
        <v>DOP/AD/010/2016</v>
      </c>
      <c r="L146" s="2" t="str">
        <f>OBRA!O145</f>
        <v>ADMINISTRACIÓN DIRECTA</v>
      </c>
      <c r="M146" s="3" t="str">
        <f>OBRA!P145</f>
        <v>"AMPLIACIÓN DE RED DE AGUA POTABLE (LINEA ALIMENTADORA) EN AV. DE LOS MAESTROS ENTRE PEDRO MORENO Y NICOLAS BRAVO", EN LA CABECERA MUNICIPAL</v>
      </c>
      <c r="N146" s="3"/>
      <c r="O146" s="3"/>
      <c r="P146" s="6">
        <f>OBRA!S145</f>
        <v>42552</v>
      </c>
      <c r="Q146" s="4">
        <f>OBRA!R145</f>
        <v>93972.47</v>
      </c>
      <c r="R146" s="4"/>
      <c r="S146" s="5">
        <f>OBRA!T145</f>
        <v>42555</v>
      </c>
      <c r="T146" s="11">
        <f>OBRA!U145</f>
        <v>42586</v>
      </c>
      <c r="U146" s="52"/>
      <c r="V146" s="226" t="s">
        <v>1428</v>
      </c>
      <c r="W146" s="105"/>
      <c r="X146" s="53"/>
      <c r="Y146" s="278">
        <f>OBRA!AR145</f>
        <v>0</v>
      </c>
      <c r="Z146" s="309"/>
      <c r="AA146" s="309"/>
      <c r="AB146" s="5"/>
      <c r="AC146" s="317">
        <f>OBRA!BW145</f>
        <v>0</v>
      </c>
      <c r="AD146" s="352"/>
    </row>
    <row r="147" spans="1:30" ht="135.75" hidden="1" customHeight="1">
      <c r="A147" s="22" t="s">
        <v>2206</v>
      </c>
      <c r="B147" s="809" t="str">
        <f>GRAL!B148</f>
        <v>2015-2018</v>
      </c>
      <c r="C147" s="16">
        <f>OBRA!J146</f>
        <v>2016</v>
      </c>
      <c r="D147" s="17" t="str">
        <f>OBRA!M146</f>
        <v>CUENTA CORRIENTE</v>
      </c>
      <c r="E147" s="13" t="s">
        <v>1428</v>
      </c>
      <c r="F147" s="352"/>
      <c r="G147" s="1"/>
      <c r="H147" s="352"/>
      <c r="I147" s="54" t="str">
        <f>OBRA!W146</f>
        <v>-</v>
      </c>
      <c r="J147" s="55" t="str">
        <f>OBRA!X146</f>
        <v>ING. J. GUADALUPE IBARRA RAMIREZ</v>
      </c>
      <c r="K147" s="19" t="str">
        <f>OBRA!N146</f>
        <v>DOP/AD/011/2016</v>
      </c>
      <c r="L147" s="2" t="str">
        <f>OBRA!O146</f>
        <v>ADMINISTRACIÓN DIRECTA</v>
      </c>
      <c r="M147" s="3" t="str">
        <f>OBRA!P146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OBRA!S146</f>
        <v>42531</v>
      </c>
      <c r="Q147" s="4">
        <f>OBRA!R146</f>
        <v>550572.48</v>
      </c>
      <c r="R147" s="4"/>
      <c r="S147" s="5">
        <f>OBRA!T146</f>
        <v>42534</v>
      </c>
      <c r="T147" s="11">
        <f>OBRA!U146</f>
        <v>42582</v>
      </c>
      <c r="U147" s="52"/>
      <c r="V147" s="226" t="s">
        <v>1428</v>
      </c>
      <c r="W147" s="105"/>
      <c r="X147" s="53"/>
      <c r="Y147" s="278">
        <f>OBRA!AR146</f>
        <v>0</v>
      </c>
      <c r="Z147" s="309"/>
      <c r="AA147" s="309"/>
      <c r="AB147" s="5"/>
      <c r="AC147" s="317">
        <f>OBRA!BW146</f>
        <v>0</v>
      </c>
      <c r="AD147" s="352"/>
    </row>
    <row r="148" spans="1:30" ht="120.75" hidden="1" customHeight="1">
      <c r="A148" s="22" t="s">
        <v>2206</v>
      </c>
      <c r="B148" s="809" t="str">
        <f>GRAL!B149</f>
        <v>2015-2018</v>
      </c>
      <c r="C148" s="16">
        <f>OBRA!J147</f>
        <v>2016</v>
      </c>
      <c r="D148" s="17" t="str">
        <f>OBRA!M147</f>
        <v>FONDEREG</v>
      </c>
      <c r="E148" s="478"/>
      <c r="F148" s="352"/>
      <c r="G148" s="1"/>
      <c r="H148" s="352"/>
      <c r="I148" s="54" t="str">
        <f>OBRA!W147</f>
        <v>-</v>
      </c>
      <c r="J148" s="55" t="str">
        <f>OBRA!X147</f>
        <v>ING. RIGOBERTO OLMEDO RAMOS</v>
      </c>
      <c r="K148" s="19" t="str">
        <f>OBRA!N147</f>
        <v>DOP/AD/012/2016</v>
      </c>
      <c r="L148" s="2" t="str">
        <f>OBRA!O147</f>
        <v>ADMINISTRACIÓN DIRECTA</v>
      </c>
      <c r="M148" s="3" t="str">
        <f>OBRA!P147</f>
        <v>REHABILITACION DE LINEAS HIDROSANITARIAS, EN LA CALLE ZARAGOZA, EN LA LOCALIDAD DE SAN CRISTOBAL  ZAPOTITLÁN, DEL MUNICIPIO DE JOCOTEPEC. JALISCO. CORRESPONDIENTE A LA PARTIDA PRESUPUESTAL DE DRENAJE SANITARIO</v>
      </c>
      <c r="N148" s="3"/>
      <c r="O148" s="3"/>
      <c r="P148" s="6">
        <f>OBRA!S147</f>
        <v>42591</v>
      </c>
      <c r="Q148" s="4">
        <f>OBRA!R147</f>
        <v>165675.38</v>
      </c>
      <c r="R148" s="4"/>
      <c r="S148" s="5">
        <f>OBRA!T147</f>
        <v>42618</v>
      </c>
      <c r="T148" s="11">
        <f>OBRA!U147</f>
        <v>42643</v>
      </c>
      <c r="U148" s="52"/>
      <c r="V148" s="226" t="s">
        <v>1428</v>
      </c>
      <c r="W148" s="105"/>
      <c r="X148" s="53"/>
      <c r="Y148" s="278">
        <f>OBRA!AR147</f>
        <v>0</v>
      </c>
      <c r="Z148" s="309"/>
      <c r="AA148" s="309"/>
      <c r="AB148" s="5"/>
      <c r="AC148" s="317">
        <f>OBRA!BW147</f>
        <v>0</v>
      </c>
      <c r="AD148" s="352"/>
    </row>
    <row r="149" spans="1:30" ht="105.75" hidden="1" customHeight="1">
      <c r="A149" s="22" t="s">
        <v>2206</v>
      </c>
      <c r="B149" s="809" t="str">
        <f>GRAL!B150</f>
        <v>2015-2018</v>
      </c>
      <c r="C149" s="16">
        <f>OBRA!J148</f>
        <v>2016</v>
      </c>
      <c r="D149" s="17" t="str">
        <f>OBRA!M148</f>
        <v>FONDEREG</v>
      </c>
      <c r="E149" s="478"/>
      <c r="F149" s="352"/>
      <c r="G149" s="1"/>
      <c r="H149" s="352"/>
      <c r="I149" s="54" t="str">
        <f>OBRA!W148</f>
        <v>-</v>
      </c>
      <c r="J149" s="55" t="str">
        <f>OBRA!X148</f>
        <v>ING. RIGOBERTO OLMEDO RAMOS</v>
      </c>
      <c r="K149" s="19" t="str">
        <f>OBRA!N148</f>
        <v>DOP/AD/013/2016</v>
      </c>
      <c r="L149" s="2" t="str">
        <f>OBRA!O148</f>
        <v>ADMINISTRACIÓN DIRECTA</v>
      </c>
      <c r="M149" s="3" t="str">
        <f>OBRA!P148</f>
        <v>REHABILITACION DE LINEAS HIDROSANITARIAS, EN LA CALLE ZARAGOZA, EN LA LOCALIDAD DE SAN CRISTOBAL  ZAPOTITLÁN, DEL MUNICIPIO DE JOCOTEPEC. JALISCO. CORRESPONDIENTE A LA PARTIDA PRESUPUESTAL DE AGUA POTABLE</v>
      </c>
      <c r="N149" s="3"/>
      <c r="O149" s="3"/>
      <c r="P149" s="6">
        <f>OBRA!S148</f>
        <v>42591</v>
      </c>
      <c r="Q149" s="4">
        <f>OBRA!R148</f>
        <v>127975.51</v>
      </c>
      <c r="R149" s="4"/>
      <c r="S149" s="5">
        <f>OBRA!T148</f>
        <v>42632</v>
      </c>
      <c r="T149" s="11">
        <f>OBRA!U148</f>
        <v>42651</v>
      </c>
      <c r="U149" s="52"/>
      <c r="V149" s="226" t="s">
        <v>1428</v>
      </c>
      <c r="W149" s="105"/>
      <c r="X149" s="53"/>
      <c r="Y149" s="278">
        <f>OBRA!AR148</f>
        <v>0</v>
      </c>
      <c r="Z149" s="309"/>
      <c r="AA149" s="309"/>
      <c r="AB149" s="5"/>
      <c r="AC149" s="317">
        <f>OBRA!BW148</f>
        <v>0</v>
      </c>
      <c r="AD149" s="352"/>
    </row>
    <row r="150" spans="1:30" ht="75.75" hidden="1" customHeight="1">
      <c r="A150" s="22" t="s">
        <v>2206</v>
      </c>
      <c r="B150" s="809" t="str">
        <f>GRAL!B151</f>
        <v>2015-2018</v>
      </c>
      <c r="C150" s="16">
        <f>OBRA!J149</f>
        <v>2016</v>
      </c>
      <c r="D150" s="17" t="str">
        <f>OBRA!M149</f>
        <v>FONDEREG</v>
      </c>
      <c r="E150" s="478"/>
      <c r="F150" s="352"/>
      <c r="G150" s="1"/>
      <c r="H150" s="352"/>
      <c r="I150" s="54" t="str">
        <f>OBRA!W149</f>
        <v>-</v>
      </c>
      <c r="J150" s="55" t="str">
        <f>OBRA!X149</f>
        <v>ING. RIGOBERTO OLMEDO RAMOS</v>
      </c>
      <c r="K150" s="19" t="str">
        <f>OBRA!N149</f>
        <v>DOP/AD/014/2016</v>
      </c>
      <c r="L150" s="2" t="str">
        <f>OBRA!O149</f>
        <v>ADMINISTRACIÓN DIRECTA</v>
      </c>
      <c r="M150" s="3" t="str">
        <f>OBRA!P149</f>
        <v>EMPEDRADO ECÓLOGICO CON HUELLAS DE CONCRETO HIDRAULICO EN LA CALLE ZARAGOZA DE LA LOCALIDAD DE SAN CRISTOBAL ZAPOTITLAN</v>
      </c>
      <c r="N150" s="3"/>
      <c r="O150" s="3"/>
      <c r="P150" s="6">
        <f>OBRA!S149</f>
        <v>42591</v>
      </c>
      <c r="Q150" s="4">
        <f>OBRA!R149</f>
        <v>2597533.2999999998</v>
      </c>
      <c r="R150" s="4"/>
      <c r="S150" s="5">
        <f>OBRA!T149</f>
        <v>42592</v>
      </c>
      <c r="T150" s="11">
        <f>OBRA!U149</f>
        <v>42719</v>
      </c>
      <c r="U150" s="52"/>
      <c r="V150" s="226" t="s">
        <v>1428</v>
      </c>
      <c r="W150" s="105"/>
      <c r="X150" s="53"/>
      <c r="Y150" s="278">
        <f>OBRA!AR149</f>
        <v>0</v>
      </c>
      <c r="Z150" s="309"/>
      <c r="AA150" s="309"/>
      <c r="AB150" s="5"/>
      <c r="AC150" s="317">
        <f>OBRA!BW149</f>
        <v>0</v>
      </c>
      <c r="AD150" s="352"/>
    </row>
    <row r="151" spans="1:30" ht="93" hidden="1" customHeight="1">
      <c r="A151" s="22" t="s">
        <v>2206</v>
      </c>
      <c r="B151" s="809" t="str">
        <f>GRAL!B152</f>
        <v>2015-2018</v>
      </c>
      <c r="C151" s="16">
        <f>OBRA!J150</f>
        <v>2016</v>
      </c>
      <c r="D151" s="17" t="str">
        <f>OBRA!M150</f>
        <v>CUENTA CORRIENTE</v>
      </c>
      <c r="E151" s="13" t="s">
        <v>1428</v>
      </c>
      <c r="F151" s="352"/>
      <c r="G151" s="1"/>
      <c r="H151" s="352"/>
      <c r="I151" s="54" t="str">
        <f>OBRA!W150</f>
        <v>-</v>
      </c>
      <c r="J151" s="55" t="str">
        <f>OBRA!X150</f>
        <v>ING. J. GUADALUPE IBARRA RAMIREZ</v>
      </c>
      <c r="K151" s="19" t="str">
        <f>OBRA!N150</f>
        <v>DOP/AD/015/2016</v>
      </c>
      <c r="L151" s="2" t="str">
        <f>OBRA!O150</f>
        <v>ADMINISTRACIÓN DIRECTA</v>
      </c>
      <c r="M151" s="3" t="str">
        <f>OBRA!P150</f>
        <v>INSTALACIÓN DE DESCARGAS DOMICILIARIAS EN LA CALLE LÓPEZ RAYÓN DE PRIVADA INDEPENDENCIA HACIA CALLE VERANO EN LA CABECERA MUNICIPAL</v>
      </c>
      <c r="N151" s="3"/>
      <c r="O151" s="3"/>
      <c r="P151" s="6">
        <f>OBRA!S150</f>
        <v>42548</v>
      </c>
      <c r="Q151" s="4">
        <f>OBRA!R150</f>
        <v>12001.68</v>
      </c>
      <c r="R151" s="4"/>
      <c r="S151" s="5">
        <f>OBRA!T150</f>
        <v>42549</v>
      </c>
      <c r="T151" s="11">
        <f>OBRA!U150</f>
        <v>42622</v>
      </c>
      <c r="U151" s="52"/>
      <c r="V151" s="226" t="s">
        <v>1428</v>
      </c>
      <c r="W151" s="105"/>
      <c r="X151" s="53"/>
      <c r="Y151" s="278">
        <f>OBRA!AR150</f>
        <v>0</v>
      </c>
      <c r="Z151" s="309"/>
      <c r="AA151" s="309"/>
      <c r="AB151" s="5"/>
      <c r="AC151" s="317">
        <f>OBRA!BW150</f>
        <v>0</v>
      </c>
      <c r="AD151" s="352"/>
    </row>
    <row r="152" spans="1:30" ht="45.75" hidden="1" customHeight="1">
      <c r="A152" s="22" t="s">
        <v>2206</v>
      </c>
      <c r="B152" s="809" t="str">
        <f>GRAL!B153</f>
        <v>2015-2018</v>
      </c>
      <c r="C152" s="16">
        <f>OBRA!J151</f>
        <v>2016</v>
      </c>
      <c r="D152" s="17" t="str">
        <f>OBRA!M151</f>
        <v>CUENTA CORRIENTE</v>
      </c>
      <c r="E152" s="478" t="s">
        <v>1428</v>
      </c>
      <c r="F152" s="352"/>
      <c r="G152" s="1"/>
      <c r="H152" s="352"/>
      <c r="I152" s="54" t="str">
        <f>OBRA!W151</f>
        <v>-</v>
      </c>
      <c r="J152" s="55" t="str">
        <f>OBRA!X151</f>
        <v>ING. J. GUADALUPE IBARRA RAMIREZ</v>
      </c>
      <c r="K152" s="19" t="str">
        <f>OBRA!N151</f>
        <v>DOP/AD/016/2016</v>
      </c>
      <c r="L152" s="2" t="str">
        <f>OBRA!O151</f>
        <v>ADMINISTRACIÓN DIRECTA</v>
      </c>
      <c r="M152" s="3" t="str">
        <f>OBRA!P151</f>
        <v>"AMPLIACIÓN DE RED DE AGUA POTABLE Y TOMAS DOMICILIARIAS EN LA CALLE LÓPEZ RAYÓN, PRIVADA INDEPENDENCIA HACIA CALLE VERANO" EN LA CABECERA MUNICIPAL</v>
      </c>
      <c r="N152" s="3"/>
      <c r="O152" s="3"/>
      <c r="P152" s="6">
        <f>OBRA!S151</f>
        <v>42548</v>
      </c>
      <c r="Q152" s="4">
        <f>OBRA!R151</f>
        <v>27133.54</v>
      </c>
      <c r="R152" s="4"/>
      <c r="S152" s="5">
        <f>OBRA!T151</f>
        <v>42549</v>
      </c>
      <c r="T152" s="11">
        <f>OBRA!U151</f>
        <v>42622</v>
      </c>
      <c r="U152" s="52"/>
      <c r="V152" s="226" t="s">
        <v>1428</v>
      </c>
      <c r="W152" s="105"/>
      <c r="X152" s="53"/>
      <c r="Y152" s="278">
        <f>OBRA!AR151</f>
        <v>0</v>
      </c>
      <c r="Z152" s="309"/>
      <c r="AA152" s="309"/>
      <c r="AB152" s="5"/>
      <c r="AC152" s="317">
        <f>OBRA!BW151</f>
        <v>0</v>
      </c>
      <c r="AD152" s="352"/>
    </row>
    <row r="153" spans="1:30" ht="87.75" hidden="1" customHeight="1">
      <c r="A153" s="22" t="s">
        <v>2206</v>
      </c>
      <c r="B153" s="809" t="str">
        <f>GRAL!B154</f>
        <v>2015-2018</v>
      </c>
      <c r="C153" s="16">
        <f>OBRA!J152</f>
        <v>2016</v>
      </c>
      <c r="D153" s="18" t="str">
        <f>OBRA!M152</f>
        <v>3X1 PARA MIGRANTES</v>
      </c>
      <c r="E153" s="478"/>
      <c r="F153" s="352"/>
      <c r="G153" s="1"/>
      <c r="H153" s="352"/>
      <c r="I153" s="54" t="str">
        <f>OBRA!W152</f>
        <v>-</v>
      </c>
      <c r="J153" s="55" t="str">
        <f>OBRA!X152</f>
        <v>ING. RIGOBERTO OLMEDO RAMOS</v>
      </c>
      <c r="K153" s="19" t="str">
        <f>OBRA!N152</f>
        <v>DOP/AD/017/2016</v>
      </c>
      <c r="L153" s="2" t="str">
        <f>OBRA!O152</f>
        <v>ADMINISTRACIÓN DIRECTA</v>
      </c>
      <c r="M153" s="3" t="str">
        <f>OBRA!P152</f>
        <v>REHABILITACIÓN DE RED DE DRENAJE EN CALLE RAMON CORONA DESDE PINO SUAREZ HASTA ZONA FEDERAL DEL LAGO, EN LA LOCALIDAD DE SAN PEDRO TESISTAN</v>
      </c>
      <c r="N153" s="3"/>
      <c r="O153" s="3"/>
      <c r="P153" s="6">
        <f>OBRA!S152</f>
        <v>42627</v>
      </c>
      <c r="Q153" s="4">
        <f>OBRA!R152</f>
        <v>136120</v>
      </c>
      <c r="R153" s="4"/>
      <c r="S153" s="5">
        <f>OBRA!T152</f>
        <v>42627</v>
      </c>
      <c r="T153" s="11">
        <f>OBRA!U152</f>
        <v>42643</v>
      </c>
      <c r="U153" s="52"/>
      <c r="V153" s="226" t="s">
        <v>1428</v>
      </c>
      <c r="W153" s="105"/>
      <c r="X153" s="53"/>
      <c r="Y153" s="278">
        <f>OBRA!AR152</f>
        <v>0</v>
      </c>
      <c r="Z153" s="309"/>
      <c r="AA153" s="309"/>
      <c r="AB153" s="5"/>
      <c r="AC153" s="317">
        <f>OBRA!BW152</f>
        <v>0</v>
      </c>
      <c r="AD153" s="352"/>
    </row>
    <row r="154" spans="1:30" ht="90" hidden="1" customHeight="1">
      <c r="A154" s="22" t="s">
        <v>2206</v>
      </c>
      <c r="B154" s="809" t="str">
        <f>GRAL!B155</f>
        <v>2015-2018</v>
      </c>
      <c r="C154" s="16">
        <f>OBRA!J153</f>
        <v>2016</v>
      </c>
      <c r="D154" s="18" t="str">
        <f>OBRA!M153</f>
        <v>3X1 PARA MIGRANTES</v>
      </c>
      <c r="E154" s="478"/>
      <c r="F154" s="352"/>
      <c r="G154" s="1"/>
      <c r="H154" s="352"/>
      <c r="I154" s="54" t="str">
        <f>OBRA!W153</f>
        <v>-</v>
      </c>
      <c r="J154" s="55" t="str">
        <f>OBRA!X153</f>
        <v>ING. RIGOBERTO OLMEDO RAMOS</v>
      </c>
      <c r="K154" s="19" t="str">
        <f>OBRA!N153</f>
        <v>DOP/AD/018/2016</v>
      </c>
      <c r="L154" s="2" t="str">
        <f>OBRA!O153</f>
        <v>ADMINISTRACIÓN DIRECTA</v>
      </c>
      <c r="M154" s="3" t="str">
        <f>OBRA!P153</f>
        <v>REHABILITACION DE RED DE AGUA POTABLE EN CALLE RAMON CORONA DESDE PINO SUAREZ HASTA ZONA FEDERAL DEL LAGO, EN LA LOCALIDAD DE SAN PEDRO TESISTAN</v>
      </c>
      <c r="N154" s="3"/>
      <c r="O154" s="3"/>
      <c r="P154" s="6">
        <f>OBRA!S153</f>
        <v>42639</v>
      </c>
      <c r="Q154" s="4">
        <f>OBRA!R153</f>
        <v>100336</v>
      </c>
      <c r="R154" s="4"/>
      <c r="S154" s="5">
        <f>OBRA!T153</f>
        <v>42639</v>
      </c>
      <c r="T154" s="11">
        <f>OBRA!U153</f>
        <v>42651</v>
      </c>
      <c r="U154" s="52"/>
      <c r="V154" s="226" t="s">
        <v>1428</v>
      </c>
      <c r="W154" s="105"/>
      <c r="X154" s="53"/>
      <c r="Y154" s="278">
        <f>OBRA!AR153</f>
        <v>0</v>
      </c>
      <c r="Z154" s="309"/>
      <c r="AA154" s="309"/>
      <c r="AB154" s="5"/>
      <c r="AC154" s="317">
        <f>OBRA!BW153</f>
        <v>0</v>
      </c>
      <c r="AD154" s="352"/>
    </row>
    <row r="155" spans="1:30" ht="90.75" hidden="1" customHeight="1">
      <c r="A155" s="22" t="s">
        <v>2206</v>
      </c>
      <c r="B155" s="809" t="str">
        <f>GRAL!B156</f>
        <v>2015-2018</v>
      </c>
      <c r="C155" s="16">
        <f>OBRA!J154</f>
        <v>2016</v>
      </c>
      <c r="D155" s="18" t="str">
        <f>OBRA!M154</f>
        <v>3X1 PARA MIGRANTES</v>
      </c>
      <c r="E155" s="478"/>
      <c r="F155" s="352"/>
      <c r="G155" s="1"/>
      <c r="H155" s="352"/>
      <c r="I155" s="54" t="str">
        <f>OBRA!W154</f>
        <v>-</v>
      </c>
      <c r="J155" s="55" t="str">
        <f>OBRA!X154</f>
        <v>ING. RIGOBERTO OLMEDO RAMOS</v>
      </c>
      <c r="K155" s="19" t="str">
        <f>OBRA!N154</f>
        <v>DOP/AD/019/2016</v>
      </c>
      <c r="L155" s="2" t="str">
        <f>OBRA!O154</f>
        <v>ADMINISTRACIÓN DIRECTA</v>
      </c>
      <c r="M155" s="3" t="str">
        <f>OBRA!P154</f>
        <v>COLOCACIÓN DE EMPEDRADO AHOGADO EN CEMENTO EN CALLE RAMON CORONA DESDE PINO SUAREZ HASTA ZONA FEDERAL DEL LAGO, EN LA LOCALIDAD DE SAN PEDRO TESISTAN</v>
      </c>
      <c r="N155" s="3"/>
      <c r="O155" s="3"/>
      <c r="P155" s="6">
        <f>OBRA!S154</f>
        <v>42641</v>
      </c>
      <c r="Q155" s="4">
        <f>OBRA!R154</f>
        <v>236752</v>
      </c>
      <c r="R155" s="4"/>
      <c r="S155" s="5">
        <f>OBRA!T154</f>
        <v>42639</v>
      </c>
      <c r="T155" s="11">
        <f>OBRA!U154</f>
        <v>42663</v>
      </c>
      <c r="U155" s="52"/>
      <c r="V155" s="226" t="s">
        <v>1428</v>
      </c>
      <c r="W155" s="105"/>
      <c r="X155" s="53"/>
      <c r="Y155" s="278">
        <f>OBRA!AR154</f>
        <v>0</v>
      </c>
      <c r="Z155" s="309"/>
      <c r="AA155" s="309"/>
      <c r="AB155" s="5"/>
      <c r="AC155" s="317">
        <f>OBRA!BW154</f>
        <v>0</v>
      </c>
      <c r="AD155" s="352"/>
    </row>
    <row r="156" spans="1:30" ht="90" hidden="1" customHeight="1">
      <c r="A156" s="22" t="s">
        <v>2206</v>
      </c>
      <c r="B156" s="809" t="str">
        <f>GRAL!B157</f>
        <v>2015-2018</v>
      </c>
      <c r="C156" s="16">
        <f>OBRA!J155</f>
        <v>2016</v>
      </c>
      <c r="D156" s="18" t="str">
        <f>OBRA!M155</f>
        <v>3X1 PARA MIGRANTES</v>
      </c>
      <c r="E156" s="478"/>
      <c r="F156" s="352"/>
      <c r="G156" s="1"/>
      <c r="H156" s="352"/>
      <c r="I156" s="54" t="str">
        <f>OBRA!W155</f>
        <v>-</v>
      </c>
      <c r="J156" s="55" t="str">
        <f>OBRA!X155</f>
        <v>ING. RIGOBERTO OLMEDO RAMOS</v>
      </c>
      <c r="K156" s="19" t="str">
        <f>OBRA!N155</f>
        <v>DOP/AD/020/2016</v>
      </c>
      <c r="L156" s="2" t="str">
        <f>OBRA!O155</f>
        <v>ADMINISTRACIÓN DIRECTA</v>
      </c>
      <c r="M156" s="3" t="str">
        <f>OBRA!P155</f>
        <v xml:space="preserve">REHABILITACION DE RED DE DRENAJE EN CALLE GUADALUPE VICTORIA DESDE HIDALGO HASTA ZONA FEDERAL DEL LAGO, EN LA LOCALIDAD DE SAN PEDRO TESISTAN </v>
      </c>
      <c r="N156" s="3"/>
      <c r="O156" s="3"/>
      <c r="P156" s="6">
        <f>OBRA!S155</f>
        <v>42639</v>
      </c>
      <c r="Q156" s="4">
        <f>OBRA!R155</f>
        <v>214516</v>
      </c>
      <c r="R156" s="4"/>
      <c r="S156" s="5">
        <f>OBRA!T155</f>
        <v>42641</v>
      </c>
      <c r="T156" s="11">
        <f>OBRA!U155</f>
        <v>42663</v>
      </c>
      <c r="U156" s="52"/>
      <c r="V156" s="226" t="s">
        <v>1428</v>
      </c>
      <c r="W156" s="105"/>
      <c r="X156" s="53"/>
      <c r="Y156" s="278">
        <f>OBRA!AR155</f>
        <v>0</v>
      </c>
      <c r="Z156" s="309"/>
      <c r="AA156" s="309"/>
      <c r="AB156" s="5"/>
      <c r="AC156" s="317">
        <f>OBRA!BW155</f>
        <v>0</v>
      </c>
      <c r="AD156" s="352"/>
    </row>
    <row r="157" spans="1:30" ht="93" hidden="1" customHeight="1">
      <c r="A157" s="22" t="s">
        <v>2206</v>
      </c>
      <c r="B157" s="809" t="str">
        <f>GRAL!B158</f>
        <v>2015-2018</v>
      </c>
      <c r="C157" s="16">
        <f>OBRA!J156</f>
        <v>2016</v>
      </c>
      <c r="D157" s="18" t="str">
        <f>OBRA!M156</f>
        <v>3X1 PARA MIGRANTES</v>
      </c>
      <c r="E157" s="478"/>
      <c r="F157" s="352"/>
      <c r="G157" s="1"/>
      <c r="H157" s="352"/>
      <c r="I157" s="54" t="str">
        <f>OBRA!W156</f>
        <v>-</v>
      </c>
      <c r="J157" s="55" t="str">
        <f>OBRA!X156</f>
        <v>ING. RIGOBERTO OLMEDO RAMOS</v>
      </c>
      <c r="K157" s="19" t="str">
        <f>OBRA!N156</f>
        <v>DOP/AD/021/2016</v>
      </c>
      <c r="L157" s="2" t="str">
        <f>OBRA!O156</f>
        <v>ADMINISTRACIÓN DIRECTA</v>
      </c>
      <c r="M157" s="3" t="str">
        <f>OBRA!P156</f>
        <v>REHABILITACION DE RED DE AGUA POTABLE EN CALLE GUADALUPE VICTORIA ENTRE HIDALGO Y ZONA FEDERAL DEL LAGO, EN LA LOCALIDAD DE SAN PEDRO TESISTAN</v>
      </c>
      <c r="N157" s="3"/>
      <c r="O157" s="3"/>
      <c r="P157" s="6">
        <f>OBRA!S156</f>
        <v>42646</v>
      </c>
      <c r="Q157" s="4">
        <f>OBRA!R156</f>
        <v>245400</v>
      </c>
      <c r="R157" s="4"/>
      <c r="S157" s="5">
        <f>OBRA!T156</f>
        <v>42648</v>
      </c>
      <c r="T157" s="11">
        <f>OBRA!U156</f>
        <v>42669</v>
      </c>
      <c r="U157" s="52"/>
      <c r="V157" s="226" t="s">
        <v>1428</v>
      </c>
      <c r="W157" s="105"/>
      <c r="X157" s="53"/>
      <c r="Y157" s="278">
        <f>OBRA!AR156</f>
        <v>0</v>
      </c>
      <c r="Z157" s="309"/>
      <c r="AA157" s="309"/>
      <c r="AB157" s="5"/>
      <c r="AC157" s="317">
        <f>OBRA!BW156</f>
        <v>0</v>
      </c>
      <c r="AD157" s="352"/>
    </row>
    <row r="158" spans="1:30" ht="93" hidden="1" customHeight="1">
      <c r="A158" s="22" t="s">
        <v>2206</v>
      </c>
      <c r="B158" s="809" t="str">
        <f>GRAL!B159</f>
        <v>2015-2018</v>
      </c>
      <c r="C158" s="16">
        <f>OBRA!J157</f>
        <v>2016</v>
      </c>
      <c r="D158" s="18" t="str">
        <f>OBRA!M157</f>
        <v>3X1 PARA MIGRANTES</v>
      </c>
      <c r="E158" s="13"/>
      <c r="F158" s="352"/>
      <c r="G158" s="1"/>
      <c r="H158" s="352"/>
      <c r="I158" s="54" t="str">
        <f>OBRA!W157</f>
        <v>-</v>
      </c>
      <c r="J158" s="55" t="str">
        <f>OBRA!X157</f>
        <v>ING. RIGOBERTO OLMEDO RAMOS</v>
      </c>
      <c r="K158" s="19" t="str">
        <f>OBRA!N157</f>
        <v>DOP/AD/022/2016</v>
      </c>
      <c r="L158" s="2" t="str">
        <f>OBRA!O157</f>
        <v>ADMINISTRACIÓN DIRECTA</v>
      </c>
      <c r="M158" s="3" t="str">
        <f>OBRA!P157</f>
        <v>COLOCACIÓN DE EMPEDRADO AHOGADO EN CEMENTO EN CALLE GUADALUPE VICTORIA DESDE HIDALGO HASTA ZONA FEDERAL DEL LAGO, EN LA LOCALIDAD DE SAN PEDRO TESISTAN</v>
      </c>
      <c r="N158" s="3"/>
      <c r="O158" s="3"/>
      <c r="P158" s="6">
        <f>OBRA!S157</f>
        <v>42657</v>
      </c>
      <c r="Q158" s="4">
        <f>OBRA!R157</f>
        <v>259860</v>
      </c>
      <c r="R158" s="4"/>
      <c r="S158" s="5">
        <f>OBRA!T157</f>
        <v>42660</v>
      </c>
      <c r="T158" s="11">
        <f>OBRA!U157</f>
        <v>42684</v>
      </c>
      <c r="U158" s="52"/>
      <c r="V158" s="226" t="s">
        <v>1428</v>
      </c>
      <c r="W158" s="105"/>
      <c r="X158" s="53"/>
      <c r="Y158" s="278">
        <f>OBRA!AR157</f>
        <v>0</v>
      </c>
      <c r="Z158" s="309"/>
      <c r="AA158" s="309"/>
      <c r="AB158" s="5"/>
      <c r="AC158" s="317">
        <f>OBRA!BW157</f>
        <v>0</v>
      </c>
      <c r="AD158" s="352"/>
    </row>
    <row r="159" spans="1:30" ht="56.25" hidden="1" customHeight="1">
      <c r="A159" s="22" t="s">
        <v>2206</v>
      </c>
      <c r="B159" s="809" t="str">
        <f>GRAL!B160</f>
        <v>2015-2018</v>
      </c>
      <c r="C159" s="16">
        <f>OBRA!J158</f>
        <v>2016</v>
      </c>
      <c r="D159" s="18" t="str">
        <f>OBRA!M158</f>
        <v>3X1 PARA MIGRANTES</v>
      </c>
      <c r="E159" s="478"/>
      <c r="F159" s="352"/>
      <c r="G159" s="1"/>
      <c r="H159" s="352"/>
      <c r="I159" s="54" t="str">
        <f>OBRA!W158</f>
        <v>-</v>
      </c>
      <c r="J159" s="55" t="str">
        <f>OBRA!X158</f>
        <v>ING. RIGOBERTO OLMEDO RAMOS</v>
      </c>
      <c r="K159" s="19" t="str">
        <f>OBRA!N158</f>
        <v>DOP/AD/023/2016</v>
      </c>
      <c r="L159" s="2" t="str">
        <f>OBRA!O158</f>
        <v>ADMINISTRACIÓN DIRECTA</v>
      </c>
      <c r="M159" s="3" t="str">
        <f>OBRA!P158</f>
        <v>CONSTRUCCIÓN DE DRENAJE PLUVIAL EN CALLE PRIVADA CAMICHINES DE LA CABECERA</v>
      </c>
      <c r="N159" s="3"/>
      <c r="O159" s="3"/>
      <c r="P159" s="6">
        <f>OBRA!S158</f>
        <v>42627</v>
      </c>
      <c r="Q159" s="4">
        <f>OBRA!R158</f>
        <v>233400</v>
      </c>
      <c r="R159" s="4"/>
      <c r="S159" s="5">
        <f>OBRA!T158</f>
        <v>42690</v>
      </c>
      <c r="T159" s="11">
        <f>OBRA!U158</f>
        <v>42700</v>
      </c>
      <c r="U159" s="52"/>
      <c r="V159" s="226" t="s">
        <v>1428</v>
      </c>
      <c r="W159" s="105"/>
      <c r="X159" s="53"/>
      <c r="Y159" s="278">
        <f>OBRA!AR158</f>
        <v>0</v>
      </c>
      <c r="Z159" s="309"/>
      <c r="AA159" s="309"/>
      <c r="AB159" s="5"/>
      <c r="AC159" s="317">
        <f>OBRA!BW158</f>
        <v>0</v>
      </c>
      <c r="AD159" s="352"/>
    </row>
    <row r="160" spans="1:30" ht="62.25" hidden="1" customHeight="1">
      <c r="A160" s="22" t="s">
        <v>2206</v>
      </c>
      <c r="B160" s="809" t="str">
        <f>GRAL!B161</f>
        <v>2015-2018</v>
      </c>
      <c r="C160" s="16">
        <f>OBRA!J159</f>
        <v>2016</v>
      </c>
      <c r="D160" s="18" t="str">
        <f>OBRA!M159</f>
        <v>3X1 PARA MIGRANTES</v>
      </c>
      <c r="E160" s="478"/>
      <c r="F160" s="352"/>
      <c r="G160" s="1"/>
      <c r="H160" s="352"/>
      <c r="I160" s="54" t="str">
        <f>OBRA!W159</f>
        <v>-</v>
      </c>
      <c r="J160" s="55" t="str">
        <f>OBRA!X159</f>
        <v>ING. RIGOBERTO OLMEDO RAMOS</v>
      </c>
      <c r="K160" s="19" t="str">
        <f>OBRA!N159</f>
        <v>DOP/AD/024/2016</v>
      </c>
      <c r="L160" s="2" t="str">
        <f>OBRA!O159</f>
        <v>ADMINISTRACIÓN DIRECTA</v>
      </c>
      <c r="M160" s="3" t="str">
        <f>OBRA!P159</f>
        <v>COLOCACIÓN DE ADOQUÍN EN CALLE PRIVADA CAMICHINES, EN LA CABECERA</v>
      </c>
      <c r="N160" s="3"/>
      <c r="O160" s="3"/>
      <c r="P160" s="6">
        <f>OBRA!S159</f>
        <v>42641</v>
      </c>
      <c r="Q160" s="4">
        <f>OBRA!R159</f>
        <v>456248</v>
      </c>
      <c r="R160" s="4"/>
      <c r="S160" s="5">
        <f>OBRA!T159</f>
        <v>42702</v>
      </c>
      <c r="T160" s="11">
        <f>OBRA!U159</f>
        <v>42721</v>
      </c>
      <c r="U160" s="52"/>
      <c r="V160" s="226" t="s">
        <v>1428</v>
      </c>
      <c r="W160" s="105"/>
      <c r="X160" s="53"/>
      <c r="Y160" s="278">
        <f>OBRA!AR159</f>
        <v>0</v>
      </c>
      <c r="Z160" s="309"/>
      <c r="AA160" s="309"/>
      <c r="AB160" s="5"/>
      <c r="AC160" s="317">
        <f>OBRA!BW159</f>
        <v>0</v>
      </c>
      <c r="AD160" s="352"/>
    </row>
    <row r="161" spans="1:30" ht="87" hidden="1" customHeight="1">
      <c r="A161" s="22" t="s">
        <v>2206</v>
      </c>
      <c r="B161" s="809" t="str">
        <f>GRAL!B162</f>
        <v>2015-2018</v>
      </c>
      <c r="C161" s="16">
        <f>OBRA!J160</f>
        <v>2016</v>
      </c>
      <c r="D161" s="18" t="str">
        <f>OBRA!M160</f>
        <v>3X1 PARA MIGRANTES</v>
      </c>
      <c r="E161" s="478"/>
      <c r="F161" s="352"/>
      <c r="G161" s="1"/>
      <c r="H161" s="352"/>
      <c r="I161" s="54" t="str">
        <f>OBRA!W160</f>
        <v>-</v>
      </c>
      <c r="J161" s="55" t="str">
        <f>OBRA!X160</f>
        <v>ING. RIGOBERTO OLMEDO RAMOS</v>
      </c>
      <c r="K161" s="19" t="str">
        <f>OBRA!N160</f>
        <v>DOP/AD/025/2016</v>
      </c>
      <c r="L161" s="2" t="str">
        <f>OBRA!O160</f>
        <v>ADMINISTRACIÓN DIRECTA</v>
      </c>
      <c r="M161" s="3" t="str">
        <f>OBRA!P160</f>
        <v>REHABILITACIÓN DE RED DE DRENAJE EN CALLE RIVERA DEL LAGO DEL PARQUE LÍNEAL HASTA CALLE CHUECA, EN LA AGENCIA MUNICIPAL DE CHANTEPEC</v>
      </c>
      <c r="N161" s="3"/>
      <c r="O161" s="3"/>
      <c r="P161" s="6">
        <f>OBRA!S160</f>
        <v>42630</v>
      </c>
      <c r="Q161" s="4">
        <f>OBRA!R160</f>
        <v>525186</v>
      </c>
      <c r="R161" s="4"/>
      <c r="S161" s="5">
        <f>OBRA!T160</f>
        <v>42662</v>
      </c>
      <c r="T161" s="11">
        <f>OBRA!U160</f>
        <v>42672</v>
      </c>
      <c r="U161" s="52"/>
      <c r="V161" s="226" t="s">
        <v>1428</v>
      </c>
      <c r="W161" s="105"/>
      <c r="X161" s="53"/>
      <c r="Y161" s="278">
        <f>OBRA!AR160</f>
        <v>0</v>
      </c>
      <c r="Z161" s="309"/>
      <c r="AA161" s="309"/>
      <c r="AB161" s="5"/>
      <c r="AC161" s="317">
        <f>OBRA!BW160</f>
        <v>0</v>
      </c>
      <c r="AD161" s="352"/>
    </row>
    <row r="162" spans="1:30" ht="61.5" hidden="1" customHeight="1">
      <c r="A162" s="22" t="s">
        <v>2206</v>
      </c>
      <c r="B162" s="809" t="str">
        <f>GRAL!B163</f>
        <v>2015-2018</v>
      </c>
      <c r="C162" s="16">
        <f>OBRA!J161</f>
        <v>2016</v>
      </c>
      <c r="D162" s="18" t="str">
        <f>OBRA!M161</f>
        <v>3X1 PARA MIGRANTES</v>
      </c>
      <c r="E162" s="478"/>
      <c r="F162" s="352"/>
      <c r="G162" s="1"/>
      <c r="H162" s="352"/>
      <c r="I162" s="54" t="str">
        <f>OBRA!W161</f>
        <v>-</v>
      </c>
      <c r="J162" s="55" t="str">
        <f>OBRA!X161</f>
        <v>ING. RIGOBERTO OLMEDO RAMOS</v>
      </c>
      <c r="K162" s="19" t="str">
        <f>OBRA!N161</f>
        <v>DOP/AD/026/2016</v>
      </c>
      <c r="L162" s="2" t="str">
        <f>OBRA!O161</f>
        <v>ADMINISTRACIÓN DIRECTA</v>
      </c>
      <c r="M162" s="3" t="str">
        <f>OBRA!P161</f>
        <v xml:space="preserve">REHABILITACIÓN DE RED DE DRENAJE CALLE INSURGENTES, EN LA LOCALIDAD DE ZAPOTITAN DE HIDALGO </v>
      </c>
      <c r="N162" s="3"/>
      <c r="O162" s="3"/>
      <c r="P162" s="6">
        <f>OBRA!S161</f>
        <v>42678</v>
      </c>
      <c r="Q162" s="4">
        <f>OBRA!R161</f>
        <v>678342</v>
      </c>
      <c r="R162" s="4"/>
      <c r="S162" s="5">
        <f>OBRA!T161</f>
        <v>42682</v>
      </c>
      <c r="T162" s="11">
        <f>OBRA!U161</f>
        <v>42704</v>
      </c>
      <c r="U162" s="52"/>
      <c r="V162" s="226" t="s">
        <v>1428</v>
      </c>
      <c r="W162" s="105"/>
      <c r="X162" s="53"/>
      <c r="Y162" s="278">
        <f>OBRA!AR161</f>
        <v>0</v>
      </c>
      <c r="Z162" s="309"/>
      <c r="AA162" s="309"/>
      <c r="AB162" s="5"/>
      <c r="AC162" s="317">
        <f>OBRA!BW161</f>
        <v>0</v>
      </c>
      <c r="AD162" s="352"/>
    </row>
    <row r="163" spans="1:30" ht="110.25" hidden="1" customHeight="1">
      <c r="A163" s="22" t="s">
        <v>2206</v>
      </c>
      <c r="B163" s="809" t="str">
        <f>GRAL!B164</f>
        <v>2015-2018</v>
      </c>
      <c r="C163" s="16">
        <f>OBRA!J162</f>
        <v>2016</v>
      </c>
      <c r="D163" s="18" t="str">
        <f>OBRA!M162</f>
        <v xml:space="preserve">Fortalecimiento Financiero Para La Inversion </v>
      </c>
      <c r="E163" s="13"/>
      <c r="F163" s="352"/>
      <c r="G163" s="1"/>
      <c r="H163" s="352"/>
      <c r="I163" s="54" t="str">
        <f>OBRA!W162</f>
        <v>-</v>
      </c>
      <c r="J163" s="55" t="str">
        <f>OBRA!X162</f>
        <v>ING. J. GUADALUPE IBARRA RAMIREZ</v>
      </c>
      <c r="K163" s="19" t="str">
        <f>OBRA!N162</f>
        <v>DOP/AD/027/2016</v>
      </c>
      <c r="L163" s="2" t="str">
        <f>OBRA!O162</f>
        <v>ADMINISTRACIÓN DIRECTA</v>
      </c>
      <c r="M163" s="3" t="str">
        <f>OBRA!P162</f>
        <v>REHABILITACIÓN DE BANQUETAS, RAMPAS, GUARNICIONES Y JARDINERÍA EN LA CALLE DEGOLLADO ENTRE JOSEFA ORTIZ DE DOMINGUEZ Y NICOLAS BRAVO, EN EL MUNICIPIO DE JOCOTEPEC, JALISCO</v>
      </c>
      <c r="N163" s="3"/>
      <c r="O163" s="3"/>
      <c r="P163" s="6">
        <f>OBRA!S162</f>
        <v>43053</v>
      </c>
      <c r="Q163" s="4">
        <f>OBRA!R162</f>
        <v>275569.48</v>
      </c>
      <c r="R163" s="4"/>
      <c r="S163" s="5">
        <f>OBRA!T162</f>
        <v>42689</v>
      </c>
      <c r="T163" s="11">
        <f>OBRA!U162</f>
        <v>42734</v>
      </c>
      <c r="U163" s="52"/>
      <c r="V163" s="226" t="s">
        <v>1428</v>
      </c>
      <c r="W163" s="105"/>
      <c r="X163" s="53"/>
      <c r="Y163" s="278">
        <f>OBRA!AR162</f>
        <v>0</v>
      </c>
      <c r="Z163" s="309"/>
      <c r="AA163" s="309"/>
      <c r="AB163" s="5"/>
      <c r="AC163" s="317">
        <f>OBRA!BW162</f>
        <v>0</v>
      </c>
      <c r="AD163" s="352"/>
    </row>
    <row r="164" spans="1:30" ht="67.5" hidden="1" customHeight="1">
      <c r="A164" s="22" t="s">
        <v>2206</v>
      </c>
      <c r="B164" s="809" t="str">
        <f>GRAL!B165</f>
        <v>2015-2018</v>
      </c>
      <c r="C164" s="16">
        <f>OBRA!J163</f>
        <v>2016</v>
      </c>
      <c r="D164" s="17" t="str">
        <f>OBRA!M163</f>
        <v>RAMO 33</v>
      </c>
      <c r="E164" s="478" t="s">
        <v>1428</v>
      </c>
      <c r="F164" s="352"/>
      <c r="G164" s="1"/>
      <c r="H164" s="352"/>
      <c r="I164" s="54" t="str">
        <f>OBRA!W163</f>
        <v>-</v>
      </c>
      <c r="J164" s="55" t="str">
        <f>OBRA!X163</f>
        <v>ING. J. GUADALUPE IBARRA RAMIREZ</v>
      </c>
      <c r="K164" s="19" t="str">
        <f>OBRA!N163</f>
        <v>DOP/AD/028/2016</v>
      </c>
      <c r="L164" s="2" t="str">
        <f>OBRA!O163</f>
        <v>ADMINISTRACIÓN DIRECTA</v>
      </c>
      <c r="M164" s="3" t="str">
        <f>OBRA!P163</f>
        <v>CONSTRUCCIÓN DE RED DE AGUA POTABLE EN CALLE HIDALGO A SAN LUCIANO DE ABAJO, EN LA LOCALIDAD DE SAN LUCIANO</v>
      </c>
      <c r="N164" s="3"/>
      <c r="O164" s="3"/>
      <c r="P164" s="6">
        <f>OBRA!S163</f>
        <v>42704</v>
      </c>
      <c r="Q164" s="4">
        <f>OBRA!R163</f>
        <v>504950.57</v>
      </c>
      <c r="R164" s="4"/>
      <c r="S164" s="5">
        <f>OBRA!T163</f>
        <v>42705</v>
      </c>
      <c r="T164" s="11">
        <f>OBRA!U163</f>
        <v>42735</v>
      </c>
      <c r="U164" s="52"/>
      <c r="V164" s="226" t="s">
        <v>1428</v>
      </c>
      <c r="W164" s="105"/>
      <c r="X164" s="53"/>
      <c r="Y164" s="278">
        <f>OBRA!AR163</f>
        <v>0</v>
      </c>
      <c r="Z164" s="309"/>
      <c r="AA164" s="309"/>
      <c r="AB164" s="5"/>
      <c r="AC164" s="317">
        <f>OBRA!BW163</f>
        <v>0</v>
      </c>
      <c r="AD164" s="352"/>
    </row>
    <row r="165" spans="1:30" ht="110.25" hidden="1" customHeight="1">
      <c r="A165" s="22" t="s">
        <v>2206</v>
      </c>
      <c r="B165" s="809" t="str">
        <f>GRAL!B166</f>
        <v>2015-2018</v>
      </c>
      <c r="C165" s="16">
        <f>OBRA!J164</f>
        <v>2016</v>
      </c>
      <c r="D165" s="17" t="str">
        <f>OBRA!M164</f>
        <v>CUENTA CORRIENTE</v>
      </c>
      <c r="E165" s="478" t="s">
        <v>1428</v>
      </c>
      <c r="F165" s="352"/>
      <c r="G165" s="1"/>
      <c r="H165" s="352"/>
      <c r="I165" s="54" t="str">
        <f>OBRA!W164</f>
        <v>-</v>
      </c>
      <c r="J165" s="55" t="str">
        <f>OBRA!X164</f>
        <v>ING. ANGEL ALBERTO HERNANDEZ MORA</v>
      </c>
      <c r="K165" s="19" t="str">
        <f>OBRA!N164</f>
        <v>DOP/AD/029/2016</v>
      </c>
      <c r="L165" s="2" t="str">
        <f>OBRA!O164</f>
        <v>ADMINISTRACIÓN DIRECTA</v>
      </c>
      <c r="M165" s="3" t="str">
        <f>OBRA!P164</f>
        <v>AMPLIACIÓN DE RED DE AGUA POTABLE EN CALLES BUGAMBILIAS, ROSAS, EL JARAL Y GUADALUPE VICTORIA EN EL "BARRIO EL POTRERITO" EN LA LOCALIDAD DE HUEJOTITAN, DEL MUNICIPIO DE JOCOTEPEC, JALISCO.</v>
      </c>
      <c r="N165" s="3"/>
      <c r="O165" s="3"/>
      <c r="P165" s="6">
        <f>OBRA!S164</f>
        <v>42702</v>
      </c>
      <c r="Q165" s="4">
        <f>OBRA!R164</f>
        <v>160904.73000000001</v>
      </c>
      <c r="R165" s="4"/>
      <c r="S165" s="5">
        <f>OBRA!T164</f>
        <v>42702</v>
      </c>
      <c r="T165" s="11">
        <f>OBRA!U164</f>
        <v>42711</v>
      </c>
      <c r="U165" s="52"/>
      <c r="V165" s="226" t="s">
        <v>1428</v>
      </c>
      <c r="W165" s="105"/>
      <c r="X165" s="53"/>
      <c r="Y165" s="278">
        <f>OBRA!AR164</f>
        <v>0</v>
      </c>
      <c r="Z165" s="309"/>
      <c r="AA165" s="309"/>
      <c r="AB165" s="5"/>
      <c r="AC165" s="317">
        <f>OBRA!BW164</f>
        <v>0</v>
      </c>
      <c r="AD165" s="352"/>
    </row>
    <row r="166" spans="1:30" ht="110.25" hidden="1" customHeight="1">
      <c r="A166" s="22" t="s">
        <v>2206</v>
      </c>
      <c r="B166" s="809" t="str">
        <f>GRAL!B167</f>
        <v>2015-2018</v>
      </c>
      <c r="C166" s="16">
        <f>OBRA!J165</f>
        <v>2016</v>
      </c>
      <c r="D166" s="17" t="str">
        <f>OBRA!M165</f>
        <v>RAMO 33</v>
      </c>
      <c r="E166" s="13" t="s">
        <v>1428</v>
      </c>
      <c r="F166" s="352"/>
      <c r="G166" s="1"/>
      <c r="H166" s="352"/>
      <c r="I166" s="54" t="str">
        <f>OBRA!W165</f>
        <v>-</v>
      </c>
      <c r="J166" s="55" t="str">
        <f>OBRA!X165</f>
        <v>ING. J. GUADALUPE IBARRA RAMIREZ</v>
      </c>
      <c r="K166" s="19" t="str">
        <f>OBRA!N165</f>
        <v>DOP/AD/030/2016</v>
      </c>
      <c r="L166" s="2" t="str">
        <f>OBRA!O165</f>
        <v>ADMINISTRACIÓN DIRECTA</v>
      </c>
      <c r="M166" s="3" t="str">
        <f>OBRA!P165</f>
        <v>REHABILITACIÓN DE RED DE DRENAJE 2DA. ETAPA DE LA CALLE CUAUHTEMOC ENTRE C. PLAYAS DE LA LAGUNA A CARCAMO DE BOMBEO, CON REPOSICIÓN DE EMPEDRADO AHOGADO, EN LA LOCALIDAD DE CHANTEPEC</v>
      </c>
      <c r="N166" s="3"/>
      <c r="O166" s="3"/>
      <c r="P166" s="6">
        <f>OBRA!S165</f>
        <v>42688</v>
      </c>
      <c r="Q166" s="4">
        <f>OBRA!R165</f>
        <v>587787.4</v>
      </c>
      <c r="R166" s="4"/>
      <c r="S166" s="5">
        <f>OBRA!T165</f>
        <v>42689</v>
      </c>
      <c r="T166" s="11">
        <f>OBRA!U165</f>
        <v>42705</v>
      </c>
      <c r="U166" s="52"/>
      <c r="V166" s="226" t="s">
        <v>1428</v>
      </c>
      <c r="W166" s="105"/>
      <c r="X166" s="53"/>
      <c r="Y166" s="278">
        <f>OBRA!AR165</f>
        <v>0</v>
      </c>
      <c r="Z166" s="309"/>
      <c r="AA166" s="309"/>
      <c r="AB166" s="5"/>
      <c r="AC166" s="317">
        <f>OBRA!BW165</f>
        <v>0</v>
      </c>
      <c r="AD166" s="352"/>
    </row>
    <row r="167" spans="1:30" ht="123" hidden="1" customHeight="1">
      <c r="A167" s="22" t="s">
        <v>2206</v>
      </c>
      <c r="B167" s="809" t="str">
        <f>GRAL!B168</f>
        <v>2015-2018</v>
      </c>
      <c r="C167" s="16">
        <f>OBRA!J166</f>
        <v>2016</v>
      </c>
      <c r="D167" s="17" t="str">
        <f>OBRA!M166</f>
        <v>RAMO 33</v>
      </c>
      <c r="E167" s="478" t="s">
        <v>1428</v>
      </c>
      <c r="F167" s="352"/>
      <c r="G167" s="1"/>
      <c r="H167" s="352"/>
      <c r="I167" s="54" t="str">
        <f>OBRA!W166</f>
        <v>-</v>
      </c>
      <c r="J167" s="55" t="str">
        <f>OBRA!X166</f>
        <v>ING. J. GUADALUPE IBARRA RAMIREZ</v>
      </c>
      <c r="K167" s="19" t="str">
        <f>OBRA!N166</f>
        <v>DOP/AD/031/2016</v>
      </c>
      <c r="L167" s="2" t="str">
        <f>OBRA!O166</f>
        <v>ADMINISTRACIÓN DIRECTA</v>
      </c>
      <c r="M167" s="3" t="str">
        <f>OBRA!P166</f>
        <v>REHABILITACIÓN DE RED DE AGUA POTABLE  2DA. ETAPA DE LA CALLE CUAUHTEMOC ENTRE C. PLAYAS DE LA LAGUNA A CARCAMO DE BOMBEO, CON REPOSICIÓN DE EMPEDRADO AHOGADO, EN LA LOCALIDAD DE CHANTEPEC</v>
      </c>
      <c r="N167" s="3"/>
      <c r="O167" s="3"/>
      <c r="P167" s="6">
        <f>OBRA!S166</f>
        <v>42692</v>
      </c>
      <c r="Q167" s="4">
        <f>OBRA!R166</f>
        <v>557061.88</v>
      </c>
      <c r="R167" s="4"/>
      <c r="S167" s="5">
        <f>OBRA!T166</f>
        <v>42695</v>
      </c>
      <c r="T167" s="11">
        <f>OBRA!U166</f>
        <v>42719</v>
      </c>
      <c r="U167" s="52"/>
      <c r="V167" s="226" t="s">
        <v>1428</v>
      </c>
      <c r="W167" s="105"/>
      <c r="X167" s="53"/>
      <c r="Y167" s="278">
        <f>OBRA!AR166</f>
        <v>0</v>
      </c>
      <c r="Z167" s="309"/>
      <c r="AA167" s="309"/>
      <c r="AB167" s="5"/>
      <c r="AC167" s="317">
        <f>OBRA!BW166</f>
        <v>0</v>
      </c>
      <c r="AD167" s="352"/>
    </row>
    <row r="168" spans="1:30" ht="110.25" hidden="1" customHeight="1">
      <c r="A168" s="22" t="s">
        <v>2206</v>
      </c>
      <c r="B168" s="809" t="str">
        <f>GRAL!B169</f>
        <v>2015-2018</v>
      </c>
      <c r="C168" s="16">
        <f>OBRA!J167</f>
        <v>2016</v>
      </c>
      <c r="D168" s="17" t="str">
        <f>OBRA!M167</f>
        <v>RAMO 33</v>
      </c>
      <c r="E168" s="478" t="s">
        <v>1428</v>
      </c>
      <c r="F168" s="352"/>
      <c r="G168" s="1"/>
      <c r="H168" s="352"/>
      <c r="I168" s="54" t="str">
        <f>OBRA!W167</f>
        <v>-</v>
      </c>
      <c r="J168" s="55" t="str">
        <f>OBRA!X167</f>
        <v>ING. J. GUADALUPE IBARRA RAMIREZ</v>
      </c>
      <c r="K168" s="19" t="str">
        <f>OBRA!N167</f>
        <v>DOP/AD/032/2016</v>
      </c>
      <c r="L168" s="2" t="str">
        <f>OBRA!O167</f>
        <v>ADMINISTRACIÓN DIRECTA</v>
      </c>
      <c r="M168" s="3" t="str">
        <f>OBRA!P167</f>
        <v>REEMPEDRADO AHOGADO EN CEMENTO EN CALLE CUAUHTEMOC 2DA. ETAPA DE PLAYAS DE LA LAGUNA HACIA EL ORIENTE, EN LA LOCALIDAD DE CHANTEPEC</v>
      </c>
      <c r="N168" s="3"/>
      <c r="O168" s="3"/>
      <c r="P168" s="6">
        <f>OBRA!S167</f>
        <v>42688</v>
      </c>
      <c r="Q168" s="4">
        <f>OBRA!R167</f>
        <v>238036.86</v>
      </c>
      <c r="R168" s="4"/>
      <c r="S168" s="5">
        <f>OBRA!T167</f>
        <v>42689</v>
      </c>
      <c r="T168" s="11">
        <f>OBRA!U167</f>
        <v>42735</v>
      </c>
      <c r="U168" s="52"/>
      <c r="V168" s="226" t="s">
        <v>1428</v>
      </c>
      <c r="W168" s="105"/>
      <c r="X168" s="53"/>
      <c r="Y168" s="278">
        <f>OBRA!AR167</f>
        <v>0</v>
      </c>
      <c r="Z168" s="309"/>
      <c r="AA168" s="309"/>
      <c r="AB168" s="5"/>
      <c r="AC168" s="317">
        <f>OBRA!BW167</f>
        <v>0</v>
      </c>
      <c r="AD168" s="352"/>
    </row>
    <row r="169" spans="1:30" ht="110.25" hidden="1" customHeight="1">
      <c r="A169" s="22" t="s">
        <v>2206</v>
      </c>
      <c r="B169" s="809" t="str">
        <f>GRAL!B170</f>
        <v>2015-2018</v>
      </c>
      <c r="C169" s="16">
        <f>OBRA!J168</f>
        <v>2016</v>
      </c>
      <c r="D169" s="18" t="str">
        <f>OBRA!M168</f>
        <v>3X1 PARA MIGRANTES</v>
      </c>
      <c r="E169" s="478"/>
      <c r="F169" s="23"/>
      <c r="G169" s="1"/>
      <c r="H169" s="352"/>
      <c r="I169" s="54" t="str">
        <f>OBRA!W168</f>
        <v>-</v>
      </c>
      <c r="J169" s="55" t="str">
        <f>OBRA!X168</f>
        <v>ING. RIGOBERTO OLMEDO RAMOS</v>
      </c>
      <c r="K169" s="19" t="str">
        <f>OBRA!N168</f>
        <v>DOP/AD/033/2016</v>
      </c>
      <c r="L169" s="2" t="str">
        <f>OBRA!O168</f>
        <v>ADMINISTRACIÓN DIRECTA</v>
      </c>
      <c r="M169" s="3" t="str">
        <f>OBRA!P168</f>
        <v xml:space="preserve">EMPEDRADO AHOGADO EN CEMENTO EN LA CALLE INSURGENTES PRIMERA ETAPA, EN LA LOCALIDAD DE ZAPOTITAN DE HIDALGO </v>
      </c>
      <c r="N169" s="3"/>
      <c r="O169" s="3"/>
      <c r="P169" s="6">
        <f>OBRA!S168</f>
        <v>42674</v>
      </c>
      <c r="Q169" s="4">
        <f>OBRA!R168</f>
        <v>2426000</v>
      </c>
      <c r="R169" s="4"/>
      <c r="S169" s="5">
        <f>OBRA!T168</f>
        <v>42675</v>
      </c>
      <c r="T169" s="11">
        <f>OBRA!U168</f>
        <v>42735</v>
      </c>
      <c r="U169" s="52"/>
      <c r="V169" s="226" t="s">
        <v>1428</v>
      </c>
      <c r="W169" s="105"/>
      <c r="X169" s="53"/>
      <c r="Y169" s="278">
        <f>OBRA!AR168</f>
        <v>0</v>
      </c>
      <c r="Z169" s="309"/>
      <c r="AA169" s="309"/>
      <c r="AB169" s="5"/>
      <c r="AC169" s="317">
        <f>OBRA!BW168</f>
        <v>0</v>
      </c>
      <c r="AD169" s="352"/>
    </row>
    <row r="170" spans="1:30" ht="253.5" hidden="1" customHeight="1">
      <c r="A170" s="22" t="s">
        <v>2206</v>
      </c>
      <c r="B170" s="809" t="str">
        <f>GRAL!B171</f>
        <v>2015-2018</v>
      </c>
      <c r="C170" s="16">
        <f>OBRA!J169</f>
        <v>2016</v>
      </c>
      <c r="D170" s="18" t="str">
        <f>OBRA!M169</f>
        <v>PATRIMONIO MUNICIPAL</v>
      </c>
      <c r="E170" s="481" t="s">
        <v>1428</v>
      </c>
      <c r="F170" s="493" t="s">
        <v>1741</v>
      </c>
      <c r="G170" s="458" t="s">
        <v>1743</v>
      </c>
      <c r="H170" s="459" t="s">
        <v>1742</v>
      </c>
      <c r="I170" s="54" t="str">
        <f>OBRA!W169</f>
        <v>ELECTRIFICACIONES MUGA, S.A. DE C.V.</v>
      </c>
      <c r="J170" s="55" t="str">
        <f>OBRA!X169</f>
        <v>ING. RIGOBERTO OLMEDO RAMOS</v>
      </c>
      <c r="K170" s="33" t="str">
        <f>OBRA!N169</f>
        <v>GMJ 001C OP/2016</v>
      </c>
      <c r="L170" s="2" t="str">
        <f>OBRA!O169</f>
        <v>ADJUDICACIÓN DIRECTA</v>
      </c>
      <c r="M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6" t="s">
        <v>1737</v>
      </c>
      <c r="O170" s="466"/>
      <c r="P170" s="6">
        <f>OBRA!S169</f>
        <v>42461</v>
      </c>
      <c r="Q170" s="4">
        <f>OBRA!R169</f>
        <v>892870.48</v>
      </c>
      <c r="R170" s="4"/>
      <c r="S170" s="5">
        <f>OBRA!T169</f>
        <v>42461</v>
      </c>
      <c r="T170" s="11">
        <f>OBRA!U169</f>
        <v>42583</v>
      </c>
      <c r="U170" s="53"/>
      <c r="V170" s="377" t="s">
        <v>1428</v>
      </c>
      <c r="W170" s="459" t="s">
        <v>1744</v>
      </c>
      <c r="X170" s="460" t="s">
        <v>2245</v>
      </c>
      <c r="Y170" s="450">
        <f>OBRA!AR169</f>
        <v>89287.05</v>
      </c>
      <c r="Z170" s="5"/>
      <c r="AA170" s="309"/>
      <c r="AB170" s="5"/>
      <c r="AC170" s="317">
        <f>OBRA!BW169</f>
        <v>0</v>
      </c>
      <c r="AD170" s="352" t="s">
        <v>551</v>
      </c>
    </row>
    <row r="171" spans="1:30" ht="108" hidden="1" customHeight="1">
      <c r="A171" s="22" t="s">
        <v>2206</v>
      </c>
      <c r="B171" s="809" t="str">
        <f>GRAL!B172</f>
        <v>2015-2018</v>
      </c>
      <c r="C171" s="16">
        <f>OBRA!J170</f>
        <v>2016</v>
      </c>
      <c r="D171" s="17" t="str">
        <f>OBRA!M170</f>
        <v>RAMO 33</v>
      </c>
      <c r="E171" s="481" t="s">
        <v>1428</v>
      </c>
      <c r="F171" s="459" t="s">
        <v>1750</v>
      </c>
      <c r="G171" s="458" t="s">
        <v>1752</v>
      </c>
      <c r="H171" s="459" t="s">
        <v>1751</v>
      </c>
      <c r="I171" s="54" t="str">
        <f>OBRA!W170</f>
        <v>RAMPER DRILLINGS S.A. DE C.V.</v>
      </c>
      <c r="J171" s="55" t="str">
        <f>OBRA!X170</f>
        <v>ING. J. GUADALUPE IBARRA RAMIREZ</v>
      </c>
      <c r="K171" s="33" t="str">
        <f>OBRA!N170</f>
        <v>GMJ 002C OP/2016</v>
      </c>
      <c r="L171" s="2" t="str">
        <f>OBRA!O170</f>
        <v>ADJUDICACIÓN DIRECTA</v>
      </c>
      <c r="M171" s="3" t="str">
        <f>OBRA!P170</f>
        <v>PERFORACIÓN DE POZO PROFUNDO, ADEME, AFORO Y EQUIPO DE BOMBEO EN LA CALLE LIBERTAD DE NEXTIPAC, DE ESTE MUNICIPIO JOCOTEPEC, JALISCO</v>
      </c>
      <c r="N171" s="464" t="s">
        <v>1747</v>
      </c>
      <c r="O171" s="464"/>
      <c r="P171" s="6">
        <f>OBRA!S170</f>
        <v>42458</v>
      </c>
      <c r="Q171" s="4">
        <f>OBRA!R170</f>
        <v>1451401.32</v>
      </c>
      <c r="R171" s="4"/>
      <c r="S171" s="5">
        <f>OBRA!T170</f>
        <v>42459</v>
      </c>
      <c r="T171" s="11">
        <f>OBRA!U170</f>
        <v>42498</v>
      </c>
      <c r="U171" s="53"/>
      <c r="V171" s="377" t="s">
        <v>1428</v>
      </c>
      <c r="W171" s="459" t="s">
        <v>1753</v>
      </c>
      <c r="X171" s="460" t="s">
        <v>2246</v>
      </c>
      <c r="Y171" s="523">
        <f>OBRA!AR170</f>
        <v>145140.13</v>
      </c>
      <c r="Z171" s="5"/>
      <c r="AA171" s="309"/>
      <c r="AB171" s="5"/>
      <c r="AC171" s="317">
        <f>OBRA!BW170</f>
        <v>0</v>
      </c>
      <c r="AD171" s="352" t="s">
        <v>551</v>
      </c>
    </row>
    <row r="172" spans="1:30" ht="111.75" hidden="1" customHeight="1">
      <c r="A172" s="22" t="s">
        <v>2206</v>
      </c>
      <c r="B172" s="809" t="str">
        <f>GRAL!B173</f>
        <v>2015-2018</v>
      </c>
      <c r="C172" s="16">
        <f>OBRA!J171</f>
        <v>2016</v>
      </c>
      <c r="D172" s="17" t="str">
        <f>OBRA!M171</f>
        <v>FONDEREG</v>
      </c>
      <c r="E172" s="358" t="s">
        <v>1629</v>
      </c>
      <c r="F172" s="500" t="s">
        <v>1758</v>
      </c>
      <c r="G172" s="458" t="s">
        <v>1760</v>
      </c>
      <c r="H172" s="459" t="s">
        <v>1759</v>
      </c>
      <c r="I172" s="54" t="str">
        <f>OBRA!W171</f>
        <v>ENERGIAS RENOVABLES DE LA RIVERA S.A. DE C.V</v>
      </c>
      <c r="J172" s="55" t="str">
        <f>OBRA!X171</f>
        <v>ING. RIGOBERTO OLMEDO RAMOS</v>
      </c>
      <c r="K172" s="33" t="str">
        <f>OBRA!N171</f>
        <v>GMJ 003C OP/2016</v>
      </c>
      <c r="L172" s="2" t="str">
        <f>OBRA!O171</f>
        <v>ADJUDICACIÓN DIRECTA</v>
      </c>
      <c r="M172" s="3" t="str">
        <f>OBRA!P171</f>
        <v>ALUMBRADO CON POSTE METALICO DE 7.00 MTS Y LUMINARIAS LED DE 74 WATTS Y LUMINOSIDAD DE 5700 KELVIN EN CALLE ZARAGOZA (INGRESO PRINCIPAL) DE SAN CRISTOBAL ZAPOTITLAN</v>
      </c>
      <c r="N172" s="464" t="s">
        <v>1754</v>
      </c>
      <c r="O172" s="464"/>
      <c r="P172" s="6">
        <f>OBRA!S171</f>
        <v>42587</v>
      </c>
      <c r="Q172" s="4">
        <f>OBRA!R171</f>
        <v>441388.12</v>
      </c>
      <c r="R172" s="4"/>
      <c r="S172" s="5">
        <f>OBRA!T171</f>
        <v>42597</v>
      </c>
      <c r="T172" s="11">
        <f>OBRA!U171</f>
        <v>42628</v>
      </c>
      <c r="U172" s="53"/>
      <c r="V172" s="660" t="s">
        <v>2247</v>
      </c>
      <c r="W172" s="459" t="s">
        <v>1761</v>
      </c>
      <c r="X172" s="460" t="s">
        <v>2248</v>
      </c>
      <c r="Y172" s="523">
        <f>OBRA!AR171</f>
        <v>88277.62</v>
      </c>
      <c r="Z172" s="5"/>
      <c r="AA172" s="309"/>
      <c r="AB172" s="5"/>
      <c r="AC172" s="317">
        <f>OBRA!BW171</f>
        <v>0</v>
      </c>
      <c r="AD172" s="352" t="s">
        <v>551</v>
      </c>
    </row>
    <row r="173" spans="1:30" ht="108" hidden="1" customHeight="1">
      <c r="A173" s="22" t="s">
        <v>2206</v>
      </c>
      <c r="B173" s="809" t="str">
        <f>GRAL!B174</f>
        <v>2015-2018</v>
      </c>
      <c r="C173" s="16">
        <f>OBRA!J172</f>
        <v>2016</v>
      </c>
      <c r="D173" s="17" t="str">
        <f>OBRA!M172</f>
        <v>RAMO 33</v>
      </c>
      <c r="E173" s="481" t="s">
        <v>1428</v>
      </c>
      <c r="F173" s="459" t="s">
        <v>1765</v>
      </c>
      <c r="G173" s="458" t="s">
        <v>1767</v>
      </c>
      <c r="H173" s="459" t="s">
        <v>1766</v>
      </c>
      <c r="I173" s="54" t="str">
        <f>OBRA!W172</f>
        <v>LIC. CARLOS MANUEL PELAYO CERVERA</v>
      </c>
      <c r="J173" s="55" t="str">
        <f>OBRA!X172</f>
        <v>LIC. SALVADOR CONTRERAS OLGUÍN</v>
      </c>
      <c r="K173" s="33" t="str">
        <f>OBRA!N172</f>
        <v>GMJ 004C OP/2016</v>
      </c>
      <c r="L173" s="2" t="str">
        <f>OBRA!O172</f>
        <v>ADJUDICACIÓN DIRECTA</v>
      </c>
      <c r="M173" s="3" t="str">
        <f>OBRA!P172</f>
        <v>REHABILITACIÓN DE RED DE AGUA POTABLE Y REPOSICIÓN DE EMPEDRADO NORMAL (CALLE 16 DE SEPTIEMBRE ENTRE CALLE CORELOS Y 20 DE NOVIEMBRE DELEGACION DE ZAPOTITAN DE HIDALGO</v>
      </c>
      <c r="N173" s="464" t="s">
        <v>1764</v>
      </c>
      <c r="O173" s="464"/>
      <c r="P173" s="6">
        <f>OBRA!S172</f>
        <v>42599</v>
      </c>
      <c r="Q173" s="4">
        <f>OBRA!R172</f>
        <v>346655.86</v>
      </c>
      <c r="R173" s="4"/>
      <c r="S173" s="5">
        <f>OBRA!T172</f>
        <v>42600</v>
      </c>
      <c r="T173" s="11">
        <f>OBRA!U172</f>
        <v>42704</v>
      </c>
      <c r="U173" s="53"/>
      <c r="V173" s="377" t="s">
        <v>1428</v>
      </c>
      <c r="W173" s="459" t="s">
        <v>1768</v>
      </c>
      <c r="X173" s="460" t="s">
        <v>2250</v>
      </c>
      <c r="Y173" s="450">
        <f>OBRA!AR172</f>
        <v>69321.179999999993</v>
      </c>
      <c r="Z173" s="5"/>
      <c r="AA173" s="309"/>
      <c r="AB173" s="5"/>
      <c r="AC173" s="317">
        <f>OBRA!BW172</f>
        <v>0</v>
      </c>
      <c r="AD173" s="352" t="s">
        <v>551</v>
      </c>
    </row>
    <row r="174" spans="1:30" ht="111" hidden="1" customHeight="1">
      <c r="A174" s="22" t="s">
        <v>2206</v>
      </c>
      <c r="B174" s="809" t="str">
        <f>GRAL!B175</f>
        <v>2015-2018</v>
      </c>
      <c r="C174" s="16">
        <f>OBRA!J173</f>
        <v>2016</v>
      </c>
      <c r="D174" s="17" t="str">
        <f>OBRA!M173</f>
        <v>RAMO 33</v>
      </c>
      <c r="E174" s="481" t="s">
        <v>1428</v>
      </c>
      <c r="F174" s="459" t="s">
        <v>1770</v>
      </c>
      <c r="G174" s="458" t="s">
        <v>1772</v>
      </c>
      <c r="H174" s="459" t="s">
        <v>1771</v>
      </c>
      <c r="I174" s="54" t="str">
        <f>OBRA!W173</f>
        <v>LIC. CARLOS MANUEL PELAYO CERVERA</v>
      </c>
      <c r="J174" s="55" t="str">
        <f>OBRA!X173</f>
        <v>LIC. SALVADOR CONTRERAS OLGUÍN</v>
      </c>
      <c r="K174" s="33" t="str">
        <f>OBRA!N173</f>
        <v>GMJ 005C OP/2016</v>
      </c>
      <c r="L174" s="2" t="str">
        <f>OBRA!O173</f>
        <v>ADJUDICACIÓN DIRECTA</v>
      </c>
      <c r="M174" s="3" t="str">
        <f>OBRA!P173</f>
        <v>REHABILITACION DE RED DE DRENAJE Y REPOSICION DE EMPEDRADO NORMAL, CALLE 16 DE SEPTIEMBRE ENTRE CALLE MORELOS Y 20 DE NOVIEMBRE, DELEGACION DE ZAPOTITAN DE HIDALGO</v>
      </c>
      <c r="N174" s="464" t="s">
        <v>1769</v>
      </c>
      <c r="O174" s="464"/>
      <c r="P174" s="6">
        <f>OBRA!S173</f>
        <v>42593</v>
      </c>
      <c r="Q174" s="4">
        <f>OBRA!R173</f>
        <v>410268.05</v>
      </c>
      <c r="R174" s="4"/>
      <c r="S174" s="5">
        <f>OBRA!T173</f>
        <v>42597</v>
      </c>
      <c r="T174" s="11">
        <f>OBRA!U173</f>
        <v>42704</v>
      </c>
      <c r="U174" s="53"/>
      <c r="V174" s="377" t="s">
        <v>1428</v>
      </c>
      <c r="W174" s="496" t="s">
        <v>1773</v>
      </c>
      <c r="X174" s="460" t="s">
        <v>2251</v>
      </c>
      <c r="Y174" s="450">
        <f>OBRA!AR173</f>
        <v>82053.600000000006</v>
      </c>
      <c r="Z174" s="5"/>
      <c r="AA174" s="309"/>
      <c r="AB174" s="5"/>
      <c r="AC174" s="317">
        <f>OBRA!BW173</f>
        <v>0</v>
      </c>
      <c r="AD174" s="352" t="s">
        <v>551</v>
      </c>
    </row>
    <row r="175" spans="1:30" ht="110.25" hidden="1" customHeight="1">
      <c r="A175" s="22" t="s">
        <v>2206</v>
      </c>
      <c r="B175" s="809" t="str">
        <f>GRAL!B176</f>
        <v>2015-2018</v>
      </c>
      <c r="C175" s="16">
        <f>OBRA!J174</f>
        <v>-2015</v>
      </c>
      <c r="D175" s="17" t="str">
        <f>OBRA!M174</f>
        <v>RAMO 33</v>
      </c>
      <c r="E175" s="481" t="s">
        <v>1428</v>
      </c>
      <c r="F175" s="459" t="s">
        <v>1776</v>
      </c>
      <c r="G175" s="458" t="s">
        <v>1778</v>
      </c>
      <c r="H175" s="459" t="s">
        <v>1777</v>
      </c>
      <c r="I175" s="54" t="str">
        <f>OBRA!W174</f>
        <v>CONSTRUCCIONES VIKBRAK, S.A. DE C.V.</v>
      </c>
      <c r="J175" s="55" t="str">
        <f>OBRA!X174</f>
        <v>LIC. SALVADOR CONTRERAS OLGUÍN</v>
      </c>
      <c r="K175" s="33" t="str">
        <f>OBRA!N174</f>
        <v>GMJ 006C OP/2016</v>
      </c>
      <c r="L175" s="2" t="str">
        <f>OBRA!O174</f>
        <v>ADJUDICACIÓN DIRECTA</v>
      </c>
      <c r="M175" s="3" t="str">
        <f>OBRA!P174</f>
        <v>1ER ETAPA DE REHABILITACION, RED DE AGUA POTABLE Y REPOSICION DE EMPEDRADO AHOGADO EN CEMENTO EN LA CALLE ANIMA SOLA DE LA CABECERA MUNICIPAL DE JOCOTEPEC, JALISCO</v>
      </c>
      <c r="N175" s="464" t="s">
        <v>1775</v>
      </c>
      <c r="O175" s="464"/>
      <c r="P175" s="6">
        <f>OBRA!S174</f>
        <v>42597</v>
      </c>
      <c r="Q175" s="4">
        <f>OBRA!R174</f>
        <v>369433.07</v>
      </c>
      <c r="R175" s="4"/>
      <c r="S175" s="5">
        <f>OBRA!T174</f>
        <v>42600</v>
      </c>
      <c r="T175" s="11">
        <f>OBRA!U174</f>
        <v>42704</v>
      </c>
      <c r="U175" s="53"/>
      <c r="V175" s="377" t="s">
        <v>1428</v>
      </c>
      <c r="W175" s="444" t="s">
        <v>1779</v>
      </c>
      <c r="X175" s="361" t="s">
        <v>2252</v>
      </c>
      <c r="Y175" s="681">
        <f>OBRA!AR174</f>
        <v>36601.06</v>
      </c>
      <c r="Z175" s="5"/>
      <c r="AA175" s="309"/>
      <c r="AB175" s="5"/>
      <c r="AC175" s="317">
        <f>OBRA!BW174</f>
        <v>0</v>
      </c>
      <c r="AD175" s="352" t="s">
        <v>2253</v>
      </c>
    </row>
    <row r="176" spans="1:30" ht="119.25" hidden="1" customHeight="1">
      <c r="A176" s="22" t="s">
        <v>2206</v>
      </c>
      <c r="B176" s="809" t="str">
        <f>GRAL!B177</f>
        <v>2015-2018</v>
      </c>
      <c r="C176" s="16">
        <f>OBRA!J175</f>
        <v>-2015</v>
      </c>
      <c r="D176" s="17" t="str">
        <f>OBRA!M175</f>
        <v>RAMO 33</v>
      </c>
      <c r="E176" s="481" t="s">
        <v>1428</v>
      </c>
      <c r="F176" s="459" t="s">
        <v>1781</v>
      </c>
      <c r="G176" s="458" t="s">
        <v>1783</v>
      </c>
      <c r="H176" s="459" t="s">
        <v>1782</v>
      </c>
      <c r="I176" s="54" t="str">
        <f>OBRA!W175</f>
        <v>CONSTRUCCIONES VIKBRAK, S.A. DE C.V.</v>
      </c>
      <c r="J176" s="55" t="str">
        <f>OBRA!X175</f>
        <v>LIC. SALVADOR CONTRERAS OLGUÍN</v>
      </c>
      <c r="K176" s="33" t="str">
        <f>OBRA!N175</f>
        <v>GMJ 007C OP/2016</v>
      </c>
      <c r="L176" s="2" t="str">
        <f>OBRA!O175</f>
        <v>ADJUDICACIÓN DIRECTA</v>
      </c>
      <c r="M176" s="3" t="str">
        <f>OBRA!P175</f>
        <v>1ER ETAPA DE REHABILITACION, RED DE DRENAJE Y REPOSICION DE EMPEDRADO AHOGADO EN CEMENTO EN LA CALLE ANIMA SOLA DE LA CABECERA MUNICIPAL DE JOCOTEPEC, JALISCO</v>
      </c>
      <c r="N176" s="464" t="s">
        <v>1780</v>
      </c>
      <c r="O176" s="464"/>
      <c r="P176" s="6">
        <f>OBRA!S175</f>
        <v>42592</v>
      </c>
      <c r="Q176" s="4">
        <f>OBRA!R175</f>
        <v>369433.09</v>
      </c>
      <c r="R176" s="4"/>
      <c r="S176" s="5">
        <f>OBRA!T175</f>
        <v>42593</v>
      </c>
      <c r="T176" s="11">
        <f>OBRA!U175</f>
        <v>42704</v>
      </c>
      <c r="U176" s="53"/>
      <c r="V176" s="377" t="s">
        <v>1428</v>
      </c>
      <c r="W176" s="358" t="s">
        <v>1784</v>
      </c>
      <c r="X176" s="445" t="s">
        <v>2254</v>
      </c>
      <c r="Y176" s="681">
        <f>OBRA!AR175</f>
        <v>36952.17</v>
      </c>
      <c r="Z176" s="5"/>
      <c r="AA176" s="309"/>
      <c r="AB176" s="5"/>
      <c r="AC176" s="317">
        <f>OBRA!BW175</f>
        <v>0</v>
      </c>
      <c r="AD176" s="352" t="s">
        <v>2253</v>
      </c>
    </row>
    <row r="177" spans="1:30" ht="105" hidden="1" customHeight="1">
      <c r="A177" s="22" t="s">
        <v>2206</v>
      </c>
      <c r="B177" s="809" t="str">
        <f>GRAL!B178</f>
        <v>2015-2018</v>
      </c>
      <c r="C177" s="16">
        <f>OBRA!J176</f>
        <v>2016</v>
      </c>
      <c r="D177" s="17" t="str">
        <f>OBRA!M176</f>
        <v>RAMO 33</v>
      </c>
      <c r="E177" s="481" t="s">
        <v>1428</v>
      </c>
      <c r="F177" s="459" t="s">
        <v>2255</v>
      </c>
      <c r="G177" s="458" t="s">
        <v>1788</v>
      </c>
      <c r="H177" s="459" t="s">
        <v>1787</v>
      </c>
      <c r="I177" s="54" t="str">
        <f>OBRA!W176</f>
        <v>CONSTRUCCIONES VIKBRAK, S.A. DE C.V.</v>
      </c>
      <c r="J177" s="55" t="str">
        <f>OBRA!X176</f>
        <v>LIC. SALVADOR CONTRERAS OLGUÍN</v>
      </c>
      <c r="K177" s="33" t="str">
        <f>OBRA!N176</f>
        <v>GMJ 008C OP/2016</v>
      </c>
      <c r="L177" s="2" t="str">
        <f>OBRA!O176</f>
        <v>ADJUDICACIÓN DIRECTA</v>
      </c>
      <c r="M177" s="3" t="str">
        <f>OBRA!P176</f>
        <v>2DA. ETAPA DE REHABILITACIÓN, RED DE DRENAJE Y REPOSICIÓN DE EMPEDRADO EN CEMENTO EN LA CALLE ANIMA SOLA EN JOCOTEPEC, JALISCO</v>
      </c>
      <c r="N177" s="464" t="s">
        <v>1785</v>
      </c>
      <c r="O177" s="464"/>
      <c r="P177" s="6">
        <f>OBRA!S176</f>
        <v>42618</v>
      </c>
      <c r="Q177" s="4">
        <f>OBRA!R176</f>
        <v>205079.87</v>
      </c>
      <c r="R177" s="4"/>
      <c r="S177" s="5">
        <f>OBRA!T176</f>
        <v>42625</v>
      </c>
      <c r="T177" s="11">
        <f>OBRA!U176</f>
        <v>42704</v>
      </c>
      <c r="U177" s="53"/>
      <c r="V177" s="377" t="s">
        <v>1428</v>
      </c>
      <c r="W177" s="502" t="s">
        <v>1789</v>
      </c>
      <c r="X177" s="460" t="s">
        <v>2256</v>
      </c>
      <c r="Y177" s="681">
        <f>OBRA!AR176</f>
        <v>20303.93</v>
      </c>
      <c r="Z177" s="5"/>
      <c r="AA177" s="309"/>
      <c r="AB177" s="5"/>
      <c r="AC177" s="317">
        <f>OBRA!BW176</f>
        <v>0</v>
      </c>
      <c r="AD177" s="352" t="s">
        <v>2253</v>
      </c>
    </row>
    <row r="178" spans="1:30" ht="128.25" hidden="1" customHeight="1">
      <c r="A178" s="22" t="s">
        <v>2206</v>
      </c>
      <c r="B178" s="809" t="str">
        <f>GRAL!B179</f>
        <v>2015-2018</v>
      </c>
      <c r="C178" s="16">
        <f>OBRA!J177</f>
        <v>2016</v>
      </c>
      <c r="D178" s="17" t="str">
        <f>OBRA!M177</f>
        <v>RAMO 33</v>
      </c>
      <c r="E178" s="481" t="s">
        <v>1428</v>
      </c>
      <c r="F178" s="502" t="s">
        <v>1791</v>
      </c>
      <c r="G178" s="524" t="s">
        <v>1793</v>
      </c>
      <c r="H178" s="459" t="s">
        <v>1792</v>
      </c>
      <c r="I178" s="54" t="str">
        <f>OBRA!W177</f>
        <v>CONSTRUCCIONES VIKBRAK, S.A. DE C.V.</v>
      </c>
      <c r="J178" s="55" t="str">
        <f>OBRA!X177</f>
        <v>LIC. SALVADOR CONTRERAS OLGUÍN</v>
      </c>
      <c r="K178" s="33" t="str">
        <f>OBRA!N177</f>
        <v>GMJ 009C OP/2016</v>
      </c>
      <c r="L178" s="2" t="str">
        <f>OBRA!O177</f>
        <v>ADJUDICACIÓN DIRECTA</v>
      </c>
      <c r="M178" s="3" t="str">
        <f>OBRA!P177</f>
        <v>2DA. ETAPA DE REHABILITACIÓN DE RED DE AGUA POTABLE Y REPOSICIÓN DE EMPEDRADO AHOGADO EN CEMENTO EN LA C. ANIMA SOLA DE LA CABECERA MUNICIPAL DE JOCOTEPEC, JALISCO</v>
      </c>
      <c r="N178" s="464" t="s">
        <v>1790</v>
      </c>
      <c r="O178" s="464"/>
      <c r="P178" s="6">
        <f>OBRA!S177</f>
        <v>42618</v>
      </c>
      <c r="Q178" s="4">
        <f>OBRA!R177</f>
        <v>187923.95</v>
      </c>
      <c r="R178" s="4"/>
      <c r="S178" s="5">
        <f>OBRA!T177</f>
        <v>42625</v>
      </c>
      <c r="T178" s="11">
        <f>OBRA!U177</f>
        <v>42704</v>
      </c>
      <c r="U178" s="53"/>
      <c r="V178" s="377" t="s">
        <v>1428</v>
      </c>
      <c r="W178" s="358" t="s">
        <v>1794</v>
      </c>
      <c r="X178" s="579" t="s">
        <v>2257</v>
      </c>
      <c r="Y178" s="681">
        <f>OBRA!AR177</f>
        <v>18792.37</v>
      </c>
      <c r="Z178" s="5"/>
      <c r="AA178" s="309"/>
      <c r="AB178" s="5"/>
      <c r="AC178" s="317">
        <f>OBRA!BW177</f>
        <v>0</v>
      </c>
      <c r="AD178" s="352" t="s">
        <v>2253</v>
      </c>
    </row>
    <row r="179" spans="1:30" ht="98.25" hidden="1" customHeight="1">
      <c r="A179" s="22" t="s">
        <v>2206</v>
      </c>
      <c r="B179" s="809" t="str">
        <f>GRAL!B180</f>
        <v>2015-2018</v>
      </c>
      <c r="C179" s="16">
        <f>OBRA!J178</f>
        <v>2016</v>
      </c>
      <c r="D179" s="17" t="str">
        <f>OBRA!M178</f>
        <v>RAMO 33</v>
      </c>
      <c r="E179" s="481" t="s">
        <v>1428</v>
      </c>
      <c r="F179" s="496" t="s">
        <v>1797</v>
      </c>
      <c r="G179" s="458" t="s">
        <v>1799</v>
      </c>
      <c r="H179" s="459" t="s">
        <v>1798</v>
      </c>
      <c r="I179" s="54" t="str">
        <f>OBRA!W178</f>
        <v>ING. GERARDO DANIEL PELAYO CERVERA</v>
      </c>
      <c r="J179" s="55" t="str">
        <f>OBRA!X178</f>
        <v>LIC. SALVADOR CONTRERAS OLGUÍN</v>
      </c>
      <c r="K179" s="33" t="str">
        <f>OBRA!N178</f>
        <v>GMJ 010C OP/2016</v>
      </c>
      <c r="L179" s="2" t="str">
        <f>OBRA!O178</f>
        <v>ADJUDICACIÓN DIRECTA</v>
      </c>
      <c r="M179" s="3" t="str">
        <f>OBRA!P178</f>
        <v>REHABILITACION DE RED DE DRENAJE EN C. VIENTE GUERRERO ENTRE INDEPENDENCIA Y NIÑOS HEROES, EN JOCOTEPEC, JALISCO</v>
      </c>
      <c r="N179" s="464" t="s">
        <v>1796</v>
      </c>
      <c r="O179" s="464"/>
      <c r="P179" s="6">
        <f>OBRA!S178</f>
        <v>42632</v>
      </c>
      <c r="Q179" s="4">
        <f>OBRA!R178</f>
        <v>583370.43999999994</v>
      </c>
      <c r="R179" s="4"/>
      <c r="S179" s="5">
        <f>OBRA!T178</f>
        <v>42635</v>
      </c>
      <c r="T179" s="11">
        <f>OBRA!U178</f>
        <v>42704</v>
      </c>
      <c r="U179" s="53"/>
      <c r="V179" s="377" t="s">
        <v>1428</v>
      </c>
      <c r="W179" s="502" t="s">
        <v>1800</v>
      </c>
      <c r="X179" s="460" t="s">
        <v>2258</v>
      </c>
      <c r="Y179" s="450">
        <f>OBRA!AR178</f>
        <v>116674.08</v>
      </c>
      <c r="Z179" s="5"/>
      <c r="AA179" s="309"/>
      <c r="AB179" s="5"/>
      <c r="AC179" s="317">
        <f>OBRA!BW178</f>
        <v>0</v>
      </c>
      <c r="AD179" s="352" t="s">
        <v>551</v>
      </c>
    </row>
    <row r="180" spans="1:30" ht="103.5" hidden="1" customHeight="1">
      <c r="A180" s="22" t="s">
        <v>2206</v>
      </c>
      <c r="B180" s="809" t="str">
        <f>GRAL!B181</f>
        <v>2015-2018</v>
      </c>
      <c r="C180" s="16">
        <f>OBRA!J179</f>
        <v>2016</v>
      </c>
      <c r="D180" s="17" t="str">
        <f>OBRA!M179</f>
        <v>RAMO 33</v>
      </c>
      <c r="E180" s="481" t="s">
        <v>1428</v>
      </c>
      <c r="F180" s="459" t="s">
        <v>1802</v>
      </c>
      <c r="G180" s="458" t="s">
        <v>1804</v>
      </c>
      <c r="H180" s="459" t="s">
        <v>1803</v>
      </c>
      <c r="I180" s="54" t="str">
        <f>OBRA!W179</f>
        <v>ING. GERARDO DANIEL PELAYO CERVERA</v>
      </c>
      <c r="J180" s="55" t="str">
        <f>OBRA!X179</f>
        <v>LIC. SALVADOR CONTRERAS OLGUÍN</v>
      </c>
      <c r="K180" s="33" t="str">
        <f>OBRA!N179</f>
        <v>GMJ 011C OP/2016</v>
      </c>
      <c r="L180" s="2" t="str">
        <f>OBRA!O179</f>
        <v>ADJUDICACIÓN DIRECTA</v>
      </c>
      <c r="M180" s="3" t="str">
        <f>OBRA!P179</f>
        <v>REHABILITACIÓN DE RED DE AGUA POTABLE EN C. VIENTE GUERRERO ENTRE INDEPENDENCIA Y NIÑOS HEROES, EN JOCOTEPEC, JALISCO</v>
      </c>
      <c r="N180" s="464" t="s">
        <v>1801</v>
      </c>
      <c r="O180" s="464"/>
      <c r="P180" s="6">
        <f>OBRA!S179</f>
        <v>42632</v>
      </c>
      <c r="Q180" s="4">
        <f>OBRA!R179</f>
        <v>490205.03</v>
      </c>
      <c r="R180" s="4"/>
      <c r="S180" s="5">
        <f>OBRA!T179</f>
        <v>42635</v>
      </c>
      <c r="T180" s="11">
        <f>OBRA!U179</f>
        <v>42704</v>
      </c>
      <c r="U180" s="53"/>
      <c r="V180" s="377" t="s">
        <v>1428</v>
      </c>
      <c r="W180" s="496" t="s">
        <v>1805</v>
      </c>
      <c r="X180" s="460" t="s">
        <v>2259</v>
      </c>
      <c r="Y180" s="450">
        <f>OBRA!AR179</f>
        <v>98041</v>
      </c>
      <c r="Z180" s="5"/>
      <c r="AA180" s="309"/>
      <c r="AB180" s="5"/>
      <c r="AC180" s="317">
        <f>OBRA!BW179</f>
        <v>0</v>
      </c>
      <c r="AD180" s="352" t="s">
        <v>551</v>
      </c>
    </row>
    <row r="181" spans="1:30" ht="90.75" hidden="1" customHeight="1">
      <c r="A181" s="22" t="s">
        <v>2206</v>
      </c>
      <c r="B181" s="809" t="str">
        <f>GRAL!B182</f>
        <v>2015-2018</v>
      </c>
      <c r="C181" s="16">
        <f>OBRA!J180</f>
        <v>2016</v>
      </c>
      <c r="D181" s="18" t="str">
        <f>OBRA!M180</f>
        <v xml:space="preserve">Fortalecimiento Financiero Para La Inversion </v>
      </c>
      <c r="E181" s="13"/>
      <c r="F181" s="432"/>
      <c r="G181" s="433"/>
      <c r="H181" s="358"/>
      <c r="I181" s="54" t="str">
        <f>OBRA!W180</f>
        <v>A&amp;G URBANIZADORA S.A. DE C.V.</v>
      </c>
      <c r="J181" s="55" t="str">
        <f>OBRA!X180</f>
        <v>ING. J. GUADALUPE IBARRA RAMIREZ</v>
      </c>
      <c r="K181" s="33" t="str">
        <f>OBRA!N180</f>
        <v>GMJ 012C OP/2016</v>
      </c>
      <c r="L181" s="2" t="str">
        <f>OBRA!O180</f>
        <v>POR INVITACION RESTRINGIDA</v>
      </c>
      <c r="M181" s="3" t="str">
        <f>OBRA!P180</f>
        <v>CONSTRUCCIÓN DE LOZA DE CONCRETO HIDRAULICO Y REHABILITACIÓN DE PUENTE VEHICULAR EN CALLE VICENTE GUERRERO EN LA CABECERA MUNICIPAL DE JOCOTEPEC, JALISCO</v>
      </c>
      <c r="N181" s="3"/>
      <c r="O181" s="3"/>
      <c r="P181" s="6">
        <f>OBRA!S180</f>
        <v>42633</v>
      </c>
      <c r="Q181" s="4">
        <f>OBRA!R180</f>
        <v>3930732.57</v>
      </c>
      <c r="R181" s="4"/>
      <c r="S181" s="5">
        <f>OBRA!T180</f>
        <v>42634</v>
      </c>
      <c r="T181" s="11">
        <f>OBRA!U180</f>
        <v>42719</v>
      </c>
      <c r="U181" s="52"/>
      <c r="V181" s="226" t="s">
        <v>1428</v>
      </c>
      <c r="W181" s="358"/>
      <c r="X181" s="361"/>
      <c r="Y181" s="450">
        <f>OBRA!AR180</f>
        <v>1768829.66</v>
      </c>
      <c r="Z181" s="309"/>
      <c r="AA181" s="309"/>
      <c r="AB181" s="5"/>
      <c r="AC181" s="317">
        <f>OBRA!BW180</f>
        <v>0</v>
      </c>
      <c r="AD181" s="352"/>
    </row>
    <row r="182" spans="1:30" ht="80.25" hidden="1" customHeight="1">
      <c r="A182" s="22" t="s">
        <v>2206</v>
      </c>
      <c r="B182" s="809" t="str">
        <f>GRAL!B183</f>
        <v>2015-2018</v>
      </c>
      <c r="C182" s="16">
        <f>OBRA!J181</f>
        <v>2016</v>
      </c>
      <c r="D182" s="17" t="str">
        <f>OBRA!M181</f>
        <v>RAMO 33</v>
      </c>
      <c r="E182" s="481" t="s">
        <v>1428</v>
      </c>
      <c r="F182" s="501" t="s">
        <v>1815</v>
      </c>
      <c r="G182" s="458" t="s">
        <v>1817</v>
      </c>
      <c r="H182" s="459" t="s">
        <v>1816</v>
      </c>
      <c r="I182" s="54" t="str">
        <f>OBRA!W181</f>
        <v>ENERGIAS RENOVABLES DE LA RIVERA S.A. DE C.V</v>
      </c>
      <c r="J182" s="55" t="str">
        <f>OBRA!X181</f>
        <v>ING. RIGOBERTO OLMEDO RAMOS</v>
      </c>
      <c r="K182" s="33" t="str">
        <f>OBRA!N181</f>
        <v>GMJ 013C OP/2016</v>
      </c>
      <c r="L182" s="2" t="str">
        <f>OBRA!O181</f>
        <v>ADJUDICACIÓN DIRECTA</v>
      </c>
      <c r="M182" s="3" t="str">
        <f>OBRA!P181</f>
        <v>ELECTRIFICACIÓN DE MEDIA Y BAJA TENSIÓN EN LA CALLE FRANCISCO VILLA DE ZAPOTITAN DE HIDALGO</v>
      </c>
      <c r="N182" s="464" t="s">
        <v>1814</v>
      </c>
      <c r="O182" s="464"/>
      <c r="P182" s="6">
        <f>OBRA!S181</f>
        <v>42650</v>
      </c>
      <c r="Q182" s="4">
        <f>OBRA!R181</f>
        <v>352278.81</v>
      </c>
      <c r="R182" s="4"/>
      <c r="S182" s="5">
        <f>OBRA!T181</f>
        <v>42653</v>
      </c>
      <c r="T182" s="11">
        <f>OBRA!U181</f>
        <v>42734</v>
      </c>
      <c r="U182" s="53"/>
      <c r="V182" s="377" t="s">
        <v>1428</v>
      </c>
      <c r="W182" s="459" t="s">
        <v>1818</v>
      </c>
      <c r="X182" s="460" t="s">
        <v>2260</v>
      </c>
      <c r="Y182" s="450">
        <f>OBRA!AR181</f>
        <v>35227.879999999997</v>
      </c>
      <c r="Z182" s="5"/>
      <c r="AA182" s="309"/>
      <c r="AB182" s="5"/>
      <c r="AC182" s="317">
        <f>OBRA!BW181</f>
        <v>0</v>
      </c>
      <c r="AD182" s="352" t="s">
        <v>551</v>
      </c>
    </row>
    <row r="183" spans="1:30" ht="72" hidden="1" customHeight="1">
      <c r="A183" s="22" t="s">
        <v>2206</v>
      </c>
      <c r="B183" s="809" t="str">
        <f>GRAL!B184</f>
        <v>2015-2018</v>
      </c>
      <c r="C183" s="16">
        <f>OBRA!J182</f>
        <v>2016</v>
      </c>
      <c r="D183" s="17" t="str">
        <f>OBRA!M182</f>
        <v>RAMO 33</v>
      </c>
      <c r="E183" s="481" t="s">
        <v>1428</v>
      </c>
      <c r="F183" s="496" t="s">
        <v>1821</v>
      </c>
      <c r="G183" s="458" t="s">
        <v>1823</v>
      </c>
      <c r="H183" s="459" t="s">
        <v>1822</v>
      </c>
      <c r="I183" s="54" t="str">
        <f>OBRA!W182</f>
        <v>ENERGIAS RENOVABLES DE LA RIVERA S.A. DE C.V</v>
      </c>
      <c r="J183" s="55" t="str">
        <f>OBRA!X182</f>
        <v>ING. RIGOBERTO OLMEDO RAMOS</v>
      </c>
      <c r="K183" s="33" t="str">
        <f>OBRA!N182</f>
        <v>GMJ 014C OP/2016</v>
      </c>
      <c r="L183" s="2" t="str">
        <f>OBRA!O182</f>
        <v>ADJUDICACIÓN DIRECTA</v>
      </c>
      <c r="M183" s="3" t="str">
        <f>OBRA!P182</f>
        <v>ELECTRIFICACIÓN DE MEDIA Y BAJA TENSIÓN EN LA CALLE BERNARDO QUINTANA DE ZAPOTITAN DE HIDALGO</v>
      </c>
      <c r="N183" s="464" t="s">
        <v>1820</v>
      </c>
      <c r="O183" s="464"/>
      <c r="P183" s="6">
        <f>OBRA!S182</f>
        <v>42650</v>
      </c>
      <c r="Q183" s="4">
        <f>OBRA!R182</f>
        <v>364293.06</v>
      </c>
      <c r="R183" s="4"/>
      <c r="S183" s="5">
        <f>OBRA!T182</f>
        <v>42653</v>
      </c>
      <c r="T183" s="11">
        <f>OBRA!U182</f>
        <v>42734</v>
      </c>
      <c r="U183" s="53"/>
      <c r="V183" s="377" t="s">
        <v>1428</v>
      </c>
      <c r="W183" s="459" t="s">
        <v>1824</v>
      </c>
      <c r="X183" s="460" t="s">
        <v>2261</v>
      </c>
      <c r="Y183" s="450">
        <f>OBRA!AR182</f>
        <v>72858.600000000006</v>
      </c>
      <c r="Z183" s="5"/>
      <c r="AA183" s="309"/>
      <c r="AB183" s="5"/>
      <c r="AC183" s="317">
        <f>OBRA!BW182</f>
        <v>0</v>
      </c>
      <c r="AD183" s="352" t="s">
        <v>551</v>
      </c>
    </row>
    <row r="184" spans="1:30" s="104" customFormat="1" ht="45" hidden="1" customHeight="1">
      <c r="A184" s="81" t="s">
        <v>2206</v>
      </c>
      <c r="B184" s="820" t="str">
        <f>GRAL!B185</f>
        <v>2012-2015</v>
      </c>
      <c r="C184" s="82">
        <f>OBRA!J183</f>
        <v>2016</v>
      </c>
      <c r="D184" s="83" t="str">
        <f>OBRA!M183</f>
        <v>3X1 PARA MIGRANTES</v>
      </c>
      <c r="E184" s="354"/>
      <c r="F184" s="822"/>
      <c r="G184" s="823"/>
      <c r="H184" s="824"/>
      <c r="I184" s="151" t="str">
        <f>OBRA!W183</f>
        <v>CANCELADA</v>
      </c>
      <c r="J184" s="152" t="str">
        <f>OBRA!X183</f>
        <v>ING. RIGOBERTO OLMEDO RAMOS</v>
      </c>
      <c r="K184" s="308" t="str">
        <f>OBRA!N183</f>
        <v>GMJ 015C OP/2016</v>
      </c>
      <c r="L184" s="186" t="str">
        <f>OBRA!O183</f>
        <v>CANCELADA</v>
      </c>
      <c r="M184" s="106" t="str">
        <f>OBRA!P183</f>
        <v>EMPEDRADO AHOGADO EN CEMENTO EN CALLE INSURGENTES PRIMERA ETAPA, ZAPOTITAN DE HIDALGO</v>
      </c>
      <c r="N184" s="125"/>
      <c r="O184" s="125"/>
      <c r="P184" s="87" t="str">
        <f>OBRA!S183</f>
        <v>-</v>
      </c>
      <c r="Q184" s="86">
        <f>OBRA!R183</f>
        <v>2426000</v>
      </c>
      <c r="R184" s="86"/>
      <c r="S184" s="88" t="str">
        <f>OBRA!T183</f>
        <v>-</v>
      </c>
      <c r="T184" s="89" t="str">
        <f>OBRA!U183</f>
        <v>-</v>
      </c>
      <c r="U184" s="91"/>
      <c r="V184" s="688" t="s">
        <v>1428</v>
      </c>
      <c r="W184" s="824"/>
      <c r="X184" s="825"/>
      <c r="Y184" s="826">
        <f>OBRA!AR183</f>
        <v>0</v>
      </c>
      <c r="Z184" s="311"/>
      <c r="AA184" s="311"/>
      <c r="AB184" s="88"/>
      <c r="AC184" s="467" t="str">
        <f>OBRA!BW183</f>
        <v>CANCELADO</v>
      </c>
      <c r="AD184" s="354"/>
    </row>
    <row r="185" spans="1:30" ht="120" hidden="1" customHeight="1">
      <c r="A185" s="22" t="s">
        <v>2206</v>
      </c>
      <c r="B185" s="809" t="str">
        <f>GRAL!B186</f>
        <v>2015-2018</v>
      </c>
      <c r="C185" s="16">
        <f>OBRA!J184</f>
        <v>2016</v>
      </c>
      <c r="D185" s="18" t="str">
        <f>OBRA!M184</f>
        <v xml:space="preserve">Fortalecimiento Financiero Para La Inversion </v>
      </c>
      <c r="E185" s="480"/>
      <c r="F185" s="358"/>
      <c r="G185" s="433"/>
      <c r="H185" s="358"/>
      <c r="I185" s="54" t="str">
        <f>OBRA!W184</f>
        <v>TAG SOLUCIONES INTEGRALES S.A DE C.V.</v>
      </c>
      <c r="J185" s="55" t="str">
        <f>OBRA!X184</f>
        <v>ING. J. GUADALUPE IBARRA RAMIREZ</v>
      </c>
      <c r="K185" s="33" t="str">
        <f>OBRA!N184</f>
        <v>GMJ 016C OP/2016</v>
      </c>
      <c r="L185" s="2" t="str">
        <f>OBRA!O184</f>
        <v>POR INVITACION RESTRINGIDA</v>
      </c>
      <c r="M185" s="3" t="str">
        <f>OBRA!P184</f>
        <v>CONSTRUCCIÓN DE LOZA DE PAVIMENTO CON CONCRETO HIDRAULICO INCLUYE RED DE AGUA POTABLE Y ALCANTARILLADO EN CALLE DEGOLLADO ORIENTE DE C. MATAMOROS A JOSEFA ORTÍZ DE DOMINGUEZ, EN LA CABECERA MUNICIPAL DE JOCOTEPEC, JALISCO</v>
      </c>
      <c r="N185" s="3"/>
      <c r="O185" s="3"/>
      <c r="P185" s="6">
        <f>OBRA!S184</f>
        <v>42683</v>
      </c>
      <c r="Q185" s="4">
        <f>OBRA!R184</f>
        <v>2439500.65</v>
      </c>
      <c r="R185" s="4"/>
      <c r="S185" s="5">
        <f>OBRA!T184</f>
        <v>42685</v>
      </c>
      <c r="T185" s="11">
        <f>OBRA!U184</f>
        <v>42735</v>
      </c>
      <c r="U185" s="53"/>
      <c r="V185" s="377" t="s">
        <v>1428</v>
      </c>
      <c r="W185" s="358"/>
      <c r="X185" s="361"/>
      <c r="Y185" s="450">
        <f>OBRA!AR184</f>
        <v>1097775.28</v>
      </c>
      <c r="Z185" s="309"/>
      <c r="AA185" s="309"/>
      <c r="AB185" s="5"/>
      <c r="AC185" s="317">
        <f>OBRA!BW184</f>
        <v>0</v>
      </c>
      <c r="AD185" s="352"/>
    </row>
    <row r="186" spans="1:30" ht="120" hidden="1" customHeight="1">
      <c r="A186" s="22" t="s">
        <v>2206</v>
      </c>
      <c r="B186" s="809" t="str">
        <f>GRAL!B187</f>
        <v>2015-2018</v>
      </c>
      <c r="C186" s="16">
        <f>OBRA!J185</f>
        <v>2016</v>
      </c>
      <c r="D186" s="18" t="str">
        <f>OBRA!M185</f>
        <v xml:space="preserve">Fortalecimiento Financiero Para La Inversion </v>
      </c>
      <c r="E186" s="481"/>
      <c r="F186" s="358"/>
      <c r="G186" s="433"/>
      <c r="H186" s="358"/>
      <c r="I186" s="54" t="str">
        <f>OBRA!W185</f>
        <v xml:space="preserve">GRUPO DESARROLLADOR INMOBILIARIO CEMERAMA S.A. DE C.V. </v>
      </c>
      <c r="J186" s="55" t="str">
        <f>OBRA!X185</f>
        <v xml:space="preserve">LIC. SALVADOR CONTRERAS </v>
      </c>
      <c r="K186" s="33" t="str">
        <f>OBRA!N185</f>
        <v>GMJ 017C OP/2016</v>
      </c>
      <c r="L186" s="2" t="str">
        <f>OBRA!O185</f>
        <v>POR INVITACION RESTRINGIDA</v>
      </c>
      <c r="M186" s="3" t="str">
        <f>OBRA!P185</f>
        <v>CONSTRUCCIÓN DE LOZA DE PAVIMENTO CON CONCRETO HIDRAULICO INCLUYE RED DE AGUA POTABLE Y ALCANTARILLADO EN CALLE DEGOLLADO ORIENTE DE C. NICOLAS BRAVO A MATAMORORS, EN LA CABECERA MUNICIPAL DE JOCOTEPEC, JALISCO</v>
      </c>
      <c r="N186" s="3"/>
      <c r="O186" s="3"/>
      <c r="P186" s="6">
        <f>OBRA!S185</f>
        <v>42622</v>
      </c>
      <c r="Q186" s="4">
        <f>OBRA!R185</f>
        <v>2623234.52</v>
      </c>
      <c r="R186" s="4"/>
      <c r="S186" s="5">
        <f>OBRA!T185</f>
        <v>42685</v>
      </c>
      <c r="T186" s="11">
        <f>OBRA!U185</f>
        <v>42735</v>
      </c>
      <c r="U186" s="53"/>
      <c r="V186" s="377" t="s">
        <v>1428</v>
      </c>
      <c r="W186" s="358"/>
      <c r="X186" s="361"/>
      <c r="Y186" s="450">
        <f>OBRA!AR185</f>
        <v>1180455.52</v>
      </c>
      <c r="Z186" s="309"/>
      <c r="AA186" s="309"/>
      <c r="AB186" s="5"/>
      <c r="AC186" s="317">
        <f>OBRA!BW185</f>
        <v>0</v>
      </c>
      <c r="AD186" s="352"/>
    </row>
    <row r="187" spans="1:30" ht="75" hidden="1" customHeight="1">
      <c r="A187" s="22" t="s">
        <v>2206</v>
      </c>
      <c r="B187" s="809" t="str">
        <f>GRAL!B188</f>
        <v>2015-2018</v>
      </c>
      <c r="C187" s="16">
        <f>OBRA!J186</f>
        <v>2016</v>
      </c>
      <c r="D187" s="17" t="str">
        <f>OBRA!M186</f>
        <v>SEDATU</v>
      </c>
      <c r="E187" s="481"/>
      <c r="F187" s="432"/>
      <c r="G187" s="433"/>
      <c r="H187" s="358"/>
      <c r="I187" s="54" t="str">
        <f>OBRA!W186</f>
        <v xml:space="preserve">GRUPO DESARROLLADOR INMOBILIARIO CEMERAMA S.A. DE C.V. </v>
      </c>
      <c r="J187" s="55" t="str">
        <f>OBRA!X186</f>
        <v xml:space="preserve">LIC. SALVADOR CONTRERAS </v>
      </c>
      <c r="K187" s="33" t="str">
        <f>OBRA!N186</f>
        <v>GMJ 018C OP/2016</v>
      </c>
      <c r="L187" s="2" t="str">
        <f>OBRA!O186</f>
        <v>POR INVITACION RESTRINGIDA</v>
      </c>
      <c r="M187" s="3" t="str">
        <f>OBRA!P186</f>
        <v>CONSTRUCCIÓN DE PLAZOLETA "EL CHANTE" MUNICIPIO DE JOCOTEPEC, JALISCO</v>
      </c>
      <c r="N187" s="3"/>
      <c r="O187" s="3"/>
      <c r="P187" s="6">
        <f>OBRA!S186</f>
        <v>42669</v>
      </c>
      <c r="Q187" s="4">
        <f>OBRA!R186</f>
        <v>2389400</v>
      </c>
      <c r="R187" s="4"/>
      <c r="S187" s="5">
        <f>OBRA!T186</f>
        <v>42671</v>
      </c>
      <c r="T187" s="11">
        <f>OBRA!U186</f>
        <v>42735</v>
      </c>
      <c r="U187" s="53"/>
      <c r="V187" s="377" t="s">
        <v>1428</v>
      </c>
      <c r="W187" s="358"/>
      <c r="X187" s="361"/>
      <c r="Y187" s="450">
        <f>OBRA!AR186</f>
        <v>1077480</v>
      </c>
      <c r="Z187" s="309"/>
      <c r="AA187" s="309"/>
      <c r="AB187" s="5"/>
      <c r="AC187" s="317">
        <f>OBRA!BW186</f>
        <v>0</v>
      </c>
      <c r="AD187" s="352"/>
    </row>
    <row r="188" spans="1:30" ht="93.75" hidden="1" customHeight="1">
      <c r="A188" s="22" t="s">
        <v>2206</v>
      </c>
      <c r="B188" s="809" t="str">
        <f>GRAL!B189</f>
        <v>2015-2018</v>
      </c>
      <c r="C188" s="16">
        <f>OBRA!J187</f>
        <v>2016</v>
      </c>
      <c r="D188" s="17" t="str">
        <f>OBRA!M187</f>
        <v>RAMO 33</v>
      </c>
      <c r="E188" s="481" t="s">
        <v>1428</v>
      </c>
      <c r="F188" s="459" t="s">
        <v>1846</v>
      </c>
      <c r="G188" s="458" t="s">
        <v>1848</v>
      </c>
      <c r="H188" s="459" t="s">
        <v>1847</v>
      </c>
      <c r="I188" s="54" t="str">
        <f>OBRA!W187</f>
        <v>CONSTRUCCIONES VIKBRAK, S.A. DE C.V.</v>
      </c>
      <c r="J188" s="55" t="str">
        <f>OBRA!X187</f>
        <v>LIC. SALVADOR CONTRERAS OLGUÍN</v>
      </c>
      <c r="K188" s="33" t="str">
        <f>OBRA!N187</f>
        <v>GMJ 019C OP/2016</v>
      </c>
      <c r="L188" s="2" t="str">
        <f>OBRA!O187</f>
        <v>ADJUDICACIÓN DIRECTA</v>
      </c>
      <c r="M188" s="3" t="str">
        <f>OBRA!P187</f>
        <v>CONSTRUCCIÓN DE EMPEDRADO AHOGADO EN CEMENTO EN LA CALLE ANIMA SOLA DE LA CABECERA MUNICIPAL DE JOCOTEPEC, JALISCO</v>
      </c>
      <c r="N188" s="464" t="s">
        <v>1845</v>
      </c>
      <c r="O188" s="464"/>
      <c r="P188" s="6">
        <f>OBRA!S187</f>
        <v>42677</v>
      </c>
      <c r="Q188" s="4">
        <f>OBRA!R187</f>
        <v>196802.42</v>
      </c>
      <c r="R188" s="4"/>
      <c r="S188" s="5">
        <f>OBRA!T187</f>
        <v>42681</v>
      </c>
      <c r="T188" s="11">
        <f>OBRA!U187</f>
        <v>42735</v>
      </c>
      <c r="U188" s="53"/>
      <c r="V188" s="377" t="s">
        <v>1428</v>
      </c>
      <c r="W188" s="459" t="s">
        <v>1849</v>
      </c>
      <c r="X188" s="614" t="s">
        <v>2262</v>
      </c>
      <c r="Y188" s="681">
        <f>OBRA!AR187</f>
        <v>19640.96</v>
      </c>
      <c r="Z188" s="5"/>
      <c r="AA188" s="309"/>
      <c r="AB188" s="5"/>
      <c r="AC188" s="317">
        <f>OBRA!BW187</f>
        <v>0</v>
      </c>
      <c r="AD188" s="352" t="s">
        <v>2253</v>
      </c>
    </row>
    <row r="189" spans="1:30" ht="97.5" hidden="1" customHeight="1">
      <c r="A189" s="22" t="s">
        <v>2206</v>
      </c>
      <c r="B189" s="809" t="str">
        <f>GRAL!B190</f>
        <v>2015-2018</v>
      </c>
      <c r="C189" s="16">
        <f>OBRA!J188</f>
        <v>2016</v>
      </c>
      <c r="D189" s="17" t="str">
        <f>OBRA!M188</f>
        <v>RAMO 33</v>
      </c>
      <c r="E189" s="481" t="s">
        <v>1428</v>
      </c>
      <c r="F189" s="494" t="s">
        <v>1851</v>
      </c>
      <c r="G189" s="433" t="s">
        <v>1853</v>
      </c>
      <c r="H189" s="358" t="s">
        <v>1852</v>
      </c>
      <c r="I189" s="54" t="str">
        <f>OBRA!W188</f>
        <v>LIC. CARLOS MANUEL PELAYO CERVERA</v>
      </c>
      <c r="J189" s="55" t="str">
        <f>OBRA!X188</f>
        <v>LIC. SALVADOR CONTRERAS OLGUÍN</v>
      </c>
      <c r="K189" s="33" t="str">
        <f>OBRA!N188</f>
        <v>GMJ 020C OP/2016</v>
      </c>
      <c r="L189" s="2" t="str">
        <f>OBRA!O188</f>
        <v>ADJUDICACIÓN DIRECTA</v>
      </c>
      <c r="M189" s="3" t="str">
        <f>OBRA!P188</f>
        <v>REEMPEDRADO AHOGADO EN CEMENTO CALLE 16 DE SEPTIEMBRE ENTRE CALLES MORELOS Y 20 DE NOVIEMBRE EN LA DELEGACIÓN DE ZAPOTITAN DE HIDALGO</v>
      </c>
      <c r="N189" s="464" t="s">
        <v>1850</v>
      </c>
      <c r="O189" s="464"/>
      <c r="P189" s="6">
        <f>OBRA!S188</f>
        <v>42677</v>
      </c>
      <c r="Q189" s="4">
        <f>OBRA!R188</f>
        <v>523396.29</v>
      </c>
      <c r="R189" s="4"/>
      <c r="S189" s="5">
        <f>OBRA!T188</f>
        <v>42678</v>
      </c>
      <c r="T189" s="11">
        <f>OBRA!U188</f>
        <v>42735</v>
      </c>
      <c r="U189" s="53"/>
      <c r="V189" s="377" t="s">
        <v>1428</v>
      </c>
      <c r="W189" s="502" t="s">
        <v>1854</v>
      </c>
      <c r="X189" s="361" t="s">
        <v>2263</v>
      </c>
      <c r="Y189" s="450">
        <f>OBRA!AR188</f>
        <v>104679.26</v>
      </c>
      <c r="Z189" s="5"/>
      <c r="AA189" s="309"/>
      <c r="AB189" s="5"/>
      <c r="AC189" s="317">
        <f>OBRA!BW188</f>
        <v>0</v>
      </c>
      <c r="AD189" s="352" t="s">
        <v>551</v>
      </c>
    </row>
    <row r="190" spans="1:30" ht="129.75" hidden="1" customHeight="1">
      <c r="A190" s="22" t="s">
        <v>2206</v>
      </c>
      <c r="B190" s="809" t="str">
        <f>GRAL!B191</f>
        <v>2015-2018</v>
      </c>
      <c r="C190" s="16">
        <f>OBRA!J189</f>
        <v>2016</v>
      </c>
      <c r="D190" s="18" t="str">
        <f>OBRA!M189</f>
        <v xml:space="preserve">Fortalecimiento Financiero Para La Inversion </v>
      </c>
      <c r="E190" s="358" t="s">
        <v>1702</v>
      </c>
      <c r="F190" s="549" t="s">
        <v>1856</v>
      </c>
      <c r="G190" s="458" t="s">
        <v>1858</v>
      </c>
      <c r="H190" s="459" t="s">
        <v>1857</v>
      </c>
      <c r="I190" s="54" t="str">
        <f>OBRA!W189</f>
        <v>ENERGIAS RENOVABLES DE LA RIVERA S.A. DE C.V</v>
      </c>
      <c r="J190" s="55" t="str">
        <f>OBRA!X189</f>
        <v>ING. J. GUADALUPE IBARRA RAMIREZ</v>
      </c>
      <c r="K190" s="33" t="str">
        <f>OBRA!N189</f>
        <v>GMJ 021C OP/2016</v>
      </c>
      <c r="L190" s="2" t="str">
        <f>OBRA!O189</f>
        <v>ADJUDICACIÓN DIRECTA</v>
      </c>
      <c r="M190" s="3" t="str">
        <f>OBRA!P189</f>
        <v>CONSTRUCCIÓN DE ALUMBRADO PÚBLICO EN CALLE DEGOLLADO ENTRE C. JOSEFA ORTÍZ DE DOMINGUEZ Y NICOLAS BRAVO, EN LA CABECERA MUNICIPAL EN EL MUNICIPIO DE JOCOTEPEC, JALISCO</v>
      </c>
      <c r="N190" s="464" t="s">
        <v>1855</v>
      </c>
      <c r="O190" s="464"/>
      <c r="P190" s="6">
        <f>OBRA!S189</f>
        <v>42688</v>
      </c>
      <c r="Q190" s="4">
        <f>OBRA!R189</f>
        <v>577695.28</v>
      </c>
      <c r="R190" s="4"/>
      <c r="S190" s="5">
        <f>OBRA!T189</f>
        <v>42689</v>
      </c>
      <c r="T190" s="11">
        <f>OBRA!U189</f>
        <v>42734</v>
      </c>
      <c r="U190" s="53"/>
      <c r="V190" s="377" t="s">
        <v>1428</v>
      </c>
      <c r="W190" s="502" t="s">
        <v>1859</v>
      </c>
      <c r="X190" s="460" t="s">
        <v>2264</v>
      </c>
      <c r="Y190" s="450">
        <f>OBRA!AR189</f>
        <v>115539.04</v>
      </c>
      <c r="Z190" s="5"/>
      <c r="AA190" s="309"/>
      <c r="AB190" s="5"/>
      <c r="AC190" s="317">
        <f>OBRA!BW189</f>
        <v>0</v>
      </c>
      <c r="AD190" s="352" t="s">
        <v>551</v>
      </c>
    </row>
    <row r="191" spans="1:30" s="104" customFormat="1" ht="26.25" hidden="1" customHeight="1">
      <c r="A191" s="81" t="s">
        <v>2206</v>
      </c>
      <c r="B191" s="820" t="str">
        <f>GRAL!B192</f>
        <v>2012-2015</v>
      </c>
      <c r="C191" s="82">
        <f>OBRA!J190</f>
        <v>2016</v>
      </c>
      <c r="D191" s="97">
        <f>OBRA!M190</f>
        <v>0</v>
      </c>
      <c r="E191" s="102"/>
      <c r="F191" s="824"/>
      <c r="G191" s="823"/>
      <c r="H191" s="824"/>
      <c r="I191" s="151">
        <f>OBRA!W190</f>
        <v>0</v>
      </c>
      <c r="J191" s="152">
        <f>OBRA!X190</f>
        <v>0</v>
      </c>
      <c r="K191" s="308" t="str">
        <f>OBRA!N190</f>
        <v>GMJ 022C OP/2016</v>
      </c>
      <c r="L191" s="186" t="str">
        <f>OBRA!O190</f>
        <v>CANCELADA</v>
      </c>
      <c r="M191" s="106" t="str">
        <f>OBRA!P190</f>
        <v>CANCELADO</v>
      </c>
      <c r="N191" s="125"/>
      <c r="O191" s="125"/>
      <c r="P191" s="87">
        <f>OBRA!S190</f>
        <v>0</v>
      </c>
      <c r="Q191" s="86">
        <f>OBRA!R190</f>
        <v>0</v>
      </c>
      <c r="R191" s="86"/>
      <c r="S191" s="88">
        <f>OBRA!T190</f>
        <v>0</v>
      </c>
      <c r="T191" s="89">
        <f>OBRA!U190</f>
        <v>0</v>
      </c>
      <c r="U191" s="91"/>
      <c r="V191" s="688" t="s">
        <v>1428</v>
      </c>
      <c r="W191" s="824"/>
      <c r="X191" s="825"/>
      <c r="Y191" s="826">
        <f>OBRA!AR190</f>
        <v>0</v>
      </c>
      <c r="Z191" s="311"/>
      <c r="AA191" s="311"/>
      <c r="AB191" s="88"/>
      <c r="AC191" s="467">
        <f>OBRA!BW190</f>
        <v>0</v>
      </c>
      <c r="AD191" s="354"/>
    </row>
    <row r="192" spans="1:30" s="104" customFormat="1" ht="26.25" hidden="1" customHeight="1">
      <c r="A192" s="81" t="s">
        <v>2206</v>
      </c>
      <c r="B192" s="820" t="str">
        <f>GRAL!B193</f>
        <v>2012-2015</v>
      </c>
      <c r="C192" s="82">
        <f>OBRA!J191</f>
        <v>2016</v>
      </c>
      <c r="D192" s="97">
        <f>OBRA!M191</f>
        <v>0</v>
      </c>
      <c r="E192" s="479"/>
      <c r="F192" s="824"/>
      <c r="G192" s="823"/>
      <c r="H192" s="824"/>
      <c r="I192" s="151">
        <f>OBRA!W191</f>
        <v>0</v>
      </c>
      <c r="J192" s="152">
        <f>OBRA!X191</f>
        <v>0</v>
      </c>
      <c r="K192" s="308" t="str">
        <f>OBRA!N191</f>
        <v>GMJ 023C OP/2016</v>
      </c>
      <c r="L192" s="186" t="str">
        <f>OBRA!O191</f>
        <v>CANCELADA</v>
      </c>
      <c r="M192" s="106" t="str">
        <f>OBRA!P191</f>
        <v>CANCELADO</v>
      </c>
      <c r="N192" s="125"/>
      <c r="O192" s="125"/>
      <c r="P192" s="87">
        <f>OBRA!S191</f>
        <v>0</v>
      </c>
      <c r="Q192" s="86">
        <f>OBRA!R191</f>
        <v>0</v>
      </c>
      <c r="R192" s="86"/>
      <c r="S192" s="88">
        <f>OBRA!T191</f>
        <v>0</v>
      </c>
      <c r="T192" s="89">
        <f>OBRA!U191</f>
        <v>0</v>
      </c>
      <c r="U192" s="91"/>
      <c r="V192" s="688" t="s">
        <v>1428</v>
      </c>
      <c r="W192" s="824"/>
      <c r="X192" s="825"/>
      <c r="Y192" s="826">
        <f>OBRA!AR191</f>
        <v>0</v>
      </c>
      <c r="Z192" s="311"/>
      <c r="AA192" s="311"/>
      <c r="AB192" s="88"/>
      <c r="AC192" s="467">
        <f>OBRA!BW191</f>
        <v>0</v>
      </c>
      <c r="AD192" s="354"/>
    </row>
    <row r="193" spans="1:30" ht="60" hidden="1" customHeight="1">
      <c r="A193" s="22" t="s">
        <v>2206</v>
      </c>
      <c r="B193" s="809" t="str">
        <f>GRAL!B194</f>
        <v>2015-2018</v>
      </c>
      <c r="C193" s="16">
        <f>OBRA!J192</f>
        <v>2016</v>
      </c>
      <c r="D193" s="17" t="str">
        <f>OBRA!M192</f>
        <v>RAMO 33</v>
      </c>
      <c r="E193" s="478" t="s">
        <v>1428</v>
      </c>
      <c r="F193" s="358"/>
      <c r="G193" s="433"/>
      <c r="H193" s="358"/>
      <c r="I193" s="54" t="str">
        <f>OBRA!W192</f>
        <v>ING. GEOLOGO: J. TRINIDAD NUÑEZ BRITO</v>
      </c>
      <c r="J193" s="55" t="str">
        <f>OBRA!X192</f>
        <v>ING. RIGOBERTO OLMEDO RAMOS</v>
      </c>
      <c r="K193" s="33" t="str">
        <f>OBRA!N192</f>
        <v>GMJ 024C OP/2016</v>
      </c>
      <c r="L193" s="2" t="str">
        <f>OBRA!O192</f>
        <v>POR INVITACION RESTRINGIDA</v>
      </c>
      <c r="M193" s="3" t="str">
        <f>OBRA!P192</f>
        <v>CONSTRUCCIÓN Y AFORO DE POZO PROFUNDO EN LA CALLE JUAREZ, LOCALIDAD DE CHANTEPEC, MUNICIPIO DE JOCOTEPEC, JALISCO</v>
      </c>
      <c r="N193" s="3"/>
      <c r="O193" s="3"/>
      <c r="P193" s="6">
        <f>OBRA!S192</f>
        <v>42720</v>
      </c>
      <c r="Q193" s="4">
        <f>OBRA!R192</f>
        <v>1630380</v>
      </c>
      <c r="R193" s="4"/>
      <c r="S193" s="5">
        <f>OBRA!T192</f>
        <v>42720</v>
      </c>
      <c r="T193" s="11">
        <f>OBRA!U192</f>
        <v>42794</v>
      </c>
      <c r="U193" s="53"/>
      <c r="V193" s="377" t="s">
        <v>1428</v>
      </c>
      <c r="W193" s="358"/>
      <c r="X193" s="361"/>
      <c r="Y193" s="450">
        <f>OBRA!AR192</f>
        <v>733671</v>
      </c>
      <c r="Z193" s="309"/>
      <c r="AA193" s="309"/>
      <c r="AB193" s="5"/>
      <c r="AC193" s="317">
        <f>OBRA!BW192</f>
        <v>0</v>
      </c>
      <c r="AD193" s="352"/>
    </row>
    <row r="194" spans="1:30" ht="60" hidden="1" customHeight="1">
      <c r="A194" s="22" t="s">
        <v>2206</v>
      </c>
      <c r="B194" s="809" t="str">
        <f>GRAL!B195</f>
        <v>2015-2018</v>
      </c>
      <c r="C194" s="16">
        <f>OBRA!J193</f>
        <v>-2016</v>
      </c>
      <c r="D194" s="17" t="str">
        <f>OBRA!M193</f>
        <v>FOREMODA</v>
      </c>
      <c r="E194" s="478"/>
      <c r="F194" s="358"/>
      <c r="G194" s="433"/>
      <c r="H194" s="358"/>
      <c r="I194" s="54" t="str">
        <f>OBRA!W193</f>
        <v>ARQ. LUIS MIGUEL ARGUELLES ALCALÁ</v>
      </c>
      <c r="J194" s="55" t="str">
        <f>OBRA!X193</f>
        <v>ARQ. FRANCISCO SALAZAR</v>
      </c>
      <c r="K194" s="33" t="str">
        <f>OBRA!N193</f>
        <v>GMJ 025C OP/2016</v>
      </c>
      <c r="L194" s="2" t="str">
        <f>OBRA!O193</f>
        <v>POR INVITACION RESTRINGIDA</v>
      </c>
      <c r="M194" s="3" t="str">
        <f>OBRA!P193</f>
        <v>RESTAURACIÓN DE LA PARROQUIA DEL SEÑOR DEL MONTE EN JOCOTEPEC, JALISCO</v>
      </c>
      <c r="N194" s="3"/>
      <c r="O194" s="3"/>
      <c r="P194" s="6">
        <f>OBRA!S193</f>
        <v>42779</v>
      </c>
      <c r="Q194" s="4">
        <f>OBRA!R193</f>
        <v>1800000</v>
      </c>
      <c r="R194" s="4"/>
      <c r="S194" s="5">
        <f>OBRA!T193</f>
        <v>42779</v>
      </c>
      <c r="T194" s="11">
        <f>OBRA!U193</f>
        <v>43039</v>
      </c>
      <c r="U194" s="53"/>
      <c r="V194" s="377" t="s">
        <v>1428</v>
      </c>
      <c r="W194" s="358"/>
      <c r="X194" s="361"/>
      <c r="Y194" s="450">
        <f>OBRA!AR193</f>
        <v>360000</v>
      </c>
      <c r="Z194" s="309"/>
      <c r="AA194" s="309"/>
      <c r="AB194" s="5"/>
      <c r="AC194" s="317">
        <f>OBRA!BW193</f>
        <v>0</v>
      </c>
      <c r="AD194" s="352"/>
    </row>
    <row r="195" spans="1:30" ht="90" hidden="1" customHeight="1">
      <c r="A195" s="22" t="s">
        <v>2206</v>
      </c>
      <c r="B195" s="809" t="str">
        <f>GRAL!B196</f>
        <v>2015-2018</v>
      </c>
      <c r="C195" s="16">
        <f>OBRA!J194</f>
        <v>2016</v>
      </c>
      <c r="D195" s="17" t="str">
        <f>OBRA!M194</f>
        <v>FONDEREG</v>
      </c>
      <c r="E195" s="13"/>
      <c r="F195" s="358"/>
      <c r="G195" s="433"/>
      <c r="H195" s="358"/>
      <c r="I195" s="54" t="str">
        <f>OBRA!W194</f>
        <v>-</v>
      </c>
      <c r="J195" s="55" t="str">
        <f>OBRA!X194</f>
        <v>-</v>
      </c>
      <c r="K195" s="33" t="str">
        <f>OBRA!N194</f>
        <v>FONDEREG 2016/05 Sureste/121</v>
      </c>
      <c r="L195" s="2" t="str">
        <f>OBRA!O194</f>
        <v>CONVENIO</v>
      </c>
      <c r="M195" s="3" t="str">
        <f>OBRA!P194</f>
        <v>REHABILITACIÓN DE LINEAS HIDROSANITARIAS, EMPEDRADO ECOLOGICO CON HUELLAS DE CONCRETO HIDRAULICO EN LA CALLE ZARAGOZA DE LA LOCALIDAD DE SAN CRISTOBAL DE ZAPOTITLAN</v>
      </c>
      <c r="N195" s="3"/>
      <c r="O195" s="3"/>
      <c r="P195" s="6">
        <f>OBRA!S194</f>
        <v>42566</v>
      </c>
      <c r="Q195" s="4">
        <f>OBRA!R194</f>
        <v>2000000</v>
      </c>
      <c r="R195" s="4"/>
      <c r="S195" s="5" t="str">
        <f>OBRA!T194</f>
        <v>-</v>
      </c>
      <c r="T195" s="11" t="str">
        <f>OBRA!U194</f>
        <v>-</v>
      </c>
      <c r="U195" s="53"/>
      <c r="V195" s="377" t="s">
        <v>1428</v>
      </c>
      <c r="W195" s="358"/>
      <c r="X195" s="361"/>
      <c r="Y195" s="450">
        <f>OBRA!AR194</f>
        <v>0</v>
      </c>
      <c r="Z195" s="309"/>
      <c r="AA195" s="309"/>
      <c r="AB195" s="5"/>
      <c r="AC195" s="317">
        <f>OBRA!BW194</f>
        <v>0</v>
      </c>
      <c r="AD195" s="352"/>
    </row>
    <row r="196" spans="1:30" ht="45" hidden="1" customHeight="1">
      <c r="A196" s="22" t="s">
        <v>2206</v>
      </c>
      <c r="B196" s="809" t="str">
        <f>GRAL!B197</f>
        <v>2015-2018</v>
      </c>
      <c r="C196" s="16">
        <f>OBRA!J195</f>
        <v>2016</v>
      </c>
      <c r="D196" s="18" t="str">
        <f>OBRA!M195</f>
        <v xml:space="preserve">FONDO PARA EL FORTALECIMIENTO </v>
      </c>
      <c r="E196" s="478"/>
      <c r="F196" s="358"/>
      <c r="G196" s="433"/>
      <c r="H196" s="358"/>
      <c r="I196" s="54" t="str">
        <f>OBRA!W195</f>
        <v>-</v>
      </c>
      <c r="J196" s="55" t="str">
        <f>OBRA!X195</f>
        <v>-</v>
      </c>
      <c r="K196" s="33" t="str">
        <f>OBRA!N195</f>
        <v>FONDO PARA EL FORTALECIMIENTO 2016 "B"</v>
      </c>
      <c r="L196" s="2" t="str">
        <f>OBRA!O195</f>
        <v>CONVENIO</v>
      </c>
      <c r="M196" s="3" t="str">
        <f>OBRA!P195</f>
        <v>-</v>
      </c>
      <c r="N196" s="3"/>
      <c r="O196" s="3"/>
      <c r="P196" s="6">
        <f>OBRA!S195</f>
        <v>42614</v>
      </c>
      <c r="Q196" s="4">
        <f>OBRA!R195</f>
        <v>10000000</v>
      </c>
      <c r="R196" s="4"/>
      <c r="S196" s="5" t="str">
        <f>OBRA!T195</f>
        <v>-</v>
      </c>
      <c r="T196" s="11" t="str">
        <f>OBRA!U195</f>
        <v>-</v>
      </c>
      <c r="U196" s="53"/>
      <c r="V196" s="377" t="s">
        <v>1428</v>
      </c>
      <c r="W196" s="358"/>
      <c r="X196" s="361"/>
      <c r="Y196" s="450">
        <f>OBRA!AR195</f>
        <v>0</v>
      </c>
      <c r="Z196" s="309"/>
      <c r="AA196" s="309"/>
      <c r="AB196" s="5"/>
      <c r="AC196" s="317">
        <f>OBRA!BW195</f>
        <v>0</v>
      </c>
      <c r="AD196" s="352"/>
    </row>
    <row r="197" spans="1:30" ht="30" hidden="1" customHeight="1">
      <c r="A197" s="22" t="s">
        <v>2206</v>
      </c>
      <c r="B197" s="809" t="str">
        <f>GRAL!B198</f>
        <v>2015-2018</v>
      </c>
      <c r="C197" s="16">
        <f>OBRA!J196</f>
        <v>2016</v>
      </c>
      <c r="D197" s="18" t="str">
        <f>OBRA!M196</f>
        <v>3X1 PARA MIGRANTES</v>
      </c>
      <c r="E197" s="478"/>
      <c r="F197" s="358"/>
      <c r="G197" s="433"/>
      <c r="H197" s="358"/>
      <c r="I197" s="54" t="str">
        <f>OBRA!W196</f>
        <v>-</v>
      </c>
      <c r="J197" s="55" t="str">
        <f>OBRA!X196</f>
        <v>-</v>
      </c>
      <c r="K197" s="33" t="str">
        <f>OBRA!N196</f>
        <v>P3X1-14-PIS-0563-16</v>
      </c>
      <c r="L197" s="2" t="str">
        <f>OBRA!O196</f>
        <v>CONVENIO</v>
      </c>
      <c r="M197" s="3" t="str">
        <f>OBRA!P196</f>
        <v>COLOCACIÓN DE ADOQUIN EN CALLE PRIVADA CAMICHINES</v>
      </c>
      <c r="N197" s="3"/>
      <c r="O197" s="3"/>
      <c r="P197" s="6">
        <f>OBRA!S196</f>
        <v>42583</v>
      </c>
      <c r="Q197" s="4">
        <f>OBRA!R196</f>
        <v>456248</v>
      </c>
      <c r="R197" s="4"/>
      <c r="S197" s="5" t="str">
        <f>OBRA!T196</f>
        <v>-</v>
      </c>
      <c r="T197" s="11" t="str">
        <f>OBRA!U196</f>
        <v>-</v>
      </c>
      <c r="U197" s="53"/>
      <c r="V197" s="377" t="s">
        <v>1428</v>
      </c>
      <c r="W197" s="358"/>
      <c r="X197" s="361"/>
      <c r="Y197" s="450">
        <f>OBRA!AR196</f>
        <v>0</v>
      </c>
      <c r="Z197" s="309"/>
      <c r="AA197" s="309"/>
      <c r="AB197" s="5"/>
      <c r="AC197" s="317">
        <f>OBRA!BW196</f>
        <v>0</v>
      </c>
      <c r="AD197" s="352"/>
    </row>
    <row r="198" spans="1:30" ht="75" hidden="1" customHeight="1">
      <c r="A198" s="22" t="s">
        <v>2206</v>
      </c>
      <c r="B198" s="809" t="str">
        <f>GRAL!B199</f>
        <v>2015-2018</v>
      </c>
      <c r="C198" s="16">
        <f>OBRA!J197</f>
        <v>2016</v>
      </c>
      <c r="D198" s="18" t="str">
        <f>OBRA!M197</f>
        <v>3X1 PARA MIGRANTES</v>
      </c>
      <c r="E198" s="478"/>
      <c r="F198" s="358"/>
      <c r="G198" s="433"/>
      <c r="H198" s="358"/>
      <c r="I198" s="54" t="str">
        <f>OBRA!W197</f>
        <v>-</v>
      </c>
      <c r="J198" s="55" t="str">
        <f>OBRA!X197</f>
        <v>-</v>
      </c>
      <c r="K198" s="33" t="str">
        <f>OBRA!N197</f>
        <v>P3X1-14-PIS-0521-16</v>
      </c>
      <c r="L198" s="2" t="str">
        <f>OBRA!O197</f>
        <v>CONVENIO</v>
      </c>
      <c r="M198" s="3" t="str">
        <f>OBRA!P197</f>
        <v>REHABILITACION DE RED DE AGUA POTABLE EN CALLE GUADALUPE VICTORIA ENTRE HIDALGO Y ZONA FEDERAL DEL LAGO, EN LA LOCALIDAD DE SAN PEDRO TESISTAN</v>
      </c>
      <c r="N198" s="3"/>
      <c r="O198" s="3"/>
      <c r="P198" s="6">
        <f>OBRA!S197</f>
        <v>42583</v>
      </c>
      <c r="Q198" s="4">
        <f>OBRA!R197</f>
        <v>245400</v>
      </c>
      <c r="R198" s="4"/>
      <c r="S198" s="5" t="str">
        <f>OBRA!T197</f>
        <v>-</v>
      </c>
      <c r="T198" s="11" t="str">
        <f>OBRA!U197</f>
        <v>-</v>
      </c>
      <c r="U198" s="53"/>
      <c r="V198" s="377" t="s">
        <v>1428</v>
      </c>
      <c r="W198" s="358"/>
      <c r="X198" s="361"/>
      <c r="Y198" s="450">
        <f>OBRA!AR197</f>
        <v>0</v>
      </c>
      <c r="Z198" s="309"/>
      <c r="AA198" s="309"/>
      <c r="AB198" s="5"/>
      <c r="AC198" s="317">
        <f>OBRA!BW197</f>
        <v>0</v>
      </c>
      <c r="AD198" s="352"/>
    </row>
    <row r="199" spans="1:30" ht="75" hidden="1" customHeight="1">
      <c r="A199" s="22" t="s">
        <v>2206</v>
      </c>
      <c r="B199" s="809" t="str">
        <f>GRAL!B200</f>
        <v>2015-2018</v>
      </c>
      <c r="C199" s="16">
        <f>OBRA!J198</f>
        <v>2016</v>
      </c>
      <c r="D199" s="18" t="str">
        <f>OBRA!M198</f>
        <v>3X1 PARA MIGRANTES</v>
      </c>
      <c r="E199" s="478"/>
      <c r="F199" s="358"/>
      <c r="G199" s="433"/>
      <c r="H199" s="358"/>
      <c r="I199" s="54" t="str">
        <f>OBRA!W198</f>
        <v>-</v>
      </c>
      <c r="J199" s="55" t="str">
        <f>OBRA!X198</f>
        <v>-</v>
      </c>
      <c r="K199" s="33" t="str">
        <f>OBRA!N198</f>
        <v>P3X1-14-PIS-0559-16</v>
      </c>
      <c r="L199" s="2" t="str">
        <f>OBRA!O198</f>
        <v>CONVENIO</v>
      </c>
      <c r="M199" s="3" t="str">
        <f>OBRA!P198</f>
        <v>REHABILITACION DE RED DE AGUA POTABLE EN CALLE RAMON CORONA DESDE PINO SUAREZ HASTA ZONA FEDERAL DEL LAGO, EN LA LOCALIDAD DE SAN PEDRO TESISTAN</v>
      </c>
      <c r="N199" s="3"/>
      <c r="O199" s="3"/>
      <c r="P199" s="6">
        <f>OBRA!S198</f>
        <v>42583</v>
      </c>
      <c r="Q199" s="4">
        <f>OBRA!R198</f>
        <v>100336</v>
      </c>
      <c r="R199" s="4"/>
      <c r="S199" s="5" t="str">
        <f>OBRA!T198</f>
        <v>-</v>
      </c>
      <c r="T199" s="11" t="str">
        <f>OBRA!U198</f>
        <v>-</v>
      </c>
      <c r="U199" s="53"/>
      <c r="V199" s="377" t="s">
        <v>1428</v>
      </c>
      <c r="W199" s="358"/>
      <c r="X199" s="361"/>
      <c r="Y199" s="450">
        <f>OBRA!AR198</f>
        <v>0</v>
      </c>
      <c r="Z199" s="309"/>
      <c r="AA199" s="309"/>
      <c r="AB199" s="5"/>
      <c r="AC199" s="317">
        <f>OBRA!BW198</f>
        <v>0</v>
      </c>
      <c r="AD199" s="352"/>
    </row>
    <row r="200" spans="1:30" ht="75" hidden="1" customHeight="1">
      <c r="A200" s="22" t="s">
        <v>2206</v>
      </c>
      <c r="B200" s="809" t="str">
        <f>GRAL!B201</f>
        <v>2015-2018</v>
      </c>
      <c r="C200" s="16">
        <f>OBRA!J199</f>
        <v>2016</v>
      </c>
      <c r="D200" s="18" t="str">
        <f>OBRA!M199</f>
        <v>3X1 PARA MIGRANTES</v>
      </c>
      <c r="E200" s="478"/>
      <c r="F200" s="358"/>
      <c r="G200" s="433"/>
      <c r="H200" s="358"/>
      <c r="I200" s="54" t="str">
        <f>OBRA!W199</f>
        <v>-</v>
      </c>
      <c r="J200" s="55" t="str">
        <f>OBRA!X199</f>
        <v>-</v>
      </c>
      <c r="K200" s="33" t="str">
        <f>OBRA!N199</f>
        <v>P3X1-14-PIS-0564-16</v>
      </c>
      <c r="L200" s="2" t="str">
        <f>OBRA!O199</f>
        <v>CONVENIO</v>
      </c>
      <c r="M200" s="3" t="str">
        <f>OBRA!P199</f>
        <v xml:space="preserve">REHABILITACION DE RED DE DRENAJE EN CALLE GUADALUPE VICTORIA DESDE HIDALGO HASTA ZONA FEDERAL DEL LAGO, EN LA LOCALIDAD DE SAN PEDRO TESISTAN </v>
      </c>
      <c r="N200" s="3"/>
      <c r="O200" s="3"/>
      <c r="P200" s="6">
        <f>OBRA!S199</f>
        <v>42583</v>
      </c>
      <c r="Q200" s="4">
        <f>OBRA!R199</f>
        <v>214516</v>
      </c>
      <c r="R200" s="4"/>
      <c r="S200" s="5" t="str">
        <f>OBRA!T199</f>
        <v>-</v>
      </c>
      <c r="T200" s="11" t="str">
        <f>OBRA!U199</f>
        <v>-</v>
      </c>
      <c r="U200" s="53"/>
      <c r="V200" s="377" t="s">
        <v>1428</v>
      </c>
      <c r="W200" s="358"/>
      <c r="X200" s="361"/>
      <c r="Y200" s="450">
        <f>OBRA!AR199</f>
        <v>0</v>
      </c>
      <c r="Z200" s="309"/>
      <c r="AA200" s="309"/>
      <c r="AB200" s="5"/>
      <c r="AC200" s="317">
        <f>OBRA!BW199</f>
        <v>0</v>
      </c>
      <c r="AD200" s="352"/>
    </row>
    <row r="201" spans="1:30" ht="60" hidden="1" customHeight="1">
      <c r="A201" s="22" t="s">
        <v>2206</v>
      </c>
      <c r="B201" s="809" t="str">
        <f>GRAL!B202</f>
        <v>2015-2018</v>
      </c>
      <c r="C201" s="16">
        <f>OBRA!J200</f>
        <v>2016</v>
      </c>
      <c r="D201" s="18" t="str">
        <f>OBRA!M200</f>
        <v>3X1 PARA MIGRANTES</v>
      </c>
      <c r="E201" s="478"/>
      <c r="F201" s="358"/>
      <c r="G201" s="433"/>
      <c r="H201" s="358"/>
      <c r="I201" s="54" t="str">
        <f>OBRA!W200</f>
        <v>-</v>
      </c>
      <c r="J201" s="55" t="str">
        <f>OBRA!X200</f>
        <v>-</v>
      </c>
      <c r="K201" s="33" t="str">
        <f>OBRA!N200</f>
        <v>P3X1-14-PIS-0562-16</v>
      </c>
      <c r="L201" s="2" t="str">
        <f>OBRA!O200</f>
        <v>CONVENIO</v>
      </c>
      <c r="M201" s="3" t="str">
        <f>OBRA!P200</f>
        <v>CONSTRUCCION DE DRENAJE PLUVIAL EN CALLE PRIVADA CAMICHINES EN LA LOCALIDAD DE JOCOTEPEC DEL MUNICIPIO JOCOTEPEC, JALISCO</v>
      </c>
      <c r="N201" s="3"/>
      <c r="O201" s="3"/>
      <c r="P201" s="6">
        <f>OBRA!S200</f>
        <v>42583</v>
      </c>
      <c r="Q201" s="4">
        <f>OBRA!R200</f>
        <v>233400</v>
      </c>
      <c r="R201" s="4"/>
      <c r="S201" s="5" t="str">
        <f>OBRA!T200</f>
        <v>-</v>
      </c>
      <c r="T201" s="11" t="str">
        <f>OBRA!U200</f>
        <v>-</v>
      </c>
      <c r="U201" s="53"/>
      <c r="V201" s="377" t="s">
        <v>1428</v>
      </c>
      <c r="W201" s="358"/>
      <c r="X201" s="361"/>
      <c r="Y201" s="450">
        <f>OBRA!AR200</f>
        <v>0</v>
      </c>
      <c r="Z201" s="309"/>
      <c r="AA201" s="309"/>
      <c r="AB201" s="5"/>
      <c r="AC201" s="317">
        <f>OBRA!BW200</f>
        <v>0</v>
      </c>
      <c r="AD201" s="352"/>
    </row>
    <row r="202" spans="1:30" ht="75" hidden="1" customHeight="1">
      <c r="A202" s="22" t="s">
        <v>2206</v>
      </c>
      <c r="B202" s="809" t="str">
        <f>GRAL!B203</f>
        <v>2015-2018</v>
      </c>
      <c r="C202" s="16">
        <f>OBRA!J201</f>
        <v>2016</v>
      </c>
      <c r="D202" s="18" t="str">
        <f>OBRA!M201</f>
        <v>3X1 PARA MIGRANTES</v>
      </c>
      <c r="E202" s="13"/>
      <c r="F202" s="358"/>
      <c r="G202" s="433"/>
      <c r="H202" s="358"/>
      <c r="I202" s="54" t="str">
        <f>OBRA!W201</f>
        <v>-</v>
      </c>
      <c r="J202" s="55" t="str">
        <f>OBRA!X201</f>
        <v>-</v>
      </c>
      <c r="K202" s="33" t="str">
        <f>OBRA!N201</f>
        <v>P3X1-14-PIS-0558-16</v>
      </c>
      <c r="L202" s="2" t="str">
        <f>OBRA!O201</f>
        <v>CONVENIO</v>
      </c>
      <c r="M202" s="3" t="str">
        <f>OBRA!P201</f>
        <v xml:space="preserve">REHABILITACION DE RED DE DRENAJE EN CALLE GUADALUPE VICTORIA DESDE HIDALGO HASTA ZONA FEDERAL DEL LAGO, EN LA LOCALIDAD DE SAN PEDRO TESISTAN </v>
      </c>
      <c r="N202" s="3"/>
      <c r="O202" s="3"/>
      <c r="P202" s="6">
        <f>OBRA!S201</f>
        <v>42583</v>
      </c>
      <c r="Q202" s="4">
        <f>OBRA!R201</f>
        <v>136120</v>
      </c>
      <c r="R202" s="4"/>
      <c r="S202" s="5" t="str">
        <f>OBRA!T201</f>
        <v>-</v>
      </c>
      <c r="T202" s="11" t="str">
        <f>OBRA!U201</f>
        <v>-</v>
      </c>
      <c r="U202" s="53"/>
      <c r="V202" s="377" t="s">
        <v>1428</v>
      </c>
      <c r="W202" s="358"/>
      <c r="X202" s="361"/>
      <c r="Y202" s="450">
        <f>OBRA!AR201</f>
        <v>0</v>
      </c>
      <c r="Z202" s="309"/>
      <c r="AA202" s="309"/>
      <c r="AB202" s="5"/>
      <c r="AC202" s="317">
        <f>OBRA!BW201</f>
        <v>0</v>
      </c>
      <c r="AD202" s="352"/>
    </row>
    <row r="203" spans="1:30" ht="90" hidden="1" customHeight="1">
      <c r="A203" s="22" t="s">
        <v>2206</v>
      </c>
      <c r="B203" s="809" t="str">
        <f>GRAL!B204</f>
        <v>2015-2018</v>
      </c>
      <c r="C203" s="16">
        <f>OBRA!J202</f>
        <v>2016</v>
      </c>
      <c r="D203" s="18" t="str">
        <f>OBRA!M202</f>
        <v>3X1 PARA MIGRANTES</v>
      </c>
      <c r="E203" s="478"/>
      <c r="F203" s="358"/>
      <c r="G203" s="433"/>
      <c r="H203" s="358"/>
      <c r="I203" s="54" t="str">
        <f>OBRA!W202</f>
        <v>-</v>
      </c>
      <c r="J203" s="55" t="str">
        <f>OBRA!X202</f>
        <v>-</v>
      </c>
      <c r="K203" s="33" t="str">
        <f>OBRA!N202</f>
        <v>P3X1-14-PIS-0566-16</v>
      </c>
      <c r="L203" s="2" t="str">
        <f>OBRA!O202</f>
        <v>CONVENIO</v>
      </c>
      <c r="M203" s="3" t="str">
        <f>OBRA!P202</f>
        <v>REHABILITACION DE RED DE DRENAJE EN CALLE RIVERA DEL LAGO DEL PARQUE LINEAL HASTA CALLE CHUECA EN LA LOCALIDAD DE CHANTEPEC (EL CHANTE) DEL MUNICIPIO JOCOTEPEC, JALISCO</v>
      </c>
      <c r="N203" s="3"/>
      <c r="O203" s="3"/>
      <c r="P203" s="6">
        <f>OBRA!S202</f>
        <v>42583</v>
      </c>
      <c r="Q203" s="4">
        <f>OBRA!R202</f>
        <v>525186</v>
      </c>
      <c r="R203" s="4"/>
      <c r="S203" s="5" t="str">
        <f>OBRA!T202</f>
        <v>-</v>
      </c>
      <c r="T203" s="11" t="str">
        <f>OBRA!U202</f>
        <v>-</v>
      </c>
      <c r="U203" s="53"/>
      <c r="V203" s="377" t="s">
        <v>1428</v>
      </c>
      <c r="W203" s="358"/>
      <c r="X203" s="361"/>
      <c r="Y203" s="450">
        <f>OBRA!AR202</f>
        <v>0</v>
      </c>
      <c r="Z203" s="309"/>
      <c r="AA203" s="309"/>
      <c r="AB203" s="5"/>
      <c r="AC203" s="317">
        <f>OBRA!BW202</f>
        <v>0</v>
      </c>
      <c r="AD203" s="352"/>
    </row>
    <row r="204" spans="1:30" ht="75" hidden="1" customHeight="1">
      <c r="A204" s="22" t="s">
        <v>2206</v>
      </c>
      <c r="B204" s="809" t="str">
        <f>GRAL!B205</f>
        <v>2015-2018</v>
      </c>
      <c r="C204" s="16">
        <f>OBRA!J203</f>
        <v>2016</v>
      </c>
      <c r="D204" s="18" t="str">
        <f>OBRA!M203</f>
        <v>3X1 PARA MIGRANTES</v>
      </c>
      <c r="E204" s="478"/>
      <c r="F204" s="358"/>
      <c r="G204" s="433"/>
      <c r="H204" s="358"/>
      <c r="I204" s="54" t="str">
        <f>OBRA!W203</f>
        <v>-</v>
      </c>
      <c r="J204" s="55" t="str">
        <f>OBRA!X203</f>
        <v>-</v>
      </c>
      <c r="K204" s="33" t="str">
        <f>OBRA!N203</f>
        <v>P3X1-14-PIS-0556-16</v>
      </c>
      <c r="L204" s="2" t="str">
        <f>OBRA!O203</f>
        <v>CONVENIO</v>
      </c>
      <c r="M204" s="3" t="str">
        <f>OBRA!P203</f>
        <v>REHABILITACION DE RED DE DRENAJE CALLE INSURGENTES PRIMERA ETAPA EN LA LOCALIDAD DE ZAPOTITAN DE HIDALGO DEL MUNICIPIO JOCOTEPEC, JALISCO</v>
      </c>
      <c r="N204" s="3"/>
      <c r="O204" s="3"/>
      <c r="P204" s="6">
        <f>OBRA!S203</f>
        <v>42583</v>
      </c>
      <c r="Q204" s="4">
        <f>OBRA!R203</f>
        <v>678342</v>
      </c>
      <c r="R204" s="4"/>
      <c r="S204" s="5" t="str">
        <f>OBRA!T203</f>
        <v>-</v>
      </c>
      <c r="T204" s="11" t="str">
        <f>OBRA!U203</f>
        <v>-</v>
      </c>
      <c r="U204" s="53"/>
      <c r="V204" s="377" t="s">
        <v>1428</v>
      </c>
      <c r="W204" s="358"/>
      <c r="X204" s="361"/>
      <c r="Y204" s="450">
        <f>OBRA!AR203</f>
        <v>0</v>
      </c>
      <c r="Z204" s="309"/>
      <c r="AA204" s="309"/>
      <c r="AB204" s="5"/>
      <c r="AC204" s="317">
        <f>OBRA!BW203</f>
        <v>0</v>
      </c>
      <c r="AD204" s="352"/>
    </row>
    <row r="205" spans="1:30" ht="45" hidden="1" customHeight="1">
      <c r="A205" s="22" t="s">
        <v>2206</v>
      </c>
      <c r="B205" s="809" t="str">
        <f>GRAL!B206</f>
        <v>2015-2018</v>
      </c>
      <c r="C205" s="16">
        <f>OBRA!J204</f>
        <v>2016</v>
      </c>
      <c r="D205" s="18" t="str">
        <f>OBRA!M204</f>
        <v>3X1 PARA MIGRANTES</v>
      </c>
      <c r="E205" s="478"/>
      <c r="F205" s="358"/>
      <c r="G205" s="433"/>
      <c r="H205" s="358"/>
      <c r="I205" s="54" t="str">
        <f>OBRA!W204</f>
        <v>-</v>
      </c>
      <c r="J205" s="55" t="str">
        <f>OBRA!X204</f>
        <v>-</v>
      </c>
      <c r="K205" s="33" t="str">
        <f>OBRA!N204</f>
        <v>P3X1-14-PIS-0560-16</v>
      </c>
      <c r="L205" s="2" t="str">
        <f>OBRA!O204</f>
        <v>CONVENIO</v>
      </c>
      <c r="M205" s="3" t="str">
        <f>OBRA!P204</f>
        <v>EMPEDRADO AHOGADO EN CEMENTO EN CALLE INSURGENTES PRIMERA ETAPA, ZAPOTITAN DE HIDALGO</v>
      </c>
      <c r="N205" s="3"/>
      <c r="O205" s="3"/>
      <c r="P205" s="6">
        <f>OBRA!S204</f>
        <v>42583</v>
      </c>
      <c r="Q205" s="4">
        <f>OBRA!R204</f>
        <v>2426000</v>
      </c>
      <c r="R205" s="4"/>
      <c r="S205" s="5" t="str">
        <f>OBRA!T204</f>
        <v>-</v>
      </c>
      <c r="T205" s="11" t="str">
        <f>OBRA!U204</f>
        <v>-</v>
      </c>
      <c r="U205" s="53"/>
      <c r="V205" s="377" t="s">
        <v>1428</v>
      </c>
      <c r="W205" s="358"/>
      <c r="X205" s="361"/>
      <c r="Y205" s="450">
        <f>OBRA!AR204</f>
        <v>0</v>
      </c>
      <c r="Z205" s="309"/>
      <c r="AA205" s="309"/>
      <c r="AB205" s="5"/>
      <c r="AC205" s="317">
        <f>OBRA!BW204</f>
        <v>0</v>
      </c>
      <c r="AD205" s="352"/>
    </row>
    <row r="206" spans="1:30" ht="105" hidden="1" customHeight="1">
      <c r="A206" s="22" t="s">
        <v>2206</v>
      </c>
      <c r="B206" s="809" t="str">
        <f>GRAL!B207</f>
        <v>2015-2018</v>
      </c>
      <c r="C206" s="16">
        <f>OBRA!J205</f>
        <v>2016</v>
      </c>
      <c r="D206" s="18" t="str">
        <f>OBRA!M205</f>
        <v>3X1 PARA MIGRANTES</v>
      </c>
      <c r="E206" s="478"/>
      <c r="F206" s="358"/>
      <c r="G206" s="433"/>
      <c r="H206" s="358"/>
      <c r="I206" s="54" t="str">
        <f>OBRA!W205</f>
        <v>-</v>
      </c>
      <c r="J206" s="55" t="str">
        <f>OBRA!X205</f>
        <v>-</v>
      </c>
      <c r="K206" s="33" t="str">
        <f>OBRA!N205</f>
        <v>P3X1-14-PIS-0567-16</v>
      </c>
      <c r="L206" s="2" t="str">
        <f>OBRA!O205</f>
        <v>CONVENIO</v>
      </c>
      <c r="M206" s="3" t="str">
        <f>OBRA!P205</f>
        <v>COLOCACION DE EMPEDRADO AHOGADO EN CEMENTO EN CALLE RAMON CORONA DESDE PINO SUAREZ HASTA ZONA FEDERAL DEL LAGO EN LA LOCALIDAD DE SAN PEDRO TESISTAN DEL MUNICIPIO JOCOTEPEC, JALISCO</v>
      </c>
      <c r="N206" s="3"/>
      <c r="O206" s="3"/>
      <c r="P206" s="6">
        <f>OBRA!S205</f>
        <v>42583</v>
      </c>
      <c r="Q206" s="4">
        <f>OBRA!R205</f>
        <v>236752</v>
      </c>
      <c r="R206" s="4"/>
      <c r="S206" s="5" t="str">
        <f>OBRA!T205</f>
        <v>-</v>
      </c>
      <c r="T206" s="11" t="str">
        <f>OBRA!U205</f>
        <v>-</v>
      </c>
      <c r="U206" s="53"/>
      <c r="V206" s="377" t="s">
        <v>1428</v>
      </c>
      <c r="W206" s="358"/>
      <c r="X206" s="361"/>
      <c r="Y206" s="450">
        <f>OBRA!AR205</f>
        <v>0</v>
      </c>
      <c r="Z206" s="309"/>
      <c r="AA206" s="309"/>
      <c r="AB206" s="5"/>
      <c r="AC206" s="317">
        <f>OBRA!BW205</f>
        <v>0</v>
      </c>
      <c r="AD206" s="352"/>
    </row>
    <row r="207" spans="1:30" ht="90" hidden="1" customHeight="1">
      <c r="A207" s="22" t="s">
        <v>2206</v>
      </c>
      <c r="B207" s="809" t="str">
        <f>GRAL!B208</f>
        <v>2015-2018</v>
      </c>
      <c r="C207" s="16">
        <f>OBRA!J206</f>
        <v>2016</v>
      </c>
      <c r="D207" s="18" t="str">
        <f>OBRA!M206</f>
        <v>3X1 PARA MIGRANTES</v>
      </c>
      <c r="E207" s="478"/>
      <c r="F207" s="358"/>
      <c r="G207" s="433"/>
      <c r="H207" s="358"/>
      <c r="I207" s="54" t="str">
        <f>OBRA!W206</f>
        <v>-</v>
      </c>
      <c r="J207" s="55" t="str">
        <f>OBRA!X206</f>
        <v>-</v>
      </c>
      <c r="K207" s="33" t="str">
        <f>OBRA!N206</f>
        <v>P3X1-14-PIS-0561-16</v>
      </c>
      <c r="L207" s="2" t="str">
        <f>OBRA!O206</f>
        <v>CONVENIO</v>
      </c>
      <c r="M207" s="3" t="str">
        <f>OBRA!P206</f>
        <v>COLOCACIÓN DE EMPEDRADO AHOGADO EN CEMENTO EN CALLE GUADALUPE VICTORIA DESDE HIDALGO HASTA ZONA FEDERAL DEL LAGO, EN LA LOCALIDAD DE SAN PEDRO TESISTAN</v>
      </c>
      <c r="N207" s="3"/>
      <c r="O207" s="3"/>
      <c r="P207" s="6">
        <f>OBRA!S206</f>
        <v>42583</v>
      </c>
      <c r="Q207" s="4">
        <f>OBRA!R206</f>
        <v>259860</v>
      </c>
      <c r="R207" s="4"/>
      <c r="S207" s="5" t="str">
        <f>OBRA!T206</f>
        <v>-</v>
      </c>
      <c r="T207" s="11" t="str">
        <f>OBRA!U206</f>
        <v>-</v>
      </c>
      <c r="U207" s="53"/>
      <c r="V207" s="377" t="s">
        <v>1428</v>
      </c>
      <c r="W207" s="358"/>
      <c r="X207" s="361"/>
      <c r="Y207" s="450">
        <f>OBRA!AR206</f>
        <v>0</v>
      </c>
      <c r="Z207" s="309"/>
      <c r="AA207" s="309"/>
      <c r="AB207" s="5"/>
      <c r="AC207" s="317">
        <f>OBRA!BW206</f>
        <v>0</v>
      </c>
      <c r="AD207" s="352"/>
    </row>
    <row r="208" spans="1:30" ht="30" hidden="1" customHeight="1">
      <c r="A208" s="22" t="s">
        <v>2206</v>
      </c>
      <c r="B208" s="809" t="str">
        <f>GRAL!B209</f>
        <v>2015-2018</v>
      </c>
      <c r="C208" s="16">
        <f>OBRA!J207</f>
        <v>2017</v>
      </c>
      <c r="D208" s="18" t="str">
        <f>OBRA!M207</f>
        <v>FONDEREG</v>
      </c>
      <c r="E208" s="478"/>
      <c r="F208" s="358" t="s">
        <v>68</v>
      </c>
      <c r="G208" s="433" t="s">
        <v>68</v>
      </c>
      <c r="H208" s="358" t="s">
        <v>68</v>
      </c>
      <c r="I208" s="54" t="str">
        <f>OBRA!W207</f>
        <v>N/A</v>
      </c>
      <c r="J208" s="55" t="str">
        <f>OBRA!X207</f>
        <v>-</v>
      </c>
      <c r="K208" s="33" t="str">
        <f>OBRA!N207</f>
        <v>FONDEREG 2017/05 SURESTE/121</v>
      </c>
      <c r="L208" s="2" t="str">
        <f>OBRA!O207</f>
        <v>CONVENIO</v>
      </c>
      <c r="M208" s="3" t="str">
        <f>OBRA!P207</f>
        <v>REHABILITACIÓN DE IMAGEN URBANA DE LA CALLE DONATO GUERRA, ENTRE CALLE HIDALGO Y CALLE INDEPENDENCIA 1 ERA ETAPA EN LA CABECERA MUNICIPAL DE JOCOTEPEC</v>
      </c>
      <c r="N208" s="3"/>
      <c r="O208" s="3"/>
      <c r="P208" s="6">
        <f>OBRA!S207</f>
        <v>42898</v>
      </c>
      <c r="Q208" s="4">
        <f>OBRA!R207</f>
        <v>2068965.52</v>
      </c>
      <c r="R208" s="4"/>
      <c r="S208" s="5" t="str">
        <f>OBRA!T207</f>
        <v>-</v>
      </c>
      <c r="T208" s="11" t="str">
        <f>OBRA!U207</f>
        <v>-</v>
      </c>
      <c r="U208" s="53"/>
      <c r="V208" s="377" t="s">
        <v>1428</v>
      </c>
      <c r="W208" s="358"/>
      <c r="X208" s="361"/>
      <c r="Y208" s="450">
        <f>OBRA!AR207</f>
        <v>0</v>
      </c>
      <c r="Z208" s="309"/>
      <c r="AA208" s="309"/>
      <c r="AB208" s="5"/>
      <c r="AC208" s="317">
        <f>OBRA!BW207</f>
        <v>0</v>
      </c>
      <c r="AD208" s="352"/>
    </row>
    <row r="209" spans="1:30" ht="30" hidden="1" customHeight="1">
      <c r="A209" s="22" t="s">
        <v>2206</v>
      </c>
      <c r="B209" s="809" t="str">
        <f>GRAL!B210</f>
        <v>2015-2018</v>
      </c>
      <c r="C209" s="16">
        <f>OBRA!J208</f>
        <v>2017</v>
      </c>
      <c r="D209" s="18" t="str">
        <f>OBRA!M208</f>
        <v>FOCOCI</v>
      </c>
      <c r="E209" s="478"/>
      <c r="F209" s="358" t="s">
        <v>68</v>
      </c>
      <c r="G209" s="433" t="s">
        <v>68</v>
      </c>
      <c r="H209" s="358" t="s">
        <v>68</v>
      </c>
      <c r="I209" s="54" t="str">
        <f>OBRA!W208</f>
        <v>N/A</v>
      </c>
      <c r="J209" s="55" t="str">
        <f>OBRA!X208</f>
        <v>-</v>
      </c>
      <c r="K209" s="33" t="str">
        <f>OBRA!N208</f>
        <v>-</v>
      </c>
      <c r="L209" s="2" t="str">
        <f>OBRA!O208</f>
        <v>CONVENIO</v>
      </c>
      <c r="M209" s="3" t="str">
        <f>OBRA!P208</f>
        <v>REHABILITACIÓN DE IMAGEN URBANA DE CALLE DONATO GUERRA ENTRE HIDALGO Y GUADALUPE VICTORIA EN LA CABECERA MUNICIPAL, MUNICIPIO DE JOCOTEPEC, JALISCO</v>
      </c>
      <c r="N209" s="3"/>
      <c r="O209" s="3"/>
      <c r="P209" s="6">
        <f>OBRA!S208</f>
        <v>42879</v>
      </c>
      <c r="Q209" s="4">
        <f>OBRA!R208</f>
        <v>2940000</v>
      </c>
      <c r="R209" s="4"/>
      <c r="S209" s="5" t="str">
        <f>OBRA!T208</f>
        <v>-</v>
      </c>
      <c r="T209" s="11" t="str">
        <f>OBRA!U208</f>
        <v>-</v>
      </c>
      <c r="U209" s="53"/>
      <c r="V209" s="377" t="s">
        <v>1428</v>
      </c>
      <c r="W209" s="358"/>
      <c r="X209" s="361"/>
      <c r="Y209" s="450">
        <f>OBRA!AR208</f>
        <v>0</v>
      </c>
      <c r="Z209" s="309"/>
      <c r="AA209" s="309"/>
      <c r="AB209" s="5"/>
      <c r="AC209" s="317">
        <f>OBRA!BW208</f>
        <v>0</v>
      </c>
      <c r="AD209" s="352"/>
    </row>
    <row r="210" spans="1:30" ht="30" hidden="1" customHeight="1">
      <c r="A210" s="22" t="s">
        <v>2206</v>
      </c>
      <c r="B210" s="809" t="str">
        <f>GRAL!B211</f>
        <v>2015-2018</v>
      </c>
      <c r="C210" s="16">
        <f>OBRA!J209</f>
        <v>2017</v>
      </c>
      <c r="D210" s="18" t="str">
        <f>OBRA!M209</f>
        <v xml:space="preserve">PROYECTOS DESARROLLO REGIONAL </v>
      </c>
      <c r="E210" s="478"/>
      <c r="F210" s="358" t="s">
        <v>68</v>
      </c>
      <c r="G210" s="433" t="s">
        <v>68</v>
      </c>
      <c r="H210" s="358" t="s">
        <v>68</v>
      </c>
      <c r="I210" s="54" t="str">
        <f>OBRA!W209</f>
        <v>N/A</v>
      </c>
      <c r="J210" s="55" t="str">
        <f>OBRA!X209</f>
        <v>-</v>
      </c>
      <c r="K210" s="33" t="str">
        <f>OBRA!N209</f>
        <v xml:space="preserve">PROYECTOS DESARROLLO REGIONAL </v>
      </c>
      <c r="L210" s="2" t="str">
        <f>OBRA!O209</f>
        <v>CONVENIO</v>
      </c>
      <c r="M210" s="3" t="str">
        <f>OBRA!P209</f>
        <v>-</v>
      </c>
      <c r="N210" s="3"/>
      <c r="O210" s="3"/>
      <c r="P210" s="6">
        <f>OBRA!S209</f>
        <v>42863</v>
      </c>
      <c r="Q210" s="4">
        <f>OBRA!R209</f>
        <v>2910056.73</v>
      </c>
      <c r="R210" s="4"/>
      <c r="S210" s="5" t="str">
        <f>OBRA!T209</f>
        <v>-</v>
      </c>
      <c r="T210" s="11" t="str">
        <f>OBRA!U209</f>
        <v>-</v>
      </c>
      <c r="U210" s="53"/>
      <c r="V210" s="377" t="s">
        <v>1428</v>
      </c>
      <c r="W210" s="358"/>
      <c r="X210" s="361"/>
      <c r="Y210" s="450">
        <f>OBRA!AR209</f>
        <v>0</v>
      </c>
      <c r="Z210" s="309"/>
      <c r="AA210" s="309"/>
      <c r="AB210" s="5"/>
      <c r="AC210" s="317">
        <f>OBRA!BW209</f>
        <v>0</v>
      </c>
      <c r="AD210" s="352"/>
    </row>
    <row r="211" spans="1:30" ht="30" hidden="1" customHeight="1">
      <c r="A211" s="22" t="s">
        <v>2206</v>
      </c>
      <c r="B211" s="809" t="str">
        <f>GRAL!B212</f>
        <v>2015-2018</v>
      </c>
      <c r="C211" s="16">
        <f>OBRA!J210</f>
        <v>2017</v>
      </c>
      <c r="D211" s="18" t="str">
        <f>OBRA!M210</f>
        <v xml:space="preserve">PROYECTOS DESARROLLO REGIONAL </v>
      </c>
      <c r="E211" s="478"/>
      <c r="F211" s="358" t="s">
        <v>68</v>
      </c>
      <c r="G211" s="433" t="s">
        <v>68</v>
      </c>
      <c r="H211" s="358" t="s">
        <v>68</v>
      </c>
      <c r="I211" s="54" t="str">
        <f>OBRA!W210</f>
        <v>N/A</v>
      </c>
      <c r="J211" s="55" t="str">
        <f>OBRA!X210</f>
        <v>-</v>
      </c>
      <c r="K211" s="33" t="str">
        <f>OBRA!N210</f>
        <v>PROYECTOS DESARROLLO REGIONAL B</v>
      </c>
      <c r="L211" s="2" t="str">
        <f>OBRA!O210</f>
        <v>CONVENIO</v>
      </c>
      <c r="M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OBRA!S210</f>
        <v>42885</v>
      </c>
      <c r="Q211" s="4">
        <f>OBRA!R210</f>
        <v>3089943.27</v>
      </c>
      <c r="R211" s="4"/>
      <c r="S211" s="5" t="str">
        <f>OBRA!T210</f>
        <v>-</v>
      </c>
      <c r="T211" s="11" t="str">
        <f>OBRA!U210</f>
        <v>-</v>
      </c>
      <c r="U211" s="53"/>
      <c r="V211" s="377" t="s">
        <v>1428</v>
      </c>
      <c r="W211" s="358"/>
      <c r="X211" s="361"/>
      <c r="Y211" s="450">
        <f>OBRA!AR210</f>
        <v>0</v>
      </c>
      <c r="Z211" s="309"/>
      <c r="AA211" s="309"/>
      <c r="AB211" s="5"/>
      <c r="AC211" s="317">
        <f>OBRA!BW210</f>
        <v>0</v>
      </c>
      <c r="AD211" s="352"/>
    </row>
    <row r="212" spans="1:30" ht="30" hidden="1" customHeight="1">
      <c r="A212" s="22" t="s">
        <v>2206</v>
      </c>
      <c r="B212" s="809" t="str">
        <f>GRAL!B213</f>
        <v>2015-2018</v>
      </c>
      <c r="C212" s="16">
        <f>OBRA!J211</f>
        <v>2017</v>
      </c>
      <c r="D212" s="17" t="str">
        <f>OBRA!M211</f>
        <v>CUENTA CORRIENTE</v>
      </c>
      <c r="E212" s="13" t="s">
        <v>1428</v>
      </c>
      <c r="F212" s="358"/>
      <c r="G212" s="433"/>
      <c r="H212" s="358"/>
      <c r="I212" s="54" t="str">
        <f>OBRA!W211</f>
        <v>N/A</v>
      </c>
      <c r="J212" s="55" t="str">
        <f>OBRA!X211</f>
        <v>ARQ. JAIME CONDE GOMEZ</v>
      </c>
      <c r="K212" s="33" t="str">
        <f>OBRA!N211</f>
        <v>DOP/AD/001/2017</v>
      </c>
      <c r="L212" s="2" t="str">
        <f>OBRA!O211</f>
        <v>ADMINISTRACIÓN DIRECTA</v>
      </c>
      <c r="M212" s="3" t="str">
        <f>OBRA!P211</f>
        <v>CONSTRUCCIÓN DE BANQUETAS, MACHUELOS Y AREA DE DESACELERACIÓN 1ERA. ETAPA EN C. VICENTE GUERRERO ENTRE PRIVADA CAMICHINES Y C. CHURUBUSCO, LADO NORTE, EN LA CABECERA MUNICIPAL, DEL MUNICIPIO DE JOCOTEPEC, JALISCO</v>
      </c>
      <c r="N212" s="3"/>
      <c r="O212" s="3"/>
      <c r="P212" s="6">
        <f>OBRA!S211</f>
        <v>42755</v>
      </c>
      <c r="Q212" s="4">
        <f>OBRA!R211</f>
        <v>162823.91</v>
      </c>
      <c r="R212" s="4"/>
      <c r="S212" s="5">
        <f>OBRA!T211</f>
        <v>42740</v>
      </c>
      <c r="T212" s="11">
        <f>OBRA!U211</f>
        <v>42746</v>
      </c>
      <c r="U212" s="53"/>
      <c r="V212" s="377" t="s">
        <v>1428</v>
      </c>
      <c r="W212" s="358"/>
      <c r="X212" s="361"/>
      <c r="Y212" s="450">
        <f>OBRA!AR211</f>
        <v>0</v>
      </c>
      <c r="Z212" s="309"/>
      <c r="AA212" s="309"/>
      <c r="AB212" s="5"/>
      <c r="AC212" s="317">
        <f>OBRA!BW211</f>
        <v>0</v>
      </c>
      <c r="AD212" s="352"/>
    </row>
    <row r="213" spans="1:30" ht="30" hidden="1" customHeight="1">
      <c r="A213" s="22" t="s">
        <v>2206</v>
      </c>
      <c r="B213" s="809" t="str">
        <f>GRAL!B214</f>
        <v>2015-2018</v>
      </c>
      <c r="C213" s="16">
        <f>OBRA!J212</f>
        <v>2017</v>
      </c>
      <c r="D213" s="17" t="str">
        <f>OBRA!M212</f>
        <v>CUENTA CORRIENTE</v>
      </c>
      <c r="E213" s="478" t="s">
        <v>1428</v>
      </c>
      <c r="F213" s="358"/>
      <c r="G213" s="433"/>
      <c r="H213" s="358"/>
      <c r="I213" s="54" t="str">
        <f>OBRA!W212</f>
        <v>N/A</v>
      </c>
      <c r="J213" s="55" t="str">
        <f>OBRA!X212</f>
        <v>ARQ. JAIME CONDE GOMEZ</v>
      </c>
      <c r="K213" s="33" t="str">
        <f>OBRA!N212</f>
        <v>DOP/AD/002/2017</v>
      </c>
      <c r="L213" s="2" t="str">
        <f>OBRA!O212</f>
        <v>ADMINISTRACIÓN DIRECTA</v>
      </c>
      <c r="M213" s="3" t="str">
        <f>OBRA!P212</f>
        <v>CONSTRUCCION DE 80 URNAS PARA RESTOS Y CENIZAS HUMANAS EN EL PANTEÓN DE SAN JUAN COSALA, DEL MUNICIPIO DE JOCOTEPEC, JALISCO</v>
      </c>
      <c r="N213" s="3"/>
      <c r="O213" s="3"/>
      <c r="P213" s="6">
        <f>OBRA!S212</f>
        <v>42872</v>
      </c>
      <c r="Q213" s="4">
        <f>OBRA!R212</f>
        <v>313594.21000000002</v>
      </c>
      <c r="R213" s="4"/>
      <c r="S213" s="5">
        <f>OBRA!T212</f>
        <v>42893</v>
      </c>
      <c r="T213" s="11">
        <f>OBRA!U212</f>
        <v>43046</v>
      </c>
      <c r="U213" s="53"/>
      <c r="V213" s="377" t="s">
        <v>1428</v>
      </c>
      <c r="W213" s="358"/>
      <c r="X213" s="361"/>
      <c r="Y213" s="450">
        <f>OBRA!AR212</f>
        <v>0</v>
      </c>
      <c r="Z213" s="309"/>
      <c r="AA213" s="309"/>
      <c r="AB213" s="5"/>
      <c r="AC213" s="317">
        <f>OBRA!BW212</f>
        <v>0</v>
      </c>
      <c r="AD213" s="352"/>
    </row>
    <row r="214" spans="1:30" ht="30" hidden="1" customHeight="1">
      <c r="A214" s="22" t="s">
        <v>2206</v>
      </c>
      <c r="B214" s="809" t="str">
        <f>GRAL!B215</f>
        <v>2015-2018</v>
      </c>
      <c r="C214" s="16">
        <f>OBRA!J213</f>
        <v>2017</v>
      </c>
      <c r="D214" s="17" t="str">
        <f>OBRA!M213</f>
        <v>CUENTA CORRIENTE</v>
      </c>
      <c r="E214" s="478" t="s">
        <v>1428</v>
      </c>
      <c r="F214" s="358"/>
      <c r="G214" s="433"/>
      <c r="H214" s="358"/>
      <c r="I214" s="54" t="str">
        <f>OBRA!W213</f>
        <v>N/A</v>
      </c>
      <c r="J214" s="55" t="str">
        <f>OBRA!X213</f>
        <v>ING. RIGOBERTO OLMEDO RAMOS</v>
      </c>
      <c r="K214" s="33" t="str">
        <f>OBRA!N213</f>
        <v>DOP/AD/003/2017</v>
      </c>
      <c r="L214" s="2" t="str">
        <f>OBRA!O213</f>
        <v>ADMINISTRACIÓN DIRECTA</v>
      </c>
      <c r="M214" s="3" t="str">
        <f>OBRA!P213</f>
        <v>CONCLUSION DE COLECTOR DE ALEJAMIENTO DEL DRENAJE SANITARIO, EN LA LOCALIDAD DE HUEJOTITAN, DEL MUNICIPIO DE JOCOTEPEC, JALISCO</v>
      </c>
      <c r="N214" s="3"/>
      <c r="O214" s="3"/>
      <c r="P214" s="6">
        <f>OBRA!S213</f>
        <v>42947</v>
      </c>
      <c r="Q214" s="4">
        <f>OBRA!R213</f>
        <v>129065</v>
      </c>
      <c r="R214" s="4"/>
      <c r="S214" s="5">
        <f>OBRA!T213</f>
        <v>42948</v>
      </c>
      <c r="T214" s="11">
        <f>OBRA!U213</f>
        <v>42959</v>
      </c>
      <c r="U214" s="53"/>
      <c r="V214" s="377" t="s">
        <v>1428</v>
      </c>
      <c r="W214" s="358"/>
      <c r="X214" s="361"/>
      <c r="Y214" s="450">
        <f>OBRA!AR213</f>
        <v>0</v>
      </c>
      <c r="Z214" s="309"/>
      <c r="AA214" s="309"/>
      <c r="AB214" s="5"/>
      <c r="AC214" s="317">
        <f>OBRA!BW213</f>
        <v>0</v>
      </c>
      <c r="AD214" s="352"/>
    </row>
    <row r="215" spans="1:30" ht="30" hidden="1" customHeight="1">
      <c r="A215" s="22" t="s">
        <v>2206</v>
      </c>
      <c r="B215" s="809" t="str">
        <f>GRAL!B216</f>
        <v>2015-2018</v>
      </c>
      <c r="C215" s="16">
        <f>OBRA!J214</f>
        <v>2017</v>
      </c>
      <c r="D215" s="17" t="str">
        <f>OBRA!M214</f>
        <v>CUENTA CORRIENTE</v>
      </c>
      <c r="E215" s="478"/>
      <c r="F215" s="358"/>
      <c r="G215" s="433"/>
      <c r="H215" s="358"/>
      <c r="I215" s="54" t="str">
        <f>OBRA!W214</f>
        <v>N/A</v>
      </c>
      <c r="J215" s="55" t="str">
        <f>OBRA!X214</f>
        <v>ING. RIGOBERTO OLMEDO RAMOS</v>
      </c>
      <c r="K215" s="33" t="str">
        <f>OBRA!N214</f>
        <v>DOP/AD/004/2017</v>
      </c>
      <c r="L215" s="2" t="str">
        <f>OBRA!O214</f>
        <v>ADMINISTRACIÓN DIRECTA</v>
      </c>
      <c r="M215" s="3" t="str">
        <f>OBRA!P214</f>
        <v>CONSTRUCCION DE RED DE AGUA POTABLE EN CALLE PRIVADA MUNICIPAL SAN BARTOLOME EN EL CONDOMINO VISTAS DEL ANGEL EN LA DELEGACION DE SAN JUAN COSALA, DEL MUNICIPIO DE JOCOTEPEC, JALISCO.</v>
      </c>
      <c r="N215" s="3"/>
      <c r="O215" s="3"/>
      <c r="P215" s="6">
        <f>OBRA!S214</f>
        <v>42947</v>
      </c>
      <c r="Q215" s="4">
        <f>OBRA!R214</f>
        <v>75540.72</v>
      </c>
      <c r="R215" s="4"/>
      <c r="S215" s="5">
        <f>OBRA!T214</f>
        <v>42947</v>
      </c>
      <c r="T215" s="11">
        <f>OBRA!U214</f>
        <v>42959</v>
      </c>
      <c r="U215" s="53"/>
      <c r="V215" s="377" t="s">
        <v>1428</v>
      </c>
      <c r="W215" s="358"/>
      <c r="X215" s="361"/>
      <c r="Y215" s="450">
        <f>OBRA!AR214</f>
        <v>0</v>
      </c>
      <c r="Z215" s="309"/>
      <c r="AA215" s="309"/>
      <c r="AB215" s="5"/>
      <c r="AC215" s="317">
        <f>OBRA!BW214</f>
        <v>0</v>
      </c>
      <c r="AD215" s="352"/>
    </row>
    <row r="216" spans="1:30" ht="30" hidden="1" customHeight="1">
      <c r="A216" s="22" t="s">
        <v>2206</v>
      </c>
      <c r="B216" s="809" t="str">
        <f>GRAL!B217</f>
        <v>2015-2018</v>
      </c>
      <c r="C216" s="16">
        <f>OBRA!J215</f>
        <v>2017</v>
      </c>
      <c r="D216" s="17" t="str">
        <f>OBRA!M215</f>
        <v>CUENTA CORRIENTE</v>
      </c>
      <c r="E216" s="478"/>
      <c r="F216" s="358"/>
      <c r="G216" s="433"/>
      <c r="H216" s="358"/>
      <c r="I216" s="54" t="str">
        <f>OBRA!W215</f>
        <v>N/A</v>
      </c>
      <c r="J216" s="55" t="str">
        <f>OBRA!X215</f>
        <v>ING. J. GUADALUPE IBARRA RAMIREZ</v>
      </c>
      <c r="K216" s="33" t="str">
        <f>OBRA!N215</f>
        <v>DOP/AD/005/2017</v>
      </c>
      <c r="L216" s="2" t="str">
        <f>OBRA!O215</f>
        <v>ADMINISTRACIÓN DIRECTA</v>
      </c>
      <c r="M216" s="3" t="str">
        <f>OBRA!P215</f>
        <v>ADECUACION DEL PARQUE EN CAMPO DE FUTBOL UBICADO EN LA CALLE BENITO JUAREZ, EN LA LOCALIDAD DE POTRERILLOS, DEL MUNICIPIO DE JOCOTEPEC, JALISCO</v>
      </c>
      <c r="N216" s="3"/>
      <c r="O216" s="3"/>
      <c r="P216" s="6">
        <f>OBRA!S215</f>
        <v>42947</v>
      </c>
      <c r="Q216" s="4">
        <f>OBRA!R215</f>
        <v>266570.25</v>
      </c>
      <c r="R216" s="4"/>
      <c r="S216" s="5">
        <f>OBRA!T215</f>
        <v>42947</v>
      </c>
      <c r="T216" s="11">
        <f>OBRA!U215</f>
        <v>43008</v>
      </c>
      <c r="U216" s="53"/>
      <c r="V216" s="377" t="s">
        <v>1428</v>
      </c>
      <c r="W216" s="358"/>
      <c r="X216" s="361"/>
      <c r="Y216" s="450">
        <f>OBRA!AR215</f>
        <v>0</v>
      </c>
      <c r="Z216" s="309"/>
      <c r="AA216" s="309"/>
      <c r="AB216" s="5"/>
      <c r="AC216" s="317">
        <f>OBRA!BW215</f>
        <v>0</v>
      </c>
      <c r="AD216" s="352"/>
    </row>
    <row r="217" spans="1:30" s="104" customFormat="1" ht="30" hidden="1" customHeight="1">
      <c r="A217" s="81" t="s">
        <v>2206</v>
      </c>
      <c r="B217" s="820" t="str">
        <f>GRAL!B218</f>
        <v>2012-2015</v>
      </c>
      <c r="C217" s="82">
        <f>OBRA!J216</f>
        <v>2017</v>
      </c>
      <c r="D217" s="97">
        <f>OBRA!M216</f>
        <v>0</v>
      </c>
      <c r="E217" s="479"/>
      <c r="F217" s="824"/>
      <c r="G217" s="823"/>
      <c r="H217" s="824"/>
      <c r="I217" s="151" t="str">
        <f>OBRA!W216</f>
        <v>-</v>
      </c>
      <c r="J217" s="152">
        <f>OBRA!X216</f>
        <v>0</v>
      </c>
      <c r="K217" s="308" t="str">
        <f>OBRA!N216</f>
        <v>DOP/AD/006/2017</v>
      </c>
      <c r="L217" s="186" t="str">
        <f>OBRA!O216</f>
        <v>CANCELADA</v>
      </c>
      <c r="M217" s="106">
        <f>OBRA!P216</f>
        <v>0</v>
      </c>
      <c r="N217" s="125"/>
      <c r="O217" s="125"/>
      <c r="P217" s="87">
        <f>OBRA!S216</f>
        <v>0</v>
      </c>
      <c r="Q217" s="86">
        <f>OBRA!R216</f>
        <v>0</v>
      </c>
      <c r="R217" s="86"/>
      <c r="S217" s="88">
        <f>OBRA!T216</f>
        <v>0</v>
      </c>
      <c r="T217" s="89">
        <f>OBRA!U216</f>
        <v>0</v>
      </c>
      <c r="U217" s="91"/>
      <c r="V217" s="688" t="s">
        <v>1428</v>
      </c>
      <c r="W217" s="824"/>
      <c r="X217" s="825"/>
      <c r="Y217" s="826">
        <f>OBRA!AR216</f>
        <v>0</v>
      </c>
      <c r="Z217" s="311"/>
      <c r="AA217" s="311"/>
      <c r="AB217" s="88"/>
      <c r="AC217" s="467">
        <f>OBRA!BW216</f>
        <v>0</v>
      </c>
      <c r="AD217" s="354"/>
    </row>
    <row r="218" spans="1:30" ht="30" hidden="1" customHeight="1">
      <c r="A218" s="22" t="s">
        <v>2206</v>
      </c>
      <c r="B218" s="809" t="str">
        <f>GRAL!B219</f>
        <v>2015-2018</v>
      </c>
      <c r="C218" s="16">
        <f>OBRA!J217</f>
        <v>2017</v>
      </c>
      <c r="D218" s="17" t="str">
        <f>OBRA!M217</f>
        <v>CUENTA CORRIENTE</v>
      </c>
      <c r="E218" s="478"/>
      <c r="F218" s="358"/>
      <c r="G218" s="433"/>
      <c r="H218" s="358"/>
      <c r="I218" s="54" t="str">
        <f>OBRA!W217</f>
        <v>N/A</v>
      </c>
      <c r="J218" s="55" t="str">
        <f>OBRA!X217</f>
        <v>ING. JUAN MANUEL GARCIA ESCOTO</v>
      </c>
      <c r="K218" s="33" t="str">
        <f>OBRA!N217</f>
        <v>DOP/AD/007/2017</v>
      </c>
      <c r="L218" s="2" t="str">
        <f>OBRA!O217</f>
        <v>ADMINISTRACIÓN DIRECTA</v>
      </c>
      <c r="M218" s="3" t="str">
        <f>OBRA!P217</f>
        <v>CONSTRUCCION DE LINEA DE AGUA POTABLE EN LA CALLE CUAUHTEMOC, EN LA LOCALIDAD DE POTRERILLOS DEL MUNICIPIO DE JOCOTEPEC, JALISCO</v>
      </c>
      <c r="N218" s="3"/>
      <c r="O218" s="3"/>
      <c r="P218" s="6">
        <f>OBRA!S217</f>
        <v>43046</v>
      </c>
      <c r="Q218" s="4">
        <f>OBRA!R217</f>
        <v>80202.34</v>
      </c>
      <c r="R218" s="4"/>
      <c r="S218" s="5">
        <f>OBRA!T217</f>
        <v>43054</v>
      </c>
      <c r="T218" s="11">
        <f>OBRA!U217</f>
        <v>43084</v>
      </c>
      <c r="U218" s="53"/>
      <c r="V218" s="377" t="s">
        <v>1428</v>
      </c>
      <c r="W218" s="358"/>
      <c r="X218" s="361"/>
      <c r="Y218" s="450">
        <f>OBRA!AR217</f>
        <v>0</v>
      </c>
      <c r="Z218" s="309"/>
      <c r="AA218" s="309"/>
      <c r="AB218" s="5"/>
      <c r="AC218" s="317">
        <f>OBRA!BW217</f>
        <v>0</v>
      </c>
      <c r="AD218" s="352"/>
    </row>
    <row r="219" spans="1:30" ht="30" hidden="1" customHeight="1">
      <c r="A219" s="22" t="s">
        <v>2206</v>
      </c>
      <c r="B219" s="809" t="str">
        <f>GRAL!B220</f>
        <v>2015-2018</v>
      </c>
      <c r="C219" s="16">
        <f>OBRA!J218</f>
        <v>2017</v>
      </c>
      <c r="D219" s="17" t="str">
        <f>OBRA!M218</f>
        <v>RAMO 33</v>
      </c>
      <c r="E219" s="478"/>
      <c r="F219" s="358"/>
      <c r="G219" s="433"/>
      <c r="H219" s="358"/>
      <c r="I219" s="54" t="str">
        <f>OBRA!W218</f>
        <v>N/A</v>
      </c>
      <c r="J219" s="55" t="str">
        <f>OBRA!X218</f>
        <v>ING. ANGEL ALBERTO HERNANDEZ MORA</v>
      </c>
      <c r="K219" s="33" t="str">
        <f>OBRA!N218</f>
        <v>DOP/AD/008/2017</v>
      </c>
      <c r="L219" s="2" t="str">
        <f>OBRA!O218</f>
        <v>ADMINISTRACIÓN DIRECTA</v>
      </c>
      <c r="M219" s="3" t="str">
        <f>OBRA!P218</f>
        <v>CONSTRUCCION DE RED DE DRENAJE EN C. ZARAGOZA PARA CONECTARLO A CALLE VICENTE GUERRERO PONIENTE EN LA CABECERA MUNICIPAL DEL MUNICIPIO DE JOCOTEPEC, JALISCO</v>
      </c>
      <c r="N219" s="3"/>
      <c r="O219" s="3"/>
      <c r="P219" s="6">
        <f>OBRA!S218</f>
        <v>43054</v>
      </c>
      <c r="Q219" s="4">
        <f>OBRA!R218</f>
        <v>121598.89</v>
      </c>
      <c r="R219" s="4"/>
      <c r="S219" s="5">
        <f>OBRA!T218</f>
        <v>43052</v>
      </c>
      <c r="T219" s="11">
        <f>OBRA!U218</f>
        <v>43066</v>
      </c>
      <c r="U219" s="53"/>
      <c r="V219" s="377" t="s">
        <v>1428</v>
      </c>
      <c r="W219" s="358"/>
      <c r="X219" s="361"/>
      <c r="Y219" s="450">
        <f>OBRA!AR218</f>
        <v>0</v>
      </c>
      <c r="Z219" s="309"/>
      <c r="AA219" s="309"/>
      <c r="AB219" s="5"/>
      <c r="AC219" s="317">
        <f>OBRA!BW218</f>
        <v>0</v>
      </c>
      <c r="AD219" s="352"/>
    </row>
    <row r="220" spans="1:30" ht="30" hidden="1" customHeight="1">
      <c r="A220" s="22" t="s">
        <v>2206</v>
      </c>
      <c r="B220" s="809" t="str">
        <f>GRAL!B221</f>
        <v>2015-2018</v>
      </c>
      <c r="C220" s="16">
        <f>OBRA!J219</f>
        <v>2017</v>
      </c>
      <c r="D220" s="17" t="str">
        <f>OBRA!M219</f>
        <v>RAMO 33</v>
      </c>
      <c r="E220" s="478"/>
      <c r="F220" s="358"/>
      <c r="G220" s="433"/>
      <c r="H220" s="358"/>
      <c r="I220" s="54" t="str">
        <f>OBRA!W219</f>
        <v>N/A</v>
      </c>
      <c r="J220" s="55" t="str">
        <f>OBRA!X219</f>
        <v>ING. ANGEL ALBERTO HERNANDEZ MORA</v>
      </c>
      <c r="K220" s="33" t="str">
        <f>OBRA!N219</f>
        <v>DOP/AD/009/2017</v>
      </c>
      <c r="L220" s="2" t="str">
        <f>OBRA!O219</f>
        <v>ADMINISTRACIÓN DIRECTA</v>
      </c>
      <c r="M220" s="3" t="str">
        <f>OBRA!P219</f>
        <v>CONSTRUCCION DE LINEA DE AGUA POTABLE EN CALLE EMILIANO ZAPATA ENTRE PIPILA Y SANTA ISABEL DE LA LOCALIDAD DE ZAPOTITAN DE HIDALGO, DEL MUNICIPIO DE JOCOTEPEC, JALISCO</v>
      </c>
      <c r="N220" s="3"/>
      <c r="O220" s="3"/>
      <c r="P220" s="6">
        <f>OBRA!S219</f>
        <v>43078</v>
      </c>
      <c r="Q220" s="4">
        <f>OBRA!R219</f>
        <v>54161.63</v>
      </c>
      <c r="R220" s="4"/>
      <c r="S220" s="5">
        <f>OBRA!T219</f>
        <v>43078</v>
      </c>
      <c r="T220" s="11">
        <f>OBRA!U219</f>
        <v>43099</v>
      </c>
      <c r="U220" s="53"/>
      <c r="V220" s="377" t="s">
        <v>1428</v>
      </c>
      <c r="W220" s="358"/>
      <c r="X220" s="361"/>
      <c r="Y220" s="450">
        <f>OBRA!AR219</f>
        <v>0</v>
      </c>
      <c r="Z220" s="309"/>
      <c r="AA220" s="309"/>
      <c r="AB220" s="5"/>
      <c r="AC220" s="317">
        <f>OBRA!BW219</f>
        <v>0</v>
      </c>
      <c r="AD220" s="352"/>
    </row>
    <row r="221" spans="1:30" ht="30" hidden="1" customHeight="1">
      <c r="A221" s="22" t="s">
        <v>2206</v>
      </c>
      <c r="B221" s="809" t="str">
        <f>GRAL!B222</f>
        <v>2015-2018</v>
      </c>
      <c r="C221" s="16">
        <f>OBRA!J220</f>
        <v>2017</v>
      </c>
      <c r="D221" s="17" t="str">
        <f>OBRA!M220</f>
        <v>RAMO 33</v>
      </c>
      <c r="E221" s="478"/>
      <c r="F221" s="358"/>
      <c r="G221" s="433"/>
      <c r="H221" s="358"/>
      <c r="I221" s="54" t="str">
        <f>OBRA!W220</f>
        <v>N/A</v>
      </c>
      <c r="J221" s="55" t="str">
        <f>OBRA!X220</f>
        <v>ING. ANGEL ALBERTO HERNANDEZ MORA</v>
      </c>
      <c r="K221" s="33" t="str">
        <f>OBRA!N220</f>
        <v>DOP/AD/010/2017</v>
      </c>
      <c r="L221" s="2" t="str">
        <f>OBRA!O220</f>
        <v>ADMINISTRACIÓN DIRECTA</v>
      </c>
      <c r="M221" s="3" t="str">
        <f>OBRA!P220</f>
        <v>CONSTRUCCIÓN DE LINEA DE DRENAJE EN CALLE EMILIANO ZAPATA ENTRE PIPILA Y SANTA ISABEL DE LA LOCALIDAD DE ZAPOTITAN DE HIDALGO, DEL MUNICIPIO, JALISCO.</v>
      </c>
      <c r="N221" s="3"/>
      <c r="O221" s="3"/>
      <c r="P221" s="6">
        <f>OBRA!S220</f>
        <v>43078</v>
      </c>
      <c r="Q221" s="4">
        <f>OBRA!R220</f>
        <v>72083.75</v>
      </c>
      <c r="R221" s="4"/>
      <c r="S221" s="5">
        <f>OBRA!T220</f>
        <v>43078</v>
      </c>
      <c r="T221" s="11">
        <f>OBRA!U220</f>
        <v>43099</v>
      </c>
      <c r="U221" s="53"/>
      <c r="V221" s="377" t="s">
        <v>1428</v>
      </c>
      <c r="W221" s="358"/>
      <c r="X221" s="361"/>
      <c r="Y221" s="450">
        <f>OBRA!AR220</f>
        <v>0</v>
      </c>
      <c r="Z221" s="309"/>
      <c r="AA221" s="309"/>
      <c r="AB221" s="5"/>
      <c r="AC221" s="317">
        <f>OBRA!BW220</f>
        <v>0</v>
      </c>
      <c r="AD221" s="352"/>
    </row>
    <row r="222" spans="1:30" ht="30" hidden="1" customHeight="1">
      <c r="A222" s="22" t="s">
        <v>2206</v>
      </c>
      <c r="B222" s="809" t="str">
        <f>GRAL!B223</f>
        <v>2015-2018</v>
      </c>
      <c r="C222" s="16">
        <f>OBRA!J221</f>
        <v>2017</v>
      </c>
      <c r="D222" s="17" t="str">
        <f>OBRA!M221</f>
        <v>CUENTA CORRIENTE</v>
      </c>
      <c r="E222" s="478"/>
      <c r="F222" s="358"/>
      <c r="G222" s="433"/>
      <c r="H222" s="358"/>
      <c r="I222" s="54" t="str">
        <f>OBRA!W221</f>
        <v>N/A</v>
      </c>
      <c r="J222" s="55" t="str">
        <f>OBRA!X221</f>
        <v>ARQ. JAIME CONDE GOMEZ</v>
      </c>
      <c r="K222" s="33" t="str">
        <f>OBRA!N221</f>
        <v>DOP/AD/011/2017</v>
      </c>
      <c r="L222" s="2" t="str">
        <f>OBRA!O221</f>
        <v>ADMINISTRACIÓN DIRECTA</v>
      </c>
      <c r="M222" s="3" t="str">
        <f>OBRA!P221</f>
        <v>MEJORAMIENTO DEL MALECON DE LA LOCALIDAD DE SAN JUAN COSALA, DEL MUNICIPIO DE JOCOTEPEC, JALISCO</v>
      </c>
      <c r="N222" s="3"/>
      <c r="O222" s="3"/>
      <c r="P222" s="6">
        <f>OBRA!S221</f>
        <v>42986</v>
      </c>
      <c r="Q222" s="4">
        <f>OBRA!R221</f>
        <v>574043.4</v>
      </c>
      <c r="R222" s="4"/>
      <c r="S222" s="5">
        <f>OBRA!T221</f>
        <v>42989</v>
      </c>
      <c r="T222" s="11">
        <f>OBRA!U221</f>
        <v>43099</v>
      </c>
      <c r="U222" s="53"/>
      <c r="V222" s="377" t="s">
        <v>1428</v>
      </c>
      <c r="W222" s="358"/>
      <c r="X222" s="361"/>
      <c r="Y222" s="450">
        <f>OBRA!AR221</f>
        <v>0</v>
      </c>
      <c r="Z222" s="309"/>
      <c r="AA222" s="309"/>
      <c r="AB222" s="5"/>
      <c r="AC222" s="317">
        <f>OBRA!BW221</f>
        <v>0</v>
      </c>
      <c r="AD222" s="352"/>
    </row>
    <row r="223" spans="1:30" s="104" customFormat="1" ht="30" hidden="1" customHeight="1">
      <c r="A223" s="81" t="s">
        <v>2206</v>
      </c>
      <c r="B223" s="820" t="str">
        <f>GRAL!B224</f>
        <v>2012-2015</v>
      </c>
      <c r="C223" s="82">
        <f>OBRA!J222</f>
        <v>2017</v>
      </c>
      <c r="D223" s="97" t="str">
        <f>OBRA!M222</f>
        <v>RAMO 33</v>
      </c>
      <c r="E223" s="479"/>
      <c r="F223" s="824"/>
      <c r="G223" s="823"/>
      <c r="H223" s="824"/>
      <c r="I223" s="151" t="str">
        <f>OBRA!W222</f>
        <v>-</v>
      </c>
      <c r="J223" s="152">
        <f>OBRA!X222</f>
        <v>0</v>
      </c>
      <c r="K223" s="308" t="str">
        <f>OBRA!N222</f>
        <v>DOP/AD/012/2017</v>
      </c>
      <c r="L223" s="186" t="str">
        <f>OBRA!O222</f>
        <v>CANCELADA</v>
      </c>
      <c r="M223" s="106" t="str">
        <f>OBRA!P222</f>
        <v>REHABILITACION DE LINEA DE AGUA POTABLE EN CALLE INDEPENDENCIA ENTRE CARRETERA Y CERRADA, EN LA LOCALIDAD DE SAN JUAN COSALA, DEL MUNICIPIO DE JOCOTEPEC, JALISCO</v>
      </c>
      <c r="N223" s="125"/>
      <c r="O223" s="125"/>
      <c r="P223" s="87">
        <f>OBRA!S222</f>
        <v>0</v>
      </c>
      <c r="Q223" s="86">
        <f>OBRA!R222</f>
        <v>46522.58</v>
      </c>
      <c r="R223" s="86"/>
      <c r="S223" s="88">
        <f>OBRA!T222</f>
        <v>42979</v>
      </c>
      <c r="T223" s="89">
        <f>OBRA!U222</f>
        <v>42734</v>
      </c>
      <c r="U223" s="91"/>
      <c r="V223" s="688" t="s">
        <v>1428</v>
      </c>
      <c r="W223" s="824"/>
      <c r="X223" s="825"/>
      <c r="Y223" s="826">
        <f>OBRA!AR222</f>
        <v>0</v>
      </c>
      <c r="Z223" s="311"/>
      <c r="AA223" s="311"/>
      <c r="AB223" s="88"/>
      <c r="AC223" s="467">
        <f>OBRA!BW222</f>
        <v>0</v>
      </c>
      <c r="AD223" s="354"/>
    </row>
    <row r="224" spans="1:30" s="104" customFormat="1" ht="30" hidden="1" customHeight="1">
      <c r="A224" s="81" t="s">
        <v>2206</v>
      </c>
      <c r="B224" s="820" t="str">
        <f>GRAL!B225</f>
        <v>2012-2015</v>
      </c>
      <c r="C224" s="82">
        <f>OBRA!J223</f>
        <v>2017</v>
      </c>
      <c r="D224" s="97" t="str">
        <f>OBRA!M223</f>
        <v>RAMO 33</v>
      </c>
      <c r="E224" s="479"/>
      <c r="F224" s="824"/>
      <c r="G224" s="823"/>
      <c r="H224" s="824"/>
      <c r="I224" s="151" t="str">
        <f>OBRA!W223</f>
        <v>-</v>
      </c>
      <c r="J224" s="152">
        <f>OBRA!X223</f>
        <v>0</v>
      </c>
      <c r="K224" s="308" t="str">
        <f>OBRA!N223</f>
        <v>DOP/AD/013/2017</v>
      </c>
      <c r="L224" s="186" t="str">
        <f>OBRA!O223</f>
        <v>CANCELADA</v>
      </c>
      <c r="M224" s="106" t="str">
        <f>OBRA!P223</f>
        <v>FABRICACION DE EMPEDRADO AHOGADO EN CEMENTO EN CALLE INDEPENDENCIA, EN LA LOCALIDAD DE SAN JUAN COSALA, DEL MUNICIPIO DE JOCOTEPEC, JALISCO</v>
      </c>
      <c r="N224" s="125"/>
      <c r="O224" s="125"/>
      <c r="P224" s="87">
        <f>OBRA!S223</f>
        <v>0</v>
      </c>
      <c r="Q224" s="86">
        <f>OBRA!R223</f>
        <v>107544.91</v>
      </c>
      <c r="R224" s="86"/>
      <c r="S224" s="88">
        <f>OBRA!T223</f>
        <v>43070</v>
      </c>
      <c r="T224" s="89">
        <f>OBRA!U223</f>
        <v>43099</v>
      </c>
      <c r="U224" s="91"/>
      <c r="V224" s="688" t="s">
        <v>1428</v>
      </c>
      <c r="W224" s="824"/>
      <c r="X224" s="825"/>
      <c r="Y224" s="826">
        <f>OBRA!AR223</f>
        <v>0</v>
      </c>
      <c r="Z224" s="311"/>
      <c r="AA224" s="311"/>
      <c r="AB224" s="88"/>
      <c r="AC224" s="467">
        <f>OBRA!BW223</f>
        <v>0</v>
      </c>
      <c r="AD224" s="354"/>
    </row>
    <row r="225" spans="1:30" ht="30" hidden="1" customHeight="1">
      <c r="A225" s="22" t="s">
        <v>2206</v>
      </c>
      <c r="B225" s="809" t="str">
        <f>GRAL!B226</f>
        <v>2015-2018</v>
      </c>
      <c r="C225" s="16">
        <f>OBRA!J224</f>
        <v>2017</v>
      </c>
      <c r="D225" s="17" t="str">
        <f>OBRA!M224</f>
        <v>CUENTA CORRIENTE</v>
      </c>
      <c r="E225" s="478"/>
      <c r="F225" s="358"/>
      <c r="G225" s="433"/>
      <c r="H225" s="358"/>
      <c r="I225" s="54" t="str">
        <f>OBRA!W224</f>
        <v>N/A</v>
      </c>
      <c r="J225" s="55" t="str">
        <f>OBRA!X224</f>
        <v>ING. JUAN MANUEL GARCIA ESCOTO</v>
      </c>
      <c r="K225" s="33" t="str">
        <f>OBRA!N224</f>
        <v>DOP/AD/014/2017</v>
      </c>
      <c r="L225" s="2" t="str">
        <f>OBRA!O224</f>
        <v>ADMINISTRACIÓN DIRECTA</v>
      </c>
      <c r="M225" s="3" t="str">
        <f>OBRA!P224</f>
        <v>OBRA CIVIL COMPLEMENTARIA PARA LA INSTALACIÓN DE CARCAMO DE BOMBEO DE LA PLANTA DE TRATAMIENTO DEL MALECON,  EN LA CABECERA MUNICIPAL, DEÑ MUNICIPIO DE JOCOTEPEC, JALISCO</v>
      </c>
      <c r="N225" s="3"/>
      <c r="O225" s="3"/>
      <c r="P225" s="6">
        <f>OBRA!S224</f>
        <v>43078</v>
      </c>
      <c r="Q225" s="4">
        <f>OBRA!R224</f>
        <v>60000</v>
      </c>
      <c r="R225" s="4"/>
      <c r="S225" s="5">
        <f>OBRA!T224</f>
        <v>43078</v>
      </c>
      <c r="T225" s="11">
        <f>OBRA!U224</f>
        <v>43099</v>
      </c>
      <c r="U225" s="53"/>
      <c r="V225" s="377" t="s">
        <v>1428</v>
      </c>
      <c r="W225" s="358"/>
      <c r="X225" s="361"/>
      <c r="Y225" s="450">
        <f>OBRA!AR224</f>
        <v>0</v>
      </c>
      <c r="Z225" s="309"/>
      <c r="AA225" s="309"/>
      <c r="AB225" s="5"/>
      <c r="AC225" s="317">
        <f>OBRA!BW224</f>
        <v>0</v>
      </c>
      <c r="AD225" s="352"/>
    </row>
    <row r="226" spans="1:30" s="104" customFormat="1" ht="30" hidden="1" customHeight="1">
      <c r="A226" s="81" t="s">
        <v>2206</v>
      </c>
      <c r="B226" s="820" t="str">
        <f>GRAL!B227</f>
        <v>2012-2015</v>
      </c>
      <c r="C226" s="82">
        <f>OBRA!J225</f>
        <v>2017</v>
      </c>
      <c r="D226" s="97">
        <f>OBRA!M225</f>
        <v>0</v>
      </c>
      <c r="E226" s="479"/>
      <c r="F226" s="824"/>
      <c r="G226" s="823"/>
      <c r="H226" s="824"/>
      <c r="I226" s="151" t="str">
        <f>OBRA!W225</f>
        <v>-</v>
      </c>
      <c r="J226" s="152">
        <f>OBRA!X225</f>
        <v>0</v>
      </c>
      <c r="K226" s="308" t="str">
        <f>OBRA!N225</f>
        <v>DOP/AD/015/2017</v>
      </c>
      <c r="L226" s="186" t="str">
        <f>OBRA!O225</f>
        <v>CANCELADA</v>
      </c>
      <c r="M226" s="106">
        <f>OBRA!P225</f>
        <v>0</v>
      </c>
      <c r="N226" s="125"/>
      <c r="O226" s="125"/>
      <c r="P226" s="87">
        <f>OBRA!S225</f>
        <v>0</v>
      </c>
      <c r="Q226" s="86">
        <f>OBRA!R225</f>
        <v>0</v>
      </c>
      <c r="R226" s="86"/>
      <c r="S226" s="88">
        <f>OBRA!T225</f>
        <v>0</v>
      </c>
      <c r="T226" s="89">
        <f>OBRA!U225</f>
        <v>0</v>
      </c>
      <c r="U226" s="91"/>
      <c r="V226" s="688" t="s">
        <v>1428</v>
      </c>
      <c r="W226" s="824"/>
      <c r="X226" s="825"/>
      <c r="Y226" s="826">
        <f>OBRA!AR225</f>
        <v>0</v>
      </c>
      <c r="Z226" s="311"/>
      <c r="AA226" s="311"/>
      <c r="AB226" s="88"/>
      <c r="AC226" s="467">
        <f>OBRA!BW225</f>
        <v>0</v>
      </c>
      <c r="AD226" s="354"/>
    </row>
    <row r="227" spans="1:30" ht="354" hidden="1" customHeight="1">
      <c r="A227" s="22" t="s">
        <v>2206</v>
      </c>
      <c r="B227" s="809" t="str">
        <f>GRAL!B228</f>
        <v>2015-2018</v>
      </c>
      <c r="C227" s="16">
        <f>OBRA!J226</f>
        <v>2017</v>
      </c>
      <c r="D227" s="430" t="str">
        <f>OBRA!M226</f>
        <v>CUENTA CORRIENTE</v>
      </c>
      <c r="E227" s="217" t="s">
        <v>1428</v>
      </c>
      <c r="F227" s="969"/>
      <c r="G227" s="878"/>
      <c r="H227" s="507"/>
      <c r="I227" s="54" t="str">
        <f>OBRA!W226</f>
        <v>ASFALTOS GUADALAJARA, S.A.P.I. DE C.V.</v>
      </c>
      <c r="J227" s="55" t="str">
        <f>OBRA!X226</f>
        <v>ING. ANGEL ALBERTO HERNANDEZ MORA</v>
      </c>
      <c r="K227" s="33" t="str">
        <f>OBRA!N226</f>
        <v>GMJ 001C OP/2017</v>
      </c>
      <c r="L227" s="2" t="str">
        <f>OBRA!O226</f>
        <v>ADJUDICACIÓN DIRECTA</v>
      </c>
      <c r="M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6"/>
      <c r="O227" s="466"/>
      <c r="P227" s="67">
        <f>OBRA!S226</f>
        <v>42737</v>
      </c>
      <c r="Q227" s="79">
        <f>OBRA!R226</f>
        <v>1499890.33</v>
      </c>
      <c r="R227" s="79"/>
      <c r="S227" s="5">
        <f>OBRA!T226</f>
        <v>42740</v>
      </c>
      <c r="T227" s="11">
        <f>OBRA!U226</f>
        <v>42746</v>
      </c>
      <c r="U227" s="53"/>
      <c r="V227" s="62" t="s">
        <v>1428</v>
      </c>
      <c r="W227" s="507"/>
      <c r="X227" s="877"/>
      <c r="Y227" s="523">
        <f>OBRA!AR226</f>
        <v>299978.06</v>
      </c>
      <c r="Z227" s="5"/>
      <c r="AA227" s="309"/>
      <c r="AB227" s="5"/>
      <c r="AC227" s="317">
        <f>OBRA!BW226</f>
        <v>0</v>
      </c>
      <c r="AD227" s="352" t="s">
        <v>551</v>
      </c>
    </row>
    <row r="228" spans="1:30" ht="355.5" hidden="1" customHeight="1">
      <c r="A228" s="22" t="s">
        <v>2206</v>
      </c>
      <c r="B228" s="809" t="str">
        <f>GRAL!B229</f>
        <v>2015-2018</v>
      </c>
      <c r="C228" s="16">
        <f>OBRA!J227</f>
        <v>2017</v>
      </c>
      <c r="D228" s="1" t="str">
        <f>OBRA!M227</f>
        <v>CUENTA CORRIENTE</v>
      </c>
      <c r="E228" s="550" t="s">
        <v>1428</v>
      </c>
      <c r="F228" s="969"/>
      <c r="G228" s="878"/>
      <c r="H228" s="507"/>
      <c r="I228" s="54" t="str">
        <f>OBRA!W227</f>
        <v>ASFALTOS GUADALAJARA, S.A.P.I. DE C.V.</v>
      </c>
      <c r="J228" s="55" t="str">
        <f>OBRA!X227</f>
        <v>ING. ANGEL ALBERTO HERNANDEZ MORA</v>
      </c>
      <c r="K228" s="33" t="str">
        <f>OBRA!N227</f>
        <v>GMJ 002C OP/2017</v>
      </c>
      <c r="L228" s="2" t="str">
        <f>OBRA!O227</f>
        <v>ADJUDICACIÓN DIRECTA</v>
      </c>
      <c r="M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6"/>
      <c r="O228" s="466"/>
      <c r="P228" s="67">
        <f>OBRA!S227</f>
        <v>42747</v>
      </c>
      <c r="Q228" s="79">
        <f>OBRA!R227</f>
        <v>1316020.1499999999</v>
      </c>
      <c r="R228" s="79"/>
      <c r="S228" s="5">
        <f>OBRA!T227</f>
        <v>42747</v>
      </c>
      <c r="T228" s="11">
        <f>OBRA!U227</f>
        <v>42837</v>
      </c>
      <c r="U228" s="53"/>
      <c r="V228" s="62" t="s">
        <v>1428</v>
      </c>
      <c r="W228" s="507"/>
      <c r="X228" s="877"/>
      <c r="Y228" s="523">
        <f>OBRA!AR227</f>
        <v>263204.02</v>
      </c>
      <c r="Z228" s="5"/>
      <c r="AA228" s="309"/>
      <c r="AB228" s="5"/>
      <c r="AC228" s="317">
        <f>OBRA!BW227</f>
        <v>0</v>
      </c>
      <c r="AD228" s="352" t="s">
        <v>551</v>
      </c>
    </row>
    <row r="229" spans="1:30" ht="126.75" hidden="1" customHeight="1">
      <c r="A229" s="22" t="s">
        <v>2206</v>
      </c>
      <c r="B229" s="809" t="str">
        <f>GRAL!B230</f>
        <v>2015-2018</v>
      </c>
      <c r="C229" s="16">
        <f>OBRA!J228</f>
        <v>2017</v>
      </c>
      <c r="D229" s="1" t="str">
        <f>OBRA!M228</f>
        <v>RAMO 33</v>
      </c>
      <c r="E229" s="17" t="s">
        <v>1428</v>
      </c>
      <c r="F229" s="507"/>
      <c r="G229" s="878"/>
      <c r="H229" s="507"/>
      <c r="I229" s="54" t="str">
        <f>OBRA!W228</f>
        <v>ING. SERGIO CABRERA</v>
      </c>
      <c r="J229" s="55" t="str">
        <f>OBRA!X228</f>
        <v>ING. ANGEL ALBERTO HERNANDEZ MORA</v>
      </c>
      <c r="K229" s="33" t="str">
        <f>OBRA!N228</f>
        <v>GMJ 003C OP/2017</v>
      </c>
      <c r="L229" s="2" t="str">
        <f>OBRA!O228</f>
        <v>ADJUDICACIÓN DIRECTA</v>
      </c>
      <c r="M229" s="3" t="str">
        <f>OBRA!P228</f>
        <v>REHABILITACIÓN DE LÍNEA DE DRENAJE EN CALLES PROLONGACIÓN GONZALEZ ORTEGA, CABECERA MUNICIPAL DE JOCOTEPEC JALISCO</v>
      </c>
      <c r="N229" s="464"/>
      <c r="O229" s="464"/>
      <c r="P229" s="6">
        <f>OBRA!S228</f>
        <v>42857</v>
      </c>
      <c r="Q229" s="4">
        <f>OBRA!R228</f>
        <v>626112.69999999995</v>
      </c>
      <c r="R229" s="4"/>
      <c r="S229" s="5">
        <f>OBRA!T228</f>
        <v>42860</v>
      </c>
      <c r="T229" s="11">
        <f>OBRA!U228</f>
        <v>42880</v>
      </c>
      <c r="U229" s="53"/>
      <c r="V229" s="377" t="s">
        <v>1428</v>
      </c>
      <c r="W229" s="507"/>
      <c r="X229" s="1229"/>
      <c r="Y229" s="279">
        <f>OBRA!AR228</f>
        <v>125222.54</v>
      </c>
      <c r="Z229" s="5">
        <v>125222.54</v>
      </c>
      <c r="AA229" s="309"/>
      <c r="AB229" s="5"/>
      <c r="AC229" s="317">
        <f>OBRA!BW228</f>
        <v>0</v>
      </c>
      <c r="AD229" s="352" t="s">
        <v>551</v>
      </c>
    </row>
    <row r="230" spans="1:30" ht="153" hidden="1" customHeight="1">
      <c r="A230" s="22" t="s">
        <v>2206</v>
      </c>
      <c r="B230" s="809" t="str">
        <f>GRAL!B231</f>
        <v>2015-2018</v>
      </c>
      <c r="C230" s="16">
        <f>OBRA!J229</f>
        <v>2017</v>
      </c>
      <c r="D230" s="1" t="str">
        <f>OBRA!M229</f>
        <v>RAMO 33</v>
      </c>
      <c r="E230" s="17" t="s">
        <v>1428</v>
      </c>
      <c r="F230" s="507"/>
      <c r="G230" s="878"/>
      <c r="H230" s="507"/>
      <c r="I230" s="54" t="str">
        <f>OBRA!W229</f>
        <v>ING. SERGIO CABRERA</v>
      </c>
      <c r="J230" s="55" t="str">
        <f>OBRA!X229</f>
        <v>ING. ANGEL ALBERTO HERNANDEZ MORA</v>
      </c>
      <c r="K230" s="33" t="str">
        <f>OBRA!N229</f>
        <v>GMJ 004C OP/2017</v>
      </c>
      <c r="L230" s="2" t="str">
        <f>OBRA!O229</f>
        <v>ADJUDICACIÓN DIRECTA</v>
      </c>
      <c r="M230" s="3" t="str">
        <f>OBRA!P229</f>
        <v>REHABILITACIÓN DE RED DE AGUA POTABLE EN CALLE PROLONGACIÓN GONZÁLEZ ORTEGA, CABECERA MUNICIPAL DE JOCOTEPEC JALISCO</v>
      </c>
      <c r="N230" s="464"/>
      <c r="O230" s="464"/>
      <c r="P230" s="6">
        <f>OBRA!S229</f>
        <v>42857</v>
      </c>
      <c r="Q230" s="4">
        <f>OBRA!R229</f>
        <v>475018.98</v>
      </c>
      <c r="R230" s="4"/>
      <c r="S230" s="5">
        <f>OBRA!T229</f>
        <v>42860</v>
      </c>
      <c r="T230" s="11">
        <f>OBRA!U229</f>
        <v>42885</v>
      </c>
      <c r="U230" s="53"/>
      <c r="V230" s="377" t="s">
        <v>1428</v>
      </c>
      <c r="W230" s="507"/>
      <c r="X230" s="1229"/>
      <c r="Y230" s="279">
        <f>OBRA!AR229</f>
        <v>95003.78</v>
      </c>
      <c r="Z230" s="5"/>
      <c r="AA230" s="309"/>
      <c r="AB230" s="5"/>
      <c r="AC230" s="317">
        <f>OBRA!BW229</f>
        <v>0</v>
      </c>
      <c r="AD230" s="352" t="s">
        <v>551</v>
      </c>
    </row>
    <row r="231" spans="1:30" ht="102" hidden="1" customHeight="1">
      <c r="A231" s="22" t="s">
        <v>2206</v>
      </c>
      <c r="B231" s="809" t="str">
        <f>GRAL!B232</f>
        <v>2015-2018</v>
      </c>
      <c r="C231" s="16">
        <f>OBRA!J230</f>
        <v>2017</v>
      </c>
      <c r="D231" s="430" t="str">
        <f>OBRA!M230</f>
        <v>RAMO 33</v>
      </c>
      <c r="E231" s="13" t="s">
        <v>1428</v>
      </c>
      <c r="F231" s="1225"/>
      <c r="G231" s="1226"/>
      <c r="H231" s="507"/>
      <c r="I231" s="54" t="str">
        <f>OBRA!W230</f>
        <v>ING. SERGIO CABRERA</v>
      </c>
      <c r="J231" s="55" t="str">
        <f>OBRA!X230</f>
        <v>ING. ANGEL ALBERTO HERNANDEZ MORA</v>
      </c>
      <c r="K231" s="33" t="str">
        <f>OBRA!N230</f>
        <v>GMJ 005C OP/2017</v>
      </c>
      <c r="L231" s="2" t="str">
        <f>OBRA!O230</f>
        <v>ADJUDICACIÓN DIRECTA</v>
      </c>
      <c r="M231" s="3" t="str">
        <f>OBRA!P230</f>
        <v>CONSTRUCCIÓN DE HUELLAS DE CONCRETO EN CALLE PROLONGACIÓN GONZALEZ ORTEGA, CABECERA MUNICIPAL DE JOCOTEPEC JALISCO</v>
      </c>
      <c r="N231" s="466"/>
      <c r="O231" s="466"/>
      <c r="P231" s="67">
        <f>OBRA!S230</f>
        <v>42857</v>
      </c>
      <c r="Q231" s="79">
        <f>OBRA!R230</f>
        <v>383419.34</v>
      </c>
      <c r="R231" s="79"/>
      <c r="S231" s="5">
        <f>OBRA!T230</f>
        <v>42861</v>
      </c>
      <c r="T231" s="11">
        <f>OBRA!U230</f>
        <v>42901</v>
      </c>
      <c r="U231" s="53"/>
      <c r="V231" s="62" t="s">
        <v>1428</v>
      </c>
      <c r="W231" s="587"/>
      <c r="X231" s="1226"/>
      <c r="Y231" s="642">
        <f>OBRA!AR230</f>
        <v>76683.86</v>
      </c>
      <c r="Z231" s="5"/>
      <c r="AA231" s="309"/>
      <c r="AB231" s="5"/>
      <c r="AC231" s="317">
        <f>OBRA!BW230</f>
        <v>0</v>
      </c>
      <c r="AD231" s="352" t="s">
        <v>551</v>
      </c>
    </row>
    <row r="232" spans="1:30" ht="48" hidden="1" customHeight="1">
      <c r="A232" s="22" t="s">
        <v>2206</v>
      </c>
      <c r="B232" s="809" t="str">
        <f>GRAL!B233</f>
        <v>2015-2018</v>
      </c>
      <c r="C232" s="16">
        <f>OBRA!J231</f>
        <v>2017</v>
      </c>
      <c r="D232" s="17" t="str">
        <f>OBRA!M231</f>
        <v>RAMO 33</v>
      </c>
      <c r="E232" s="17" t="s">
        <v>1428</v>
      </c>
      <c r="F232" s="1225"/>
      <c r="G232" s="1226"/>
      <c r="H232" s="507"/>
      <c r="I232" s="54" t="str">
        <f>OBRA!W231</f>
        <v xml:space="preserve">GRUPO DESARROLLADOR INMOBILIARIO CEMERAMA S.A. DE C.V. </v>
      </c>
      <c r="J232" s="55" t="str">
        <f>OBRA!X231</f>
        <v>LIC. SALVADOR CONTRERAS OLGUÍN</v>
      </c>
      <c r="K232" s="33" t="str">
        <f>OBRA!N231</f>
        <v>GMJ 006C OP/2017</v>
      </c>
      <c r="L232" s="2" t="str">
        <f>OBRA!O231</f>
        <v>ADJUDICACIÓN DIRECTA</v>
      </c>
      <c r="M232" s="3" t="str">
        <f>OBRA!P231</f>
        <v>CONSTRUCCIÓN DE RED DE DRENAJE DE POZO A CALLE JUAREZ</v>
      </c>
      <c r="N232" s="464"/>
      <c r="O232" s="464"/>
      <c r="P232" s="67">
        <f>OBRA!S231</f>
        <v>42858</v>
      </c>
      <c r="Q232" s="4">
        <f>OBRA!R231</f>
        <v>167666.94</v>
      </c>
      <c r="R232" s="4"/>
      <c r="S232" s="5">
        <f>OBRA!T231</f>
        <v>42859</v>
      </c>
      <c r="T232" s="11">
        <f>OBRA!U231</f>
        <v>42875</v>
      </c>
      <c r="U232" s="53"/>
      <c r="V232" s="377" t="s">
        <v>1428</v>
      </c>
      <c r="W232" s="587"/>
      <c r="X232" s="1226"/>
      <c r="Y232" s="642">
        <f>OBRA!AR231</f>
        <v>33533.379999999997</v>
      </c>
      <c r="Z232" s="5"/>
      <c r="AA232" s="309"/>
      <c r="AB232" s="5"/>
      <c r="AC232" s="317">
        <f>OBRA!BW231</f>
        <v>0</v>
      </c>
      <c r="AD232" s="352" t="s">
        <v>551</v>
      </c>
    </row>
    <row r="233" spans="1:30" ht="101.25" hidden="1" customHeight="1">
      <c r="A233" s="22" t="s">
        <v>2206</v>
      </c>
      <c r="B233" s="809" t="str">
        <f>GRAL!B234</f>
        <v>2015-2018</v>
      </c>
      <c r="C233" s="16">
        <f>OBRA!J232</f>
        <v>2017</v>
      </c>
      <c r="D233" s="17" t="str">
        <f>OBRA!M232</f>
        <v>RAMO 33</v>
      </c>
      <c r="E233" s="17" t="s">
        <v>1428</v>
      </c>
      <c r="F233" s="1225"/>
      <c r="G233" s="1226"/>
      <c r="H233" s="507"/>
      <c r="I233" s="54" t="str">
        <f>OBRA!W232</f>
        <v xml:space="preserve">GRUPO DESARROLLADOR INMOBILIARIO CEMERAMA S.A. DE C.V. </v>
      </c>
      <c r="J233" s="55" t="str">
        <f>OBRA!X232</f>
        <v>LIC. SALVADOR CONTRERAS OLGUÍN</v>
      </c>
      <c r="K233" s="33" t="str">
        <f>OBRA!N232</f>
        <v>GMJ 007C OP/2017</v>
      </c>
      <c r="L233" s="2" t="str">
        <f>OBRA!O232</f>
        <v>ADJUDICACIÓN DIRECTA</v>
      </c>
      <c r="M233" s="3" t="str">
        <f>OBRA!P232</f>
        <v>CONSTRUCCIÓN DE LÍNEA ALIMENTADORA DE AGUA POTABLE DEL POZO A LA RED MUNICIPAL DE LA CALLE MORELOS DELEGACION DEL CHANTE</v>
      </c>
      <c r="N233" s="464"/>
      <c r="O233" s="464"/>
      <c r="P233" s="67">
        <f>OBRA!S232</f>
        <v>42857</v>
      </c>
      <c r="Q233" s="4">
        <f>OBRA!R232</f>
        <v>336153.85</v>
      </c>
      <c r="R233" s="4"/>
      <c r="S233" s="5">
        <f>OBRA!T232</f>
        <v>42868</v>
      </c>
      <c r="T233" s="11">
        <f>OBRA!U232</f>
        <v>42899</v>
      </c>
      <c r="U233" s="53"/>
      <c r="V233" s="377" t="s">
        <v>1428</v>
      </c>
      <c r="W233" s="587"/>
      <c r="X233" s="1226"/>
      <c r="Y233" s="642">
        <f>OBRA!AR232</f>
        <v>67230.759999999995</v>
      </c>
      <c r="Z233" s="5"/>
      <c r="AA233" s="309"/>
      <c r="AB233" s="5"/>
      <c r="AC233" s="317">
        <f>OBRA!BW232</f>
        <v>0</v>
      </c>
      <c r="AD233" s="352" t="s">
        <v>551</v>
      </c>
    </row>
    <row r="234" spans="1:30" ht="102" hidden="1" customHeight="1">
      <c r="A234" s="22" t="s">
        <v>2206</v>
      </c>
      <c r="B234" s="809" t="str">
        <f>GRAL!B235</f>
        <v>2015-2018</v>
      </c>
      <c r="C234" s="16">
        <f>OBRA!J233</f>
        <v>2017</v>
      </c>
      <c r="D234" s="17" t="str">
        <f>OBRA!M233</f>
        <v>RAMO 33</v>
      </c>
      <c r="E234" s="17" t="s">
        <v>1428</v>
      </c>
      <c r="F234" s="507"/>
      <c r="G234" s="878"/>
      <c r="H234" s="507"/>
      <c r="I234" s="54" t="str">
        <f>OBRA!W233</f>
        <v>CONSTRUCCIONES VIKBRAK, S.A. DE C.V.</v>
      </c>
      <c r="J234" s="55" t="str">
        <f>OBRA!X233</f>
        <v>ARQ. JAIME CONDE GOMEZ</v>
      </c>
      <c r="K234" s="33" t="str">
        <f>OBRA!N233</f>
        <v>GMJ 008C OP/2017</v>
      </c>
      <c r="L234" s="2" t="str">
        <f>OBRA!O233</f>
        <v>ADJUDICACIÓN DIRECTA</v>
      </c>
      <c r="M234" s="3" t="str">
        <f>OBRA!P233</f>
        <v>REHABILITACIÓN DE RED DE DRENAJE EN CALLE NIÑOS HEROES DE INVIERNO A PROLONGACIÓN ALDAMA, EN LA CABECERA MUNICIPAL DE JOCOTEPEC JALISCO</v>
      </c>
      <c r="N234" s="464"/>
      <c r="O234" s="464"/>
      <c r="P234" s="67">
        <f>OBRA!S233</f>
        <v>42857</v>
      </c>
      <c r="Q234" s="4">
        <f>OBRA!R233</f>
        <v>177076.07</v>
      </c>
      <c r="R234" s="4"/>
      <c r="S234" s="5">
        <f>OBRA!T233</f>
        <v>42859</v>
      </c>
      <c r="T234" s="11">
        <f>OBRA!U233</f>
        <v>42890</v>
      </c>
      <c r="U234" s="53"/>
      <c r="V234" s="377" t="s">
        <v>1428</v>
      </c>
      <c r="W234" s="535"/>
      <c r="X234" s="437"/>
      <c r="Y234" s="534">
        <f>OBRA!AR233</f>
        <v>0</v>
      </c>
      <c r="Z234" s="5"/>
      <c r="AA234" s="309"/>
      <c r="AB234" s="5"/>
      <c r="AC234" s="317">
        <f>OBRA!BW233</f>
        <v>0</v>
      </c>
      <c r="AD234" s="352" t="s">
        <v>1295</v>
      </c>
    </row>
    <row r="235" spans="1:30" ht="96.75" hidden="1" customHeight="1">
      <c r="A235" s="22" t="s">
        <v>2206</v>
      </c>
      <c r="B235" s="809" t="str">
        <f>GRAL!B236</f>
        <v>2015-2018</v>
      </c>
      <c r="C235" s="16">
        <f>OBRA!J234</f>
        <v>2017</v>
      </c>
      <c r="D235" s="17" t="str">
        <f>OBRA!M234</f>
        <v>RAMO 33</v>
      </c>
      <c r="E235" s="17" t="s">
        <v>1428</v>
      </c>
      <c r="F235" s="507"/>
      <c r="G235" s="878"/>
      <c r="H235" s="507"/>
      <c r="I235" s="54" t="str">
        <f>OBRA!W234</f>
        <v>CONSTRUCCIONES VIKBRAK, S.A. DE C.V.</v>
      </c>
      <c r="J235" s="55" t="str">
        <f>OBRA!X234</f>
        <v>ARQ. JAIME CONDE GOMEZ</v>
      </c>
      <c r="K235" s="33" t="str">
        <f>OBRA!N234</f>
        <v>GMJ 009C OP/2017</v>
      </c>
      <c r="L235" s="2" t="str">
        <f>OBRA!O234</f>
        <v>ADJUDICACIÓN DIRECTA</v>
      </c>
      <c r="M235" s="3" t="str">
        <f>OBRA!P234</f>
        <v>REHABILITACIÓN DE RED DE AGUA POTABLE EN CALLE NIÑOS HEROES, DE INVIERNO A PROLONGACIÓN ALDAMA, EN LA CABECERA MUNICIPAL DE JOCOTEPEC, JALISCO</v>
      </c>
      <c r="N235" s="464"/>
      <c r="O235" s="464"/>
      <c r="P235" s="67">
        <f>OBRA!S234</f>
        <v>42858</v>
      </c>
      <c r="Q235" s="4">
        <f>OBRA!R234</f>
        <v>113674.93</v>
      </c>
      <c r="R235" s="4"/>
      <c r="S235" s="5">
        <f>OBRA!T234</f>
        <v>42870</v>
      </c>
      <c r="T235" s="11">
        <f>OBRA!U234</f>
        <v>42886</v>
      </c>
      <c r="U235" s="53"/>
      <c r="V235" s="377" t="s">
        <v>1428</v>
      </c>
      <c r="W235" s="869"/>
      <c r="X235" s="870"/>
      <c r="Y235" s="534">
        <f>OBRA!AR234</f>
        <v>0</v>
      </c>
      <c r="Z235" s="5"/>
      <c r="AA235" s="309"/>
      <c r="AB235" s="5"/>
      <c r="AC235" s="317">
        <f>OBRA!BW234</f>
        <v>0</v>
      </c>
      <c r="AD235" s="352" t="s">
        <v>1295</v>
      </c>
    </row>
    <row r="236" spans="1:30" ht="80.25" hidden="1" customHeight="1">
      <c r="A236" s="22" t="s">
        <v>2206</v>
      </c>
      <c r="B236" s="809" t="str">
        <f>GRAL!B237</f>
        <v>2015-2018</v>
      </c>
      <c r="C236" s="16">
        <f>OBRA!J235</f>
        <v>2017</v>
      </c>
      <c r="D236" s="17" t="str">
        <f>OBRA!M235</f>
        <v>RAMO 33</v>
      </c>
      <c r="E236" s="17" t="s">
        <v>1428</v>
      </c>
      <c r="F236" s="507"/>
      <c r="G236" s="510"/>
      <c r="H236" s="507"/>
      <c r="I236" s="54" t="str">
        <f>OBRA!W235</f>
        <v>CONSTRUCCIONES VIKBRAK, S.A. DE C.V.</v>
      </c>
      <c r="J236" s="55" t="str">
        <f>OBRA!X235</f>
        <v>ARQ. JAIME CONDE GOMEZ</v>
      </c>
      <c r="K236" s="33" t="str">
        <f>OBRA!N235</f>
        <v>GMJ 010C OP/2017</v>
      </c>
      <c r="L236" s="2" t="str">
        <f>OBRA!O235</f>
        <v>ADJUDICACIÓN DIRECTA</v>
      </c>
      <c r="M236" s="3" t="str">
        <f>OBRA!P235</f>
        <v>REHABILITACIÓN DE RED DE DRENAJE EN CALLE INVIERNO DE NIÑOS HEROES A ZARAGOZA, EN LA CABECERA MUNICIPAL</v>
      </c>
      <c r="N236" s="464"/>
      <c r="O236" s="464"/>
      <c r="P236" s="67">
        <f>OBRA!S235</f>
        <v>42857</v>
      </c>
      <c r="Q236" s="4">
        <f>OBRA!R235</f>
        <v>228407.58</v>
      </c>
      <c r="R236" s="4"/>
      <c r="S236" s="5">
        <f>OBRA!T235</f>
        <v>42859</v>
      </c>
      <c r="T236" s="11">
        <f>OBRA!U235</f>
        <v>42890</v>
      </c>
      <c r="U236" s="53"/>
      <c r="V236" s="377" t="s">
        <v>1428</v>
      </c>
      <c r="W236" s="535"/>
      <c r="X236" s="437"/>
      <c r="Y236" s="534">
        <f>OBRA!AR235</f>
        <v>0</v>
      </c>
      <c r="Z236" s="5"/>
      <c r="AA236" s="309"/>
      <c r="AB236" s="5"/>
      <c r="AC236" s="317">
        <f>OBRA!BW235</f>
        <v>0</v>
      </c>
      <c r="AD236" s="352" t="s">
        <v>1295</v>
      </c>
    </row>
    <row r="237" spans="1:30" ht="82.5" hidden="1" customHeight="1">
      <c r="A237" s="22" t="s">
        <v>2206</v>
      </c>
      <c r="B237" s="809" t="str">
        <f>GRAL!B238</f>
        <v>2015-2018</v>
      </c>
      <c r="C237" s="16">
        <f>OBRA!J236</f>
        <v>2017</v>
      </c>
      <c r="D237" s="17" t="str">
        <f>OBRA!M236</f>
        <v>RAMO 33</v>
      </c>
      <c r="E237" s="17" t="s">
        <v>1428</v>
      </c>
      <c r="F237" s="507"/>
      <c r="G237" s="878"/>
      <c r="H237" s="507"/>
      <c r="I237" s="54" t="str">
        <f>OBRA!W236</f>
        <v>CONSTRUCCIONES VIKBRAK, S.A. DE C.V.</v>
      </c>
      <c r="J237" s="55" t="str">
        <f>OBRA!X236</f>
        <v>ARQ. JAIME CONDE GOMEZ</v>
      </c>
      <c r="K237" s="33" t="str">
        <f>OBRA!N236</f>
        <v>GMJ 011C OP/2017</v>
      </c>
      <c r="L237" s="2" t="str">
        <f>OBRA!O236</f>
        <v>ADJUDICACIÓN DIRECTA</v>
      </c>
      <c r="M237" s="3" t="str">
        <f>OBRA!P236</f>
        <v>REHABILITACIÓN DE RED DE AGUA POTABLE EN CALLE INVIERNO, DE NIÑOS HEROES A ZARAGOZA, EN LA CABECERA MUNICIPAL DE JOCOTEPEC, JALISCO</v>
      </c>
      <c r="N237" s="464"/>
      <c r="O237" s="464"/>
      <c r="P237" s="67">
        <f>OBRA!S236</f>
        <v>42858</v>
      </c>
      <c r="Q237" s="4">
        <f>OBRA!R236</f>
        <v>147033.21</v>
      </c>
      <c r="R237" s="4"/>
      <c r="S237" s="5">
        <f>OBRA!T236</f>
        <v>42870</v>
      </c>
      <c r="T237" s="11">
        <f>OBRA!U236</f>
        <v>42886</v>
      </c>
      <c r="U237" s="53"/>
      <c r="V237" s="377" t="s">
        <v>1428</v>
      </c>
      <c r="W237" s="869"/>
      <c r="X237" s="870"/>
      <c r="Y237" s="534">
        <f>OBRA!AR236</f>
        <v>0</v>
      </c>
      <c r="Z237" s="5"/>
      <c r="AA237" s="309"/>
      <c r="AB237" s="5"/>
      <c r="AC237" s="317">
        <f>OBRA!BW236</f>
        <v>0</v>
      </c>
      <c r="AD237" s="352" t="s">
        <v>1295</v>
      </c>
    </row>
    <row r="238" spans="1:30" ht="87.75" hidden="1" customHeight="1">
      <c r="A238" s="22" t="s">
        <v>2206</v>
      </c>
      <c r="B238" s="809" t="str">
        <f>GRAL!B239</f>
        <v>2015-2018</v>
      </c>
      <c r="C238" s="16">
        <f>OBRA!J237</f>
        <v>2017</v>
      </c>
      <c r="D238" s="17" t="str">
        <f>OBRA!M237</f>
        <v>RAMO 33</v>
      </c>
      <c r="E238" s="17" t="s">
        <v>1428</v>
      </c>
      <c r="F238" s="507"/>
      <c r="G238" s="878"/>
      <c r="H238" s="507"/>
      <c r="I238" s="54" t="str">
        <f>OBRA!W237</f>
        <v>CONSTRUCCIONES VIKBRAK, S.A. DE C.V.</v>
      </c>
      <c r="J238" s="55" t="str">
        <f>OBRA!X237</f>
        <v>ARQ. JAIME CONDE GOMEZ</v>
      </c>
      <c r="K238" s="33" t="str">
        <f>OBRA!N237</f>
        <v>GMJ 012C OP/2017</v>
      </c>
      <c r="L238" s="2" t="str">
        <f>OBRA!O237</f>
        <v>ADJUDICACIÓN DIRECTA</v>
      </c>
      <c r="M238" s="3" t="str">
        <f>OBRA!P237</f>
        <v>REHABILITACIÓN DE RED DE DRENAJE EN CALLE ZARAGOZA DE INVIERNO A OTOÑO, EN LA CABECERA MUNICIPAL DE JOCOTEPEC JALISCO</v>
      </c>
      <c r="N238" s="464"/>
      <c r="O238" s="464"/>
      <c r="P238" s="67">
        <f>OBRA!S237</f>
        <v>42858</v>
      </c>
      <c r="Q238" s="4">
        <f>OBRA!R237</f>
        <v>81517.39</v>
      </c>
      <c r="R238" s="4"/>
      <c r="S238" s="5">
        <f>OBRA!T237</f>
        <v>42859</v>
      </c>
      <c r="T238" s="11">
        <f>OBRA!U237</f>
        <v>42890</v>
      </c>
      <c r="U238" s="53"/>
      <c r="V238" s="377" t="s">
        <v>1428</v>
      </c>
      <c r="W238" s="869"/>
      <c r="X238" s="870"/>
      <c r="Y238" s="534">
        <f>OBRA!AR237</f>
        <v>0</v>
      </c>
      <c r="Z238" s="5"/>
      <c r="AA238" s="309"/>
      <c r="AB238" s="5"/>
      <c r="AC238" s="317">
        <f>OBRA!BW237</f>
        <v>0</v>
      </c>
      <c r="AD238" s="352" t="s">
        <v>1295</v>
      </c>
    </row>
    <row r="239" spans="1:30" ht="110.25" hidden="1" customHeight="1">
      <c r="A239" s="22" t="s">
        <v>2206</v>
      </c>
      <c r="B239" s="809" t="str">
        <f>GRAL!B240</f>
        <v>2015-2018</v>
      </c>
      <c r="C239" s="16">
        <f>OBRA!J238</f>
        <v>2017</v>
      </c>
      <c r="D239" s="17" t="str">
        <f>OBRA!M238</f>
        <v>RAMO 33</v>
      </c>
      <c r="E239" s="17" t="s">
        <v>1428</v>
      </c>
      <c r="F239" s="507"/>
      <c r="G239" s="878"/>
      <c r="H239" s="507"/>
      <c r="I239" s="54" t="str">
        <f>OBRA!W238</f>
        <v>CONSTRUCCIONES VIKBRAK, S.A. DE C.V.</v>
      </c>
      <c r="J239" s="55" t="str">
        <f>OBRA!X238</f>
        <v>ARQ. JAIME CONDE GOMEZ</v>
      </c>
      <c r="K239" s="33" t="str">
        <f>OBRA!N238</f>
        <v>GMJ 013C OP/2017</v>
      </c>
      <c r="L239" s="2" t="str">
        <f>OBRA!O238</f>
        <v>ADJUDICACIÓN DIRECTA</v>
      </c>
      <c r="M239" s="3" t="str">
        <f>OBRA!P238</f>
        <v>REHABILITACIÓN DE RED DE AGUA POTABLE EN CALLE ZARAGOZA DE INVIERNO A OTOÑO, EN LA CABECERA MUNICIPAL DE JOCOTEPEC, JALISCO</v>
      </c>
      <c r="N239" s="464"/>
      <c r="O239" s="464"/>
      <c r="P239" s="67">
        <f>OBRA!S238</f>
        <v>42858</v>
      </c>
      <c r="Q239" s="4">
        <f>OBRA!R238</f>
        <v>52148.39</v>
      </c>
      <c r="R239" s="4"/>
      <c r="S239" s="5">
        <f>OBRA!T238</f>
        <v>42870</v>
      </c>
      <c r="T239" s="11">
        <f>OBRA!U238</f>
        <v>42886</v>
      </c>
      <c r="U239" s="53"/>
      <c r="V239" s="377" t="s">
        <v>1428</v>
      </c>
      <c r="W239" s="869"/>
      <c r="X239" s="870"/>
      <c r="Y239" s="534">
        <f>OBRA!AR238</f>
        <v>0</v>
      </c>
      <c r="Z239" s="5"/>
      <c r="AA239" s="309"/>
      <c r="AB239" s="5"/>
      <c r="AC239" s="317">
        <f>OBRA!BW238</f>
        <v>0</v>
      </c>
      <c r="AD239" s="352" t="s">
        <v>1295</v>
      </c>
    </row>
    <row r="240" spans="1:30" ht="115.5" hidden="1" customHeight="1">
      <c r="A240" s="22" t="s">
        <v>2206</v>
      </c>
      <c r="B240" s="809" t="str">
        <f>GRAL!B241</f>
        <v>2015-2018</v>
      </c>
      <c r="C240" s="16">
        <f>OBRA!J239</f>
        <v>2017</v>
      </c>
      <c r="D240" s="17" t="str">
        <f>OBRA!M239</f>
        <v>RAMO 33</v>
      </c>
      <c r="E240" s="17" t="s">
        <v>1428</v>
      </c>
      <c r="F240" s="507"/>
      <c r="G240" s="878"/>
      <c r="H240" s="507"/>
      <c r="I240" s="54" t="str">
        <f>OBRA!W239</f>
        <v>SERVICIOS ARQUITECTÓNICOS MOAPAL S.A. DE C.V.</v>
      </c>
      <c r="J240" s="55" t="str">
        <f>OBRA!X239</f>
        <v>ING. J. GUADALUPE IBARRA RAMIREZ</v>
      </c>
      <c r="K240" s="33" t="str">
        <f>OBRA!N239</f>
        <v>GMJ 014C OP/2017</v>
      </c>
      <c r="L240" s="2" t="str">
        <f>OBRA!O239</f>
        <v>ADJUDICACIÓN DIRECTA</v>
      </c>
      <c r="M240" s="3" t="str">
        <f>OBRA!P239</f>
        <v>REHABILITACIÓN DE RED DE DRENAJE EN CALLE VENUSTIANO CARRANZA DE PRIMAVERA A ITURBIDE, EN LA CABECERA MUNICIPAL DE JOCOTEPEC, JALISCO</v>
      </c>
      <c r="N240" s="464"/>
      <c r="O240" s="464"/>
      <c r="P240" s="67">
        <f>OBRA!S239</f>
        <v>42888</v>
      </c>
      <c r="Q240" s="4">
        <f>OBRA!R239</f>
        <v>206557.32</v>
      </c>
      <c r="R240" s="4"/>
      <c r="S240" s="5">
        <f>OBRA!T239</f>
        <v>42888</v>
      </c>
      <c r="T240" s="11">
        <f>OBRA!U239</f>
        <v>42902</v>
      </c>
      <c r="U240" s="53"/>
      <c r="V240" s="377" t="s">
        <v>1428</v>
      </c>
      <c r="W240" s="507"/>
      <c r="X240" s="1230"/>
      <c r="Y240" s="340">
        <f>OBRA!AR239</f>
        <v>20655.73</v>
      </c>
      <c r="Z240" s="5"/>
      <c r="AA240" s="309"/>
      <c r="AB240" s="5"/>
      <c r="AC240" s="317">
        <f>OBRA!BW239</f>
        <v>0</v>
      </c>
      <c r="AD240" s="352" t="s">
        <v>551</v>
      </c>
    </row>
    <row r="241" spans="1:30" ht="112.5" hidden="1" customHeight="1">
      <c r="A241" s="22" t="s">
        <v>2206</v>
      </c>
      <c r="B241" s="809" t="str">
        <f>GRAL!B242</f>
        <v>2015-2018</v>
      </c>
      <c r="C241" s="16">
        <f>OBRA!J240</f>
        <v>2017</v>
      </c>
      <c r="D241" s="17" t="str">
        <f>OBRA!M240</f>
        <v>RAMO 33</v>
      </c>
      <c r="E241" s="17" t="s">
        <v>1428</v>
      </c>
      <c r="F241" s="507"/>
      <c r="G241" s="881"/>
      <c r="H241" s="1227"/>
      <c r="I241" s="54" t="str">
        <f>OBRA!W240</f>
        <v>SERVICIOS ARQUITECTÓNICOS MOAPAL S.A. DE C.V.</v>
      </c>
      <c r="J241" s="55" t="str">
        <f>OBRA!X240</f>
        <v>ING. J. GUADALUPE IBARRA RAMIREZ</v>
      </c>
      <c r="K241" s="33" t="str">
        <f>OBRA!N240</f>
        <v>GMJ 015C OP/2017</v>
      </c>
      <c r="L241" s="2" t="str">
        <f>OBRA!O240</f>
        <v>ADJUDICACIÓN DIRECTA</v>
      </c>
      <c r="M241" s="3" t="str">
        <f>OBRA!P240</f>
        <v>REHABILITACIÓN DE RED DE AGUA POTABLE EN CALLE VENUSTIANO CARRANZA DE PRIMAVERA A ITURBIDE, EN LA CABECERA MUNICIPAL DE JOCOTEPEC, JALISCO</v>
      </c>
      <c r="N241" s="464"/>
      <c r="O241" s="464"/>
      <c r="P241" s="67">
        <f>OBRA!S240</f>
        <v>42887</v>
      </c>
      <c r="Q241" s="4">
        <f>OBRA!R240</f>
        <v>125546.81</v>
      </c>
      <c r="R241" s="4"/>
      <c r="S241" s="5">
        <f>OBRA!T240</f>
        <v>42888</v>
      </c>
      <c r="T241" s="11">
        <f>OBRA!U240</f>
        <v>42902</v>
      </c>
      <c r="U241" s="53"/>
      <c r="V241" s="377" t="s">
        <v>1428</v>
      </c>
      <c r="W241" s="507"/>
      <c r="X241" s="1229"/>
      <c r="Y241" s="340">
        <f>OBRA!AR240</f>
        <v>12554.68</v>
      </c>
      <c r="Z241" s="5"/>
      <c r="AA241" s="309"/>
      <c r="AB241" s="5"/>
      <c r="AC241" s="317">
        <f>OBRA!BW240</f>
        <v>0</v>
      </c>
      <c r="AD241" s="352" t="s">
        <v>551</v>
      </c>
    </row>
    <row r="242" spans="1:30" ht="86.25" hidden="1" customHeight="1">
      <c r="A242" s="22" t="s">
        <v>2206</v>
      </c>
      <c r="B242" s="809" t="str">
        <f>GRAL!B243</f>
        <v>2015-2018</v>
      </c>
      <c r="C242" s="16">
        <f>OBRA!J241</f>
        <v>2017</v>
      </c>
      <c r="D242" s="17" t="str">
        <f>OBRA!M241</f>
        <v>CUENTA CORRIENTE</v>
      </c>
      <c r="E242" s="38" t="s">
        <v>1428</v>
      </c>
      <c r="F242" s="507"/>
      <c r="G242" s="878"/>
      <c r="H242" s="507"/>
      <c r="I242" s="54" t="str">
        <f>OBRA!W241</f>
        <v>ARGUELLES ARQUITECTOS S.A. DE C.V.</v>
      </c>
      <c r="J242" s="55" t="str">
        <f>OBRA!X241</f>
        <v>ARQ. JAIME CONDE GOMEZ</v>
      </c>
      <c r="K242" s="33" t="str">
        <f>OBRA!N241</f>
        <v>GMJ 016C OP/2017</v>
      </c>
      <c r="L242" s="2" t="str">
        <f>OBRA!O241</f>
        <v>ADJUDICACIÓN DIRECTA</v>
      </c>
      <c r="M242" s="3" t="str">
        <f>OBRA!P241</f>
        <v>CONSTRUCCIÓN DE LA AMPLIACIÓN DEL PANTEON MUNICIPAL, PRIMERA ETAPA EN LA CABECERA MUNICIPAL DE JOCOTEPEC, JALISCO</v>
      </c>
      <c r="N242" s="504"/>
      <c r="O242" s="504"/>
      <c r="P242" s="67">
        <f>OBRA!S241</f>
        <v>42893</v>
      </c>
      <c r="Q242" s="4">
        <f>OBRA!R241</f>
        <v>1570967.83</v>
      </c>
      <c r="R242" s="4"/>
      <c r="S242" s="5">
        <f>OBRA!T241</f>
        <v>42905</v>
      </c>
      <c r="T242" s="11">
        <f>OBRA!U241</f>
        <v>43027</v>
      </c>
      <c r="U242" s="53"/>
      <c r="V242" s="377" t="s">
        <v>1428</v>
      </c>
      <c r="W242" s="587"/>
      <c r="X242" s="1231"/>
      <c r="Y242" s="659">
        <f>OBRA!AR241</f>
        <v>628386.98</v>
      </c>
      <c r="Z242" s="5"/>
      <c r="AA242" s="309"/>
      <c r="AB242" s="5"/>
      <c r="AC242" s="317">
        <f>OBRA!BW241</f>
        <v>0</v>
      </c>
      <c r="AD242" s="352" t="s">
        <v>551</v>
      </c>
    </row>
    <row r="243" spans="1:30" ht="114.75" hidden="1" customHeight="1">
      <c r="A243" s="22" t="s">
        <v>2206</v>
      </c>
      <c r="B243" s="809" t="str">
        <f>GRAL!B244</f>
        <v>2015-2018</v>
      </c>
      <c r="C243" s="16">
        <f>OBRA!J242</f>
        <v>2017</v>
      </c>
      <c r="D243" s="17" t="str">
        <f>OBRA!M242</f>
        <v>RAMO 33</v>
      </c>
      <c r="E243" s="394" t="s">
        <v>1428</v>
      </c>
      <c r="F243" s="507"/>
      <c r="G243" s="878"/>
      <c r="H243" s="507"/>
      <c r="I243" s="54" t="str">
        <f>OBRA!W242</f>
        <v>ING. SERGIO CABRERA</v>
      </c>
      <c r="J243" s="55" t="str">
        <f>OBRA!X242</f>
        <v>ING. J. GUADALUPE IBARRA RAMIREZ</v>
      </c>
      <c r="K243" s="33" t="str">
        <f>OBRA!N242</f>
        <v>GMJ 017C OP/2017</v>
      </c>
      <c r="L243" s="2" t="str">
        <f>OBRA!O242</f>
        <v>ADJUDICACIÓN DIRECTA</v>
      </c>
      <c r="M243" s="3" t="str">
        <f>OBRA!P242</f>
        <v>REHABILITACIÓN DE RED DE DRENAJE EN CALLE VERNANO DE ANDADOR JESÚS MORALES A 21 DE MARZO, EN LA CABECERA MUNICIPAL DE JOCOTEPEC, JALISCO</v>
      </c>
      <c r="N243" s="464"/>
      <c r="O243" s="464"/>
      <c r="P243" s="67">
        <f>OBRA!S242</f>
        <v>42902</v>
      </c>
      <c r="Q243" s="4">
        <f>OBRA!R242</f>
        <v>143878.99</v>
      </c>
      <c r="R243" s="4"/>
      <c r="S243" s="5">
        <f>OBRA!T242</f>
        <v>42907</v>
      </c>
      <c r="T243" s="11">
        <f>OBRA!U242</f>
        <v>42968</v>
      </c>
      <c r="U243" s="53"/>
      <c r="V243" s="377" t="s">
        <v>1428</v>
      </c>
      <c r="W243" s="535"/>
      <c r="X243" s="437"/>
      <c r="Y243" s="659">
        <f>OBRA!AR242</f>
        <v>64745.52</v>
      </c>
      <c r="Z243" s="5"/>
      <c r="AA243" s="309"/>
      <c r="AB243" s="5"/>
      <c r="AC243" s="317">
        <f>OBRA!BW242</f>
        <v>0</v>
      </c>
      <c r="AD243" s="352" t="s">
        <v>1295</v>
      </c>
    </row>
    <row r="244" spans="1:30" ht="93" hidden="1" customHeight="1">
      <c r="A244" s="22" t="s">
        <v>2206</v>
      </c>
      <c r="B244" s="809" t="str">
        <f>GRAL!B245</f>
        <v>2015-2018</v>
      </c>
      <c r="C244" s="16">
        <f>OBRA!J243</f>
        <v>2017</v>
      </c>
      <c r="D244" s="17" t="str">
        <f>OBRA!M243</f>
        <v>RAMO 33</v>
      </c>
      <c r="E244" s="17" t="s">
        <v>1428</v>
      </c>
      <c r="F244" s="507"/>
      <c r="G244" s="878"/>
      <c r="H244" s="507"/>
      <c r="I244" s="54" t="str">
        <f>OBRA!W243</f>
        <v>ING. SERGIO CABRERA</v>
      </c>
      <c r="J244" s="55" t="str">
        <f>OBRA!X243</f>
        <v>ING. J. GUADALUPE IBARRA RAMIREZ</v>
      </c>
      <c r="K244" s="33" t="str">
        <f>OBRA!N243</f>
        <v>GMJ 018C OP/2017</v>
      </c>
      <c r="L244" s="2" t="str">
        <f>OBRA!O243</f>
        <v>ADJUDICACIÓN DIRECTA</v>
      </c>
      <c r="M244" s="3" t="str">
        <f>OBRA!P243</f>
        <v>REHABILITACIÓN DE RED DE AGUA POTABLE EN CALLE VERANO DE ANDADOR JESÚS MORALES A 21 DE MARZO, EN LA CABECERA MUNICIPAL DE JOCOTEPEC, JALISCO</v>
      </c>
      <c r="N244" s="464"/>
      <c r="O244" s="464"/>
      <c r="P244" s="67">
        <f>OBRA!S243</f>
        <v>42902</v>
      </c>
      <c r="Q244" s="4">
        <f>OBRA!R243</f>
        <v>88991.13</v>
      </c>
      <c r="R244" s="4"/>
      <c r="S244" s="5">
        <f>OBRA!T243</f>
        <v>42907</v>
      </c>
      <c r="T244" s="11">
        <f>OBRA!U243</f>
        <v>42968</v>
      </c>
      <c r="U244" s="53"/>
      <c r="V244" s="377" t="s">
        <v>1428</v>
      </c>
      <c r="W244" s="869"/>
      <c r="X244" s="1231"/>
      <c r="Y244" s="659">
        <f>OBRA!AR243</f>
        <v>31146.89</v>
      </c>
      <c r="Z244" s="5"/>
      <c r="AA244" s="309"/>
      <c r="AB244" s="5"/>
      <c r="AC244" s="317">
        <f>OBRA!BW243</f>
        <v>0</v>
      </c>
      <c r="AD244" s="352" t="s">
        <v>1295</v>
      </c>
    </row>
    <row r="245" spans="1:30" ht="99.75" hidden="1" customHeight="1">
      <c r="A245" s="22" t="s">
        <v>2206</v>
      </c>
      <c r="B245" s="809" t="str">
        <f>GRAL!B246</f>
        <v>2015-2018</v>
      </c>
      <c r="C245" s="16">
        <f>OBRA!J244</f>
        <v>2017</v>
      </c>
      <c r="D245" s="17" t="str">
        <f>OBRA!M244</f>
        <v>RAMO 33</v>
      </c>
      <c r="E245" s="17" t="s">
        <v>1428</v>
      </c>
      <c r="F245" s="507"/>
      <c r="G245" s="878"/>
      <c r="H245" s="507"/>
      <c r="I245" s="54" t="str">
        <f>OBRA!W244</f>
        <v>ING. SERGIO CABRERA</v>
      </c>
      <c r="J245" s="55" t="str">
        <f>OBRA!X244</f>
        <v>ING. J. GUADALUPE IBARRA RAMIREZ</v>
      </c>
      <c r="K245" s="33" t="str">
        <f>OBRA!N244</f>
        <v>GMJ 019C OP/2017</v>
      </c>
      <c r="L245" s="2" t="str">
        <f>OBRA!O244</f>
        <v>ADJUDICACIÓN DIRECTA</v>
      </c>
      <c r="M245" s="3" t="str">
        <f>OBRA!P244</f>
        <v>REHABILITACIÓN DE RED DE DRENAJE EN CALLE VERANO, DE 21 DE MARZO A 20 DE NOVIEMBRE, EN LA CABECERA MUNICIPAL DE JOCOTEPEC, JALISCO</v>
      </c>
      <c r="N245" s="464"/>
      <c r="O245" s="464"/>
      <c r="P245" s="67">
        <f>OBRA!S244</f>
        <v>42902</v>
      </c>
      <c r="Q245" s="4">
        <f>OBRA!R244</f>
        <v>120964.57</v>
      </c>
      <c r="R245" s="4"/>
      <c r="S245" s="5">
        <f>OBRA!T244</f>
        <v>42907</v>
      </c>
      <c r="T245" s="11">
        <f>OBRA!U244</f>
        <v>42968</v>
      </c>
      <c r="U245" s="53"/>
      <c r="V245" s="377" t="s">
        <v>1428</v>
      </c>
      <c r="W245" s="869"/>
      <c r="X245" s="1231"/>
      <c r="Y245" s="280">
        <f>OBRA!AR244</f>
        <v>54434.039999999994</v>
      </c>
      <c r="Z245" s="5"/>
      <c r="AA245" s="309"/>
      <c r="AB245" s="5"/>
      <c r="AC245" s="317">
        <f>OBRA!BW244</f>
        <v>0</v>
      </c>
      <c r="AD245" s="352" t="s">
        <v>1295</v>
      </c>
    </row>
    <row r="246" spans="1:30" ht="123" hidden="1" customHeight="1">
      <c r="A246" s="22" t="s">
        <v>2206</v>
      </c>
      <c r="B246" s="809" t="str">
        <f>GRAL!B247</f>
        <v>2015-2018</v>
      </c>
      <c r="C246" s="16">
        <f>OBRA!J245</f>
        <v>2017</v>
      </c>
      <c r="D246" s="17" t="str">
        <f>OBRA!M245</f>
        <v>RAMO 33</v>
      </c>
      <c r="E246" s="17" t="s">
        <v>1428</v>
      </c>
      <c r="F246" s="507"/>
      <c r="G246" s="878"/>
      <c r="H246" s="507"/>
      <c r="I246" s="54" t="str">
        <f>OBRA!W245</f>
        <v>ING. SERGIO CABRERA</v>
      </c>
      <c r="J246" s="55" t="str">
        <f>OBRA!X245</f>
        <v>ING. J. GUADALUPE IBARRA RAMIREZ</v>
      </c>
      <c r="K246" s="33" t="str">
        <f>OBRA!N245</f>
        <v>GMJ 020C OP/2017</v>
      </c>
      <c r="L246" s="2" t="str">
        <f>OBRA!O245</f>
        <v>ADJUDICACIÓN DIRECTA</v>
      </c>
      <c r="M246" s="3" t="str">
        <f>OBRA!P245</f>
        <v>REHABILITACIÓN DE RED DE AGUA POTABLE EN CALLE VERANO, DE 21 DE MARZO A 20 DE NOVIEMBRE, EN LA CABECERA MUNICIPAL DE JOCOTEPEC, JALISCO</v>
      </c>
      <c r="N246" s="464"/>
      <c r="O246" s="464"/>
      <c r="P246" s="67">
        <f>OBRA!S245</f>
        <v>42902</v>
      </c>
      <c r="Q246" s="4">
        <f>OBRA!R245</f>
        <v>77992.240000000005</v>
      </c>
      <c r="R246" s="4"/>
      <c r="S246" s="5">
        <f>OBRA!T245</f>
        <v>42907</v>
      </c>
      <c r="T246" s="11">
        <f>OBRA!U245</f>
        <v>42968</v>
      </c>
      <c r="U246" s="53"/>
      <c r="V246" s="377" t="s">
        <v>1428</v>
      </c>
      <c r="W246" s="869"/>
      <c r="X246" s="1231"/>
      <c r="Y246" s="280">
        <f>OBRA!AR245</f>
        <v>27297.280000000002</v>
      </c>
      <c r="Z246" s="5"/>
      <c r="AA246" s="309"/>
      <c r="AB246" s="5"/>
      <c r="AC246" s="317">
        <f>OBRA!BW245</f>
        <v>0</v>
      </c>
      <c r="AD246" s="352" t="s">
        <v>1295</v>
      </c>
    </row>
    <row r="247" spans="1:30" ht="102" hidden="1" customHeight="1">
      <c r="A247" s="22" t="s">
        <v>2206</v>
      </c>
      <c r="B247" s="809" t="str">
        <f>GRAL!B248</f>
        <v>2015-2018</v>
      </c>
      <c r="C247" s="16">
        <f>OBRA!J246</f>
        <v>2017</v>
      </c>
      <c r="D247" s="17" t="str">
        <f>OBRA!M246</f>
        <v>RAMO 33</v>
      </c>
      <c r="E247" s="17" t="s">
        <v>1428</v>
      </c>
      <c r="F247" s="507"/>
      <c r="G247" s="878"/>
      <c r="H247" s="507"/>
      <c r="I247" s="54" t="str">
        <f>OBRA!W246</f>
        <v>GILCO INGENIERIA S.A. DE C.V.</v>
      </c>
      <c r="J247" s="55" t="str">
        <f>OBRA!X246</f>
        <v>ING. J. GUADALUPE IBARRA RAMIREZ</v>
      </c>
      <c r="K247" s="33" t="str">
        <f>OBRA!N246</f>
        <v>GMJ 021C OP/2017</v>
      </c>
      <c r="L247" s="2" t="str">
        <f>OBRA!O246</f>
        <v>ADJUDICACIÓN DIRECTA</v>
      </c>
      <c r="M247" s="3" t="str">
        <f>OBRA!P246</f>
        <v>REHABILITACIÓN DE RED DE DRENAJE EN CALLE VERANO DE 20 DE NOVIEMBRE A VENUSTIANO CARRANZA EN LA CABECERA MUNICIPAL, DE JOCOTEPEC, JALISCO</v>
      </c>
      <c r="N247" s="504"/>
      <c r="O247" s="504"/>
      <c r="P247" s="67">
        <f>OBRA!S246</f>
        <v>42944</v>
      </c>
      <c r="Q247" s="4">
        <f>OBRA!R246</f>
        <v>125684.46</v>
      </c>
      <c r="R247" s="4"/>
      <c r="S247" s="5">
        <f>OBRA!T246</f>
        <v>42948</v>
      </c>
      <c r="T247" s="11">
        <f>OBRA!U246</f>
        <v>42978</v>
      </c>
      <c r="U247" s="53"/>
      <c r="V247" s="377" t="s">
        <v>1428</v>
      </c>
      <c r="W247" s="587"/>
      <c r="X247" s="1231"/>
      <c r="Y247" s="659">
        <f>OBRA!AR246</f>
        <v>56558.020000000004</v>
      </c>
      <c r="Z247" s="5"/>
      <c r="AA247" s="309"/>
      <c r="AB247" s="5"/>
      <c r="AC247" s="317">
        <f>OBRA!BW246</f>
        <v>0</v>
      </c>
      <c r="AD247" s="352" t="s">
        <v>551</v>
      </c>
    </row>
    <row r="248" spans="1:30" ht="105.75" hidden="1" customHeight="1">
      <c r="A248" s="22" t="s">
        <v>2206</v>
      </c>
      <c r="B248" s="809" t="str">
        <f>GRAL!B249</f>
        <v>2015-2018</v>
      </c>
      <c r="C248" s="16">
        <f>OBRA!J247</f>
        <v>2017</v>
      </c>
      <c r="D248" s="17" t="str">
        <f>OBRA!M247</f>
        <v>RAMO 33</v>
      </c>
      <c r="E248" s="17" t="s">
        <v>1428</v>
      </c>
      <c r="F248" s="507"/>
      <c r="G248" s="878"/>
      <c r="H248" s="507"/>
      <c r="I248" s="54" t="str">
        <f>OBRA!W247</f>
        <v>GILCO INGENIERIA S.A. DE C.V.</v>
      </c>
      <c r="J248" s="55" t="str">
        <f>OBRA!X247</f>
        <v>ING. J. GUADALUPE IBARRA RAMIREZ</v>
      </c>
      <c r="K248" s="33" t="str">
        <f>OBRA!N247</f>
        <v>GMJ 022C OP/2017</v>
      </c>
      <c r="L248" s="2" t="str">
        <f>OBRA!O247</f>
        <v>ADJUDICACIÓN DIRECTA</v>
      </c>
      <c r="M248" s="3" t="str">
        <f>OBRA!P247</f>
        <v>REHABILITACIÓN DE RED DE AGUA POTABLE EN CALLE VERANO DE 20 DE NOVIEMBRE A VENUSTIANO CARRANZA, EN LA CABECERA MUNICIPAL, DE JOCOTEPEC, JALISCO</v>
      </c>
      <c r="N248" s="504"/>
      <c r="O248" s="504"/>
      <c r="P248" s="67">
        <f>OBRA!S247</f>
        <v>42944</v>
      </c>
      <c r="Q248" s="4">
        <f>OBRA!R247</f>
        <v>79897.39</v>
      </c>
      <c r="R248" s="4"/>
      <c r="S248" s="5">
        <f>OBRA!T247</f>
        <v>42948</v>
      </c>
      <c r="T248" s="11">
        <f>OBRA!U247</f>
        <v>42978</v>
      </c>
      <c r="U248" s="53"/>
      <c r="V248" s="377" t="s">
        <v>1428</v>
      </c>
      <c r="W248" s="869"/>
      <c r="X248" s="870"/>
      <c r="Y248" s="280">
        <f>OBRA!AR247</f>
        <v>19974.349999999999</v>
      </c>
      <c r="Z248" s="5"/>
      <c r="AA248" s="309"/>
      <c r="AB248" s="5"/>
      <c r="AC248" s="317">
        <f>OBRA!BW247</f>
        <v>0</v>
      </c>
      <c r="AD248" s="352" t="s">
        <v>1295</v>
      </c>
    </row>
    <row r="249" spans="1:30" ht="107.25" hidden="1" customHeight="1">
      <c r="A249" s="22" t="s">
        <v>2206</v>
      </c>
      <c r="B249" s="809" t="str">
        <f>GRAL!B250</f>
        <v>2015-2018</v>
      </c>
      <c r="C249" s="16">
        <f>OBRA!J248</f>
        <v>2017</v>
      </c>
      <c r="D249" s="17" t="str">
        <f>OBRA!M248</f>
        <v>RAMO 33</v>
      </c>
      <c r="E249" s="17" t="s">
        <v>1428</v>
      </c>
      <c r="F249" s="507"/>
      <c r="G249" s="878"/>
      <c r="H249" s="507"/>
      <c r="I249" s="54" t="str">
        <f>OBRA!W248</f>
        <v>GILCO INGENIERIA S.A. DE C.V.</v>
      </c>
      <c r="J249" s="55" t="str">
        <f>OBRA!X248</f>
        <v>ING. J. GUADALUPE IBARRA RAMIREZ</v>
      </c>
      <c r="K249" s="33" t="str">
        <f>OBRA!N248</f>
        <v>GMJ 023C OP/2017</v>
      </c>
      <c r="L249" s="2" t="str">
        <f>OBRA!O248</f>
        <v>ADJUDICACIÓN DIRECTA</v>
      </c>
      <c r="M249" s="3" t="str">
        <f>OBRA!P248</f>
        <v>REHABILITACIÓN DE RED DE DRENAJE EN CALLE VERANO DE VENUSTIANO CARRANZA A FRANCISCO VILLA, EN LA CABECERA MUNICIPAL, DE JOCOTEPEC, JALISCO</v>
      </c>
      <c r="N249" s="504"/>
      <c r="O249" s="504"/>
      <c r="P249" s="67">
        <f>OBRA!S248</f>
        <v>42957</v>
      </c>
      <c r="Q249" s="4">
        <f>OBRA!R248</f>
        <v>119278.43</v>
      </c>
      <c r="R249" s="4"/>
      <c r="S249" s="5">
        <f>OBRA!T248</f>
        <v>42961</v>
      </c>
      <c r="T249" s="11">
        <f>OBRA!U248</f>
        <v>42994</v>
      </c>
      <c r="U249" s="53"/>
      <c r="V249" s="377" t="s">
        <v>1428</v>
      </c>
      <c r="W249" s="587"/>
      <c r="X249" s="1231"/>
      <c r="Y249" s="659">
        <f>OBRA!AR248</f>
        <v>53675.289999999994</v>
      </c>
      <c r="Z249" s="5"/>
      <c r="AA249" s="309"/>
      <c r="AB249" s="5"/>
      <c r="AC249" s="317">
        <f>OBRA!BW248</f>
        <v>0</v>
      </c>
      <c r="AD249" s="352" t="s">
        <v>551</v>
      </c>
    </row>
    <row r="250" spans="1:30" ht="112.5" hidden="1" customHeight="1">
      <c r="A250" s="22" t="s">
        <v>2206</v>
      </c>
      <c r="B250" s="809" t="str">
        <f>GRAL!B251</f>
        <v>2015-2018</v>
      </c>
      <c r="C250" s="16">
        <f>OBRA!J249</f>
        <v>2017</v>
      </c>
      <c r="D250" s="17" t="str">
        <f>OBRA!M249</f>
        <v>RAMO 33</v>
      </c>
      <c r="E250" s="17" t="s">
        <v>1428</v>
      </c>
      <c r="F250" s="507"/>
      <c r="G250" s="878"/>
      <c r="H250" s="507"/>
      <c r="I250" s="54" t="str">
        <f>OBRA!W249</f>
        <v>GILCO INGENIERIA S.A. DE C.V.</v>
      </c>
      <c r="J250" s="55" t="str">
        <f>OBRA!X249</f>
        <v>ING. J. GUADALUPE IBARRA RAMIREZ</v>
      </c>
      <c r="K250" s="33" t="str">
        <f>OBRA!N249</f>
        <v>GMJ 024C OP/2017</v>
      </c>
      <c r="L250" s="2" t="str">
        <f>OBRA!O249</f>
        <v>ADJUDICACIÓN DIRECTA</v>
      </c>
      <c r="M250" s="3" t="str">
        <f>OBRA!P249</f>
        <v>REHABILITACIÓN DE RED DE AGUA POTABLE EN CALLE VERANO DE VENUSTIANO CARRANZA A FRANCISCO VILLA, EN LA CABECERA MUNICIPAL, DE JOCOTEPEC, JALISCO</v>
      </c>
      <c r="N250" s="504"/>
      <c r="O250" s="504"/>
      <c r="P250" s="67">
        <f>OBRA!S249</f>
        <v>42957</v>
      </c>
      <c r="Q250" s="4">
        <f>OBRA!R249</f>
        <v>77217.95</v>
      </c>
      <c r="R250" s="4"/>
      <c r="S250" s="5">
        <f>OBRA!T249</f>
        <v>42961</v>
      </c>
      <c r="T250" s="11">
        <f>OBRA!U249</f>
        <v>42994</v>
      </c>
      <c r="U250" s="53"/>
      <c r="V250" s="377" t="s">
        <v>1428</v>
      </c>
      <c r="W250" s="869"/>
      <c r="X250" s="870"/>
      <c r="Y250" s="659">
        <f>OBRA!AR249</f>
        <v>34748.090000000004</v>
      </c>
      <c r="Z250" s="5"/>
      <c r="AA250" s="309"/>
      <c r="AB250" s="5"/>
      <c r="AC250" s="317">
        <f>OBRA!BW249</f>
        <v>0</v>
      </c>
      <c r="AD250" s="352" t="s">
        <v>1295</v>
      </c>
    </row>
    <row r="251" spans="1:30" ht="108" hidden="1" customHeight="1">
      <c r="A251" s="22" t="s">
        <v>2206</v>
      </c>
      <c r="B251" s="809" t="str">
        <f>GRAL!B252</f>
        <v>2015-2018</v>
      </c>
      <c r="C251" s="16">
        <f>OBRA!J250</f>
        <v>2017</v>
      </c>
      <c r="D251" s="17" t="str">
        <f>OBRA!M250</f>
        <v>RAMO 33</v>
      </c>
      <c r="E251" s="17" t="s">
        <v>1428</v>
      </c>
      <c r="F251" s="507"/>
      <c r="G251" s="878"/>
      <c r="H251" s="507"/>
      <c r="I251" s="54" t="str">
        <f>OBRA!W250</f>
        <v>GILCO INGENIERIA S.A. DE C.V.</v>
      </c>
      <c r="J251" s="55" t="str">
        <f>OBRA!X250</f>
        <v>ING. J. GUADALUPE IBARRA RAMIREZ</v>
      </c>
      <c r="K251" s="33" t="str">
        <f>OBRA!N250</f>
        <v>GMJ 025C OP/2017</v>
      </c>
      <c r="L251" s="2" t="str">
        <f>OBRA!O250</f>
        <v>ADJUDICACIÓN DIRECTA</v>
      </c>
      <c r="M251" s="3" t="str">
        <f>OBRA!P250</f>
        <v>REHABILITACIÓN DE RED DE DRENAJE EN CALLE VERANO DE FRANCISCO VILLA A LAZARO CARDENAS, EN LA CABECERA MUNICIPAL, DE JOCOTEPEC, JALISCO</v>
      </c>
      <c r="N251" s="504"/>
      <c r="O251" s="504"/>
      <c r="P251" s="67">
        <f>OBRA!S250</f>
        <v>42977</v>
      </c>
      <c r="Q251" s="4">
        <f>OBRA!R250</f>
        <v>101100.81</v>
      </c>
      <c r="R251" s="4"/>
      <c r="S251" s="5">
        <f>OBRA!T250</f>
        <v>42982</v>
      </c>
      <c r="T251" s="11">
        <f>OBRA!U250</f>
        <v>43008</v>
      </c>
      <c r="U251" s="53"/>
      <c r="V251" s="377" t="s">
        <v>1428</v>
      </c>
      <c r="W251" s="587"/>
      <c r="X251" s="1231"/>
      <c r="Y251" s="659">
        <f>OBRA!AR250</f>
        <v>45495.360000000001</v>
      </c>
      <c r="Z251" s="5"/>
      <c r="AA251" s="309"/>
      <c r="AB251" s="5"/>
      <c r="AC251" s="317">
        <f>OBRA!BW250</f>
        <v>0</v>
      </c>
      <c r="AD251" s="352" t="s">
        <v>551</v>
      </c>
    </row>
    <row r="252" spans="1:30" ht="109.5" hidden="1" customHeight="1">
      <c r="A252" s="22" t="s">
        <v>2206</v>
      </c>
      <c r="B252" s="809" t="str">
        <f>GRAL!B253</f>
        <v>2015-2018</v>
      </c>
      <c r="C252" s="16">
        <f>OBRA!J251</f>
        <v>2017</v>
      </c>
      <c r="D252" s="17" t="str">
        <f>OBRA!M251</f>
        <v>RAMO 33</v>
      </c>
      <c r="E252" s="17" t="s">
        <v>1428</v>
      </c>
      <c r="F252" s="507"/>
      <c r="G252" s="878"/>
      <c r="H252" s="507"/>
      <c r="I252" s="54" t="str">
        <f>OBRA!W251</f>
        <v>GILCO INGENIERIA S.A. DE C.V.</v>
      </c>
      <c r="J252" s="55" t="str">
        <f>OBRA!X251</f>
        <v>ING. J. GUADALUPE IBARRA RAMIREZ</v>
      </c>
      <c r="K252" s="33" t="str">
        <f>OBRA!N251</f>
        <v>GMJ 026C OP/2017</v>
      </c>
      <c r="L252" s="2" t="str">
        <f>OBRA!O251</f>
        <v>ADJUDICACIÓN DIRECTA</v>
      </c>
      <c r="M252" s="3" t="str">
        <f>OBRA!P251</f>
        <v>REHABILITACIÓN DE RED DE AGUA POTABLE EN CALLE VERANO DE FRANCISCO VILLA  A LAZARO CARDENAS, EN LA CABECERA MUNICIPAL, DE JOCOTEPEC, JALISCO</v>
      </c>
      <c r="N252" s="504"/>
      <c r="O252" s="504"/>
      <c r="P252" s="67">
        <f>OBRA!S251</f>
        <v>42977</v>
      </c>
      <c r="Q252" s="4">
        <f>OBRA!R251</f>
        <v>62348.13</v>
      </c>
      <c r="R252" s="4"/>
      <c r="S252" s="5">
        <f>OBRA!T251</f>
        <v>42982</v>
      </c>
      <c r="T252" s="11">
        <f>OBRA!U251</f>
        <v>43008</v>
      </c>
      <c r="U252" s="53"/>
      <c r="V252" s="377" t="s">
        <v>1428</v>
      </c>
      <c r="W252" s="587"/>
      <c r="X252" s="1231"/>
      <c r="Y252" s="340">
        <f>OBRA!AR251</f>
        <v>28056.65</v>
      </c>
      <c r="Z252" s="5"/>
      <c r="AA252" s="309"/>
      <c r="AB252" s="5"/>
      <c r="AC252" s="317">
        <f>OBRA!BW251</f>
        <v>0</v>
      </c>
      <c r="AD252" s="352" t="s">
        <v>551</v>
      </c>
    </row>
    <row r="253" spans="1:30" ht="180" hidden="1" customHeight="1">
      <c r="A253" s="22" t="s">
        <v>2206</v>
      </c>
      <c r="B253" s="809" t="str">
        <f>GRAL!B254</f>
        <v>2015-2018</v>
      </c>
      <c r="C253" s="16">
        <f>OBRA!J252</f>
        <v>2017</v>
      </c>
      <c r="D253" s="18" t="str">
        <f>OBRA!M252</f>
        <v>Fondo de proyectos para el Desarrollo Regional</v>
      </c>
      <c r="E253" s="604" t="s">
        <v>1933</v>
      </c>
      <c r="F253" s="507"/>
      <c r="G253" s="878"/>
      <c r="H253" s="507"/>
      <c r="I253" s="54" t="str">
        <f>OBRA!W252</f>
        <v>SERVICIOS ARQUITECTÓNICOS MOAPAL S.A. DE C.V.</v>
      </c>
      <c r="J253" s="55" t="str">
        <f>OBRA!X252</f>
        <v>ING. J. GUADALUPE IBARRA RAMIREZ</v>
      </c>
      <c r="K253" s="33" t="str">
        <f>OBRA!N252</f>
        <v>GMJ 027C OP/2017</v>
      </c>
      <c r="L253" s="2" t="str">
        <f>OBRA!O252</f>
        <v>ADJUDICACIÓN DIRECTA</v>
      </c>
      <c r="M253" s="3" t="str">
        <f>OBRA!P252</f>
        <v>PROYECTO CONSTRUCCIÓN DE EMPEDRADO AHOGADO EN CEMENTO CON HUELLAS DE CONCRETO HIDRÁULICO Y CONSTRUCCIÓN DE  BANQUETAS  EN LA CALLE VENUSTIANO CARRANZA, DE ITURBIDE A PRIMAVERA, EN LA CABECERA MUNICIPAL DE JOCOTEPEC, JALISCO</v>
      </c>
      <c r="N253" s="464"/>
      <c r="O253" s="464"/>
      <c r="P253" s="67">
        <f>OBRA!S252</f>
        <v>42895</v>
      </c>
      <c r="Q253" s="4">
        <f>OBRA!R252</f>
        <v>527048.46</v>
      </c>
      <c r="R253" s="4"/>
      <c r="S253" s="5">
        <f>OBRA!T252</f>
        <v>42901</v>
      </c>
      <c r="T253" s="11">
        <f>OBRA!U252</f>
        <v>42922</v>
      </c>
      <c r="U253" s="53"/>
      <c r="V253" s="377" t="s">
        <v>1428</v>
      </c>
      <c r="W253" s="869"/>
      <c r="X253" s="870"/>
      <c r="Y253" s="534">
        <f>OBRA!AR252</f>
        <v>52704.84</v>
      </c>
      <c r="Z253" s="5"/>
      <c r="AA253" s="309"/>
      <c r="AB253" s="5"/>
      <c r="AC253" s="317">
        <f>OBRA!BW252</f>
        <v>0</v>
      </c>
      <c r="AD253" s="352" t="s">
        <v>1295</v>
      </c>
    </row>
    <row r="254" spans="1:30" ht="306.75" hidden="1" customHeight="1">
      <c r="A254" s="22" t="s">
        <v>2206</v>
      </c>
      <c r="B254" s="809" t="str">
        <f>GRAL!B255</f>
        <v>2015-2018</v>
      </c>
      <c r="C254" s="16">
        <f>OBRA!J253</f>
        <v>2017</v>
      </c>
      <c r="D254" s="18" t="str">
        <f>OBRA!M253</f>
        <v>Fondo de proyectos para el Desarrollo Regional</v>
      </c>
      <c r="E254" s="604" t="s">
        <v>1934</v>
      </c>
      <c r="F254" s="507"/>
      <c r="G254" s="878"/>
      <c r="H254" s="507"/>
      <c r="I254" s="54" t="str">
        <f>OBRA!W253</f>
        <v>ING. SERGIO CABRERA</v>
      </c>
      <c r="J254" s="55" t="str">
        <f>OBRA!X253</f>
        <v>ING. J. GUADALUPE IBARRA RAMIREZ</v>
      </c>
      <c r="K254" s="33" t="str">
        <f>OBRA!N253</f>
        <v>GMJ 028C OP/2017</v>
      </c>
      <c r="L254" s="2" t="str">
        <f>OBRA!O253</f>
        <v>ADJUDICACIÓN DIRECTA</v>
      </c>
      <c r="M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4"/>
      <c r="O254" s="504"/>
      <c r="P254" s="67">
        <f>OBRA!S253</f>
        <v>42951</v>
      </c>
      <c r="Q254" s="4">
        <f>OBRA!R253</f>
        <v>887214.12</v>
      </c>
      <c r="R254" s="4"/>
      <c r="S254" s="5">
        <f>OBRA!T253</f>
        <v>42955</v>
      </c>
      <c r="T254" s="11">
        <f>OBRA!U253</f>
        <v>42986</v>
      </c>
      <c r="U254" s="53"/>
      <c r="V254" s="62" t="s">
        <v>1428</v>
      </c>
      <c r="W254" s="587"/>
      <c r="X254" s="1231"/>
      <c r="Y254" s="340">
        <f>OBRA!AR253</f>
        <v>177442.82</v>
      </c>
      <c r="Z254" s="5"/>
      <c r="AA254" s="309"/>
      <c r="AB254" s="5"/>
      <c r="AC254" s="317" t="str">
        <f>OBRA!BW253</f>
        <v>CONV 2</v>
      </c>
      <c r="AD254" s="352" t="s">
        <v>551</v>
      </c>
    </row>
    <row r="255" spans="1:30" ht="289.5" hidden="1" customHeight="1">
      <c r="A255" s="22" t="s">
        <v>2206</v>
      </c>
      <c r="B255" s="809" t="str">
        <f>GRAL!B256</f>
        <v>2015-2018</v>
      </c>
      <c r="C255" s="16">
        <f>OBRA!J254</f>
        <v>2017</v>
      </c>
      <c r="D255" s="18" t="str">
        <f>OBRA!M254</f>
        <v>Fondo de proyectos para el Desarrollo Regional</v>
      </c>
      <c r="E255" s="604" t="s">
        <v>1934</v>
      </c>
      <c r="F255" s="507"/>
      <c r="G255" s="878"/>
      <c r="H255" s="507"/>
      <c r="I255" s="54" t="str">
        <f>OBRA!W254</f>
        <v>GILCO INGENIERIA S.A. DE C.V.</v>
      </c>
      <c r="J255" s="55" t="str">
        <f>OBRA!X254</f>
        <v>ING. J. GUADALUPE IBARRA RAMIREZ</v>
      </c>
      <c r="K255" s="33" t="str">
        <f>OBRA!N254</f>
        <v>GMJ 029C OP/2017</v>
      </c>
      <c r="L255" s="2" t="str">
        <f>OBRA!O254</f>
        <v>ADJUDICACIÓN DIRECTA</v>
      </c>
      <c r="M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4"/>
      <c r="O255" s="464"/>
      <c r="P255" s="67">
        <f>OBRA!S254</f>
        <v>43021</v>
      </c>
      <c r="Q255" s="4">
        <f>OBRA!R254</f>
        <v>197219.12</v>
      </c>
      <c r="R255" s="4"/>
      <c r="S255" s="5">
        <f>OBRA!T254</f>
        <v>43038</v>
      </c>
      <c r="T255" s="11">
        <f>OBRA!U254</f>
        <v>43100</v>
      </c>
      <c r="U255" s="53"/>
      <c r="V255" s="377" t="s">
        <v>1428</v>
      </c>
      <c r="W255" s="869"/>
      <c r="X255" s="870"/>
      <c r="Y255" s="534">
        <f>OBRA!AR254</f>
        <v>0</v>
      </c>
      <c r="Z255" s="5"/>
      <c r="AA255" s="309"/>
      <c r="AB255" s="5"/>
      <c r="AC255" s="317">
        <f>OBRA!BW254</f>
        <v>0</v>
      </c>
      <c r="AD255" s="352" t="s">
        <v>1295</v>
      </c>
    </row>
    <row r="256" spans="1:30" ht="215.25" hidden="1" customHeight="1">
      <c r="A256" s="22" t="s">
        <v>2206</v>
      </c>
      <c r="B256" s="809" t="str">
        <f>GRAL!B257</f>
        <v>2015-2018</v>
      </c>
      <c r="C256" s="16">
        <f>OBRA!J255</f>
        <v>2017</v>
      </c>
      <c r="D256" s="18" t="str">
        <f>OBRA!M255</f>
        <v>Fondo de proyectos para el Desarrollo Regional</v>
      </c>
      <c r="E256" s="604" t="s">
        <v>1934</v>
      </c>
      <c r="F256" s="507"/>
      <c r="G256" s="878"/>
      <c r="H256" s="507"/>
      <c r="I256" s="54" t="str">
        <f>OBRA!W255</f>
        <v>A&amp;G URBANIZADORA S.A. DE C.V.</v>
      </c>
      <c r="J256" s="55" t="str">
        <f>OBRA!X255</f>
        <v>ING. J. GUADALUPE IBARRA RAMIREZ</v>
      </c>
      <c r="K256" s="33" t="str">
        <f>OBRA!N255</f>
        <v>GMJ 030C OP/2017</v>
      </c>
      <c r="L256" s="2" t="str">
        <f>OBRA!O255</f>
        <v>ADJUDICACIÓN DIRECTA</v>
      </c>
      <c r="M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4"/>
      <c r="O256" s="504"/>
      <c r="P256" s="67">
        <f>OBRA!S255</f>
        <v>43021</v>
      </c>
      <c r="Q256" s="4">
        <f>OBRA!R255</f>
        <v>1185389.8899999999</v>
      </c>
      <c r="R256" s="4"/>
      <c r="S256" s="5">
        <f>OBRA!T255</f>
        <v>43031</v>
      </c>
      <c r="T256" s="11">
        <f>OBRA!U255</f>
        <v>43100</v>
      </c>
      <c r="U256" s="53"/>
      <c r="V256" s="377" t="s">
        <v>1428</v>
      </c>
      <c r="W256" s="587"/>
      <c r="X256" s="1231"/>
      <c r="Y256" s="279">
        <f>OBRA!AR255</f>
        <v>533425.44999999995</v>
      </c>
      <c r="Z256" s="5"/>
      <c r="AA256" s="309"/>
      <c r="AB256" s="5"/>
      <c r="AC256" s="317">
        <f>OBRA!BW255</f>
        <v>0</v>
      </c>
      <c r="AD256" s="352" t="s">
        <v>551</v>
      </c>
    </row>
    <row r="257" spans="1:30" ht="167.25" hidden="1" customHeight="1">
      <c r="A257" s="22" t="s">
        <v>2206</v>
      </c>
      <c r="B257" s="809" t="str">
        <f>GRAL!B258</f>
        <v>2015-2018</v>
      </c>
      <c r="C257" s="16">
        <f>OBRA!J256</f>
        <v>2017</v>
      </c>
      <c r="D257" s="18" t="str">
        <f>OBRA!M256</f>
        <v>Fondo de proyectos para el Desarrollo Regional</v>
      </c>
      <c r="E257" s="604" t="s">
        <v>1933</v>
      </c>
      <c r="F257" s="507"/>
      <c r="G257" s="878"/>
      <c r="H257" s="507"/>
      <c r="I257" s="54" t="str">
        <f>OBRA!W256</f>
        <v>CONSTRUCCIONES VIKBRAK, S.A. DE C.V.</v>
      </c>
      <c r="J257" s="55" t="str">
        <f>OBRA!X256</f>
        <v>ING. J. GUADALUPE IBARRA RAMIREZ</v>
      </c>
      <c r="K257" s="33" t="str">
        <f>OBRA!N256</f>
        <v>GMJ 031C OP/2017</v>
      </c>
      <c r="L257" s="2" t="str">
        <f>OBRA!O256</f>
        <v>ADJUDICACIÓN DIRECTA</v>
      </c>
      <c r="M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N257" s="504"/>
      <c r="O257" s="504"/>
      <c r="P257" s="67">
        <f>OBRA!S256</f>
        <v>42926</v>
      </c>
      <c r="Q257" s="4">
        <f>OBRA!R256</f>
        <v>227599.71</v>
      </c>
      <c r="R257" s="4"/>
      <c r="S257" s="5">
        <f>OBRA!T256</f>
        <v>42928</v>
      </c>
      <c r="T257" s="11">
        <f>OBRA!U256</f>
        <v>43035</v>
      </c>
      <c r="U257" s="53"/>
      <c r="V257" s="377" t="s">
        <v>1428</v>
      </c>
      <c r="W257" s="587"/>
      <c r="X257" s="1231"/>
      <c r="Y257" s="279">
        <f>OBRA!AR256</f>
        <v>45519.94</v>
      </c>
      <c r="Z257" s="5"/>
      <c r="AA257" s="309"/>
      <c r="AB257" s="5"/>
      <c r="AC257" s="317">
        <f>OBRA!BW256</f>
        <v>0</v>
      </c>
      <c r="AD257" s="352" t="s">
        <v>1295</v>
      </c>
    </row>
    <row r="258" spans="1:30" ht="195.75" hidden="1" customHeight="1">
      <c r="A258" s="22" t="s">
        <v>2206</v>
      </c>
      <c r="B258" s="809" t="str">
        <f>GRAL!B259</f>
        <v>2015-2018</v>
      </c>
      <c r="C258" s="16">
        <f>OBRA!J257</f>
        <v>2017</v>
      </c>
      <c r="D258" s="18" t="str">
        <f>OBRA!M257</f>
        <v>Fondo de proyectos para el Desarrollo Regional</v>
      </c>
      <c r="E258" s="604" t="s">
        <v>1933</v>
      </c>
      <c r="F258" s="507"/>
      <c r="G258" s="878"/>
      <c r="H258" s="507"/>
      <c r="I258" s="54" t="str">
        <f>OBRA!W257</f>
        <v>COLYEST S.A. DE C.V.</v>
      </c>
      <c r="J258" s="55" t="str">
        <f>OBRA!X257</f>
        <v>ING. J. GUADALUPE IBARRA RAMIREZ</v>
      </c>
      <c r="K258" s="33" t="str">
        <f>OBRA!N257</f>
        <v>GMJ 032C OP/2017</v>
      </c>
      <c r="L258" s="2" t="str">
        <f>OBRA!O257</f>
        <v>ADJUDICACIÓN DIRECTA</v>
      </c>
      <c r="M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4"/>
      <c r="O258" s="504"/>
      <c r="P258" s="67">
        <f>OBRA!S257</f>
        <v>42927</v>
      </c>
      <c r="Q258" s="79">
        <f>OBRA!R257</f>
        <v>1522376.56</v>
      </c>
      <c r="R258" s="79"/>
      <c r="S258" s="5">
        <f>OBRA!T257</f>
        <v>42928</v>
      </c>
      <c r="T258" s="11">
        <f>OBRA!U257</f>
        <v>43035</v>
      </c>
      <c r="U258" s="53"/>
      <c r="V258" s="62" t="s">
        <v>1428</v>
      </c>
      <c r="W258" s="587"/>
      <c r="X258" s="1231"/>
      <c r="Y258" s="280">
        <f>OBRA!AR257</f>
        <v>152237.65</v>
      </c>
      <c r="Z258" s="5"/>
      <c r="AA258" s="309"/>
      <c r="AB258" s="5"/>
      <c r="AC258" s="317">
        <f>OBRA!BW257</f>
        <v>0</v>
      </c>
      <c r="AD258" s="352" t="s">
        <v>1295</v>
      </c>
    </row>
    <row r="259" spans="1:30" ht="76.5" hidden="1" customHeight="1">
      <c r="A259" s="22" t="s">
        <v>2206</v>
      </c>
      <c r="B259" s="809" t="str">
        <f>GRAL!B260</f>
        <v>2015-2018</v>
      </c>
      <c r="C259" s="16">
        <f>OBRA!J258</f>
        <v>2017</v>
      </c>
      <c r="D259" s="17" t="str">
        <f>OBRA!M258</f>
        <v>RAMO 33</v>
      </c>
      <c r="E259" s="478" t="s">
        <v>1428</v>
      </c>
      <c r="F259" s="868"/>
      <c r="G259" s="878"/>
      <c r="H259" s="507"/>
      <c r="I259" s="54" t="str">
        <f>OBRA!W258</f>
        <v>ING. SERGIO CABRERA</v>
      </c>
      <c r="J259" s="55" t="str">
        <f>OBRA!X258</f>
        <v>ING. J. GUADALUPE IBARRA RAMIREZ</v>
      </c>
      <c r="K259" s="33" t="str">
        <f>OBRA!N258</f>
        <v>GMJ 033C OP/2017</v>
      </c>
      <c r="L259" s="2" t="str">
        <f>OBRA!O258</f>
        <v>ADJUDICACIÓN DIRECTA</v>
      </c>
      <c r="M259" s="3" t="str">
        <f>OBRA!P258</f>
        <v>REHABILITACION DE RED DE DRENAJE EN CALLE 21 DE MARZO, DE OTOÑO A PRIMAVERA, EN EL MUNICIPIO DE JOCOTEPEC, JALISCO</v>
      </c>
      <c r="N259" s="504"/>
      <c r="O259" s="504"/>
      <c r="P259" s="67">
        <f>OBRA!S258</f>
        <v>43028</v>
      </c>
      <c r="Q259" s="79">
        <f>OBRA!R258</f>
        <v>275105.09999999998</v>
      </c>
      <c r="R259" s="79"/>
      <c r="S259" s="5">
        <f>OBRA!T258</f>
        <v>43031</v>
      </c>
      <c r="T259" s="11">
        <f>OBRA!U258</f>
        <v>43039</v>
      </c>
      <c r="U259" s="53"/>
      <c r="V259" s="62" t="s">
        <v>1428</v>
      </c>
      <c r="W259" s="587"/>
      <c r="X259" s="1231"/>
      <c r="Y259" s="642">
        <f>OBRA!AR258</f>
        <v>55021.02</v>
      </c>
      <c r="Z259" s="5"/>
      <c r="AA259" s="309"/>
      <c r="AB259" s="5"/>
      <c r="AC259" s="317">
        <f>OBRA!BW258</f>
        <v>0</v>
      </c>
      <c r="AD259" s="352" t="s">
        <v>1295</v>
      </c>
    </row>
    <row r="260" spans="1:30" ht="76.5" hidden="1" customHeight="1">
      <c r="A260" s="22" t="s">
        <v>2206</v>
      </c>
      <c r="B260" s="809" t="str">
        <f>GRAL!B261</f>
        <v>2015-2018</v>
      </c>
      <c r="C260" s="16">
        <f>OBRA!J259</f>
        <v>2017</v>
      </c>
      <c r="D260" s="17" t="str">
        <f>OBRA!M259</f>
        <v>RAMO 33</v>
      </c>
      <c r="E260" s="478" t="s">
        <v>1428</v>
      </c>
      <c r="F260" s="507"/>
      <c r="G260" s="878"/>
      <c r="H260" s="507"/>
      <c r="I260" s="661" t="str">
        <f>OBRA!W259</f>
        <v>ING. SERGIO CABRERA</v>
      </c>
      <c r="J260" s="408" t="str">
        <f>OBRA!X259</f>
        <v>ING. J. GUADALUPE IBARRA RAMIREZ</v>
      </c>
      <c r="K260" s="241" t="str">
        <f>OBRA!N259</f>
        <v>GMJ 034C OP/2017</v>
      </c>
      <c r="L260" s="388" t="str">
        <f>OBRA!O259</f>
        <v>ADJUDICACIÓN DIRECTA</v>
      </c>
      <c r="M260" s="683" t="str">
        <f>OBRA!P259</f>
        <v>REHABILITACIÓN DE RED DE AGUA POTABLE EN CALLE 21 DE MARZO DE OTOÑO A PRIMAVERA, EN EL MUNICIPIO DE JOCOTEPEC, JALISCO</v>
      </c>
      <c r="N260" s="633"/>
      <c r="O260" s="633"/>
      <c r="P260" s="670">
        <f>OBRA!S259</f>
        <v>43028</v>
      </c>
      <c r="Q260" s="196">
        <f>OBRA!R259</f>
        <v>185828.12</v>
      </c>
      <c r="R260" s="196"/>
      <c r="S260" s="58">
        <f>OBRA!T259</f>
        <v>43035</v>
      </c>
      <c r="T260" s="59">
        <f>OBRA!U259</f>
        <v>43041</v>
      </c>
      <c r="U260" s="1339"/>
      <c r="V260" s="377" t="s">
        <v>1428</v>
      </c>
      <c r="W260" s="587"/>
      <c r="X260" s="1231"/>
      <c r="Y260" s="642">
        <f>OBRA!AR259</f>
        <v>37165.620000000003</v>
      </c>
      <c r="Z260" s="5"/>
      <c r="AA260" s="309"/>
      <c r="AB260" s="5"/>
      <c r="AC260" s="317">
        <f>OBRA!BW259</f>
        <v>0</v>
      </c>
      <c r="AD260" s="352" t="s">
        <v>551</v>
      </c>
    </row>
    <row r="261" spans="1:30" ht="104.25" hidden="1" customHeight="1">
      <c r="A261" s="22" t="s">
        <v>2206</v>
      </c>
      <c r="B261" s="809" t="str">
        <f>GRAL!B262</f>
        <v>2015-2018</v>
      </c>
      <c r="C261" s="16">
        <f>OBRA!J260</f>
        <v>2017</v>
      </c>
      <c r="D261" s="17" t="str">
        <f>OBRA!M260</f>
        <v>RAMO 33</v>
      </c>
      <c r="E261" s="478" t="s">
        <v>1428</v>
      </c>
      <c r="F261" s="507"/>
      <c r="G261" s="878"/>
      <c r="H261" s="507"/>
      <c r="I261" s="54" t="str">
        <f>OBRA!W260</f>
        <v>ING. SERGIO CABRERA</v>
      </c>
      <c r="J261" s="55" t="str">
        <f>OBRA!X260</f>
        <v>ING. ANGEL ALBERTO HERNANDEZ MORA</v>
      </c>
      <c r="K261" s="33" t="str">
        <f>OBRA!N260</f>
        <v>GMJ 035C OP/2017</v>
      </c>
      <c r="L261" s="2" t="str">
        <f>OBRA!O260</f>
        <v>ADJUDICACIÓN DIRECTA</v>
      </c>
      <c r="M261" s="3" t="str">
        <f>OBRA!P260</f>
        <v>REHABILITACIÓN DE RED DE DRENAJE EN PRIVADA LIBERTAD, EN LA AGENCIA MUNICIPAL DE NEXTIPAC, DEL MUNICIPIO DE JOCOTEPEC, JALISCO</v>
      </c>
      <c r="N261" s="504"/>
      <c r="O261" s="504"/>
      <c r="P261" s="67">
        <f>OBRA!S260</f>
        <v>42954</v>
      </c>
      <c r="Q261" s="4">
        <f>OBRA!R260</f>
        <v>181893.05</v>
      </c>
      <c r="R261" s="4"/>
      <c r="S261" s="5">
        <f>OBRA!T260</f>
        <v>42956</v>
      </c>
      <c r="T261" s="11">
        <f>OBRA!U260</f>
        <v>42970</v>
      </c>
      <c r="U261" s="53"/>
      <c r="V261" s="377" t="s">
        <v>1428</v>
      </c>
      <c r="W261" s="587"/>
      <c r="X261" s="705"/>
      <c r="Y261" s="340">
        <f>OBRA!AR260</f>
        <v>36378.6</v>
      </c>
      <c r="Z261" s="5"/>
      <c r="AA261" s="309"/>
      <c r="AB261" s="5"/>
      <c r="AC261" s="317">
        <f>OBRA!BW260</f>
        <v>0</v>
      </c>
      <c r="AD261" s="352" t="s">
        <v>551</v>
      </c>
    </row>
    <row r="262" spans="1:30" ht="105.75" hidden="1" customHeight="1">
      <c r="A262" s="22" t="s">
        <v>2206</v>
      </c>
      <c r="B262" s="809" t="str">
        <f>GRAL!B263</f>
        <v>2015-2018</v>
      </c>
      <c r="C262" s="16">
        <f>OBRA!J261</f>
        <v>2017</v>
      </c>
      <c r="D262" s="17" t="str">
        <f>OBRA!M261</f>
        <v>RAMO 33</v>
      </c>
      <c r="E262" s="478" t="s">
        <v>1428</v>
      </c>
      <c r="F262" s="507"/>
      <c r="G262" s="878"/>
      <c r="H262" s="507"/>
      <c r="I262" s="54" t="str">
        <f>OBRA!W261</f>
        <v>ING. SERGIO CABRERA</v>
      </c>
      <c r="J262" s="55" t="str">
        <f>OBRA!X261</f>
        <v>ING. ANGEL ALBERTO HERNANDEZ MORA</v>
      </c>
      <c r="K262" s="33" t="str">
        <f>OBRA!N261</f>
        <v>GMJ 036C OP/2017</v>
      </c>
      <c r="L262" s="2" t="str">
        <f>OBRA!O261</f>
        <v>ADJUDICACIÓN DIRECTA</v>
      </c>
      <c r="M262" s="3" t="str">
        <f>OBRA!P261</f>
        <v>CONSTRUCCIÓN DE EMPEDRADO ECOLOGICO EN PRIVADA LIBERTAD, EN LA AGENCIA MUNICIPAL DE NEXTIPAC, DEL MUNICIPIO DE JOCOTEPEC, JALISCO</v>
      </c>
      <c r="N262" s="504"/>
      <c r="O262" s="504"/>
      <c r="P262" s="67">
        <f>OBRA!S261</f>
        <v>42968</v>
      </c>
      <c r="Q262" s="4">
        <f>OBRA!R261</f>
        <v>237009.82</v>
      </c>
      <c r="R262" s="4"/>
      <c r="S262" s="5">
        <f>OBRA!T261</f>
        <v>42970</v>
      </c>
      <c r="T262" s="11">
        <f>OBRA!U261</f>
        <v>42985</v>
      </c>
      <c r="U262" s="53"/>
      <c r="V262" s="377" t="s">
        <v>1428</v>
      </c>
      <c r="W262" s="587"/>
      <c r="X262" s="587"/>
      <c r="Y262" s="280">
        <f>OBRA!AR261</f>
        <v>23700.98</v>
      </c>
      <c r="Z262" s="5"/>
      <c r="AA262" s="309"/>
      <c r="AB262" s="5"/>
      <c r="AC262" s="317">
        <f>OBRA!BW261</f>
        <v>0</v>
      </c>
      <c r="AD262" s="352" t="s">
        <v>1295</v>
      </c>
    </row>
    <row r="263" spans="1:30" ht="90.75" hidden="1" customHeight="1">
      <c r="A263" s="22" t="s">
        <v>2206</v>
      </c>
      <c r="B263" s="809" t="str">
        <f>GRAL!B264</f>
        <v>2015-2018</v>
      </c>
      <c r="C263" s="16">
        <f>OBRA!J262</f>
        <v>2017</v>
      </c>
      <c r="D263" s="17" t="str">
        <f>OBRA!M262</f>
        <v>RAMO 33</v>
      </c>
      <c r="E263" s="478" t="s">
        <v>1428</v>
      </c>
      <c r="F263" s="507"/>
      <c r="G263" s="878"/>
      <c r="H263" s="507"/>
      <c r="I263" s="54" t="str">
        <f>OBRA!W262</f>
        <v>ING. SERGIO CABRERA</v>
      </c>
      <c r="J263" s="55" t="str">
        <f>OBRA!X262</f>
        <v>ING. ANGEL ALBERTO HERNANDEZ MORA</v>
      </c>
      <c r="K263" s="33" t="str">
        <f>OBRA!N262</f>
        <v>GMJ 037C OP/2017</v>
      </c>
      <c r="L263" s="2" t="str">
        <f>OBRA!O262</f>
        <v>ADJUDICACIÓN DIRECTA</v>
      </c>
      <c r="M263" s="3" t="str">
        <f>OBRA!P262</f>
        <v>REHABILITACIÓN DE RED DE DRENAJE EN CALLE LIBERTAD, EN LA AGENCIA MUNICIPAL DE NEXTIPAC, DEL MUNICIPIO DE JOCOTEPEC</v>
      </c>
      <c r="N263" s="504"/>
      <c r="O263" s="504"/>
      <c r="P263" s="6">
        <f>OBRA!S262</f>
        <v>42948</v>
      </c>
      <c r="Q263" s="4">
        <f>OBRA!R262</f>
        <v>93422.64</v>
      </c>
      <c r="R263" s="4"/>
      <c r="S263" s="5">
        <f>OBRA!T262</f>
        <v>42950</v>
      </c>
      <c r="T263" s="11">
        <f>OBRA!U262</f>
        <v>42957</v>
      </c>
      <c r="U263" s="53"/>
      <c r="V263" s="377" t="s">
        <v>1428</v>
      </c>
      <c r="W263" s="587"/>
      <c r="X263" s="705"/>
      <c r="Y263" s="279">
        <f>OBRA!AR262</f>
        <v>18684.52</v>
      </c>
      <c r="Z263" s="5"/>
      <c r="AA263" s="309"/>
      <c r="AB263" s="5"/>
      <c r="AC263" s="317">
        <f>OBRA!BW262</f>
        <v>0</v>
      </c>
      <c r="AD263" s="352" t="s">
        <v>551</v>
      </c>
    </row>
    <row r="264" spans="1:30" ht="102.75" hidden="1" customHeight="1">
      <c r="A264" s="22" t="s">
        <v>2206</v>
      </c>
      <c r="B264" s="809" t="str">
        <f>GRAL!B265</f>
        <v>2015-2018</v>
      </c>
      <c r="C264" s="16">
        <f>OBRA!J263</f>
        <v>2017</v>
      </c>
      <c r="D264" s="17" t="str">
        <f>OBRA!M263</f>
        <v>RAMO 33</v>
      </c>
      <c r="E264" s="478" t="s">
        <v>1428</v>
      </c>
      <c r="F264" s="507"/>
      <c r="G264" s="878"/>
      <c r="H264" s="507"/>
      <c r="I264" s="54" t="str">
        <f>OBRA!W263</f>
        <v>ING. SERGIO CABRERA</v>
      </c>
      <c r="J264" s="55" t="str">
        <f>OBRA!X263</f>
        <v>ING. ANGEL ALBERTO HERNANDEZ MORA</v>
      </c>
      <c r="K264" s="33" t="str">
        <f>OBRA!N263</f>
        <v>GMJ 038C OP/2017</v>
      </c>
      <c r="L264" s="2" t="str">
        <f>OBRA!O263</f>
        <v>ADJUDICACIÓN DIRECTA</v>
      </c>
      <c r="M264" s="3" t="str">
        <f>OBRA!P263</f>
        <v xml:space="preserve">CONSTRUCCIÓN DE EMPEDRADO AHOGADO EN CEMENTO EN CALLE LIBERTAD, EN LA AGENCIA MUNICIPAL DE NEXTIPAC, DEL MUNICIPIO DE JOCOTEPEC, JALISCO </v>
      </c>
      <c r="N264" s="504"/>
      <c r="O264" s="504"/>
      <c r="P264" s="6">
        <f>OBRA!S263</f>
        <v>42983</v>
      </c>
      <c r="Q264" s="4">
        <f>OBRA!R263</f>
        <v>329150.28999999998</v>
      </c>
      <c r="R264" s="4"/>
      <c r="S264" s="5">
        <f>OBRA!T263</f>
        <v>42985</v>
      </c>
      <c r="T264" s="11">
        <f>OBRA!U263</f>
        <v>42995</v>
      </c>
      <c r="U264" s="53"/>
      <c r="V264" s="377" t="s">
        <v>1428</v>
      </c>
      <c r="W264" s="587"/>
      <c r="X264" s="705"/>
      <c r="Y264" s="279">
        <f>OBRA!AR263</f>
        <v>65830.039999999994</v>
      </c>
      <c r="Z264" s="5"/>
      <c r="AA264" s="309"/>
      <c r="AB264" s="5"/>
      <c r="AC264" s="317">
        <f>OBRA!BW263</f>
        <v>0</v>
      </c>
      <c r="AD264" s="352" t="s">
        <v>551</v>
      </c>
    </row>
    <row r="265" spans="1:30" s="104" customFormat="1" ht="30" hidden="1" customHeight="1">
      <c r="A265" s="81" t="s">
        <v>2206</v>
      </c>
      <c r="B265" s="820" t="str">
        <f>GRAL!B266</f>
        <v>2012-2015</v>
      </c>
      <c r="C265" s="82">
        <f>OBRA!J264</f>
        <v>2017</v>
      </c>
      <c r="D265" s="97">
        <f>OBRA!M264</f>
        <v>0</v>
      </c>
      <c r="E265" s="479" t="s">
        <v>1428</v>
      </c>
      <c r="F265" s="354"/>
      <c r="G265" s="96"/>
      <c r="H265" s="354"/>
      <c r="I265" s="151">
        <f>OBRA!W264</f>
        <v>0</v>
      </c>
      <c r="J265" s="152">
        <f>OBRA!X264</f>
        <v>0</v>
      </c>
      <c r="K265" s="308" t="str">
        <f>OBRA!N264</f>
        <v>GMJ 039C OP/2017</v>
      </c>
      <c r="L265" s="186" t="str">
        <f>OBRA!O264</f>
        <v>CANCELADA</v>
      </c>
      <c r="M265" s="106" t="str">
        <f>OBRA!P264</f>
        <v>CANCELADO</v>
      </c>
      <c r="N265" s="125"/>
      <c r="O265" s="125"/>
      <c r="P265" s="87">
        <f>OBRA!S264</f>
        <v>0</v>
      </c>
      <c r="Q265" s="86">
        <f>OBRA!R264</f>
        <v>0</v>
      </c>
      <c r="R265" s="86"/>
      <c r="S265" s="88">
        <f>OBRA!T264</f>
        <v>0</v>
      </c>
      <c r="T265" s="89">
        <f>OBRA!U264</f>
        <v>0</v>
      </c>
      <c r="U265" s="91"/>
      <c r="V265" s="688" t="s">
        <v>1428</v>
      </c>
      <c r="W265" s="311"/>
      <c r="X265" s="89"/>
      <c r="Y265" s="284">
        <f>OBRA!AR264</f>
        <v>0</v>
      </c>
      <c r="Z265" s="311"/>
      <c r="AA265" s="311"/>
      <c r="AB265" s="88"/>
      <c r="AC265" s="467">
        <f>OBRA!BW264</f>
        <v>0</v>
      </c>
      <c r="AD265" s="354"/>
    </row>
    <row r="266" spans="1:30" ht="105" hidden="1" customHeight="1">
      <c r="A266" s="22" t="s">
        <v>2206</v>
      </c>
      <c r="B266" s="809" t="str">
        <f>GRAL!B267</f>
        <v>2015-2018</v>
      </c>
      <c r="C266" s="16">
        <f>OBRA!J265</f>
        <v>2017</v>
      </c>
      <c r="D266" s="17" t="str">
        <f>OBRA!M265</f>
        <v>RAMO 33</v>
      </c>
      <c r="E266" s="478" t="s">
        <v>1428</v>
      </c>
      <c r="F266" s="507"/>
      <c r="G266" s="878"/>
      <c r="H266" s="507"/>
      <c r="I266" s="54" t="str">
        <f>OBRA!W265</f>
        <v>SERVICIOS ARQUITECTÓNICOS MOAPAL S.A. DE C.V.</v>
      </c>
      <c r="J266" s="55" t="str">
        <f>OBRA!X265</f>
        <v>ING. ANGEL ALBERTO HERNANDEZ MORA</v>
      </c>
      <c r="K266" s="33" t="str">
        <f>OBRA!N265</f>
        <v>GMJ 040C OP/2017</v>
      </c>
      <c r="L266" s="2" t="str">
        <f>OBRA!O265</f>
        <v>ADJUDICACIÓN DIRECTA</v>
      </c>
      <c r="M266" s="3" t="str">
        <f>OBRA!P265</f>
        <v>CONSTRUCCIÓN DE RED DE DRENAJE EN EL BARRIO CONOCIDO COMO EL TORIL EN LA LOCALIDAD DE ZAPOTITAN DE HIDALGO DEL MUNICIPIO DE JOCOTEPEC, JALISCO</v>
      </c>
      <c r="N266" s="504"/>
      <c r="O266" s="504"/>
      <c r="P266" s="6">
        <f>OBRA!S265</f>
        <v>42965</v>
      </c>
      <c r="Q266" s="4">
        <f>OBRA!R265</f>
        <v>965876.67</v>
      </c>
      <c r="R266" s="4"/>
      <c r="S266" s="5">
        <f>OBRA!T265</f>
        <v>42968</v>
      </c>
      <c r="T266" s="11">
        <f>OBRA!U265</f>
        <v>43000</v>
      </c>
      <c r="U266" s="53"/>
      <c r="V266" s="377" t="s">
        <v>1428</v>
      </c>
      <c r="W266" s="587"/>
      <c r="X266" s="877"/>
      <c r="Y266" s="340">
        <f>OBRA!AR265</f>
        <v>96587.66</v>
      </c>
      <c r="Z266" s="5"/>
      <c r="AA266" s="309"/>
      <c r="AB266" s="5"/>
      <c r="AC266" s="317">
        <f>OBRA!BW265</f>
        <v>0</v>
      </c>
      <c r="AD266" s="352" t="s">
        <v>551</v>
      </c>
    </row>
    <row r="267" spans="1:30" ht="105" hidden="1" customHeight="1">
      <c r="A267" s="22" t="s">
        <v>2206</v>
      </c>
      <c r="B267" s="809" t="str">
        <f>GRAL!B268</f>
        <v>2015-2018</v>
      </c>
      <c r="C267" s="16">
        <f>OBRA!J266</f>
        <v>2017</v>
      </c>
      <c r="D267" s="17" t="str">
        <f>OBRA!M266</f>
        <v>RAMO 33</v>
      </c>
      <c r="E267" s="478" t="s">
        <v>1428</v>
      </c>
      <c r="F267" s="969"/>
      <c r="G267" s="878"/>
      <c r="H267" s="507"/>
      <c r="I267" s="54" t="str">
        <f>OBRA!W266</f>
        <v xml:space="preserve">GRUPO DESARROLLADOR INMOBILIARIO CEMERAMA S.A. DE C.V. </v>
      </c>
      <c r="J267" s="55" t="str">
        <f>OBRA!X266</f>
        <v>LIC. SALVADOR CONTRERAS OLGUÍN</v>
      </c>
      <c r="K267" s="33" t="str">
        <f>OBRA!N266</f>
        <v>GMJ 041C OP/2017</v>
      </c>
      <c r="L267" s="2" t="str">
        <f>OBRA!O266</f>
        <v>ADJUDICACIÓN DIRECTA</v>
      </c>
      <c r="M267" s="3" t="str">
        <f>OBRA!P266</f>
        <v>CONSTRUCCIÓN DE CASETA DE CONTROL Y CUARTO DE CLORACIÓN PARA EL POZO DE LA PLAZOLETA EL CHANTE, DELEGACIÓN DE CHANTEPEC, JOCOTEPEC JALISCO</v>
      </c>
      <c r="N267" s="504"/>
      <c r="O267" s="504"/>
      <c r="P267" s="6">
        <f>OBRA!S266</f>
        <v>42948</v>
      </c>
      <c r="Q267" s="4">
        <f>OBRA!R266</f>
        <v>185695.33</v>
      </c>
      <c r="R267" s="4"/>
      <c r="S267" s="5">
        <f>OBRA!T266</f>
        <v>42950</v>
      </c>
      <c r="T267" s="11">
        <f>OBRA!U266</f>
        <v>42978</v>
      </c>
      <c r="U267" s="53"/>
      <c r="V267" s="377" t="s">
        <v>1428</v>
      </c>
      <c r="W267" s="507"/>
      <c r="X267" s="877"/>
      <c r="Y267" s="279">
        <f>OBRA!AR266</f>
        <v>37139.06</v>
      </c>
      <c r="Z267" s="5"/>
      <c r="AA267" s="309"/>
      <c r="AB267" s="5"/>
      <c r="AC267" s="317">
        <f>OBRA!BW266</f>
        <v>0</v>
      </c>
      <c r="AD267" s="352" t="s">
        <v>551</v>
      </c>
    </row>
    <row r="268" spans="1:30" ht="105" hidden="1" customHeight="1">
      <c r="A268" s="22" t="s">
        <v>2206</v>
      </c>
      <c r="B268" s="809" t="str">
        <f>GRAL!B269</f>
        <v>2015-2018</v>
      </c>
      <c r="C268" s="16">
        <f>OBRA!J267</f>
        <v>-2016</v>
      </c>
      <c r="D268" s="17" t="str">
        <f>OBRA!M267</f>
        <v>RAMO 33</v>
      </c>
      <c r="E268" s="478" t="s">
        <v>1428</v>
      </c>
      <c r="F268" s="502" t="s">
        <v>1947</v>
      </c>
      <c r="G268" s="524" t="s">
        <v>1949</v>
      </c>
      <c r="H268" s="502" t="s">
        <v>1948</v>
      </c>
      <c r="I268" s="54" t="str">
        <f>OBRA!W267</f>
        <v>ENERGIAS RENOVABLES DE LA RIVERA S.A. DE C.V</v>
      </c>
      <c r="J268" s="55" t="str">
        <f>OBRA!X267</f>
        <v>ING. RIGOBERTO OLMEDO RAMOS</v>
      </c>
      <c r="K268" s="33" t="str">
        <f>OBRA!N267</f>
        <v>GMJ 042C OP/2017</v>
      </c>
      <c r="L268" s="2" t="str">
        <f>OBRA!O267</f>
        <v>ADJUDICACIÓN DIRECTA</v>
      </c>
      <c r="M268" s="3" t="str">
        <f>OBRA!P267</f>
        <v>ELECTRIFICACIÓN DE MEDIA Y BAJA TENSIÓN Y TRANSFORMADOR PARA EL POZO DE LA PLAZOLETA, EN LA LOCALIDAD DE CHANTEPEC,  DEL MUNICIPIO DE  JOCOTEPEC, JALISCO</v>
      </c>
      <c r="N268" s="504" t="s">
        <v>1946</v>
      </c>
      <c r="O268" s="504"/>
      <c r="P268" s="6">
        <f>OBRA!S267</f>
        <v>42951</v>
      </c>
      <c r="Q268" s="4">
        <f>OBRA!R267</f>
        <v>360000</v>
      </c>
      <c r="R268" s="4"/>
      <c r="S268" s="5">
        <f>OBRA!T267</f>
        <v>42954</v>
      </c>
      <c r="T268" s="11">
        <f>OBRA!U267</f>
        <v>42973</v>
      </c>
      <c r="U268" s="53"/>
      <c r="V268" s="377" t="s">
        <v>1428</v>
      </c>
      <c r="W268" s="499" t="s">
        <v>1950</v>
      </c>
      <c r="X268" s="597" t="s">
        <v>2265</v>
      </c>
      <c r="Y268" s="279">
        <f>OBRA!AR267</f>
        <v>72000</v>
      </c>
      <c r="Z268" s="5"/>
      <c r="AA268" s="309"/>
      <c r="AB268" s="5"/>
      <c r="AC268" s="317">
        <f>OBRA!BW267</f>
        <v>0</v>
      </c>
      <c r="AD268" s="352" t="s">
        <v>551</v>
      </c>
    </row>
    <row r="269" spans="1:30" ht="105" hidden="1" customHeight="1">
      <c r="A269" s="22" t="s">
        <v>2206</v>
      </c>
      <c r="B269" s="809" t="str">
        <f>GRAL!B270</f>
        <v>2015-2018</v>
      </c>
      <c r="C269" s="16">
        <f>OBRA!J268</f>
        <v>2017</v>
      </c>
      <c r="D269" s="17" t="str">
        <f>OBRA!M268</f>
        <v>CUENTA CORRIENTE</v>
      </c>
      <c r="E269" s="478" t="s">
        <v>1428</v>
      </c>
      <c r="F269" s="868"/>
      <c r="G269" s="878"/>
      <c r="H269" s="507"/>
      <c r="I269" s="661" t="str">
        <f>OBRA!W268</f>
        <v>ELECTRIFICACIONES MUGA, S.A. DE C.V.</v>
      </c>
      <c r="J269" s="55" t="str">
        <f>OBRA!X268</f>
        <v>C. DANIEL RODRIGUEZ VALENZUELA</v>
      </c>
      <c r="K269" s="33" t="str">
        <f>OBRA!N268</f>
        <v>GMJ 043C OP/2017</v>
      </c>
      <c r="L269" s="2" t="str">
        <f>OBRA!O268</f>
        <v>ADJUDICACIÓN DIRECTA</v>
      </c>
      <c r="M269" s="3" t="str">
        <f>OBRA!P268</f>
        <v>ELECTRIFICACIÓN DE LA SUBDIVICION DE LAS AREAS DE CESION DE VISTA DEL ANGEL, EN LA LOCALIDAD DE SAN JUAN COSALA DEL MUNICIPIO DE JOCOTEPEC, JALISCO</v>
      </c>
      <c r="N269" s="504"/>
      <c r="O269" s="504"/>
      <c r="P269" s="67">
        <f>OBRA!S268</f>
        <v>42916</v>
      </c>
      <c r="Q269" s="4">
        <f>OBRA!R268</f>
        <v>729291.31</v>
      </c>
      <c r="R269" s="4"/>
      <c r="S269" s="5">
        <f>OBRA!T268</f>
        <v>42917</v>
      </c>
      <c r="T269" s="11">
        <f>OBRA!U268</f>
        <v>43158</v>
      </c>
      <c r="U269" s="53"/>
      <c r="V269" s="377" t="s">
        <v>1428</v>
      </c>
      <c r="W269" s="587"/>
      <c r="X269" s="870"/>
      <c r="Y269" s="280">
        <f>OBRA!AR268</f>
        <v>0</v>
      </c>
      <c r="Z269" s="5"/>
      <c r="AA269" s="309"/>
      <c r="AB269" s="5"/>
      <c r="AC269" s="317">
        <f>OBRA!BW268</f>
        <v>0</v>
      </c>
      <c r="AD269" s="352" t="s">
        <v>1295</v>
      </c>
    </row>
    <row r="270" spans="1:30" s="104" customFormat="1" ht="30" hidden="1" customHeight="1">
      <c r="A270" s="81" t="s">
        <v>2206</v>
      </c>
      <c r="B270" s="820" t="str">
        <f>GRAL!B271</f>
        <v>2012-2015</v>
      </c>
      <c r="C270" s="82">
        <f>OBRA!J269</f>
        <v>2017</v>
      </c>
      <c r="D270" s="97">
        <f>OBRA!M269</f>
        <v>0</v>
      </c>
      <c r="E270" s="479" t="s">
        <v>1428</v>
      </c>
      <c r="F270" s="354"/>
      <c r="G270" s="96"/>
      <c r="H270" s="354"/>
      <c r="I270" s="151" t="str">
        <f>OBRA!W269</f>
        <v>-</v>
      </c>
      <c r="J270" s="152" t="str">
        <f>OBRA!X269</f>
        <v>-</v>
      </c>
      <c r="K270" s="308" t="str">
        <f>OBRA!N269</f>
        <v>GMJ 044C OP/2017</v>
      </c>
      <c r="L270" s="186" t="str">
        <f>OBRA!O269</f>
        <v>CANCELADA</v>
      </c>
      <c r="M270" s="106">
        <f>OBRA!P269</f>
        <v>0</v>
      </c>
      <c r="N270" s="125"/>
      <c r="O270" s="125"/>
      <c r="P270" s="87">
        <f>OBRA!S269</f>
        <v>0</v>
      </c>
      <c r="Q270" s="86">
        <f>OBRA!R269</f>
        <v>0</v>
      </c>
      <c r="R270" s="86"/>
      <c r="S270" s="88">
        <f>OBRA!T269</f>
        <v>0</v>
      </c>
      <c r="T270" s="89">
        <f>OBRA!U269</f>
        <v>0</v>
      </c>
      <c r="U270" s="91"/>
      <c r="V270" s="688" t="s">
        <v>1428</v>
      </c>
      <c r="W270" s="311"/>
      <c r="X270" s="89"/>
      <c r="Y270" s="284">
        <f>OBRA!AR269</f>
        <v>0</v>
      </c>
      <c r="Z270" s="88"/>
      <c r="AA270" s="311"/>
      <c r="AB270" s="88"/>
      <c r="AC270" s="467">
        <f>OBRA!BW269</f>
        <v>0</v>
      </c>
      <c r="AD270" s="354"/>
    </row>
    <row r="271" spans="1:30" ht="30" hidden="1" customHeight="1">
      <c r="A271" s="22" t="s">
        <v>2206</v>
      </c>
      <c r="B271" s="809" t="str">
        <f>GRAL!B272</f>
        <v>2015-2018</v>
      </c>
      <c r="C271" s="16">
        <f>OBRA!J270</f>
        <v>2017</v>
      </c>
      <c r="D271" s="17" t="str">
        <f>OBRA!M270</f>
        <v>FONDEREG</v>
      </c>
      <c r="E271" s="478"/>
      <c r="F271" s="352"/>
      <c r="G271" s="1"/>
      <c r="H271" s="352"/>
      <c r="I271" s="54" t="str">
        <f>OBRA!W270</f>
        <v xml:space="preserve">GRUPO DESARROLLADOR INMOBILIARIO CEMERAMA S.A. DE C.V. </v>
      </c>
      <c r="J271" s="55" t="str">
        <f>OBRA!X270</f>
        <v xml:space="preserve">LIC. SALVADOR CONTRERAS </v>
      </c>
      <c r="K271" s="33" t="str">
        <f>OBRA!N270</f>
        <v>GMJ 045C OP/2017</v>
      </c>
      <c r="L271" s="2" t="str">
        <f>OBRA!O270</f>
        <v>INVITACIÓN</v>
      </c>
      <c r="M271" s="3" t="str">
        <f>OBRA!P270</f>
        <v>REHABILITACIÓN DE IMAGEN URBANA Y ACONDICIONAMIENTO DE LA CALLE DONATO GUERRA ENTRE CALLE HIDALGO Y CALLE INDEPENDENCIA 1ERA ETAPA EN LA CABECERA MUNICIPAL DE JOCOTEPEC, JALISCO, DEL PROGRAMA FONDEREG 2017</v>
      </c>
      <c r="N271" s="3"/>
      <c r="O271" s="3"/>
      <c r="P271" s="6">
        <f>OBRA!S270</f>
        <v>42976</v>
      </c>
      <c r="Q271" s="4">
        <f>OBRA!R270</f>
        <v>3445881.8</v>
      </c>
      <c r="R271" s="4"/>
      <c r="S271" s="5">
        <f>OBRA!T270</f>
        <v>42979</v>
      </c>
      <c r="T271" s="11">
        <f>OBRA!U270</f>
        <v>43054</v>
      </c>
      <c r="U271" s="53"/>
      <c r="V271" s="377" t="s">
        <v>1428</v>
      </c>
      <c r="W271" s="309"/>
      <c r="X271" s="11"/>
      <c r="Y271" s="279">
        <f>OBRA!AR270</f>
        <v>1550258.96</v>
      </c>
      <c r="Z271" s="309"/>
      <c r="AA271" s="309"/>
      <c r="AB271" s="5"/>
      <c r="AC271" s="317">
        <f>OBRA!BW270</f>
        <v>0</v>
      </c>
      <c r="AD271" s="352"/>
    </row>
    <row r="272" spans="1:30" ht="30" hidden="1" customHeight="1">
      <c r="A272" s="22" t="s">
        <v>2206</v>
      </c>
      <c r="B272" s="809" t="str">
        <f>GRAL!B273</f>
        <v>2015-2018</v>
      </c>
      <c r="C272" s="16">
        <f>OBRA!J271</f>
        <v>2017</v>
      </c>
      <c r="D272" s="17" t="str">
        <f>OBRA!M271</f>
        <v>FOCOCI</v>
      </c>
      <c r="E272" s="478"/>
      <c r="F272" s="352"/>
      <c r="G272" s="1"/>
      <c r="H272" s="352"/>
      <c r="I272" s="54" t="str">
        <f>OBRA!W271</f>
        <v>PROYECCION INTEGRAL ZURE S.A. DE C.V.</v>
      </c>
      <c r="J272" s="55" t="str">
        <f>OBRA!X271</f>
        <v xml:space="preserve">LIC. SALVADOR CONTRERAS </v>
      </c>
      <c r="K272" s="33" t="str">
        <f>OBRA!N271</f>
        <v>GMJ 046C OP/2017</v>
      </c>
      <c r="L272" s="2" t="str">
        <f>OBRA!O271</f>
        <v>INVITACIÓN</v>
      </c>
      <c r="M272" s="3" t="str">
        <f>OBRA!P271</f>
        <v>REHABILITACIÓN DE IMAGEN URBANA Y ACONDICIONAMIENTO DE LA CALLE DONATO GUERRA ENTRE CALLE HIDALGO Y CALLE GUADALUPE VICTORIA, 1ER ETAPA, EN LA CABECERA MUNICIPAL DEL MUNICIPIO DE JOCOTEPEC, JALISCO</v>
      </c>
      <c r="N272" s="3"/>
      <c r="O272" s="3"/>
      <c r="P272" s="6">
        <f>OBRA!S271</f>
        <v>42949</v>
      </c>
      <c r="Q272" s="4">
        <f>OBRA!R271</f>
        <v>2995704.85</v>
      </c>
      <c r="R272" s="4"/>
      <c r="S272" s="5">
        <f>OBRA!T271</f>
        <v>42982</v>
      </c>
      <c r="T272" s="11">
        <f>OBRA!U271</f>
        <v>43049</v>
      </c>
      <c r="U272" s="53"/>
      <c r="V272" s="377" t="s">
        <v>1428</v>
      </c>
      <c r="W272" s="309"/>
      <c r="X272" s="11"/>
      <c r="Y272" s="279">
        <f>OBRA!AR271</f>
        <v>591940.96</v>
      </c>
      <c r="Z272" s="309"/>
      <c r="AA272" s="309"/>
      <c r="AB272" s="5"/>
      <c r="AC272" s="317">
        <f>OBRA!BW271</f>
        <v>0</v>
      </c>
      <c r="AD272" s="352"/>
    </row>
    <row r="273" spans="1:30" ht="141.75" hidden="1" customHeight="1">
      <c r="A273" s="22" t="s">
        <v>2206</v>
      </c>
      <c r="B273" s="809" t="str">
        <f>GRAL!B274</f>
        <v>2015-2018</v>
      </c>
      <c r="C273" s="16">
        <f>OBRA!J272</f>
        <v>-2016</v>
      </c>
      <c r="D273" s="17" t="str">
        <f>OBRA!M272</f>
        <v>FOREMODA</v>
      </c>
      <c r="E273" s="604" t="s">
        <v>1963</v>
      </c>
      <c r="F273" s="502" t="s">
        <v>1969</v>
      </c>
      <c r="G273" s="524" t="s">
        <v>1971</v>
      </c>
      <c r="H273" s="502" t="s">
        <v>1970</v>
      </c>
      <c r="I273" s="54" t="str">
        <f>OBRA!W272</f>
        <v>CONSTRUCTORA DALMA S.A. DE C.V.</v>
      </c>
      <c r="J273" s="55" t="str">
        <f>OBRA!X272</f>
        <v>ARQ. FRANCISCO SALAZAR</v>
      </c>
      <c r="K273" s="33" t="str">
        <f>OBRA!N272</f>
        <v>GMJ 047C OP/2017</v>
      </c>
      <c r="L273" s="2" t="str">
        <f>OBRA!O272</f>
        <v>ADJUDICACIÓN DIRECTA</v>
      </c>
      <c r="M273" s="3" t="str">
        <f>OBRA!P272</f>
        <v>AMPLIACION DE LA PRIMERA TEMPORADA DEL PROYECTO DE RESTAURACIÓN Y CONSERVACION DEL ANTIGUO TEMPLO DE INDIOS (HOSPITALITO DE SAN JUAN COSALA) EN LA DELEGACION DE SAN JUAN COSALA, DEL MUNICIPIO DE JOCOTEPEC</v>
      </c>
      <c r="N273" s="504" t="s">
        <v>1966</v>
      </c>
      <c r="O273" s="504"/>
      <c r="P273" s="6">
        <f>OBRA!S272</f>
        <v>42943</v>
      </c>
      <c r="Q273" s="4">
        <f>OBRA!R272</f>
        <v>440000</v>
      </c>
      <c r="R273" s="4"/>
      <c r="S273" s="5">
        <f>OBRA!T272</f>
        <v>43017</v>
      </c>
      <c r="T273" s="11">
        <f>OBRA!U272</f>
        <v>43087</v>
      </c>
      <c r="U273" s="53"/>
      <c r="V273" s="377"/>
      <c r="W273" s="502" t="s">
        <v>1972</v>
      </c>
      <c r="X273" s="613" t="s">
        <v>2266</v>
      </c>
      <c r="Y273" s="279">
        <f>OBRA!AR272</f>
        <v>396000</v>
      </c>
      <c r="Z273" s="5"/>
      <c r="AA273" s="309"/>
      <c r="AB273" s="5"/>
      <c r="AC273" s="317">
        <f>OBRA!BW272</f>
        <v>0</v>
      </c>
      <c r="AD273" s="352" t="s">
        <v>551</v>
      </c>
    </row>
    <row r="274" spans="1:30" ht="96" hidden="1" customHeight="1">
      <c r="A274" s="22" t="s">
        <v>2206</v>
      </c>
      <c r="B274" s="809" t="str">
        <f>GRAL!B275</f>
        <v>2015-2018</v>
      </c>
      <c r="C274" s="16">
        <f>OBRA!J273</f>
        <v>2017</v>
      </c>
      <c r="D274" s="17" t="str">
        <f>OBRA!M273</f>
        <v>CUENTA CORRIENTE</v>
      </c>
      <c r="E274" s="13" t="s">
        <v>1428</v>
      </c>
      <c r="F274" s="507"/>
      <c r="G274" s="878"/>
      <c r="H274" s="507"/>
      <c r="I274" s="54" t="str">
        <f>OBRA!W273</f>
        <v>ASFALTOS GUADALAJARA, S.A.P.I. DE C.V.</v>
      </c>
      <c r="J274" s="55" t="str">
        <f>OBRA!X273</f>
        <v>ING. ANGEL ALBERTO HERNANDEZ MORA</v>
      </c>
      <c r="K274" s="33" t="str">
        <f>OBRA!N273</f>
        <v>GMJ 048C OP/2017</v>
      </c>
      <c r="L274" s="2" t="str">
        <f>OBRA!O273</f>
        <v>ADJUDICACIÓN DIRECTA</v>
      </c>
      <c r="M274" s="3" t="str">
        <f>OBRA!P273</f>
        <v>REENCARPETAMIENTO Y BACHEO EN VARIAS CALLES EN LA LOCALIDAD DE ZAPOTITAN DE HIDALGO, MUNICIPIO DE JOCOTEPEC, JALISCO</v>
      </c>
      <c r="N274" s="504"/>
      <c r="O274" s="504"/>
      <c r="P274" s="6">
        <f>OBRA!S273</f>
        <v>42977</v>
      </c>
      <c r="Q274" s="4">
        <f>OBRA!R273</f>
        <v>1254850.92</v>
      </c>
      <c r="R274" s="4"/>
      <c r="S274" s="5">
        <f>OBRA!T273</f>
        <v>42977</v>
      </c>
      <c r="T274" s="11">
        <f>OBRA!U273</f>
        <v>43008</v>
      </c>
      <c r="U274" s="53"/>
      <c r="V274" s="377" t="s">
        <v>1428</v>
      </c>
      <c r="W274" s="587"/>
      <c r="X274" s="1231"/>
      <c r="Y274" s="279">
        <f>OBRA!AR273</f>
        <v>250970.18</v>
      </c>
      <c r="Z274" s="5"/>
      <c r="AA274" s="309"/>
      <c r="AB274" s="5"/>
      <c r="AC274" s="317">
        <f>OBRA!BW273</f>
        <v>0</v>
      </c>
      <c r="AD274" s="352" t="s">
        <v>551</v>
      </c>
    </row>
    <row r="275" spans="1:30" ht="81.75" hidden="1" customHeight="1">
      <c r="A275" s="22" t="s">
        <v>2206</v>
      </c>
      <c r="B275" s="809" t="str">
        <f>GRAL!B276</f>
        <v>2015-2018</v>
      </c>
      <c r="C275" s="16">
        <f>OBRA!J274</f>
        <v>2017</v>
      </c>
      <c r="D275" s="17" t="str">
        <f>OBRA!M274</f>
        <v>CUENTA CORRIENTE</v>
      </c>
      <c r="E275" s="478" t="s">
        <v>1428</v>
      </c>
      <c r="F275" s="507"/>
      <c r="G275" s="878"/>
      <c r="H275" s="507"/>
      <c r="I275" s="54" t="str">
        <f>OBRA!W274</f>
        <v>ASFALTOS GUADALAJARA, S.A.P.I. DE C.V.</v>
      </c>
      <c r="J275" s="55" t="str">
        <f>OBRA!X274</f>
        <v>ING. ANGEL ALBERTO HERNANDEZ MORA</v>
      </c>
      <c r="K275" s="33" t="str">
        <f>OBRA!N274</f>
        <v>GMJ 049C OP/2017</v>
      </c>
      <c r="L275" s="2" t="str">
        <f>OBRA!O274</f>
        <v>ADJUDICACIÓN DIRECTA</v>
      </c>
      <c r="M275" s="3" t="str">
        <f>OBRA!P274</f>
        <v>REENCARPETAMIENTO Y BACHEO EN VARIAS CALLES DE LA CABECERA MUNICIPAL, DEL MUNICIPIO DE JOCOTEPEC, JALISCO</v>
      </c>
      <c r="N275" s="504"/>
      <c r="O275" s="504"/>
      <c r="P275" s="6">
        <f>OBRA!S274</f>
        <v>42977</v>
      </c>
      <c r="Q275" s="4">
        <f>OBRA!R274</f>
        <v>1053156.1299999999</v>
      </c>
      <c r="R275" s="4"/>
      <c r="S275" s="5">
        <f>OBRA!T274</f>
        <v>42977</v>
      </c>
      <c r="T275" s="11">
        <f>OBRA!U274</f>
        <v>43053</v>
      </c>
      <c r="U275" s="53"/>
      <c r="V275" s="377" t="s">
        <v>1428</v>
      </c>
      <c r="W275" s="587"/>
      <c r="X275" s="1231"/>
      <c r="Y275" s="279">
        <f>OBRA!AR274</f>
        <v>210631.22</v>
      </c>
      <c r="Z275" s="5"/>
      <c r="AA275" s="309"/>
      <c r="AB275" s="5"/>
      <c r="AC275" s="317">
        <f>OBRA!BW274</f>
        <v>0</v>
      </c>
      <c r="AD275" s="352" t="s">
        <v>551</v>
      </c>
    </row>
    <row r="276" spans="1:30" ht="106.5" hidden="1" customHeight="1">
      <c r="A276" s="22" t="s">
        <v>2206</v>
      </c>
      <c r="B276" s="809" t="str">
        <f>GRAL!B277</f>
        <v>2015-2018</v>
      </c>
      <c r="C276" s="16">
        <f>OBRA!J275</f>
        <v>2017</v>
      </c>
      <c r="D276" s="17" t="str">
        <f>OBRA!M275</f>
        <v>CUENTA CORRIENTE</v>
      </c>
      <c r="E276" s="478" t="s">
        <v>1428</v>
      </c>
      <c r="F276" s="507"/>
      <c r="G276" s="878"/>
      <c r="H276" s="507"/>
      <c r="I276" s="54" t="str">
        <f>OBRA!W275</f>
        <v>ASFALTOS GUADALAJARA, S.A.P.I. DE C.V.</v>
      </c>
      <c r="J276" s="55" t="str">
        <f>OBRA!X275</f>
        <v>ING. ANGEL ALBERTO HERNANDEZ MORA</v>
      </c>
      <c r="K276" s="33" t="str">
        <f>OBRA!N275</f>
        <v>GMJ 050C OP/2017</v>
      </c>
      <c r="L276" s="2" t="str">
        <f>OBRA!O275</f>
        <v>ADJUDICACIÓN DIRECTA</v>
      </c>
      <c r="M276" s="3" t="str">
        <f>OBRA!P275</f>
        <v>REENCARPETAMIENTO Y BACHEO EN VARIAS CALLES EN LA LOCALIDAD DE SAN CRISTOBAL ZAPOTITLAN, DEL MUNICIPIO DE JOCOTEPEC, JALISCO</v>
      </c>
      <c r="N276" s="504"/>
      <c r="O276" s="504"/>
      <c r="P276" s="6">
        <f>OBRA!S275</f>
        <v>43007</v>
      </c>
      <c r="Q276" s="4">
        <f>OBRA!R275</f>
        <v>614358.76</v>
      </c>
      <c r="R276" s="4"/>
      <c r="S276" s="5">
        <f>OBRA!T275</f>
        <v>43010</v>
      </c>
      <c r="T276" s="11">
        <f>OBRA!U275</f>
        <v>43017</v>
      </c>
      <c r="U276" s="53"/>
      <c r="V276" s="377" t="s">
        <v>1428</v>
      </c>
      <c r="W276" s="587"/>
      <c r="X276" s="1231"/>
      <c r="Y276" s="279">
        <f>OBRA!AR275</f>
        <v>122871.76</v>
      </c>
      <c r="Z276" s="5"/>
      <c r="AA276" s="309"/>
      <c r="AB276" s="5"/>
      <c r="AC276" s="317">
        <f>OBRA!BW275</f>
        <v>0</v>
      </c>
      <c r="AD276" s="352" t="s">
        <v>551</v>
      </c>
    </row>
    <row r="277" spans="1:30" ht="162" hidden="1" customHeight="1">
      <c r="A277" s="22" t="s">
        <v>2206</v>
      </c>
      <c r="B277" s="809" t="str">
        <f>GRAL!B278</f>
        <v>2015-2018</v>
      </c>
      <c r="C277" s="16">
        <f>OBRA!J276</f>
        <v>2017</v>
      </c>
      <c r="D277" s="18" t="str">
        <f>OBRA!M276</f>
        <v>Fondo de proyectos para el Desarrollo Regional</v>
      </c>
      <c r="E277" s="604" t="s">
        <v>1933</v>
      </c>
      <c r="F277" s="507"/>
      <c r="G277" s="878"/>
      <c r="H277" s="507"/>
      <c r="I277" s="54" t="str">
        <f>OBRA!W276</f>
        <v>ING. SERGIO CABRERA</v>
      </c>
      <c r="J277" s="55" t="str">
        <f>OBRA!X276</f>
        <v>ING. J. GUADALUPE IBARRA RAMIREZ</v>
      </c>
      <c r="K277" s="33" t="str">
        <f>OBRA!N276</f>
        <v>GMJ 051C OP/2017</v>
      </c>
      <c r="L277" s="2" t="str">
        <f>OBRA!O276</f>
        <v>ADJUDICACIÓN DIRECTA</v>
      </c>
      <c r="M277" s="3" t="str">
        <f>OBRA!P276</f>
        <v>PROYECTO CONSTRUCCIÓN DE ASFALTO, CONSTRUCCION CUNETAS Y CONSTRUCCIÓN DE BANQUETAS EN LA CALLE NIÑOS HEROES DEL LIBRAMIENTO A CALLE PROL. ALDAMA, EN LA CABECERA MUNICIPAL DEL JOCOTEPEC, JALISCO.</v>
      </c>
      <c r="N277" s="504"/>
      <c r="O277" s="504"/>
      <c r="P277" s="67">
        <f>OBRA!S276</f>
        <v>42992</v>
      </c>
      <c r="Q277" s="4">
        <f>OBRA!R276</f>
        <v>607706.15</v>
      </c>
      <c r="R277" s="4"/>
      <c r="S277" s="5">
        <f>OBRA!T276</f>
        <v>43059</v>
      </c>
      <c r="T277" s="11">
        <f>OBRA!U276</f>
        <v>43084</v>
      </c>
      <c r="U277" s="53"/>
      <c r="V277" s="377" t="s">
        <v>1428</v>
      </c>
      <c r="W277" s="587"/>
      <c r="X277" s="1231"/>
      <c r="Y277" s="279">
        <f>OBRA!AR276</f>
        <v>121541.22</v>
      </c>
      <c r="Z277" s="5"/>
      <c r="AA277" s="309"/>
      <c r="AB277" s="5"/>
      <c r="AC277" s="317">
        <f>OBRA!BW276</f>
        <v>0</v>
      </c>
      <c r="AD277" s="352" t="s">
        <v>1295</v>
      </c>
    </row>
    <row r="278" spans="1:30" s="104" customFormat="1" ht="15" hidden="1" customHeight="1">
      <c r="A278" s="81" t="s">
        <v>2206</v>
      </c>
      <c r="B278" s="820" t="str">
        <f>GRAL!B279</f>
        <v>2012-2015</v>
      </c>
      <c r="C278" s="82">
        <f>OBRA!J277</f>
        <v>2017</v>
      </c>
      <c r="D278" s="97">
        <f>OBRA!M277</f>
        <v>0</v>
      </c>
      <c r="E278" s="479"/>
      <c r="F278" s="827"/>
      <c r="G278" s="96"/>
      <c r="H278" s="354"/>
      <c r="I278" s="151">
        <f>OBRA!W277</f>
        <v>0</v>
      </c>
      <c r="J278" s="152">
        <f>OBRA!X277</f>
        <v>0</v>
      </c>
      <c r="K278" s="308" t="str">
        <f>OBRA!N277</f>
        <v>GMJ 052C OP/2017</v>
      </c>
      <c r="L278" s="186" t="str">
        <f>OBRA!O277</f>
        <v>CANCELADA</v>
      </c>
      <c r="M278" s="106" t="str">
        <f>OBRA!P277</f>
        <v>CANCELADO</v>
      </c>
      <c r="N278" s="812"/>
      <c r="O278" s="812"/>
      <c r="P278" s="87">
        <f>OBRA!S277</f>
        <v>0</v>
      </c>
      <c r="Q278" s="86">
        <f>OBRA!R277</f>
        <v>0</v>
      </c>
      <c r="R278" s="86"/>
      <c r="S278" s="88">
        <f>OBRA!T277</f>
        <v>0</v>
      </c>
      <c r="T278" s="89">
        <f>OBRA!U277</f>
        <v>0</v>
      </c>
      <c r="U278" s="91"/>
      <c r="V278" s="688" t="s">
        <v>1428</v>
      </c>
      <c r="W278" s="311"/>
      <c r="X278" s="89"/>
      <c r="Y278" s="284">
        <f>OBRA!AR277</f>
        <v>0</v>
      </c>
      <c r="Z278" s="311"/>
      <c r="AA278" s="311"/>
      <c r="AB278" s="88"/>
      <c r="AC278" s="467">
        <f>OBRA!BW277</f>
        <v>0</v>
      </c>
      <c r="AD278" s="354"/>
    </row>
    <row r="279" spans="1:30" ht="81.75" hidden="1" customHeight="1">
      <c r="A279" s="22" t="s">
        <v>2206</v>
      </c>
      <c r="B279" s="809" t="str">
        <f>GRAL!B280</f>
        <v>2015-2018</v>
      </c>
      <c r="C279" s="16">
        <f>OBRA!J278</f>
        <v>-2016</v>
      </c>
      <c r="D279" s="17" t="str">
        <f>OBRA!M278</f>
        <v>RAMO 33</v>
      </c>
      <c r="E279" s="478" t="s">
        <v>1428</v>
      </c>
      <c r="F279" s="502" t="s">
        <v>1981</v>
      </c>
      <c r="G279" s="524" t="s">
        <v>1983</v>
      </c>
      <c r="H279" s="502" t="s">
        <v>1982</v>
      </c>
      <c r="I279" s="54" t="str">
        <f>OBRA!W278</f>
        <v>C. JESSICA MONSERRAT RIVERA TORRES</v>
      </c>
      <c r="J279" s="55" t="str">
        <f>OBRA!X278</f>
        <v>ING. RIGOBERTO OLMEDO RAMOS</v>
      </c>
      <c r="K279" s="33" t="str">
        <f>OBRA!N278</f>
        <v>GMJ 053C OP/2017</v>
      </c>
      <c r="L279" s="2" t="str">
        <f>OBRA!O278</f>
        <v>ADJUDICACIÓN DIRECTA</v>
      </c>
      <c r="M279" s="3" t="str">
        <f>OBRA!P278</f>
        <v>EQUIPAMIENTO  DE POZO PROFUNDO EN LA CALLE JUAREZ, EN LA LOCALIDAD DE CHANTEPEC, DEL MUNICIPIO DE JOCOTEPEC, JALISCO</v>
      </c>
      <c r="N279" s="504" t="s">
        <v>1980</v>
      </c>
      <c r="O279" s="504"/>
      <c r="P279" s="6">
        <f>OBRA!S278</f>
        <v>43000</v>
      </c>
      <c r="Q279" s="4">
        <f>OBRA!R278</f>
        <v>335569.36</v>
      </c>
      <c r="R279" s="4"/>
      <c r="S279" s="5">
        <f>OBRA!T278</f>
        <v>43003</v>
      </c>
      <c r="T279" s="11">
        <f>OBRA!U278</f>
        <v>43023</v>
      </c>
      <c r="U279" s="53"/>
      <c r="V279" s="377" t="s">
        <v>1428</v>
      </c>
      <c r="W279" s="499" t="s">
        <v>1984</v>
      </c>
      <c r="X279" s="597" t="s">
        <v>2267</v>
      </c>
      <c r="Y279" s="642">
        <f>OBRA!AR278</f>
        <v>41949.270000000004</v>
      </c>
      <c r="Z279" s="5"/>
      <c r="AA279" s="309"/>
      <c r="AB279" s="5"/>
      <c r="AC279" s="317">
        <f>OBRA!BW278</f>
        <v>0</v>
      </c>
      <c r="AD279" s="352" t="s">
        <v>551</v>
      </c>
    </row>
    <row r="280" spans="1:30" ht="111" hidden="1" customHeight="1">
      <c r="A280" s="22" t="s">
        <v>2206</v>
      </c>
      <c r="B280" s="809" t="str">
        <f>GRAL!B281</f>
        <v>2015-2018</v>
      </c>
      <c r="C280" s="16">
        <f>OBRA!J279</f>
        <v>2017</v>
      </c>
      <c r="D280" s="17" t="str">
        <f>OBRA!M279</f>
        <v>CUENTA CORRIENTE</v>
      </c>
      <c r="E280" s="478" t="s">
        <v>1428</v>
      </c>
      <c r="F280" s="507"/>
      <c r="G280" s="507"/>
      <c r="H280" s="507"/>
      <c r="I280" s="54" t="str">
        <f>OBRA!W279</f>
        <v>ING. MANUEL PALOS VACA</v>
      </c>
      <c r="J280" s="55" t="str">
        <f>OBRA!X279</f>
        <v>ING. ANGEL ALBERTO HERNANDEZ MORA</v>
      </c>
      <c r="K280" s="33" t="str">
        <f>OBRA!N279</f>
        <v>GMJ 054C OP/2017</v>
      </c>
      <c r="L280" s="2" t="str">
        <f>OBRA!O279</f>
        <v>ADJUDICACIÓN DIRECTA</v>
      </c>
      <c r="M280" s="3" t="str">
        <f>OBRA!P279</f>
        <v>ADECUACION DE CUNETA Y REEMPEDRADO AHOGADO EN CEMENTO EN LA CALLE LOS GUAYABOS EN LA AGENCIA MUNICIPAL DE NEXTIPAC, DEL MUNICIPIO DE JOCOTEPEC, JALISCO</v>
      </c>
      <c r="N280" s="502"/>
      <c r="O280" s="502"/>
      <c r="P280" s="6">
        <f>OBRA!S279</f>
        <v>42979</v>
      </c>
      <c r="Q280" s="4">
        <f>OBRA!R279</f>
        <v>240397.92</v>
      </c>
      <c r="R280" s="4"/>
      <c r="S280" s="5">
        <f>OBRA!T279</f>
        <v>42980</v>
      </c>
      <c r="T280" s="11">
        <f>OBRA!U279</f>
        <v>43007</v>
      </c>
      <c r="U280" s="53"/>
      <c r="V280" s="377" t="s">
        <v>1428</v>
      </c>
      <c r="W280" s="507"/>
      <c r="X280" s="507"/>
      <c r="Y280" s="279">
        <f>OBRA!AR279</f>
        <v>55772.3</v>
      </c>
      <c r="Z280" s="5"/>
      <c r="AA280" s="309"/>
      <c r="AB280" s="5"/>
      <c r="AC280" s="317">
        <f>OBRA!BW279</f>
        <v>0</v>
      </c>
      <c r="AD280" s="352" t="s">
        <v>1295</v>
      </c>
    </row>
    <row r="281" spans="1:30" ht="139.5" hidden="1" customHeight="1">
      <c r="A281" s="22" t="s">
        <v>2206</v>
      </c>
      <c r="B281" s="809" t="str">
        <f>GRAL!B282</f>
        <v>2015-2018</v>
      </c>
      <c r="C281" s="16">
        <f>OBRA!J280</f>
        <v>2017</v>
      </c>
      <c r="D281" s="17" t="str">
        <f>OBRA!M280</f>
        <v>CUENTA CORRIENTE</v>
      </c>
      <c r="E281" s="478" t="s">
        <v>1428</v>
      </c>
      <c r="F281" s="507"/>
      <c r="G281" s="878"/>
      <c r="H281" s="507"/>
      <c r="I281" s="54" t="str">
        <f>OBRA!W280</f>
        <v>AGUA Y SANEAMIENTO AMBIENTAL S.A. DE C.V.</v>
      </c>
      <c r="J281" s="55" t="str">
        <f>OBRA!X280</f>
        <v>ING. JUAN MANUEL GARCIA ESCOTO</v>
      </c>
      <c r="K281" s="33" t="str">
        <f>OBRA!N280</f>
        <v>GMJ 055C OP/2017</v>
      </c>
      <c r="L281" s="2" t="str">
        <f>OBRA!O280</f>
        <v>ADJUDICACIÓN DIRECTA</v>
      </c>
      <c r="M281" s="3" t="str">
        <f>OBRA!P280</f>
        <v>SUMINISTRO Y COLOCACION DE CARCAMO DE BOMBEO PREFABRICADO DE CONCRETO ARMADO MARCA ASA-JET, PARA EL COLECTOR SANITARIO DEL MALECON EN LA CABECERA MUNICIPAL DEL MUNICIPIO DE JOCOTEPEC, JALISCO</v>
      </c>
      <c r="N281" s="464"/>
      <c r="O281" s="464"/>
      <c r="P281" s="67">
        <f>OBRA!S280</f>
        <v>43052</v>
      </c>
      <c r="Q281" s="4">
        <f>OBRA!R280</f>
        <v>743056.9</v>
      </c>
      <c r="R281" s="4"/>
      <c r="S281" s="5">
        <f>OBRA!T280</f>
        <v>43061</v>
      </c>
      <c r="T281" s="11">
        <f>OBRA!U280</f>
        <v>43084</v>
      </c>
      <c r="U281" s="52"/>
      <c r="V281" s="497" t="s">
        <v>2268</v>
      </c>
      <c r="W281" s="507"/>
      <c r="X281" s="877"/>
      <c r="Y281" s="279">
        <f>OBRA!AR280</f>
        <v>520139.83</v>
      </c>
      <c r="Z281" s="5"/>
      <c r="AA281" s="309"/>
      <c r="AB281" s="5"/>
      <c r="AC281" s="317">
        <f>OBRA!BW280</f>
        <v>0</v>
      </c>
      <c r="AD281" s="352" t="s">
        <v>551</v>
      </c>
    </row>
    <row r="282" spans="1:30" ht="125.25" hidden="1" customHeight="1">
      <c r="A282" s="22" t="s">
        <v>2206</v>
      </c>
      <c r="B282" s="809" t="str">
        <f>GRAL!B283</f>
        <v>2015-2018</v>
      </c>
      <c r="C282" s="16">
        <f>OBRA!J281</f>
        <v>2017</v>
      </c>
      <c r="D282" s="17" t="str">
        <f>OBRA!M281</f>
        <v>RAMO 33</v>
      </c>
      <c r="E282" s="478" t="s">
        <v>1428</v>
      </c>
      <c r="F282" s="507"/>
      <c r="G282" s="529"/>
      <c r="H282" s="507"/>
      <c r="I282" s="54" t="str">
        <f>OBRA!W281</f>
        <v>C. JOSÉ MIGUEL GARCIA VALLE</v>
      </c>
      <c r="J282" s="55" t="str">
        <f>OBRA!X281</f>
        <v>ARQ. JAIME CONDE GOMEZ</v>
      </c>
      <c r="K282" s="33" t="str">
        <f>OBRA!N281</f>
        <v>GMJ 056C OP/2017</v>
      </c>
      <c r="L282" s="2" t="str">
        <f>OBRA!O281</f>
        <v>ADJUDICACIÓN DIRECTA</v>
      </c>
      <c r="M282" s="3" t="str">
        <f>OBRA!P281</f>
        <v>REHABILITACION DE LINEA DE DRENAJE EN CALLE VICENTE GUERRERO ENTRE CARRETERA E HIDALGO CON REPOSICIÓN DE SUPERFICIE DE RODAMIENTO, EN LA LOCALIDAD DE SAN JUAN COSALA, ºDEL MUNICIPIO DE JOCOTEPEC, JALISCO</v>
      </c>
      <c r="N282" s="504"/>
      <c r="O282" s="504"/>
      <c r="P282" s="6">
        <f>OBRA!S281</f>
        <v>43047</v>
      </c>
      <c r="Q282" s="4">
        <f>OBRA!R281</f>
        <v>493878.63</v>
      </c>
      <c r="R282" s="4"/>
      <c r="S282" s="5">
        <f>OBRA!T281</f>
        <v>43048</v>
      </c>
      <c r="T282" s="11">
        <f>OBRA!U281</f>
        <v>43086</v>
      </c>
      <c r="U282" s="53"/>
      <c r="V282" s="377" t="s">
        <v>1428</v>
      </c>
      <c r="W282" s="535"/>
      <c r="X282" s="1231"/>
      <c r="Y282" s="659">
        <f>OBRA!AR281</f>
        <v>54551.4</v>
      </c>
      <c r="Z282" s="5"/>
      <c r="AA282" s="309"/>
      <c r="AB282" s="5"/>
      <c r="AC282" s="317">
        <f>OBRA!BW281</f>
        <v>0</v>
      </c>
      <c r="AD282" s="352" t="s">
        <v>1295</v>
      </c>
    </row>
    <row r="283" spans="1:30" ht="141.75" hidden="1" customHeight="1">
      <c r="A283" s="22" t="s">
        <v>2206</v>
      </c>
      <c r="B283" s="809" t="str">
        <f>GRAL!B284</f>
        <v>2015-2018</v>
      </c>
      <c r="C283" s="16">
        <f>OBRA!J282</f>
        <v>2017</v>
      </c>
      <c r="D283" s="17" t="str">
        <f>OBRA!M282</f>
        <v>RAMO 33</v>
      </c>
      <c r="E283" s="478" t="s">
        <v>1428</v>
      </c>
      <c r="F283" s="507"/>
      <c r="G283" s="878"/>
      <c r="H283" s="507"/>
      <c r="I283" s="54" t="str">
        <f>OBRA!W282</f>
        <v>C. JOSÉ MIGUEL GARCIA VALLE</v>
      </c>
      <c r="J283" s="55" t="str">
        <f>OBRA!X282</f>
        <v>ARQ. JAIME CONDE GOMEZ</v>
      </c>
      <c r="K283" s="33" t="str">
        <f>OBRA!N282</f>
        <v>GMJ 057C OP/2017</v>
      </c>
      <c r="L283" s="2" t="str">
        <f>OBRA!O282</f>
        <v>ADJUDICACIÓN DIRECTA</v>
      </c>
      <c r="M283" s="3" t="str">
        <f>OBRA!P282</f>
        <v>REHABILITACION DE LINEA DE AGUA POTABLE EN CALLE VICENTE GUERRERO ENTRE CARRETERA E HIDALGO CON REPOSICIÓN DE SUPERFICIE DE RODAMIENTO, EN LA LOCALIDAD DE SAN JUAN COSALA, DEL MUNICIPIO DE JOCOTEPEC, JALISCO</v>
      </c>
      <c r="N283" s="504"/>
      <c r="O283" s="504"/>
      <c r="P283" s="6">
        <f>OBRA!S282</f>
        <v>43047</v>
      </c>
      <c r="Q283" s="4">
        <f>OBRA!R282</f>
        <v>515747.25</v>
      </c>
      <c r="R283" s="4"/>
      <c r="S283" s="5">
        <f>OBRA!T282</f>
        <v>43048</v>
      </c>
      <c r="T283" s="11">
        <f>OBRA!U282</f>
        <v>43081</v>
      </c>
      <c r="U283" s="53"/>
      <c r="V283" s="377" t="s">
        <v>1428</v>
      </c>
      <c r="W283" s="508"/>
      <c r="X283" s="1231"/>
      <c r="Y283" s="659">
        <f>OBRA!AR282</f>
        <v>514393.58999999997</v>
      </c>
      <c r="Z283" s="5"/>
      <c r="AA283" s="309"/>
      <c r="AB283" s="5"/>
      <c r="AC283" s="317">
        <f>OBRA!BW282</f>
        <v>0</v>
      </c>
      <c r="AD283" s="352" t="s">
        <v>1295</v>
      </c>
    </row>
    <row r="284" spans="1:30" ht="98.25" hidden="1" customHeight="1">
      <c r="A284" s="22" t="s">
        <v>2206</v>
      </c>
      <c r="B284" s="809" t="str">
        <f>GRAL!B285</f>
        <v>2015-2018</v>
      </c>
      <c r="C284" s="16">
        <f>OBRA!J283</f>
        <v>2017</v>
      </c>
      <c r="D284" s="17" t="str">
        <f>OBRA!M283</f>
        <v>RAMO 33</v>
      </c>
      <c r="E284" s="478" t="s">
        <v>1428</v>
      </c>
      <c r="F284" s="507"/>
      <c r="G284" s="878"/>
      <c r="H284" s="507"/>
      <c r="I284" s="54" t="str">
        <f>OBRA!W283</f>
        <v>ING. PEDRO TOPETE LOPEZ</v>
      </c>
      <c r="J284" s="55" t="str">
        <f>OBRA!X283</f>
        <v>ING. ANGEL ALBERTO HERNANDEZ MORA</v>
      </c>
      <c r="K284" s="33" t="str">
        <f>OBRA!N283</f>
        <v>GMJ 058C OP/2017</v>
      </c>
      <c r="L284" s="2" t="str">
        <f>OBRA!O283</f>
        <v>ADJUDICACIÓN DIRECTA</v>
      </c>
      <c r="M284" s="3" t="str">
        <f>OBRA!P283</f>
        <v>REHABILITACIÓN DE LINEA DE AGUA POTABLE EN CALLE CHAPULTEPEC ENTRE PRIVADA SAN MIGUEL Y CALLE CERRADA, EN LA AGENCIA MUNICIPAL "LA LOMA"</v>
      </c>
      <c r="N284" s="464"/>
      <c r="O284" s="464"/>
      <c r="P284" s="6">
        <f>OBRA!S283</f>
        <v>43046</v>
      </c>
      <c r="Q284" s="4">
        <f>OBRA!R283</f>
        <v>392640.25</v>
      </c>
      <c r="R284" s="4"/>
      <c r="S284" s="5">
        <f>OBRA!T283</f>
        <v>43047</v>
      </c>
      <c r="T284" s="11">
        <f>OBRA!U283</f>
        <v>43078</v>
      </c>
      <c r="U284" s="53"/>
      <c r="V284" s="377" t="s">
        <v>1428</v>
      </c>
      <c r="W284" s="507"/>
      <c r="X284" s="507"/>
      <c r="Y284" s="340">
        <f>OBRA!AR283</f>
        <v>180243.78999999998</v>
      </c>
      <c r="Z284" s="5"/>
      <c r="AA284" s="309"/>
      <c r="AB284" s="5"/>
      <c r="AC284" s="317">
        <f>OBRA!BW283</f>
        <v>0</v>
      </c>
      <c r="AD284" s="352" t="s">
        <v>551</v>
      </c>
    </row>
    <row r="285" spans="1:30" ht="244.5" hidden="1" customHeight="1">
      <c r="A285" s="22" t="s">
        <v>2206</v>
      </c>
      <c r="B285" s="809" t="str">
        <f>GRAL!B286</f>
        <v>2015-2018</v>
      </c>
      <c r="C285" s="16">
        <f>OBRA!J284</f>
        <v>2017</v>
      </c>
      <c r="D285" s="18" t="str">
        <f>OBRA!M284</f>
        <v>Fondo de proyectos para el Desarrollo Regional</v>
      </c>
      <c r="E285" s="604" t="s">
        <v>1934</v>
      </c>
      <c r="F285" s="507"/>
      <c r="G285" s="878"/>
      <c r="H285" s="507"/>
      <c r="I285" s="54" t="str">
        <f>OBRA!W284</f>
        <v>ING. SERGIO CABRERA</v>
      </c>
      <c r="J285" s="55" t="str">
        <f>OBRA!X284</f>
        <v>ING. J. GUADALUPE IBARRA RAMIREZ</v>
      </c>
      <c r="K285" s="33" t="str">
        <f>OBRA!N284</f>
        <v>GMJ 059C OP/2017</v>
      </c>
      <c r="L285" s="2" t="str">
        <f>OBRA!O284</f>
        <v>ADJUDICACIÓN DIRECTA</v>
      </c>
      <c r="M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4"/>
      <c r="O285" s="464"/>
      <c r="P285" s="67">
        <f>OBRA!S284</f>
        <v>43038</v>
      </c>
      <c r="Q285" s="4">
        <f>OBRA!R284</f>
        <v>794788.72</v>
      </c>
      <c r="R285" s="4"/>
      <c r="S285" s="5">
        <f>OBRA!T284</f>
        <v>43061</v>
      </c>
      <c r="T285" s="11">
        <f>OBRA!U284</f>
        <v>43084</v>
      </c>
      <c r="U285" s="53"/>
      <c r="V285" s="377" t="s">
        <v>1428</v>
      </c>
      <c r="W285" s="587"/>
      <c r="X285" s="1231"/>
      <c r="Y285" s="279">
        <f>OBRA!AR284</f>
        <v>158957.74</v>
      </c>
      <c r="Z285" s="5"/>
      <c r="AA285" s="309"/>
      <c r="AB285" s="5"/>
      <c r="AC285" s="317">
        <f>OBRA!BW284</f>
        <v>0</v>
      </c>
      <c r="AD285" s="352" t="s">
        <v>551</v>
      </c>
    </row>
    <row r="286" spans="1:30" ht="93" hidden="1" customHeight="1">
      <c r="A286" s="22" t="s">
        <v>2206</v>
      </c>
      <c r="B286" s="809" t="str">
        <f>GRAL!B287</f>
        <v>2015-2018</v>
      </c>
      <c r="C286" s="16">
        <f>OBRA!J285</f>
        <v>2017</v>
      </c>
      <c r="D286" s="17" t="str">
        <f>OBRA!M285</f>
        <v>CUENTA CORRIENTE</v>
      </c>
      <c r="E286" s="478" t="s">
        <v>1428</v>
      </c>
      <c r="F286" s="507"/>
      <c r="G286" s="878"/>
      <c r="H286" s="507"/>
      <c r="I286" s="54" t="str">
        <f>OBRA!W285</f>
        <v>ASFALTOS GUADALAJARA, S.A.P.I. DE C.V.</v>
      </c>
      <c r="J286" s="55" t="str">
        <f>OBRA!X285</f>
        <v>ING. ANGEL ALBERTO HERNANDEZ MORA</v>
      </c>
      <c r="K286" s="33" t="str">
        <f>OBRA!N285</f>
        <v>GMJ 060C OP/2017</v>
      </c>
      <c r="L286" s="2" t="str">
        <f>OBRA!O285</f>
        <v>ADJUDICACIÓN DIRECTA</v>
      </c>
      <c r="M286" s="3" t="str">
        <f>OBRA!P285</f>
        <v>REENCARPETAMIENTO Y BACHEO ASFALTICO EN VARIAS CALLES EN LA CABECERA MUNICIPAL, DE JOCOTEPEC, JALISCO</v>
      </c>
      <c r="N286" s="504"/>
      <c r="O286" s="504"/>
      <c r="P286" s="6">
        <f>OBRA!S285</f>
        <v>43059</v>
      </c>
      <c r="Q286" s="4">
        <f>OBRA!R285</f>
        <v>773560.6</v>
      </c>
      <c r="R286" s="4"/>
      <c r="S286" s="5">
        <f>OBRA!T285</f>
        <v>43059</v>
      </c>
      <c r="T286" s="11">
        <f>OBRA!U285</f>
        <v>43075</v>
      </c>
      <c r="U286" s="53"/>
      <c r="V286" s="377" t="s">
        <v>1428</v>
      </c>
      <c r="W286" s="507"/>
      <c r="X286" s="877"/>
      <c r="Y286" s="279">
        <f>OBRA!AR285</f>
        <v>154712.12</v>
      </c>
      <c r="Z286" s="5"/>
      <c r="AA286" s="309"/>
      <c r="AB286" s="5"/>
      <c r="AC286" s="317">
        <f>OBRA!BW285</f>
        <v>0</v>
      </c>
      <c r="AD286" s="352" t="s">
        <v>551</v>
      </c>
    </row>
    <row r="287" spans="1:30" ht="120.75" hidden="1" customHeight="1">
      <c r="A287" s="22" t="s">
        <v>2206</v>
      </c>
      <c r="B287" s="809" t="str">
        <f>GRAL!B288</f>
        <v>2015-2018</v>
      </c>
      <c r="C287" s="16">
        <f>OBRA!J286</f>
        <v>2017</v>
      </c>
      <c r="D287" s="17" t="str">
        <f>OBRA!M286</f>
        <v>RAMO 33</v>
      </c>
      <c r="E287" s="478" t="s">
        <v>1428</v>
      </c>
      <c r="F287" s="507"/>
      <c r="G287" s="878"/>
      <c r="H287" s="507"/>
      <c r="I287" s="54" t="str">
        <f>OBRA!W286</f>
        <v>C. NORMA GORETY DOMINGUEZ CALVARIO</v>
      </c>
      <c r="J287" s="55" t="str">
        <f>OBRA!X286</f>
        <v>ING. JUAN MANUEL GARCIA ESCOTO</v>
      </c>
      <c r="K287" s="33" t="str">
        <f>OBRA!N286</f>
        <v>GMJ 061C OP/2017</v>
      </c>
      <c r="L287" s="2" t="str">
        <f>OBRA!O286</f>
        <v>ADJUDICACIÓN DIRECTA</v>
      </c>
      <c r="M287" s="3" t="str">
        <f>OBRA!P286</f>
        <v>REHABILITACION DE LINEA DE DRENAJE EN CALLE MORELOS PONIENTE ENTRE ZARAGOZA Y PANTEON  CON REPOSICIÓN DE SUPERFICIE DE RODAMIENTO EN LA CABECERA MUNICIPAL DEL MUNICIPIO DE JOCOTEPEC, JALISCO</v>
      </c>
      <c r="N287" s="504"/>
      <c r="O287" s="504"/>
      <c r="P287" s="6">
        <f>OBRA!S286</f>
        <v>43078</v>
      </c>
      <c r="Q287" s="4">
        <f>OBRA!R286</f>
        <v>928575.62</v>
      </c>
      <c r="R287" s="4"/>
      <c r="S287" s="5">
        <f>OBRA!T286</f>
        <v>43078</v>
      </c>
      <c r="T287" s="11">
        <f>OBRA!U286</f>
        <v>43099</v>
      </c>
      <c r="U287" s="53"/>
      <c r="V287" s="377" t="s">
        <v>1428</v>
      </c>
      <c r="W287" s="587"/>
      <c r="X287" s="1231"/>
      <c r="Y287" s="340">
        <f>OBRA!AR286</f>
        <v>417859.01999999996</v>
      </c>
      <c r="Z287" s="5"/>
      <c r="AA287" s="309"/>
      <c r="AB287" s="5"/>
      <c r="AC287" s="317">
        <f>OBRA!BW286</f>
        <v>0</v>
      </c>
      <c r="AD287" s="352" t="s">
        <v>551</v>
      </c>
    </row>
    <row r="288" spans="1:30" ht="142.5" hidden="1" customHeight="1">
      <c r="A288" s="22" t="s">
        <v>2206</v>
      </c>
      <c r="B288" s="809" t="str">
        <f>GRAL!B289</f>
        <v>2015-2018</v>
      </c>
      <c r="C288" s="16">
        <f>OBRA!J287</f>
        <v>2017</v>
      </c>
      <c r="D288" s="17" t="str">
        <f>OBRA!M287</f>
        <v>RAMO 33</v>
      </c>
      <c r="E288" s="478" t="s">
        <v>1428</v>
      </c>
      <c r="F288" s="507"/>
      <c r="G288" s="878"/>
      <c r="H288" s="507"/>
      <c r="I288" s="54" t="str">
        <f>OBRA!W287</f>
        <v>C. NORMA GORETY DOMINGUEZ CALVARIO</v>
      </c>
      <c r="J288" s="55" t="str">
        <f>OBRA!X287</f>
        <v>ING. JUAN MANUEL GARCIA ESCOTO</v>
      </c>
      <c r="K288" s="33" t="str">
        <f>OBRA!N287</f>
        <v>GMJ 062C OP/2017</v>
      </c>
      <c r="L288" s="2" t="str">
        <f>OBRA!O287</f>
        <v>ADJUDICACIÓN DIRECTA</v>
      </c>
      <c r="M288" s="3" t="str">
        <f>OBRA!P287</f>
        <v>REHABILITACION DE LINEA DE  AGUA POTABLE EN CALLE MORELOS PONIENTE ENTRE ZARAGOZA Y PANTEON  CON REPOSICIÓN DE SUPERFICIE DE RODAMIENTO EN LA CABECERA MUNICIPAL DEL MUNICIPIO DE JOCOTEPEC, JALISCO</v>
      </c>
      <c r="N288" s="504"/>
      <c r="O288" s="504"/>
      <c r="P288" s="6">
        <f>OBRA!S287</f>
        <v>43078</v>
      </c>
      <c r="Q288" s="4">
        <f>OBRA!R287</f>
        <v>831598.75</v>
      </c>
      <c r="R288" s="4"/>
      <c r="S288" s="5">
        <f>OBRA!T287</f>
        <v>43078</v>
      </c>
      <c r="T288" s="11">
        <f>OBRA!U287</f>
        <v>43099</v>
      </c>
      <c r="U288" s="53"/>
      <c r="V288" s="377" t="s">
        <v>1428</v>
      </c>
      <c r="W288" s="587"/>
      <c r="X288" s="1231"/>
      <c r="Y288" s="340">
        <f>OBRA!AR287</f>
        <v>374219.42</v>
      </c>
      <c r="Z288" s="5"/>
      <c r="AA288" s="309"/>
      <c r="AB288" s="5"/>
      <c r="AC288" s="317">
        <f>OBRA!BW287</f>
        <v>0</v>
      </c>
      <c r="AD288" s="352" t="s">
        <v>551</v>
      </c>
    </row>
    <row r="289" spans="1:30" ht="122.25" hidden="1" customHeight="1">
      <c r="A289" s="22" t="s">
        <v>2206</v>
      </c>
      <c r="B289" s="809" t="str">
        <f>GRAL!B290</f>
        <v>2015-2018</v>
      </c>
      <c r="C289" s="16">
        <f>OBRA!J288</f>
        <v>2017</v>
      </c>
      <c r="D289" s="17" t="str">
        <f>OBRA!M288</f>
        <v>RAMO 33</v>
      </c>
      <c r="E289" s="478" t="s">
        <v>1428</v>
      </c>
      <c r="F289" s="507"/>
      <c r="G289" s="507"/>
      <c r="H289" s="507"/>
      <c r="I289" s="54" t="str">
        <f>OBRA!W288</f>
        <v>ING. PEDRO TOPETE LOPEZ</v>
      </c>
      <c r="J289" s="55" t="str">
        <f>OBRA!X288</f>
        <v>ING. ANGEL ALBERTO HERNANDEZ MORA</v>
      </c>
      <c r="K289" s="33" t="str">
        <f>OBRA!N288</f>
        <v>GMJ 063C OP/2017</v>
      </c>
      <c r="L289" s="2" t="str">
        <f>OBRA!O288</f>
        <v>ADJUDICACIÓN DIRECTA</v>
      </c>
      <c r="M289" s="3" t="str">
        <f>OBRA!P288</f>
        <v>REHABILITACION DE LINEA DE AGUA POTABLE EN CALLE CHAPULTEPEC ENTRE DEPOSITO Y  PRIVADA SAN MIGUEL 2DA ETAPA EN LA AGENCIA MUNCIPAL “LA LOMA”  DEL MUNICIPIO DE JOCOTEPEC, JALISCO</v>
      </c>
      <c r="N289" s="504"/>
      <c r="O289" s="504"/>
      <c r="P289" s="6">
        <f>OBRA!S288</f>
        <v>43078</v>
      </c>
      <c r="Q289" s="4">
        <f>OBRA!R288</f>
        <v>394058.8</v>
      </c>
      <c r="R289" s="4"/>
      <c r="S289" s="5">
        <f>OBRA!T288</f>
        <v>43078</v>
      </c>
      <c r="T289" s="11">
        <f>OBRA!U288</f>
        <v>43099</v>
      </c>
      <c r="U289" s="53"/>
      <c r="V289" s="377" t="s">
        <v>1428</v>
      </c>
      <c r="W289" s="587"/>
      <c r="X289" s="507"/>
      <c r="Y289" s="280">
        <f>OBRA!AR288</f>
        <v>176988.21</v>
      </c>
      <c r="Z289" s="5"/>
      <c r="AA289" s="309"/>
      <c r="AB289" s="5"/>
      <c r="AC289" s="317">
        <f>OBRA!BW288</f>
        <v>0</v>
      </c>
      <c r="AD289" s="352" t="s">
        <v>551</v>
      </c>
    </row>
    <row r="290" spans="1:30" ht="108" hidden="1" customHeight="1">
      <c r="A290" s="22" t="s">
        <v>2206</v>
      </c>
      <c r="B290" s="809" t="str">
        <f>GRAL!B291</f>
        <v>2015-2018</v>
      </c>
      <c r="C290" s="16">
        <f>OBRA!J289</f>
        <v>2017</v>
      </c>
      <c r="D290" s="17" t="str">
        <f>OBRA!M289</f>
        <v>RAMO 33</v>
      </c>
      <c r="E290" s="478" t="s">
        <v>1428</v>
      </c>
      <c r="F290" s="507"/>
      <c r="G290" s="878"/>
      <c r="H290" s="507"/>
      <c r="I290" s="54" t="str">
        <f>OBRA!W289</f>
        <v>C. JOSÉ MIGUEL GARCIA VALLE</v>
      </c>
      <c r="J290" s="55" t="str">
        <f>OBRA!X289</f>
        <v>LIC. SALVADOR CONTRERAS OLGUÍN</v>
      </c>
      <c r="K290" s="33" t="str">
        <f>OBRA!N289</f>
        <v>GMJ 064C OP/2017</v>
      </c>
      <c r="L290" s="2" t="str">
        <f>OBRA!O289</f>
        <v>ADJUDICACIÓN DIRECTA</v>
      </c>
      <c r="M290" s="3" t="str">
        <f>OBRA!P289</f>
        <v>REHABILITACION DE LINEA DE AGUA POTABLE EN CALLE INDEPENDENCIA ENTRE CARRETERA Y CERRADA EN LA LOCALIDAD DE SAN JUAN COSALA, DEL MUNICIPIO DE JOCOTEPEC, JALISCO</v>
      </c>
      <c r="N290" s="504"/>
      <c r="O290" s="504"/>
      <c r="P290" s="6">
        <f>OBRA!S289</f>
        <v>43077</v>
      </c>
      <c r="Q290" s="4">
        <f>OBRA!R289</f>
        <v>46522.28</v>
      </c>
      <c r="R290" s="4"/>
      <c r="S290" s="5">
        <f>OBRA!T289</f>
        <v>43078</v>
      </c>
      <c r="T290" s="11">
        <f>OBRA!U289</f>
        <v>43099</v>
      </c>
      <c r="U290" s="53"/>
      <c r="V290" s="377" t="s">
        <v>1428</v>
      </c>
      <c r="W290" s="507"/>
      <c r="X290" s="877"/>
      <c r="Y290" s="280">
        <f>OBRA!AR289</f>
        <v>9304.52</v>
      </c>
      <c r="Z290" s="5"/>
      <c r="AA290" s="309"/>
      <c r="AB290" s="5"/>
      <c r="AC290" s="317">
        <f>OBRA!BW289</f>
        <v>0</v>
      </c>
      <c r="AD290" s="352" t="s">
        <v>551</v>
      </c>
    </row>
    <row r="291" spans="1:30" ht="96.75" hidden="1" customHeight="1">
      <c r="A291" s="22" t="s">
        <v>2206</v>
      </c>
      <c r="B291" s="809" t="str">
        <f>GRAL!B292</f>
        <v>2015-2018</v>
      </c>
      <c r="C291" s="16">
        <f>OBRA!J290</f>
        <v>2017</v>
      </c>
      <c r="D291" s="17" t="str">
        <f>OBRA!M290</f>
        <v>RAMO 33</v>
      </c>
      <c r="E291" s="478" t="s">
        <v>1428</v>
      </c>
      <c r="F291" s="507"/>
      <c r="G291" s="878"/>
      <c r="H291" s="507"/>
      <c r="I291" s="54" t="str">
        <f>OBRA!W290</f>
        <v>C. JOSÉ MIGUEL GARCIA VALLE</v>
      </c>
      <c r="J291" s="55" t="str">
        <f>OBRA!X290</f>
        <v>LIC. SALVADOR CONTRERAS OLGUÍN</v>
      </c>
      <c r="K291" s="33" t="str">
        <f>OBRA!N290</f>
        <v>GMJ 065C OP/2017</v>
      </c>
      <c r="L291" s="2" t="str">
        <f>OBRA!O290</f>
        <v>ADJUDICACIÓN DIRECTA</v>
      </c>
      <c r="M291" s="3" t="str">
        <f>OBRA!P290</f>
        <v>FABRICACION DE EMPEDRADO AHOGADO EN CONCRETO EN CALLE INDEPENDENCIA, EN  LA LOCALIDAD  DE SAN JUAN COSALA, DEL MUNICIPIO DE JOCOTEPEC, JALISCO</v>
      </c>
      <c r="N291" s="504"/>
      <c r="O291" s="504"/>
      <c r="P291" s="6">
        <f>OBRA!S290</f>
        <v>43077</v>
      </c>
      <c r="Q291" s="4">
        <f>OBRA!R290</f>
        <v>107544.91</v>
      </c>
      <c r="R291" s="4"/>
      <c r="S291" s="5">
        <f>OBRA!T290</f>
        <v>43078</v>
      </c>
      <c r="T291" s="11">
        <f>OBRA!U290</f>
        <v>43099</v>
      </c>
      <c r="U291" s="53"/>
      <c r="V291" s="377" t="s">
        <v>1428</v>
      </c>
      <c r="W291" s="507"/>
      <c r="X291" s="877"/>
      <c r="Y291" s="280">
        <f>OBRA!AR290</f>
        <v>21508.98</v>
      </c>
      <c r="Z291" s="5"/>
      <c r="AA291" s="309"/>
      <c r="AB291" s="5"/>
      <c r="AC291" s="317">
        <f>OBRA!BW290</f>
        <v>0</v>
      </c>
      <c r="AD291" s="352" t="s">
        <v>551</v>
      </c>
    </row>
    <row r="292" spans="1:30" ht="30" hidden="1" customHeight="1">
      <c r="A292" s="22" t="s">
        <v>2206</v>
      </c>
      <c r="B292" s="809" t="str">
        <f>GRAL!B293</f>
        <v>2015-2018</v>
      </c>
      <c r="C292" s="16">
        <f>OBRA!J291</f>
        <v>2018</v>
      </c>
      <c r="D292" s="17" t="str">
        <f>OBRA!M291</f>
        <v>FONDEREG</v>
      </c>
      <c r="E292" s="478" t="s">
        <v>1428</v>
      </c>
      <c r="F292" s="502"/>
      <c r="G292" s="524"/>
      <c r="H292" s="502"/>
      <c r="I292" s="54" t="str">
        <f>OBRA!W291</f>
        <v>N/A</v>
      </c>
      <c r="J292" s="55" t="str">
        <f>OBRA!X291</f>
        <v>-</v>
      </c>
      <c r="K292" s="33" t="str">
        <f>OBRA!N291</f>
        <v>FONDEREG 2018/05 SURESTE/054</v>
      </c>
      <c r="L292" s="2" t="str">
        <f>OBRA!O291</f>
        <v>CONVENIO</v>
      </c>
      <c r="M292" s="3" t="str">
        <f>OBRA!P291</f>
        <v>"REHABILITACIÓN DE IMAGEN URBANA DE CALLE VICENTE GUERRERO EN EL INGRESO PONIENTE A JOCOTEPEC, DE LA CALLE INDEPENDENCIA A LA CALLE PASEOS DE LA ROSAS, EN LA CABECERA MUNICIPAL DE JOCOTEPEC, JALISCO.</v>
      </c>
      <c r="N292" s="504"/>
      <c r="O292" s="504"/>
      <c r="P292" s="6">
        <f>OBRA!S291</f>
        <v>43223</v>
      </c>
      <c r="Q292" s="4">
        <f>OBRA!R291</f>
        <v>1634531.02</v>
      </c>
      <c r="R292" s="4"/>
      <c r="S292" s="5" t="str">
        <f>OBRA!T291</f>
        <v>-</v>
      </c>
      <c r="T292" s="11" t="str">
        <f>OBRA!U291</f>
        <v>-</v>
      </c>
      <c r="U292" s="53"/>
      <c r="V292" s="377" t="s">
        <v>1428</v>
      </c>
      <c r="W292" s="502"/>
      <c r="X292" s="613"/>
      <c r="Y292" s="280">
        <f>OBRA!AR291</f>
        <v>0</v>
      </c>
      <c r="Z292" s="5"/>
      <c r="AA292" s="309"/>
      <c r="AB292" s="5"/>
      <c r="AC292" s="317">
        <f>OBRA!BW291</f>
        <v>0</v>
      </c>
      <c r="AD292" s="352" t="s">
        <v>551</v>
      </c>
    </row>
    <row r="293" spans="1:30" ht="30" hidden="1" customHeight="1">
      <c r="A293" s="22" t="s">
        <v>2206</v>
      </c>
      <c r="B293" s="809" t="str">
        <f>GRAL!B294</f>
        <v>2015-2018</v>
      </c>
      <c r="C293" s="16">
        <f>OBRA!J292</f>
        <v>2018</v>
      </c>
      <c r="D293" s="17" t="str">
        <f>OBRA!M292</f>
        <v>FONDEREG</v>
      </c>
      <c r="E293" s="478" t="s">
        <v>1428</v>
      </c>
      <c r="F293" s="502"/>
      <c r="G293" s="524"/>
      <c r="H293" s="502"/>
      <c r="I293" s="54" t="str">
        <f>OBRA!W292</f>
        <v>N/A</v>
      </c>
      <c r="J293" s="55" t="str">
        <f>OBRA!X292</f>
        <v>-</v>
      </c>
      <c r="K293" s="33" t="str">
        <f>OBRA!N292</f>
        <v>FONDEREG 2018/05 SURESTE/055</v>
      </c>
      <c r="L293" s="2" t="str">
        <f>OBRA!O292</f>
        <v>CONVENIO</v>
      </c>
      <c r="M293" s="3" t="str">
        <f>OBRA!P292</f>
        <v xml:space="preserve">CONSTRUCCIÓN DE ALUMBRADO PÚBLICO EN LA CARRETERA JOCOTEPEC-CHAPALA DE LA CALLE LIBERTAD (NEXTIPAC) HASTA CALLE JUÁREZ (CHANTEPEC), 1RA. ETAPA EN EL INGRESO ORIENTE A LA CABECERA MUNICIPAL DE JOCOTEPEC, JALISCO. </v>
      </c>
      <c r="N293" s="504"/>
      <c r="O293" s="504"/>
      <c r="P293" s="6">
        <f>OBRA!S292</f>
        <v>43223</v>
      </c>
      <c r="Q293" s="4">
        <f>OBRA!R292</f>
        <v>724057.5</v>
      </c>
      <c r="R293" s="4"/>
      <c r="S293" s="5" t="str">
        <f>OBRA!T292</f>
        <v>-</v>
      </c>
      <c r="T293" s="11" t="str">
        <f>OBRA!U292</f>
        <v>-</v>
      </c>
      <c r="U293" s="53"/>
      <c r="V293" s="377" t="s">
        <v>1428</v>
      </c>
      <c r="W293" s="502"/>
      <c r="X293" s="613"/>
      <c r="Y293" s="280">
        <f>OBRA!AR292</f>
        <v>0</v>
      </c>
      <c r="Z293" s="5"/>
      <c r="AA293" s="309"/>
      <c r="AB293" s="5"/>
      <c r="AC293" s="317">
        <f>OBRA!BW292</f>
        <v>0</v>
      </c>
      <c r="AD293" s="352" t="s">
        <v>551</v>
      </c>
    </row>
    <row r="294" spans="1:30" ht="30" hidden="1" customHeight="1">
      <c r="A294" s="22" t="s">
        <v>2206</v>
      </c>
      <c r="B294" s="809" t="str">
        <f>GRAL!B295</f>
        <v>2015-2018</v>
      </c>
      <c r="C294" s="16">
        <f>OBRA!J293</f>
        <v>2018</v>
      </c>
      <c r="D294" s="17" t="str">
        <f>OBRA!M293</f>
        <v xml:space="preserve">PROYECTOS DESARROLLO REGIONAL </v>
      </c>
      <c r="E294" s="478" t="s">
        <v>1428</v>
      </c>
      <c r="F294" s="502"/>
      <c r="G294" s="524"/>
      <c r="H294" s="502"/>
      <c r="I294" s="54" t="str">
        <f>OBRA!W293</f>
        <v>N/A</v>
      </c>
      <c r="J294" s="55" t="str">
        <f>OBRA!X293</f>
        <v>-</v>
      </c>
      <c r="K294" s="33" t="str">
        <f>OBRA!N293</f>
        <v>-</v>
      </c>
      <c r="L294" s="2" t="str">
        <f>OBRA!O293</f>
        <v>CONVENIO</v>
      </c>
      <c r="M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4"/>
      <c r="O294" s="504"/>
      <c r="P294" s="6">
        <f>OBRA!S293</f>
        <v>43199</v>
      </c>
      <c r="Q294" s="4">
        <f>OBRA!R293</f>
        <v>2900000</v>
      </c>
      <c r="R294" s="4"/>
      <c r="S294" s="5" t="str">
        <f>OBRA!T293</f>
        <v>-</v>
      </c>
      <c r="T294" s="11" t="str">
        <f>OBRA!U293</f>
        <v>-</v>
      </c>
      <c r="U294" s="53"/>
      <c r="V294" s="377" t="s">
        <v>1428</v>
      </c>
      <c r="W294" s="502"/>
      <c r="X294" s="613"/>
      <c r="Y294" s="280">
        <f>OBRA!AR293</f>
        <v>0</v>
      </c>
      <c r="Z294" s="5"/>
      <c r="AA294" s="309"/>
      <c r="AB294" s="5"/>
      <c r="AC294" s="317">
        <f>OBRA!BW293</f>
        <v>0</v>
      </c>
      <c r="AD294" s="352" t="s">
        <v>551</v>
      </c>
    </row>
    <row r="295" spans="1:30" ht="35.25" hidden="1" customHeight="1">
      <c r="A295" s="22" t="s">
        <v>2206</v>
      </c>
      <c r="B295" s="809" t="str">
        <f>GRAL!B293</f>
        <v>2015-2018</v>
      </c>
      <c r="C295" s="16">
        <f>OBRA!J294</f>
        <v>2018</v>
      </c>
      <c r="D295" s="17" t="str">
        <f>OBRA!M294</f>
        <v>CUENTA CORRIENTE</v>
      </c>
      <c r="E295" s="478"/>
      <c r="F295" s="352"/>
      <c r="G295" s="1"/>
      <c r="H295" s="352"/>
      <c r="I295" s="54" t="str">
        <f>OBRA!W294</f>
        <v>N/A</v>
      </c>
      <c r="J295" s="55" t="str">
        <f>OBRA!X294</f>
        <v>ING. JUAN MANUEL GARCIA ESCOTO</v>
      </c>
      <c r="K295" s="33" t="str">
        <f>OBRA!N294</f>
        <v>DOP/AD/001/2018</v>
      </c>
      <c r="L295" s="2" t="str">
        <f>OBRA!O294</f>
        <v>ADMINISTRACIÓN DIRECTA</v>
      </c>
      <c r="M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OBRA!S294</f>
        <v>43133</v>
      </c>
      <c r="Q295" s="4">
        <f>OBRA!R294</f>
        <v>89200</v>
      </c>
      <c r="R295" s="4"/>
      <c r="S295" s="5">
        <f>OBRA!T294</f>
        <v>43143</v>
      </c>
      <c r="T295" s="11">
        <f>OBRA!U294</f>
        <v>43210</v>
      </c>
      <c r="U295" s="53"/>
      <c r="V295" s="377" t="s">
        <v>1428</v>
      </c>
      <c r="W295" s="309"/>
      <c r="X295" s="11"/>
      <c r="Y295" s="280">
        <f>OBRA!AR294</f>
        <v>0</v>
      </c>
      <c r="Z295" s="309"/>
      <c r="AA295" s="309"/>
      <c r="AB295" s="5"/>
      <c r="AC295" s="317">
        <f>OBRA!BW294</f>
        <v>0</v>
      </c>
      <c r="AD295" s="352"/>
    </row>
    <row r="296" spans="1:30" ht="15" hidden="1" customHeight="1">
      <c r="A296" s="22" t="s">
        <v>2206</v>
      </c>
      <c r="B296" s="809" t="str">
        <f>GRAL!B297</f>
        <v>2015-2018</v>
      </c>
      <c r="C296" s="16">
        <f>OBRA!J295</f>
        <v>2018</v>
      </c>
      <c r="D296" s="17" t="str">
        <f>OBRA!M295</f>
        <v>CUENTA CORRIENTE</v>
      </c>
      <c r="E296" s="478"/>
      <c r="F296" s="352"/>
      <c r="G296" s="1"/>
      <c r="H296" s="352"/>
      <c r="I296" s="54" t="str">
        <f>OBRA!W295</f>
        <v>N/A</v>
      </c>
      <c r="J296" s="55" t="str">
        <f>OBRA!X295</f>
        <v>ING. JUAN MANUEL GARCIA ESCOTO</v>
      </c>
      <c r="K296" s="33" t="str">
        <f>OBRA!N295</f>
        <v>DOP/AD/002/2018</v>
      </c>
      <c r="L296" s="2" t="str">
        <f>OBRA!O295</f>
        <v>ADMINISTRACIÓN DIRECTA</v>
      </c>
      <c r="M296" s="3" t="str">
        <f>OBRA!P295</f>
        <v>MOTOCONFORMACION DE VARIAS CALLES Y FABRICACION DE EMPEDRADO EN CALLE MORELOS, EN LA AGENCIA MUNICIPAL DEL EL SAUZ, DEL MUNICIPIO DE JOCOTEPEC, JALISCO</v>
      </c>
      <c r="N296" s="3"/>
      <c r="O296" s="3"/>
      <c r="P296" s="6">
        <f>OBRA!S295</f>
        <v>43133</v>
      </c>
      <c r="Q296" s="4">
        <f>OBRA!R295</f>
        <v>187043.52</v>
      </c>
      <c r="R296" s="4"/>
      <c r="S296" s="5">
        <f>OBRA!T295</f>
        <v>43137</v>
      </c>
      <c r="T296" s="11">
        <f>OBRA!U295</f>
        <v>43210</v>
      </c>
      <c r="U296" s="53"/>
      <c r="V296" s="377" t="s">
        <v>1428</v>
      </c>
      <c r="W296" s="309"/>
      <c r="X296" s="11"/>
      <c r="Y296" s="280">
        <f>OBRA!AR295</f>
        <v>0</v>
      </c>
      <c r="Z296" s="309"/>
      <c r="AA296" s="309"/>
      <c r="AB296" s="5"/>
      <c r="AC296" s="317">
        <f>OBRA!BW295</f>
        <v>0</v>
      </c>
      <c r="AD296" s="352"/>
    </row>
    <row r="297" spans="1:30" ht="15" hidden="1" customHeight="1">
      <c r="A297" s="22" t="s">
        <v>2206</v>
      </c>
      <c r="B297" s="809" t="str">
        <f>GRAL!B298</f>
        <v>2015-2018</v>
      </c>
      <c r="C297" s="16">
        <f>OBRA!J296</f>
        <v>2018</v>
      </c>
      <c r="D297" s="17" t="str">
        <f>OBRA!M296</f>
        <v>CUENTA CORRIENTE</v>
      </c>
      <c r="E297" s="478"/>
      <c r="F297" s="352"/>
      <c r="G297" s="1"/>
      <c r="H297" s="352"/>
      <c r="I297" s="54" t="str">
        <f>OBRA!W296</f>
        <v>N/A</v>
      </c>
      <c r="J297" s="55" t="str">
        <f>OBRA!X296</f>
        <v>ING. JUAN MANUEL GARCIA ESCOTO</v>
      </c>
      <c r="K297" s="33" t="str">
        <f>OBRA!N296</f>
        <v>DOP/AD/003/2018</v>
      </c>
      <c r="L297" s="2" t="str">
        <f>OBRA!O296</f>
        <v>ADMINISTRACIÓN DIRECTA</v>
      </c>
      <c r="M297" s="3" t="str">
        <f>OBRA!P296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OBRA!S296</f>
        <v>43130</v>
      </c>
      <c r="Q297" s="4">
        <f>OBRA!R296</f>
        <v>22000</v>
      </c>
      <c r="R297" s="4"/>
      <c r="S297" s="5">
        <f>OBRA!T296</f>
        <v>43131</v>
      </c>
      <c r="T297" s="11">
        <f>OBRA!U296</f>
        <v>43159</v>
      </c>
      <c r="U297" s="53"/>
      <c r="V297" s="377" t="s">
        <v>1428</v>
      </c>
      <c r="W297" s="309"/>
      <c r="X297" s="11"/>
      <c r="Y297" s="280">
        <f>OBRA!AR296</f>
        <v>0</v>
      </c>
      <c r="Z297" s="309"/>
      <c r="AA297" s="309"/>
      <c r="AB297" s="5"/>
      <c r="AC297" s="317">
        <f>OBRA!BW296</f>
        <v>0</v>
      </c>
      <c r="AD297" s="352"/>
    </row>
    <row r="298" spans="1:30" ht="15" hidden="1" customHeight="1">
      <c r="A298" s="22" t="s">
        <v>2206</v>
      </c>
      <c r="B298" s="809" t="str">
        <f>GRAL!B299</f>
        <v>2015-2018</v>
      </c>
      <c r="C298" s="16">
        <f>OBRA!J297</f>
        <v>2018</v>
      </c>
      <c r="D298" s="17" t="str">
        <f>OBRA!M297</f>
        <v>CUENTA CORRIENTE</v>
      </c>
      <c r="E298" s="478"/>
      <c r="F298" s="352"/>
      <c r="G298" s="1"/>
      <c r="H298" s="352"/>
      <c r="I298" s="54" t="str">
        <f>OBRA!W297</f>
        <v>N/A</v>
      </c>
      <c r="J298" s="55" t="str">
        <f>OBRA!X297</f>
        <v>ARQ. JAIME CONDE GOMEZ</v>
      </c>
      <c r="K298" s="33" t="str">
        <f>OBRA!N297</f>
        <v>DOP/AD/004/2018</v>
      </c>
      <c r="L298" s="2" t="str">
        <f>OBRA!O297</f>
        <v>ADMINISTRACIÓN DIRECTA</v>
      </c>
      <c r="M298" s="3" t="str">
        <f>OBRA!P297</f>
        <v>REHABILITACION DE AREA DE MATANZA EN EL RASTRO MUNICIPAL, EN LA CABECERA MUNICIPAL DEL MUNICIPIO DE JOCOTEPEC, JALISCO</v>
      </c>
      <c r="N298" s="3"/>
      <c r="O298" s="3"/>
      <c r="P298" s="6">
        <f>OBRA!S297</f>
        <v>43140</v>
      </c>
      <c r="Q298" s="4">
        <f>OBRA!R297</f>
        <v>187044.63</v>
      </c>
      <c r="R298" s="4"/>
      <c r="S298" s="5">
        <f>OBRA!T297</f>
        <v>43143</v>
      </c>
      <c r="T298" s="11">
        <f>OBRA!U297</f>
        <v>43245</v>
      </c>
      <c r="U298" s="53"/>
      <c r="V298" s="377" t="s">
        <v>1428</v>
      </c>
      <c r="W298" s="309"/>
      <c r="X298" s="11"/>
      <c r="Y298" s="280">
        <f>OBRA!AR297</f>
        <v>0</v>
      </c>
      <c r="Z298" s="309"/>
      <c r="AA298" s="309"/>
      <c r="AB298" s="5"/>
      <c r="AC298" s="317">
        <f>OBRA!BW297</f>
        <v>0</v>
      </c>
      <c r="AD298" s="352"/>
    </row>
    <row r="299" spans="1:30" s="104" customFormat="1" ht="15" hidden="1" customHeight="1">
      <c r="A299" s="81" t="s">
        <v>2206</v>
      </c>
      <c r="B299" s="820" t="str">
        <f>GRAL!B300</f>
        <v>2015-2018</v>
      </c>
      <c r="C299" s="82">
        <f>OBRA!J298</f>
        <v>2018</v>
      </c>
      <c r="D299" s="97">
        <f>OBRA!M298</f>
        <v>0</v>
      </c>
      <c r="E299" s="479"/>
      <c r="F299" s="354"/>
      <c r="G299" s="96"/>
      <c r="H299" s="354"/>
      <c r="I299" s="151" t="str">
        <f>OBRA!W298</f>
        <v>-</v>
      </c>
      <c r="J299" s="152">
        <f>OBRA!X298</f>
        <v>0</v>
      </c>
      <c r="K299" s="308" t="str">
        <f>OBRA!N298</f>
        <v>DOP/AD/005/2018</v>
      </c>
      <c r="L299" s="186" t="str">
        <f>OBRA!O298</f>
        <v>CANCELADA</v>
      </c>
      <c r="M299" s="106">
        <f>OBRA!P298</f>
        <v>0</v>
      </c>
      <c r="N299" s="125"/>
      <c r="O299" s="125"/>
      <c r="P299" s="87">
        <f>OBRA!S298</f>
        <v>0</v>
      </c>
      <c r="Q299" s="86">
        <f>OBRA!R298</f>
        <v>0</v>
      </c>
      <c r="R299" s="86"/>
      <c r="S299" s="88">
        <f>OBRA!T298</f>
        <v>0</v>
      </c>
      <c r="T299" s="89">
        <f>OBRA!U298</f>
        <v>0</v>
      </c>
      <c r="U299" s="91"/>
      <c r="V299" s="688" t="s">
        <v>1428</v>
      </c>
      <c r="W299" s="311"/>
      <c r="X299" s="89"/>
      <c r="Y299" s="828">
        <f>OBRA!AR298</f>
        <v>0</v>
      </c>
      <c r="Z299" s="311"/>
      <c r="AA299" s="311"/>
      <c r="AB299" s="88"/>
      <c r="AC299" s="467">
        <f>OBRA!BW298</f>
        <v>0</v>
      </c>
      <c r="AD299" s="354"/>
    </row>
    <row r="300" spans="1:30" ht="15" hidden="1" customHeight="1">
      <c r="A300" s="22" t="s">
        <v>2206</v>
      </c>
      <c r="B300" s="809" t="str">
        <f>GRAL!B301</f>
        <v>2015-2018</v>
      </c>
      <c r="C300" s="16">
        <f>OBRA!J299</f>
        <v>2018</v>
      </c>
      <c r="D300" s="17" t="str">
        <f>OBRA!M299</f>
        <v>CUENTA CORRIENTE</v>
      </c>
      <c r="E300" s="478"/>
      <c r="F300" s="352"/>
      <c r="G300" s="1"/>
      <c r="H300" s="352"/>
      <c r="I300" s="54" t="str">
        <f>OBRA!W299</f>
        <v>N/A</v>
      </c>
      <c r="J300" s="55" t="str">
        <f>OBRA!X299</f>
        <v>-</v>
      </c>
      <c r="K300" s="33" t="str">
        <f>OBRA!N299</f>
        <v>DOP/AD/006/2018</v>
      </c>
      <c r="L300" s="2" t="str">
        <f>OBRA!O299</f>
        <v>ADMINISTRACIÓN DIRECTA</v>
      </c>
      <c r="M300" s="3" t="str">
        <f>OBRA!P299</f>
        <v>CONSTRUCCION DE LINEA DE DRENAJE EN LA CALLE AV DEL TRABAJO Y CALLES SIN NOMBRE, EN EL BARRIO DEL POTRERITO, EN LA LOCALIDAD DE HUEJOTITAN</v>
      </c>
      <c r="N300" s="3"/>
      <c r="O300" s="3"/>
      <c r="P300" s="6">
        <f>OBRA!S299</f>
        <v>43199</v>
      </c>
      <c r="Q300" s="4">
        <f>OBRA!R299</f>
        <v>2900000</v>
      </c>
      <c r="R300" s="4"/>
      <c r="S300" s="5" t="str">
        <f>OBRA!T299</f>
        <v>-</v>
      </c>
      <c r="T300" s="11" t="str">
        <f>OBRA!U299</f>
        <v>-</v>
      </c>
      <c r="U300" s="53"/>
      <c r="V300" s="377" t="s">
        <v>1428</v>
      </c>
      <c r="W300" s="309"/>
      <c r="X300" s="11"/>
      <c r="Y300" s="280">
        <f>OBRA!AR299</f>
        <v>0</v>
      </c>
      <c r="Z300" s="309"/>
      <c r="AA300" s="309"/>
      <c r="AB300" s="5"/>
      <c r="AC300" s="317">
        <f>OBRA!BW299</f>
        <v>0</v>
      </c>
      <c r="AD300" s="352"/>
    </row>
    <row r="301" spans="1:30" s="104" customFormat="1" ht="15" hidden="1" customHeight="1">
      <c r="A301" s="81" t="s">
        <v>2206</v>
      </c>
      <c r="B301" s="820" t="str">
        <f>GRAL!B302</f>
        <v>2015-2018</v>
      </c>
      <c r="C301" s="82">
        <f>OBRA!J300</f>
        <v>2018</v>
      </c>
      <c r="D301" s="97" t="str">
        <f>OBRA!M300</f>
        <v>RAMO 33</v>
      </c>
      <c r="E301" s="479"/>
      <c r="F301" s="354"/>
      <c r="G301" s="96"/>
      <c r="H301" s="354"/>
      <c r="I301" s="151" t="str">
        <f>OBRA!W300</f>
        <v>-</v>
      </c>
      <c r="J301" s="152" t="str">
        <f>OBRA!X300</f>
        <v>ING. J. GUADALUPE IBARRA RAMIREZ</v>
      </c>
      <c r="K301" s="308" t="str">
        <f>OBRA!N300</f>
        <v>DOP/AD/007/2018</v>
      </c>
      <c r="L301" s="186" t="str">
        <f>OBRA!O300</f>
        <v>CANCELADA</v>
      </c>
      <c r="M301" s="106" t="str">
        <f>OBRA!P300</f>
        <v>PUENTE PEATONAL, C. LIBERTAD, ZDH</v>
      </c>
      <c r="N301" s="125"/>
      <c r="O301" s="125"/>
      <c r="P301" s="87">
        <f>OBRA!S300</f>
        <v>0</v>
      </c>
      <c r="Q301" s="86">
        <f>OBRA!R300</f>
        <v>0</v>
      </c>
      <c r="R301" s="86"/>
      <c r="S301" s="88">
        <f>OBRA!T300</f>
        <v>0</v>
      </c>
      <c r="T301" s="89">
        <f>OBRA!U300</f>
        <v>0</v>
      </c>
      <c r="U301" s="91"/>
      <c r="V301" s="688" t="s">
        <v>1428</v>
      </c>
      <c r="W301" s="311"/>
      <c r="X301" s="89"/>
      <c r="Y301" s="828">
        <f>OBRA!AR300</f>
        <v>0</v>
      </c>
      <c r="Z301" s="311"/>
      <c r="AA301" s="311"/>
      <c r="AB301" s="88"/>
      <c r="AC301" s="467">
        <f>OBRA!BW300</f>
        <v>0</v>
      </c>
      <c r="AD301" s="354"/>
    </row>
    <row r="302" spans="1:30" s="104" customFormat="1" ht="15" hidden="1" customHeight="1">
      <c r="A302" s="81" t="s">
        <v>2206</v>
      </c>
      <c r="B302" s="820" t="str">
        <f>GRAL!B303</f>
        <v>2015-2018</v>
      </c>
      <c r="C302" s="82">
        <f>OBRA!J301</f>
        <v>2018</v>
      </c>
      <c r="D302" s="97">
        <f>OBRA!M301</f>
        <v>0</v>
      </c>
      <c r="E302" s="479"/>
      <c r="F302" s="354"/>
      <c r="G302" s="96"/>
      <c r="H302" s="354"/>
      <c r="I302" s="151" t="str">
        <f>OBRA!W301</f>
        <v>-</v>
      </c>
      <c r="J302" s="152">
        <f>OBRA!X301</f>
        <v>0</v>
      </c>
      <c r="K302" s="308" t="str">
        <f>OBRA!N301</f>
        <v>DOP/AD/008/2018</v>
      </c>
      <c r="L302" s="186" t="str">
        <f>OBRA!O301</f>
        <v>CANCELADA</v>
      </c>
      <c r="M302" s="106">
        <f>OBRA!P301</f>
        <v>0</v>
      </c>
      <c r="N302" s="125"/>
      <c r="O302" s="125"/>
      <c r="P302" s="87">
        <f>OBRA!S301</f>
        <v>0</v>
      </c>
      <c r="Q302" s="86">
        <f>OBRA!R301</f>
        <v>0</v>
      </c>
      <c r="R302" s="86"/>
      <c r="S302" s="88">
        <f>OBRA!T301</f>
        <v>0</v>
      </c>
      <c r="T302" s="89">
        <f>OBRA!U301</f>
        <v>0</v>
      </c>
      <c r="U302" s="91"/>
      <c r="V302" s="688" t="s">
        <v>1428</v>
      </c>
      <c r="W302" s="311"/>
      <c r="X302" s="89"/>
      <c r="Y302" s="828">
        <f>OBRA!AR301</f>
        <v>0</v>
      </c>
      <c r="Z302" s="311"/>
      <c r="AA302" s="311"/>
      <c r="AB302" s="88"/>
      <c r="AC302" s="467">
        <f>OBRA!BW301</f>
        <v>0</v>
      </c>
      <c r="AD302" s="354"/>
    </row>
    <row r="303" spans="1:30" s="104" customFormat="1" ht="15" hidden="1" customHeight="1">
      <c r="A303" s="81" t="s">
        <v>2206</v>
      </c>
      <c r="B303" s="820" t="str">
        <f>GRAL!B304</f>
        <v>2015-2018</v>
      </c>
      <c r="C303" s="82">
        <f>OBRA!J302</f>
        <v>2018</v>
      </c>
      <c r="D303" s="97">
        <f>OBRA!M302</f>
        <v>0</v>
      </c>
      <c r="E303" s="479"/>
      <c r="F303" s="354"/>
      <c r="G303" s="96"/>
      <c r="H303" s="354"/>
      <c r="I303" s="151" t="str">
        <f>OBRA!W302</f>
        <v>-</v>
      </c>
      <c r="J303" s="152">
        <f>OBRA!X302</f>
        <v>0</v>
      </c>
      <c r="K303" s="308" t="str">
        <f>OBRA!N302</f>
        <v>DOP/AD/009/2018</v>
      </c>
      <c r="L303" s="186" t="str">
        <f>OBRA!O302</f>
        <v>CANCELADA</v>
      </c>
      <c r="M303" s="106">
        <f>OBRA!P302</f>
        <v>0</v>
      </c>
      <c r="N303" s="125"/>
      <c r="O303" s="125"/>
      <c r="P303" s="87">
        <f>OBRA!S302</f>
        <v>0</v>
      </c>
      <c r="Q303" s="86">
        <f>OBRA!R302</f>
        <v>0</v>
      </c>
      <c r="R303" s="86"/>
      <c r="S303" s="88">
        <f>OBRA!T302</f>
        <v>0</v>
      </c>
      <c r="T303" s="89">
        <f>OBRA!U302</f>
        <v>0</v>
      </c>
      <c r="U303" s="91"/>
      <c r="V303" s="688" t="s">
        <v>1428</v>
      </c>
      <c r="W303" s="311"/>
      <c r="X303" s="89"/>
      <c r="Y303" s="828">
        <f>OBRA!AR302</f>
        <v>0</v>
      </c>
      <c r="Z303" s="311"/>
      <c r="AA303" s="311"/>
      <c r="AB303" s="88"/>
      <c r="AC303" s="467">
        <f>OBRA!BW302</f>
        <v>0</v>
      </c>
      <c r="AD303" s="354"/>
    </row>
    <row r="304" spans="1:30" ht="15" hidden="1" customHeight="1">
      <c r="A304" s="22" t="s">
        <v>2206</v>
      </c>
      <c r="B304" s="809" t="str">
        <f>GRAL!B305</f>
        <v>2015-2018</v>
      </c>
      <c r="C304" s="16">
        <f>OBRA!J303</f>
        <v>2018</v>
      </c>
      <c r="D304" s="17" t="str">
        <f>OBRA!M303</f>
        <v>RAMO 33</v>
      </c>
      <c r="E304" s="478"/>
      <c r="F304" s="352"/>
      <c r="G304" s="1"/>
      <c r="H304" s="352"/>
      <c r="I304" s="54" t="str">
        <f>OBRA!W303</f>
        <v>N/A</v>
      </c>
      <c r="J304" s="55" t="str">
        <f>OBRA!X303</f>
        <v>ING. J. GUADALUPE IBARRA RAMIREZ</v>
      </c>
      <c r="K304" s="33" t="str">
        <f>OBRA!N303</f>
        <v>DOP/AD/010/2018</v>
      </c>
      <c r="L304" s="2" t="str">
        <f>OBRA!O303</f>
        <v>ADMINISTRACIÓN DIRECTA</v>
      </c>
      <c r="M304" s="3" t="str">
        <f>OBRA!P303</f>
        <v>FABRICACION DE EMPEDRADO AHOGADO EN CEMENTO EN CALLE VERANO ENTRE NIÑOS HEROES Y ZARAGOZA, EN LA CABECERA MUNICIPAL DEL MUNICIPIO DE JOCOTEPEC, JALISCO</v>
      </c>
      <c r="N304" s="3"/>
      <c r="O304" s="3"/>
      <c r="P304" s="6">
        <f>OBRA!S303</f>
        <v>43228</v>
      </c>
      <c r="Q304" s="4">
        <f>OBRA!R303</f>
        <v>606708.96</v>
      </c>
      <c r="R304" s="4"/>
      <c r="S304" s="5">
        <f>OBRA!T303</f>
        <v>43229</v>
      </c>
      <c r="T304" s="11">
        <f>OBRA!U303</f>
        <v>43262</v>
      </c>
      <c r="U304" s="53"/>
      <c r="V304" s="377" t="s">
        <v>1428</v>
      </c>
      <c r="W304" s="309"/>
      <c r="X304" s="11"/>
      <c r="Y304" s="280">
        <f>OBRA!AR303</f>
        <v>0</v>
      </c>
      <c r="Z304" s="309"/>
      <c r="AA304" s="309"/>
      <c r="AB304" s="5"/>
      <c r="AC304" s="317">
        <f>OBRA!BW303</f>
        <v>0</v>
      </c>
      <c r="AD304" s="352"/>
    </row>
    <row r="305" spans="1:30" ht="15" hidden="1" customHeight="1">
      <c r="A305" s="22" t="s">
        <v>2206</v>
      </c>
      <c r="B305" s="809" t="str">
        <f>GRAL!B306</f>
        <v>2015-2018</v>
      </c>
      <c r="C305" s="16">
        <f>OBRA!J304</f>
        <v>2018</v>
      </c>
      <c r="D305" s="17" t="str">
        <f>OBRA!M304</f>
        <v>Fondo de proyectos para el Desarrollo Regional</v>
      </c>
      <c r="E305" s="478"/>
      <c r="F305" s="352"/>
      <c r="G305" s="1"/>
      <c r="H305" s="352"/>
      <c r="I305" s="54" t="str">
        <f>OBRA!W304</f>
        <v>N/A</v>
      </c>
      <c r="J305" s="55" t="str">
        <f>OBRA!X304</f>
        <v>ING. J. GUADALUPE IBARRA RAMIREZ</v>
      </c>
      <c r="K305" s="33" t="str">
        <f>OBRA!N304</f>
        <v>DOP/AD/011/2018</v>
      </c>
      <c r="L305" s="2" t="str">
        <f>OBRA!O304</f>
        <v>ADMINISTRACIÓN DIRECTA</v>
      </c>
      <c r="M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OBRA!S304</f>
        <v>43241</v>
      </c>
      <c r="Q305" s="4">
        <f>OBRA!R304</f>
        <v>989000</v>
      </c>
      <c r="R305" s="4"/>
      <c r="S305" s="5">
        <f>OBRA!T304</f>
        <v>43257</v>
      </c>
      <c r="T305" s="11">
        <f>OBRA!U304</f>
        <v>43322</v>
      </c>
      <c r="U305" s="53"/>
      <c r="V305" s="377" t="s">
        <v>1428</v>
      </c>
      <c r="W305" s="309"/>
      <c r="X305" s="11"/>
      <c r="Y305" s="280">
        <f>OBRA!AR304</f>
        <v>0</v>
      </c>
      <c r="Z305" s="309"/>
      <c r="AA305" s="309"/>
      <c r="AB305" s="5"/>
      <c r="AC305" s="317">
        <f>OBRA!BW304</f>
        <v>0</v>
      </c>
      <c r="AD305" s="352"/>
    </row>
    <row r="306" spans="1:30" ht="15" hidden="1" customHeight="1">
      <c r="A306" s="22" t="s">
        <v>2206</v>
      </c>
      <c r="B306" s="809" t="str">
        <f>GRAL!B307</f>
        <v>2015-2018</v>
      </c>
      <c r="C306" s="16">
        <f>OBRA!J305</f>
        <v>2018</v>
      </c>
      <c r="D306" s="17" t="str">
        <f>OBRA!M305</f>
        <v>CUENTA CORRIENTE</v>
      </c>
      <c r="E306" s="478"/>
      <c r="F306" s="352"/>
      <c r="G306" s="1"/>
      <c r="H306" s="352"/>
      <c r="I306" s="54" t="str">
        <f>OBRA!W305</f>
        <v>N/A</v>
      </c>
      <c r="J306" s="55" t="str">
        <f>OBRA!X305</f>
        <v>ING. J. GUADALUPE IBARRA RAMIREZ</v>
      </c>
      <c r="K306" s="33" t="str">
        <f>OBRA!N305</f>
        <v>DOP/AD/012/2018</v>
      </c>
      <c r="L306" s="2" t="str">
        <f>OBRA!O305</f>
        <v>ADMINISTRACIÓN DIRECTA</v>
      </c>
      <c r="M306" s="3" t="str">
        <f>OBRA!P305</f>
        <v>REHABILITACIÓN DE RED DE DRENAJE EN LA CALLE JUAREZ Y 24 DE FEBRERO EN LA DELEGACION DE HUEJOTITAN, DEL MUNICIPIO DE JOCOTEPEC, JALISCO.</v>
      </c>
      <c r="N306" s="3"/>
      <c r="O306" s="3"/>
      <c r="P306" s="6">
        <f>OBRA!S305</f>
        <v>43257</v>
      </c>
      <c r="Q306" s="4">
        <f>OBRA!R305</f>
        <v>354409.68</v>
      </c>
      <c r="R306" s="4"/>
      <c r="S306" s="5">
        <f>OBRA!T305</f>
        <v>43257</v>
      </c>
      <c r="T306" s="11">
        <f>OBRA!U305</f>
        <v>43318</v>
      </c>
      <c r="U306" s="53"/>
      <c r="V306" s="377" t="s">
        <v>1428</v>
      </c>
      <c r="W306" s="309"/>
      <c r="X306" s="11"/>
      <c r="Y306" s="280">
        <f>OBRA!AR305</f>
        <v>0</v>
      </c>
      <c r="Z306" s="309"/>
      <c r="AA306" s="309"/>
      <c r="AB306" s="5"/>
      <c r="AC306" s="317">
        <f>OBRA!BW305</f>
        <v>0</v>
      </c>
      <c r="AD306" s="352"/>
    </row>
    <row r="307" spans="1:30" ht="15" hidden="1" customHeight="1">
      <c r="A307" s="22" t="s">
        <v>2206</v>
      </c>
      <c r="B307" s="809" t="str">
        <f>GRAL!B308</f>
        <v>2015-2018</v>
      </c>
      <c r="C307" s="16">
        <f>OBRA!J306</f>
        <v>2018</v>
      </c>
      <c r="D307" s="17" t="str">
        <f>OBRA!M306</f>
        <v>CUENTA CORRIENTE</v>
      </c>
      <c r="E307" s="478"/>
      <c r="F307" s="352"/>
      <c r="G307" s="1"/>
      <c r="H307" s="352"/>
      <c r="I307" s="54" t="str">
        <f>OBRA!W306</f>
        <v>N/A</v>
      </c>
      <c r="J307" s="55" t="str">
        <f>OBRA!X306</f>
        <v>ING. J. GUADALUPE IBARRA RAMIREZ</v>
      </c>
      <c r="K307" s="33" t="str">
        <f>OBRA!N306</f>
        <v>DOP/AD/013/2018</v>
      </c>
      <c r="L307" s="2" t="str">
        <f>OBRA!O306</f>
        <v>ADMINISTRACIÓN DIRECTA</v>
      </c>
      <c r="M307" s="3" t="str">
        <f>OBRA!P306</f>
        <v>REHABILITACION DE RED DE AGUA POTABLE EN LA CALLE JUAREZ Y 24 DE FEBRERO EN LA DELEGACION DE HUEJOTITAN, DEL MUNICIPIO DE JOCOTEPEC, JALISCO.</v>
      </c>
      <c r="N307" s="3"/>
      <c r="O307" s="3"/>
      <c r="P307" s="6">
        <f>OBRA!S306</f>
        <v>43257</v>
      </c>
      <c r="Q307" s="4">
        <f>OBRA!R306</f>
        <v>95341.6</v>
      </c>
      <c r="R307" s="4"/>
      <c r="S307" s="5">
        <f>OBRA!T306</f>
        <v>43257</v>
      </c>
      <c r="T307" s="11">
        <f>OBRA!U306</f>
        <v>43318</v>
      </c>
      <c r="U307" s="53"/>
      <c r="V307" s="377" t="s">
        <v>1428</v>
      </c>
      <c r="W307" s="309"/>
      <c r="X307" s="11"/>
      <c r="Y307" s="280">
        <f>OBRA!AR306</f>
        <v>0</v>
      </c>
      <c r="Z307" s="309"/>
      <c r="AA307" s="309"/>
      <c r="AB307" s="5"/>
      <c r="AC307" s="317">
        <f>OBRA!BW306</f>
        <v>0</v>
      </c>
      <c r="AD307" s="352"/>
    </row>
    <row r="308" spans="1:30" ht="15" hidden="1" customHeight="1">
      <c r="A308" s="22" t="s">
        <v>2206</v>
      </c>
      <c r="B308" s="809" t="str">
        <f>GRAL!B309</f>
        <v>2015-2018</v>
      </c>
      <c r="C308" s="16">
        <f>OBRA!J307</f>
        <v>2018</v>
      </c>
      <c r="D308" s="17" t="str">
        <f>OBRA!M307</f>
        <v>RAMO 33</v>
      </c>
      <c r="E308" s="478"/>
      <c r="F308" s="352"/>
      <c r="G308" s="1"/>
      <c r="H308" s="352"/>
      <c r="I308" s="54" t="str">
        <f>OBRA!W307</f>
        <v>N/A</v>
      </c>
      <c r="J308" s="55" t="str">
        <f>OBRA!X307</f>
        <v>ARQ. CESAR ANTONIO ALONSO JIMENEZ</v>
      </c>
      <c r="K308" s="33" t="str">
        <f>OBRA!N307</f>
        <v>DOP/AD/014/2018</v>
      </c>
      <c r="L308" s="2" t="str">
        <f>OBRA!O307</f>
        <v>ADMINISTRACIÓN DIRECTA</v>
      </c>
      <c r="M308" s="3" t="str">
        <f>OBRA!P307</f>
        <v>CONSTRUCCIÓN DE LINEA DE DRENAJE EN CALLE DAVID MIRANDA 120 ML DE CALLE VENUSTIANO CARRANZA HACIA EL PONIENTE, EN LA LOCALIDAD DE ZAPOTITAN DE HIDALGO, DEL MUNICIPIO DE JOCOTEPEC, JALISCO.</v>
      </c>
      <c r="N308" s="3"/>
      <c r="O308" s="3"/>
      <c r="P308" s="6">
        <f>OBRA!S307</f>
        <v>43257</v>
      </c>
      <c r="Q308" s="4">
        <f>OBRA!R307</f>
        <v>114935.87</v>
      </c>
      <c r="R308" s="4"/>
      <c r="S308" s="5">
        <f>OBRA!T307</f>
        <v>43273</v>
      </c>
      <c r="T308" s="11">
        <f>OBRA!U307</f>
        <v>43294</v>
      </c>
      <c r="U308" s="53"/>
      <c r="V308" s="377" t="s">
        <v>1428</v>
      </c>
      <c r="W308" s="309"/>
      <c r="X308" s="11"/>
      <c r="Y308" s="280">
        <f>OBRA!AR307</f>
        <v>0</v>
      </c>
      <c r="Z308" s="309"/>
      <c r="AA308" s="309"/>
      <c r="AB308" s="5"/>
      <c r="AC308" s="317">
        <f>OBRA!BW307</f>
        <v>0</v>
      </c>
      <c r="AD308" s="352"/>
    </row>
    <row r="309" spans="1:30" s="104" customFormat="1" ht="15" hidden="1" customHeight="1">
      <c r="A309" s="81" t="s">
        <v>2206</v>
      </c>
      <c r="B309" s="820" t="str">
        <f>GRAL!B310</f>
        <v>2015-2018</v>
      </c>
      <c r="C309" s="82">
        <f>OBRA!J308</f>
        <v>2018</v>
      </c>
      <c r="D309" s="97" t="str">
        <f>OBRA!M308</f>
        <v>RAMO 33</v>
      </c>
      <c r="E309" s="479"/>
      <c r="F309" s="354"/>
      <c r="G309" s="96"/>
      <c r="H309" s="354"/>
      <c r="I309" s="151" t="str">
        <f>OBRA!W308</f>
        <v>-</v>
      </c>
      <c r="J309" s="152" t="str">
        <f>OBRA!X308</f>
        <v>-</v>
      </c>
      <c r="K309" s="308" t="str">
        <f>OBRA!N308</f>
        <v>DOP/AD/015/2018</v>
      </c>
      <c r="L309" s="186" t="str">
        <f>OBRA!O308</f>
        <v>CANCELADA</v>
      </c>
      <c r="M309" s="106" t="str">
        <f>OBRA!P308</f>
        <v>FABRICACION DE BANQUETAS EN CALLE "EL HUASOYO" EN LA LOCALIDAD DE CHANTEPEC, DEL MUNICIPIO DE JOCOTEPEC, JALISCO</v>
      </c>
      <c r="N309" s="125"/>
      <c r="O309" s="125"/>
      <c r="P309" s="87">
        <f>OBRA!S308</f>
        <v>43276</v>
      </c>
      <c r="Q309" s="86">
        <f>OBRA!R308</f>
        <v>88593.05</v>
      </c>
      <c r="R309" s="86"/>
      <c r="S309" s="88">
        <f>OBRA!T308</f>
        <v>43276</v>
      </c>
      <c r="T309" s="89">
        <f>OBRA!U308</f>
        <v>43288</v>
      </c>
      <c r="U309" s="91"/>
      <c r="V309" s="688" t="s">
        <v>1428</v>
      </c>
      <c r="W309" s="311"/>
      <c r="X309" s="89"/>
      <c r="Y309" s="828">
        <f>OBRA!AR308</f>
        <v>0</v>
      </c>
      <c r="Z309" s="311"/>
      <c r="AA309" s="311"/>
      <c r="AB309" s="88"/>
      <c r="AC309" s="467">
        <f>OBRA!BW308</f>
        <v>0</v>
      </c>
      <c r="AD309" s="354"/>
    </row>
    <row r="310" spans="1:30" ht="15" hidden="1" customHeight="1">
      <c r="A310" s="22" t="s">
        <v>2206</v>
      </c>
      <c r="B310" s="809" t="str">
        <f>GRAL!B311</f>
        <v>2015-2018</v>
      </c>
      <c r="C310" s="16">
        <f>OBRA!J309</f>
        <v>2018</v>
      </c>
      <c r="D310" s="17" t="str">
        <f>OBRA!M309</f>
        <v>Fondo de proyectos para el Desarrollo Regional</v>
      </c>
      <c r="E310" s="478"/>
      <c r="F310" s="352"/>
      <c r="G310" s="1"/>
      <c r="H310" s="352"/>
      <c r="I310" s="54" t="str">
        <f>OBRA!W309</f>
        <v>N/A</v>
      </c>
      <c r="J310" s="55" t="str">
        <f>OBRA!X309</f>
        <v>ING. J. GUADALUPE IBARRA RAMIREZ</v>
      </c>
      <c r="K310" s="33" t="str">
        <f>OBRA!N309</f>
        <v>DOP/AD/016/2018</v>
      </c>
      <c r="L310" s="2" t="str">
        <f>OBRA!O309</f>
        <v>ADMINISTRACIÓN DIRECTA</v>
      </c>
      <c r="M310" s="3" t="str">
        <f>OBRA!P309</f>
        <v>CONSTRUCCION DE EMPEDRADO AHOGADO EN  CEMENTO, CONSTRUCCION DE HUELLAS DE CONCRETO, Y CONSTRUCCION DE GUARNICION DE LA CALLE CUAUHTEMOC, EN LA LOCALIDAD DE POTRERILLOS DEL MUNICIPIO DE JOCOTEPEC, JALISCO</v>
      </c>
      <c r="N310" s="3"/>
      <c r="O310" s="3"/>
      <c r="P310" s="6">
        <f>OBRA!S309</f>
        <v>43251</v>
      </c>
      <c r="Q310" s="4">
        <f>OBRA!R309</f>
        <v>989000</v>
      </c>
      <c r="R310" s="4"/>
      <c r="S310" s="5">
        <f>OBRA!T309</f>
        <v>43252</v>
      </c>
      <c r="T310" s="11">
        <f>OBRA!U309</f>
        <v>43311</v>
      </c>
      <c r="U310" s="53"/>
      <c r="V310" s="377" t="s">
        <v>1428</v>
      </c>
      <c r="W310" s="309"/>
      <c r="X310" s="11"/>
      <c r="Y310" s="280">
        <f>OBRA!AR309</f>
        <v>0</v>
      </c>
      <c r="Z310" s="309"/>
      <c r="AA310" s="309"/>
      <c r="AB310" s="5"/>
      <c r="AC310" s="317" t="str">
        <f>OBRA!BW309</f>
        <v>FOTOS FIN</v>
      </c>
      <c r="AD310" s="352"/>
    </row>
    <row r="311" spans="1:30" ht="15" hidden="1" customHeight="1">
      <c r="A311" s="22" t="s">
        <v>2206</v>
      </c>
      <c r="B311" s="809" t="str">
        <f>GRAL!B312</f>
        <v>2015-2018</v>
      </c>
      <c r="C311" s="16">
        <f>OBRA!J310</f>
        <v>2018</v>
      </c>
      <c r="D311" s="17" t="str">
        <f>OBRA!M310</f>
        <v>Fondo de proyectos para el Desarrollo Regional</v>
      </c>
      <c r="E311" s="478"/>
      <c r="F311" s="352"/>
      <c r="G311" s="1"/>
      <c r="H311" s="352"/>
      <c r="I311" s="54" t="str">
        <f>OBRA!W310</f>
        <v>N/A</v>
      </c>
      <c r="J311" s="55" t="str">
        <f>OBRA!X310</f>
        <v>ING. JUAN MANUEL GARCIA ESCOTO</v>
      </c>
      <c r="K311" s="33" t="str">
        <f>OBRA!N310</f>
        <v>DOP/AD/017/2018</v>
      </c>
      <c r="L311" s="2" t="str">
        <f>OBRA!O310</f>
        <v>ADMINISTRACIÓN DIRECTA</v>
      </c>
      <c r="M311" s="3" t="str">
        <f>OBRA!P310</f>
        <v>PROYECTO CONSTRUCCION DE EMPEDRADO AHOGADO EN CEMENTO, CONSTRUCCION DE FRANJA DE ADOQUIN Y CONSTRUCCIÓN DE GUARNICIÓN DE LA CALLE RAMON CORONA DE LA LOCALIDAD DE SAN CRISTOBAL ZAPOTITLAN, DEL MUNICIPIO DE JOCOTEPEC, JALISCO</v>
      </c>
      <c r="N311" s="3"/>
      <c r="O311" s="3"/>
      <c r="P311" s="6">
        <f>OBRA!S310</f>
        <v>43262</v>
      </c>
      <c r="Q311" s="4">
        <f>OBRA!R310</f>
        <v>900000</v>
      </c>
      <c r="R311" s="4"/>
      <c r="S311" s="5">
        <f>OBRA!T310</f>
        <v>43266</v>
      </c>
      <c r="T311" s="11">
        <f>OBRA!U310</f>
        <v>43329</v>
      </c>
      <c r="U311" s="53"/>
      <c r="V311" s="377" t="s">
        <v>1428</v>
      </c>
      <c r="W311" s="309"/>
      <c r="X311" s="11"/>
      <c r="Y311" s="280">
        <f>OBRA!AR310</f>
        <v>0</v>
      </c>
      <c r="Z311" s="309"/>
      <c r="AA311" s="309"/>
      <c r="AB311" s="5"/>
      <c r="AC311" s="317" t="str">
        <f>OBRA!BW310</f>
        <v>FOTOS FIN</v>
      </c>
      <c r="AD311" s="352"/>
    </row>
    <row r="312" spans="1:30" ht="15" hidden="1" customHeight="1">
      <c r="A312" s="22" t="s">
        <v>2206</v>
      </c>
      <c r="B312" s="809" t="str">
        <f>GRAL!B313</f>
        <v>2015-2018</v>
      </c>
      <c r="C312" s="16">
        <f>OBRA!J311</f>
        <v>2018</v>
      </c>
      <c r="D312" s="17" t="str">
        <f>OBRA!M311</f>
        <v>RAMO 33</v>
      </c>
      <c r="E312" s="478"/>
      <c r="F312" s="352"/>
      <c r="G312" s="1"/>
      <c r="H312" s="352"/>
      <c r="I312" s="54" t="str">
        <f>OBRA!W311</f>
        <v>N/A</v>
      </c>
      <c r="J312" s="55" t="str">
        <f>OBRA!X311</f>
        <v>-</v>
      </c>
      <c r="K312" s="33" t="str">
        <f>OBRA!N311</f>
        <v>DOP/AD/018/2018</v>
      </c>
      <c r="L312" s="2" t="str">
        <f>OBRA!O311</f>
        <v>CANCELADA</v>
      </c>
      <c r="M312" s="3" t="str">
        <f>OBRA!P311</f>
        <v>CONSTRUCCION DE EMPEDRADO ECOLOGICO EN LA PRIVADA LA VAQUITA EN LA LOCALIDAD DE CHANTEPEC, DEL MUNICIPIO DE JOCOTEPEC, JALISCO".</v>
      </c>
      <c r="N312" s="3"/>
      <c r="O312" s="3"/>
      <c r="P312" s="6">
        <f>OBRA!S311</f>
        <v>43326</v>
      </c>
      <c r="Q312" s="4">
        <f>OBRA!R311</f>
        <v>46185.599999999999</v>
      </c>
      <c r="R312" s="4"/>
      <c r="S312" s="5">
        <f>OBRA!T311</f>
        <v>43326</v>
      </c>
      <c r="T312" s="11">
        <f>OBRA!U311</f>
        <v>43357</v>
      </c>
      <c r="U312" s="53"/>
      <c r="V312" s="377" t="s">
        <v>1428</v>
      </c>
      <c r="W312" s="309"/>
      <c r="X312" s="11"/>
      <c r="Y312" s="280">
        <f>OBRA!AR311</f>
        <v>0</v>
      </c>
      <c r="Z312" s="309"/>
      <c r="AA312" s="309"/>
      <c r="AB312" s="5"/>
      <c r="AC312" s="317">
        <f>OBRA!BW311</f>
        <v>0</v>
      </c>
      <c r="AD312" s="352"/>
    </row>
    <row r="313" spans="1:30" s="104" customFormat="1" ht="15" hidden="1" customHeight="1">
      <c r="A313" s="81" t="s">
        <v>2206</v>
      </c>
      <c r="B313" s="820" t="str">
        <f>GRAL!B314</f>
        <v>2015-2018</v>
      </c>
      <c r="C313" s="82">
        <f>OBRA!J312</f>
        <v>2018</v>
      </c>
      <c r="D313" s="97">
        <f>OBRA!M312</f>
        <v>0</v>
      </c>
      <c r="E313" s="479"/>
      <c r="F313" s="354"/>
      <c r="G313" s="96"/>
      <c r="H313" s="354"/>
      <c r="I313" s="151" t="str">
        <f>OBRA!W312</f>
        <v>N/A</v>
      </c>
      <c r="J313" s="152" t="str">
        <f>OBRA!X312</f>
        <v>-</v>
      </c>
      <c r="K313" s="308" t="str">
        <f>OBRA!N312</f>
        <v>DOP/AD/019/2018</v>
      </c>
      <c r="L313" s="186" t="str">
        <f>OBRA!O312</f>
        <v>CANCELADA</v>
      </c>
      <c r="M313" s="106">
        <f>OBRA!P312</f>
        <v>0</v>
      </c>
      <c r="N313" s="125"/>
      <c r="O313" s="125"/>
      <c r="P313" s="87">
        <f>OBRA!S312</f>
        <v>0</v>
      </c>
      <c r="Q313" s="86">
        <f>OBRA!R312</f>
        <v>0</v>
      </c>
      <c r="R313" s="86"/>
      <c r="S313" s="88">
        <f>OBRA!T312</f>
        <v>0</v>
      </c>
      <c r="T313" s="89">
        <f>OBRA!U312</f>
        <v>0</v>
      </c>
      <c r="U313" s="91"/>
      <c r="V313" s="688" t="s">
        <v>1428</v>
      </c>
      <c r="W313" s="311"/>
      <c r="X313" s="89"/>
      <c r="Y313" s="828">
        <f>OBRA!AR312</f>
        <v>0</v>
      </c>
      <c r="Z313" s="311"/>
      <c r="AA313" s="311"/>
      <c r="AB313" s="88"/>
      <c r="AC313" s="467">
        <f>OBRA!BW312</f>
        <v>0</v>
      </c>
      <c r="AD313" s="354"/>
    </row>
    <row r="314" spans="1:30" ht="30" hidden="1" customHeight="1">
      <c r="A314" s="22" t="s">
        <v>2206</v>
      </c>
      <c r="B314" s="809" t="str">
        <f>GRAL!B315</f>
        <v>2015-2018</v>
      </c>
      <c r="C314" s="16">
        <f>OBRA!J313</f>
        <v>2018</v>
      </c>
      <c r="D314" s="17" t="str">
        <f>OBRA!M313</f>
        <v>CUENTA CORRIENTE</v>
      </c>
      <c r="E314" s="478"/>
      <c r="F314" s="352"/>
      <c r="G314" s="1"/>
      <c r="H314" s="352"/>
      <c r="I314" s="54" t="str">
        <f>OBRA!W313</f>
        <v>N/A</v>
      </c>
      <c r="J314" s="55" t="str">
        <f>OBRA!X313</f>
        <v>-</v>
      </c>
      <c r="K314" s="33" t="str">
        <f>OBRA!N313</f>
        <v>DOP/AD/020/2018</v>
      </c>
      <c r="L314" s="2" t="str">
        <f>OBRA!O313</f>
        <v>ADMINISTRACIÓN DIRECTA</v>
      </c>
      <c r="M314" s="3" t="str">
        <f>OBRA!P313</f>
        <v>TRABAJOS DE DESASOLVE EN LOS ARROYOS DEL MUNICIPIO DE JOCOTEPEC, JALISCO</v>
      </c>
      <c r="N314" s="3"/>
      <c r="O314" s="3"/>
      <c r="P314" s="6">
        <f>OBRA!S313</f>
        <v>43349</v>
      </c>
      <c r="Q314" s="4">
        <f>OBRA!R313</f>
        <v>33408</v>
      </c>
      <c r="R314" s="4"/>
      <c r="S314" s="5">
        <f>OBRA!T313</f>
        <v>43350</v>
      </c>
      <c r="T314" s="11">
        <f>OBRA!U313</f>
        <v>43365</v>
      </c>
      <c r="U314" s="53"/>
      <c r="V314" s="377" t="s">
        <v>1428</v>
      </c>
      <c r="W314" s="309"/>
      <c r="X314" s="11"/>
      <c r="Y314" s="280">
        <f>OBRA!AR313</f>
        <v>0</v>
      </c>
      <c r="Z314" s="309"/>
      <c r="AA314" s="309"/>
      <c r="AB314" s="5"/>
      <c r="AC314" s="317">
        <f>OBRA!BW313</f>
        <v>0</v>
      </c>
      <c r="AD314" s="352"/>
    </row>
    <row r="315" spans="1:30" ht="138.75" hidden="1" customHeight="1">
      <c r="A315" s="22" t="s">
        <v>2206</v>
      </c>
      <c r="B315" s="809" t="str">
        <f>GRAL!B316</f>
        <v>2015-2018</v>
      </c>
      <c r="C315" s="16">
        <f>OBRA!J314</f>
        <v>2018</v>
      </c>
      <c r="D315" s="17" t="str">
        <f>OBRA!M314</f>
        <v>RAMO 33</v>
      </c>
      <c r="E315" s="478" t="s">
        <v>1428</v>
      </c>
      <c r="F315" s="507"/>
      <c r="G315" s="881"/>
      <c r="H315" s="507"/>
      <c r="I315" s="54" t="str">
        <f>OBRA!W314</f>
        <v>C. NORMA GORETY DOMINGUEZ CALVARIO</v>
      </c>
      <c r="J315" s="55" t="str">
        <f>OBRA!X314</f>
        <v>ING. JUAN MANUEL GARCIA ESCOTO</v>
      </c>
      <c r="K315" s="33" t="str">
        <f>OBRA!N314</f>
        <v>GMJ 001C OP/2018</v>
      </c>
      <c r="L315" s="2" t="str">
        <f>OBRA!O314</f>
        <v>ADJUDICACIÓN DIRECTA</v>
      </c>
      <c r="M315" s="3" t="str">
        <f>OBRA!P314</f>
        <v>SUSTITUCIÓN DE SUPERFICIE DE RODAMIENTO EN LA CALLE MORELOS ENTRE ZARAGOZA Y PANTEON, CAMBIO DE EMPEDRADO NORMAL POR ADOQUIN, EN LA CABECERA MUNICIPAL DEL MUNICIPIO DE JOCOTEPEC, JALISCO</v>
      </c>
      <c r="N315" s="504"/>
      <c r="O315" s="504"/>
      <c r="P315" s="6">
        <f>OBRA!S314</f>
        <v>43137</v>
      </c>
      <c r="Q315" s="4">
        <f>OBRA!R314</f>
        <v>844622.8</v>
      </c>
      <c r="R315" s="4"/>
      <c r="S315" s="5">
        <f>OBRA!T314</f>
        <v>43137</v>
      </c>
      <c r="T315" s="11">
        <f>OBRA!U314</f>
        <v>43168</v>
      </c>
      <c r="U315" s="53"/>
      <c r="V315" s="62" t="s">
        <v>1428</v>
      </c>
      <c r="W315" s="587"/>
      <c r="X315" s="1231"/>
      <c r="Y315" s="340">
        <f>OBRA!AR314</f>
        <v>168924.56</v>
      </c>
      <c r="Z315" s="309"/>
      <c r="AA315" s="309"/>
      <c r="AB315" s="5"/>
      <c r="AC315" s="317">
        <f>OBRA!BW314</f>
        <v>0</v>
      </c>
      <c r="AD315" s="352" t="s">
        <v>551</v>
      </c>
    </row>
    <row r="316" spans="1:30" ht="15" hidden="1" customHeight="1">
      <c r="A316" s="22" t="s">
        <v>2206</v>
      </c>
      <c r="B316" s="809" t="str">
        <f>GRAL!B317</f>
        <v>2015-2018</v>
      </c>
      <c r="C316" s="16">
        <f>OBRA!J315</f>
        <v>2018</v>
      </c>
      <c r="D316" s="17" t="str">
        <f>OBRA!M315</f>
        <v>RAMO 33</v>
      </c>
      <c r="E316" s="478"/>
      <c r="F316" s="352"/>
      <c r="G316" s="1"/>
      <c r="H316" s="352"/>
      <c r="I316" s="54" t="str">
        <f>OBRA!W315</f>
        <v xml:space="preserve">DRABSA CONSTRUCTORA S.A. DE C.V. </v>
      </c>
      <c r="J316" s="55" t="str">
        <f>OBRA!X315</f>
        <v>ING. JUAN MANUEL GARCIA ESCOTO</v>
      </c>
      <c r="K316" s="33" t="str">
        <f>OBRA!N315</f>
        <v>GMJ 002C OP/2018</v>
      </c>
      <c r="L316" s="2" t="str">
        <f>OBRA!O315</f>
        <v>POR INVITACION RESTRINGIDA</v>
      </c>
      <c r="M316" s="3" t="str">
        <f>OBRA!P315</f>
        <v>REHABILITACION DE LINEA DE DRENAJE EN CALLE ZARAGOZA ENTRE AVENIDA DEL TRABAJO Y CERRADA, (CAMPO DE FUTBOL), CON REPOSICION DE SUPERFICIE DE RODAMIENTO, EN LA LOCALIDAD DE ZAPOTITAN DE HIDALGO DEL MUNICIPIO DE JOCOTEPEC, JALISCO</v>
      </c>
      <c r="N316" s="504"/>
      <c r="O316" s="504"/>
      <c r="P316" s="6">
        <f>OBRA!S315</f>
        <v>43208</v>
      </c>
      <c r="Q316" s="4">
        <f>OBRA!R315</f>
        <v>1341538.44</v>
      </c>
      <c r="R316" s="4"/>
      <c r="S316" s="5">
        <f>OBRA!T315</f>
        <v>43209</v>
      </c>
      <c r="T316" s="11">
        <f>OBRA!U315</f>
        <v>43239</v>
      </c>
      <c r="U316" s="53"/>
      <c r="V316" s="377" t="s">
        <v>1428</v>
      </c>
      <c r="W316" s="309"/>
      <c r="X316" s="11"/>
      <c r="Y316" s="280">
        <f>OBRA!AR315</f>
        <v>469538.44999999995</v>
      </c>
      <c r="Z316" s="309"/>
      <c r="AA316" s="309"/>
      <c r="AB316" s="5"/>
      <c r="AC316" s="317">
        <f>OBRA!BW315</f>
        <v>0</v>
      </c>
      <c r="AD316" s="352"/>
    </row>
    <row r="317" spans="1:30" ht="15" hidden="1" customHeight="1">
      <c r="A317" s="22" t="s">
        <v>2206</v>
      </c>
      <c r="B317" s="809" t="str">
        <f>GRAL!B318</f>
        <v>2015-2018</v>
      </c>
      <c r="C317" s="16">
        <f>OBRA!J316</f>
        <v>2018</v>
      </c>
      <c r="D317" s="17" t="str">
        <f>OBRA!M316</f>
        <v>RAMO 33</v>
      </c>
      <c r="E317" s="478"/>
      <c r="F317" s="352"/>
      <c r="G317" s="1"/>
      <c r="H317" s="352"/>
      <c r="I317" s="54" t="str">
        <f>OBRA!W316</f>
        <v xml:space="preserve">DRABSA CONSTRUCTORA S.A. DE C.V. </v>
      </c>
      <c r="J317" s="55" t="str">
        <f>OBRA!X316</f>
        <v>ING. JUAN MANUEL GARCIA ESCOTO</v>
      </c>
      <c r="K317" s="33" t="str">
        <f>OBRA!N316</f>
        <v>GMJ 003C OP/2018</v>
      </c>
      <c r="L317" s="2" t="str">
        <f>OBRA!O316</f>
        <v>POR INVITACION RESTRINGIDA</v>
      </c>
      <c r="M317" s="3" t="str">
        <f>OBRA!P316</f>
        <v>REHABILITACION DE LINEA DE AGUA POTABLE EN CALLE ZARAGOZA ENTRE AVENIDA DEL TRABAJO Y CERRADA, (CAMPO DE FUTBOL), CON REPOSICION DE SUPERFICIE DE RODAMIENTO, EN LA LOCALIDAD DE ZAPOTITAN DE HIDALGO, DEL MUNICIPIO DE JOCOTEPEC, JALISCO</v>
      </c>
      <c r="N317" s="504"/>
      <c r="O317" s="504"/>
      <c r="P317" s="6">
        <f>OBRA!S316</f>
        <v>43208</v>
      </c>
      <c r="Q317" s="4">
        <f>OBRA!R316</f>
        <v>1303478.02</v>
      </c>
      <c r="R317" s="4"/>
      <c r="S317" s="5">
        <f>OBRA!T316</f>
        <v>43208</v>
      </c>
      <c r="T317" s="11">
        <f>OBRA!U316</f>
        <v>43239</v>
      </c>
      <c r="U317" s="53"/>
      <c r="V317" s="377" t="s">
        <v>1428</v>
      </c>
      <c r="W317" s="309"/>
      <c r="X317" s="11"/>
      <c r="Y317" s="280">
        <f>OBRA!AR316</f>
        <v>130347.8</v>
      </c>
      <c r="Z317" s="309"/>
      <c r="AA317" s="309"/>
      <c r="AB317" s="5"/>
      <c r="AC317" s="317">
        <f>OBRA!BW316</f>
        <v>0</v>
      </c>
      <c r="AD317" s="352"/>
    </row>
    <row r="318" spans="1:30" ht="91.5" hidden="1" customHeight="1">
      <c r="A318" s="22" t="s">
        <v>2206</v>
      </c>
      <c r="B318" s="809" t="str">
        <f>GRAL!B319</f>
        <v>2015-2018</v>
      </c>
      <c r="C318" s="16">
        <f>OBRA!J317</f>
        <v>2018</v>
      </c>
      <c r="D318" s="17" t="str">
        <f>OBRA!M317</f>
        <v>CUENTA CORRIENTE</v>
      </c>
      <c r="E318" s="478" t="s">
        <v>1428</v>
      </c>
      <c r="F318" s="507"/>
      <c r="G318" s="878"/>
      <c r="H318" s="507"/>
      <c r="I318" s="54" t="str">
        <f>OBRA!W317</f>
        <v>JOSE LUIS RANGEL GALVEZ</v>
      </c>
      <c r="J318" s="55" t="str">
        <f>OBRA!X317</f>
        <v>ARQ. CESAR ANTONIO ALONSO JIMENEZ</v>
      </c>
      <c r="K318" s="33" t="str">
        <f>OBRA!N317</f>
        <v>GMJ 004C OP/2018</v>
      </c>
      <c r="L318" s="2" t="str">
        <f>OBRA!O317</f>
        <v>ADJUDICACIÓN DIRECTA</v>
      </c>
      <c r="M318" s="3" t="str">
        <f>OBRA!P317</f>
        <v>CONSTRUCCION DE AMPLIACIÓN DEL PANTEON 2DA ETAPA EN LA CABECERA MUNICIPAL, DEL MUNICIPIO DE JOCOTEPEC, JALISCO</v>
      </c>
      <c r="N318" s="657"/>
      <c r="O318" s="657"/>
      <c r="P318" s="6">
        <f>OBRA!S317</f>
        <v>43224</v>
      </c>
      <c r="Q318" s="4">
        <f>OBRA!R317</f>
        <v>500000</v>
      </c>
      <c r="R318" s="4"/>
      <c r="S318" s="5">
        <f>OBRA!T317</f>
        <v>43228</v>
      </c>
      <c r="T318" s="11">
        <f>OBRA!U317</f>
        <v>43321</v>
      </c>
      <c r="U318" s="53"/>
      <c r="V318" s="377" t="s">
        <v>1428</v>
      </c>
      <c r="W318" s="535"/>
      <c r="X318" s="437"/>
      <c r="Y318" s="280">
        <f>OBRA!AR317</f>
        <v>125000</v>
      </c>
      <c r="Z318" s="309"/>
      <c r="AA318" s="309"/>
      <c r="AB318" s="5"/>
      <c r="AC318" s="317">
        <f>OBRA!BW317</f>
        <v>0</v>
      </c>
      <c r="AD318" s="352"/>
    </row>
    <row r="319" spans="1:30" ht="141.75" hidden="1" customHeight="1">
      <c r="A319" s="22" t="s">
        <v>2206</v>
      </c>
      <c r="B319" s="809" t="str">
        <f>GRAL!B320</f>
        <v>2015-2018</v>
      </c>
      <c r="C319" s="16">
        <f>OBRA!J318</f>
        <v>2018</v>
      </c>
      <c r="D319" s="17" t="str">
        <f>OBRA!M318</f>
        <v>RAMO 33</v>
      </c>
      <c r="E319" s="478" t="s">
        <v>1428</v>
      </c>
      <c r="F319" s="507"/>
      <c r="G319" s="878"/>
      <c r="H319" s="507"/>
      <c r="I319" s="54" t="str">
        <f>OBRA!W318</f>
        <v xml:space="preserve">GRUPO DESARROLLADOR INMOBILIARIO CEMERAMA S.A. DE C.V. </v>
      </c>
      <c r="J319" s="55" t="str">
        <f>OBRA!X318</f>
        <v>LIC. SALVADOR CONTRERAS OLGUÍN</v>
      </c>
      <c r="K319" s="33" t="str">
        <f>OBRA!N318</f>
        <v>GMJ 005C OP/2018</v>
      </c>
      <c r="L319" s="2" t="str">
        <f>OBRA!O318</f>
        <v>ADJUDICACIÓN DIRECTA</v>
      </c>
      <c r="M319" s="3" t="str">
        <f>OBRA!P318</f>
        <v>AMPLIACION DE RED DE AGUA POTABLE DE 2 I/2" A 4" EN LA LATERAL DE CARRETERA CHAPALA-JOCOTEPEC, ENTRE LA CALLE ITURBIDE A CALLE NARCIZO MENDOZA EN LA LOCALIDAD DE SAN JUAN COSALA, DEL MUNICIPIO DE JOCOTEPEC, JALISCO</v>
      </c>
      <c r="N319" s="504"/>
      <c r="O319" s="504"/>
      <c r="P319" s="67">
        <f>OBRA!S318</f>
        <v>43221</v>
      </c>
      <c r="Q319" s="79">
        <f>OBRA!R318</f>
        <v>688990.42</v>
      </c>
      <c r="R319" s="79"/>
      <c r="S319" s="5">
        <f>OBRA!T318</f>
        <v>43224</v>
      </c>
      <c r="T319" s="11">
        <f>OBRA!U318</f>
        <v>43285</v>
      </c>
      <c r="U319" s="53"/>
      <c r="V319" s="62" t="s">
        <v>1428</v>
      </c>
      <c r="W319" s="587"/>
      <c r="X319" s="1231"/>
      <c r="Y319" s="280">
        <f>OBRA!AR318</f>
        <v>68899.039999999994</v>
      </c>
      <c r="Z319" s="309"/>
      <c r="AA319" s="309"/>
      <c r="AB319" s="5"/>
      <c r="AC319" s="317">
        <f>OBRA!BW318</f>
        <v>0</v>
      </c>
      <c r="AD319" s="352"/>
    </row>
    <row r="320" spans="1:30" ht="134.25" hidden="1" customHeight="1">
      <c r="A320" s="22" t="s">
        <v>2206</v>
      </c>
      <c r="B320" s="809" t="str">
        <f>GRAL!B321</f>
        <v>2015-2018</v>
      </c>
      <c r="C320" s="16">
        <f>OBRA!J319</f>
        <v>2018</v>
      </c>
      <c r="D320" s="17" t="str">
        <f>OBRA!M319</f>
        <v>RAMO 33</v>
      </c>
      <c r="E320" s="478" t="s">
        <v>1428</v>
      </c>
      <c r="F320" s="507"/>
      <c r="G320" s="878"/>
      <c r="H320" s="507"/>
      <c r="I320" s="54" t="str">
        <f>OBRA!W319</f>
        <v>ING. MACIEL MOZQUEDA GONZALEZ</v>
      </c>
      <c r="J320" s="55" t="str">
        <f>OBRA!X319</f>
        <v>ARQ. CESAR ANTONIO ALONSO JIMENEZ</v>
      </c>
      <c r="K320" s="33" t="str">
        <f>OBRA!N319</f>
        <v>GMJ 006C OP/2018</v>
      </c>
      <c r="L320" s="2" t="str">
        <f>OBRA!O319</f>
        <v>ADJUDICACIÓN DIRECTA</v>
      </c>
      <c r="M320" s="3" t="str">
        <f>OBRA!P319</f>
        <v>REHABILITACION DE LINEA DE AGUA POTABLE EN CALLE CARDENAL DESDE CARRETERA AL PANTEON, CON REPOSICION DE EMPEDRADO NORMAL EN LA LOCALIDAD DE SAN JUAN COSALA, DEL MUNICIPIO DE JOCOTEPEC, JALISCO</v>
      </c>
      <c r="N320" s="504"/>
      <c r="O320" s="504"/>
      <c r="P320" s="6">
        <f>OBRA!S319</f>
        <v>43255</v>
      </c>
      <c r="Q320" s="4">
        <f>OBRA!R319</f>
        <v>343705.8</v>
      </c>
      <c r="R320" s="4"/>
      <c r="S320" s="5">
        <f>OBRA!T319</f>
        <v>43257</v>
      </c>
      <c r="T320" s="11">
        <f>OBRA!U319</f>
        <v>43322</v>
      </c>
      <c r="U320" s="53"/>
      <c r="V320" s="62" t="s">
        <v>1428</v>
      </c>
      <c r="W320" s="587"/>
      <c r="X320" s="1231"/>
      <c r="Y320" s="340">
        <f>OBRA!AR319</f>
        <v>68741.16</v>
      </c>
      <c r="Z320" s="309"/>
      <c r="AA320" s="309"/>
      <c r="AB320" s="5"/>
      <c r="AC320" s="317">
        <f>OBRA!BW319</f>
        <v>0</v>
      </c>
      <c r="AD320" s="352" t="s">
        <v>551</v>
      </c>
    </row>
    <row r="321" spans="1:30" s="104" customFormat="1" ht="15" hidden="1" customHeight="1">
      <c r="A321" s="81" t="s">
        <v>2206</v>
      </c>
      <c r="B321" s="820" t="str">
        <f>GRAL!B322</f>
        <v>2015-2018</v>
      </c>
      <c r="C321" s="82">
        <f>OBRA!J320</f>
        <v>2018</v>
      </c>
      <c r="D321" s="97">
        <f>OBRA!M320</f>
        <v>0</v>
      </c>
      <c r="E321" s="479"/>
      <c r="F321" s="354"/>
      <c r="G321" s="96"/>
      <c r="H321" s="354"/>
      <c r="I321" s="151" t="str">
        <f>OBRA!W320</f>
        <v>-</v>
      </c>
      <c r="J321" s="152" t="str">
        <f>OBRA!X320</f>
        <v>-</v>
      </c>
      <c r="K321" s="308" t="str">
        <f>OBRA!N320</f>
        <v>GMJ 007C OP/2018</v>
      </c>
      <c r="L321" s="186" t="str">
        <f>OBRA!O320</f>
        <v>CANCELADA</v>
      </c>
      <c r="M321" s="106">
        <f>OBRA!P320</f>
        <v>0</v>
      </c>
      <c r="N321" s="812"/>
      <c r="O321" s="812"/>
      <c r="P321" s="87">
        <f>OBRA!S320</f>
        <v>0</v>
      </c>
      <c r="Q321" s="86">
        <f>OBRA!R320</f>
        <v>0</v>
      </c>
      <c r="R321" s="86"/>
      <c r="S321" s="88">
        <f>OBRA!T320</f>
        <v>0</v>
      </c>
      <c r="T321" s="89">
        <f>OBRA!U320</f>
        <v>0</v>
      </c>
      <c r="U321" s="91"/>
      <c r="V321" s="688" t="s">
        <v>1428</v>
      </c>
      <c r="W321" s="311"/>
      <c r="X321" s="89"/>
      <c r="Y321" s="828">
        <f>OBRA!AR320</f>
        <v>0</v>
      </c>
      <c r="Z321" s="311"/>
      <c r="AA321" s="311"/>
      <c r="AB321" s="88"/>
      <c r="AC321" s="467">
        <f>OBRA!BW320</f>
        <v>0</v>
      </c>
      <c r="AD321" s="354"/>
    </row>
    <row r="322" spans="1:30" ht="145.5" hidden="1" customHeight="1">
      <c r="A322" s="22" t="s">
        <v>2206</v>
      </c>
      <c r="B322" s="809" t="str">
        <f>GRAL!B323</f>
        <v>2015-2018</v>
      </c>
      <c r="C322" s="16">
        <f>OBRA!J321</f>
        <v>2018</v>
      </c>
      <c r="D322" s="17" t="str">
        <f>OBRA!M321</f>
        <v>RAMO 33</v>
      </c>
      <c r="E322" s="478" t="s">
        <v>1428</v>
      </c>
      <c r="F322" s="507"/>
      <c r="G322" s="878"/>
      <c r="H322" s="507"/>
      <c r="I322" s="54" t="str">
        <f>OBRA!W321</f>
        <v xml:space="preserve">GRUPO DESARROLLADOR INMOBILIARIO CEMERAMA S.A. DE C.V. </v>
      </c>
      <c r="J322" s="55" t="str">
        <f>OBRA!X321</f>
        <v>LIC. SALVADOR CONTRERAS OLGUÍN</v>
      </c>
      <c r="K322" s="33" t="str">
        <f>OBRA!N321</f>
        <v>GMJ 008C OP/2018</v>
      </c>
      <c r="L322" s="2" t="str">
        <f>OBRA!O321</f>
        <v>ADJUDICACIÓN DIRECTA</v>
      </c>
      <c r="M322" s="3" t="str">
        <f>OBRA!P321</f>
        <v>REHABILITACION DE LA LINEA DE DRENAJE EN LA CALLE HIDALGO DESDE CALLE VICENTE GUERRERO HASTA EMPEDRADO AHOGADO EXISTENTE EN LA LOCALIDAD DE SAN JUAN COSALA, DEL MUNICIPIO DE JOCOTEPEC, JALISCO</v>
      </c>
      <c r="N322" s="504"/>
      <c r="O322" s="504"/>
      <c r="P322" s="6">
        <f>OBRA!S321</f>
        <v>43222</v>
      </c>
      <c r="Q322" s="4">
        <f>OBRA!R321</f>
        <v>142361.85</v>
      </c>
      <c r="R322" s="4"/>
      <c r="S322" s="5">
        <f>OBRA!T321</f>
        <v>43224</v>
      </c>
      <c r="T322" s="11">
        <f>OBRA!U321</f>
        <v>43255</v>
      </c>
      <c r="U322" s="53"/>
      <c r="V322" s="377" t="s">
        <v>1428</v>
      </c>
      <c r="W322" s="535"/>
      <c r="X322" s="1231"/>
      <c r="Y322" s="340">
        <f>OBRA!AR321</f>
        <v>393883.2</v>
      </c>
      <c r="Z322" s="309"/>
      <c r="AA322" s="309"/>
      <c r="AB322" s="5"/>
      <c r="AC322" s="317">
        <f>OBRA!BW321</f>
        <v>0</v>
      </c>
      <c r="AD322" s="352"/>
    </row>
    <row r="323" spans="1:30" ht="160.5" hidden="1" customHeight="1">
      <c r="A323" s="22" t="s">
        <v>2206</v>
      </c>
      <c r="B323" s="809" t="str">
        <f>GRAL!B324</f>
        <v>2015-2018</v>
      </c>
      <c r="C323" s="16">
        <f>OBRA!J322</f>
        <v>2018</v>
      </c>
      <c r="D323" s="17" t="str">
        <f>OBRA!M322</f>
        <v>FONDEREG</v>
      </c>
      <c r="E323" s="658" t="s">
        <v>2007</v>
      </c>
      <c r="F323" s="507"/>
      <c r="G323" s="878"/>
      <c r="H323" s="507"/>
      <c r="I323" s="54" t="str">
        <f>OBRA!W322</f>
        <v>ING. JOSE VALENTIN ZARATE RIVERA</v>
      </c>
      <c r="J323" s="55" t="str">
        <f>OBRA!X322</f>
        <v>ING. JUAN MANUEL GARCIA ESCOTO</v>
      </c>
      <c r="K323" s="33" t="str">
        <f>OBRA!N322</f>
        <v>GMJ 009C OP/2018</v>
      </c>
      <c r="L323" s="2" t="str">
        <f>OBRA!O322</f>
        <v>ADJUDICACIÓN DIRECTA</v>
      </c>
      <c r="M323" s="3" t="str">
        <f>OBRA!P322</f>
        <v>REHABILITACION DE IMAGEN URBANA DE CALLE VICENTE GUERRERO, EN EL INGRESO PONIENTE A JOCOTEPEC, DE LA CALLE INDEPENDENCIA A LA CALLE PASEO DE LAS ROSAS (ALUMBRADO PUBLICO) EN LA CABECERA MUNICIPAL DEL MUNICIPIO DE JOCOTEPEC, JALISCO</v>
      </c>
      <c r="N323" s="657"/>
      <c r="O323" s="657"/>
      <c r="P323" s="6">
        <f>OBRA!S322</f>
        <v>43253</v>
      </c>
      <c r="Q323" s="4">
        <f>OBRA!R322</f>
        <v>526676.22</v>
      </c>
      <c r="R323" s="4"/>
      <c r="S323" s="5">
        <f>OBRA!T322</f>
        <v>43261</v>
      </c>
      <c r="T323" s="11">
        <f>OBRA!U322</f>
        <v>43322</v>
      </c>
      <c r="U323" s="224"/>
      <c r="V323" s="502" t="s">
        <v>2269</v>
      </c>
      <c r="W323" s="1232"/>
      <c r="X323" s="1231"/>
      <c r="Y323" s="340">
        <f>OBRA!AR322</f>
        <v>105335.24</v>
      </c>
      <c r="Z323" s="309"/>
      <c r="AA323" s="309"/>
      <c r="AB323" s="5"/>
      <c r="AC323" s="317">
        <f>OBRA!BW322</f>
        <v>0</v>
      </c>
      <c r="AD323" s="352" t="s">
        <v>551</v>
      </c>
    </row>
    <row r="324" spans="1:30" ht="113.25" hidden="1" customHeight="1">
      <c r="A324" s="22" t="s">
        <v>2206</v>
      </c>
      <c r="B324" s="809" t="str">
        <f>GRAL!B325</f>
        <v>2015-2018</v>
      </c>
      <c r="C324" s="16">
        <f>OBRA!J323</f>
        <v>2018</v>
      </c>
      <c r="D324" s="17" t="str">
        <f>OBRA!M323</f>
        <v>RAMO 33</v>
      </c>
      <c r="E324" s="478" t="s">
        <v>1428</v>
      </c>
      <c r="F324" s="507"/>
      <c r="G324" s="878"/>
      <c r="H324" s="507"/>
      <c r="I324" s="54" t="str">
        <f>OBRA!W323</f>
        <v>LIC. CARLOS MANUEL PELAYO CERVERA</v>
      </c>
      <c r="J324" s="55" t="str">
        <f>OBRA!X323</f>
        <v>ARQ. CESAR ANTONIO ALONSO JIMENEZ</v>
      </c>
      <c r="K324" s="33" t="str">
        <f>OBRA!N323</f>
        <v>GMJ 010C OP/2018</v>
      </c>
      <c r="L324" s="2" t="str">
        <f>OBRA!O323</f>
        <v>ADJUDICACIÓN DIRECTA</v>
      </c>
      <c r="M324" s="3" t="str">
        <f>OBRA!P323</f>
        <v>REHABILITACION DE RED DE AGUA POTABLE EN LA CALLE EMILIANO ZAPATA, EN LA LOCALIDAD DE ZAPOTITAN DE HIDALGO DEL MUNICIPIO DE JOCOTEPEC, JALISCO</v>
      </c>
      <c r="N324" s="504"/>
      <c r="O324" s="504"/>
      <c r="P324" s="6">
        <f>OBRA!S323</f>
        <v>43242</v>
      </c>
      <c r="Q324" s="4">
        <f>OBRA!R323</f>
        <v>177478.77</v>
      </c>
      <c r="R324" s="4"/>
      <c r="S324" s="5">
        <f>OBRA!T323</f>
        <v>43243</v>
      </c>
      <c r="T324" s="11">
        <f>OBRA!U323</f>
        <v>43283</v>
      </c>
      <c r="U324" s="53"/>
      <c r="V324" s="62">
        <v>1</v>
      </c>
      <c r="W324" s="587"/>
      <c r="X324" s="1231"/>
      <c r="Y324" s="280">
        <f>OBRA!AR323</f>
        <v>0</v>
      </c>
      <c r="Z324" s="309"/>
      <c r="AA324" s="309"/>
      <c r="AB324" s="5"/>
      <c r="AC324" s="317">
        <f>OBRA!BW323</f>
        <v>0</v>
      </c>
      <c r="AD324" s="352"/>
    </row>
    <row r="325" spans="1:30" ht="107.25" hidden="1" customHeight="1">
      <c r="A325" s="22" t="s">
        <v>2206</v>
      </c>
      <c r="B325" s="809" t="str">
        <f>GRAL!B326</f>
        <v>2015-2018</v>
      </c>
      <c r="C325" s="16">
        <f>OBRA!J324</f>
        <v>2018</v>
      </c>
      <c r="D325" s="17" t="str">
        <f>OBRA!M324</f>
        <v>RAMO 33</v>
      </c>
      <c r="E325" s="478" t="s">
        <v>1428</v>
      </c>
      <c r="F325" s="507"/>
      <c r="G325" s="878"/>
      <c r="H325" s="507"/>
      <c r="I325" s="54" t="str">
        <f>OBRA!W324</f>
        <v>LIC. CARLOS MANUEL PELAYO CERVERA</v>
      </c>
      <c r="J325" s="55" t="str">
        <f>OBRA!X324</f>
        <v>ARQ. CESAR ANTONIO ALONSO JIMENEZ</v>
      </c>
      <c r="K325" s="33" t="str">
        <f>OBRA!N324</f>
        <v>GMJ 011C OP/2018</v>
      </c>
      <c r="L325" s="2" t="str">
        <f>OBRA!O324</f>
        <v>ADJUDICACIÓN DIRECTA</v>
      </c>
      <c r="M325" s="3" t="str">
        <f>OBRA!P324</f>
        <v>REHABILITACION DE LINEA DE DRENAJE EN LA CALLE EMILIANO ZAPATA, EN LA LOCALIDAD DE ZAPOTITAN DE HIDALGO DEL MUNICIPIO DE JOCOTEPEC, JALISCO</v>
      </c>
      <c r="N325" s="504"/>
      <c r="O325" s="504"/>
      <c r="P325" s="67">
        <f>OBRA!S324</f>
        <v>43242</v>
      </c>
      <c r="Q325" s="79">
        <f>OBRA!R324</f>
        <v>247048.85</v>
      </c>
      <c r="R325" s="79"/>
      <c r="S325" s="5">
        <f>OBRA!T324</f>
        <v>43243</v>
      </c>
      <c r="T325" s="11">
        <f>OBRA!U324</f>
        <v>43283</v>
      </c>
      <c r="U325" s="53"/>
      <c r="V325" s="62" t="s">
        <v>1428</v>
      </c>
      <c r="W325" s="587"/>
      <c r="X325" s="1231"/>
      <c r="Y325" s="280">
        <f>OBRA!AR324</f>
        <v>24704.880000000001</v>
      </c>
      <c r="Z325" s="309"/>
      <c r="AA325" s="309"/>
      <c r="AB325" s="5"/>
      <c r="AC325" s="317">
        <f>OBRA!BW324</f>
        <v>0</v>
      </c>
      <c r="AD325" s="352"/>
    </row>
    <row r="326" spans="1:30" ht="171.75" hidden="1" customHeight="1">
      <c r="A326" s="22" t="s">
        <v>2206</v>
      </c>
      <c r="B326" s="809" t="str">
        <f>GRAL!B327</f>
        <v>2015-2018</v>
      </c>
      <c r="C326" s="16">
        <f>OBRA!J325</f>
        <v>2018</v>
      </c>
      <c r="D326" s="17" t="str">
        <f>OBRA!M325</f>
        <v>FONDEREG</v>
      </c>
      <c r="E326" s="707" t="s">
        <v>2047</v>
      </c>
      <c r="F326" s="507"/>
      <c r="G326" s="878"/>
      <c r="H326" s="507"/>
      <c r="I326" s="54" t="str">
        <f>OBRA!W325</f>
        <v>BIRMEK CONSTRUCCIONES S.A. DE C.V.</v>
      </c>
      <c r="J326" s="55" t="str">
        <f>OBRA!X325</f>
        <v>ING. RIGOBERTO OLMEDO RAMOS</v>
      </c>
      <c r="K326" s="33" t="str">
        <f>OBRA!N325</f>
        <v>GMJ 012C OP/2018</v>
      </c>
      <c r="L326" s="2" t="str">
        <f>OBRA!O325</f>
        <v>ADJUDICACIÓN DIRECTA</v>
      </c>
      <c r="M326" s="3" t="str">
        <f>OBRA!P325</f>
        <v>CONSTRUCCION DE ALUMBRADO PUBLICO EN  LA CARRETERA JOCOTEPEC-CHAPALA DE LA CALLE LIBERTAD (NEXTIPAC), HASTA CALLE JUAREZ (CHANTEPEC), 1RA ETAPA EN EL INGRESO ORIENTE, A LA CABECERA MUNICIPAL, DEL MUNICIPIO DE  JOCOTEPEC, JALISCO,</v>
      </c>
      <c r="N326" s="466"/>
      <c r="O326" s="466"/>
      <c r="P326" s="67">
        <f>OBRA!S325</f>
        <v>43304</v>
      </c>
      <c r="Q326" s="79">
        <f>OBRA!R325</f>
        <v>724057.5</v>
      </c>
      <c r="R326" s="79"/>
      <c r="S326" s="5">
        <f>OBRA!T325</f>
        <v>43306</v>
      </c>
      <c r="T326" s="11">
        <f>OBRA!U325</f>
        <v>43342</v>
      </c>
      <c r="U326" s="224"/>
      <c r="V326" s="502" t="s">
        <v>2272</v>
      </c>
      <c r="W326" s="1232"/>
      <c r="X326" s="1231"/>
      <c r="Y326" s="340">
        <f>OBRA!AR325</f>
        <v>144810.44</v>
      </c>
      <c r="Z326" s="309"/>
      <c r="AA326" s="309"/>
      <c r="AB326" s="5"/>
      <c r="AC326" s="317">
        <f>OBRA!BW325</f>
        <v>0</v>
      </c>
      <c r="AD326" s="352" t="s">
        <v>551</v>
      </c>
    </row>
    <row r="327" spans="1:30" ht="15" hidden="1" customHeight="1">
      <c r="A327" s="22" t="s">
        <v>2206</v>
      </c>
      <c r="B327" s="809" t="str">
        <f>GRAL!B328</f>
        <v>2015-2018</v>
      </c>
      <c r="C327" s="16">
        <f>OBRA!J326</f>
        <v>2018</v>
      </c>
      <c r="D327" s="17" t="str">
        <f>OBRA!M326</f>
        <v>FONDEREG</v>
      </c>
      <c r="E327" s="478"/>
      <c r="F327" s="352"/>
      <c r="G327" s="1"/>
      <c r="H327" s="352"/>
      <c r="I327" s="54" t="str">
        <f>OBRA!W326</f>
        <v>ING. SERGIO CABRERA</v>
      </c>
      <c r="J327" s="55" t="str">
        <f>OBRA!X326</f>
        <v>ING. JUAN MANUEL GARCIA ESCOTO</v>
      </c>
      <c r="K327" s="33" t="str">
        <f>OBRA!N326</f>
        <v>GMJ 013C OP/2018</v>
      </c>
      <c r="L327" s="2" t="str">
        <f>OBRA!O326</f>
        <v>POR INVITACION RESTRINGIDA</v>
      </c>
      <c r="M327" s="3" t="str">
        <f>OBRA!P326</f>
        <v>REHABILITACION DE IMAGEN URBANA DE LA CALLE VICENTE GUERRERO EN EL INGRESO PONIENTE A JOCOTEPEC, DE LA CALLE INDEPENDENCIA A LA CALLE PASEO DE LAS ROSAS, EN LA CABECERA MUNICIPAL DEL MUNICIPIO DE JOCOTEPEC, JALISCO</v>
      </c>
      <c r="N327" s="3"/>
      <c r="O327" s="3"/>
      <c r="P327" s="6">
        <f>OBRA!S326</f>
        <v>43240</v>
      </c>
      <c r="Q327" s="4">
        <f>OBRA!R326</f>
        <v>2197542.15</v>
      </c>
      <c r="R327" s="4"/>
      <c r="S327" s="5">
        <f>OBRA!T326</f>
        <v>43248</v>
      </c>
      <c r="T327" s="11">
        <f>OBRA!U326</f>
        <v>43288</v>
      </c>
      <c r="U327" s="53"/>
      <c r="V327" s="377" t="s">
        <v>1428</v>
      </c>
      <c r="W327" s="309"/>
      <c r="X327" s="11"/>
      <c r="Y327" s="280">
        <f>OBRA!AR326</f>
        <v>988893.95</v>
      </c>
      <c r="Z327" s="309"/>
      <c r="AA327" s="309"/>
      <c r="AB327" s="5"/>
      <c r="AC327" s="317">
        <f>OBRA!BW326</f>
        <v>0</v>
      </c>
      <c r="AD327" s="352"/>
    </row>
    <row r="328" spans="1:30" s="104" customFormat="1" ht="15" hidden="1" customHeight="1">
      <c r="A328" s="81" t="s">
        <v>2206</v>
      </c>
      <c r="B328" s="820" t="str">
        <f>GRAL!B329</f>
        <v>2015-2018</v>
      </c>
      <c r="C328" s="82">
        <f>OBRA!J327</f>
        <v>2018</v>
      </c>
      <c r="D328" s="97" t="str">
        <f>OBRA!M327</f>
        <v>Fondo de proyectos para el Desarrollo Regional</v>
      </c>
      <c r="E328" s="479"/>
      <c r="F328" s="354"/>
      <c r="G328" s="96"/>
      <c r="H328" s="354"/>
      <c r="I328" s="151" t="str">
        <f>OBRA!W327</f>
        <v>ING. SERGIO CABRERA</v>
      </c>
      <c r="J328" s="152" t="str">
        <f>OBRA!X327</f>
        <v>ING. J. GUADALUPE IBARRA RAMIREZ</v>
      </c>
      <c r="K328" s="308" t="str">
        <f>OBRA!N327</f>
        <v>GMJ 014C OP/2018</v>
      </c>
      <c r="L328" s="186" t="str">
        <f>OBRA!O327</f>
        <v>CANCELADA</v>
      </c>
      <c r="M328" s="106" t="str">
        <f>OBRA!P327</f>
        <v>CONSTRUCCION DE EMPEDRADO AHOGADO EN CEMENTO, CONSTRUCCION DE HUELLAS DE CONCRETO Y CONSTRUCCION DE GUARNICIÓN DE LA CALLE CUAUHTEMOC, EN LA LOCALIDAD DE POTRERILLOS DEL MUNICIPIO DE JOCOTEPEC, JALISCO.</v>
      </c>
      <c r="N328" s="125"/>
      <c r="O328" s="125"/>
      <c r="P328" s="87">
        <f>OBRA!S327</f>
        <v>43251</v>
      </c>
      <c r="Q328" s="86">
        <f>OBRA!R327</f>
        <v>989000</v>
      </c>
      <c r="R328" s="86"/>
      <c r="S328" s="88">
        <f>OBRA!T327</f>
        <v>43252</v>
      </c>
      <c r="T328" s="89">
        <f>OBRA!U327</f>
        <v>43301</v>
      </c>
      <c r="U328" s="91"/>
      <c r="V328" s="688" t="s">
        <v>1428</v>
      </c>
      <c r="W328" s="311"/>
      <c r="X328" s="89"/>
      <c r="Y328" s="828">
        <f>OBRA!AR327</f>
        <v>346150</v>
      </c>
      <c r="Z328" s="311"/>
      <c r="AA328" s="311"/>
      <c r="AB328" s="88"/>
      <c r="AC328" s="467">
        <f>OBRA!BW327</f>
        <v>0</v>
      </c>
      <c r="AD328" s="354"/>
    </row>
    <row r="329" spans="1:30" ht="132" hidden="1" customHeight="1">
      <c r="A329" s="22" t="s">
        <v>2206</v>
      </c>
      <c r="B329" s="809" t="str">
        <f>GRAL!B330</f>
        <v>2015-2018</v>
      </c>
      <c r="C329" s="16">
        <f>OBRA!J328</f>
        <v>2018</v>
      </c>
      <c r="D329" s="17" t="str">
        <f>OBRA!M328</f>
        <v>RAMO 33</v>
      </c>
      <c r="E329" s="478" t="s">
        <v>1428</v>
      </c>
      <c r="F329" s="507"/>
      <c r="G329" s="878"/>
      <c r="H329" s="507"/>
      <c r="I329" s="54" t="str">
        <f>OBRA!W328</f>
        <v>ING. MACIEL MOZQUEDA GONZALEZ</v>
      </c>
      <c r="J329" s="55" t="str">
        <f>OBRA!X328</f>
        <v>ARQ. CESAR ANTONIO ALONSO JIMENEZ</v>
      </c>
      <c r="K329" s="33" t="str">
        <f>OBRA!N328</f>
        <v>GMJ 015C OP/2018</v>
      </c>
      <c r="L329" s="2" t="str">
        <f>OBRA!O328</f>
        <v>ADJUDICACIÓN DIRECTA</v>
      </c>
      <c r="M329" s="3" t="str">
        <f>OBRA!P328</f>
        <v>REHABILITACION DE LINEA DE DRENAJE EN CALLE CARDENAL DESDE CARRETERA AL PANTEON, CON REPOSICION DE EMPEDRADO NORMAL EN LA LOCALIDAD DE SAN JUAN COSALA, DEL MUNICIPIO DE JOCOTEPEC, JALISCO.</v>
      </c>
      <c r="N329" s="466"/>
      <c r="O329" s="466"/>
      <c r="P329" s="6">
        <f>OBRA!S328</f>
        <v>43255</v>
      </c>
      <c r="Q329" s="4">
        <f>OBRA!R328</f>
        <v>398019.86</v>
      </c>
      <c r="R329" s="4"/>
      <c r="S329" s="5">
        <f>OBRA!T328</f>
        <v>43257</v>
      </c>
      <c r="T329" s="11">
        <f>OBRA!U328</f>
        <v>43322</v>
      </c>
      <c r="U329" s="53"/>
      <c r="V329" s="62" t="s">
        <v>1428</v>
      </c>
      <c r="W329" s="587"/>
      <c r="X329" s="1231"/>
      <c r="Y329" s="340">
        <f>OBRA!AR328</f>
        <v>78541.47</v>
      </c>
      <c r="Z329" s="309"/>
      <c r="AA329" s="309"/>
      <c r="AB329" s="5"/>
      <c r="AC329" s="317">
        <f>OBRA!BW328</f>
        <v>0</v>
      </c>
      <c r="AD329" s="352" t="s">
        <v>551</v>
      </c>
    </row>
    <row r="330" spans="1:30" ht="125.25" hidden="1" customHeight="1">
      <c r="A330" s="22" t="s">
        <v>2206</v>
      </c>
      <c r="B330" s="809" t="str">
        <f>GRAL!B331</f>
        <v>2015-2018</v>
      </c>
      <c r="C330" s="16">
        <f>OBRA!J329</f>
        <v>2018</v>
      </c>
      <c r="D330" s="17" t="str">
        <f>OBRA!M329</f>
        <v>CUENTA CORRIENTE</v>
      </c>
      <c r="E330" s="478" t="s">
        <v>1428</v>
      </c>
      <c r="F330" s="507"/>
      <c r="G330" s="878"/>
      <c r="H330" s="507"/>
      <c r="I330" s="54" t="str">
        <f>OBRA!W329</f>
        <v>C. NORMA GORETY DOMINGUEZ CALVARIO</v>
      </c>
      <c r="J330" s="55" t="str">
        <f>OBRA!X329</f>
        <v>ING. JUAN MANUEL GARCIA ESCOTO</v>
      </c>
      <c r="K330" s="33" t="str">
        <f>OBRA!N329</f>
        <v>GMJ 016C OP/2018</v>
      </c>
      <c r="L330" s="2" t="str">
        <f>OBRA!O329</f>
        <v>ADJUDICACIÓN DIRECTA</v>
      </c>
      <c r="M330" s="3" t="str">
        <f>OBRA!P329</f>
        <v>OBRAS COMPLEMENTARIAS PARA LA CONSTRUCCION DE LA SUPERFICIE DE RODAMIENTO DE LA CALLE MORELOS PONIENTE ENTRE ZARAGOZA Y PANTEON, EN LA CABECERA MUNICIPAL</v>
      </c>
      <c r="N330" s="466"/>
      <c r="O330" s="466"/>
      <c r="P330" s="67">
        <f>OBRA!S329</f>
        <v>43102</v>
      </c>
      <c r="Q330" s="79">
        <f>OBRA!R329</f>
        <v>816694.91</v>
      </c>
      <c r="R330" s="79"/>
      <c r="S330" s="5">
        <f>OBRA!T329</f>
        <v>43104</v>
      </c>
      <c r="T330" s="11">
        <f>OBRA!U329</f>
        <v>43120</v>
      </c>
      <c r="U330" s="53"/>
      <c r="V330" s="62" t="s">
        <v>1428</v>
      </c>
      <c r="W330" s="587"/>
      <c r="X330" s="1231"/>
      <c r="Y330" s="340">
        <f>OBRA!AR329</f>
        <v>162698.40000000002</v>
      </c>
      <c r="Z330" s="309"/>
      <c r="AA330" s="309"/>
      <c r="AB330" s="5"/>
      <c r="AC330" s="317">
        <f>OBRA!BW329</f>
        <v>0</v>
      </c>
      <c r="AD330" s="352" t="s">
        <v>551</v>
      </c>
    </row>
    <row r="331" spans="1:30" ht="117.75" hidden="1" customHeight="1">
      <c r="A331" s="22" t="s">
        <v>2206</v>
      </c>
      <c r="B331" s="809" t="str">
        <f>GRAL!B332</f>
        <v>2015-2018</v>
      </c>
      <c r="C331" s="16">
        <f>OBRA!J330</f>
        <v>2018</v>
      </c>
      <c r="D331" s="17" t="str">
        <f>OBRA!M330</f>
        <v>CUENTA CORRIENTE</v>
      </c>
      <c r="E331" s="478" t="s">
        <v>1428</v>
      </c>
      <c r="F331" s="507"/>
      <c r="G331" s="878"/>
      <c r="H331" s="507"/>
      <c r="I331" s="54" t="str">
        <f>OBRA!W330</f>
        <v>C. JOSÉ MIGUEL GARCIA VALLE</v>
      </c>
      <c r="J331" s="55" t="str">
        <f>OBRA!X330</f>
        <v>ING. JUAN MANUEL GARCIA ESCOTO</v>
      </c>
      <c r="K331" s="33" t="str">
        <f>OBRA!N330</f>
        <v>GMJ 017C OP/2018</v>
      </c>
      <c r="L331" s="2" t="str">
        <f>OBRA!O330</f>
        <v>ADJUDICACIÓN DIRECTA</v>
      </c>
      <c r="M331" s="3" t="str">
        <f>OBRA!P330</f>
        <v>CONSTRUCCION DE MACHUELOS Y BANQUETAS EN LA CALLE MORELOS DE ZARAGOZA AL PANTEON EN LA CABECERA MUNICIPAL, DEL MUNICIPIO DE JOCOTEPEC, JALISCO</v>
      </c>
      <c r="N331" s="466"/>
      <c r="O331" s="466"/>
      <c r="P331" s="67">
        <f>OBRA!S330</f>
        <v>43116</v>
      </c>
      <c r="Q331" s="79">
        <f>OBRA!R330</f>
        <v>1079507.02</v>
      </c>
      <c r="R331" s="79"/>
      <c r="S331" s="5">
        <f>OBRA!T330</f>
        <v>43117</v>
      </c>
      <c r="T331" s="11">
        <f>OBRA!U330</f>
        <v>43155</v>
      </c>
      <c r="U331" s="53"/>
      <c r="V331" s="62" t="s">
        <v>1428</v>
      </c>
      <c r="W331" s="587"/>
      <c r="X331" s="1231"/>
      <c r="Y331" s="340">
        <f>OBRA!AR330</f>
        <v>215901.01</v>
      </c>
      <c r="Z331" s="309"/>
      <c r="AA331" s="309"/>
      <c r="AB331" s="5"/>
      <c r="AC331" s="317">
        <f>OBRA!BW330</f>
        <v>0</v>
      </c>
      <c r="AD331" s="352" t="s">
        <v>551</v>
      </c>
    </row>
    <row r="332" spans="1:30" ht="108" hidden="1" customHeight="1">
      <c r="A332" s="22" t="s">
        <v>2206</v>
      </c>
      <c r="B332" s="809" t="str">
        <f>GRAL!B333</f>
        <v>2015-2018</v>
      </c>
      <c r="C332" s="16">
        <f>OBRA!J331</f>
        <v>2018</v>
      </c>
      <c r="D332" s="17" t="str">
        <f>OBRA!M331</f>
        <v>CUENTA CORRIENTE</v>
      </c>
      <c r="E332" s="478" t="s">
        <v>1428</v>
      </c>
      <c r="F332" s="507"/>
      <c r="G332" s="878"/>
      <c r="H332" s="507"/>
      <c r="I332" s="54" t="str">
        <f>OBRA!W331</f>
        <v>C. NORMA GORETY DOMINGUEZ CALVARIO</v>
      </c>
      <c r="J332" s="55" t="str">
        <f>OBRA!X331</f>
        <v>ING. JUAN MANUEL GARCIA ESCOTO</v>
      </c>
      <c r="K332" s="33" t="str">
        <f>OBRA!N331</f>
        <v>GMJ 018C OP/2018</v>
      </c>
      <c r="L332" s="2" t="str">
        <f>OBRA!O331</f>
        <v>ADJUDICACIÓN DIRECTA</v>
      </c>
      <c r="M332" s="3" t="str">
        <f>OBRA!P331</f>
        <v>REHABILITACION DE IMAGEN URBANA EN CALLE MORELOS PONIENTE ENTRE ZARAGOZA Y PANTEON, EN LA CABECERA MUNICIPAL DEL MUNICIPIO DE JOCOTEPEC, JALISCO</v>
      </c>
      <c r="N332" s="464"/>
      <c r="O332" s="464"/>
      <c r="P332" s="6">
        <f>OBRA!S331</f>
        <v>43123</v>
      </c>
      <c r="Q332" s="4">
        <f>OBRA!R331</f>
        <v>550277.97</v>
      </c>
      <c r="R332" s="4"/>
      <c r="S332" s="5">
        <f>OBRA!T331</f>
        <v>43157</v>
      </c>
      <c r="T332" s="11">
        <f>OBRA!U331</f>
        <v>43169</v>
      </c>
      <c r="U332" s="53"/>
      <c r="V332" s="62" t="s">
        <v>1428</v>
      </c>
      <c r="W332" s="587"/>
      <c r="X332" s="1231"/>
      <c r="Y332" s="340">
        <f>OBRA!AR331</f>
        <v>96019.58</v>
      </c>
      <c r="Z332" s="309"/>
      <c r="AA332" s="309"/>
      <c r="AB332" s="5"/>
      <c r="AC332" s="317">
        <f>OBRA!BW331</f>
        <v>0</v>
      </c>
      <c r="AD332" s="352" t="s">
        <v>551</v>
      </c>
    </row>
    <row r="333" spans="1:30" ht="165.75" hidden="1" customHeight="1">
      <c r="A333" s="22" t="s">
        <v>2206</v>
      </c>
      <c r="B333" s="809" t="str">
        <f>GRAL!B334</f>
        <v>2015-2018</v>
      </c>
      <c r="C333" s="16">
        <f>OBRA!J332</f>
        <v>2018</v>
      </c>
      <c r="D333" s="17" t="str">
        <f>OBRA!M332</f>
        <v>RAMO 33</v>
      </c>
      <c r="E333" s="478" t="s">
        <v>1428</v>
      </c>
      <c r="F333" s="507"/>
      <c r="G333" s="878"/>
      <c r="H333" s="1227"/>
      <c r="I333" s="54" t="str">
        <f>OBRA!W332</f>
        <v>C. NORMA GORETY DOMINGUEZ CALVARIO</v>
      </c>
      <c r="J333" s="55" t="str">
        <f>OBRA!X332</f>
        <v>ING. JUAN MANUEL GARCIA ESCOTO</v>
      </c>
      <c r="K333" s="33" t="str">
        <f>OBRA!N332</f>
        <v>GMJ 019C OP/2018</v>
      </c>
      <c r="L333" s="2" t="str">
        <f>OBRA!O332</f>
        <v>ADJUDICACIÓN DIRECTA</v>
      </c>
      <c r="M333" s="3" t="str">
        <f>OBRA!P332</f>
        <v>REHABILITACION DE LINEA DE AGUA POTABLE EN CALLE MORELOS PONIENTE ENTRE ZARAGOZA Y PANTEON CON REPOSICION DE SUPERFICIE DE RODAMIENTO, (OBRAS COMPLEMENTARIAS) EN LA CABECERA MUNICIPAL, DEL MUNICIPIO DE JOCOTEPEC, JALISCO</v>
      </c>
      <c r="N333" s="466"/>
      <c r="O333" s="466"/>
      <c r="P333" s="67">
        <f>OBRA!S332</f>
        <v>43105</v>
      </c>
      <c r="Q333" s="79">
        <f>OBRA!R332</f>
        <v>35653.230000000003</v>
      </c>
      <c r="R333" s="79"/>
      <c r="S333" s="5">
        <f>OBRA!T332</f>
        <v>43108</v>
      </c>
      <c r="T333" s="11">
        <f>OBRA!U332</f>
        <v>43120</v>
      </c>
      <c r="U333" s="53"/>
      <c r="V333" s="62" t="s">
        <v>1428</v>
      </c>
      <c r="W333" s="587"/>
      <c r="X333" s="1231"/>
      <c r="Y333" s="340">
        <f>OBRA!AR332</f>
        <v>7130.64</v>
      </c>
      <c r="Z333" s="309"/>
      <c r="AA333" s="309"/>
      <c r="AB333" s="5"/>
      <c r="AC333" s="317">
        <f>OBRA!BW332</f>
        <v>0</v>
      </c>
      <c r="AD333" s="352" t="s">
        <v>551</v>
      </c>
    </row>
    <row r="334" spans="1:30" ht="140.25" hidden="1" customHeight="1">
      <c r="A334" s="22" t="s">
        <v>2206</v>
      </c>
      <c r="B334" s="809" t="str">
        <f>GRAL!B335</f>
        <v>2015-2018</v>
      </c>
      <c r="C334" s="16">
        <f>OBRA!J333</f>
        <v>2018</v>
      </c>
      <c r="D334" s="17" t="str">
        <f>OBRA!M333</f>
        <v>RAMO 33</v>
      </c>
      <c r="E334" s="478" t="s">
        <v>1428</v>
      </c>
      <c r="F334" s="507"/>
      <c r="G334" s="878"/>
      <c r="H334" s="507"/>
      <c r="I334" s="54" t="str">
        <f>OBRA!W333</f>
        <v>C. JOSÉ MIGUEL GARCIA VALLE</v>
      </c>
      <c r="J334" s="55" t="str">
        <f>OBRA!X333</f>
        <v>ARQ. JAIME CONDE GOMEZ</v>
      </c>
      <c r="K334" s="33" t="str">
        <f>OBRA!N333</f>
        <v>GMJ 020C OP/2018</v>
      </c>
      <c r="L334" s="2" t="str">
        <f>OBRA!O333</f>
        <v>ADJUDICACIÓN DIRECTA</v>
      </c>
      <c r="M334" s="3" t="str">
        <f>OBRA!P333</f>
        <v>REHABILITACION DE LINEA DE ABASTECIMIENTO DE AGUA POTABLE DE 8" EN LA CALLE VICENTE GUERRERO ENTRE CARRETERA E HIDALGO EN LA LOCALIDAD DE SAN JUAN COSALA DEL MUNICIPIO DE JOCOTEPEC, JALISCO</v>
      </c>
      <c r="N334" s="466"/>
      <c r="O334" s="466"/>
      <c r="P334" s="67">
        <f>OBRA!S333</f>
        <v>43258</v>
      </c>
      <c r="Q334" s="79">
        <f>OBRA!R333</f>
        <v>142196.43</v>
      </c>
      <c r="R334" s="79"/>
      <c r="S334" s="5">
        <f>OBRA!T333</f>
        <v>43258</v>
      </c>
      <c r="T334" s="11">
        <f>OBRA!U333</f>
        <v>43287</v>
      </c>
      <c r="U334" s="53"/>
      <c r="V334" s="62" t="s">
        <v>1428</v>
      </c>
      <c r="W334" s="587"/>
      <c r="X334" s="1231"/>
      <c r="Y334" s="340">
        <f>OBRA!AR333</f>
        <v>28439.279999999999</v>
      </c>
      <c r="Z334" s="309"/>
      <c r="AA334" s="309"/>
      <c r="AB334" s="5"/>
      <c r="AC334" s="317">
        <f>OBRA!BW333</f>
        <v>0</v>
      </c>
      <c r="AD334" s="352" t="s">
        <v>551</v>
      </c>
    </row>
    <row r="335" spans="1:30" ht="110.25" hidden="1" customHeight="1">
      <c r="A335" s="22" t="s">
        <v>2206</v>
      </c>
      <c r="B335" s="809" t="str">
        <f>GRAL!B336</f>
        <v>2015-2018</v>
      </c>
      <c r="C335" s="16">
        <f>OBRA!J334</f>
        <v>2018</v>
      </c>
      <c r="D335" s="17" t="str">
        <f>OBRA!M334</f>
        <v>RAMO 33</v>
      </c>
      <c r="E335" s="478" t="s">
        <v>1428</v>
      </c>
      <c r="F335" s="507"/>
      <c r="G335" s="878"/>
      <c r="H335" s="507"/>
      <c r="I335" s="54" t="str">
        <f>OBRA!W334</f>
        <v>C. JOSÉ MIGUEL GARCIA VALLE</v>
      </c>
      <c r="J335" s="55" t="str">
        <f>OBRA!X334</f>
        <v>LIC. SALVADOR CONTRERAS OLGUÍN</v>
      </c>
      <c r="K335" s="33" t="str">
        <f>OBRA!N334</f>
        <v>GMJ 021C OP/2018</v>
      </c>
      <c r="L335" s="2" t="str">
        <f>OBRA!O334</f>
        <v>ADJUDICACIÓN DIRECTA</v>
      </c>
      <c r="M335" s="3" t="str">
        <f>OBRA!P334</f>
        <v>REHABILITACION DE LINEA DE AGUA POTABLE EN CALLE INDEPENDENCIA EN LA LOCALIDAD DE SAN JUAN COSALA DEL MUNICIPIO DE JOCOTEPEC, JALISCO.</v>
      </c>
      <c r="N335" s="466"/>
      <c r="O335" s="466"/>
      <c r="P335" s="6">
        <f>OBRA!S334</f>
        <v>43258</v>
      </c>
      <c r="Q335" s="4">
        <f>OBRA!R334</f>
        <v>32872.07</v>
      </c>
      <c r="R335" s="4"/>
      <c r="S335" s="5">
        <f>OBRA!T334</f>
        <v>43262</v>
      </c>
      <c r="T335" s="11">
        <f>OBRA!U334</f>
        <v>43267</v>
      </c>
      <c r="U335" s="53"/>
      <c r="V335" s="377" t="s">
        <v>1428</v>
      </c>
      <c r="W335" s="507"/>
      <c r="X335" s="507"/>
      <c r="Y335" s="861">
        <f>OBRA!AR334</f>
        <v>6574.41</v>
      </c>
      <c r="Z335" s="309"/>
      <c r="AA335" s="309"/>
      <c r="AB335" s="5"/>
      <c r="AC335" s="317">
        <f>OBRA!BW334</f>
        <v>0</v>
      </c>
      <c r="AD335" s="352"/>
    </row>
    <row r="336" spans="1:30" ht="150" hidden="1" customHeight="1">
      <c r="A336" s="22" t="s">
        <v>2206</v>
      </c>
      <c r="B336" s="809" t="str">
        <f>GRAL!B337</f>
        <v>2015-2018</v>
      </c>
      <c r="C336" s="16">
        <f>OBRA!J335</f>
        <v>2018</v>
      </c>
      <c r="D336" s="17" t="str">
        <f>OBRA!M335</f>
        <v>CUENTA CORRIENTE</v>
      </c>
      <c r="E336" s="478" t="s">
        <v>1428</v>
      </c>
      <c r="F336" s="163"/>
      <c r="G336" s="878"/>
      <c r="H336" s="163"/>
      <c r="I336" s="54" t="str">
        <f>OBRA!W335</f>
        <v xml:space="preserve">GRUPO DESARROLLADOR INMOBILIARIO CEMERAMA S.A. DE C.V. </v>
      </c>
      <c r="J336" s="55" t="str">
        <f>OBRA!X335</f>
        <v>ING. JUAN MANUEL GARCIA ESCOTO</v>
      </c>
      <c r="K336" s="33" t="str">
        <f>OBRA!N335</f>
        <v>GMJ 022C OP/2018</v>
      </c>
      <c r="L336" s="2" t="str">
        <f>OBRA!O335</f>
        <v>ADJUDICACIÓN DIRECTA</v>
      </c>
      <c r="M336" s="3" t="str">
        <f>OBRA!P335</f>
        <v>OBRAS COMPLEMENTARIAS EN LA CALLE DONATO GUERRA DE CALLE HIDALGO A CALLE INDEPENDENCIA (URBANIZACIÓN, AGUA POTABLE Y DRENAJE), EN LA CABECERA MUNICIPAL DEL MUNICIPIO DE JOCOTEPEC, JALISCO</v>
      </c>
      <c r="N336" s="466"/>
      <c r="O336" s="466"/>
      <c r="P336" s="6">
        <f>OBRA!S335</f>
        <v>43274</v>
      </c>
      <c r="Q336" s="4">
        <f>OBRA!R335</f>
        <v>243028.37</v>
      </c>
      <c r="R336" s="4"/>
      <c r="S336" s="5">
        <f>OBRA!T335</f>
        <v>43274</v>
      </c>
      <c r="T336" s="11">
        <f>OBRA!U335</f>
        <v>43304</v>
      </c>
      <c r="U336" s="53"/>
      <c r="V336" s="377" t="s">
        <v>1428</v>
      </c>
      <c r="W336" s="535"/>
      <c r="X336" s="1231"/>
      <c r="Y336" s="340">
        <f>OBRA!AR335</f>
        <v>48605.66</v>
      </c>
      <c r="Z336" s="309"/>
      <c r="AA336" s="309"/>
      <c r="AB336" s="5"/>
      <c r="AC336" s="317">
        <f>OBRA!BW335</f>
        <v>0</v>
      </c>
      <c r="AD336" s="352"/>
    </row>
    <row r="337" spans="1:30" ht="198.75" hidden="1" customHeight="1">
      <c r="A337" s="22" t="s">
        <v>2206</v>
      </c>
      <c r="B337" s="809" t="str">
        <f>GRAL!B338</f>
        <v>2015-2018</v>
      </c>
      <c r="C337" s="16">
        <f>OBRA!J336</f>
        <v>2018</v>
      </c>
      <c r="D337" s="17" t="str">
        <f>OBRA!M336</f>
        <v>CUENTA CORRIENTE</v>
      </c>
      <c r="E337" s="478" t="s">
        <v>1428</v>
      </c>
      <c r="F337" s="507"/>
      <c r="G337" s="878"/>
      <c r="H337" s="163"/>
      <c r="I337" s="54" t="str">
        <f>OBRA!W336</f>
        <v xml:space="preserve">DRABSA CONSTRUCTORA S.A. DE C.V. </v>
      </c>
      <c r="J337" s="55" t="str">
        <f>OBRA!X336</f>
        <v>ING. JUAN MANUEL GARCIA ESCOTO</v>
      </c>
      <c r="K337" s="33" t="str">
        <f>OBRA!N336</f>
        <v>GMJ 023C OP/2018</v>
      </c>
      <c r="L337" s="2" t="str">
        <f>OBRA!O336</f>
        <v>ADJUDICACIÓN DIRECTA</v>
      </c>
      <c r="M337" s="3" t="str">
        <f>OBRA!P336</f>
        <v>CONSTRUCCION DE EMPEDRADO AHOGADO EN CEMENTO CON HUELLA DE ADOQUIN, BANQUETAS Y GUARNICIONES, EN CALLE RAMON CORONA 2DA. ETAPA(DEL CRUCE DEL CALLEJON RAMON CORONA AL PANTEON), EN LA LOCALIDAD DE SAN CRISTOBAL ZAPOTITLAN, DEL MUNICIPIO DE JOCOTEPEC, JALISCO</v>
      </c>
      <c r="N337" s="464"/>
      <c r="O337" s="464"/>
      <c r="P337" s="6">
        <f>OBRA!S336</f>
        <v>43300</v>
      </c>
      <c r="Q337" s="4">
        <f>OBRA!R336</f>
        <v>1099823.45</v>
      </c>
      <c r="R337" s="4"/>
      <c r="S337" s="5">
        <f>OBRA!T336</f>
        <v>43300</v>
      </c>
      <c r="T337" s="11">
        <f>OBRA!U336</f>
        <v>43364</v>
      </c>
      <c r="U337" s="53"/>
      <c r="V337" s="62" t="s">
        <v>1428</v>
      </c>
      <c r="W337" s="587"/>
      <c r="X337" s="1231"/>
      <c r="Y337" s="340">
        <f>OBRA!AR336</f>
        <v>384938.19999999995</v>
      </c>
      <c r="Z337" s="309"/>
      <c r="AA337" s="309"/>
      <c r="AB337" s="5"/>
      <c r="AC337" s="317">
        <f>OBRA!BW336</f>
        <v>0</v>
      </c>
      <c r="AD337" s="352"/>
    </row>
    <row r="338" spans="1:30" ht="15" hidden="1" customHeight="1">
      <c r="A338" s="22" t="s">
        <v>2206</v>
      </c>
      <c r="B338" s="809" t="str">
        <f>GRAL!B339</f>
        <v>2015-2018</v>
      </c>
      <c r="C338" s="16">
        <f>OBRA!J337</f>
        <v>2018</v>
      </c>
      <c r="D338" s="17" t="str">
        <f>OBRA!M337</f>
        <v>FOCOCI</v>
      </c>
      <c r="E338" s="478"/>
      <c r="F338" s="352"/>
      <c r="G338" s="1"/>
      <c r="H338" s="352"/>
      <c r="I338" s="54" t="str">
        <f>OBRA!W337</f>
        <v>DRABSA CONSTRUCTORA S.A. DE C.V.</v>
      </c>
      <c r="J338" s="55" t="str">
        <f>OBRA!X337</f>
        <v>ING. RIGOBERTO OLMEDO RAMOS</v>
      </c>
      <c r="K338" s="19" t="str">
        <f>OBRA!N337</f>
        <v>GMJ 024C OP/2018</v>
      </c>
      <c r="L338" s="2" t="str">
        <f>OBRA!O337</f>
        <v>POR INVITACION RESTRINGIDA</v>
      </c>
      <c r="M338" s="3" t="str">
        <f>OBRA!P337</f>
        <v>REHABILITACION DE IMAGEN URBANA DE CALLE HIDALGO SUR, ENTRE VICENTE GUERRERO Y DONATO GUERRA EN LA CABECERA MUNICIPAL,DEL MUNICIPIO DE JOCOTEPEC, JALISCO</v>
      </c>
      <c r="N338" s="3"/>
      <c r="O338" s="3"/>
      <c r="P338" s="6">
        <f>OBRA!S337</f>
        <v>43307</v>
      </c>
      <c r="Q338" s="4">
        <f>OBRA!R337</f>
        <v>2940000</v>
      </c>
      <c r="R338" s="4"/>
      <c r="S338" s="5">
        <f>OBRA!T337</f>
        <v>43311</v>
      </c>
      <c r="T338" s="11">
        <f>OBRA!U337</f>
        <v>43373</v>
      </c>
      <c r="U338" s="53"/>
      <c r="V338" s="377" t="s">
        <v>1428</v>
      </c>
      <c r="W338" s="309"/>
      <c r="X338" s="11"/>
      <c r="Y338" s="279">
        <f>OBRA!AR337</f>
        <v>1029000</v>
      </c>
      <c r="Z338" s="309"/>
      <c r="AA338" s="309"/>
      <c r="AB338" s="5"/>
      <c r="AC338" s="317">
        <f>OBRA!BW337</f>
        <v>0</v>
      </c>
      <c r="AD338" s="352"/>
    </row>
    <row r="339" spans="1:30" ht="84" hidden="1" customHeight="1">
      <c r="A339" s="22" t="s">
        <v>2206</v>
      </c>
      <c r="B339" s="809" t="str">
        <f>GRAL!B340</f>
        <v>2015-2018</v>
      </c>
      <c r="C339" s="16">
        <f>OBRA!J338</f>
        <v>2018</v>
      </c>
      <c r="D339" s="17" t="str">
        <f>OBRA!M338</f>
        <v>RAMO 33</v>
      </c>
      <c r="E339" s="478" t="s">
        <v>1428</v>
      </c>
      <c r="F339" s="507"/>
      <c r="G339" s="878"/>
      <c r="H339" s="507"/>
      <c r="I339" s="54" t="str">
        <f>OBRA!W338</f>
        <v>BIRMEK CONSTRUCCIONES S.A. DE C.V.</v>
      </c>
      <c r="J339" s="55" t="str">
        <f>OBRA!X338</f>
        <v>ING. LUIS RIGOBERTO OLMEDO NAVARRO</v>
      </c>
      <c r="K339" s="33" t="str">
        <f>OBRA!N338</f>
        <v>GMJ 025C OP/2018</v>
      </c>
      <c r="L339" s="2" t="str">
        <f>OBRA!O338</f>
        <v>ADJUDICACIÓN DIRECTA</v>
      </c>
      <c r="M339" s="3" t="str">
        <f>OBRA!P338</f>
        <v>ELECTRIFICACION DE POZO DE PROFUNDO EL DOMINGUILLO EN LA LOCALIDAD DE SAN JUAN COSALA, DEL MUNICIPIO DE JOCOTEPEC, JALISCO</v>
      </c>
      <c r="N339" s="466"/>
      <c r="O339" s="466"/>
      <c r="P339" s="6">
        <f>OBRA!S338</f>
        <v>43326</v>
      </c>
      <c r="Q339" s="4">
        <f>OBRA!R338</f>
        <v>452456.16</v>
      </c>
      <c r="R339" s="4"/>
      <c r="S339" s="5">
        <f>OBRA!T338</f>
        <v>43326</v>
      </c>
      <c r="T339" s="11">
        <f>OBRA!U338</f>
        <v>43357</v>
      </c>
      <c r="U339" s="53"/>
      <c r="V339" s="377" t="s">
        <v>1428</v>
      </c>
      <c r="W339" s="867"/>
      <c r="X339" s="1233"/>
      <c r="Y339" s="861">
        <f>OBRA!AR338</f>
        <v>90491.24</v>
      </c>
      <c r="Z339" s="309"/>
      <c r="AA339" s="309"/>
      <c r="AB339" s="5"/>
      <c r="AC339" s="317">
        <f>OBRA!BW338</f>
        <v>0</v>
      </c>
      <c r="AD339" s="352" t="s">
        <v>551</v>
      </c>
    </row>
    <row r="340" spans="1:30" ht="82.5" hidden="1" customHeight="1">
      <c r="A340" s="22" t="s">
        <v>2206</v>
      </c>
      <c r="B340" s="809" t="str">
        <f>GRAL!B341</f>
        <v>2015-2018</v>
      </c>
      <c r="C340" s="16">
        <f>OBRA!J339</f>
        <v>2018</v>
      </c>
      <c r="D340" s="17" t="str">
        <f>OBRA!M339</f>
        <v>RAMO 33</v>
      </c>
      <c r="E340" s="478" t="s">
        <v>1428</v>
      </c>
      <c r="F340" s="507"/>
      <c r="G340" s="878"/>
      <c r="H340" s="507"/>
      <c r="I340" s="54" t="str">
        <f>OBRA!W339</f>
        <v xml:space="preserve">OBRAS Y EQUIPAMIENTOS HIDRAULICOS S.A. DE C.V. </v>
      </c>
      <c r="J340" s="55" t="str">
        <f>OBRA!X339</f>
        <v>ING. LUIS RIGOBERTO OLMEDO NAVARRO</v>
      </c>
      <c r="K340" s="33" t="str">
        <f>OBRA!N339</f>
        <v>GMJ 026C OP/2018</v>
      </c>
      <c r="L340" s="2" t="str">
        <f>OBRA!O339</f>
        <v>ADJUDICACIÓN DIRECTA</v>
      </c>
      <c r="M340" s="3" t="str">
        <f>OBRA!P339</f>
        <v>EQUIPAMIENTO  DE POZO PROFUNDO EL DOMINGUILLO EN LA LOCALIDAD DE SAN JUAN COSALA, DEL MUNICIPIO DE JOCOTEPEC, JALISCO</v>
      </c>
      <c r="N340" s="466"/>
      <c r="O340" s="466"/>
      <c r="P340" s="6">
        <f>OBRA!S339</f>
        <v>43326</v>
      </c>
      <c r="Q340" s="4">
        <f>OBRA!R339</f>
        <v>412725.64</v>
      </c>
      <c r="R340" s="4"/>
      <c r="S340" s="5">
        <f>OBRA!T339</f>
        <v>43326</v>
      </c>
      <c r="T340" s="11">
        <f>OBRA!U339</f>
        <v>43357</v>
      </c>
      <c r="U340" s="53"/>
      <c r="V340" s="377" t="s">
        <v>1428</v>
      </c>
      <c r="W340" s="867"/>
      <c r="X340" s="1233"/>
      <c r="Y340" s="861">
        <f>OBRA!AR339</f>
        <v>41242.559999999998</v>
      </c>
      <c r="Z340" s="309"/>
      <c r="AA340" s="309"/>
      <c r="AB340" s="5"/>
      <c r="AC340" s="317">
        <f>OBRA!BW339</f>
        <v>0</v>
      </c>
      <c r="AD340" s="352" t="s">
        <v>551</v>
      </c>
    </row>
    <row r="341" spans="1:30" ht="144" hidden="1" customHeight="1">
      <c r="A341" s="22" t="s">
        <v>2206</v>
      </c>
      <c r="B341" s="809" t="str">
        <f>GRAL!B342</f>
        <v>2015-2018</v>
      </c>
      <c r="C341" s="16">
        <f>OBRA!J340</f>
        <v>2018</v>
      </c>
      <c r="D341" s="17" t="str">
        <f>OBRA!M340</f>
        <v>RAMO 33</v>
      </c>
      <c r="E341" s="478" t="s">
        <v>1428</v>
      </c>
      <c r="F341" s="507"/>
      <c r="G341" s="878"/>
      <c r="H341" s="507"/>
      <c r="I341" s="54" t="str">
        <f>OBRA!W340</f>
        <v>BRAILOGA CONSTRUCTORES S.A. DE C.V.</v>
      </c>
      <c r="J341" s="55" t="str">
        <f>OBRA!X340</f>
        <v>ARQ. CESAR ANTONIO ALONSO JIMENEZ</v>
      </c>
      <c r="K341" s="33" t="str">
        <f>OBRA!N340</f>
        <v>GMJ 027C OP/2018</v>
      </c>
      <c r="L341" s="2" t="str">
        <f>OBRA!O340</f>
        <v>ADJUDICACIÓN DIRECTA</v>
      </c>
      <c r="M341" s="3" t="str">
        <f>OBRA!P340</f>
        <v>REHABILITACION DE LINEA DE DRENAJE EN CALLE XOCHILT DE CARRETERA A C. CUAUHTEMOC, PRIMERA ETAPA CON REPOSICION DE SUPERFICIE DE RODAMIENO EN LA LOCALIDAD DE CHANTEPEC, DEL MUNICIPIO DE JOCOTEPEC, JALISCO</v>
      </c>
      <c r="N341" s="466"/>
      <c r="O341" s="466"/>
      <c r="P341" s="6">
        <f>OBRA!S340</f>
        <v>43326</v>
      </c>
      <c r="Q341" s="4">
        <f>OBRA!R340</f>
        <v>732027.5</v>
      </c>
      <c r="R341" s="4"/>
      <c r="S341" s="5">
        <f>OBRA!T340</f>
        <v>43326</v>
      </c>
      <c r="T341" s="11">
        <f>OBRA!U340</f>
        <v>43348</v>
      </c>
      <c r="U341" s="53"/>
      <c r="V341" s="377" t="s">
        <v>1428</v>
      </c>
      <c r="W341" s="867"/>
      <c r="X341" s="1228"/>
      <c r="Y341" s="340">
        <f>OBRA!AR340</f>
        <v>327920.73</v>
      </c>
      <c r="Z341" s="309"/>
      <c r="AA341" s="309"/>
      <c r="AB341" s="5"/>
      <c r="AC341" s="317">
        <f>OBRA!BW340</f>
        <v>0</v>
      </c>
      <c r="AD341" s="352" t="s">
        <v>551</v>
      </c>
    </row>
    <row r="342" spans="1:30" ht="105.75" hidden="1" customHeight="1">
      <c r="A342" s="22" t="s">
        <v>2206</v>
      </c>
      <c r="B342" s="809" t="str">
        <f>GRAL!B343</f>
        <v>2015-2018</v>
      </c>
      <c r="C342" s="16">
        <f>OBRA!J341</f>
        <v>2018</v>
      </c>
      <c r="D342" s="17" t="str">
        <f>OBRA!M341</f>
        <v>RAMO 33</v>
      </c>
      <c r="E342" s="478" t="s">
        <v>1428</v>
      </c>
      <c r="F342" s="507"/>
      <c r="G342" s="878"/>
      <c r="H342" s="507"/>
      <c r="I342" s="54" t="str">
        <f>OBRA!W341</f>
        <v xml:space="preserve">GRUPO DESARROLLADOR INMOBILIARIO CEMERAMA S.A. DE C.V. </v>
      </c>
      <c r="J342" s="55" t="str">
        <f>OBRA!X341</f>
        <v>LIC. SALVADOR CONTRERAS OLGUÍN</v>
      </c>
      <c r="K342" s="33" t="str">
        <f>OBRA!N341</f>
        <v>GMJ 028C OP/2018</v>
      </c>
      <c r="L342" s="2" t="str">
        <f>OBRA!O341</f>
        <v>ADJUDICACIÓN DIRECTA</v>
      </c>
      <c r="M342" s="3" t="str">
        <f>OBRA!P341</f>
        <v>CONSTRUCCION DE CASETA DE CONTROL Y CLORACIÓN EN EL POZO EL DOMINGUILLO EN LA LOCALIDAD DE SAN JUAN COSALA, DEL MUNICIPIO DE JOCOTEPEC, JALISCO</v>
      </c>
      <c r="N342" s="466"/>
      <c r="O342" s="466"/>
      <c r="P342" s="67">
        <f>OBRA!S341</f>
        <v>43326</v>
      </c>
      <c r="Q342" s="79">
        <f>OBRA!R341</f>
        <v>87399.62</v>
      </c>
      <c r="R342" s="79"/>
      <c r="S342" s="5">
        <f>OBRA!T341</f>
        <v>43333</v>
      </c>
      <c r="T342" s="11">
        <f>OBRA!U341</f>
        <v>43358</v>
      </c>
      <c r="U342" s="53"/>
      <c r="V342" s="62" t="s">
        <v>1428</v>
      </c>
      <c r="W342" s="507"/>
      <c r="X342" s="1229"/>
      <c r="Y342" s="340">
        <f>OBRA!AR341</f>
        <v>17479.919999999998</v>
      </c>
      <c r="Z342" s="309"/>
      <c r="AA342" s="309"/>
      <c r="AB342" s="5"/>
      <c r="AC342" s="317">
        <f>OBRA!BW341</f>
        <v>0</v>
      </c>
      <c r="AD342" s="352" t="s">
        <v>551</v>
      </c>
    </row>
    <row r="343" spans="1:30" ht="162.75" hidden="1" customHeight="1">
      <c r="A343" s="22" t="s">
        <v>2206</v>
      </c>
      <c r="B343" s="809" t="str">
        <f>GRAL!B344</f>
        <v>2015-2018</v>
      </c>
      <c r="C343" s="16">
        <f>OBRA!J342</f>
        <v>2018</v>
      </c>
      <c r="D343" s="17" t="str">
        <f>OBRA!M342</f>
        <v>RAMO 33</v>
      </c>
      <c r="E343" s="478" t="s">
        <v>1428</v>
      </c>
      <c r="F343" s="507"/>
      <c r="G343" s="878"/>
      <c r="H343" s="507"/>
      <c r="I343" s="54" t="str">
        <f>OBRA!W342</f>
        <v>BRAILOGA CONSTRUCTORES S.A. DE C.V.</v>
      </c>
      <c r="J343" s="55" t="str">
        <f>OBRA!X342</f>
        <v>ARQ. CESAR ANTONIO ALONSO JIMENEZ</v>
      </c>
      <c r="K343" s="33" t="str">
        <f>OBRA!N342</f>
        <v>GMJ 029C OP/2018</v>
      </c>
      <c r="L343" s="2" t="str">
        <f>OBRA!O342</f>
        <v>ADJUDICACIÓN DIRECTA</v>
      </c>
      <c r="M343" s="3" t="str">
        <f>OBRA!P342</f>
        <v>REHABILITACION DE LINEA DE ABASTECIMIENTO DE AGUA POTABLE DE 4" EN CALLE XOCHILT DE CARRETERA A C. CUAUHTEMOC, PRIMERA ETAPA CON REPOSICION DE SUPERFICIE DE RODAMIENTO EN LA LOCALIDAD DE CHANTEPEC, DEL MUNICIPIO DE JOCOTEPEC, JALISCO</v>
      </c>
      <c r="N343" s="466"/>
      <c r="O343" s="466"/>
      <c r="P343" s="6">
        <f>OBRA!S342</f>
        <v>43346</v>
      </c>
      <c r="Q343" s="4">
        <f>OBRA!R342</f>
        <v>458709.95</v>
      </c>
      <c r="R343" s="4"/>
      <c r="S343" s="5">
        <f>OBRA!T342</f>
        <v>43349</v>
      </c>
      <c r="T343" s="11">
        <f>OBRA!U342</f>
        <v>43367</v>
      </c>
      <c r="U343" s="53"/>
      <c r="V343" s="377" t="s">
        <v>1428</v>
      </c>
      <c r="W343" s="867"/>
      <c r="X343" s="1228"/>
      <c r="Y343" s="340">
        <f>OBRA!AR342</f>
        <v>207461.57</v>
      </c>
      <c r="Z343" s="309"/>
      <c r="AA343" s="309"/>
      <c r="AB343" s="5"/>
      <c r="AC343" s="317">
        <f>OBRA!BW342</f>
        <v>0</v>
      </c>
      <c r="AD343" s="352" t="s">
        <v>551</v>
      </c>
    </row>
    <row r="344" spans="1:30" ht="151.5" hidden="1" customHeight="1">
      <c r="A344" s="22" t="s">
        <v>2206</v>
      </c>
      <c r="B344" s="809" t="str">
        <f>GRAL!B345</f>
        <v>2015-2018</v>
      </c>
      <c r="C344" s="16">
        <f>OBRA!J343</f>
        <v>2018</v>
      </c>
      <c r="D344" s="17" t="str">
        <f>OBRA!M343</f>
        <v>RAMO 33</v>
      </c>
      <c r="E344" s="478" t="s">
        <v>1428</v>
      </c>
      <c r="F344" s="507"/>
      <c r="G344" s="878"/>
      <c r="H344" s="507"/>
      <c r="I344" s="54" t="str">
        <f>OBRA!W343</f>
        <v>C. JOSÉ MIGUEL GARCIA VALLE</v>
      </c>
      <c r="J344" s="55" t="str">
        <f>OBRA!X343</f>
        <v>ARQ. CESAR ANTONIO ALONSO JIMENEZ</v>
      </c>
      <c r="K344" s="33" t="str">
        <f>OBRA!N343</f>
        <v>GMJ 030C OP/2018</v>
      </c>
      <c r="L344" s="2" t="str">
        <f>OBRA!O343</f>
        <v>ADJUDICACIÓN DIRECTA</v>
      </c>
      <c r="M344" s="3" t="str">
        <f>OBRA!P343</f>
        <v>REHABILITACION DE LINEA DE AGUA POTABLE EN CALLE XOCHILT DE CARRETERA A CALLE CUAUHTEMOC, PRIMERA ETAPA CON REPOSICION DE SUPERFICIE DE RODAMIENTO LA LOCALIDAD DE CHANTEPEC, DEL MUNICIPIO DE JOCOTPEC, JALISCO</v>
      </c>
      <c r="N344" s="466"/>
      <c r="O344" s="466"/>
      <c r="P344" s="6">
        <f>OBRA!S343</f>
        <v>43326</v>
      </c>
      <c r="Q344" s="4">
        <f>OBRA!R343</f>
        <v>615855.56999999995</v>
      </c>
      <c r="R344" s="4"/>
      <c r="S344" s="5">
        <f>OBRA!T343</f>
        <v>43326</v>
      </c>
      <c r="T344" s="11">
        <f>OBRA!U343</f>
        <v>43348</v>
      </c>
      <c r="U344" s="53"/>
      <c r="V344" s="377" t="s">
        <v>1428</v>
      </c>
      <c r="W344" s="867"/>
      <c r="X344" s="1233"/>
      <c r="Y344" s="861">
        <f>OBRA!AR343</f>
        <v>277684.53000000003</v>
      </c>
      <c r="Z344" s="309"/>
      <c r="AA344" s="309"/>
      <c r="AB344" s="5"/>
      <c r="AC344" s="317">
        <f>OBRA!BW343</f>
        <v>0</v>
      </c>
      <c r="AD344" s="352" t="s">
        <v>551</v>
      </c>
    </row>
    <row r="345" spans="1:30" ht="153.75" hidden="1" customHeight="1">
      <c r="A345" s="22" t="s">
        <v>2206</v>
      </c>
      <c r="B345" s="809" t="str">
        <f>GRAL!B346</f>
        <v>2015-2018</v>
      </c>
      <c r="C345" s="16">
        <f>OBRA!J344</f>
        <v>2018</v>
      </c>
      <c r="D345" s="17" t="str">
        <f>OBRA!M344</f>
        <v>RAMO 33</v>
      </c>
      <c r="E345" s="478" t="s">
        <v>1428</v>
      </c>
      <c r="F345" s="507"/>
      <c r="G345" s="878"/>
      <c r="H345" s="163"/>
      <c r="I345" s="54" t="str">
        <f>OBRA!W344</f>
        <v>C. NORMA GORETY DOMINGUEZ CALVARIO</v>
      </c>
      <c r="J345" s="55" t="str">
        <f>OBRA!X344</f>
        <v>ING. JUAN MANUEL GARCIA ESCOTO</v>
      </c>
      <c r="K345" s="33" t="str">
        <f>OBRA!N344</f>
        <v>GMJ 031C OP/2018</v>
      </c>
      <c r="L345" s="2" t="str">
        <f>OBRA!O344</f>
        <v>ADJUDICACIÓN DIRECTA</v>
      </c>
      <c r="M345" s="3" t="str">
        <f>OBRA!P344</f>
        <v>REHABILITACION DE LINEA DE AGUA POTABLE EN CALLE CHURUBUSCO ENTRE CHAPULTEPEC Y CERRADA CON REPOSICION DE EMPEDRADO EXISTENTE EN LA LOCALIDAD DE LA LOMA DEL MUNICIPIO DE JOCOTEPEC, JALISCO</v>
      </c>
      <c r="N345" s="466"/>
      <c r="O345" s="466"/>
      <c r="P345" s="6">
        <f>OBRA!S344</f>
        <v>43320</v>
      </c>
      <c r="Q345" s="4">
        <f>OBRA!R344</f>
        <v>413195.74</v>
      </c>
      <c r="R345" s="4"/>
      <c r="S345" s="5">
        <f>OBRA!T344</f>
        <v>43322</v>
      </c>
      <c r="T345" s="11">
        <f>OBRA!U344</f>
        <v>43341</v>
      </c>
      <c r="U345" s="53"/>
      <c r="V345" s="377" t="s">
        <v>1428</v>
      </c>
      <c r="W345" s="867"/>
      <c r="X345" s="1228"/>
      <c r="Y345" s="340">
        <f>OBRA!AR344</f>
        <v>82552.760000000009</v>
      </c>
      <c r="Z345" s="309"/>
      <c r="AA345" s="309"/>
      <c r="AB345" s="5"/>
      <c r="AC345" s="317">
        <f>OBRA!BW344</f>
        <v>0</v>
      </c>
      <c r="AD345" s="352"/>
    </row>
    <row r="346" spans="1:30" ht="120" hidden="1" customHeight="1">
      <c r="A346" s="22" t="s">
        <v>2206</v>
      </c>
      <c r="B346" s="809" t="str">
        <f>GRAL!B347</f>
        <v>2015-2018</v>
      </c>
      <c r="C346" s="16">
        <f>OBRA!J345</f>
        <v>2018</v>
      </c>
      <c r="D346" s="17" t="str">
        <f>OBRA!M345</f>
        <v>RAMO 33</v>
      </c>
      <c r="E346" s="478" t="s">
        <v>1428</v>
      </c>
      <c r="F346" s="163"/>
      <c r="G346" s="878"/>
      <c r="H346" s="163"/>
      <c r="I346" s="54" t="str">
        <f>OBRA!W345</f>
        <v>ING. SERGIO CABRERA</v>
      </c>
      <c r="J346" s="55" t="str">
        <f>OBRA!X345</f>
        <v>ING. JUAN MANUEL GARCIA ESCOTO</v>
      </c>
      <c r="K346" s="33" t="str">
        <f>OBRA!N345</f>
        <v>GMJ 032C OP/2018</v>
      </c>
      <c r="L346" s="2" t="str">
        <f>OBRA!O345</f>
        <v>ADJUDICACIÓN DIRECTA</v>
      </c>
      <c r="M346" s="3" t="str">
        <f>OBRA!P345</f>
        <v>CONSTRUCCION DE LINEA DE DRENAJE DE 125 ML QUE VA A CONECTAR POR LA PARTE ORIENTE AL FRACCIONAMIENTO PASEO DEL CARDENAL EN SAN JUAN COSALA</v>
      </c>
      <c r="N346" s="466"/>
      <c r="O346" s="466"/>
      <c r="P346" s="6">
        <f>OBRA!S345</f>
        <v>43329</v>
      </c>
      <c r="Q346" s="4">
        <f>OBRA!R345</f>
        <v>229200</v>
      </c>
      <c r="R346" s="4"/>
      <c r="S346" s="5">
        <f>OBRA!T345</f>
        <v>43332</v>
      </c>
      <c r="T346" s="11">
        <f>OBRA!U345</f>
        <v>43353</v>
      </c>
      <c r="U346" s="53"/>
      <c r="V346" s="377" t="s">
        <v>1428</v>
      </c>
      <c r="W346" s="867"/>
      <c r="X346" s="1228"/>
      <c r="Y346" s="280">
        <f>OBRA!AR345</f>
        <v>57300</v>
      </c>
      <c r="Z346" s="309"/>
      <c r="AA346" s="309"/>
      <c r="AB346" s="5"/>
      <c r="AC346" s="317">
        <f>OBRA!BW345</f>
        <v>0</v>
      </c>
      <c r="AD346" s="352"/>
    </row>
    <row r="347" spans="1:30" ht="15" hidden="1" customHeight="1">
      <c r="A347" s="22" t="s">
        <v>2206</v>
      </c>
      <c r="B347" s="809" t="str">
        <f>GRAL!B348</f>
        <v>2018-2021</v>
      </c>
      <c r="C347" s="16">
        <f>OBRA!J346</f>
        <v>2018</v>
      </c>
      <c r="D347" s="17" t="str">
        <f>OBRA!M346</f>
        <v>RAMO 33</v>
      </c>
      <c r="E347" s="478"/>
      <c r="F347" s="352"/>
      <c r="G347" s="1"/>
      <c r="H347" s="352"/>
      <c r="I347" s="54" t="str">
        <f>OBRA!W346</f>
        <v>N/A</v>
      </c>
      <c r="J347" s="55" t="str">
        <f>OBRA!X346</f>
        <v>ARQ. JAIME CONDE GOMEZ</v>
      </c>
      <c r="K347" s="19" t="str">
        <f>OBRA!N346</f>
        <v>DOP/AD/001/2018</v>
      </c>
      <c r="L347" s="2" t="str">
        <f>OBRA!O346</f>
        <v>ADMINISTRACIÓN DIRECTA</v>
      </c>
      <c r="M347" s="3" t="str">
        <f>OBRA!P346</f>
        <v>"CONSTRUCCIÓN DE LÍNEA DE AGUA POTABLE EN CALLE EL DOMINGUILLO (RED DE ABASTECIMIENTO)", EN LA LOCALIDAD DE SAN JUAN COSALA, DEL MUNICIPIO DE JOCOTEPEC, JALISCO</v>
      </c>
      <c r="N347" s="3"/>
      <c r="O347" s="3"/>
      <c r="P347" s="6">
        <f>OBRA!S346</f>
        <v>43431</v>
      </c>
      <c r="Q347" s="4">
        <f>OBRA!R346</f>
        <v>257552.49</v>
      </c>
      <c r="R347" s="4"/>
      <c r="S347" s="5">
        <f>OBRA!T346</f>
        <v>43431</v>
      </c>
      <c r="T347" s="11">
        <f>OBRA!U346</f>
        <v>43456</v>
      </c>
      <c r="U347" s="53"/>
      <c r="V347" s="377" t="s">
        <v>1428</v>
      </c>
      <c r="W347" s="309"/>
      <c r="X347" s="11"/>
      <c r="Y347" s="279">
        <f>OBRA!AR346</f>
        <v>0</v>
      </c>
      <c r="Z347" s="309"/>
      <c r="AA347" s="309"/>
      <c r="AB347" s="5"/>
      <c r="AC347" s="317">
        <f>OBRA!BW346</f>
        <v>0</v>
      </c>
      <c r="AD347" s="352"/>
    </row>
    <row r="348" spans="1:30" ht="15" hidden="1" customHeight="1">
      <c r="A348" s="22" t="s">
        <v>2206</v>
      </c>
      <c r="B348" s="809" t="str">
        <f>GRAL!B349</f>
        <v>2018-2021</v>
      </c>
      <c r="C348" s="16">
        <f>OBRA!J347</f>
        <v>2018</v>
      </c>
      <c r="D348" s="17" t="str">
        <f>OBRA!M347</f>
        <v>RAMO 33</v>
      </c>
      <c r="E348" s="478"/>
      <c r="F348" s="352"/>
      <c r="G348" s="1"/>
      <c r="H348" s="352"/>
      <c r="I348" s="54" t="str">
        <f>OBRA!W347</f>
        <v>N/A</v>
      </c>
      <c r="J348" s="55" t="str">
        <f>OBRA!X347</f>
        <v>ARQ. JAIME CONDE GOMEZ</v>
      </c>
      <c r="K348" s="19" t="str">
        <f>OBRA!N347</f>
        <v>DOP/AD/002/2018</v>
      </c>
      <c r="L348" s="2" t="str">
        <f>OBRA!O347</f>
        <v>ADMINISTRACIÓN DIRECTA</v>
      </c>
      <c r="M348" s="3" t="str">
        <f>OBRA!P347</f>
        <v>"CONSTRUCCIÓN DE LÍNEA DE AGUA POTABLE EN CALLE EL DOMINGUILLO (RED DE DISTRIBUCCIÓN)", EN LA LOCALIDAD DE SAN JUAN COSALA, DEL MUNICIPIO DE JOCOTEPEC, JALISCO</v>
      </c>
      <c r="N348" s="3"/>
      <c r="O348" s="3"/>
      <c r="P348" s="6">
        <f>OBRA!S347</f>
        <v>43434</v>
      </c>
      <c r="Q348" s="4">
        <f>OBRA!R347</f>
        <v>352132.79</v>
      </c>
      <c r="R348" s="4"/>
      <c r="S348" s="5">
        <f>OBRA!T347</f>
        <v>43434</v>
      </c>
      <c r="T348" s="11">
        <f>OBRA!U347</f>
        <v>43456</v>
      </c>
      <c r="U348" s="53"/>
      <c r="V348" s="377" t="s">
        <v>1428</v>
      </c>
      <c r="W348" s="309"/>
      <c r="X348" s="11"/>
      <c r="Y348" s="279">
        <f>OBRA!AR347</f>
        <v>0</v>
      </c>
      <c r="Z348" s="309"/>
      <c r="AA348" s="309"/>
      <c r="AB348" s="5"/>
      <c r="AC348" s="317">
        <f>OBRA!BW347</f>
        <v>0</v>
      </c>
      <c r="AD348" s="352"/>
    </row>
    <row r="349" spans="1:30" ht="15" hidden="1" customHeight="1">
      <c r="A349" s="22" t="s">
        <v>2206</v>
      </c>
      <c r="B349" s="809" t="str">
        <f>GRAL!B350</f>
        <v>2018-2021</v>
      </c>
      <c r="C349" s="16">
        <f>OBRA!J348</f>
        <v>2018</v>
      </c>
      <c r="D349" s="17" t="str">
        <f>OBRA!M348</f>
        <v>RAMO 33</v>
      </c>
      <c r="E349" s="478"/>
      <c r="F349" s="352"/>
      <c r="G349" s="1"/>
      <c r="H349" s="352"/>
      <c r="I349" s="54" t="str">
        <f>OBRA!W348</f>
        <v>N/A</v>
      </c>
      <c r="J349" s="55" t="str">
        <f>OBRA!X348</f>
        <v>ARQ. JAIME CONDE GOMEZ</v>
      </c>
      <c r="K349" s="19" t="str">
        <f>OBRA!N348</f>
        <v>DOP/AD/003/2018</v>
      </c>
      <c r="L349" s="2" t="str">
        <f>OBRA!O348</f>
        <v>ADMINISTRACIÓN DIRECTA</v>
      </c>
      <c r="M349" s="3" t="str">
        <f>OBRA!P348</f>
        <v>"REHABILITACIÓN DE RED DE DRENAJE EN CALLE PLAYAS DE LA LAGUNA CON REPOSICIÓN DE EMPEDRADO", EN LA AGENCIA MUNICIPAL DE CHANTEPEC, DEL MUNICIPIO DE JOCOTEPEC, JALISCO</v>
      </c>
      <c r="N349" s="3"/>
      <c r="O349" s="3"/>
      <c r="P349" s="6">
        <f>OBRA!S348</f>
        <v>43449</v>
      </c>
      <c r="Q349" s="4">
        <f>OBRA!R348</f>
        <v>301076.28999999998</v>
      </c>
      <c r="R349" s="4"/>
      <c r="S349" s="5">
        <f>OBRA!T348</f>
        <v>43449</v>
      </c>
      <c r="T349" s="11">
        <f>OBRA!U348</f>
        <v>43465</v>
      </c>
      <c r="U349" s="53"/>
      <c r="V349" s="377" t="s">
        <v>1428</v>
      </c>
      <c r="W349" s="309"/>
      <c r="X349" s="11"/>
      <c r="Y349" s="279">
        <f>OBRA!AR348</f>
        <v>0</v>
      </c>
      <c r="Z349" s="309"/>
      <c r="AA349" s="309"/>
      <c r="AB349" s="5"/>
      <c r="AC349" s="317">
        <f>OBRA!BW348</f>
        <v>0</v>
      </c>
      <c r="AD349" s="352"/>
    </row>
    <row r="350" spans="1:30" ht="15" hidden="1" customHeight="1">
      <c r="A350" s="22" t="s">
        <v>2206</v>
      </c>
      <c r="B350" s="809" t="str">
        <f>GRAL!B351</f>
        <v>2018-2021</v>
      </c>
      <c r="C350" s="16">
        <f>OBRA!J349</f>
        <v>2018</v>
      </c>
      <c r="D350" s="17" t="str">
        <f>OBRA!M349</f>
        <v>RAMO 33</v>
      </c>
      <c r="E350" s="478"/>
      <c r="F350" s="352"/>
      <c r="G350" s="1"/>
      <c r="H350" s="352"/>
      <c r="I350" s="54" t="str">
        <f>OBRA!W349</f>
        <v>N/A</v>
      </c>
      <c r="J350" s="55" t="str">
        <f>OBRA!X349</f>
        <v>ARQ. JAIME CONDE GOMEZ</v>
      </c>
      <c r="K350" s="19" t="str">
        <f>OBRA!N349</f>
        <v>DOP/AD/004/2018</v>
      </c>
      <c r="L350" s="2" t="str">
        <f>OBRA!O349</f>
        <v>ADMINISTRACIÓN DIRECTA</v>
      </c>
      <c r="M350" s="3" t="str">
        <f>OBRA!P349</f>
        <v>"REHABILITACIÓN DE LÍNEA DE AGUA POTABLE EN CALLE PLAYAS DE LA LAGUNA CON REPOSICIÓN DE SUPERFICIE DE RODAMIENTO", EN LA AGENCIA MUNICIPAL DE CHANTEPEC, DEL MUNICIPIO DE JOCOTEPEC, JALISCO</v>
      </c>
      <c r="N350" s="3"/>
      <c r="O350" s="3"/>
      <c r="P350" s="6">
        <f>OBRA!S349</f>
        <v>43449</v>
      </c>
      <c r="Q350" s="4">
        <f>OBRA!R349</f>
        <v>212579.41</v>
      </c>
      <c r="R350" s="4"/>
      <c r="S350" s="5">
        <f>OBRA!T349</f>
        <v>43449</v>
      </c>
      <c r="T350" s="11">
        <f>OBRA!U349</f>
        <v>43465</v>
      </c>
      <c r="U350" s="53"/>
      <c r="V350" s="377" t="s">
        <v>1428</v>
      </c>
      <c r="W350" s="309"/>
      <c r="X350" s="11"/>
      <c r="Y350" s="279">
        <f>OBRA!AR349</f>
        <v>0</v>
      </c>
      <c r="Z350" s="309"/>
      <c r="AA350" s="309"/>
      <c r="AB350" s="5"/>
      <c r="AC350" s="317">
        <f>OBRA!BW349</f>
        <v>0</v>
      </c>
      <c r="AD350" s="352"/>
    </row>
    <row r="351" spans="1:30" ht="15" hidden="1" customHeight="1">
      <c r="A351" s="22" t="s">
        <v>2206</v>
      </c>
      <c r="B351" s="809" t="str">
        <f>GRAL!B352</f>
        <v>2018-2021</v>
      </c>
      <c r="C351" s="16">
        <f>OBRA!J350</f>
        <v>2019</v>
      </c>
      <c r="D351" s="17" t="str">
        <f>OBRA!M350</f>
        <v>C.E.A.</v>
      </c>
      <c r="E351" s="478"/>
      <c r="F351" s="352"/>
      <c r="G351" s="1"/>
      <c r="H351" s="352"/>
      <c r="I351" s="54" t="str">
        <f>OBRA!W350</f>
        <v>N/A</v>
      </c>
      <c r="J351" s="55" t="str">
        <f>OBRA!X350</f>
        <v>ING. JUAN MANUEL GARCIA ESCOTO</v>
      </c>
      <c r="K351" s="19" t="str">
        <f>OBRA!N350</f>
        <v>CEA-PERF-003/2019</v>
      </c>
      <c r="L351" s="2" t="str">
        <f>OBRA!O350</f>
        <v>CONVENIO</v>
      </c>
      <c r="M351" s="3" t="str">
        <f>OBRA!P350</f>
        <v>PERFORACIÓN DE POZO PROFUNDO PARA AGUA POTABLE EN LA LOCALIDAD DE EL MOLINO, MUNICIPIO DE JOCOTEPEC, JALISCO".</v>
      </c>
      <c r="N351" s="3"/>
      <c r="O351" s="3"/>
      <c r="P351" s="6">
        <f>OBRA!S350</f>
        <v>43689</v>
      </c>
      <c r="Q351" s="4">
        <f>OBRA!R350</f>
        <v>885535.63</v>
      </c>
      <c r="R351" s="4"/>
      <c r="S351" s="5">
        <f>OBRA!T350</f>
        <v>43690</v>
      </c>
      <c r="T351" s="11">
        <f>OBRA!U350</f>
        <v>43812</v>
      </c>
      <c r="U351" s="53"/>
      <c r="V351" s="377" t="s">
        <v>1428</v>
      </c>
      <c r="W351" s="309"/>
      <c r="X351" s="11"/>
      <c r="Y351" s="279">
        <f>OBRA!AR350</f>
        <v>0</v>
      </c>
      <c r="Z351" s="309"/>
      <c r="AA351" s="309"/>
      <c r="AB351" s="5"/>
      <c r="AC351" s="317">
        <f>OBRA!BW350</f>
        <v>0</v>
      </c>
      <c r="AD351" s="352"/>
    </row>
    <row r="352" spans="1:30" ht="15" hidden="1" customHeight="1">
      <c r="A352" s="22" t="s">
        <v>2206</v>
      </c>
      <c r="B352" s="809" t="str">
        <f>GRAL!B353</f>
        <v>2018-2021</v>
      </c>
      <c r="C352" s="16">
        <f>OBRA!J351</f>
        <v>2019</v>
      </c>
      <c r="D352" s="17" t="str">
        <f>OBRA!M351</f>
        <v>P.I.D.</v>
      </c>
      <c r="E352" s="478"/>
      <c r="F352" s="352"/>
      <c r="G352" s="1"/>
      <c r="H352" s="352"/>
      <c r="I352" s="54" t="str">
        <f>OBRA!W351</f>
        <v>N/A</v>
      </c>
      <c r="J352" s="55" t="str">
        <f>OBRA!X351</f>
        <v>-</v>
      </c>
      <c r="K352" s="19" t="str">
        <f>OBRA!N351</f>
        <v>CONVENIO JOCOTEPEC PID 2019</v>
      </c>
      <c r="L352" s="2" t="str">
        <f>OBRA!O351</f>
        <v>CONVENIO</v>
      </c>
      <c r="M352" s="3" t="str">
        <f>OBRA!P351</f>
        <v>ESTABLECIMIENTO DE DOS PUNTOS INOCUOS DE DESEMBARQUE (PID)"</v>
      </c>
      <c r="N352" s="3"/>
      <c r="O352" s="3"/>
      <c r="P352" s="6">
        <f>OBRA!S351</f>
        <v>43677</v>
      </c>
      <c r="Q352" s="4">
        <f>OBRA!R351</f>
        <v>2551506.64</v>
      </c>
      <c r="R352" s="4"/>
      <c r="S352" s="5">
        <f>OBRA!T351</f>
        <v>43677</v>
      </c>
      <c r="T352" s="11">
        <f>OBRA!U351</f>
        <v>43830</v>
      </c>
      <c r="U352" s="53"/>
      <c r="V352" s="377" t="s">
        <v>1428</v>
      </c>
      <c r="W352" s="309"/>
      <c r="X352" s="11"/>
      <c r="Y352" s="279">
        <f>OBRA!AR351</f>
        <v>0</v>
      </c>
      <c r="Z352" s="309"/>
      <c r="AA352" s="309"/>
      <c r="AB352" s="5"/>
      <c r="AC352" s="317">
        <f>OBRA!BW351</f>
        <v>0</v>
      </c>
      <c r="AD352" s="352"/>
    </row>
    <row r="353" spans="1:30" ht="15" hidden="1" customHeight="1">
      <c r="A353" s="22" t="s">
        <v>2206</v>
      </c>
      <c r="B353" s="809" t="str">
        <f>GRAL!B354</f>
        <v>2018-2021</v>
      </c>
      <c r="C353" s="16">
        <f>OBRA!J352</f>
        <v>2019</v>
      </c>
      <c r="D353" s="17" t="str">
        <f>OBRA!M352</f>
        <v>RASTRO DIGNO / CTA-CTE</v>
      </c>
      <c r="E353" s="478"/>
      <c r="F353" s="352"/>
      <c r="G353" s="1"/>
      <c r="H353" s="352"/>
      <c r="I353" s="54" t="str">
        <f>OBRA!W352</f>
        <v>N/A</v>
      </c>
      <c r="J353" s="55" t="str">
        <f>OBRA!X352</f>
        <v>ARQ. JAIME CONDE GOMEZ</v>
      </c>
      <c r="K353" s="19" t="str">
        <f>OBRA!N352</f>
        <v>CONVENIO RASTRO DIGNO 2019</v>
      </c>
      <c r="L353" s="2" t="str">
        <f>OBRA!O352</f>
        <v>CONVENIO</v>
      </c>
      <c r="M353" s="3" t="str">
        <f>OBRA!P352</f>
        <v>PROGRAMA DE MEJORAMIENTO DE INSTALACIONES DE SACRIFICIO DE GANADO "RASTRO DIGNO" EJERCICIO FISCAL 2019</v>
      </c>
      <c r="N353" s="3"/>
      <c r="O353" s="3"/>
      <c r="P353" s="6">
        <f>OBRA!S352</f>
        <v>43687</v>
      </c>
      <c r="Q353" s="4">
        <f>OBRA!R352</f>
        <v>4496816.92</v>
      </c>
      <c r="R353" s="4"/>
      <c r="S353" s="5" t="str">
        <f>OBRA!T352</f>
        <v>-</v>
      </c>
      <c r="T353" s="11">
        <f>OBRA!U352</f>
        <v>43830</v>
      </c>
      <c r="U353" s="53"/>
      <c r="V353" s="377" t="s">
        <v>1428</v>
      </c>
      <c r="W353" s="309"/>
      <c r="X353" s="11"/>
      <c r="Y353" s="279">
        <f>OBRA!AR352</f>
        <v>0</v>
      </c>
      <c r="Z353" s="309"/>
      <c r="AA353" s="309"/>
      <c r="AB353" s="5"/>
      <c r="AC353" s="317">
        <f>OBRA!BW352</f>
        <v>0</v>
      </c>
      <c r="AD353" s="352"/>
    </row>
    <row r="354" spans="1:30" ht="15" hidden="1" customHeight="1">
      <c r="A354" s="22" t="s">
        <v>2206</v>
      </c>
      <c r="B354" s="809" t="str">
        <f>GRAL!B355</f>
        <v>2018-2021</v>
      </c>
      <c r="C354" s="16">
        <f>OBRA!J353</f>
        <v>2019</v>
      </c>
      <c r="D354" s="17" t="str">
        <f>OBRA!M353</f>
        <v>CUENTA CORRIENTE</v>
      </c>
      <c r="E354" s="478"/>
      <c r="F354" s="352"/>
      <c r="G354" s="1"/>
      <c r="H354" s="352"/>
      <c r="I354" s="54" t="str">
        <f>OBRA!W353</f>
        <v>N/A</v>
      </c>
      <c r="J354" s="55" t="str">
        <f>OBRA!X353</f>
        <v>ING. RIGOBERTO OLMEDO RAMOS</v>
      </c>
      <c r="K354" s="19" t="str">
        <f>OBRA!N353</f>
        <v>DOP/AD/001/2019</v>
      </c>
      <c r="L354" s="2" t="str">
        <f>OBRA!O353</f>
        <v>ADMINISTRACIÓN DIRECTA</v>
      </c>
      <c r="M354" s="3" t="str">
        <f>OBRA!P353</f>
        <v>DEMOLICIÓN DE UN BIEN INMUEBLE UBICADO EN LA CALLE PEDRO MORENO NORTE NÚMERO 183, CRUCE CON CALLE LIBERTAD Y AVENIDA DE LOS MAESTROS CONOCIDO COMO UBR "UNIDAD BÁSICA DE REHABILITACIÓN" EN LA CABECERA MUNICIPAL DE JOCOTEPEC, JALISCO.</v>
      </c>
      <c r="N354" s="3"/>
      <c r="O354" s="3"/>
      <c r="P354" s="6">
        <f>OBRA!S353</f>
        <v>43524</v>
      </c>
      <c r="Q354" s="4">
        <f>OBRA!R353</f>
        <v>250000</v>
      </c>
      <c r="R354" s="4"/>
      <c r="S354" s="5">
        <f>OBRA!T353</f>
        <v>43529</v>
      </c>
      <c r="T354" s="11">
        <f>OBRA!U353</f>
        <v>43555</v>
      </c>
      <c r="U354" s="53"/>
      <c r="V354" s="377" t="s">
        <v>1428</v>
      </c>
      <c r="W354" s="309"/>
      <c r="X354" s="11"/>
      <c r="Y354" s="279">
        <f>OBRA!AR353</f>
        <v>0</v>
      </c>
      <c r="Z354" s="309"/>
      <c r="AA354" s="309"/>
      <c r="AB354" s="5"/>
      <c r="AC354" s="317">
        <f>OBRA!BW353</f>
        <v>0</v>
      </c>
      <c r="AD354" s="352"/>
    </row>
    <row r="355" spans="1:30" s="104" customFormat="1" ht="15" hidden="1" customHeight="1">
      <c r="A355" s="81" t="s">
        <v>2206</v>
      </c>
      <c r="B355" s="820" t="str">
        <f>GRAL!B356</f>
        <v>2018-2021</v>
      </c>
      <c r="C355" s="82">
        <f>OBRA!J354</f>
        <v>2019</v>
      </c>
      <c r="D355" s="97" t="str">
        <f>OBRA!M354</f>
        <v>CUENTA CORRIENTE</v>
      </c>
      <c r="E355" s="479"/>
      <c r="F355" s="354"/>
      <c r="G355" s="96"/>
      <c r="H355" s="354"/>
      <c r="I355" s="151" t="str">
        <f>OBRA!W354</f>
        <v>-</v>
      </c>
      <c r="J355" s="152" t="str">
        <f>OBRA!X354</f>
        <v>LIC. SALVADOR CONTRERAS OLGUÍN</v>
      </c>
      <c r="K355" s="84" t="str">
        <f>OBRA!N354</f>
        <v>DOP/AD/002/2019</v>
      </c>
      <c r="L355" s="85" t="str">
        <f>OBRA!O354</f>
        <v>CANCELADA</v>
      </c>
      <c r="M355" s="125" t="str">
        <f>OBRA!P354</f>
        <v>"CONSERVACIÓN Y MANTENIMIENTO DE HUELLAS DE ADOQUÍN EN CALLE MATAMOROS SUR DE C. DONATO GUERRA A HOSPITAL DE URGENCIAS" EN LA CABECERA MUNICIPAL DE JOCOTEPEPC, JALISCO"</v>
      </c>
      <c r="N355" s="125"/>
      <c r="O355" s="125"/>
      <c r="P355" s="87" t="str">
        <f>OBRA!S354</f>
        <v>-</v>
      </c>
      <c r="Q355" s="86">
        <f>OBRA!R354</f>
        <v>75251.929999999993</v>
      </c>
      <c r="R355" s="86"/>
      <c r="S355" s="88" t="str">
        <f>OBRA!T354</f>
        <v>-</v>
      </c>
      <c r="T355" s="89" t="str">
        <f>OBRA!U354</f>
        <v>-</v>
      </c>
      <c r="U355" s="91"/>
      <c r="V355" s="688" t="s">
        <v>1428</v>
      </c>
      <c r="W355" s="311"/>
      <c r="X355" s="89"/>
      <c r="Y355" s="284">
        <f>OBRA!AR354</f>
        <v>0</v>
      </c>
      <c r="Z355" s="311"/>
      <c r="AA355" s="311"/>
      <c r="AB355" s="88"/>
      <c r="AC355" s="467" t="str">
        <f>OBRA!BW354</f>
        <v>-</v>
      </c>
      <c r="AD355" s="354"/>
    </row>
    <row r="356" spans="1:30" s="104" customFormat="1" ht="15" hidden="1" customHeight="1">
      <c r="A356" s="81" t="s">
        <v>2206</v>
      </c>
      <c r="B356" s="820" t="str">
        <f>GRAL!B357</f>
        <v>2018-2021</v>
      </c>
      <c r="C356" s="82">
        <f>OBRA!J355</f>
        <v>2019</v>
      </c>
      <c r="D356" s="97" t="str">
        <f>OBRA!M355</f>
        <v>CUENTA CORRIENTE</v>
      </c>
      <c r="E356" s="479"/>
      <c r="F356" s="354"/>
      <c r="G356" s="96"/>
      <c r="H356" s="354"/>
      <c r="I356" s="151" t="str">
        <f>OBRA!W355</f>
        <v>-</v>
      </c>
      <c r="J356" s="152" t="str">
        <f>OBRA!X355</f>
        <v>LIC. SALVADOR CONTRERAS OLGUÍN</v>
      </c>
      <c r="K356" s="84" t="str">
        <f>OBRA!N355</f>
        <v>DOP/AD/003/2019</v>
      </c>
      <c r="L356" s="85" t="str">
        <f>OBRA!O355</f>
        <v>CANCELADA</v>
      </c>
      <c r="M356" s="125" t="str">
        <f>OBRA!P355</f>
        <v>CONSERVACIÓN Y MANTENIMIENTO INCLUYENTE DE BANQUETA Y ACCESO HOSPITAL DE URGENCIAS" EN LA CABECERA MUNICIPAL DE JOCOTEPEC, JALISCO</v>
      </c>
      <c r="N356" s="125"/>
      <c r="O356" s="125"/>
      <c r="P356" s="87" t="str">
        <f>OBRA!S355</f>
        <v>-</v>
      </c>
      <c r="Q356" s="86">
        <f>OBRA!R355</f>
        <v>140710.85999999999</v>
      </c>
      <c r="R356" s="86"/>
      <c r="S356" s="88" t="str">
        <f>OBRA!T355</f>
        <v>-</v>
      </c>
      <c r="T356" s="89" t="str">
        <f>OBRA!U355</f>
        <v>-</v>
      </c>
      <c r="U356" s="91"/>
      <c r="V356" s="688" t="s">
        <v>1428</v>
      </c>
      <c r="W356" s="311"/>
      <c r="X356" s="89"/>
      <c r="Y356" s="284">
        <f>OBRA!AR355</f>
        <v>0</v>
      </c>
      <c r="Z356" s="311"/>
      <c r="AA356" s="311"/>
      <c r="AB356" s="88"/>
      <c r="AC356" s="467" t="str">
        <f>OBRA!BW355</f>
        <v>-</v>
      </c>
      <c r="AD356" s="354"/>
    </row>
    <row r="357" spans="1:30" ht="15" hidden="1" customHeight="1">
      <c r="A357" s="22" t="s">
        <v>2206</v>
      </c>
      <c r="B357" s="809" t="str">
        <f>GRAL!B358</f>
        <v>2018-2021</v>
      </c>
      <c r="C357" s="16">
        <f>OBRA!J356</f>
        <v>2019</v>
      </c>
      <c r="D357" s="17" t="str">
        <f>OBRA!M356</f>
        <v>CUENTA CORRIENTE</v>
      </c>
      <c r="E357" s="478"/>
      <c r="F357" s="352"/>
      <c r="G357" s="1"/>
      <c r="H357" s="352"/>
      <c r="I357" s="54" t="str">
        <f>OBRA!W356</f>
        <v>N/A</v>
      </c>
      <c r="J357" s="55" t="str">
        <f>OBRA!X356</f>
        <v>LIC. SALVADOR CONTRERAS OLGUÍN</v>
      </c>
      <c r="K357" s="19" t="str">
        <f>OBRA!N356</f>
        <v>DOP/AD/004/2019</v>
      </c>
      <c r="L357" s="2" t="str">
        <f>OBRA!O356</f>
        <v>ADMINISTRACIÓN DIRECTA</v>
      </c>
      <c r="M357" s="3" t="str">
        <f>OBRA!P356</f>
        <v>CONSTRUCCIÓN DE RAMPAS INCLUYENTES EN LA DELEGACIÓN, DE SAN JUAN COSALA" DE LA CABECERA MUNICIPAL DE JOCOTEPEC, JALISCO.</v>
      </c>
      <c r="N357" s="3"/>
      <c r="O357" s="3"/>
      <c r="P357" s="6">
        <f>OBRA!S356</f>
        <v>43588</v>
      </c>
      <c r="Q357" s="4">
        <f>OBRA!R356</f>
        <v>22876.2</v>
      </c>
      <c r="R357" s="4"/>
      <c r="S357" s="5">
        <f>OBRA!T356</f>
        <v>43592</v>
      </c>
      <c r="T357" s="11">
        <f>OBRA!U356</f>
        <v>43623</v>
      </c>
      <c r="U357" s="53"/>
      <c r="V357" s="377" t="s">
        <v>1428</v>
      </c>
      <c r="W357" s="309"/>
      <c r="X357" s="11"/>
      <c r="Y357" s="279">
        <f>OBRA!AR356</f>
        <v>0</v>
      </c>
      <c r="Z357" s="309"/>
      <c r="AA357" s="309"/>
      <c r="AB357" s="5"/>
      <c r="AC357" s="317">
        <f>OBRA!BW356</f>
        <v>0</v>
      </c>
      <c r="AD357" s="352"/>
    </row>
    <row r="358" spans="1:30" ht="15" hidden="1" customHeight="1">
      <c r="A358" s="22" t="s">
        <v>2206</v>
      </c>
      <c r="B358" s="809" t="str">
        <f>GRAL!B359</f>
        <v>2018-2021</v>
      </c>
      <c r="C358" s="16">
        <f>OBRA!J357</f>
        <v>2019</v>
      </c>
      <c r="D358" s="17" t="str">
        <f>OBRA!M357</f>
        <v>CUENTA CORRIENTE</v>
      </c>
      <c r="E358" s="478"/>
      <c r="F358" s="352"/>
      <c r="G358" s="1"/>
      <c r="H358" s="352"/>
      <c r="I358" s="54" t="str">
        <f>OBRA!W357</f>
        <v>N/A</v>
      </c>
      <c r="J358" s="55" t="str">
        <f>OBRA!X357</f>
        <v>LIC. SALVADOR CONTRERAS OLGUÍN</v>
      </c>
      <c r="K358" s="19" t="str">
        <f>OBRA!N357</f>
        <v>DOP/AD/005/2019</v>
      </c>
      <c r="L358" s="2" t="str">
        <f>OBRA!O357</f>
        <v>ADMINISTRACIÓN DIRECTA</v>
      </c>
      <c r="M358" s="3" t="str">
        <f>OBRA!P357</f>
        <v>CONSTRUCCIÓN DE ASTA DE BANDERA DE 10 MTS DE ALURA EN LA PLAZA PRINCIPAL" EN LA DELEGACIÓN DE SAN JUAN COSALA, DE LA CABECERA MUNICIPAL DE JOCOTEPEC, JALISCO.</v>
      </c>
      <c r="N358" s="3"/>
      <c r="O358" s="3"/>
      <c r="P358" s="6">
        <f>OBRA!S357</f>
        <v>43588</v>
      </c>
      <c r="Q358" s="4">
        <f>OBRA!R357</f>
        <v>18491.009999999998</v>
      </c>
      <c r="R358" s="4"/>
      <c r="S358" s="5">
        <f>OBRA!T357</f>
        <v>43592</v>
      </c>
      <c r="T358" s="11">
        <f>OBRA!U357</f>
        <v>43623</v>
      </c>
      <c r="U358" s="53"/>
      <c r="V358" s="377" t="s">
        <v>1428</v>
      </c>
      <c r="W358" s="309"/>
      <c r="X358" s="11"/>
      <c r="Y358" s="279">
        <f>OBRA!AR357</f>
        <v>0</v>
      </c>
      <c r="Z358" s="309"/>
      <c r="AA358" s="309"/>
      <c r="AB358" s="5"/>
      <c r="AC358" s="317">
        <f>OBRA!BW357</f>
        <v>0</v>
      </c>
      <c r="AD358" s="352"/>
    </row>
    <row r="359" spans="1:30" ht="15" hidden="1" customHeight="1">
      <c r="A359" s="22" t="s">
        <v>2206</v>
      </c>
      <c r="B359" s="809" t="str">
        <f>GRAL!B360</f>
        <v>2018-2021</v>
      </c>
      <c r="C359" s="16">
        <f>OBRA!J358</f>
        <v>2019</v>
      </c>
      <c r="D359" s="17" t="str">
        <f>OBRA!M358</f>
        <v>CUENTA CORRIENTE</v>
      </c>
      <c r="E359" s="478"/>
      <c r="F359" s="352"/>
      <c r="G359" s="1"/>
      <c r="H359" s="352"/>
      <c r="I359" s="54" t="str">
        <f>OBRA!W358</f>
        <v>N/A</v>
      </c>
      <c r="J359" s="55" t="str">
        <f>OBRA!X358</f>
        <v>LIC. SALVADOR CONTRERAS OLGUÍN</v>
      </c>
      <c r="K359" s="19" t="str">
        <f>OBRA!N358</f>
        <v>DOP/AD/006/2019</v>
      </c>
      <c r="L359" s="2" t="str">
        <f>OBRA!O358</f>
        <v>ADMINISTRACIÓN DIRECTA</v>
      </c>
      <c r="M359" s="3" t="str">
        <f>OBRA!P358</f>
        <v>"FABRICACIÓN DE APLANADO EN MURO PONIENTE DE LA PLAZA PRINCIPAL" EN LA DELEGACIÓN, DE SAN JUAN COSALA, DE LA CABECERA MUNICIPAL DE JOCOTEPEC, JALISCO</v>
      </c>
      <c r="N359" s="3"/>
      <c r="O359" s="3"/>
      <c r="P359" s="6">
        <f>OBRA!S358</f>
        <v>43588</v>
      </c>
      <c r="Q359" s="4">
        <f>OBRA!R358</f>
        <v>13050.14</v>
      </c>
      <c r="R359" s="4"/>
      <c r="S359" s="5">
        <f>OBRA!T358</f>
        <v>43592</v>
      </c>
      <c r="T359" s="11">
        <f>OBRA!U358</f>
        <v>43623</v>
      </c>
      <c r="U359" s="53"/>
      <c r="V359" s="377" t="s">
        <v>1428</v>
      </c>
      <c r="W359" s="309"/>
      <c r="X359" s="11"/>
      <c r="Y359" s="279">
        <f>OBRA!AR358</f>
        <v>0</v>
      </c>
      <c r="Z359" s="309"/>
      <c r="AA359" s="309"/>
      <c r="AB359" s="5"/>
      <c r="AC359" s="317">
        <f>OBRA!BW358</f>
        <v>0</v>
      </c>
      <c r="AD359" s="352"/>
    </row>
    <row r="360" spans="1:30" ht="15" hidden="1" customHeight="1">
      <c r="A360" s="22" t="s">
        <v>2206</v>
      </c>
      <c r="B360" s="809" t="str">
        <f>GRAL!B361</f>
        <v>2018-2021</v>
      </c>
      <c r="C360" s="16">
        <f>OBRA!J359</f>
        <v>2019</v>
      </c>
      <c r="D360" s="17" t="str">
        <f>OBRA!M359</f>
        <v>CUENTA CORRIENTE</v>
      </c>
      <c r="E360" s="478"/>
      <c r="F360" s="352"/>
      <c r="G360" s="1"/>
      <c r="H360" s="352"/>
      <c r="I360" s="54" t="str">
        <f>OBRA!W359</f>
        <v>N/A</v>
      </c>
      <c r="J360" s="55" t="str">
        <f>OBRA!X359</f>
        <v>ING. LUIS RIGOBERTO OLMEDO NAVARRO</v>
      </c>
      <c r="K360" s="19" t="str">
        <f>OBRA!N359</f>
        <v>DOP/AD/007/2019</v>
      </c>
      <c r="L360" s="2" t="str">
        <f>OBRA!O359</f>
        <v>ADMINISTRACIÓN DIRECTA</v>
      </c>
      <c r="M360" s="3" t="str">
        <f>OBRA!P359</f>
        <v>"MANTENIMIENTO Y CONSERVACIÓN CON MAQUINARIA PESADA DE CALLES Y CAMINOS EN LAS AGENCIAS, DELEGACIONES Y CABECERA DEL MUNICIPIO DE JOCOTEPEC, JALISCO"</v>
      </c>
      <c r="N360" s="3"/>
      <c r="O360" s="3"/>
      <c r="P360" s="6">
        <f>OBRA!S359</f>
        <v>43647</v>
      </c>
      <c r="Q360" s="4">
        <f>OBRA!R359</f>
        <v>200000</v>
      </c>
      <c r="R360" s="4"/>
      <c r="S360" s="5">
        <f>OBRA!T359</f>
        <v>43647</v>
      </c>
      <c r="T360" s="11">
        <f>OBRA!U359</f>
        <v>43830</v>
      </c>
      <c r="U360" s="53"/>
      <c r="V360" s="377" t="s">
        <v>1428</v>
      </c>
      <c r="W360" s="309"/>
      <c r="X360" s="11"/>
      <c r="Y360" s="279">
        <f>OBRA!AR359</f>
        <v>0</v>
      </c>
      <c r="Z360" s="309"/>
      <c r="AA360" s="309"/>
      <c r="AB360" s="5"/>
      <c r="AC360" s="317">
        <f>OBRA!BW359</f>
        <v>0</v>
      </c>
      <c r="AD360" s="352"/>
    </row>
    <row r="361" spans="1:30" ht="15" hidden="1" customHeight="1">
      <c r="A361" s="22" t="s">
        <v>2206</v>
      </c>
      <c r="B361" s="809" t="str">
        <f>GRAL!B362</f>
        <v>2018-2021</v>
      </c>
      <c r="C361" s="16">
        <f>OBRA!J360</f>
        <v>2019</v>
      </c>
      <c r="D361" s="17" t="str">
        <f>OBRA!M360</f>
        <v>CEA / CUENTA CORRIENTE</v>
      </c>
      <c r="E361" s="478"/>
      <c r="F361" s="352"/>
      <c r="G361" s="1"/>
      <c r="H361" s="352"/>
      <c r="I361" s="54" t="str">
        <f>OBRA!W360</f>
        <v>N/A</v>
      </c>
      <c r="J361" s="55" t="str">
        <f>OBRA!X360</f>
        <v>ING. JUAN MANUEL GARCIA ESCOTO</v>
      </c>
      <c r="K361" s="19" t="str">
        <f>OBRA!N360</f>
        <v>DOP/AD/008/2019</v>
      </c>
      <c r="L361" s="2" t="str">
        <f>OBRA!O360</f>
        <v>ADMINISTRACIÓN DIRECTA</v>
      </c>
      <c r="M361" s="3" t="str">
        <f>OBRA!P360</f>
        <v>"LA COMPRA DE MATERIALES E INSUMOS NECESARIOS" PARA LA PERFORACIÓN DE POZO PROFUNDO EN LA AGENCIA MUNICIPAL DE EL MOLINO, DEL MUNICIPIO DE JOCOTEPEC, JALISCO.</v>
      </c>
      <c r="N361" s="3"/>
      <c r="O361" s="3"/>
      <c r="P361" s="6">
        <f>OBRA!S360</f>
        <v>43683</v>
      </c>
      <c r="Q361" s="4">
        <f>OBRA!R360</f>
        <v>800000</v>
      </c>
      <c r="R361" s="4"/>
      <c r="S361" s="5">
        <f>OBRA!T360</f>
        <v>43689</v>
      </c>
      <c r="T361" s="11">
        <f>OBRA!U360</f>
        <v>43830</v>
      </c>
      <c r="U361" s="53"/>
      <c r="V361" s="377" t="s">
        <v>1428</v>
      </c>
      <c r="W361" s="309"/>
      <c r="X361" s="11"/>
      <c r="Y361" s="279">
        <f>OBRA!AR360</f>
        <v>0</v>
      </c>
      <c r="Z361" s="309"/>
      <c r="AA361" s="309"/>
      <c r="AB361" s="5"/>
      <c r="AC361" s="317">
        <f>OBRA!BW360</f>
        <v>0</v>
      </c>
      <c r="AD361" s="352"/>
    </row>
    <row r="362" spans="1:30" ht="15" hidden="1" customHeight="1">
      <c r="A362" s="22" t="s">
        <v>2206</v>
      </c>
      <c r="B362" s="809" t="str">
        <f>GRAL!B363</f>
        <v>2018-2021</v>
      </c>
      <c r="C362" s="16">
        <f>OBRA!J361</f>
        <v>2019</v>
      </c>
      <c r="D362" s="17" t="str">
        <f>OBRA!M361</f>
        <v>CUENTA CORRIENTE</v>
      </c>
      <c r="E362" s="478"/>
      <c r="F362" s="352"/>
      <c r="G362" s="1"/>
      <c r="H362" s="352"/>
      <c r="I362" s="54" t="str">
        <f>OBRA!W361</f>
        <v>N/A</v>
      </c>
      <c r="J362" s="55" t="str">
        <f>OBRA!X361</f>
        <v>ING. JUAN MANUEL GARCIA ESCOTO</v>
      </c>
      <c r="K362" s="19" t="str">
        <f>OBRA!N361</f>
        <v>DOP/AD/009/2019</v>
      </c>
      <c r="L362" s="2" t="str">
        <f>OBRA!O361</f>
        <v>ADMINISTRACIÓN DIRECTA</v>
      </c>
      <c r="M362" s="3" t="str">
        <f>OBRA!P361</f>
        <v>"CONSTRUCCION DE EMPEDRADOS ECOLÓGICOS, AHOGADOS EN CEMENTO Y CON HUELLAS, EN VARIAS CALLES DE LA AGENCIA MUNICIPAL DE EL MOLINO". DEL MUNICIPIO DE JOCOTEPEC, JALISCO.</v>
      </c>
      <c r="N362" s="3"/>
      <c r="O362" s="3"/>
      <c r="P362" s="6">
        <f>OBRA!S361</f>
        <v>43686</v>
      </c>
      <c r="Q362" s="4">
        <f>OBRA!R361</f>
        <v>750000</v>
      </c>
      <c r="R362" s="4"/>
      <c r="S362" s="5">
        <f>OBRA!T361</f>
        <v>43689</v>
      </c>
      <c r="T362" s="11">
        <f>OBRA!U361</f>
        <v>43830</v>
      </c>
      <c r="U362" s="53"/>
      <c r="V362" s="377" t="s">
        <v>1428</v>
      </c>
      <c r="W362" s="309"/>
      <c r="X362" s="11"/>
      <c r="Y362" s="279">
        <f>OBRA!AR361</f>
        <v>0</v>
      </c>
      <c r="Z362" s="309"/>
      <c r="AA362" s="309"/>
      <c r="AB362" s="5"/>
      <c r="AC362" s="317">
        <f>OBRA!BW361</f>
        <v>0</v>
      </c>
      <c r="AD362" s="352"/>
    </row>
    <row r="363" spans="1:30" ht="15" hidden="1" customHeight="1">
      <c r="A363" s="22" t="s">
        <v>2206</v>
      </c>
      <c r="B363" s="809" t="str">
        <f>GRAL!B364</f>
        <v>2018-2021</v>
      </c>
      <c r="C363" s="16">
        <f>OBRA!J362</f>
        <v>2019</v>
      </c>
      <c r="D363" s="17" t="str">
        <f>OBRA!M362</f>
        <v>CUENTA CORRIENTE</v>
      </c>
      <c r="E363" s="478"/>
      <c r="F363" s="352"/>
      <c r="G363" s="1"/>
      <c r="H363" s="352"/>
      <c r="I363" s="54" t="str">
        <f>OBRA!W362</f>
        <v>N/A</v>
      </c>
      <c r="J363" s="55" t="str">
        <f>OBRA!X362</f>
        <v>ING. J. GUADALUPE IBARRA RAMIREZ</v>
      </c>
      <c r="K363" s="19" t="str">
        <f>OBRA!N362</f>
        <v>DOP/AD/010/2019</v>
      </c>
      <c r="L363" s="2" t="str">
        <f>OBRA!O362</f>
        <v>ADMINISTRACIÓN DIRECTA</v>
      </c>
      <c r="M363" s="3" t="str">
        <f>OBRA!P362</f>
        <v>"CONSTRUCCIÓN DE LÍNEAS HIDROSANITARIAS EN CALLE EXTRAMUROS DE PRIVADA A CARRETERA," EN SAN PEDRO TESISTAN, DEL MUNICIPIO DE JOCOTEPEC, JALISCO.</v>
      </c>
      <c r="N363" s="3"/>
      <c r="O363" s="3"/>
      <c r="P363" s="6">
        <f>OBRA!S362</f>
        <v>43707</v>
      </c>
      <c r="Q363" s="4">
        <f>OBRA!R362</f>
        <v>518279.12</v>
      </c>
      <c r="R363" s="4"/>
      <c r="S363" s="5">
        <f>OBRA!T362</f>
        <v>43710</v>
      </c>
      <c r="T363" s="11">
        <f>OBRA!U362</f>
        <v>43798</v>
      </c>
      <c r="U363" s="53"/>
      <c r="V363" s="377" t="s">
        <v>1428</v>
      </c>
      <c r="W363" s="309"/>
      <c r="X363" s="11"/>
      <c r="Y363" s="279">
        <f>OBRA!AR362</f>
        <v>0</v>
      </c>
      <c r="Z363" s="309"/>
      <c r="AA363" s="309"/>
      <c r="AB363" s="5"/>
      <c r="AC363" s="317">
        <f>OBRA!BW362</f>
        <v>0</v>
      </c>
      <c r="AD363" s="352"/>
    </row>
    <row r="364" spans="1:30" ht="15" hidden="1" customHeight="1">
      <c r="A364" s="22" t="s">
        <v>2206</v>
      </c>
      <c r="B364" s="809" t="str">
        <f>GRAL!B365</f>
        <v>2018-2021</v>
      </c>
      <c r="C364" s="16">
        <f>OBRA!J363</f>
        <v>2019</v>
      </c>
      <c r="D364" s="17" t="str">
        <f>OBRA!M363</f>
        <v>RAMO 33</v>
      </c>
      <c r="E364" s="478"/>
      <c r="F364" s="352"/>
      <c r="G364" s="1"/>
      <c r="H364" s="352"/>
      <c r="I364" s="54" t="str">
        <f>OBRA!W363</f>
        <v>N/A</v>
      </c>
      <c r="J364" s="55" t="str">
        <f>OBRA!X363</f>
        <v>ING. J. GUADALUPE IBARRA RAMIREZ</v>
      </c>
      <c r="K364" s="19" t="str">
        <f>OBRA!N363</f>
        <v>DOP/AD/011/2019</v>
      </c>
      <c r="L364" s="2" t="str">
        <f>OBRA!O363</f>
        <v>ADMINISTRACIÓN DIRECTA</v>
      </c>
      <c r="M364" s="3" t="str">
        <f>OBRA!P363</f>
        <v>"REHABILITACIÓN DE RED DE AGUA POTABLE CON REPOSICIÓN DE SUPERFICIE DE RODAMIENTO EN CALLE HIDALGO ENTRE ALDAMA Y FILOSOFOS", EN LA CABECERA MUNICIPAL DE JOCOTEPEC, JALISCO.</v>
      </c>
      <c r="N364" s="3"/>
      <c r="O364" s="3"/>
      <c r="P364" s="6">
        <f>OBRA!S363</f>
        <v>43754</v>
      </c>
      <c r="Q364" s="4">
        <f>OBRA!R363</f>
        <v>661528.31999999995</v>
      </c>
      <c r="R364" s="4"/>
      <c r="S364" s="5">
        <f>OBRA!T363</f>
        <v>43759</v>
      </c>
      <c r="T364" s="11">
        <f>OBRA!U363</f>
        <v>43814</v>
      </c>
      <c r="U364" s="53"/>
      <c r="V364" s="377" t="s">
        <v>1428</v>
      </c>
      <c r="W364" s="309"/>
      <c r="X364" s="11"/>
      <c r="Y364" s="279">
        <f>OBRA!AR363</f>
        <v>0</v>
      </c>
      <c r="Z364" s="309"/>
      <c r="AA364" s="309"/>
      <c r="AB364" s="5"/>
      <c r="AC364" s="317">
        <f>OBRA!BW363</f>
        <v>0</v>
      </c>
      <c r="AD364" s="352"/>
    </row>
    <row r="365" spans="1:30" ht="15" hidden="1" customHeight="1">
      <c r="A365" s="22" t="s">
        <v>2206</v>
      </c>
      <c r="B365" s="809" t="str">
        <f>GRAL!B366</f>
        <v>2018-2021</v>
      </c>
      <c r="C365" s="16">
        <f>OBRA!J364</f>
        <v>2019</v>
      </c>
      <c r="D365" s="17" t="str">
        <f>OBRA!M364</f>
        <v>RAMO 33</v>
      </c>
      <c r="E365" s="478"/>
      <c r="F365" s="352"/>
      <c r="G365" s="1"/>
      <c r="H365" s="352"/>
      <c r="I365" s="54" t="str">
        <f>OBRA!W364</f>
        <v>N/A</v>
      </c>
      <c r="J365" s="55" t="str">
        <f>OBRA!X364</f>
        <v>ING. J. GUADALUPE IBARRA RAMIREZ</v>
      </c>
      <c r="K365" s="19" t="str">
        <f>OBRA!N364</f>
        <v>DOP/AD/012/2019</v>
      </c>
      <c r="L365" s="2" t="str">
        <f>OBRA!O364</f>
        <v>ADMINISTRACIÓN DIRECTA</v>
      </c>
      <c r="M365" s="3" t="str">
        <f>OBRA!P364</f>
        <v>"REHABILITACIÓN DE RED DE DRENAJE CON REPOSICIÓN DE SUPERFICIE DE RODAMIENTO EN CALLE HIDALGO ENTRE ALDAMA Y FILOSOFOS", EN LA CABECERA MUNICIPAL DE JOCOTEPEC, JALISCO.</v>
      </c>
      <c r="N365" s="3"/>
      <c r="O365" s="3"/>
      <c r="P365" s="6">
        <f>OBRA!S364</f>
        <v>43754</v>
      </c>
      <c r="Q365" s="4">
        <f>OBRA!R364</f>
        <v>886200.09</v>
      </c>
      <c r="R365" s="4"/>
      <c r="S365" s="5">
        <f>OBRA!T364</f>
        <v>43759</v>
      </c>
      <c r="T365" s="11">
        <f>OBRA!U364</f>
        <v>43814</v>
      </c>
      <c r="U365" s="53"/>
      <c r="V365" s="377" t="s">
        <v>1428</v>
      </c>
      <c r="W365" s="309"/>
      <c r="X365" s="11"/>
      <c r="Y365" s="279">
        <f>OBRA!AR364</f>
        <v>0</v>
      </c>
      <c r="Z365" s="309"/>
      <c r="AA365" s="309"/>
      <c r="AB365" s="5"/>
      <c r="AC365" s="317">
        <f>OBRA!BW364</f>
        <v>0</v>
      </c>
      <c r="AD365" s="352"/>
    </row>
    <row r="366" spans="1:30" ht="15" hidden="1" customHeight="1">
      <c r="A366" s="22" t="s">
        <v>2206</v>
      </c>
      <c r="B366" s="809" t="str">
        <f>GRAL!B367</f>
        <v>2018-2021</v>
      </c>
      <c r="C366" s="16">
        <f>OBRA!J365</f>
        <v>2019</v>
      </c>
      <c r="D366" s="17" t="str">
        <f>OBRA!M365</f>
        <v>RAMO 33</v>
      </c>
      <c r="E366" s="478"/>
      <c r="F366" s="352"/>
      <c r="G366" s="1"/>
      <c r="H366" s="352"/>
      <c r="I366" s="54" t="str">
        <f>OBRA!W365</f>
        <v>N/A</v>
      </c>
      <c r="J366" s="55" t="str">
        <f>OBRA!X365</f>
        <v>ING. J. GUADALUPE IBARRA RAMIREZ</v>
      </c>
      <c r="K366" s="19" t="str">
        <f>OBRA!N365</f>
        <v>DOP/AD/013/2019</v>
      </c>
      <c r="L366" s="2" t="str">
        <f>OBRA!O365</f>
        <v>ADMINISTRACIÓN DIRECTA</v>
      </c>
      <c r="M366" s="3" t="str">
        <f>OBRA!P365</f>
        <v>"REHABILITACIÓN DE TOMAS DOMICILIARIAS CON REPOSICIÓN DE SUPERFICIE DE RODAMIENTO EN CALLE LA PAZ ENTRE CALLES ITURBIDE E INDEPENDENCIA" EN LA LOCALIDAD DE SAN JUAN CÓSALA, DEL MUNICIPIO DE JOCOTEPEC, JALISCO.</v>
      </c>
      <c r="N366" s="3"/>
      <c r="O366" s="3"/>
      <c r="P366" s="6">
        <f>OBRA!S365</f>
        <v>43773</v>
      </c>
      <c r="Q366" s="4">
        <f>OBRA!R365</f>
        <v>316991.96999999997</v>
      </c>
      <c r="R366" s="4"/>
      <c r="S366" s="5">
        <f>OBRA!T365</f>
        <v>43775</v>
      </c>
      <c r="T366" s="11">
        <f>OBRA!U365</f>
        <v>43798</v>
      </c>
      <c r="U366" s="53"/>
      <c r="V366" s="377" t="s">
        <v>1428</v>
      </c>
      <c r="W366" s="309"/>
      <c r="X366" s="11"/>
      <c r="Y366" s="279">
        <f>OBRA!AR365</f>
        <v>0</v>
      </c>
      <c r="Z366" s="309"/>
      <c r="AA366" s="309"/>
      <c r="AB366" s="5"/>
      <c r="AC366" s="317">
        <f>OBRA!BW365</f>
        <v>0</v>
      </c>
      <c r="AD366" s="352"/>
    </row>
    <row r="367" spans="1:30" ht="15" hidden="1" customHeight="1">
      <c r="A367" s="22" t="s">
        <v>2206</v>
      </c>
      <c r="B367" s="809" t="str">
        <f>GRAL!B368</f>
        <v>2018-2021</v>
      </c>
      <c r="C367" s="16">
        <f>OBRA!J366</f>
        <v>2019</v>
      </c>
      <c r="D367" s="17" t="str">
        <f>OBRA!M366</f>
        <v>RAMO 33</v>
      </c>
      <c r="E367" s="478"/>
      <c r="F367" s="352"/>
      <c r="G367" s="1"/>
      <c r="H367" s="352"/>
      <c r="I367" s="54" t="str">
        <f>OBRA!W366</f>
        <v>N/A</v>
      </c>
      <c r="J367" s="55" t="str">
        <f>OBRA!X366</f>
        <v>ING. J. GUADALUPE IBARRA RAMIREZ</v>
      </c>
      <c r="K367" s="19" t="str">
        <f>OBRA!N366</f>
        <v>DOP/AD/014/2019</v>
      </c>
      <c r="L367" s="2" t="str">
        <f>OBRA!O366</f>
        <v>ADMINISTRACIÓN DIRECTA</v>
      </c>
      <c r="M367" s="3" t="str">
        <f>OBRA!P366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OBRA!S366</f>
        <v>43773</v>
      </c>
      <c r="Q367" s="4">
        <f>OBRA!R366</f>
        <v>387742.07</v>
      </c>
      <c r="R367" s="4"/>
      <c r="S367" s="5">
        <f>OBRA!T366</f>
        <v>43775</v>
      </c>
      <c r="T367" s="11">
        <f>OBRA!U366</f>
        <v>43798</v>
      </c>
      <c r="U367" s="53"/>
      <c r="V367" s="377" t="s">
        <v>1428</v>
      </c>
      <c r="W367" s="309"/>
      <c r="X367" s="11"/>
      <c r="Y367" s="279">
        <f>OBRA!AR366</f>
        <v>0</v>
      </c>
      <c r="Z367" s="309"/>
      <c r="AA367" s="309"/>
      <c r="AB367" s="5"/>
      <c r="AC367" s="317">
        <f>OBRA!BW366</f>
        <v>0</v>
      </c>
      <c r="AD367" s="352"/>
    </row>
    <row r="368" spans="1:30" ht="15" hidden="1" customHeight="1">
      <c r="A368" s="22" t="s">
        <v>2206</v>
      </c>
      <c r="B368" s="809" t="str">
        <f>GRAL!B369</f>
        <v>2018-2021</v>
      </c>
      <c r="C368" s="16">
        <f>OBRA!J367</f>
        <v>2019</v>
      </c>
      <c r="D368" s="17" t="str">
        <f>OBRA!M367</f>
        <v>RAMO 33</v>
      </c>
      <c r="E368" s="478"/>
      <c r="F368" s="352"/>
      <c r="G368" s="1"/>
      <c r="H368" s="352"/>
      <c r="I368" s="54" t="str">
        <f>OBRA!W367</f>
        <v>N/A</v>
      </c>
      <c r="J368" s="55" t="str">
        <f>OBRA!X367</f>
        <v>ING. J. GUADALUPE IBARRA RAMIREZ</v>
      </c>
      <c r="K368" s="19" t="str">
        <f>OBRA!N367</f>
        <v>DOP/AD/015/2019</v>
      </c>
      <c r="L368" s="2" t="str">
        <f>OBRA!O367</f>
        <v>ADMINISTRACIÓN DIRECTA</v>
      </c>
      <c r="M368" s="3" t="str">
        <f>OBRA!P367</f>
        <v>"REHABILITACIÓN DE RED DE AGUA POTABLE CON REPOSICIÓN DE SUPERFICIE DE RODAMIENTO EN CALLE LA PAZ ENTRE CALLES ITURBIDE E INDEPENDENCIA", EN LA LOCALIDAD DE SAN JUAN CÓSALA, DEL MUNICIPIO DE JOCOTEPEC, JALISCO.</v>
      </c>
      <c r="N368" s="3"/>
      <c r="O368" s="3"/>
      <c r="P368" s="6">
        <f>OBRA!S367</f>
        <v>43773</v>
      </c>
      <c r="Q368" s="4">
        <f>OBRA!R367</f>
        <v>758777.4</v>
      </c>
      <c r="R368" s="4"/>
      <c r="S368" s="5">
        <f>OBRA!T367</f>
        <v>43775</v>
      </c>
      <c r="T368" s="11">
        <f>OBRA!U367</f>
        <v>43798</v>
      </c>
      <c r="U368" s="53"/>
      <c r="V368" s="377" t="s">
        <v>1428</v>
      </c>
      <c r="W368" s="309"/>
      <c r="X368" s="11"/>
      <c r="Y368" s="279">
        <f>OBRA!AR367</f>
        <v>0</v>
      </c>
      <c r="Z368" s="309"/>
      <c r="AA368" s="309"/>
      <c r="AB368" s="5"/>
      <c r="AC368" s="317">
        <f>OBRA!BW367</f>
        <v>0</v>
      </c>
      <c r="AD368" s="352"/>
    </row>
    <row r="369" spans="1:30" s="104" customFormat="1" ht="15" hidden="1" customHeight="1">
      <c r="A369" s="81" t="s">
        <v>2206</v>
      </c>
      <c r="B369" s="820" t="str">
        <f>GRAL!B370</f>
        <v>2018-2021</v>
      </c>
      <c r="C369" s="82">
        <f>OBRA!J368</f>
        <v>2019</v>
      </c>
      <c r="D369" s="97">
        <f>OBRA!M368</f>
        <v>0</v>
      </c>
      <c r="E369" s="479"/>
      <c r="F369" s="354"/>
      <c r="G369" s="96"/>
      <c r="H369" s="354"/>
      <c r="I369" s="151" t="str">
        <f>OBRA!W368</f>
        <v>-</v>
      </c>
      <c r="J369" s="152">
        <f>OBRA!X368</f>
        <v>0</v>
      </c>
      <c r="K369" s="84" t="str">
        <f>OBRA!N368</f>
        <v>DOP/AD/016/2019</v>
      </c>
      <c r="L369" s="85" t="str">
        <f>OBRA!O368</f>
        <v>CANCELADA</v>
      </c>
      <c r="M369" s="125">
        <f>OBRA!P368</f>
        <v>0</v>
      </c>
      <c r="N369" s="125"/>
      <c r="O369" s="125"/>
      <c r="P369" s="87">
        <f>OBRA!S368</f>
        <v>0</v>
      </c>
      <c r="Q369" s="86">
        <f>OBRA!R368</f>
        <v>0</v>
      </c>
      <c r="R369" s="86"/>
      <c r="S369" s="88">
        <f>OBRA!T368</f>
        <v>0</v>
      </c>
      <c r="T369" s="89">
        <f>OBRA!U368</f>
        <v>0</v>
      </c>
      <c r="U369" s="91"/>
      <c r="V369" s="688" t="s">
        <v>1428</v>
      </c>
      <c r="W369" s="311"/>
      <c r="X369" s="89"/>
      <c r="Y369" s="284">
        <f>OBRA!AR368</f>
        <v>0</v>
      </c>
      <c r="Z369" s="311"/>
      <c r="AA369" s="311"/>
      <c r="AB369" s="88"/>
      <c r="AC369" s="467">
        <f>OBRA!BW368</f>
        <v>0</v>
      </c>
      <c r="AD369" s="354"/>
    </row>
    <row r="370" spans="1:30" ht="15" hidden="1" customHeight="1">
      <c r="A370" s="22" t="s">
        <v>2206</v>
      </c>
      <c r="B370" s="809" t="str">
        <f>GRAL!B371</f>
        <v>2018-2021</v>
      </c>
      <c r="C370" s="16">
        <f>OBRA!J369</f>
        <v>2019</v>
      </c>
      <c r="D370" s="17" t="str">
        <f>OBRA!M369</f>
        <v>P.I.D.</v>
      </c>
      <c r="E370" s="478"/>
      <c r="F370" s="352"/>
      <c r="G370" s="1"/>
      <c r="H370" s="352"/>
      <c r="I370" s="54" t="str">
        <f>OBRA!W369</f>
        <v>N/A</v>
      </c>
      <c r="J370" s="55" t="str">
        <f>OBRA!X369</f>
        <v>ARQ. CESAR ANTONIO ALONSO JIMENEZ</v>
      </c>
      <c r="K370" s="19" t="str">
        <f>OBRA!N369</f>
        <v>DOP/AD/017/2019</v>
      </c>
      <c r="L370" s="2" t="str">
        <f>OBRA!O369</f>
        <v>ADMINISTRACIÓN DIRECTA</v>
      </c>
      <c r="M370" s="3" t="str">
        <f>OBRA!P369</f>
        <v>"CONSTRUCCIÓN DE PUNTO INOCUO DE DESEMBARQUE EN LA CALLE 5 DE MAYO" EN LA LOCALIDAD DE SAN JUAN COSALA, DEL MUNICIPIO DE JOCOTEPEC, JALISCO.</v>
      </c>
      <c r="N370" s="3"/>
      <c r="O370" s="3"/>
      <c r="P370" s="6">
        <f>OBRA!S369</f>
        <v>43784</v>
      </c>
      <c r="Q370" s="4">
        <f>OBRA!R369</f>
        <v>1248920.79</v>
      </c>
      <c r="R370" s="4"/>
      <c r="S370" s="5">
        <f>OBRA!T369</f>
        <v>43784</v>
      </c>
      <c r="T370" s="11">
        <f>OBRA!U369</f>
        <v>43814</v>
      </c>
      <c r="U370" s="53"/>
      <c r="V370" s="377" t="s">
        <v>1428</v>
      </c>
      <c r="W370" s="309"/>
      <c r="X370" s="11"/>
      <c r="Y370" s="279">
        <f>OBRA!AR369</f>
        <v>0</v>
      </c>
      <c r="Z370" s="309"/>
      <c r="AA370" s="309"/>
      <c r="AB370" s="5"/>
      <c r="AC370" s="317">
        <f>OBRA!BW369</f>
        <v>0</v>
      </c>
      <c r="AD370" s="352"/>
    </row>
    <row r="371" spans="1:30" ht="15" hidden="1" customHeight="1">
      <c r="A371" s="22" t="s">
        <v>2206</v>
      </c>
      <c r="B371" s="809" t="str">
        <f>GRAL!B372</f>
        <v>2018-2021</v>
      </c>
      <c r="C371" s="16">
        <f>OBRA!J370</f>
        <v>2019</v>
      </c>
      <c r="D371" s="17" t="str">
        <f>OBRA!M370</f>
        <v>RAMO 33</v>
      </c>
      <c r="E371" s="478"/>
      <c r="F371" s="352"/>
      <c r="G371" s="1"/>
      <c r="H371" s="352"/>
      <c r="I371" s="54" t="str">
        <f>OBRA!W370</f>
        <v>N/A</v>
      </c>
      <c r="J371" s="55" t="str">
        <f>OBRA!X370</f>
        <v>ING. J. GUADALUPE IBARRA RAMIREZ</v>
      </c>
      <c r="K371" s="19" t="str">
        <f>OBRA!N370</f>
        <v>DOP/AD/018/2019</v>
      </c>
      <c r="L371" s="2" t="str">
        <f>OBRA!O370</f>
        <v>ADMINISTRACIÓN DIRECTA</v>
      </c>
      <c r="M371" s="3" t="str">
        <f>OBRA!P370</f>
        <v>"REHABILITACIÓN DE LÍNEA DE DISTRIBUCIÓN DE 6" DE AGUA POTABLE, EN CALLE NIÑOS HÉROES DE CALLE ITURBIDE A CALLE VERANO", EN LA CABECERA MUNICIPAL DE JOCOTEPEC, JALISCO.</v>
      </c>
      <c r="N371" s="3"/>
      <c r="O371" s="3"/>
      <c r="P371" s="6">
        <f>OBRA!S370</f>
        <v>43791</v>
      </c>
      <c r="Q371" s="4">
        <f>OBRA!R370</f>
        <v>125964.92</v>
      </c>
      <c r="R371" s="4"/>
      <c r="S371" s="5">
        <f>OBRA!T370</f>
        <v>43792</v>
      </c>
      <c r="T371" s="11">
        <f>OBRA!U370</f>
        <v>43814</v>
      </c>
      <c r="U371" s="53"/>
      <c r="V371" s="377" t="s">
        <v>1428</v>
      </c>
      <c r="W371" s="309"/>
      <c r="X371" s="11"/>
      <c r="Y371" s="279">
        <f>OBRA!AR370</f>
        <v>0</v>
      </c>
      <c r="Z371" s="309"/>
      <c r="AA371" s="309"/>
      <c r="AB371" s="5"/>
      <c r="AC371" s="317">
        <f>OBRA!BW370</f>
        <v>0</v>
      </c>
      <c r="AD371" s="352"/>
    </row>
    <row r="372" spans="1:30" s="104" customFormat="1" ht="15" hidden="1" customHeight="1">
      <c r="A372" s="81" t="s">
        <v>2206</v>
      </c>
      <c r="B372" s="820" t="str">
        <f>GRAL!B373</f>
        <v>2018-2021</v>
      </c>
      <c r="C372" s="82">
        <f>OBRA!J371</f>
        <v>2019</v>
      </c>
      <c r="D372" s="97">
        <f>OBRA!M371</f>
        <v>0</v>
      </c>
      <c r="E372" s="479"/>
      <c r="F372" s="354"/>
      <c r="G372" s="96"/>
      <c r="H372" s="354"/>
      <c r="I372" s="151" t="str">
        <f>OBRA!W371</f>
        <v>-</v>
      </c>
      <c r="J372" s="152">
        <f>OBRA!X371</f>
        <v>0</v>
      </c>
      <c r="K372" s="84" t="str">
        <f>OBRA!N371</f>
        <v>DOP/AD/019/2019</v>
      </c>
      <c r="L372" s="85" t="str">
        <f>OBRA!O371</f>
        <v>CANCELADA</v>
      </c>
      <c r="M372" s="125">
        <f>OBRA!P371</f>
        <v>0</v>
      </c>
      <c r="N372" s="125"/>
      <c r="O372" s="125"/>
      <c r="P372" s="87">
        <f>OBRA!S371</f>
        <v>0</v>
      </c>
      <c r="Q372" s="86">
        <f>OBRA!R371</f>
        <v>0</v>
      </c>
      <c r="R372" s="86"/>
      <c r="S372" s="88">
        <f>OBRA!T371</f>
        <v>0</v>
      </c>
      <c r="T372" s="89">
        <f>OBRA!U371</f>
        <v>0</v>
      </c>
      <c r="U372" s="91"/>
      <c r="V372" s="688" t="s">
        <v>1428</v>
      </c>
      <c r="W372" s="311"/>
      <c r="X372" s="89"/>
      <c r="Y372" s="284">
        <f>OBRA!AR371</f>
        <v>0</v>
      </c>
      <c r="Z372" s="311"/>
      <c r="AA372" s="311"/>
      <c r="AB372" s="88"/>
      <c r="AC372" s="467">
        <f>OBRA!BW371</f>
        <v>0</v>
      </c>
      <c r="AD372" s="354"/>
    </row>
    <row r="373" spans="1:30" ht="15" hidden="1" customHeight="1">
      <c r="A373" s="22" t="s">
        <v>2206</v>
      </c>
      <c r="B373" s="809" t="str">
        <f>GRAL!B374</f>
        <v>2018-2021</v>
      </c>
      <c r="C373" s="16">
        <f>OBRA!J372</f>
        <v>2019</v>
      </c>
      <c r="D373" s="17" t="str">
        <f>OBRA!M372</f>
        <v>RAMO 33</v>
      </c>
      <c r="E373" s="478"/>
      <c r="F373" s="352"/>
      <c r="G373" s="1"/>
      <c r="H373" s="352"/>
      <c r="I373" s="54" t="str">
        <f>OBRA!W372</f>
        <v>N/A</v>
      </c>
      <c r="J373" s="55" t="str">
        <f>OBRA!X372</f>
        <v>ING. JUAN MANUEL GARCIA ESCOTO</v>
      </c>
      <c r="K373" s="19" t="str">
        <f>OBRA!N372</f>
        <v>DOP/AD/020/2019</v>
      </c>
      <c r="L373" s="2" t="str">
        <f>OBRA!O372</f>
        <v>ADMINISTRACIÓN DIRECTA</v>
      </c>
      <c r="M373" s="3" t="str">
        <f>OBRA!P372</f>
        <v>"REPOSICIÓN DE TOMAS DOMICILIARIAS DE AGUA POTABLE EN CALLE VERANO ENTRE CALLES NIÑOS HÉROES Y LÓPEZ RAYÓN EN LA CABECERA MUNICIPAL DE JOCOTEPEC, JALISCO.</v>
      </c>
      <c r="N373" s="3"/>
      <c r="O373" s="3"/>
      <c r="P373" s="6">
        <f>OBRA!S372</f>
        <v>43791</v>
      </c>
      <c r="Q373" s="4">
        <f>OBRA!R372</f>
        <v>24608.01</v>
      </c>
      <c r="R373" s="4"/>
      <c r="S373" s="5">
        <f>OBRA!T372</f>
        <v>43792</v>
      </c>
      <c r="T373" s="11">
        <f>OBRA!U372</f>
        <v>43814</v>
      </c>
      <c r="U373" s="53"/>
      <c r="V373" s="377" t="s">
        <v>1428</v>
      </c>
      <c r="W373" s="309"/>
      <c r="X373" s="11"/>
      <c r="Y373" s="279">
        <f>OBRA!AR372</f>
        <v>0</v>
      </c>
      <c r="Z373" s="309"/>
      <c r="AA373" s="309"/>
      <c r="AB373" s="5"/>
      <c r="AC373" s="317">
        <f>OBRA!BW372</f>
        <v>0</v>
      </c>
      <c r="AD373" s="352"/>
    </row>
    <row r="374" spans="1:30" ht="15" hidden="1" customHeight="1">
      <c r="A374" s="22" t="s">
        <v>2206</v>
      </c>
      <c r="B374" s="809" t="str">
        <f>GRAL!B375</f>
        <v>2018-2021</v>
      </c>
      <c r="C374" s="16">
        <f>OBRA!J373</f>
        <v>2019</v>
      </c>
      <c r="D374" s="17" t="str">
        <f>OBRA!M373</f>
        <v>P.I.D.</v>
      </c>
      <c r="E374" s="478"/>
      <c r="F374" s="352"/>
      <c r="G374" s="1"/>
      <c r="H374" s="352"/>
      <c r="I374" s="54" t="str">
        <f>OBRA!W373</f>
        <v>N/A</v>
      </c>
      <c r="J374" s="55">
        <f>OBRA!X373</f>
        <v>0</v>
      </c>
      <c r="K374" s="19" t="str">
        <f>OBRA!N373</f>
        <v>DOP/AD/021/2019</v>
      </c>
      <c r="L374" s="2" t="str">
        <f>OBRA!O373</f>
        <v>CANCELADA</v>
      </c>
      <c r="M374" s="3" t="str">
        <f>OBRA!P373</f>
        <v>"CONSTRUCCIÓN DE PUNTO INOCUO DE DESEMBARQUE EN LA CALLE MORELOS" EN EL ÁREA DE DONACIÓN DEL FRACCIONAMIENTO "JARDINES DE JOCOTEPEC" EN LA CABECERA MUNICIPAL DE JOCOTEPEC, JALISCO.</v>
      </c>
      <c r="N374" s="3"/>
      <c r="O374" s="3"/>
      <c r="P374" s="6">
        <f>OBRA!S373</f>
        <v>0</v>
      </c>
      <c r="Q374" s="4">
        <f>OBRA!R373</f>
        <v>1302585.8500000001</v>
      </c>
      <c r="R374" s="4"/>
      <c r="S374" s="5">
        <f>OBRA!T373</f>
        <v>0</v>
      </c>
      <c r="T374" s="11">
        <f>OBRA!U373</f>
        <v>0</v>
      </c>
      <c r="U374" s="53"/>
      <c r="V374" s="377" t="s">
        <v>1428</v>
      </c>
      <c r="W374" s="309"/>
      <c r="X374" s="11"/>
      <c r="Y374" s="279">
        <f>OBRA!AR373</f>
        <v>0</v>
      </c>
      <c r="Z374" s="309"/>
      <c r="AA374" s="309"/>
      <c r="AB374" s="5"/>
      <c r="AC374" s="317">
        <f>OBRA!BW373</f>
        <v>0</v>
      </c>
      <c r="AD374" s="352"/>
    </row>
    <row r="375" spans="1:30" ht="15" hidden="1" customHeight="1">
      <c r="A375" s="22" t="s">
        <v>2206</v>
      </c>
      <c r="B375" s="809" t="str">
        <f>GRAL!B376</f>
        <v>2018-2021</v>
      </c>
      <c r="C375" s="16">
        <f>OBRA!J374</f>
        <v>2019</v>
      </c>
      <c r="D375" s="17" t="str">
        <f>OBRA!M374</f>
        <v>RAMO 33</v>
      </c>
      <c r="E375" s="478"/>
      <c r="F375" s="352"/>
      <c r="G375" s="1"/>
      <c r="H375" s="352"/>
      <c r="I375" s="54" t="str">
        <f>OBRA!W374</f>
        <v>N/A</v>
      </c>
      <c r="J375" s="55" t="str">
        <f>OBRA!X374</f>
        <v>ING. J. GUADALUPE IBARRA RAMIREZ</v>
      </c>
      <c r="K375" s="19" t="str">
        <f>OBRA!N374</f>
        <v>DOP/AD/022/2019</v>
      </c>
      <c r="L375" s="2" t="str">
        <f>OBRA!O374</f>
        <v>ADMINISTRACIÓN DIRECTA</v>
      </c>
      <c r="M375" s="3" t="str">
        <f>OBRA!P374</f>
        <v>REHABILITACIÓN DE RED DE DRENAJE SANITARIO EN CALLE LA PAZ ENTRE TACUBA Y VICENTE GUERRERO", EN LA LOCALIDAD DE SAN JUAN CÓSALA, DEL MUNICIPIO DE JOCOTEPEC, JALISCO.</v>
      </c>
      <c r="N375" s="3"/>
      <c r="O375" s="3"/>
      <c r="P375" s="6">
        <f>OBRA!S374</f>
        <v>43819</v>
      </c>
      <c r="Q375" s="4">
        <f>OBRA!R374</f>
        <v>232200.43</v>
      </c>
      <c r="R375" s="4"/>
      <c r="S375" s="5">
        <f>OBRA!T374</f>
        <v>43819</v>
      </c>
      <c r="T375" s="11">
        <f>OBRA!U374</f>
        <v>43830</v>
      </c>
      <c r="U375" s="53"/>
      <c r="V375" s="377" t="s">
        <v>1428</v>
      </c>
      <c r="W375" s="309"/>
      <c r="X375" s="11"/>
      <c r="Y375" s="279">
        <f>OBRA!AR374</f>
        <v>0</v>
      </c>
      <c r="Z375" s="309"/>
      <c r="AA375" s="309"/>
      <c r="AB375" s="5"/>
      <c r="AC375" s="317">
        <f>OBRA!BW374</f>
        <v>0</v>
      </c>
      <c r="AD375" s="352"/>
    </row>
    <row r="376" spans="1:30" ht="15" hidden="1" customHeight="1">
      <c r="A376" s="22" t="s">
        <v>2206</v>
      </c>
      <c r="B376" s="809" t="str">
        <f>GRAL!B377</f>
        <v>2018-2021</v>
      </c>
      <c r="C376" s="16">
        <f>OBRA!J375</f>
        <v>2019</v>
      </c>
      <c r="D376" s="17">
        <f>OBRA!M375</f>
        <v>0</v>
      </c>
      <c r="E376" s="478"/>
      <c r="F376" s="352"/>
      <c r="G376" s="1"/>
      <c r="H376" s="352"/>
      <c r="I376" s="54" t="str">
        <f>OBRA!W375</f>
        <v>N/A</v>
      </c>
      <c r="J376" s="55">
        <f>OBRA!X375</f>
        <v>0</v>
      </c>
      <c r="K376" s="19" t="str">
        <f>OBRA!N375</f>
        <v>DOP/AD/023/2019</v>
      </c>
      <c r="L376" s="2" t="str">
        <f>OBRA!O375</f>
        <v>CANCELADA</v>
      </c>
      <c r="M376" s="3">
        <f>OBRA!P375</f>
        <v>0</v>
      </c>
      <c r="N376" s="3"/>
      <c r="O376" s="3"/>
      <c r="P376" s="6">
        <f>OBRA!S375</f>
        <v>0</v>
      </c>
      <c r="Q376" s="4">
        <f>OBRA!R375</f>
        <v>0</v>
      </c>
      <c r="R376" s="4"/>
      <c r="S376" s="5">
        <f>OBRA!T375</f>
        <v>0</v>
      </c>
      <c r="T376" s="11">
        <f>OBRA!U375</f>
        <v>0</v>
      </c>
      <c r="U376" s="53"/>
      <c r="V376" s="377" t="s">
        <v>1428</v>
      </c>
      <c r="W376" s="309"/>
      <c r="X376" s="11"/>
      <c r="Y376" s="279">
        <f>OBRA!AR375</f>
        <v>0</v>
      </c>
      <c r="Z376" s="309"/>
      <c r="AA376" s="309"/>
      <c r="AB376" s="5"/>
      <c r="AC376" s="317">
        <f>OBRA!BW375</f>
        <v>0</v>
      </c>
      <c r="AD376" s="352"/>
    </row>
    <row r="377" spans="1:30" ht="15" hidden="1" customHeight="1">
      <c r="A377" s="22" t="s">
        <v>2206</v>
      </c>
      <c r="B377" s="809" t="str">
        <f>GRAL!B378</f>
        <v>2018-2021</v>
      </c>
      <c r="C377" s="16">
        <f>OBRA!J376</f>
        <v>2019</v>
      </c>
      <c r="D377" s="17" t="str">
        <f>OBRA!M376</f>
        <v>RAMO 33</v>
      </c>
      <c r="E377" s="478"/>
      <c r="F377" s="352"/>
      <c r="G377" s="1"/>
      <c r="H377" s="352"/>
      <c r="I377" s="54" t="str">
        <f>OBRA!W376</f>
        <v>N/A</v>
      </c>
      <c r="J377" s="55" t="str">
        <f>OBRA!X376</f>
        <v>LIC. SALVADOR CONTRERAS OLGUÍN</v>
      </c>
      <c r="K377" s="19" t="str">
        <f>OBRA!N376</f>
        <v>DOP/AD/024/2019</v>
      </c>
      <c r="L377" s="2" t="str">
        <f>OBRA!O376</f>
        <v>ADMINISTRACIÓN DIRECTA</v>
      </c>
      <c r="M377" s="3" t="str">
        <f>OBRA!P376</f>
        <v>"CONSTRUCCIÓN DE BANQUETAS 2DA. ETAPA EN LA CALLE MORELOS", EN LA LOCALIDAD DE CHANTEPEC, DEL MUNICIPIO DE JOCOTEPEC, JALISCO.</v>
      </c>
      <c r="N377" s="3"/>
      <c r="O377" s="3"/>
      <c r="P377" s="6">
        <f>OBRA!S376</f>
        <v>43801</v>
      </c>
      <c r="Q377" s="4">
        <f>OBRA!R376</f>
        <v>11470</v>
      </c>
      <c r="R377" s="4"/>
      <c r="S377" s="5">
        <f>OBRA!T376</f>
        <v>43825</v>
      </c>
      <c r="T377" s="11">
        <f>OBRA!U376</f>
        <v>43830</v>
      </c>
      <c r="U377" s="53"/>
      <c r="V377" s="377" t="s">
        <v>1428</v>
      </c>
      <c r="W377" s="309"/>
      <c r="X377" s="11"/>
      <c r="Y377" s="279">
        <f>OBRA!AR376</f>
        <v>0</v>
      </c>
      <c r="Z377" s="309"/>
      <c r="AA377" s="309"/>
      <c r="AB377" s="5"/>
      <c r="AC377" s="317">
        <f>OBRA!BW376</f>
        <v>0</v>
      </c>
      <c r="AD377" s="352"/>
    </row>
    <row r="378" spans="1:30" ht="15" hidden="1" customHeight="1">
      <c r="A378" s="22" t="s">
        <v>2206</v>
      </c>
      <c r="B378" s="809" t="str">
        <f>GRAL!B379</f>
        <v>2018-2021</v>
      </c>
      <c r="C378" s="16">
        <f>OBRA!J377</f>
        <v>2019</v>
      </c>
      <c r="D378" s="17">
        <f>OBRA!M377</f>
        <v>0</v>
      </c>
      <c r="E378" s="478"/>
      <c r="F378" s="352"/>
      <c r="G378" s="1"/>
      <c r="H378" s="352"/>
      <c r="I378" s="54" t="str">
        <f>OBRA!W377</f>
        <v>-</v>
      </c>
      <c r="J378" s="55">
        <f>OBRA!X377</f>
        <v>0</v>
      </c>
      <c r="K378" s="19" t="str">
        <f>OBRA!N377</f>
        <v>DOP/AD/025/2019</v>
      </c>
      <c r="L378" s="2" t="str">
        <f>OBRA!O377</f>
        <v>CANCELADA</v>
      </c>
      <c r="M378" s="3">
        <f>OBRA!P377</f>
        <v>0</v>
      </c>
      <c r="N378" s="3"/>
      <c r="O378" s="3"/>
      <c r="P378" s="6">
        <f>OBRA!S377</f>
        <v>0</v>
      </c>
      <c r="Q378" s="4">
        <f>OBRA!R377</f>
        <v>0</v>
      </c>
      <c r="R378" s="4"/>
      <c r="S378" s="5">
        <f>OBRA!T377</f>
        <v>0</v>
      </c>
      <c r="T378" s="11">
        <f>OBRA!U377</f>
        <v>0</v>
      </c>
      <c r="U378" s="53"/>
      <c r="V378" s="377" t="s">
        <v>1428</v>
      </c>
      <c r="W378" s="309"/>
      <c r="X378" s="11"/>
      <c r="Y378" s="279">
        <f>OBRA!AR377</f>
        <v>0</v>
      </c>
      <c r="Z378" s="309"/>
      <c r="AA378" s="309"/>
      <c r="AB378" s="5"/>
      <c r="AC378" s="317">
        <f>OBRA!BW377</f>
        <v>0</v>
      </c>
      <c r="AD378" s="352"/>
    </row>
    <row r="379" spans="1:30" ht="107.25" hidden="1" customHeight="1">
      <c r="A379" s="22" t="s">
        <v>45</v>
      </c>
      <c r="B379" s="809" t="str">
        <f>GRAL!B380</f>
        <v>2018-2021</v>
      </c>
      <c r="C379" s="16">
        <f>OBRA!J378</f>
        <v>2019</v>
      </c>
      <c r="D379" s="18" t="str">
        <f>OBRA!M378</f>
        <v>RASTRO DIGNO / CTA-CTE</v>
      </c>
      <c r="E379" s="1170"/>
      <c r="F379" s="1108"/>
      <c r="G379" s="219"/>
      <c r="H379" s="1108"/>
      <c r="I379" s="54" t="str">
        <f>OBRA!W378</f>
        <v>BIOESTERES DE MÉXICO S.A. DE C.V.</v>
      </c>
      <c r="J379" s="55" t="str">
        <f>OBRA!X378</f>
        <v>ARQ. JAIME CONDE GOMEZ</v>
      </c>
      <c r="K379" s="33" t="str">
        <f>OBRA!N378</f>
        <v>RASTRO DIGNO 2019</v>
      </c>
      <c r="L379" s="2" t="str">
        <f>OBRA!O378</f>
        <v>ADQUISICIÓN</v>
      </c>
      <c r="M379" s="3" t="str">
        <f>OBRA!P378</f>
        <v>ADQUISICIÓN DE: "UN REACTOR ANAEROBIO UASB-IC, PARA EL SISTEMA DE AGUAS RESIDUALES DEL RASTRO MUNICIPAL" DE LA CABECERA MUNICIPAL DE JOCOTEPEC, JALISCO.</v>
      </c>
      <c r="N379" s="504" t="s">
        <v>3493</v>
      </c>
      <c r="O379" s="504"/>
      <c r="P379" s="6">
        <f>OBRA!S378</f>
        <v>43776</v>
      </c>
      <c r="Q379" s="4">
        <f>OBRA!R378</f>
        <v>1688681.79</v>
      </c>
      <c r="R379" s="4"/>
      <c r="S379" s="5">
        <f>OBRA!T378</f>
        <v>43783</v>
      </c>
      <c r="T379" s="11">
        <f>OBRA!U378</f>
        <v>43814</v>
      </c>
      <c r="U379" s="207" t="s">
        <v>3815</v>
      </c>
      <c r="V379" s="377" t="s">
        <v>1428</v>
      </c>
      <c r="W379" s="309" t="s">
        <v>1428</v>
      </c>
      <c r="X379" s="11" t="s">
        <v>1428</v>
      </c>
      <c r="Y379" s="1199">
        <f>OBRA!AR378</f>
        <v>0</v>
      </c>
      <c r="Z379" s="309"/>
      <c r="AA379" s="309"/>
      <c r="AB379" s="5"/>
      <c r="AC379" s="317">
        <f>OBRA!BW378</f>
        <v>0</v>
      </c>
      <c r="AD379" s="352"/>
    </row>
    <row r="380" spans="1:30" ht="75" hidden="1" customHeight="1">
      <c r="A380" s="22" t="s">
        <v>45</v>
      </c>
      <c r="B380" s="809" t="str">
        <f>GRAL!B381</f>
        <v>2018-2021</v>
      </c>
      <c r="C380" s="16">
        <f>OBRA!J379</f>
        <v>2019</v>
      </c>
      <c r="D380" s="17" t="str">
        <f>OBRA!M379</f>
        <v>P.I.D.</v>
      </c>
      <c r="E380" s="1170"/>
      <c r="F380" s="1108"/>
      <c r="G380" s="219"/>
      <c r="H380" s="1108"/>
      <c r="I380" s="54" t="str">
        <f>OBRA!W379</f>
        <v>C. JESÚS RAMÍREZ JIMÉNEZ</v>
      </c>
      <c r="J380" s="55" t="str">
        <f>OBRA!X379</f>
        <v>LIC. SALVADOR CONTRERAS OLGUÍN</v>
      </c>
      <c r="K380" s="33" t="str">
        <f>OBRA!N379</f>
        <v>PID/2019 - NEXTIPAC</v>
      </c>
      <c r="L380" s="2" t="str">
        <f>OBRA!O379</f>
        <v>ADQUISICIÓN</v>
      </c>
      <c r="M380" s="3" t="str">
        <f>OBRA!P379</f>
        <v>ADQUISICIÓN DE: UN MUELLE FLOTANTE Y ESTACIÓN DE RECICLADO, PARA LA LOCALIDAD DE NEXTIPAC.</v>
      </c>
      <c r="N380" s="504" t="s">
        <v>3493</v>
      </c>
      <c r="O380" s="504"/>
      <c r="P380" s="6">
        <f>OBRA!S379</f>
        <v>43759</v>
      </c>
      <c r="Q380" s="4">
        <f>OBRA!R379</f>
        <v>256520.08</v>
      </c>
      <c r="R380" s="4"/>
      <c r="S380" s="5" t="str">
        <f>OBRA!T379</f>
        <v>-</v>
      </c>
      <c r="T380" s="11" t="str">
        <f>OBRA!U379</f>
        <v>-</v>
      </c>
      <c r="U380" s="1352" t="s">
        <v>3816</v>
      </c>
      <c r="V380" s="377" t="s">
        <v>1428</v>
      </c>
      <c r="W380" s="309" t="s">
        <v>1428</v>
      </c>
      <c r="X380" s="11" t="s">
        <v>1428</v>
      </c>
      <c r="Y380" s="1199">
        <f>OBRA!AR379</f>
        <v>0</v>
      </c>
      <c r="Z380" s="309"/>
      <c r="AA380" s="309"/>
      <c r="AB380" s="5"/>
      <c r="AC380" s="317">
        <f>OBRA!BW379</f>
        <v>0</v>
      </c>
      <c r="AD380" s="352"/>
    </row>
    <row r="381" spans="1:30" ht="84.75" hidden="1" customHeight="1">
      <c r="A381" s="22" t="s">
        <v>45</v>
      </c>
      <c r="B381" s="809" t="str">
        <f>GRAL!B382</f>
        <v>2018-2021</v>
      </c>
      <c r="C381" s="16">
        <f>OBRA!J380</f>
        <v>2019</v>
      </c>
      <c r="D381" s="17" t="str">
        <f>OBRA!M380</f>
        <v>P.I.D.</v>
      </c>
      <c r="E381" s="1170"/>
      <c r="F381" s="1108"/>
      <c r="G381" s="219"/>
      <c r="H381" s="1108"/>
      <c r="I381" s="54" t="str">
        <f>OBRA!W380</f>
        <v>C. JESÚS RAMÍREZ JIMÉNEZ</v>
      </c>
      <c r="J381" s="55" t="str">
        <f>OBRA!X380</f>
        <v>ARQ. CESAR ANTONIO ALONSO JIMENEZ</v>
      </c>
      <c r="K381" s="19" t="str">
        <f>OBRA!N380</f>
        <v>PID/2019 - SJC</v>
      </c>
      <c r="L381" s="2" t="str">
        <f>OBRA!O380</f>
        <v>ADQUISICIÓN</v>
      </c>
      <c r="M381" s="3" t="str">
        <f>OBRA!P380</f>
        <v>ADQUISICIÓN DE: UN MUELLE FLOTANTE Y ESTACIÓN DE RECICLADO, PARA LA LOCALIDAD DE SAN JUAN CÓSALA.</v>
      </c>
      <c r="N381" s="504" t="s">
        <v>3493</v>
      </c>
      <c r="O381" s="504"/>
      <c r="P381" s="6">
        <f>OBRA!S380</f>
        <v>43759</v>
      </c>
      <c r="Q381" s="4">
        <f>OBRA!R380</f>
        <v>256520.08</v>
      </c>
      <c r="R381" s="4"/>
      <c r="S381" s="5" t="str">
        <f>OBRA!T380</f>
        <v>-</v>
      </c>
      <c r="T381" s="11" t="str">
        <f>OBRA!U380</f>
        <v>-</v>
      </c>
      <c r="U381" s="1352" t="s">
        <v>3816</v>
      </c>
      <c r="V381" s="377" t="s">
        <v>1428</v>
      </c>
      <c r="W381" s="309" t="s">
        <v>1428</v>
      </c>
      <c r="X381" s="11" t="s">
        <v>1428</v>
      </c>
      <c r="Y381" s="1199">
        <f>OBRA!AR380</f>
        <v>0</v>
      </c>
      <c r="Z381" s="309"/>
      <c r="AA381" s="309"/>
      <c r="AB381" s="5"/>
      <c r="AC381" s="317">
        <f>OBRA!BW380</f>
        <v>0</v>
      </c>
      <c r="AD381" s="352"/>
    </row>
    <row r="382" spans="1:30" ht="87" hidden="1" customHeight="1">
      <c r="A382" s="22" t="s">
        <v>45</v>
      </c>
      <c r="B382" s="809" t="str">
        <f>GRAL!B383</f>
        <v>2018-2021</v>
      </c>
      <c r="C382" s="16">
        <f>OBRA!J381</f>
        <v>2019</v>
      </c>
      <c r="D382" s="17" t="str">
        <f>OBRA!M381</f>
        <v>CUENTA CORRIENTE</v>
      </c>
      <c r="E382" s="478" t="s">
        <v>1428</v>
      </c>
      <c r="F382" s="1108"/>
      <c r="G382" s="219"/>
      <c r="H382" s="1108"/>
      <c r="I382" s="54" t="str">
        <f>OBRA!W381</f>
        <v>C. VICENTE NAVARRO RUIZ</v>
      </c>
      <c r="J382" s="55" t="str">
        <f>OBRA!X381</f>
        <v>-</v>
      </c>
      <c r="K382" s="19" t="str">
        <f>OBRA!N381</f>
        <v>CTA-CTE/2019</v>
      </c>
      <c r="L382" s="2" t="str">
        <f>OBRA!O381</f>
        <v>ARRENDAMIENTO</v>
      </c>
      <c r="M382" s="3" t="str">
        <f>OBRA!P381</f>
        <v>ARRENTAMIENTO DEL: INMUEBLE UBICADO EN CALLE HIDALGO Nº 12, EN LA LOCALIDAD DEL MOLINO, PERTENECIENTE AL MUNICIPIO DE JOCOTEPEC, JALISCO.</v>
      </c>
      <c r="N382" s="541"/>
      <c r="O382" s="541"/>
      <c r="P382" s="6">
        <f>OBRA!S381</f>
        <v>43699</v>
      </c>
      <c r="Q382" s="4">
        <f>OBRA!R381</f>
        <v>4800</v>
      </c>
      <c r="R382" s="4"/>
      <c r="S382" s="5">
        <f>OBRA!T381</f>
        <v>43699</v>
      </c>
      <c r="T382" s="11">
        <f>OBRA!U381</f>
        <v>43821</v>
      </c>
      <c r="U382" s="207" t="s">
        <v>3815</v>
      </c>
      <c r="V382" s="377" t="s">
        <v>1428</v>
      </c>
      <c r="W382" s="309" t="s">
        <v>1428</v>
      </c>
      <c r="X382" s="11" t="s">
        <v>1428</v>
      </c>
      <c r="Y382" s="1199">
        <f>OBRA!AR381</f>
        <v>0</v>
      </c>
      <c r="Z382" s="309"/>
      <c r="AA382" s="309"/>
      <c r="AB382" s="5"/>
      <c r="AC382" s="317">
        <f>OBRA!BW381</f>
        <v>0</v>
      </c>
      <c r="AD382" s="352"/>
    </row>
    <row r="383" spans="1:30" ht="96" hidden="1" customHeight="1">
      <c r="A383" s="22" t="s">
        <v>45</v>
      </c>
      <c r="B383" s="809" t="str">
        <f>GRAL!B384</f>
        <v>2018-2021</v>
      </c>
      <c r="C383" s="16">
        <f>OBRA!J382</f>
        <v>2019</v>
      </c>
      <c r="D383" s="17" t="str">
        <f>OBRA!M382</f>
        <v>RAMO 33</v>
      </c>
      <c r="E383" s="478" t="s">
        <v>1428</v>
      </c>
      <c r="F383" s="352" t="s">
        <v>1428</v>
      </c>
      <c r="G383" s="219"/>
      <c r="H383" s="352" t="s">
        <v>1428</v>
      </c>
      <c r="I383" s="54" t="str">
        <f>OBRA!W382</f>
        <v>CONSTRUCTORA PIMONT S.A. DE C.V.</v>
      </c>
      <c r="J383" s="55" t="str">
        <f>OBRA!X382</f>
        <v>-</v>
      </c>
      <c r="K383" s="33" t="str">
        <f>OBRA!N382</f>
        <v>LEVANTAMIENTOS TOPOGRAFICOS</v>
      </c>
      <c r="L383" s="2" t="str">
        <f>OBRA!O382</f>
        <v>SERVICIOS</v>
      </c>
      <c r="M383" s="3" t="str">
        <f>OBRA!P382</f>
        <v>CONTRATACIÓN DE LA PRESTACIÓN DE SERVICIOS PROFECIONALES para realización de levantamientos topograficos y propuestas de rasantes, en los proyectos del programa FAIS RAMO 33-Ejercicio Fiscal-2019, en las ZONAS ZAP del Municipio de Jocotepec, Jalisco.</v>
      </c>
      <c r="N383" s="466" t="s">
        <v>3726</v>
      </c>
      <c r="O383" s="466"/>
      <c r="P383" s="6">
        <f>OBRA!S382</f>
        <v>43637</v>
      </c>
      <c r="Q383" s="4">
        <f>OBRA!R382</f>
        <v>250096</v>
      </c>
      <c r="R383" s="4"/>
      <c r="S383" s="5">
        <f>OBRA!T382</f>
        <v>43640</v>
      </c>
      <c r="T383" s="11">
        <f>OBRA!U382</f>
        <v>43830</v>
      </c>
      <c r="U383" s="1352" t="s">
        <v>3816</v>
      </c>
      <c r="V383" s="377" t="s">
        <v>1428</v>
      </c>
      <c r="W383" s="309" t="s">
        <v>1428</v>
      </c>
      <c r="X383" s="11" t="s">
        <v>1428</v>
      </c>
      <c r="Y383" s="1199">
        <f>OBRA!AR382</f>
        <v>0</v>
      </c>
      <c r="Z383" s="309"/>
      <c r="AA383" s="309"/>
      <c r="AB383" s="5"/>
      <c r="AC383" s="317">
        <f>OBRA!BW382</f>
        <v>0</v>
      </c>
      <c r="AD383" s="352"/>
    </row>
    <row r="384" spans="1:30" ht="186.75" hidden="1" customHeight="1">
      <c r="A384" s="22" t="s">
        <v>2206</v>
      </c>
      <c r="B384" s="809" t="str">
        <f>GRAL!B385</f>
        <v>2018-2021</v>
      </c>
      <c r="C384" s="16">
        <f>OBRA!J383</f>
        <v>2019</v>
      </c>
      <c r="D384" s="17" t="str">
        <f>OBRA!M383</f>
        <v>RAMO 33</v>
      </c>
      <c r="E384" s="478" t="s">
        <v>1428</v>
      </c>
      <c r="F384" s="867"/>
      <c r="G384" s="878"/>
      <c r="H384" s="1228"/>
      <c r="I384" s="54" t="str">
        <f>OBRA!W383</f>
        <v>CONSTRUCTORA PIMONT S.A. DE C.V.</v>
      </c>
      <c r="J384" s="55" t="str">
        <f>OBRA!X383</f>
        <v>ING. J. GUADALUPE IBARRA RAMIREZ</v>
      </c>
      <c r="K384" s="33" t="str">
        <f>OBRA!N383</f>
        <v>GMJ 001 C-OP/2019</v>
      </c>
      <c r="L384" s="2" t="str">
        <f>OBRA!O383</f>
        <v>ADJUDICACIÓN DIRECTA</v>
      </c>
      <c r="M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6" t="s">
        <v>3494</v>
      </c>
      <c r="O384" s="466"/>
      <c r="P384" s="6">
        <f>OBRA!S383</f>
        <v>43529</v>
      </c>
      <c r="Q384" s="4">
        <f>OBRA!R383</f>
        <v>731445.69</v>
      </c>
      <c r="R384" s="4"/>
      <c r="S384" s="5">
        <f>OBRA!T383</f>
        <v>43530</v>
      </c>
      <c r="T384" s="11">
        <f>OBRA!U383</f>
        <v>43616</v>
      </c>
      <c r="U384" s="53"/>
      <c r="V384" s="377" t="s">
        <v>1428</v>
      </c>
      <c r="W384" s="867"/>
      <c r="X384" s="1228"/>
      <c r="Y384" s="986">
        <f>OBRA!AR383</f>
        <v>146289.12</v>
      </c>
      <c r="Z384" s="309"/>
      <c r="AA384" s="309"/>
      <c r="AB384" s="5"/>
      <c r="AC384" s="317">
        <f>OBRA!BW383</f>
        <v>0</v>
      </c>
      <c r="AD384" s="352" t="s">
        <v>551</v>
      </c>
    </row>
    <row r="385" spans="1:30" ht="98.25" hidden="1" customHeight="1">
      <c r="A385" s="22" t="s">
        <v>2206</v>
      </c>
      <c r="B385" s="809" t="str">
        <f>GRAL!B386</f>
        <v>2018-2021</v>
      </c>
      <c r="C385" s="16">
        <f>OBRA!J384</f>
        <v>2019</v>
      </c>
      <c r="D385" s="17" t="str">
        <f>OBRA!M384</f>
        <v>CUENTA CORRIENTE</v>
      </c>
      <c r="E385" s="478" t="s">
        <v>1428</v>
      </c>
      <c r="F385" s="867"/>
      <c r="G385" s="878"/>
      <c r="H385" s="1228"/>
      <c r="I385" s="54" t="str">
        <f>OBRA!W384</f>
        <v>CONSTRUCTORA PIMONT S.A. DE C.V.</v>
      </c>
      <c r="J385" s="55" t="str">
        <f>OBRA!X384</f>
        <v>LIC. SALVADOR CONTRERAS OLGUÍN</v>
      </c>
      <c r="K385" s="33" t="str">
        <f>OBRA!N384</f>
        <v>GMJ 002 C-OP/2019</v>
      </c>
      <c r="L385" s="2" t="str">
        <f>OBRA!O384</f>
        <v>ADJUDICACIÓN DIRECTA</v>
      </c>
      <c r="M385" s="3" t="str">
        <f>OBRA!P384</f>
        <v>"CONSERVACIÓN Y MANTENIMIENTO INCLUYENTE DE BANQUETA Y ACCESO A HOSPITAL DE URGENCIAS EN LA CABECERA MUNICIPAL DE JOCOTEPEC, JALISCO"</v>
      </c>
      <c r="N385" s="466" t="s">
        <v>3494</v>
      </c>
      <c r="O385" s="466"/>
      <c r="P385" s="6">
        <f>OBRA!S384</f>
        <v>43592</v>
      </c>
      <c r="Q385" s="4">
        <f>OBRA!R384</f>
        <v>140710.85999999999</v>
      </c>
      <c r="R385" s="4"/>
      <c r="S385" s="5">
        <f>OBRA!T384</f>
        <v>43593</v>
      </c>
      <c r="T385" s="11">
        <f>OBRA!U384</f>
        <v>43624</v>
      </c>
      <c r="U385" s="53"/>
      <c r="V385" s="377" t="s">
        <v>1428</v>
      </c>
      <c r="W385" s="867"/>
      <c r="X385" s="1228"/>
      <c r="Y385" s="986">
        <f>OBRA!AR384</f>
        <v>118142.16</v>
      </c>
      <c r="Z385" s="309"/>
      <c r="AA385" s="309"/>
      <c r="AB385" s="5"/>
      <c r="AC385" s="317">
        <f>OBRA!BW384</f>
        <v>0</v>
      </c>
      <c r="AD385" s="352" t="s">
        <v>551</v>
      </c>
    </row>
    <row r="386" spans="1:30" ht="99.95" hidden="1" customHeight="1">
      <c r="A386" s="22" t="s">
        <v>2206</v>
      </c>
      <c r="B386" s="809" t="str">
        <f>GRAL!B387</f>
        <v>2018-2021</v>
      </c>
      <c r="C386" s="16">
        <f>OBRA!J385</f>
        <v>2019</v>
      </c>
      <c r="D386" s="17" t="str">
        <f>OBRA!M385</f>
        <v>RAMO 33</v>
      </c>
      <c r="E386" s="478" t="s">
        <v>1428</v>
      </c>
      <c r="F386" s="867"/>
      <c r="G386" s="878"/>
      <c r="H386" s="1228"/>
      <c r="I386" s="54" t="str">
        <f>OBRA!W385</f>
        <v>ARQUITECTURA INGENIERÍA MENDPAD S.A. DE C.V.</v>
      </c>
      <c r="J386" s="55" t="str">
        <f>OBRA!X385</f>
        <v>LIC. SALVADOR CONTRERAS OLGUÍN</v>
      </c>
      <c r="K386" s="33" t="str">
        <f>OBRA!N385</f>
        <v>GMJ 003 C-OP/2019</v>
      </c>
      <c r="L386" s="2" t="str">
        <f>OBRA!O385</f>
        <v>CANCELADA</v>
      </c>
      <c r="M386" s="3" t="str">
        <f>OBRA!P385</f>
        <v>"REHABILITACIÓN DE LÍNEAS HIDROSANITARIAS EN LA CALLE PRIVADA MORELOS DELEGACIÓN DE SAN JUAN COSALA MUNICIPIO DE JOCOTEPEC, JALISCO".</v>
      </c>
      <c r="N386" s="466" t="s">
        <v>3494</v>
      </c>
      <c r="O386" s="466"/>
      <c r="P386" s="67">
        <f>OBRA!S385</f>
        <v>43609</v>
      </c>
      <c r="Q386" s="79">
        <f>OBRA!R385</f>
        <v>400650.13</v>
      </c>
      <c r="R386" s="79"/>
      <c r="S386" s="5">
        <f>OBRA!T385</f>
        <v>43612</v>
      </c>
      <c r="T386" s="11">
        <f>OBRA!U385</f>
        <v>43629</v>
      </c>
      <c r="U386" s="53"/>
      <c r="V386" s="62" t="s">
        <v>1428</v>
      </c>
      <c r="W386" s="867"/>
      <c r="X386" s="1228"/>
      <c r="Y386" s="986">
        <f>OBRA!AR385</f>
        <v>80130.02</v>
      </c>
      <c r="Z386" s="309"/>
      <c r="AA386" s="309"/>
      <c r="AB386" s="5"/>
      <c r="AC386" s="317">
        <f>OBRA!BW385</f>
        <v>0</v>
      </c>
      <c r="AD386" s="352" t="s">
        <v>551</v>
      </c>
    </row>
    <row r="387" spans="1:30" ht="99.95" hidden="1" customHeight="1">
      <c r="A387" s="22" t="s">
        <v>2206</v>
      </c>
      <c r="B387" s="809" t="str">
        <f>GRAL!B388</f>
        <v>2018-2021</v>
      </c>
      <c r="C387" s="16">
        <f>OBRA!J386</f>
        <v>2019</v>
      </c>
      <c r="D387" s="17" t="str">
        <f>OBRA!M386</f>
        <v>RAMO 33</v>
      </c>
      <c r="E387" s="478" t="s">
        <v>1428</v>
      </c>
      <c r="F387" s="867"/>
      <c r="G387" s="878"/>
      <c r="H387" s="1228"/>
      <c r="I387" s="54" t="str">
        <f>OBRA!W386</f>
        <v>CONSTRUCTORA PIMONT S.A. DE C.V.</v>
      </c>
      <c r="J387" s="55" t="str">
        <f>OBRA!X386</f>
        <v>LIC. SALVADOR CONTRERAS OLGUÍN</v>
      </c>
      <c r="K387" s="33" t="str">
        <f>OBRA!N386</f>
        <v>GMJ 004 C-OP/2019</v>
      </c>
      <c r="L387" s="2" t="str">
        <f>OBRA!O386</f>
        <v>ADJUDICACIÓN DIRECTA</v>
      </c>
      <c r="M387" s="3" t="str">
        <f>OBRA!P386</f>
        <v>"CONSTRUCCIÓN DE BANQUETAS EN CALLE CUAUHTÉMOC, DELEGACIÓN DEL CHANTE, MUNICIPIO DE JOCOTEPEC, JALISCO</v>
      </c>
      <c r="N387" s="466" t="s">
        <v>3494</v>
      </c>
      <c r="O387" s="466"/>
      <c r="P387" s="6">
        <f>OBRA!S386</f>
        <v>43609</v>
      </c>
      <c r="Q387" s="4">
        <f>OBRA!R386</f>
        <v>149018.54</v>
      </c>
      <c r="R387" s="4"/>
      <c r="S387" s="5">
        <f>OBRA!T386</f>
        <v>43612</v>
      </c>
      <c r="T387" s="11">
        <f>OBRA!U386</f>
        <v>43626</v>
      </c>
      <c r="U387" s="53"/>
      <c r="V387" s="377" t="s">
        <v>1428</v>
      </c>
      <c r="W387" s="867"/>
      <c r="X387" s="1228"/>
      <c r="Y387" s="986">
        <f>OBRA!AR386</f>
        <v>29803.7</v>
      </c>
      <c r="Z387" s="309"/>
      <c r="AA387" s="309"/>
      <c r="AB387" s="5"/>
      <c r="AC387" s="317">
        <f>OBRA!BW386</f>
        <v>0</v>
      </c>
      <c r="AD387" s="352" t="s">
        <v>551</v>
      </c>
    </row>
    <row r="388" spans="1:30" ht="143.25" hidden="1" customHeight="1">
      <c r="A388" s="22" t="s">
        <v>2206</v>
      </c>
      <c r="B388" s="809" t="str">
        <f>GRAL!B389</f>
        <v>2018-2021</v>
      </c>
      <c r="C388" s="16">
        <f>OBRA!J387</f>
        <v>2019</v>
      </c>
      <c r="D388" s="17" t="str">
        <f>OBRA!M387</f>
        <v>RAMO 33</v>
      </c>
      <c r="E388" s="478" t="s">
        <v>1428</v>
      </c>
      <c r="F388" s="867"/>
      <c r="G388" s="878"/>
      <c r="H388" s="1228"/>
      <c r="I388" s="54" t="str">
        <f>OBRA!W387</f>
        <v>SIFRAL INGENIERIA S.A. DE C.V.</v>
      </c>
      <c r="J388" s="55" t="str">
        <f>OBRA!X387</f>
        <v>ING. J. GUADALUPE IBARRA RAMIREZ</v>
      </c>
      <c r="K388" s="33" t="str">
        <f>OBRA!N387</f>
        <v>GMJ 005 C-OP/2019</v>
      </c>
      <c r="L388" s="2" t="str">
        <f>OBRA!O387</f>
        <v>ADJUDICACIÓN DIRECTA</v>
      </c>
      <c r="M388" s="3" t="str">
        <f>OBRA!P387</f>
        <v xml:space="preserve">"REHABILITACIÓN DE LINEAS DE AGUA POTABLE EN CALLE 20 DE NOVIEMBRE DE ITURBIDE A PRIMAVERA CON REPOSICIÓN DE SUPERFICIE DE RODAMIENTO", CABECERA MUNICIPAL DEL MUNICIPIO DE JOCOTEPEC, JALISCO. </v>
      </c>
      <c r="N388" s="466" t="s">
        <v>3494</v>
      </c>
      <c r="O388" s="466"/>
      <c r="P388" s="6">
        <f>OBRA!S387</f>
        <v>43606</v>
      </c>
      <c r="Q388" s="4">
        <f>OBRA!R387</f>
        <v>603785.16</v>
      </c>
      <c r="R388" s="4"/>
      <c r="S388" s="5">
        <f>OBRA!T387</f>
        <v>43608</v>
      </c>
      <c r="T388" s="11">
        <f>OBRA!U387</f>
        <v>43677</v>
      </c>
      <c r="U388" s="53"/>
      <c r="V388" s="62" t="s">
        <v>1428</v>
      </c>
      <c r="W388" s="587"/>
      <c r="X388" s="1231"/>
      <c r="Y388" s="988">
        <f>OBRA!AR387</f>
        <v>271444.19</v>
      </c>
      <c r="Z388" s="309"/>
      <c r="AA388" s="309"/>
      <c r="AB388" s="5"/>
      <c r="AC388" s="317">
        <f>OBRA!BW387</f>
        <v>0</v>
      </c>
      <c r="AD388" s="352" t="s">
        <v>551</v>
      </c>
    </row>
    <row r="389" spans="1:30" ht="144.75" hidden="1" customHeight="1">
      <c r="A389" s="22" t="s">
        <v>2206</v>
      </c>
      <c r="B389" s="809" t="str">
        <f>GRAL!B390</f>
        <v>2018-2021</v>
      </c>
      <c r="C389" s="16">
        <f>OBRA!J388</f>
        <v>2019</v>
      </c>
      <c r="D389" s="17" t="str">
        <f>OBRA!M388</f>
        <v>RAMO 33</v>
      </c>
      <c r="E389" s="478" t="s">
        <v>1428</v>
      </c>
      <c r="F389" s="867"/>
      <c r="G389" s="878"/>
      <c r="H389" s="1228"/>
      <c r="I389" s="54" t="str">
        <f>OBRA!W388</f>
        <v>SIFRAL INGENIERIA S.A. DE C.V.</v>
      </c>
      <c r="J389" s="55" t="str">
        <f>OBRA!X388</f>
        <v>ING. J. GUADALUPE IBARRA RAMIREZ</v>
      </c>
      <c r="K389" s="33" t="str">
        <f>OBRA!N388</f>
        <v>GMJ 006 C-OP/2019</v>
      </c>
      <c r="L389" s="2" t="str">
        <f>OBRA!O388</f>
        <v>ADJUDICACIÓN DIRECTA</v>
      </c>
      <c r="M389" s="3" t="str">
        <f>OBRA!P388</f>
        <v>"REHABILITACIÓN DE LÍNEA DE DRENAJE SANITARIO EN CALLE 20 DE NOVIEMBRE DE ITURBIDE A PRIMAVERA CON REPOSICIÓN DE SUPERFICIE DE RODAMIENTO", EN CABECERA MUNICIPAL DEL MUNICIPIO DE JOCOTEPEC, JALISCO.</v>
      </c>
      <c r="N389" s="466" t="s">
        <v>3494</v>
      </c>
      <c r="O389" s="466"/>
      <c r="P389" s="6">
        <f>OBRA!S388</f>
        <v>43606</v>
      </c>
      <c r="Q389" s="4">
        <f>OBRA!R388</f>
        <v>619003.23</v>
      </c>
      <c r="R389" s="4"/>
      <c r="S389" s="5">
        <f>OBRA!T388</f>
        <v>43608</v>
      </c>
      <c r="T389" s="11">
        <f>OBRA!U388</f>
        <v>43677</v>
      </c>
      <c r="U389" s="53"/>
      <c r="V389" s="62" t="s">
        <v>1428</v>
      </c>
      <c r="W389" s="587"/>
      <c r="X389" s="1231"/>
      <c r="Y389" s="988">
        <f>OBRA!AR388</f>
        <v>278285.78000000003</v>
      </c>
      <c r="Z389" s="309"/>
      <c r="AA389" s="309"/>
      <c r="AB389" s="5"/>
      <c r="AC389" s="317">
        <f>OBRA!BW388</f>
        <v>0</v>
      </c>
      <c r="AD389" s="352" t="s">
        <v>551</v>
      </c>
    </row>
    <row r="390" spans="1:30" ht="113.25" hidden="1" customHeight="1">
      <c r="A390" s="22" t="s">
        <v>2206</v>
      </c>
      <c r="B390" s="809" t="str">
        <f>GRAL!B391</f>
        <v>2018-2021</v>
      </c>
      <c r="C390" s="16">
        <f>OBRA!J389</f>
        <v>2019</v>
      </c>
      <c r="D390" s="17" t="str">
        <f>OBRA!M389</f>
        <v>RAMO 33</v>
      </c>
      <c r="E390" s="478" t="s">
        <v>1428</v>
      </c>
      <c r="F390" s="867"/>
      <c r="G390" s="878"/>
      <c r="H390" s="1228"/>
      <c r="I390" s="54" t="str">
        <f>OBRA!W389</f>
        <v>ING. OCTAVIO AUGUSTO GONZALEZ TREJO</v>
      </c>
      <c r="J390" s="55" t="str">
        <f>OBRA!X389</f>
        <v>LIC. SALVADOR CONTRERAS OLGUÍN</v>
      </c>
      <c r="K390" s="33" t="str">
        <f>OBRA!N389</f>
        <v>GMJ 007 C-OP/2019</v>
      </c>
      <c r="L390" s="2" t="str">
        <f>OBRA!O389</f>
        <v>CANCELADA</v>
      </c>
      <c r="M390" s="3" t="str">
        <f>OBRA!P389</f>
        <v>"CONSTRUCCIÓN DE EMPEDRADO AHOGADO EN HUELLAS DE CONCRETO MR-42 EN CALLE CARDENAL NORTE", EN LA LOCALIDAD DE SAN JUAN COSALA, MUNICIPIO DE JOCOTEPEC, JALISCO.</v>
      </c>
      <c r="N390" s="466" t="s">
        <v>3494</v>
      </c>
      <c r="O390" s="466"/>
      <c r="P390" s="6">
        <f>OBRA!S389</f>
        <v>43606</v>
      </c>
      <c r="Q390" s="4">
        <f>OBRA!R389</f>
        <v>949742.46</v>
      </c>
      <c r="R390" s="4"/>
      <c r="S390" s="5">
        <f>OBRA!T389</f>
        <v>43612</v>
      </c>
      <c r="T390" s="11">
        <f>OBRA!U389</f>
        <v>43643</v>
      </c>
      <c r="U390" s="53"/>
      <c r="V390" s="377" t="s">
        <v>1428</v>
      </c>
      <c r="W390" s="867"/>
      <c r="X390" s="1228"/>
      <c r="Y390" s="986">
        <f>OBRA!AR389</f>
        <v>427384.1</v>
      </c>
      <c r="Z390" s="309"/>
      <c r="AA390" s="309"/>
      <c r="AB390" s="5"/>
      <c r="AC390" s="317">
        <f>OBRA!BW389</f>
        <v>0</v>
      </c>
      <c r="AD390" s="352" t="s">
        <v>551</v>
      </c>
    </row>
    <row r="391" spans="1:30" ht="93" hidden="1" customHeight="1">
      <c r="A391" s="22" t="s">
        <v>2206</v>
      </c>
      <c r="B391" s="809" t="str">
        <f>GRAL!B392</f>
        <v>2018-2021</v>
      </c>
      <c r="C391" s="16">
        <f>OBRA!J390</f>
        <v>2019</v>
      </c>
      <c r="D391" s="17" t="str">
        <f>OBRA!M390</f>
        <v>CUENTA CORRIENTE</v>
      </c>
      <c r="E391" s="478" t="s">
        <v>1428</v>
      </c>
      <c r="F391" s="867"/>
      <c r="G391" s="878"/>
      <c r="H391" s="1228"/>
      <c r="I391" s="54" t="str">
        <f>OBRA!W390</f>
        <v>ING. OCTAVIO AUGUSTO GONZALEZ TREJO</v>
      </c>
      <c r="J391" s="55" t="str">
        <f>OBRA!X390</f>
        <v>ING. RIGOBERTO OLMEDO RAMOS</v>
      </c>
      <c r="K391" s="33" t="str">
        <f>OBRA!N390</f>
        <v>GMJ 008 C-OP/2019</v>
      </c>
      <c r="L391" s="2" t="str">
        <f>OBRA!O390</f>
        <v>ADJUDICACIÓN DIRECTA</v>
      </c>
      <c r="M391" s="3" t="str">
        <f>OBRA!P390</f>
        <v>"CONSTRUCCION DE DEPOSITO PARA ALMACENAMIENTO DE AGUA POTABLE", EN LA LOCALIDAD DE HUEJOTITAN, MUNICIPIO DE JOCOTEPEC, JALISCO.</v>
      </c>
      <c r="N391" s="466" t="s">
        <v>3494</v>
      </c>
      <c r="O391" s="466"/>
      <c r="P391" s="6">
        <f>OBRA!S390</f>
        <v>43606</v>
      </c>
      <c r="Q391" s="4">
        <f>OBRA!R390</f>
        <v>643537.42000000004</v>
      </c>
      <c r="R391" s="4"/>
      <c r="S391" s="5">
        <f>OBRA!T390</f>
        <v>43614</v>
      </c>
      <c r="T391" s="11">
        <f>OBRA!U390</f>
        <v>43675</v>
      </c>
      <c r="U391" s="53"/>
      <c r="V391" s="62" t="s">
        <v>1428</v>
      </c>
      <c r="W391" s="587"/>
      <c r="X391" s="1231"/>
      <c r="Y391" s="988">
        <f>OBRA!AR390</f>
        <v>289591.83999999997</v>
      </c>
      <c r="Z391" s="309"/>
      <c r="AA391" s="309"/>
      <c r="AB391" s="5"/>
      <c r="AC391" s="317">
        <f>OBRA!BW390</f>
        <v>0</v>
      </c>
      <c r="AD391" s="352" t="s">
        <v>551</v>
      </c>
    </row>
    <row r="392" spans="1:30" ht="109.5" hidden="1" customHeight="1">
      <c r="A392" s="22" t="s">
        <v>2206</v>
      </c>
      <c r="B392" s="809" t="str">
        <f>GRAL!B393</f>
        <v>2018-2021</v>
      </c>
      <c r="C392" s="16">
        <f>OBRA!J391</f>
        <v>2019</v>
      </c>
      <c r="D392" s="17" t="str">
        <f>OBRA!M391</f>
        <v>CUENTA CORRIENTE</v>
      </c>
      <c r="E392" s="478" t="s">
        <v>1428</v>
      </c>
      <c r="F392" s="1227"/>
      <c r="G392" s="881"/>
      <c r="H392" s="1227"/>
      <c r="I392" s="54" t="str">
        <f>OBRA!W391</f>
        <v>ING. OCTAVIO AUGUSTO GONZALEZ TREJO</v>
      </c>
      <c r="J392" s="55" t="str">
        <f>OBRA!X391</f>
        <v>ING. JUAN MANUEL GARCIA ESCOTO</v>
      </c>
      <c r="K392" s="33" t="str">
        <f>OBRA!N391</f>
        <v>GMJ 009 C-OP/2019</v>
      </c>
      <c r="L392" s="2" t="str">
        <f>OBRA!O391</f>
        <v>ADJUDICACIÓN DIRECTA</v>
      </c>
      <c r="M392" s="3" t="str">
        <f>OBRA!P391</f>
        <v>CONSTRUCCIÓN DE PLATAFORMA Y CAMINO DE ACCESO AL PREDIO DEL DEPOSITO DE AGUA EN ZONA NORTE DE LA CABECERA MUNICIPAL DE JOCOTEPEC, JALISCO.</v>
      </c>
      <c r="N392" s="466" t="s">
        <v>3494</v>
      </c>
      <c r="O392" s="466"/>
      <c r="P392" s="67">
        <f>OBRA!S391</f>
        <v>43607</v>
      </c>
      <c r="Q392" s="4">
        <f>OBRA!R391</f>
        <v>413006.4</v>
      </c>
      <c r="R392" s="4"/>
      <c r="S392" s="5">
        <f>OBRA!T391</f>
        <v>43619</v>
      </c>
      <c r="T392" s="11">
        <f>OBRA!U391</f>
        <v>43645</v>
      </c>
      <c r="U392" s="53"/>
      <c r="V392" s="377" t="s">
        <v>1428</v>
      </c>
      <c r="W392" s="587"/>
      <c r="X392" s="1231"/>
      <c r="Y392" s="986">
        <f>OBRA!AR391</f>
        <v>82601.279999999999</v>
      </c>
      <c r="Z392" s="309"/>
      <c r="AA392" s="309"/>
      <c r="AB392" s="5"/>
      <c r="AC392" s="317">
        <f>OBRA!BW391</f>
        <v>0</v>
      </c>
      <c r="AD392" s="352" t="s">
        <v>551</v>
      </c>
    </row>
    <row r="393" spans="1:30" ht="108.75" hidden="1" customHeight="1">
      <c r="A393" s="22" t="s">
        <v>2206</v>
      </c>
      <c r="B393" s="809" t="str">
        <f>GRAL!B394</f>
        <v>2018-2021</v>
      </c>
      <c r="C393" s="16">
        <f>OBRA!J392</f>
        <v>2019</v>
      </c>
      <c r="D393" s="17" t="str">
        <f>OBRA!M392</f>
        <v>CUENTA CORRIENTE</v>
      </c>
      <c r="E393" s="478" t="s">
        <v>1428</v>
      </c>
      <c r="F393" s="968"/>
      <c r="G393" s="881"/>
      <c r="H393" s="968"/>
      <c r="I393" s="54" t="str">
        <f>OBRA!W392</f>
        <v>CONSTRUCTORA PIMONT S.A. DE C.V.</v>
      </c>
      <c r="J393" s="55" t="str">
        <f>OBRA!X392</f>
        <v>ING. J. GUADALUPE IBARRA RAMIREZ</v>
      </c>
      <c r="K393" s="33" t="str">
        <f>OBRA!N392</f>
        <v>GMJ 010 C-OP/2019</v>
      </c>
      <c r="L393" s="2" t="str">
        <f>OBRA!O392</f>
        <v>ADJUDICACIÓN DIRECTA</v>
      </c>
      <c r="M393" s="3" t="str">
        <f>OBRA!P392</f>
        <v>"CONSTRUCCIÓN DE DEPOSITO PARA ALMACENAMIENTO DE AGUA POTABLE", EN LA ZONA NORTE DE LA CABECERA MUNICIPAL DE JOCOTEPEC, JALISCO.</v>
      </c>
      <c r="N393" s="466" t="s">
        <v>3494</v>
      </c>
      <c r="O393" s="466"/>
      <c r="P393" s="67">
        <f>OBRA!S392</f>
        <v>43637</v>
      </c>
      <c r="Q393" s="4">
        <f>OBRA!R392</f>
        <v>1649201.51</v>
      </c>
      <c r="R393" s="4"/>
      <c r="S393" s="5">
        <f>OBRA!T392</f>
        <v>43640</v>
      </c>
      <c r="T393" s="11">
        <f>OBRA!U392</f>
        <v>43707</v>
      </c>
      <c r="U393" s="53"/>
      <c r="V393" s="377" t="s">
        <v>1428</v>
      </c>
      <c r="W393" s="1234"/>
      <c r="X393" s="1228"/>
      <c r="Y393" s="988">
        <f>OBRA!AR392</f>
        <v>164920.15</v>
      </c>
      <c r="Z393" s="309"/>
      <c r="AA393" s="309"/>
      <c r="AB393" s="5"/>
      <c r="AC393" s="317">
        <f>OBRA!BW392</f>
        <v>0</v>
      </c>
      <c r="AD393" s="352" t="s">
        <v>551</v>
      </c>
    </row>
    <row r="394" spans="1:30" ht="112.5" hidden="1" customHeight="1">
      <c r="A394" s="22" t="s">
        <v>2206</v>
      </c>
      <c r="B394" s="809" t="str">
        <f>GRAL!B395</f>
        <v>2018-2021</v>
      </c>
      <c r="C394" s="16">
        <f>OBRA!J393</f>
        <v>2019</v>
      </c>
      <c r="D394" s="17" t="str">
        <f>OBRA!M393</f>
        <v>CUENTA CORRIENTE</v>
      </c>
      <c r="E394" s="478" t="s">
        <v>1428</v>
      </c>
      <c r="F394" s="1227"/>
      <c r="G394" s="881"/>
      <c r="H394" s="1227"/>
      <c r="I394" s="54" t="str">
        <f>OBRA!W393</f>
        <v xml:space="preserve">CONSTRUCTORA Y EDIFICACIONES REMI Y ASOCIADOS S.A. DE C.V. </v>
      </c>
      <c r="J394" s="55" t="str">
        <f>OBRA!X393</f>
        <v>ING. RIGOBERTO OLMEDO RAMOS</v>
      </c>
      <c r="K394" s="33" t="str">
        <f>OBRA!N393</f>
        <v>GMJ 011 C-OP/2019</v>
      </c>
      <c r="L394" s="2" t="str">
        <f>OBRA!O393</f>
        <v>ADJUDICACIÓN DIRECTA</v>
      </c>
      <c r="M394" s="3" t="str">
        <f>OBRA!P393</f>
        <v>"CONSTRUCCIÓN DE DEPOSITO PARA ALMACENAMIENTO DE AGUA POTABLE", EN LA LOCALIDAD DE SAN CRISTOBAL ZAPOTITLAN, MUNICIPIO DE JOCOTEPEC, JALISCO.</v>
      </c>
      <c r="N394" s="466" t="s">
        <v>3495</v>
      </c>
      <c r="O394" s="466"/>
      <c r="P394" s="6">
        <f>OBRA!S393</f>
        <v>43705</v>
      </c>
      <c r="Q394" s="4">
        <f>OBRA!R393</f>
        <v>643537.42000000004</v>
      </c>
      <c r="R394" s="4"/>
      <c r="S394" s="5">
        <f>OBRA!T393</f>
        <v>43710</v>
      </c>
      <c r="T394" s="11">
        <f>OBRA!U393</f>
        <v>43785</v>
      </c>
      <c r="U394" s="53"/>
      <c r="V394" s="377" t="s">
        <v>1428</v>
      </c>
      <c r="W394" s="1234"/>
      <c r="X394" s="1228"/>
      <c r="Y394" s="988">
        <f>OBRA!AR393</f>
        <v>225238.09999999998</v>
      </c>
      <c r="Z394" s="309"/>
      <c r="AA394" s="309"/>
      <c r="AB394" s="5"/>
      <c r="AC394" s="317">
        <f>OBRA!BW393</f>
        <v>0</v>
      </c>
      <c r="AD394" s="352" t="s">
        <v>551</v>
      </c>
    </row>
    <row r="395" spans="1:30" s="104" customFormat="1" ht="16.5" hidden="1" customHeight="1">
      <c r="A395" s="81" t="s">
        <v>2206</v>
      </c>
      <c r="B395" s="820" t="str">
        <f>GRAL!B396</f>
        <v>2018-2021</v>
      </c>
      <c r="C395" s="82">
        <f>OBRA!J394</f>
        <v>2019</v>
      </c>
      <c r="D395" s="97">
        <f>OBRA!M394</f>
        <v>0</v>
      </c>
      <c r="E395" s="479"/>
      <c r="F395" s="354"/>
      <c r="G395" s="96"/>
      <c r="H395" s="354"/>
      <c r="I395" s="151">
        <f>OBRA!W394</f>
        <v>0</v>
      </c>
      <c r="J395" s="152">
        <f>OBRA!X394</f>
        <v>0</v>
      </c>
      <c r="K395" s="90" t="str">
        <f>OBRA!N394</f>
        <v>GMJ 012 C-OP/2019</v>
      </c>
      <c r="L395" s="85" t="str">
        <f>OBRA!O394</f>
        <v>CANCELADA</v>
      </c>
      <c r="M395" s="125">
        <f>OBRA!P394</f>
        <v>0</v>
      </c>
      <c r="N395" s="811"/>
      <c r="O395" s="811"/>
      <c r="P395" s="87">
        <f>OBRA!S394</f>
        <v>0</v>
      </c>
      <c r="Q395" s="86">
        <f>OBRA!R394</f>
        <v>0</v>
      </c>
      <c r="R395" s="86"/>
      <c r="S395" s="88">
        <f>OBRA!T394</f>
        <v>0</v>
      </c>
      <c r="T395" s="89">
        <f>OBRA!U394</f>
        <v>0</v>
      </c>
      <c r="U395" s="91"/>
      <c r="V395" s="688" t="s">
        <v>1428</v>
      </c>
      <c r="W395" s="311"/>
      <c r="X395" s="89"/>
      <c r="Y395" s="284">
        <f>OBRA!AR394</f>
        <v>0</v>
      </c>
      <c r="Z395" s="311"/>
      <c r="AA395" s="311"/>
      <c r="AB395" s="88"/>
      <c r="AC395" s="467">
        <f>OBRA!BW394</f>
        <v>0</v>
      </c>
      <c r="AD395" s="354"/>
    </row>
    <row r="396" spans="1:30" ht="103.5" hidden="1" customHeight="1">
      <c r="A396" s="22" t="s">
        <v>2206</v>
      </c>
      <c r="B396" s="809" t="str">
        <f>GRAL!B397</f>
        <v>2018-2021</v>
      </c>
      <c r="C396" s="16">
        <f>OBRA!J395</f>
        <v>2019</v>
      </c>
      <c r="D396" s="17" t="str">
        <f>OBRA!M395</f>
        <v>RAMO 33</v>
      </c>
      <c r="E396" s="478" t="s">
        <v>1428</v>
      </c>
      <c r="F396" s="867"/>
      <c r="G396" s="878"/>
      <c r="H396" s="1228"/>
      <c r="I396" s="54" t="str">
        <f>OBRA!W395</f>
        <v>CONSTRUCTORA PIMONT S.A. DE C.V.</v>
      </c>
      <c r="J396" s="55" t="str">
        <f>OBRA!X395</f>
        <v>LIC. SALVADOR CONTRERAS OLGUÍN</v>
      </c>
      <c r="K396" s="33" t="str">
        <f>OBRA!N395</f>
        <v>GMJ 013 C-OP/2019</v>
      </c>
      <c r="L396" s="2" t="str">
        <f>OBRA!O395</f>
        <v>ADJUDICACIÓN DIRECTA</v>
      </c>
      <c r="M396" s="3" t="str">
        <f>OBRA!P395</f>
        <v>"CONSTRUCCIÓN DE EMPEDRADO ECOLOGICO EN LA CALLE PRIVADA MORELOS, DELEGACIÓN DE CHANTE, MUNICIPIO DE JOCOTEPEC, JALISCO".</v>
      </c>
      <c r="N396" s="466" t="s">
        <v>3495</v>
      </c>
      <c r="O396" s="466"/>
      <c r="P396" s="6">
        <f>OBRA!S395</f>
        <v>43626</v>
      </c>
      <c r="Q396" s="4">
        <f>OBRA!R395</f>
        <v>75313.95</v>
      </c>
      <c r="R396" s="4"/>
      <c r="S396" s="5">
        <f>OBRA!T395</f>
        <v>43627</v>
      </c>
      <c r="T396" s="11">
        <f>OBRA!U395</f>
        <v>43637</v>
      </c>
      <c r="U396" s="53"/>
      <c r="V396" s="377" t="s">
        <v>1428</v>
      </c>
      <c r="W396" s="867"/>
      <c r="X396" s="1228"/>
      <c r="Y396" s="986">
        <f>OBRA!AR395</f>
        <v>15062.78</v>
      </c>
      <c r="Z396" s="309"/>
      <c r="AA396" s="309"/>
      <c r="AB396" s="5"/>
      <c r="AC396" s="317">
        <f>OBRA!BW395</f>
        <v>0</v>
      </c>
      <c r="AD396" s="352" t="s">
        <v>551</v>
      </c>
    </row>
    <row r="397" spans="1:30" ht="91.5" hidden="1" customHeight="1">
      <c r="A397" s="22" t="s">
        <v>2206</v>
      </c>
      <c r="B397" s="809" t="str">
        <f>GRAL!B398</f>
        <v>2018-2021</v>
      </c>
      <c r="C397" s="16">
        <f>OBRA!J396</f>
        <v>2019</v>
      </c>
      <c r="D397" s="17" t="str">
        <f>OBRA!M396</f>
        <v>RAMO 33</v>
      </c>
      <c r="E397" s="478" t="s">
        <v>1428</v>
      </c>
      <c r="F397" s="867"/>
      <c r="G397" s="878"/>
      <c r="H397" s="1228"/>
      <c r="I397" s="54" t="str">
        <f>OBRA!W396</f>
        <v>INGENIERÍA ARQUITECTURA MENDPAD S.A. DE C.V.</v>
      </c>
      <c r="J397" s="55" t="str">
        <f>OBRA!X396</f>
        <v>LIC. SALVADOR CONTRERAS OLGUÍN</v>
      </c>
      <c r="K397" s="33" t="str">
        <f>OBRA!N396</f>
        <v>GMJ 014 C-OP/2019</v>
      </c>
      <c r="L397" s="2" t="str">
        <f>OBRA!O396</f>
        <v>ADJUDICACIÓN DIRECTA</v>
      </c>
      <c r="M397" s="3" t="str">
        <f>OBRA!P396</f>
        <v>"CONSTRUCCIÓN DE BANQUETAS EN CALLE CUAUHTÉMOC, 2ª ETAPA, DELEGACIÓN DEL CHANTE, MUNICIPIO DE JOCOTEPEC, JALISCO</v>
      </c>
      <c r="N397" s="466" t="s">
        <v>3495</v>
      </c>
      <c r="O397" s="466"/>
      <c r="P397" s="6">
        <f>OBRA!S396</f>
        <v>43670</v>
      </c>
      <c r="Q397" s="4">
        <f>OBRA!R396</f>
        <v>179219.86</v>
      </c>
      <c r="R397" s="4"/>
      <c r="S397" s="5">
        <f>OBRA!T396</f>
        <v>43671</v>
      </c>
      <c r="T397" s="11">
        <f>OBRA!U396</f>
        <v>43687</v>
      </c>
      <c r="U397" s="53"/>
      <c r="V397" s="377" t="s">
        <v>1428</v>
      </c>
      <c r="W397" s="867"/>
      <c r="X397" s="1228"/>
      <c r="Y397" s="987">
        <f>OBRA!AR396</f>
        <v>17921.98</v>
      </c>
      <c r="Z397" s="309"/>
      <c r="AA397" s="309"/>
      <c r="AB397" s="5"/>
      <c r="AC397" s="317">
        <f>OBRA!BW396</f>
        <v>0</v>
      </c>
      <c r="AD397" s="352"/>
    </row>
    <row r="398" spans="1:30" ht="111.75" hidden="1" customHeight="1">
      <c r="A398" s="22" t="s">
        <v>2206</v>
      </c>
      <c r="B398" s="809" t="str">
        <f>GRAL!B399</f>
        <v>2018-2021</v>
      </c>
      <c r="C398" s="16">
        <f>OBRA!J397</f>
        <v>2019</v>
      </c>
      <c r="D398" s="17" t="str">
        <f>OBRA!M397</f>
        <v>RAMO 33</v>
      </c>
      <c r="E398" s="478" t="s">
        <v>1428</v>
      </c>
      <c r="F398" s="867"/>
      <c r="G398" s="878"/>
      <c r="H398" s="1228"/>
      <c r="I398" s="54" t="str">
        <f>OBRA!W397</f>
        <v>GALJACK ARQUITECTOS  Y CONSTRUCCIONES S.A. DE C.V.</v>
      </c>
      <c r="J398" s="55" t="str">
        <f>OBRA!X397</f>
        <v>LIC. SALVADOR CONTRERAS OLGUÍN</v>
      </c>
      <c r="K398" s="33" t="str">
        <f>OBRA!N397</f>
        <v>GMJ 015 C-OP/2019</v>
      </c>
      <c r="L398" s="2" t="str">
        <f>OBRA!O397</f>
        <v>ADJUDICACIÓN DIRECTA</v>
      </c>
      <c r="M398" s="3" t="str">
        <f>OBRA!P397</f>
        <v>REHABILITACIÓN DE LINEA DE AGUA POTABLE EN LA CALLE PRIVADA CARDENAL DE CARDENAL A CERRADA, EN LA DELEGACIÓN DE SAN JUAN COSALA, JOCOTEPEC, JALISCO.</v>
      </c>
      <c r="N398" s="466" t="s">
        <v>3495</v>
      </c>
      <c r="O398" s="466"/>
      <c r="P398" s="6">
        <f>OBRA!S397</f>
        <v>43694</v>
      </c>
      <c r="Q398" s="4">
        <f>OBRA!R397</f>
        <v>77778.12</v>
      </c>
      <c r="R398" s="4"/>
      <c r="S398" s="5">
        <f>OBRA!T397</f>
        <v>43703</v>
      </c>
      <c r="T398" s="11">
        <f>OBRA!U397</f>
        <v>43742</v>
      </c>
      <c r="U398" s="53"/>
      <c r="V398" s="377" t="s">
        <v>1428</v>
      </c>
      <c r="W398" s="587"/>
      <c r="X398" s="1219"/>
      <c r="Y398" s="986">
        <f>OBRA!AR397</f>
        <v>35000.15</v>
      </c>
      <c r="Z398" s="309"/>
      <c r="AA398" s="309"/>
      <c r="AB398" s="5"/>
      <c r="AC398" s="317">
        <f>OBRA!BW397</f>
        <v>0</v>
      </c>
      <c r="AD398" s="352" t="s">
        <v>551</v>
      </c>
    </row>
    <row r="399" spans="1:30" ht="126" hidden="1" customHeight="1">
      <c r="A399" s="22" t="s">
        <v>2206</v>
      </c>
      <c r="B399" s="809" t="str">
        <f>GRAL!B400</f>
        <v>2018-2021</v>
      </c>
      <c r="C399" s="16">
        <f>OBRA!J398</f>
        <v>2019</v>
      </c>
      <c r="D399" s="17" t="str">
        <f>OBRA!M398</f>
        <v>RAMO 33</v>
      </c>
      <c r="E399" s="478" t="s">
        <v>1428</v>
      </c>
      <c r="F399" s="867"/>
      <c r="G399" s="878"/>
      <c r="H399" s="1228"/>
      <c r="I399" s="54" t="str">
        <f>OBRA!W398</f>
        <v>GALJACK ARQUITECTOS S.A. DE C.V.</v>
      </c>
      <c r="J399" s="55" t="str">
        <f>OBRA!X398</f>
        <v>LIC. SALVADOR CONTRERAS OLGUÍN</v>
      </c>
      <c r="K399" s="33" t="str">
        <f>OBRA!N398</f>
        <v>GMJ 016 C-OP/2019</v>
      </c>
      <c r="L399" s="2" t="str">
        <f>OBRA!O398</f>
        <v>ADJUDICACIÓN DIRECTA</v>
      </c>
      <c r="M399" s="3" t="str">
        <f>OBRA!P398</f>
        <v>REHABILITACION DE LINEA DE DRENAJE SANITARIO, EN LA CALLE PRIVADA CARDENAL DE CARDENAL A CERRADA, EN SAN JUAN COSALA, EN EL MUNICIPIO DE JOCOTEPEC, JALISCO.</v>
      </c>
      <c r="N399" s="466" t="s">
        <v>3495</v>
      </c>
      <c r="O399" s="466"/>
      <c r="P399" s="6">
        <f>OBRA!S398</f>
        <v>43694</v>
      </c>
      <c r="Q399" s="4">
        <f>OBRA!R398</f>
        <v>108744.95</v>
      </c>
      <c r="R399" s="4"/>
      <c r="S399" s="5">
        <f>OBRA!T398</f>
        <v>43703</v>
      </c>
      <c r="T399" s="11">
        <f>OBRA!U398</f>
        <v>43742</v>
      </c>
      <c r="U399" s="53"/>
      <c r="V399" s="377" t="s">
        <v>1428</v>
      </c>
      <c r="W399" s="867"/>
      <c r="X399" s="1228"/>
      <c r="Y399" s="988">
        <f>OBRA!AR398</f>
        <v>48935.22</v>
      </c>
      <c r="Z399" s="309"/>
      <c r="AA399" s="309"/>
      <c r="AB399" s="5"/>
      <c r="AC399" s="317">
        <f>OBRA!BW398</f>
        <v>0</v>
      </c>
      <c r="AD399" s="352" t="s">
        <v>551</v>
      </c>
    </row>
    <row r="400" spans="1:30" ht="133.5" hidden="1" customHeight="1">
      <c r="A400" s="22" t="s">
        <v>2206</v>
      </c>
      <c r="B400" s="809" t="str">
        <f>GRAL!B401</f>
        <v>2018-2021</v>
      </c>
      <c r="C400" s="16">
        <f>OBRA!J399</f>
        <v>2019</v>
      </c>
      <c r="D400" s="17" t="str">
        <f>OBRA!M399</f>
        <v>RAMO 33</v>
      </c>
      <c r="E400" s="478" t="s">
        <v>1428</v>
      </c>
      <c r="F400" s="1227"/>
      <c r="G400" s="881"/>
      <c r="H400" s="1227"/>
      <c r="I400" s="54" t="str">
        <f>OBRA!W399</f>
        <v>ALSERCON SA DE CV</v>
      </c>
      <c r="J400" s="55" t="str">
        <f>OBRA!X399</f>
        <v>ING. J. GUADALUPE IBARRA RAMIREZ</v>
      </c>
      <c r="K400" s="33" t="str">
        <f>OBRA!N399</f>
        <v>GMJ 017 C-OP/2019</v>
      </c>
      <c r="L400" s="2" t="str">
        <f>OBRA!O399</f>
        <v>ADJUDICACIÓN DIRECTA</v>
      </c>
      <c r="M400" s="3" t="str">
        <f>OBRA!P399</f>
        <v>"REHABILITACIÓN DE LÍNEA DE DRENAJE CON REPOSICIÓN DE SUPERFICIE DE RODAMIENTO EN LA CALLE NIÑOS HEROES ENTRE CALLES ITURBIDE Y VERANO", EN LA CABECERA MUNICIPAL DE JOCOTEPEC, JALISCO.</v>
      </c>
      <c r="N400" s="466" t="s">
        <v>3495</v>
      </c>
      <c r="O400" s="466"/>
      <c r="P400" s="6">
        <f>OBRA!S399</f>
        <v>43707</v>
      </c>
      <c r="Q400" s="4">
        <f>OBRA!R399</f>
        <v>983216.32</v>
      </c>
      <c r="R400" s="4"/>
      <c r="S400" s="5">
        <f>OBRA!T399</f>
        <v>43710</v>
      </c>
      <c r="T400" s="11">
        <f>OBRA!U399</f>
        <v>43785</v>
      </c>
      <c r="U400" s="53"/>
      <c r="V400" s="377" t="s">
        <v>1428</v>
      </c>
      <c r="W400" s="867"/>
      <c r="X400" s="1231"/>
      <c r="Y400" s="988">
        <f>OBRA!AR399</f>
        <v>442447.33999999997</v>
      </c>
      <c r="Z400" s="309"/>
      <c r="AA400" s="309"/>
      <c r="AB400" s="5"/>
      <c r="AC400" s="317">
        <f>OBRA!BW399</f>
        <v>0</v>
      </c>
      <c r="AD400" s="352" t="s">
        <v>551</v>
      </c>
    </row>
    <row r="401" spans="1:30" ht="141.75" hidden="1" customHeight="1">
      <c r="A401" s="22" t="s">
        <v>2206</v>
      </c>
      <c r="B401" s="809" t="str">
        <f>GRAL!B402</f>
        <v>2018-2021</v>
      </c>
      <c r="C401" s="16">
        <f>OBRA!J400</f>
        <v>2019</v>
      </c>
      <c r="D401" s="17" t="str">
        <f>OBRA!M400</f>
        <v>RAMO 33</v>
      </c>
      <c r="E401" s="478" t="s">
        <v>1428</v>
      </c>
      <c r="F401" s="1227"/>
      <c r="G401" s="881"/>
      <c r="H401" s="1227"/>
      <c r="I401" s="54" t="str">
        <f>OBRA!W400</f>
        <v>ALSERCON SA DE CV</v>
      </c>
      <c r="J401" s="55" t="str">
        <f>OBRA!X400</f>
        <v>ING. J. GUADALUPE IBARRA RAMIREZ</v>
      </c>
      <c r="K401" s="33" t="str">
        <f>OBRA!N400</f>
        <v>GMJ 018 C-OP/2019</v>
      </c>
      <c r="L401" s="2" t="str">
        <f>OBRA!O400</f>
        <v>ADJUDICACIÓN DIRECTA</v>
      </c>
      <c r="M401" s="3" t="str">
        <f>OBRA!P400</f>
        <v>"REHABILITACIÓN DE RED DE AGUA POTABLE CON REPOSICIÓN DE SUPERFICIE DE RODAMIENTO EN LA CALLE NIÑOS HEROES ENTRE CALLES ITURBIDE Y VERANO", EN LA CABECERA MUNICIPAL DE JOCOTEPEC, JALISCO.</v>
      </c>
      <c r="N401" s="466" t="s">
        <v>3495</v>
      </c>
      <c r="O401" s="466"/>
      <c r="P401" s="67">
        <f>OBRA!S400</f>
        <v>43707</v>
      </c>
      <c r="Q401" s="79">
        <f>OBRA!R400</f>
        <v>872749.01</v>
      </c>
      <c r="R401" s="79"/>
      <c r="S401" s="5">
        <f>OBRA!T400</f>
        <v>43710</v>
      </c>
      <c r="T401" s="11">
        <f>OBRA!U400</f>
        <v>43785</v>
      </c>
      <c r="U401" s="53"/>
      <c r="V401" s="62" t="s">
        <v>1428</v>
      </c>
      <c r="W401" s="587"/>
      <c r="X401" s="1231"/>
      <c r="Y401" s="988">
        <f>OBRA!AR400</f>
        <v>392737.05000000005</v>
      </c>
      <c r="Z401" s="309"/>
      <c r="AA401" s="309"/>
      <c r="AB401" s="5"/>
      <c r="AC401" s="317">
        <f>OBRA!BW400</f>
        <v>0</v>
      </c>
      <c r="AD401" s="352" t="s">
        <v>551</v>
      </c>
    </row>
    <row r="402" spans="1:30" ht="117.75" hidden="1" customHeight="1">
      <c r="A402" s="22" t="s">
        <v>2206</v>
      </c>
      <c r="B402" s="809" t="str">
        <f>GRAL!B403</f>
        <v>2018-2021</v>
      </c>
      <c r="C402" s="16">
        <f>OBRA!J401</f>
        <v>2019</v>
      </c>
      <c r="D402" s="17" t="str">
        <f>OBRA!M401</f>
        <v>RAMO 33</v>
      </c>
      <c r="E402" s="478" t="s">
        <v>1428</v>
      </c>
      <c r="F402" s="1227"/>
      <c r="G402" s="881"/>
      <c r="H402" s="1227"/>
      <c r="I402" s="54" t="str">
        <f>OBRA!W401</f>
        <v>INGENIERÍA ARQUITECTURA MENDPAD S.A. DE C.V.</v>
      </c>
      <c r="J402" s="55" t="str">
        <f>OBRA!X401</f>
        <v>LIC. SALVADOR CONTRERAS OLGUÍN</v>
      </c>
      <c r="K402" s="33" t="str">
        <f>OBRA!N401</f>
        <v>GMJ 019 C-OP/2019</v>
      </c>
      <c r="L402" s="2" t="str">
        <f>OBRA!O401</f>
        <v>ADJUDICACIÓN DIRECTA</v>
      </c>
      <c r="M402" s="3" t="str">
        <f>OBRA!P401</f>
        <v>"REHABILITACIÓN RED DE DRENAJE SANITARIO EN LA CALLE PRIVADA ZARAGOZA DE CALLE ZARAGOZA A CERRADA DELEGACIÓN DE SAN JUAN COSALA MUNICIPIO DE JOCOTEPEC, JALISCO".</v>
      </c>
      <c r="N402" s="466" t="s">
        <v>3495</v>
      </c>
      <c r="O402" s="466"/>
      <c r="P402" s="6">
        <f>OBRA!S401</f>
        <v>43707</v>
      </c>
      <c r="Q402" s="4">
        <f>OBRA!R401</f>
        <v>99707.9</v>
      </c>
      <c r="R402" s="4"/>
      <c r="S402" s="5">
        <f>OBRA!T401</f>
        <v>43710</v>
      </c>
      <c r="T402" s="11">
        <f>OBRA!U401</f>
        <v>43731</v>
      </c>
      <c r="U402" s="53"/>
      <c r="V402" s="62" t="s">
        <v>1428</v>
      </c>
      <c r="W402" s="587"/>
      <c r="X402" s="1231"/>
      <c r="Y402" s="988">
        <f>OBRA!AR401</f>
        <v>43579.32</v>
      </c>
      <c r="Z402" s="309"/>
      <c r="AA402" s="309"/>
      <c r="AB402" s="5"/>
      <c r="AC402" s="317">
        <f>OBRA!BW401</f>
        <v>0</v>
      </c>
      <c r="AD402" s="352" t="s">
        <v>551</v>
      </c>
    </row>
    <row r="403" spans="1:30" ht="117.75" hidden="1" customHeight="1">
      <c r="A403" s="22" t="s">
        <v>2206</v>
      </c>
      <c r="B403" s="809" t="str">
        <f>GRAL!B404</f>
        <v>2018-2021</v>
      </c>
      <c r="C403" s="16">
        <f>OBRA!J402</f>
        <v>2019</v>
      </c>
      <c r="D403" s="17" t="str">
        <f>OBRA!M402</f>
        <v>RAMO 33</v>
      </c>
      <c r="E403" s="478" t="s">
        <v>1428</v>
      </c>
      <c r="F403" s="1227"/>
      <c r="G403" s="881"/>
      <c r="H403" s="1227"/>
      <c r="I403" s="54" t="str">
        <f>OBRA!W402</f>
        <v>INGENIERÍA ARQUITECTURA MENDPAD S.A. DE C.V.</v>
      </c>
      <c r="J403" s="55" t="str">
        <f>OBRA!X402</f>
        <v>LIC. SALVADOR CONTRERAS OLGUÍN</v>
      </c>
      <c r="K403" s="33" t="str">
        <f>OBRA!N402</f>
        <v>GMJ 019 C-OP/2019</v>
      </c>
      <c r="L403" s="2" t="str">
        <f>OBRA!O402</f>
        <v>ADJUDICACIÓN DIRECTA</v>
      </c>
      <c r="M403" s="3" t="str">
        <f>OBRA!P402</f>
        <v>"REHABILITACIÓN DE RED DE AGUA POTABLE EN PRIVADA ZARAGOZA DE CALLE ZARAGOZA A CERRADA DELEGACIÓN DE SAN JUAN COSALA MUNICIPIO DE JOCOTEPEC, JALISCO".</v>
      </c>
      <c r="N403" s="466" t="s">
        <v>3495</v>
      </c>
      <c r="O403" s="466"/>
      <c r="P403" s="6">
        <f>OBRA!S402</f>
        <v>43707</v>
      </c>
      <c r="Q403" s="4">
        <f>OBRA!R402</f>
        <v>118188.71</v>
      </c>
      <c r="R403" s="4"/>
      <c r="S403" s="5">
        <f>OBRA!T402</f>
        <v>43710</v>
      </c>
      <c r="T403" s="11">
        <f>OBRA!U402</f>
        <v>43731</v>
      </c>
      <c r="U403" s="53"/>
      <c r="V403" s="62" t="s">
        <v>1428</v>
      </c>
      <c r="W403" s="587"/>
      <c r="X403" s="1231"/>
      <c r="Y403" s="988">
        <f>OBRA!AR402</f>
        <v>43579.32</v>
      </c>
      <c r="Z403" s="309"/>
      <c r="AA403" s="309"/>
      <c r="AB403" s="5"/>
      <c r="AC403" s="317">
        <f>OBRA!BW402</f>
        <v>0</v>
      </c>
      <c r="AD403" s="352" t="s">
        <v>551</v>
      </c>
    </row>
    <row r="404" spans="1:30" ht="108.75" hidden="1" customHeight="1">
      <c r="A404" s="22" t="s">
        <v>2206</v>
      </c>
      <c r="B404" s="809" t="str">
        <f>GRAL!B405</f>
        <v>2018-2021</v>
      </c>
      <c r="C404" s="16">
        <f>OBRA!J403</f>
        <v>2019</v>
      </c>
      <c r="D404" s="17" t="str">
        <f>OBRA!M403</f>
        <v>RAMO 33</v>
      </c>
      <c r="E404" s="478" t="s">
        <v>1428</v>
      </c>
      <c r="F404" s="867"/>
      <c r="G404" s="878"/>
      <c r="H404" s="1228"/>
      <c r="I404" s="54" t="str">
        <f>OBRA!W403</f>
        <v>INGENIERÍA ARQUITECTURA MENDPAD S.A. DE C.V.</v>
      </c>
      <c r="J404" s="55" t="str">
        <f>OBRA!X403</f>
        <v>LIC. SALVADOR CONTRERAS OLGUÍN</v>
      </c>
      <c r="K404" s="33" t="str">
        <f>OBRA!N403</f>
        <v>GMJ 020 C-OP/2019</v>
      </c>
      <c r="L404" s="2" t="str">
        <f>OBRA!O403</f>
        <v>ADJUDICACIÓN DIRECTA</v>
      </c>
      <c r="M404" s="3" t="str">
        <f>OBRA!P403</f>
        <v>"CONSTRUCCIÓN DE RED DE AGUA POTABLE EN CALLE PRIVADA GUADALUPE VICTORIA DELEGACIÓN DE SAN JUAN COSALA MUNICIPIO DE JOCOTEPEC, JALISCO"</v>
      </c>
      <c r="N404" s="466" t="s">
        <v>3495</v>
      </c>
      <c r="O404" s="466"/>
      <c r="P404" s="6">
        <f>OBRA!S403</f>
        <v>43740</v>
      </c>
      <c r="Q404" s="4">
        <f>OBRA!R403</f>
        <v>104942</v>
      </c>
      <c r="R404" s="4"/>
      <c r="S404" s="5">
        <f>OBRA!T403</f>
        <v>43741</v>
      </c>
      <c r="T404" s="11">
        <f>OBRA!U403</f>
        <v>43768</v>
      </c>
      <c r="U404" s="53"/>
      <c r="V404" s="377" t="s">
        <v>1428</v>
      </c>
      <c r="W404" s="867"/>
      <c r="X404" s="1228"/>
      <c r="Y404" s="986">
        <f>OBRA!AR403</f>
        <v>20988.400000000001</v>
      </c>
      <c r="Z404" s="309"/>
      <c r="AA404" s="309"/>
      <c r="AB404" s="5"/>
      <c r="AC404" s="317">
        <f>OBRA!BW403</f>
        <v>0</v>
      </c>
      <c r="AD404" s="352" t="s">
        <v>551</v>
      </c>
    </row>
    <row r="405" spans="1:30" ht="106.5" hidden="1" customHeight="1">
      <c r="A405" s="22" t="s">
        <v>2206</v>
      </c>
      <c r="B405" s="809" t="str">
        <f>GRAL!B406</f>
        <v>2018-2021</v>
      </c>
      <c r="C405" s="16">
        <f>OBRA!J404</f>
        <v>2019</v>
      </c>
      <c r="D405" s="17" t="str">
        <f>OBRA!M404</f>
        <v>RAMO 33</v>
      </c>
      <c r="E405" s="478" t="s">
        <v>1428</v>
      </c>
      <c r="F405" s="867"/>
      <c r="G405" s="878"/>
      <c r="H405" s="1228"/>
      <c r="I405" s="54" t="str">
        <f>OBRA!W404</f>
        <v>INGENIERÍA ARQUITECTURA MENDPAD S.A. DE C.V.</v>
      </c>
      <c r="J405" s="55" t="str">
        <f>OBRA!X404</f>
        <v>LIC. SALVADOR CONTRERAS OLGUÍN</v>
      </c>
      <c r="K405" s="33" t="str">
        <f>OBRA!N404</f>
        <v>GMJ 021 C-OP/2019</v>
      </c>
      <c r="L405" s="2" t="str">
        <f>OBRA!O404</f>
        <v>ADJUDICACIÓN DIRECTA</v>
      </c>
      <c r="M405" s="3" t="str">
        <f>OBRA!P404</f>
        <v>"CONSTRUCCIÓN DE LÍNEA DE DRENAJE SANITARIO EN CALLE PRIVADA GUADALUPE VICTORIA DELELGACIÓN DE SAN JUAN COSALA MUNICIPIO DE JOCOTEPEC, JALISCO".</v>
      </c>
      <c r="N405" s="466" t="s">
        <v>3496</v>
      </c>
      <c r="O405" s="466"/>
      <c r="P405" s="6">
        <f>OBRA!S404</f>
        <v>43740</v>
      </c>
      <c r="Q405" s="4">
        <f>OBRA!R404</f>
        <v>124713.47</v>
      </c>
      <c r="R405" s="4"/>
      <c r="S405" s="5">
        <f>OBRA!T404</f>
        <v>43741</v>
      </c>
      <c r="T405" s="11">
        <f>OBRA!U404</f>
        <v>43768</v>
      </c>
      <c r="U405" s="53"/>
      <c r="V405" s="377" t="s">
        <v>1428</v>
      </c>
      <c r="W405" s="867"/>
      <c r="X405" s="1228"/>
      <c r="Y405" s="986">
        <f>OBRA!AR404</f>
        <v>52536.350000000006</v>
      </c>
      <c r="Z405" s="309"/>
      <c r="AA405" s="309"/>
      <c r="AB405" s="5"/>
      <c r="AC405" s="317">
        <f>OBRA!BW404</f>
        <v>0</v>
      </c>
      <c r="AD405" s="352" t="s">
        <v>551</v>
      </c>
    </row>
    <row r="406" spans="1:30" s="104" customFormat="1" ht="30" hidden="1" customHeight="1">
      <c r="A406" s="81" t="s">
        <v>2206</v>
      </c>
      <c r="B406" s="820" t="str">
        <f>GRAL!B407</f>
        <v>2018-2021</v>
      </c>
      <c r="C406" s="82">
        <f>OBRA!J405</f>
        <v>2019</v>
      </c>
      <c r="D406" s="83" t="str">
        <f>OBRA!M405</f>
        <v>RASTRO DIGNO / CTA-CTE</v>
      </c>
      <c r="E406" s="479"/>
      <c r="F406" s="354"/>
      <c r="G406" s="96"/>
      <c r="H406" s="354"/>
      <c r="I406" s="151" t="str">
        <f>OBRA!W405</f>
        <v>C. PAUL ANTONIO VENEGAS GARCÍA</v>
      </c>
      <c r="J406" s="152" t="str">
        <f>OBRA!X405</f>
        <v>ARQ. JAIME CONDE GOMEZ</v>
      </c>
      <c r="K406" s="90" t="str">
        <f>OBRA!N405</f>
        <v>GMJ 022 C-OP/2019</v>
      </c>
      <c r="L406" s="85" t="str">
        <f>OBRA!O405</f>
        <v>CANCELADA</v>
      </c>
      <c r="M406" s="125" t="str">
        <f>OBRA!P405</f>
        <v xml:space="preserve">"CONSTRUCCIÓN DE PLANTA DE TRATAMIENTO INCLUYENDO OBRA CIVIL Y EQUIPAMIENTO EN EL RASTRO MUNICIPAL", EN LA CABECERA MUNICIPAL DE JOCOTEPEC, JALISCO </v>
      </c>
      <c r="N406" s="125"/>
      <c r="O406" s="125"/>
      <c r="P406" s="87">
        <f>OBRA!S405</f>
        <v>43709</v>
      </c>
      <c r="Q406" s="86">
        <f>OBRA!R405</f>
        <v>1688433.48</v>
      </c>
      <c r="R406" s="86"/>
      <c r="S406" s="88">
        <f>OBRA!T405</f>
        <v>43710</v>
      </c>
      <c r="T406" s="89">
        <f>OBRA!U405</f>
        <v>43785</v>
      </c>
      <c r="U406" s="91"/>
      <c r="V406" s="688"/>
      <c r="W406" s="311"/>
      <c r="X406" s="89"/>
      <c r="Y406" s="992">
        <f>OBRA!AR405</f>
        <v>0</v>
      </c>
      <c r="Z406" s="311"/>
      <c r="AA406" s="311"/>
      <c r="AB406" s="88"/>
      <c r="AC406" s="467">
        <f>OBRA!BW405</f>
        <v>0</v>
      </c>
      <c r="AD406" s="354"/>
    </row>
    <row r="407" spans="1:30" ht="100.5" hidden="1" customHeight="1">
      <c r="A407" s="22" t="s">
        <v>2206</v>
      </c>
      <c r="B407" s="809" t="str">
        <f>GRAL!B408</f>
        <v>2018-2021</v>
      </c>
      <c r="C407" s="16">
        <f>OBRA!J406</f>
        <v>2019</v>
      </c>
      <c r="D407" s="18" t="str">
        <f>OBRA!M406</f>
        <v>RASTRO DIGNO / CTA-CTE</v>
      </c>
      <c r="E407" s="1011" t="s">
        <v>2104</v>
      </c>
      <c r="F407" s="1227"/>
      <c r="G407" s="881"/>
      <c r="H407" s="1227"/>
      <c r="I407" s="54" t="str">
        <f>OBRA!W406</f>
        <v>SDT CONSTRUCTORA S.A. DE C.V.</v>
      </c>
      <c r="J407" s="55" t="str">
        <f>OBRA!X406</f>
        <v>ARQ. JAIME CONDE GOMEZ</v>
      </c>
      <c r="K407" s="33" t="str">
        <f>OBRA!N406</f>
        <v>GMJ 023 C-OP/2019</v>
      </c>
      <c r="L407" s="2" t="str">
        <f>OBRA!O406</f>
        <v>ADJUDICACIÓN DIRECTA</v>
      </c>
      <c r="M407" s="3" t="str">
        <f>OBRA!P406</f>
        <v>“CONSTRUCCIÓN DE ÁREA DE CORRALES MÓDULO 1 PRIMERA ETAPA EN EL RASTRO MUNICIPAL”, EN LA CABECERA MUNICIPAL, DE JOCOTEPEC, JALISCO.</v>
      </c>
      <c r="N407" s="466" t="s">
        <v>3496</v>
      </c>
      <c r="O407" s="466"/>
      <c r="P407" s="6">
        <f>OBRA!S406</f>
        <v>43755</v>
      </c>
      <c r="Q407" s="4">
        <f>OBRA!R406</f>
        <v>1393906.05</v>
      </c>
      <c r="R407" s="4"/>
      <c r="S407" s="5">
        <f>OBRA!T406</f>
        <v>43759</v>
      </c>
      <c r="T407" s="11">
        <f>OBRA!U406</f>
        <v>43830</v>
      </c>
      <c r="U407" s="53"/>
      <c r="V407" s="203"/>
      <c r="W407" s="587"/>
      <c r="X407" s="1231"/>
      <c r="Y407" s="988">
        <f>OBRA!AR406</f>
        <v>627257.56000000006</v>
      </c>
      <c r="Z407" s="309"/>
      <c r="AA407" s="309"/>
      <c r="AB407" s="5"/>
      <c r="AC407" s="317">
        <f>OBRA!BW406</f>
        <v>0</v>
      </c>
      <c r="AD407" s="352"/>
    </row>
    <row r="408" spans="1:30" ht="141.75" hidden="1" customHeight="1">
      <c r="A408" s="22" t="s">
        <v>2206</v>
      </c>
      <c r="B408" s="809" t="str">
        <f>GRAL!B409</f>
        <v>2018-2021</v>
      </c>
      <c r="C408" s="16">
        <f>OBRA!J407</f>
        <v>2019</v>
      </c>
      <c r="D408" s="18" t="str">
        <f>OBRA!M407</f>
        <v>RASTRO DIGNO / CTA-CTE</v>
      </c>
      <c r="E408" s="1011" t="s">
        <v>2104</v>
      </c>
      <c r="F408" s="1227"/>
      <c r="G408" s="881"/>
      <c r="H408" s="1227"/>
      <c r="I408" s="54" t="str">
        <f>OBRA!W407</f>
        <v>DACO, DESARROLLOS ARQUITECTÓNICOS Y CONSTRUCCIÓN OBRA CIVIL S.A. DE C.V.</v>
      </c>
      <c r="J408" s="55" t="str">
        <f>OBRA!X407</f>
        <v>ARQ. JAIME CONDE GOMEZ</v>
      </c>
      <c r="K408" s="33" t="str">
        <f>OBRA!N407</f>
        <v>GMJ 024 C-OP/2019</v>
      </c>
      <c r="L408" s="2" t="str">
        <f>OBRA!O407</f>
        <v>ADJUDICACIÓN DIRECTA</v>
      </c>
      <c r="M408" s="3" t="str">
        <f>OBRA!P407</f>
        <v>“REHABILITACIÓN DE ÁREA DE MATANZA EN ESTRUCTURA Y TECHUMBRE PRIMERA ETAPA EN EL RASTRO MUNICIPAL”, EN LA CABECERA MUNICIPAL, DE JOCOTEPEC, JALISCO.</v>
      </c>
      <c r="N408" s="466" t="s">
        <v>3496</v>
      </c>
      <c r="O408" s="466"/>
      <c r="P408" s="6">
        <f>OBRA!S407</f>
        <v>43755</v>
      </c>
      <c r="Q408" s="4">
        <f>OBRA!R407</f>
        <v>1414229.08</v>
      </c>
      <c r="R408" s="4"/>
      <c r="S408" s="5">
        <f>OBRA!T407</f>
        <v>43759</v>
      </c>
      <c r="T408" s="11">
        <f>OBRA!U407</f>
        <v>43830</v>
      </c>
      <c r="U408" s="53"/>
      <c r="V408" s="203"/>
      <c r="W408" s="587"/>
      <c r="X408" s="1231"/>
      <c r="Y408" s="988">
        <f>OBRA!AR407</f>
        <v>636403.09000000008</v>
      </c>
      <c r="Z408" s="309"/>
      <c r="AA408" s="309"/>
      <c r="AB408" s="5"/>
      <c r="AC408" s="317">
        <f>OBRA!BW407</f>
        <v>0</v>
      </c>
      <c r="AD408" s="352"/>
    </row>
    <row r="409" spans="1:30" ht="95.25" hidden="1" customHeight="1">
      <c r="A409" s="22" t="s">
        <v>2206</v>
      </c>
      <c r="B409" s="809" t="str">
        <f>GRAL!B410</f>
        <v>2018-2021</v>
      </c>
      <c r="C409" s="16">
        <f>OBRA!J408</f>
        <v>2019</v>
      </c>
      <c r="D409" s="17" t="str">
        <f>OBRA!M408</f>
        <v>RAMO 33</v>
      </c>
      <c r="E409" s="478" t="s">
        <v>1428</v>
      </c>
      <c r="F409" s="968"/>
      <c r="G409" s="881"/>
      <c r="H409" s="1227"/>
      <c r="I409" s="54" t="str">
        <f>OBRA!W408</f>
        <v>AV ATELIER DE ARQUITECTURA S.A. DE C.V.</v>
      </c>
      <c r="J409" s="55" t="str">
        <f>OBRA!X408</f>
        <v>LIC. SALVADOR CONTRERAS OLGUÍN</v>
      </c>
      <c r="K409" s="33" t="str">
        <f>OBRA!N408</f>
        <v>GMJ 025 C-OP/2019</v>
      </c>
      <c r="L409" s="2" t="str">
        <f>OBRA!O408</f>
        <v>ADJUDICACIÓN DIRECTA</v>
      </c>
      <c r="M409" s="3" t="str">
        <f>OBRA!P408</f>
        <v>"REHABILITACIÓN DE RED DE DRENAJE SANITARIO EN CALLE OTOÑO ENTRE CALLE NIÑOS HEROES Y ZARAGOZA" EN LA CABECERA MUNICIPAL DE JOCOTEPEC, JALISCO</v>
      </c>
      <c r="N409" s="466" t="s">
        <v>3496</v>
      </c>
      <c r="O409" s="466"/>
      <c r="P409" s="6">
        <f>OBRA!S408</f>
        <v>43755</v>
      </c>
      <c r="Q409" s="4">
        <f>OBRA!R408</f>
        <v>198328.91</v>
      </c>
      <c r="R409" s="4"/>
      <c r="S409" s="5">
        <f>OBRA!T408</f>
        <v>43759</v>
      </c>
      <c r="T409" s="11">
        <f>OBRA!U408</f>
        <v>43809</v>
      </c>
      <c r="U409" s="53"/>
      <c r="V409" s="62" t="s">
        <v>1428</v>
      </c>
      <c r="W409" s="587"/>
      <c r="X409" s="1231"/>
      <c r="Y409" s="988">
        <f>OBRA!AR408</f>
        <v>38382.93</v>
      </c>
      <c r="Z409" s="309"/>
      <c r="AA409" s="309"/>
      <c r="AB409" s="5"/>
      <c r="AC409" s="317">
        <f>OBRA!BW408</f>
        <v>0</v>
      </c>
      <c r="AD409" s="352" t="s">
        <v>551</v>
      </c>
    </row>
    <row r="410" spans="1:30" ht="96" hidden="1" customHeight="1">
      <c r="A410" s="22" t="s">
        <v>2206</v>
      </c>
      <c r="B410" s="809" t="str">
        <f>GRAL!B411</f>
        <v>2018-2021</v>
      </c>
      <c r="C410" s="16">
        <f>OBRA!J409</f>
        <v>2019</v>
      </c>
      <c r="D410" s="17" t="str">
        <f>OBRA!M409</f>
        <v>RAMO 33</v>
      </c>
      <c r="E410" s="478" t="s">
        <v>1428</v>
      </c>
      <c r="F410" s="968"/>
      <c r="G410" s="867"/>
      <c r="H410" s="1227"/>
      <c r="I410" s="54" t="str">
        <f>OBRA!W409</f>
        <v>AV ATELIER DE ARQUITECTURA S.A. DE C.V.</v>
      </c>
      <c r="J410" s="55" t="str">
        <f>OBRA!X409</f>
        <v>LIC. SALVADOR CONTRERAS OLGUÍN</v>
      </c>
      <c r="K410" s="33" t="str">
        <f>OBRA!N409</f>
        <v>GMJ 026 C-OP/2019</v>
      </c>
      <c r="L410" s="2" t="str">
        <f>OBRA!O409</f>
        <v>ADJUDICACIÓN DIRECTA</v>
      </c>
      <c r="M410" s="3" t="str">
        <f>OBRA!P409</f>
        <v>"REHABILITACIÓN DE RED DE AGUA POTABLE EN CALLE OTOÑO ENTRE CALLE NIÑOS HEROES Y ZARAGOZA" EN LA CABECERA MUNICIPAL DE JOCOTEPEC, JALISCO</v>
      </c>
      <c r="N410" s="466" t="s">
        <v>3496</v>
      </c>
      <c r="O410" s="466"/>
      <c r="P410" s="6">
        <f>OBRA!S409</f>
        <v>43755</v>
      </c>
      <c r="Q410" s="4">
        <f>OBRA!R409</f>
        <v>135637.59</v>
      </c>
      <c r="R410" s="4"/>
      <c r="S410" s="5">
        <f>OBRA!T409</f>
        <v>43759</v>
      </c>
      <c r="T410" s="11">
        <f>OBRA!U409</f>
        <v>43809</v>
      </c>
      <c r="U410" s="53"/>
      <c r="V410" s="62" t="s">
        <v>1428</v>
      </c>
      <c r="W410" s="587"/>
      <c r="X410" s="1231"/>
      <c r="Y410" s="988">
        <f>OBRA!AR409</f>
        <v>27591.190000000002</v>
      </c>
      <c r="Z410" s="309"/>
      <c r="AA410" s="309"/>
      <c r="AB410" s="5"/>
      <c r="AC410" s="317">
        <f>OBRA!BW409</f>
        <v>0</v>
      </c>
      <c r="AD410" s="352" t="s">
        <v>551</v>
      </c>
    </row>
    <row r="411" spans="1:30" ht="126" hidden="1" customHeight="1">
      <c r="A411" s="22" t="s">
        <v>2206</v>
      </c>
      <c r="B411" s="809" t="str">
        <f>GRAL!B412</f>
        <v>2018-2021</v>
      </c>
      <c r="C411" s="16">
        <f>OBRA!J410</f>
        <v>2019</v>
      </c>
      <c r="D411" s="17" t="str">
        <f>OBRA!M410</f>
        <v>RAMO 33</v>
      </c>
      <c r="E411" s="478" t="s">
        <v>1428</v>
      </c>
      <c r="F411" s="1227"/>
      <c r="G411" s="881"/>
      <c r="H411" s="1227"/>
      <c r="I411" s="54" t="str">
        <f>OBRA!W410</f>
        <v>AV ATELIER DE ARQUITECTURA S.A. DE C.V.</v>
      </c>
      <c r="J411" s="55" t="str">
        <f>OBRA!X410</f>
        <v>LIC. SALVADOR CONTRERAS OLGUÍN</v>
      </c>
      <c r="K411" s="33" t="str">
        <f>OBRA!N410</f>
        <v>GMJ 027 C-OP/2019</v>
      </c>
      <c r="L411" s="2" t="str">
        <f>OBRA!O410</f>
        <v>ADJUDICACIÓN DIRECTA</v>
      </c>
      <c r="M411" s="3" t="str">
        <f>OBRA!P410</f>
        <v>“CONSTRUCCIÓN DE EMPEDRADO AHOGADO EN  CEMENTO EN CALLE OTOÑO ENTRE CALLE NIÑOS HÉROES Y CALLE ZARAGOZA”  EN LA CABECERA MUNICIPAL DE JOCOTEPEC, JALISCO.</v>
      </c>
      <c r="N411" s="466" t="s">
        <v>3496</v>
      </c>
      <c r="O411" s="466"/>
      <c r="P411" s="6">
        <f>OBRA!S410</f>
        <v>43755</v>
      </c>
      <c r="Q411" s="4">
        <f>OBRA!R410</f>
        <v>883708.77</v>
      </c>
      <c r="R411" s="4"/>
      <c r="S411" s="5">
        <f>OBRA!T410</f>
        <v>43759</v>
      </c>
      <c r="T411" s="11">
        <f>OBRA!U410</f>
        <v>43809</v>
      </c>
      <c r="U411" s="53"/>
      <c r="V411" s="62" t="s">
        <v>1428</v>
      </c>
      <c r="W411" s="587"/>
      <c r="X411" s="1231"/>
      <c r="Y411" s="988">
        <f>OBRA!AR410</f>
        <v>170988.1</v>
      </c>
      <c r="Z411" s="309"/>
      <c r="AA411" s="309"/>
      <c r="AB411" s="5"/>
      <c r="AC411" s="317">
        <f>OBRA!BW410</f>
        <v>0</v>
      </c>
      <c r="AD411" s="352" t="s">
        <v>551</v>
      </c>
    </row>
    <row r="412" spans="1:30" ht="113.25" hidden="1" customHeight="1">
      <c r="A412" s="22" t="s">
        <v>2206</v>
      </c>
      <c r="B412" s="809" t="str">
        <f>GRAL!B413</f>
        <v>2018-2021</v>
      </c>
      <c r="C412" s="16">
        <f>OBRA!J411</f>
        <v>2019</v>
      </c>
      <c r="D412" s="17" t="str">
        <f>OBRA!M411</f>
        <v>RAMO 33</v>
      </c>
      <c r="E412" s="478" t="s">
        <v>1428</v>
      </c>
      <c r="F412" s="1227"/>
      <c r="G412" s="1219"/>
      <c r="H412" s="1227"/>
      <c r="I412" s="54" t="str">
        <f>OBRA!W411</f>
        <v>GRUPO CONSTRUCTOR HORUS, S.A. DE C.V.</v>
      </c>
      <c r="J412" s="55" t="str">
        <f>OBRA!X411</f>
        <v>ING. J. GUADALUPE IBARRA RAMIREZ</v>
      </c>
      <c r="K412" s="33" t="str">
        <f>OBRA!N411</f>
        <v>GMJ 028 C-OP/2019</v>
      </c>
      <c r="L412" s="2" t="str">
        <f>OBRA!O411</f>
        <v>ADJUDICACIÓN DIRECTA</v>
      </c>
      <c r="M412" s="3" t="str">
        <f>OBRA!P411</f>
        <v>“REHABILITACIÓN DE LÍNEA DE DRENAJE EN LA CALLE INVIERNO ENTRE CALLES FRANCISCO VILLA Y 20 DE NOVIEMBRE”  EN LA CABECERA MUNICIPAL DE JOCOTEPEC, JALISCO.</v>
      </c>
      <c r="N412" s="466" t="s">
        <v>3496</v>
      </c>
      <c r="O412" s="466"/>
      <c r="P412" s="6">
        <f>OBRA!S411</f>
        <v>43754</v>
      </c>
      <c r="Q412" s="4">
        <f>OBRA!R411</f>
        <v>269609.8</v>
      </c>
      <c r="R412" s="4"/>
      <c r="S412" s="5">
        <f>OBRA!T411</f>
        <v>43755</v>
      </c>
      <c r="T412" s="11">
        <f>OBRA!U411</f>
        <v>43799</v>
      </c>
      <c r="U412" s="53"/>
      <c r="V412" s="377" t="s">
        <v>1428</v>
      </c>
      <c r="W412" s="587"/>
      <c r="X412" s="1219"/>
      <c r="Y412" s="986">
        <f>OBRA!AR411</f>
        <v>56556.3</v>
      </c>
      <c r="Z412" s="309"/>
      <c r="AA412" s="309"/>
      <c r="AB412" s="5"/>
      <c r="AC412" s="317">
        <f>OBRA!BW411</f>
        <v>0</v>
      </c>
      <c r="AD412" s="352" t="s">
        <v>551</v>
      </c>
    </row>
    <row r="413" spans="1:30" ht="121.5" hidden="1" customHeight="1">
      <c r="A413" s="22" t="s">
        <v>2206</v>
      </c>
      <c r="B413" s="809" t="str">
        <f>GRAL!B414</f>
        <v>2018-2021</v>
      </c>
      <c r="C413" s="16">
        <f>OBRA!J412</f>
        <v>2019</v>
      </c>
      <c r="D413" s="17" t="str">
        <f>OBRA!M412</f>
        <v>RAMO 33</v>
      </c>
      <c r="E413" s="478" t="s">
        <v>1428</v>
      </c>
      <c r="F413" s="1227"/>
      <c r="G413" s="881"/>
      <c r="H413" s="507"/>
      <c r="I413" s="54" t="str">
        <f>OBRA!W412</f>
        <v>GRUPO CONSTRUCTOR HORUS, S.A. DE C.V.</v>
      </c>
      <c r="J413" s="55" t="str">
        <f>OBRA!X412</f>
        <v>ING. J. GUADALUPE IBARRA RAMIREZ</v>
      </c>
      <c r="K413" s="33" t="str">
        <f>OBRA!N412</f>
        <v>GMJ 029 C-OP/2019</v>
      </c>
      <c r="L413" s="2" t="str">
        <f>OBRA!O412</f>
        <v>ADJUDICACIÓN DIRECTA</v>
      </c>
      <c r="M413" s="3" t="str">
        <f>OBRA!P412</f>
        <v>“REHABILITACIÓN DE RED DE AGUA POTABLE EN CALLE INVIERNO ENTRE CALLES FRANCISCO VILLA Y 20 DE NOVIEMBRE”  EN LA CABECERA MUNICIPAL DE JOCOTEPEC, JALISCO.</v>
      </c>
      <c r="N413" s="466" t="s">
        <v>3496</v>
      </c>
      <c r="O413" s="466"/>
      <c r="P413" s="6">
        <f>OBRA!S412</f>
        <v>43754</v>
      </c>
      <c r="Q413" s="4">
        <f>OBRA!R412</f>
        <v>104875.19</v>
      </c>
      <c r="R413" s="4"/>
      <c r="S413" s="5">
        <f>OBRA!T412</f>
        <v>43762</v>
      </c>
      <c r="T413" s="11">
        <f>OBRA!U412</f>
        <v>43799</v>
      </c>
      <c r="U413" s="53"/>
      <c r="V413" s="62" t="s">
        <v>1428</v>
      </c>
      <c r="W413" s="587"/>
      <c r="X413" s="1231"/>
      <c r="Y413" s="988">
        <f>OBRA!AR412</f>
        <v>20970.04</v>
      </c>
      <c r="Z413" s="309"/>
      <c r="AA413" s="309"/>
      <c r="AB413" s="5"/>
      <c r="AC413" s="317">
        <f>OBRA!BW412</f>
        <v>0</v>
      </c>
      <c r="AD413" s="352" t="s">
        <v>551</v>
      </c>
    </row>
    <row r="414" spans="1:30" ht="117.75" hidden="1" customHeight="1">
      <c r="A414" s="22" t="s">
        <v>2206</v>
      </c>
      <c r="B414" s="809" t="str">
        <f>GRAL!B415</f>
        <v>2018-2021</v>
      </c>
      <c r="C414" s="16">
        <f>OBRA!J413</f>
        <v>2019</v>
      </c>
      <c r="D414" s="17" t="str">
        <f>OBRA!M413</f>
        <v>RAMO 33</v>
      </c>
      <c r="E414" s="478" t="s">
        <v>1428</v>
      </c>
      <c r="F414" s="1227"/>
      <c r="G414" s="881"/>
      <c r="H414" s="1227"/>
      <c r="I414" s="54" t="str">
        <f>OBRA!W413</f>
        <v>GRUPO CONSTRUCTOR HORUS, S.A. DE C.V.</v>
      </c>
      <c r="J414" s="55" t="str">
        <f>OBRA!X413</f>
        <v>ING. J. GUADALUPE IBARRA RAMIREZ</v>
      </c>
      <c r="K414" s="33" t="str">
        <f>OBRA!N413</f>
        <v>GMJ 030 C-OP/2019</v>
      </c>
      <c r="L414" s="2" t="str">
        <f>OBRA!O413</f>
        <v>ADJUDICACIÓN DIRECTA</v>
      </c>
      <c r="M414" s="3" t="str">
        <f>OBRA!P413</f>
        <v>“FABRICACIÓN DE EMPEDRADO AHOGADO EN CEMENTO  EN CALLE INVIERNO ENTRE CALLES FRANCISCO VILLA Y 20 DE NOVIEMBRE” EN LA CABECERA MUNICIPAL DE JOCOTEPEC, JALISCO</v>
      </c>
      <c r="N414" s="466" t="s">
        <v>3496</v>
      </c>
      <c r="O414" s="466"/>
      <c r="P414" s="6">
        <f>OBRA!S413</f>
        <v>43754</v>
      </c>
      <c r="Q414" s="4">
        <f>OBRA!R413</f>
        <v>702979.49</v>
      </c>
      <c r="R414" s="4"/>
      <c r="S414" s="5">
        <f>OBRA!T413</f>
        <v>43762</v>
      </c>
      <c r="T414" s="11">
        <f>OBRA!U413</f>
        <v>43799</v>
      </c>
      <c r="U414" s="53"/>
      <c r="V414" s="62" t="s">
        <v>1428</v>
      </c>
      <c r="W414" s="587"/>
      <c r="X414" s="1231"/>
      <c r="Y414" s="988">
        <f>OBRA!AR413</f>
        <v>144872.22</v>
      </c>
      <c r="Z414" s="309"/>
      <c r="AA414" s="309"/>
      <c r="AB414" s="5"/>
      <c r="AC414" s="317">
        <f>OBRA!BW413</f>
        <v>0</v>
      </c>
      <c r="AD414" s="352" t="s">
        <v>551</v>
      </c>
    </row>
    <row r="415" spans="1:30" ht="90" hidden="1" customHeight="1">
      <c r="A415" s="22" t="s">
        <v>2206</v>
      </c>
      <c r="B415" s="809" t="str">
        <f>GRAL!B416</f>
        <v>2018-2021</v>
      </c>
      <c r="C415" s="16">
        <f>OBRA!J414</f>
        <v>2019</v>
      </c>
      <c r="D415" s="17" t="str">
        <f>OBRA!M414</f>
        <v>RAMO 33</v>
      </c>
      <c r="E415" s="478" t="s">
        <v>1428</v>
      </c>
      <c r="F415" s="968"/>
      <c r="G415" s="881"/>
      <c r="H415" s="1227"/>
      <c r="I415" s="54" t="str">
        <f>OBRA!W414</f>
        <v>CONSTRUCTORA PIMONT S.A. DE C.V.</v>
      </c>
      <c r="J415" s="55" t="str">
        <f>OBRA!X414</f>
        <v>LIC. SALVADOR CONTRERAS OLGUÍN</v>
      </c>
      <c r="K415" s="33" t="str">
        <f>OBRA!N414</f>
        <v>GMJ 031 C-OP/2019</v>
      </c>
      <c r="L415" s="2" t="str">
        <f>OBRA!O414</f>
        <v>ADJUDICACIÓN DIRECTA</v>
      </c>
      <c r="M415" s="3" t="str">
        <f>OBRA!P414</f>
        <v>"CONSTRUCCIÓN DE BANQUETAS EN CALLE MORELOS DELEGACIÓN DE CHANTEPEC MUNICIPIO DE JOCOTEPEC, JALISCO".</v>
      </c>
      <c r="N415" s="466" t="s">
        <v>3497</v>
      </c>
      <c r="O415" s="466"/>
      <c r="P415" s="6">
        <f>OBRA!S414</f>
        <v>43754</v>
      </c>
      <c r="Q415" s="4">
        <f>OBRA!R414</f>
        <v>311860.06</v>
      </c>
      <c r="R415" s="4"/>
      <c r="S415" s="5">
        <f>OBRA!T414</f>
        <v>43759</v>
      </c>
      <c r="T415" s="11">
        <f>OBRA!U414</f>
        <v>43790</v>
      </c>
      <c r="U415" s="53"/>
      <c r="V415" s="62" t="s">
        <v>1428</v>
      </c>
      <c r="W415" s="587"/>
      <c r="X415" s="1231"/>
      <c r="Y415" s="988">
        <f>OBRA!AR414</f>
        <v>62372</v>
      </c>
      <c r="Z415" s="309"/>
      <c r="AA415" s="309"/>
      <c r="AB415" s="5"/>
      <c r="AC415" s="317">
        <f>OBRA!BW414</f>
        <v>0</v>
      </c>
      <c r="AD415" s="352" t="s">
        <v>551</v>
      </c>
    </row>
    <row r="416" spans="1:30" s="104" customFormat="1" ht="15" hidden="1" customHeight="1">
      <c r="A416" s="81" t="s">
        <v>2206</v>
      </c>
      <c r="B416" s="820" t="str">
        <f>GRAL!B417</f>
        <v>2018-2021</v>
      </c>
      <c r="C416" s="82">
        <f>OBRA!J415</f>
        <v>2019</v>
      </c>
      <c r="D416" s="97">
        <f>OBRA!M415</f>
        <v>0</v>
      </c>
      <c r="E416" s="479" t="s">
        <v>1428</v>
      </c>
      <c r="F416" s="354"/>
      <c r="G416" s="96"/>
      <c r="H416" s="354"/>
      <c r="I416" s="151">
        <f>OBRA!W415</f>
        <v>0</v>
      </c>
      <c r="J416" s="152">
        <f>OBRA!X415</f>
        <v>0</v>
      </c>
      <c r="K416" s="90" t="str">
        <f>OBRA!N415</f>
        <v>GMJ 032 C-OP/2019</v>
      </c>
      <c r="L416" s="85" t="str">
        <f>OBRA!O415</f>
        <v>CANCELADA</v>
      </c>
      <c r="M416" s="125">
        <f>OBRA!P415</f>
        <v>0</v>
      </c>
      <c r="N416" s="125"/>
      <c r="O416" s="125"/>
      <c r="P416" s="87">
        <f>OBRA!S415</f>
        <v>0</v>
      </c>
      <c r="Q416" s="86">
        <f>OBRA!R415</f>
        <v>0</v>
      </c>
      <c r="R416" s="86"/>
      <c r="S416" s="88">
        <f>OBRA!T415</f>
        <v>0</v>
      </c>
      <c r="T416" s="89">
        <f>OBRA!U415</f>
        <v>0</v>
      </c>
      <c r="U416" s="91"/>
      <c r="V416" s="688" t="s">
        <v>1428</v>
      </c>
      <c r="W416" s="311"/>
      <c r="X416" s="89"/>
      <c r="Y416" s="284">
        <f>OBRA!AR415</f>
        <v>0</v>
      </c>
      <c r="Z416" s="311"/>
      <c r="AA416" s="311"/>
      <c r="AB416" s="88"/>
      <c r="AC416" s="467">
        <f>OBRA!BW415</f>
        <v>0</v>
      </c>
      <c r="AD416" s="354"/>
    </row>
    <row r="417" spans="1:30" s="104" customFormat="1" ht="15" hidden="1" customHeight="1">
      <c r="A417" s="81" t="s">
        <v>2206</v>
      </c>
      <c r="B417" s="820" t="str">
        <f>GRAL!B418</f>
        <v>2018-2021</v>
      </c>
      <c r="C417" s="82">
        <f>OBRA!J416</f>
        <v>2019</v>
      </c>
      <c r="D417" s="97">
        <f>OBRA!M416</f>
        <v>0</v>
      </c>
      <c r="E417" s="479" t="s">
        <v>1428</v>
      </c>
      <c r="F417" s="354"/>
      <c r="G417" s="96"/>
      <c r="H417" s="354"/>
      <c r="I417" s="151">
        <f>OBRA!W416</f>
        <v>0</v>
      </c>
      <c r="J417" s="152">
        <f>OBRA!X416</f>
        <v>0</v>
      </c>
      <c r="K417" s="90" t="str">
        <f>OBRA!N416</f>
        <v>GMJ 033 C-OP/2019</v>
      </c>
      <c r="L417" s="85" t="str">
        <f>OBRA!O416</f>
        <v>CANCELADA</v>
      </c>
      <c r="M417" s="125">
        <f>OBRA!P416</f>
        <v>0</v>
      </c>
      <c r="N417" s="125"/>
      <c r="O417" s="125"/>
      <c r="P417" s="87">
        <f>OBRA!S416</f>
        <v>0</v>
      </c>
      <c r="Q417" s="86">
        <f>OBRA!R416</f>
        <v>0</v>
      </c>
      <c r="R417" s="86"/>
      <c r="S417" s="88">
        <f>OBRA!T416</f>
        <v>0</v>
      </c>
      <c r="T417" s="89">
        <f>OBRA!U416</f>
        <v>0</v>
      </c>
      <c r="U417" s="91"/>
      <c r="V417" s="688" t="s">
        <v>1428</v>
      </c>
      <c r="W417" s="311"/>
      <c r="X417" s="89"/>
      <c r="Y417" s="284">
        <f>OBRA!AR416</f>
        <v>0</v>
      </c>
      <c r="Z417" s="311"/>
      <c r="AA417" s="311"/>
      <c r="AB417" s="88"/>
      <c r="AC417" s="467">
        <f>OBRA!BW416</f>
        <v>0</v>
      </c>
      <c r="AD417" s="354"/>
    </row>
    <row r="418" spans="1:30" ht="129" hidden="1" customHeight="1">
      <c r="A418" s="22" t="s">
        <v>2206</v>
      </c>
      <c r="B418" s="809" t="str">
        <f>GRAL!B419</f>
        <v>2018-2021</v>
      </c>
      <c r="C418" s="16">
        <f>OBRA!J417</f>
        <v>2019</v>
      </c>
      <c r="D418" s="17" t="str">
        <f>OBRA!M417</f>
        <v>RAMO 33</v>
      </c>
      <c r="E418" s="478" t="s">
        <v>1428</v>
      </c>
      <c r="F418" s="573"/>
      <c r="G418" s="881"/>
      <c r="H418" s="573"/>
      <c r="I418" s="54" t="str">
        <f>OBRA!W417</f>
        <v>INGENIERÍA ARQUITECTURA MENDPAD S.A. DE C.V.</v>
      </c>
      <c r="J418" s="55" t="str">
        <f>OBRA!X417</f>
        <v>LIC. SALVADOR CONTRERAS OLGUÍN</v>
      </c>
      <c r="K418" s="33" t="str">
        <f>OBRA!N417</f>
        <v>GMJ 034 C-OP/2019</v>
      </c>
      <c r="L418" s="2" t="str">
        <f>OBRA!O417</f>
        <v>ADJUDICACIÓN DIRECTA</v>
      </c>
      <c r="M418" s="3" t="str">
        <f>OBRA!P417</f>
        <v xml:space="preserve">"CONSTRUCCIÓN DE RED DE DRENAJE SANITARIO, 2DA. ETAPA EN PRIVADA ZARAGOZA DE CALLE ZARAGOZA A CERRADA DELEGACIÓN DE SAN JUAN COSALA MUNICIPIO DE JOCOTEPEC, JALISCO". </v>
      </c>
      <c r="N418" s="466" t="s">
        <v>3497</v>
      </c>
      <c r="O418" s="466"/>
      <c r="P418" s="6">
        <f>OBRA!S417</f>
        <v>43754</v>
      </c>
      <c r="Q418" s="4">
        <f>OBRA!R417</f>
        <v>82700.09</v>
      </c>
      <c r="R418" s="4"/>
      <c r="S418" s="5">
        <f>OBRA!T417</f>
        <v>43755</v>
      </c>
      <c r="T418" s="11">
        <f>OBRA!U417</f>
        <v>43767</v>
      </c>
      <c r="U418" s="53"/>
      <c r="V418" s="62" t="s">
        <v>1428</v>
      </c>
      <c r="W418" s="587"/>
      <c r="X418" s="1231"/>
      <c r="Y418" s="986">
        <f>OBRA!AR417</f>
        <v>48335.01</v>
      </c>
      <c r="Z418" s="309"/>
      <c r="AA418" s="309"/>
      <c r="AB418" s="5"/>
      <c r="AC418" s="317">
        <f>OBRA!BW417</f>
        <v>0</v>
      </c>
      <c r="AD418" s="352" t="s">
        <v>551</v>
      </c>
    </row>
    <row r="419" spans="1:30" ht="109.5" hidden="1" customHeight="1">
      <c r="A419" s="22" t="s">
        <v>2206</v>
      </c>
      <c r="B419" s="809" t="str">
        <f>GRAL!B420</f>
        <v>2018-2021</v>
      </c>
      <c r="C419" s="16">
        <f>OBRA!J418</f>
        <v>2019</v>
      </c>
      <c r="D419" s="17" t="str">
        <f>OBRA!M418</f>
        <v>RAMO 33</v>
      </c>
      <c r="E419" s="478" t="s">
        <v>1428</v>
      </c>
      <c r="F419" s="573"/>
      <c r="G419" s="881"/>
      <c r="H419" s="573"/>
      <c r="I419" s="54" t="str">
        <f>OBRA!W418</f>
        <v>INGENIERÍA ARQUITECTURA MENDPAD S.A. DE C.V.</v>
      </c>
      <c r="J419" s="55" t="str">
        <f>OBRA!X418</f>
        <v>LIC. SALVADOR CONTRERAS OLGUÍN</v>
      </c>
      <c r="K419" s="33" t="str">
        <f>OBRA!N418</f>
        <v>GMJ 035 C-OP/2019</v>
      </c>
      <c r="L419" s="2" t="str">
        <f>OBRA!O418</f>
        <v>ADJUDICACIÓN DIRECTA</v>
      </c>
      <c r="M419" s="3" t="str">
        <f>OBRA!P418</f>
        <v>"REHABILITACIÓN DE LÍNEA DE DRENAJE EN CALLE VERANO ENTRE CALLES NIÑOS HÉROES Y LÓPEZ RAYÓN CABECERA MUNICIPAL DE JOCOTEPEC, JALISCO".</v>
      </c>
      <c r="N419" s="466" t="s">
        <v>3497</v>
      </c>
      <c r="O419" s="466"/>
      <c r="P419" s="6">
        <f>OBRA!S418</f>
        <v>43794</v>
      </c>
      <c r="Q419" s="4">
        <f>OBRA!R418</f>
        <v>118488.2</v>
      </c>
      <c r="R419" s="4"/>
      <c r="S419" s="5">
        <f>OBRA!T418</f>
        <v>43795</v>
      </c>
      <c r="T419" s="11">
        <f>OBRA!U418</f>
        <v>43813</v>
      </c>
      <c r="U419" s="53"/>
      <c r="V419" s="62" t="s">
        <v>1428</v>
      </c>
      <c r="W419" s="587"/>
      <c r="X419" s="1231"/>
      <c r="Y419" s="988">
        <f>OBRA!AR418</f>
        <v>23697.64</v>
      </c>
      <c r="Z419" s="309"/>
      <c r="AA419" s="309"/>
      <c r="AB419" s="5"/>
      <c r="AC419" s="317">
        <f>OBRA!BW418</f>
        <v>0</v>
      </c>
      <c r="AD419" s="352" t="s">
        <v>551</v>
      </c>
    </row>
    <row r="420" spans="1:30" ht="123.75" hidden="1" customHeight="1">
      <c r="A420" s="22" t="s">
        <v>2206</v>
      </c>
      <c r="B420" s="809" t="str">
        <f>GRAL!B421</f>
        <v>2018-2021</v>
      </c>
      <c r="C420" s="16">
        <f>OBRA!J419</f>
        <v>2019</v>
      </c>
      <c r="D420" s="17" t="str">
        <f>OBRA!M419</f>
        <v>RAMO 33</v>
      </c>
      <c r="E420" s="478" t="s">
        <v>1428</v>
      </c>
      <c r="F420" s="1227"/>
      <c r="G420" s="881"/>
      <c r="H420" s="1227"/>
      <c r="I420" s="54" t="str">
        <f>OBRA!W419</f>
        <v>INGENIERÍA ARQUITECTURA MENDPAD S.A. DE C.V.</v>
      </c>
      <c r="J420" s="55" t="str">
        <f>OBRA!X419</f>
        <v>LIC. SALVADOR CONTRERAS OLGUÍN</v>
      </c>
      <c r="K420" s="33" t="str">
        <f>OBRA!N419</f>
        <v>GMJ 036 C-OP/2019</v>
      </c>
      <c r="L420" s="2" t="str">
        <f>OBRA!O419</f>
        <v>ADJUDICACIÓN DIRECTA</v>
      </c>
      <c r="M420" s="3" t="str">
        <f>OBRA!P419</f>
        <v>"CONSTRUCCIÓN DE EMPEDRADO AHOGADO EN CEMENTO EN CALLE VERANO ENTRE NIÑOS HÉROES Y EMPEDRADO EXISTENTE CABECERA MUNICIPAL DE JOCOTEPEC, JALISCO".</v>
      </c>
      <c r="N420" s="466" t="s">
        <v>3497</v>
      </c>
      <c r="O420" s="466"/>
      <c r="P420" s="6">
        <f>OBRA!S419</f>
        <v>43794</v>
      </c>
      <c r="Q420" s="4">
        <f>OBRA!R419</f>
        <v>267068.21999999997</v>
      </c>
      <c r="R420" s="4"/>
      <c r="S420" s="5">
        <f>OBRA!T419</f>
        <v>43801</v>
      </c>
      <c r="T420" s="11">
        <f>OBRA!U419</f>
        <v>43830</v>
      </c>
      <c r="U420" s="53"/>
      <c r="V420" s="62" t="s">
        <v>1428</v>
      </c>
      <c r="W420" s="587"/>
      <c r="X420" s="1231"/>
      <c r="Y420" s="988">
        <f>OBRA!AR419</f>
        <v>53413.64</v>
      </c>
      <c r="Z420" s="309"/>
      <c r="AA420" s="309"/>
      <c r="AB420" s="5"/>
      <c r="AC420" s="317">
        <f>OBRA!BW419</f>
        <v>0</v>
      </c>
      <c r="AD420" s="352" t="s">
        <v>551</v>
      </c>
    </row>
    <row r="421" spans="1:30" ht="93" hidden="1" customHeight="1">
      <c r="A421" s="22" t="s">
        <v>2206</v>
      </c>
      <c r="B421" s="809" t="str">
        <f>GRAL!B423</f>
        <v>2018-2021</v>
      </c>
      <c r="C421" s="16">
        <f>OBRA!J421</f>
        <v>2019</v>
      </c>
      <c r="D421" s="17" t="str">
        <f>OBRA!M421</f>
        <v>P.I.D.</v>
      </c>
      <c r="E421" s="478" t="s">
        <v>1428</v>
      </c>
      <c r="F421" s="1227"/>
      <c r="G421" s="881"/>
      <c r="H421" s="1227"/>
      <c r="I421" s="54" t="str">
        <f>OBRA!W421</f>
        <v>CONSTRUCTORA PIMONT S.A. DE C.V.</v>
      </c>
      <c r="J421" s="55" t="str">
        <f>OBRA!X421</f>
        <v>LIC. SALVADOR CONTRERAS OLGUÍN</v>
      </c>
      <c r="K421" s="33" t="str">
        <f>OBRA!N421</f>
        <v>GMJ 038 C-OP/2019</v>
      </c>
      <c r="L421" s="2" t="str">
        <f>OBRA!O421</f>
        <v>ADJUDICACIÓN DIRECTA</v>
      </c>
      <c r="M421" s="3" t="str">
        <f>OBRA!P421</f>
        <v>"CONSTRUCCIÓN DE PUERTO INOCUO DE DESEMBARQUE (P.I.D.) EN LA AGENCIA DE NEXTIPAC MUNICIPIO DE JOCOTEPEC, JALISCO.</v>
      </c>
      <c r="N421" s="466" t="s">
        <v>3497</v>
      </c>
      <c r="O421" s="466"/>
      <c r="P421" s="6">
        <f>OBRA!S421</f>
        <v>43783</v>
      </c>
      <c r="Q421" s="4">
        <f>OBRA!R421</f>
        <v>875313.77</v>
      </c>
      <c r="R421" s="4"/>
      <c r="S421" s="5">
        <f>OBRA!T421</f>
        <v>43784</v>
      </c>
      <c r="T421" s="11">
        <f>OBRA!U421</f>
        <v>43829</v>
      </c>
      <c r="U421" s="53"/>
      <c r="V421" s="377" t="s">
        <v>1428</v>
      </c>
      <c r="W421" s="587"/>
      <c r="X421" s="1231"/>
      <c r="Y421" s="988">
        <f>OBRA!AR421</f>
        <v>175062.74</v>
      </c>
      <c r="Z421" s="309"/>
      <c r="AA421" s="309"/>
      <c r="AB421" s="5"/>
      <c r="AC421" s="317">
        <f>OBRA!BW421</f>
        <v>0</v>
      </c>
      <c r="AD421" s="352" t="s">
        <v>551</v>
      </c>
    </row>
    <row r="422" spans="1:30" ht="45" hidden="1" customHeight="1">
      <c r="A422" s="22" t="str">
        <f>GRAL!G424</f>
        <v>SERVICIO</v>
      </c>
      <c r="B422" s="809" t="str">
        <f>GRAL!B424</f>
        <v>2018-2021</v>
      </c>
      <c r="C422" s="16">
        <f>OBRA!J422</f>
        <v>2020</v>
      </c>
      <c r="D422" s="17" t="str">
        <f>OBRA!M422</f>
        <v>CEAJ / CUENTA CORRIENTE</v>
      </c>
      <c r="E422" s="478"/>
      <c r="F422" s="352"/>
      <c r="G422" s="1"/>
      <c r="H422" s="352"/>
      <c r="I422" s="54" t="str">
        <f>OBRA!W422</f>
        <v>N/A</v>
      </c>
      <c r="J422" s="55" t="str">
        <f>OBRA!X422</f>
        <v>N/A</v>
      </c>
      <c r="K422" s="33" t="str">
        <f>OBRA!N422</f>
        <v>CEAJ-PERF-002/2020</v>
      </c>
      <c r="L422" s="2" t="str">
        <f>OBRA!O422</f>
        <v>CONVENIO</v>
      </c>
      <c r="M422" s="3" t="str">
        <f>OBRA!P422</f>
        <v>CONVENIO PARA LA PERFORACIÓN DE UN POZO PROFUNDO PARA AGUA POTABLE</v>
      </c>
      <c r="N422" s="3"/>
      <c r="O422" s="3"/>
      <c r="P422" s="6">
        <f>OBRA!S422</f>
        <v>43943</v>
      </c>
      <c r="Q422" s="4">
        <f>OBRA!R422</f>
        <v>962427.31</v>
      </c>
      <c r="R422" s="4"/>
      <c r="S422" s="5" t="str">
        <f>OBRA!T422</f>
        <v>-</v>
      </c>
      <c r="T422" s="11" t="str">
        <f>OBRA!U422</f>
        <v>-</v>
      </c>
      <c r="U422" s="53"/>
      <c r="V422" s="377" t="s">
        <v>1428</v>
      </c>
      <c r="W422" s="309"/>
      <c r="X422" s="11"/>
      <c r="Y422" s="986">
        <f>OBRA!AR422</f>
        <v>0</v>
      </c>
      <c r="Z422" s="309"/>
      <c r="AA422" s="309"/>
      <c r="AB422" s="5"/>
      <c r="AC422" s="317">
        <f>OBRA!BW422</f>
        <v>0</v>
      </c>
      <c r="AD422" s="352"/>
    </row>
    <row r="423" spans="1:30" ht="45" hidden="1" customHeight="1">
      <c r="A423" s="22" t="str">
        <f>GRAL!G425</f>
        <v>SERVICIO</v>
      </c>
      <c r="B423" s="809" t="str">
        <f>GRAL!B425</f>
        <v>2018-2021</v>
      </c>
      <c r="C423" s="16">
        <f>OBRA!J423</f>
        <v>2020</v>
      </c>
      <c r="D423" s="17" t="str">
        <f>OBRA!M423</f>
        <v>RESCATE AL PATRIMONIO</v>
      </c>
      <c r="E423" s="478"/>
      <c r="F423" s="352"/>
      <c r="G423" s="1"/>
      <c r="H423" s="352"/>
      <c r="I423" s="54" t="str">
        <f>OBRA!W423</f>
        <v>N/A</v>
      </c>
      <c r="J423" s="55" t="str">
        <f>OBRA!X423</f>
        <v>N/A</v>
      </c>
      <c r="K423" s="33" t="str">
        <f>OBRA!N423</f>
        <v>CULTURA 2020</v>
      </c>
      <c r="L423" s="2" t="str">
        <f>OBRA!O423</f>
        <v>CONVENIO</v>
      </c>
      <c r="M423" s="3" t="str">
        <f>OBRA!P423</f>
        <v>REMOZAMIENTO Y MEJORAMIENTO  DE IMAGEN URBANA DEL TEMPLO DEL SEÑOR DEL MONTE</v>
      </c>
      <c r="N423" s="3"/>
      <c r="O423" s="3"/>
      <c r="P423" s="6">
        <f>OBRA!S423</f>
        <v>44162</v>
      </c>
      <c r="Q423" s="4">
        <f>OBRA!R423</f>
        <v>1600000</v>
      </c>
      <c r="R423" s="4"/>
      <c r="S423" s="5" t="str">
        <f>OBRA!T423</f>
        <v>-</v>
      </c>
      <c r="T423" s="11" t="str">
        <f>OBRA!U423</f>
        <v>-</v>
      </c>
      <c r="U423" s="53"/>
      <c r="V423" s="377" t="s">
        <v>1428</v>
      </c>
      <c r="W423" s="309"/>
      <c r="X423" s="11"/>
      <c r="Y423" s="986">
        <f>OBRA!AR423</f>
        <v>0</v>
      </c>
      <c r="Z423" s="309"/>
      <c r="AA423" s="309"/>
      <c r="AB423" s="5"/>
      <c r="AC423" s="317">
        <f>OBRA!BW423</f>
        <v>0</v>
      </c>
      <c r="AD423" s="352"/>
    </row>
    <row r="424" spans="1:30" s="104" customFormat="1" ht="45" hidden="1" customHeight="1">
      <c r="A424" s="81" t="str">
        <f>GRAL!G426</f>
        <v>SERVICIO</v>
      </c>
      <c r="B424" s="820" t="str">
        <f>GRAL!B426</f>
        <v>2018-2021</v>
      </c>
      <c r="C424" s="82">
        <f>OBRA!J424</f>
        <v>2020</v>
      </c>
      <c r="D424" s="97" t="str">
        <f>OBRA!M424</f>
        <v>FOCOCI</v>
      </c>
      <c r="E424" s="479"/>
      <c r="F424" s="354"/>
      <c r="G424" s="96"/>
      <c r="H424" s="354"/>
      <c r="I424" s="151" t="str">
        <f>OBRA!W424</f>
        <v>N/A</v>
      </c>
      <c r="J424" s="152" t="str">
        <f>OBRA!X424</f>
        <v>N/A</v>
      </c>
      <c r="K424" s="90" t="str">
        <f>OBRA!N424</f>
        <v>FOCOCI 2020</v>
      </c>
      <c r="L424" s="85" t="str">
        <f>OBRA!O424</f>
        <v>CONVENIO</v>
      </c>
      <c r="M424" s="125" t="str">
        <f>OBRA!P424</f>
        <v>CONSTRUCCIÓN Y EQUIPAMIENTO DE PLAZA PRINCIPAL EN CHANTEPEC, MUNICIPIO DE JOCOTEPEC, JALISCO / INTERVENCIÓN Y RESTAURACIÓN DE MERCADO MUNICIPAL MORELOS, MUNICIPO DE JOCOTEPEC, JALISCO.</v>
      </c>
      <c r="N424" s="125"/>
      <c r="O424" s="125"/>
      <c r="P424" s="87">
        <f>OBRA!S424</f>
        <v>44054</v>
      </c>
      <c r="Q424" s="86">
        <f>OBRA!R424</f>
        <v>20000000</v>
      </c>
      <c r="R424" s="86"/>
      <c r="S424" s="88" t="str">
        <f>OBRA!T424</f>
        <v>-</v>
      </c>
      <c r="T424" s="89" t="str">
        <f>OBRA!U424</f>
        <v>-</v>
      </c>
      <c r="U424" s="91"/>
      <c r="V424" s="688" t="s">
        <v>1428</v>
      </c>
      <c r="W424" s="311"/>
      <c r="X424" s="89"/>
      <c r="Y424" s="1412">
        <f>OBRA!AR424</f>
        <v>0</v>
      </c>
      <c r="Z424" s="311"/>
      <c r="AA424" s="311"/>
      <c r="AB424" s="88"/>
      <c r="AC424" s="467">
        <f>OBRA!BW424</f>
        <v>0</v>
      </c>
      <c r="AD424" s="354"/>
    </row>
    <row r="425" spans="1:30" ht="45" hidden="1" customHeight="1">
      <c r="A425" s="22" t="str">
        <f>GRAL!G427</f>
        <v>SERVICIO</v>
      </c>
      <c r="B425" s="809" t="str">
        <f>GRAL!B427</f>
        <v>2018-2021</v>
      </c>
      <c r="C425" s="16">
        <f>OBRA!J425</f>
        <v>2020</v>
      </c>
      <c r="D425" s="17" t="str">
        <f>OBRA!M425</f>
        <v xml:space="preserve">RASTRO DIGNO </v>
      </c>
      <c r="E425" s="478"/>
      <c r="F425" s="352"/>
      <c r="G425" s="1"/>
      <c r="H425" s="352"/>
      <c r="I425" s="54" t="str">
        <f>OBRA!W425</f>
        <v>N/A</v>
      </c>
      <c r="J425" s="55" t="str">
        <f>OBRA!X425</f>
        <v>N/A</v>
      </c>
      <c r="K425" s="33" t="str">
        <f>OBRA!N425</f>
        <v>RASTRO DIGNO 2020</v>
      </c>
      <c r="L425" s="2" t="str">
        <f>OBRA!O425</f>
        <v>CONVENIO</v>
      </c>
      <c r="M425" s="3" t="str">
        <f>OBRA!P425</f>
        <v>PROGRAMA PARA MEJORAMIENTO DE RASTROS "RASTRO DIGNO", EJERCICIO 2020</v>
      </c>
      <c r="N425" s="3"/>
      <c r="O425" s="3"/>
      <c r="P425" s="6">
        <f>OBRA!S425</f>
        <v>44174</v>
      </c>
      <c r="Q425" s="4">
        <f>OBRA!R425</f>
        <v>2755548.61</v>
      </c>
      <c r="R425" s="4"/>
      <c r="S425" s="5" t="str">
        <f>OBRA!T425</f>
        <v>-</v>
      </c>
      <c r="T425" s="11" t="str">
        <f>OBRA!U425</f>
        <v>-</v>
      </c>
      <c r="U425" s="53"/>
      <c r="V425" s="377" t="s">
        <v>1428</v>
      </c>
      <c r="W425" s="309"/>
      <c r="X425" s="11"/>
      <c r="Y425" s="986">
        <f>OBRA!AR425</f>
        <v>0</v>
      </c>
      <c r="Z425" s="309"/>
      <c r="AA425" s="309"/>
      <c r="AB425" s="5"/>
      <c r="AC425" s="317">
        <f>OBRA!BW425</f>
        <v>0</v>
      </c>
      <c r="AD425" s="352"/>
    </row>
    <row r="426" spans="1:30" ht="45" hidden="1" customHeight="1">
      <c r="A426" s="22" t="str">
        <f>GRAL!G428</f>
        <v>SERVICIO</v>
      </c>
      <c r="B426" s="809" t="str">
        <f>GRAL!B428</f>
        <v>2018-2021</v>
      </c>
      <c r="C426" s="16">
        <f>OBRA!J426</f>
        <v>2020</v>
      </c>
      <c r="D426" s="17" t="str">
        <f>OBRA!M426</f>
        <v>EMP P/LA REACTIVACIÓN ECONÓMICA EN MPIOS</v>
      </c>
      <c r="E426" s="478"/>
      <c r="F426" s="352"/>
      <c r="G426" s="1"/>
      <c r="H426" s="352"/>
      <c r="I426" s="54" t="str">
        <f>OBRA!W426</f>
        <v>N/A</v>
      </c>
      <c r="J426" s="55" t="str">
        <f>OBRA!X426</f>
        <v>N/A</v>
      </c>
      <c r="K426" s="33" t="str">
        <f>OBRA!N426</f>
        <v>SADER/DGIR/EMP/057/2020</v>
      </c>
      <c r="L426" s="2" t="str">
        <f>OBRA!O426</f>
        <v>CONVENIO</v>
      </c>
      <c r="M426" s="3" t="str">
        <f>OBRA!P426</f>
        <v xml:space="preserve">PROGRAMA DE EMPEDRADOS PARA LA REACTIVACIÓN ECONÓMICA EN MUNICIPIOS </v>
      </c>
      <c r="N426" s="3"/>
      <c r="O426" s="3"/>
      <c r="P426" s="6">
        <f>OBRA!S426</f>
        <v>44085</v>
      </c>
      <c r="Q426" s="4">
        <f>OBRA!R426</f>
        <v>7000000</v>
      </c>
      <c r="R426" s="4"/>
      <c r="S426" s="5" t="str">
        <f>OBRA!T426</f>
        <v>-</v>
      </c>
      <c r="T426" s="11" t="str">
        <f>OBRA!U426</f>
        <v>-</v>
      </c>
      <c r="U426" s="53"/>
      <c r="V426" s="377" t="s">
        <v>1428</v>
      </c>
      <c r="W426" s="309"/>
      <c r="X426" s="11"/>
      <c r="Y426" s="986">
        <f>OBRA!AR426</f>
        <v>0</v>
      </c>
      <c r="Z426" s="309"/>
      <c r="AA426" s="309"/>
      <c r="AB426" s="5"/>
      <c r="AC426" s="317">
        <f>OBRA!BW426</f>
        <v>0</v>
      </c>
      <c r="AD426" s="352"/>
    </row>
    <row r="427" spans="1:30" ht="45" hidden="1" customHeight="1">
      <c r="A427" s="22" t="str">
        <f>GRAL!G429</f>
        <v>SERVICIO</v>
      </c>
      <c r="B427" s="809" t="str">
        <f>GRAL!B429</f>
        <v>2018-2021</v>
      </c>
      <c r="C427" s="16">
        <f>OBRA!J427</f>
        <v>2020</v>
      </c>
      <c r="D427" s="17" t="str">
        <f>OBRA!M427</f>
        <v>CUENTA CORRIENTE</v>
      </c>
      <c r="E427" s="478"/>
      <c r="F427" s="352"/>
      <c r="G427" s="1"/>
      <c r="H427" s="352"/>
      <c r="I427" s="54" t="str">
        <f>OBRA!W427</f>
        <v>N/A</v>
      </c>
      <c r="J427" s="55" t="str">
        <f>OBRA!X427</f>
        <v>ING. JUAN MANUEL GARCIA ESCOTO</v>
      </c>
      <c r="K427" s="33" t="str">
        <f>OBRA!N427</f>
        <v>DOP/AD/001/2020</v>
      </c>
      <c r="L427" s="2" t="str">
        <f>OBRA!O427</f>
        <v>ADMINISTRACIÓN DIRECTA</v>
      </c>
      <c r="M427" s="3" t="str">
        <f>OBRA!P427</f>
        <v>"ADQUISICION DE MATERIALES PARA LA LINEA DE ALIMENTACION DEL DEPOSITO NUEVO , EN LA LOCALIDAD DE HUEJOTITAN, MUNICIPIO DE JOCOTEPEC, JALISCO"</v>
      </c>
      <c r="N427" s="3"/>
      <c r="O427" s="3"/>
      <c r="P427" s="6">
        <f>OBRA!S427</f>
        <v>43924</v>
      </c>
      <c r="Q427" s="4">
        <f>OBRA!R427</f>
        <v>149601.96</v>
      </c>
      <c r="R427" s="4"/>
      <c r="S427" s="5">
        <f>OBRA!T427</f>
        <v>43893</v>
      </c>
      <c r="T427" s="11">
        <f>OBRA!U427</f>
        <v>43982</v>
      </c>
      <c r="U427" s="53"/>
      <c r="V427" s="377" t="s">
        <v>1428</v>
      </c>
      <c r="W427" s="309"/>
      <c r="X427" s="11"/>
      <c r="Y427" s="986">
        <f>OBRA!AR427</f>
        <v>0</v>
      </c>
      <c r="Z427" s="309"/>
      <c r="AA427" s="309"/>
      <c r="AB427" s="5"/>
      <c r="AC427" s="317">
        <f>OBRA!BW427</f>
        <v>0</v>
      </c>
      <c r="AD427" s="352"/>
    </row>
    <row r="428" spans="1:30" ht="45" hidden="1" customHeight="1">
      <c r="A428" s="22" t="str">
        <f>GRAL!G430</f>
        <v>SERVICIO</v>
      </c>
      <c r="B428" s="809" t="str">
        <f>GRAL!B430</f>
        <v>2018-2021</v>
      </c>
      <c r="C428" s="16">
        <f>OBRA!J428</f>
        <v>2020</v>
      </c>
      <c r="D428" s="17" t="str">
        <f>OBRA!M428</f>
        <v>CUENTA CORRIENTE</v>
      </c>
      <c r="E428" s="478"/>
      <c r="F428" s="352"/>
      <c r="G428" s="1"/>
      <c r="H428" s="352"/>
      <c r="I428" s="54" t="str">
        <f>OBRA!W428</f>
        <v>N/A</v>
      </c>
      <c r="J428" s="55" t="str">
        <f>OBRA!X428</f>
        <v>HACIENDA MPAL</v>
      </c>
      <c r="K428" s="33" t="str">
        <f>OBRA!N428</f>
        <v>DOP/AD/002/2020</v>
      </c>
      <c r="L428" s="2" t="str">
        <f>OBRA!O428</f>
        <v>ADMINISTRACIÓN DIRECTA</v>
      </c>
      <c r="M428" s="3" t="str">
        <f>OBRA!P428</f>
        <v>"REHABILITACIÓN Y MANTENIMIENTO DE "LA CASA DE CULTURA SAN JUAN COSALA, DEL MUNICIPIO DE JOCOTEPEC, JALISCO.</v>
      </c>
      <c r="N428" s="3"/>
      <c r="O428" s="3"/>
      <c r="P428" s="6">
        <f>OBRA!S428</f>
        <v>43924</v>
      </c>
      <c r="Q428" s="4">
        <f>OBRA!R428</f>
        <v>655000</v>
      </c>
      <c r="R428" s="4"/>
      <c r="S428" s="5">
        <f>OBRA!T428</f>
        <v>43924</v>
      </c>
      <c r="T428" s="11">
        <f>OBRA!U428</f>
        <v>44043</v>
      </c>
      <c r="U428" s="53"/>
      <c r="V428" s="377" t="s">
        <v>1428</v>
      </c>
      <c r="W428" s="309"/>
      <c r="X428" s="11"/>
      <c r="Y428" s="986">
        <f>OBRA!AR428</f>
        <v>0</v>
      </c>
      <c r="Z428" s="309"/>
      <c r="AA428" s="309"/>
      <c r="AB428" s="5"/>
      <c r="AC428" s="317">
        <f>OBRA!BW428</f>
        <v>0</v>
      </c>
      <c r="AD428" s="352"/>
    </row>
    <row r="429" spans="1:30" ht="45" hidden="1" customHeight="1">
      <c r="A429" s="22" t="str">
        <f>GRAL!G431</f>
        <v>SERVICIO</v>
      </c>
      <c r="B429" s="809" t="str">
        <f>GRAL!B431</f>
        <v>2018-2021</v>
      </c>
      <c r="C429" s="16">
        <f>OBRA!J429</f>
        <v>2020</v>
      </c>
      <c r="D429" s="17" t="str">
        <f>OBRA!M429</f>
        <v>CEAJ / CUENTA CORRIENTE</v>
      </c>
      <c r="E429" s="478"/>
      <c r="F429" s="352"/>
      <c r="G429" s="1"/>
      <c r="H429" s="352"/>
      <c r="I429" s="54" t="str">
        <f>OBRA!W429</f>
        <v>N/A</v>
      </c>
      <c r="J429" s="55" t="str">
        <f>OBRA!X429</f>
        <v>ARQ. JAIME CONDE GOMEZ</v>
      </c>
      <c r="K429" s="33" t="str">
        <f>OBRA!N429</f>
        <v>DOP/AD/003/2020</v>
      </c>
      <c r="L429" s="2" t="str">
        <f>OBRA!O429</f>
        <v>ADMINISTRACIÓN DIRECTA</v>
      </c>
      <c r="M429" s="3" t="str">
        <f>OBRA!P429</f>
        <v>"MATERIALES E INSUMOS NECESARIOS PARA LA PERFORACIÓN DE POZO PROFUNDO EN LA LOCALIDAD DE LAS TROJES, DEL MUNICIPIO DE JOCOTEPEC, JALISCO.</v>
      </c>
      <c r="N429" s="3"/>
      <c r="O429" s="3"/>
      <c r="P429" s="6">
        <f>OBRA!S429</f>
        <v>43945</v>
      </c>
      <c r="Q429" s="4">
        <f>OBRA!R429</f>
        <v>962427.31</v>
      </c>
      <c r="R429" s="4"/>
      <c r="S429" s="5">
        <f>OBRA!T429</f>
        <v>43945</v>
      </c>
      <c r="T429" s="11">
        <f>OBRA!U429</f>
        <v>44098</v>
      </c>
      <c r="U429" s="53"/>
      <c r="V429" s="377" t="s">
        <v>1428</v>
      </c>
      <c r="W429" s="309"/>
      <c r="X429" s="11"/>
      <c r="Y429" s="986">
        <f>OBRA!AR429</f>
        <v>0</v>
      </c>
      <c r="Z429" s="309"/>
      <c r="AA429" s="309"/>
      <c r="AB429" s="5"/>
      <c r="AC429" s="317">
        <f>OBRA!BW429</f>
        <v>0</v>
      </c>
      <c r="AD429" s="352"/>
    </row>
    <row r="430" spans="1:30" ht="45" hidden="1" customHeight="1">
      <c r="A430" s="22" t="str">
        <f>GRAL!G432</f>
        <v>SERVICIO</v>
      </c>
      <c r="B430" s="809" t="str">
        <f>GRAL!B432</f>
        <v>2018-2021</v>
      </c>
      <c r="C430" s="16">
        <f>OBRA!J430</f>
        <v>2020</v>
      </c>
      <c r="D430" s="17" t="str">
        <f>OBRA!M430</f>
        <v>CUENTA CORRIENTE</v>
      </c>
      <c r="E430" s="478"/>
      <c r="F430" s="352"/>
      <c r="G430" s="1"/>
      <c r="H430" s="352"/>
      <c r="I430" s="54" t="str">
        <f>OBRA!W430</f>
        <v>N/A</v>
      </c>
      <c r="J430" s="55" t="str">
        <f>OBRA!X430</f>
        <v>TESORERÍA</v>
      </c>
      <c r="K430" s="33" t="str">
        <f>OBRA!N430</f>
        <v>DOP/AD/004/2020</v>
      </c>
      <c r="L430" s="2" t="str">
        <f>OBRA!O430</f>
        <v>ADMINISTRACIÓN DIRECTA</v>
      </c>
      <c r="M430" s="3" t="str">
        <f>OBRA!P430</f>
        <v>FABRICACIÓN DE EMPEDRADO NORMAL CON HUELLAS DE CONCRETO EN CALLE LA PAZ ENTRE VICENTE GUERRERO E ITURBIDE" EN LA DELEGACIÓN DE SAN JUAN COSALA, DEL MUNICIPIO DE JOCOTEPEC, JALISCO.</v>
      </c>
      <c r="N430" s="3"/>
      <c r="O430" s="3"/>
      <c r="P430" s="6">
        <f>OBRA!S430</f>
        <v>43910</v>
      </c>
      <c r="Q430" s="4">
        <f>OBRA!R430</f>
        <v>192779.35</v>
      </c>
      <c r="R430" s="4"/>
      <c r="S430" s="5">
        <f>OBRA!T430</f>
        <v>43913</v>
      </c>
      <c r="T430" s="11">
        <f>OBRA!U430</f>
        <v>43960</v>
      </c>
      <c r="U430" s="53"/>
      <c r="V430" s="377" t="s">
        <v>1428</v>
      </c>
      <c r="W430" s="309"/>
      <c r="X430" s="11"/>
      <c r="Y430" s="986">
        <f>OBRA!AR430</f>
        <v>0</v>
      </c>
      <c r="Z430" s="309"/>
      <c r="AA430" s="309"/>
      <c r="AB430" s="5"/>
      <c r="AC430" s="317">
        <f>OBRA!BW430</f>
        <v>0</v>
      </c>
      <c r="AD430" s="352"/>
    </row>
    <row r="431" spans="1:30" ht="45" hidden="1" customHeight="1">
      <c r="A431" s="22" t="str">
        <f>GRAL!G433</f>
        <v>SERVICIO</v>
      </c>
      <c r="B431" s="809" t="str">
        <f>GRAL!B433</f>
        <v>2018-2021</v>
      </c>
      <c r="C431" s="16">
        <f>OBRA!J431</f>
        <v>2020</v>
      </c>
      <c r="D431" s="17" t="str">
        <f>OBRA!M431</f>
        <v>CUENTA CORRIENTE</v>
      </c>
      <c r="E431" s="478"/>
      <c r="F431" s="352"/>
      <c r="G431" s="1"/>
      <c r="H431" s="352"/>
      <c r="I431" s="54" t="str">
        <f>OBRA!W431</f>
        <v>N/A</v>
      </c>
      <c r="J431" s="55" t="str">
        <f>OBRA!X431</f>
        <v>HACIENDA MPAL</v>
      </c>
      <c r="K431" s="33" t="str">
        <f>OBRA!N431</f>
        <v>DOP/AD/005/2020</v>
      </c>
      <c r="L431" s="2" t="str">
        <f>OBRA!O431</f>
        <v>ADMINISTRACIÓN DIRECTA</v>
      </c>
      <c r="M431" s="3" t="str">
        <f>OBRA!P431</f>
        <v>"ELABORACIÓN DE MURO PERIMETRAL, EN LA CASA DE CULTURA" UBICADA EN LA DELEGACIÓN DE SAN JUAN COSALA, DEL MUNICIPIO DE JOCOTEPEC, JALISCO.</v>
      </c>
      <c r="N431" s="3"/>
      <c r="O431" s="3"/>
      <c r="P431" s="6">
        <f>OBRA!S431</f>
        <v>43924</v>
      </c>
      <c r="Q431" s="4">
        <f>OBRA!R431</f>
        <v>50000</v>
      </c>
      <c r="R431" s="4"/>
      <c r="S431" s="5">
        <f>OBRA!T431</f>
        <v>43924</v>
      </c>
      <c r="T431" s="11">
        <f>OBRA!U431</f>
        <v>43961</v>
      </c>
      <c r="U431" s="53"/>
      <c r="V431" s="377" t="s">
        <v>1428</v>
      </c>
      <c r="W431" s="309"/>
      <c r="X431" s="11"/>
      <c r="Y431" s="986">
        <f>OBRA!AR431</f>
        <v>0</v>
      </c>
      <c r="Z431" s="309"/>
      <c r="AA431" s="309"/>
      <c r="AB431" s="5"/>
      <c r="AC431" s="317">
        <f>OBRA!BW431</f>
        <v>0</v>
      </c>
      <c r="AD431" s="352"/>
    </row>
    <row r="432" spans="1:30" ht="45" hidden="1" customHeight="1">
      <c r="A432" s="22" t="str">
        <f>GRAL!G434</f>
        <v>SERVICIO</v>
      </c>
      <c r="B432" s="809" t="str">
        <f>GRAL!B434</f>
        <v>2018-2021</v>
      </c>
      <c r="C432" s="16">
        <f>OBRA!J432</f>
        <v>2020</v>
      </c>
      <c r="D432" s="17" t="str">
        <f>OBRA!M432</f>
        <v>RAMO 33</v>
      </c>
      <c r="E432" s="478"/>
      <c r="F432" s="352"/>
      <c r="G432" s="1"/>
      <c r="H432" s="352"/>
      <c r="I432" s="54" t="str">
        <f>OBRA!W432</f>
        <v>N/A</v>
      </c>
      <c r="J432" s="55" t="str">
        <f>OBRA!X432</f>
        <v>ING. J. GUADALUPE IBARRA RAMIREZ</v>
      </c>
      <c r="K432" s="33" t="str">
        <f>OBRA!N432</f>
        <v>DOP/AD/006/2020</v>
      </c>
      <c r="L432" s="2" t="str">
        <f>OBRA!O432</f>
        <v>ADMINISTRACIÓN DIRECTA</v>
      </c>
      <c r="M432" s="3" t="str">
        <f>OBRA!P432</f>
        <v>SUMINISTRO Y COLOCACIÓN DE MACHUELO PRE FABRICADO EN LA CALLE LOS ÁNGELES ENTRE PRIVADA ALDAMA Y CERRADA”, EN LA CABECERA MUNICIPAL DE JOCOTEPEC, JALISCO</v>
      </c>
      <c r="N432" s="3"/>
      <c r="O432" s="3"/>
      <c r="P432" s="6">
        <f>OBRA!S432</f>
        <v>44103</v>
      </c>
      <c r="Q432" s="4">
        <f>OBRA!R432</f>
        <v>42478.36</v>
      </c>
      <c r="R432" s="4"/>
      <c r="S432" s="5">
        <f>OBRA!T432</f>
        <v>44106</v>
      </c>
      <c r="T432" s="11">
        <f>OBRA!U432</f>
        <v>44120</v>
      </c>
      <c r="U432" s="53"/>
      <c r="V432" s="377" t="s">
        <v>1428</v>
      </c>
      <c r="W432" s="309"/>
      <c r="X432" s="11"/>
      <c r="Y432" s="986">
        <f>OBRA!AR432</f>
        <v>0</v>
      </c>
      <c r="Z432" s="309"/>
      <c r="AA432" s="309"/>
      <c r="AB432" s="5"/>
      <c r="AC432" s="317">
        <f>OBRA!BW432</f>
        <v>0</v>
      </c>
      <c r="AD432" s="352"/>
    </row>
    <row r="433" spans="1:30" ht="15" hidden="1" customHeight="1">
      <c r="A433" s="22" t="str">
        <f>GRAL!G435</f>
        <v>OBRA</v>
      </c>
      <c r="B433" s="809" t="str">
        <f>GRAL!B435</f>
        <v>2018-2021</v>
      </c>
      <c r="C433" s="16">
        <f>OBRA!J433</f>
        <v>2020</v>
      </c>
      <c r="D433" s="17" t="str">
        <f>OBRA!M433</f>
        <v>EMP P/LA REACTIVACIÓN ECONÓMICA EN MPIOS</v>
      </c>
      <c r="E433" s="478"/>
      <c r="F433" s="352"/>
      <c r="G433" s="1"/>
      <c r="H433" s="352"/>
      <c r="I433" s="54" t="str">
        <f>OBRA!W433</f>
        <v>N/A</v>
      </c>
      <c r="J433" s="55" t="str">
        <f>OBRA!X433</f>
        <v>ING. J. GUADALUPE IBARRA RAMIREZ</v>
      </c>
      <c r="K433" s="19" t="str">
        <f>OBRA!N433</f>
        <v>DOP/AD/007/2020</v>
      </c>
      <c r="L433" s="2" t="str">
        <f>OBRA!O433</f>
        <v>ADMINISTRACIÓN DIRECTA</v>
      </c>
      <c r="M433" s="3" t="str">
        <f>OBRA!P433</f>
        <v>CONSTRUCCIÓN DE EMPEDRADO ZAMPEADO EN VIALIDAD CALLE JUAREZ DE KM 0+000.00 AL KM 0+126.10, EN LA LOCALIDAD DE LAS TROJES DEL MUNICIPIO DE JOCOTEPEC, JALISCO.</v>
      </c>
      <c r="N433" s="3"/>
      <c r="O433" s="3"/>
      <c r="P433" s="6">
        <f>OBRA!S433</f>
        <v>44089</v>
      </c>
      <c r="Q433" s="4">
        <f>OBRA!R433</f>
        <v>196881.44</v>
      </c>
      <c r="R433" s="4"/>
      <c r="S433" s="5">
        <f>OBRA!T433</f>
        <v>44144</v>
      </c>
      <c r="T433" s="11">
        <f>OBRA!U433</f>
        <v>44191</v>
      </c>
      <c r="U433" s="53"/>
      <c r="V433" s="377" t="s">
        <v>1428</v>
      </c>
      <c r="W433" s="309"/>
      <c r="X433" s="11"/>
      <c r="Y433" s="986">
        <f>OBRA!AR433</f>
        <v>0</v>
      </c>
      <c r="Z433" s="309"/>
      <c r="AA433" s="309"/>
      <c r="AB433" s="5"/>
      <c r="AC433" s="317">
        <f>OBRA!BW433</f>
        <v>0</v>
      </c>
      <c r="AD433" s="352"/>
    </row>
    <row r="434" spans="1:30" ht="45" hidden="1" customHeight="1">
      <c r="A434" s="22" t="str">
        <f>GRAL!G436</f>
        <v>SERVICIO</v>
      </c>
      <c r="B434" s="809" t="str">
        <f>GRAL!B436</f>
        <v>2018-2021</v>
      </c>
      <c r="C434" s="16">
        <f>OBRA!J434</f>
        <v>2020</v>
      </c>
      <c r="D434" s="17" t="str">
        <f>OBRA!M434</f>
        <v>CTA-CTE / EMP P REACT ECO MPIOS</v>
      </c>
      <c r="E434" s="478"/>
      <c r="F434" s="352"/>
      <c r="G434" s="1"/>
      <c r="H434" s="352"/>
      <c r="I434" s="54" t="str">
        <f>OBRA!W434</f>
        <v>N/A</v>
      </c>
      <c r="J434" s="55">
        <f>OBRA!X434</f>
        <v>0</v>
      </c>
      <c r="K434" s="33" t="str">
        <f>OBRA!N434</f>
        <v>DOP/AD/007-A/2020</v>
      </c>
      <c r="L434" s="2" t="str">
        <f>OBRA!O434</f>
        <v>ADMINISTRACIÓN DIRECTA</v>
      </c>
      <c r="M434" s="3" t="str">
        <f>OBRA!P434</f>
        <v>CONSTRUCCIÓN DE EMPEDRADO ZAMPEADO EN VIALIDAD CALLE JUAREZ DE KM 0+000.00 AL KM 0+126.10, EN LA LOCALIDAD DE LAS TROJES DEL MUNICIPIO DE JOCOTEPEC, JALISCO</v>
      </c>
      <c r="N434" s="3"/>
      <c r="O434" s="3"/>
      <c r="P434" s="6">
        <f>OBRA!S434</f>
        <v>44089</v>
      </c>
      <c r="Q434" s="4">
        <f>OBRA!R434</f>
        <v>283094.36</v>
      </c>
      <c r="R434" s="4"/>
      <c r="S434" s="5">
        <f>OBRA!T434</f>
        <v>44137</v>
      </c>
      <c r="T434" s="11">
        <f>OBRA!U434</f>
        <v>44191</v>
      </c>
      <c r="U434" s="53"/>
      <c r="V434" s="377" t="s">
        <v>1428</v>
      </c>
      <c r="W434" s="309"/>
      <c r="X434" s="11"/>
      <c r="Y434" s="986">
        <f>OBRA!AR434</f>
        <v>0</v>
      </c>
      <c r="Z434" s="309"/>
      <c r="AA434" s="309"/>
      <c r="AB434" s="5"/>
      <c r="AC434" s="317">
        <f>OBRA!BW434</f>
        <v>0</v>
      </c>
      <c r="AD434" s="352"/>
    </row>
    <row r="435" spans="1:30" ht="45" hidden="1" customHeight="1">
      <c r="A435" s="22" t="str">
        <f>GRAL!G437</f>
        <v>SERVICIO</v>
      </c>
      <c r="B435" s="809" t="str">
        <f>GRAL!B437</f>
        <v>2018-2021</v>
      </c>
      <c r="C435" s="16">
        <f>OBRA!J435</f>
        <v>2020</v>
      </c>
      <c r="D435" s="17" t="str">
        <f>OBRA!M435</f>
        <v>EMP P/LA REACTIVACIÓN ECONÓMICA EN MPIOS</v>
      </c>
      <c r="E435" s="478"/>
      <c r="F435" s="352"/>
      <c r="G435" s="1"/>
      <c r="H435" s="352"/>
      <c r="I435" s="54" t="str">
        <f>OBRA!W435</f>
        <v>N/A</v>
      </c>
      <c r="J435" s="55" t="str">
        <f>OBRA!X435</f>
        <v>ING. J. GUADALUPE IBARRA RAMIREZ</v>
      </c>
      <c r="K435" s="33" t="str">
        <f>OBRA!N435</f>
        <v>DOP/AD/008/2020</v>
      </c>
      <c r="L435" s="2" t="str">
        <f>OBRA!O435</f>
        <v>ADMINISTRACIÓN DIRECTA</v>
      </c>
      <c r="M435" s="3" t="str">
        <f>OBRA!P435</f>
        <v>CONSTRUCCIÓN DE EMPEDRADO ZAMPEADO EN CALLES DE LA DELEGACIÓN DE HUEJOTITAN</v>
      </c>
      <c r="N435" s="3"/>
      <c r="O435" s="3"/>
      <c r="P435" s="6">
        <f>OBRA!S435</f>
        <v>44454</v>
      </c>
      <c r="Q435" s="4">
        <f>OBRA!R435</f>
        <v>1079624.5</v>
      </c>
      <c r="R435" s="4"/>
      <c r="S435" s="5">
        <f>OBRA!T435</f>
        <v>44166</v>
      </c>
      <c r="T435" s="11">
        <f>OBRA!U435</f>
        <v>44196</v>
      </c>
      <c r="U435" s="53"/>
      <c r="V435" s="377" t="s">
        <v>1428</v>
      </c>
      <c r="W435" s="309"/>
      <c r="X435" s="11"/>
      <c r="Y435" s="986">
        <f>OBRA!AR435</f>
        <v>0</v>
      </c>
      <c r="Z435" s="309"/>
      <c r="AA435" s="309"/>
      <c r="AB435" s="5"/>
      <c r="AC435" s="317">
        <f>OBRA!BW435</f>
        <v>0</v>
      </c>
      <c r="AD435" s="352"/>
    </row>
    <row r="436" spans="1:30" ht="45" hidden="1" customHeight="1">
      <c r="A436" s="22" t="str">
        <f>GRAL!G438</f>
        <v>SERVICIO</v>
      </c>
      <c r="B436" s="809" t="str">
        <f>GRAL!B438</f>
        <v>2018-2021</v>
      </c>
      <c r="C436" s="16">
        <f>OBRA!J436</f>
        <v>2020</v>
      </c>
      <c r="D436" s="17" t="str">
        <f>OBRA!M436</f>
        <v>CTA-CTE / EMP P REACT ECO MPIOS</v>
      </c>
      <c r="E436" s="478"/>
      <c r="F436" s="352"/>
      <c r="G436" s="1"/>
      <c r="H436" s="352"/>
      <c r="I436" s="54" t="str">
        <f>OBRA!W436</f>
        <v>N/A</v>
      </c>
      <c r="J436" s="55">
        <f>OBRA!X436</f>
        <v>0</v>
      </c>
      <c r="K436" s="33" t="str">
        <f>OBRA!N436</f>
        <v>DOP/AD/008-A/2020</v>
      </c>
      <c r="L436" s="2" t="str">
        <f>OBRA!O436</f>
        <v>ADMINISTRACIÓN DIRECTA</v>
      </c>
      <c r="M436" s="3" t="str">
        <f>OBRA!P436</f>
        <v>CONSTRUCCIÓN DE EMPEDRADO ZAMPEADO, EN LA LOCALIDAD DE HUEJOTITAN DEL MUNICIPIO DE JOCOTEPEC, JALISCO.</v>
      </c>
      <c r="N436" s="3"/>
      <c r="O436" s="3"/>
      <c r="P436" s="6">
        <f>OBRA!S436</f>
        <v>44089</v>
      </c>
      <c r="Q436" s="4">
        <f>OBRA!R436</f>
        <v>327960.31</v>
      </c>
      <c r="R436" s="4"/>
      <c r="S436" s="5">
        <f>OBRA!T436</f>
        <v>44166</v>
      </c>
      <c r="T436" s="11">
        <f>OBRA!U436</f>
        <v>44196</v>
      </c>
      <c r="U436" s="53"/>
      <c r="V436" s="377" t="s">
        <v>1428</v>
      </c>
      <c r="W436" s="309"/>
      <c r="X436" s="11"/>
      <c r="Y436" s="986">
        <f>OBRA!AR436</f>
        <v>0</v>
      </c>
      <c r="Z436" s="309"/>
      <c r="AA436" s="309"/>
      <c r="AB436" s="5"/>
      <c r="AC436" s="317">
        <f>OBRA!BW436</f>
        <v>0</v>
      </c>
      <c r="AD436" s="352"/>
    </row>
    <row r="437" spans="1:30" ht="45" hidden="1" customHeight="1">
      <c r="A437" s="22" t="str">
        <f>GRAL!G439</f>
        <v>SERVICIO</v>
      </c>
      <c r="B437" s="809" t="str">
        <f>GRAL!B439</f>
        <v>2018-2021</v>
      </c>
      <c r="C437" s="16">
        <f>OBRA!J437</f>
        <v>2020</v>
      </c>
      <c r="D437" s="17" t="str">
        <f>OBRA!M437</f>
        <v>EMP P/LA REACTIVACIÓN ECONÓMICA EN MPIOS</v>
      </c>
      <c r="E437" s="478"/>
      <c r="F437" s="352"/>
      <c r="G437" s="1"/>
      <c r="H437" s="352"/>
      <c r="I437" s="54" t="str">
        <f>OBRA!W437</f>
        <v>N/A</v>
      </c>
      <c r="J437" s="55" t="str">
        <f>OBRA!X437</f>
        <v>ING. J. GUADALUPE IBARRA RAMIREZ</v>
      </c>
      <c r="K437" s="33" t="str">
        <f>OBRA!N437</f>
        <v>DOP/AD/009/2020</v>
      </c>
      <c r="L437" s="2" t="str">
        <f>OBRA!O437</f>
        <v>ADMINISTRACIÓN DIRECTA</v>
      </c>
      <c r="M437" s="3" t="str">
        <f>OBRA!P437</f>
        <v>CONSTRUCCIÓN DE EMPEDRADO ZAMPEADO EN VIALIDAD CALLE RAMON CORONA DEL 0+000 AL 0+101.50 ENTRE GALEANA Y FRANCISCO I MADERO,EN LA LOCALIDAD DE POTRERILLOS DEL MUNICIPIO DE JOCOTEPEC, JALISCO.</v>
      </c>
      <c r="N437" s="3"/>
      <c r="O437" s="3"/>
      <c r="P437" s="6">
        <f>OBRA!S437</f>
        <v>44089</v>
      </c>
      <c r="Q437" s="4">
        <f>OBRA!R437</f>
        <v>193929.96</v>
      </c>
      <c r="R437" s="4"/>
      <c r="S437" s="5">
        <f>OBRA!T437</f>
        <v>44140</v>
      </c>
      <c r="T437" s="11">
        <f>OBRA!U437</f>
        <v>44191</v>
      </c>
      <c r="U437" s="53"/>
      <c r="V437" s="377" t="s">
        <v>1428</v>
      </c>
      <c r="W437" s="309"/>
      <c r="X437" s="11"/>
      <c r="Y437" s="986">
        <f>OBRA!AR437</f>
        <v>0</v>
      </c>
      <c r="Z437" s="309"/>
      <c r="AA437" s="309"/>
      <c r="AB437" s="5"/>
      <c r="AC437" s="317">
        <f>OBRA!BW437</f>
        <v>0</v>
      </c>
      <c r="AD437" s="352"/>
    </row>
    <row r="438" spans="1:30" ht="45" hidden="1" customHeight="1">
      <c r="A438" s="22" t="str">
        <f>GRAL!G440</f>
        <v>SERVICIO</v>
      </c>
      <c r="B438" s="809" t="str">
        <f>GRAL!B440</f>
        <v>2018-2021</v>
      </c>
      <c r="C438" s="16">
        <f>OBRA!J438</f>
        <v>2020</v>
      </c>
      <c r="D438" s="17" t="str">
        <f>OBRA!M438</f>
        <v>EMP P/LA REACTIVACIÓN ECONÓMICA EN MPIOS</v>
      </c>
      <c r="E438" s="478"/>
      <c r="F438" s="352"/>
      <c r="G438" s="1"/>
      <c r="H438" s="352"/>
      <c r="I438" s="54" t="str">
        <f>OBRA!W438</f>
        <v>N/A</v>
      </c>
      <c r="J438" s="55" t="str">
        <f>OBRA!X438</f>
        <v>ING. J. GUADALUPE IBARRA RAMIREZ</v>
      </c>
      <c r="K438" s="33" t="str">
        <f>OBRA!N438</f>
        <v>DOP/AD/009/2020</v>
      </c>
      <c r="L438" s="2" t="str">
        <f>OBRA!O438</f>
        <v>ADMINISTRACIÓN DIRECTA</v>
      </c>
      <c r="M438" s="3" t="str">
        <f>OBRA!P438</f>
        <v>CONSTRUCCIÓN DE EMPEDRADO ZAMPEADO EN VIALIDAD FRANCISCO I MADERO DEL KM 0+000 AL 0+173.50 ENTRE BENITO JUAREZ Y CERRADA, EN LA LOCALIDAD DE POTRERILLOS DEL MUNICIPIO DE JOCOTEPEC, JALISCO.</v>
      </c>
      <c r="N438" s="3"/>
      <c r="O438" s="3"/>
      <c r="P438" s="6">
        <f>OBRA!S438</f>
        <v>44089</v>
      </c>
      <c r="Q438" s="4">
        <f>OBRA!R438</f>
        <v>331496.03999999998</v>
      </c>
      <c r="R438" s="4"/>
      <c r="S438" s="5">
        <f>OBRA!T438</f>
        <v>44140</v>
      </c>
      <c r="T438" s="11">
        <f>OBRA!U438</f>
        <v>44191</v>
      </c>
      <c r="U438" s="53"/>
      <c r="V438" s="377" t="s">
        <v>1428</v>
      </c>
      <c r="W438" s="309"/>
      <c r="X438" s="11"/>
      <c r="Y438" s="986">
        <f>OBRA!AR438</f>
        <v>0</v>
      </c>
      <c r="Z438" s="309"/>
      <c r="AA438" s="309"/>
      <c r="AB438" s="5"/>
      <c r="AC438" s="317">
        <f>OBRA!BW438</f>
        <v>0</v>
      </c>
      <c r="AD438" s="352"/>
    </row>
    <row r="439" spans="1:30" ht="45" hidden="1" customHeight="1">
      <c r="A439" s="22" t="str">
        <f>GRAL!G441</f>
        <v>SERVICIO</v>
      </c>
      <c r="B439" s="809" t="str">
        <f>GRAL!B441</f>
        <v>2018-2021</v>
      </c>
      <c r="C439" s="16">
        <f>OBRA!J439</f>
        <v>2020</v>
      </c>
      <c r="D439" s="17" t="str">
        <f>OBRA!M439</f>
        <v>CTA-CTE / EMP P REACT ECO MPIOS</v>
      </c>
      <c r="E439" s="478"/>
      <c r="F439" s="352"/>
      <c r="G439" s="1"/>
      <c r="H439" s="352"/>
      <c r="I439" s="54" t="str">
        <f>OBRA!W439</f>
        <v>N/A</v>
      </c>
      <c r="J439" s="55">
        <f>OBRA!X439</f>
        <v>0</v>
      </c>
      <c r="K439" s="33" t="str">
        <f>OBRA!N439</f>
        <v>DOP/AD/009-A/2020</v>
      </c>
      <c r="L439" s="2" t="str">
        <f>OBRA!O439</f>
        <v>ADMINISTRACIÓN DIRECTA</v>
      </c>
      <c r="M439" s="3" t="str">
        <f>OBRA!P439</f>
        <v>CONSTRUCCIÓN DE EMPEDRADO ZAMPEADO, EN LA LOCALIDAD DE POTRERILLOS DEL MUNICIPIO DE JOCOTEPEC, JALISCO</v>
      </c>
      <c r="N439" s="3"/>
      <c r="O439" s="3"/>
      <c r="P439" s="6">
        <f>OBRA!S439</f>
        <v>44089</v>
      </c>
      <c r="Q439" s="4">
        <f>OBRA!R439</f>
        <v>174032.11</v>
      </c>
      <c r="R439" s="4"/>
      <c r="S439" s="5">
        <f>OBRA!T439</f>
        <v>44140</v>
      </c>
      <c r="T439" s="11">
        <f>OBRA!U439</f>
        <v>44191</v>
      </c>
      <c r="U439" s="53"/>
      <c r="V439" s="377" t="s">
        <v>1428</v>
      </c>
      <c r="W439" s="309"/>
      <c r="X439" s="11"/>
      <c r="Y439" s="986">
        <f>OBRA!AR439</f>
        <v>0</v>
      </c>
      <c r="Z439" s="309"/>
      <c r="AA439" s="309"/>
      <c r="AB439" s="5"/>
      <c r="AC439" s="317">
        <f>OBRA!BW439</f>
        <v>0</v>
      </c>
      <c r="AD439" s="352"/>
    </row>
    <row r="440" spans="1:30" ht="45" hidden="1" customHeight="1">
      <c r="A440" s="22" t="str">
        <f>GRAL!G442</f>
        <v>SERVICIO</v>
      </c>
      <c r="B440" s="809" t="str">
        <f>GRAL!B442</f>
        <v>2018-2021</v>
      </c>
      <c r="C440" s="16">
        <f>OBRA!J440</f>
        <v>2020</v>
      </c>
      <c r="D440" s="17" t="str">
        <f>OBRA!M440</f>
        <v>EMP P/LA REACTIVACIÓN ECONÓMICA EN MPIOS</v>
      </c>
      <c r="E440" s="478"/>
      <c r="F440" s="352"/>
      <c r="G440" s="1"/>
      <c r="H440" s="352"/>
      <c r="I440" s="54" t="str">
        <f>OBRA!W440</f>
        <v>N/A</v>
      </c>
      <c r="J440" s="55" t="str">
        <f>OBRA!X440</f>
        <v>ING. J. GUADALUPE IBARRA RAMIREZ</v>
      </c>
      <c r="K440" s="33" t="str">
        <f>OBRA!N440</f>
        <v>DOP/AD/010/2020</v>
      </c>
      <c r="L440" s="2" t="str">
        <f>OBRA!O440</f>
        <v>ADMINISTRACIÓN DIRECTA</v>
      </c>
      <c r="M440" s="3" t="str">
        <f>OBRA!P440</f>
        <v>CONSTRUCCIÓN DE EMPEDRADO ZAMPEADO EN VIALIDAD AV. DEL TRABAJO DE KM 0+000.00 AL KM 0+215.00 (ENTRE VICENTE GUERRERO Y ALLENDE) SAN CRISTOBAL</v>
      </c>
      <c r="N440" s="3"/>
      <c r="O440" s="3"/>
      <c r="P440" s="6">
        <f>OBRA!S440</f>
        <v>44089</v>
      </c>
      <c r="Q440" s="4">
        <f>OBRA!R440</f>
        <v>410787.6</v>
      </c>
      <c r="R440" s="4"/>
      <c r="S440" s="5">
        <f>OBRA!T440</f>
        <v>44166</v>
      </c>
      <c r="T440" s="11">
        <f>OBRA!U440</f>
        <v>44196</v>
      </c>
      <c r="U440" s="53"/>
      <c r="V440" s="377" t="s">
        <v>1428</v>
      </c>
      <c r="W440" s="309"/>
      <c r="X440" s="11"/>
      <c r="Y440" s="986">
        <f>OBRA!AR440</f>
        <v>0</v>
      </c>
      <c r="Z440" s="309"/>
      <c r="AA440" s="309"/>
      <c r="AB440" s="5"/>
      <c r="AC440" s="317">
        <f>OBRA!BW440</f>
        <v>0</v>
      </c>
      <c r="AD440" s="352"/>
    </row>
    <row r="441" spans="1:30" ht="45" hidden="1" customHeight="1">
      <c r="A441" s="22" t="str">
        <f>GRAL!G443</f>
        <v>SERVICIO</v>
      </c>
      <c r="B441" s="809" t="str">
        <f>GRAL!B443</f>
        <v>2018-2021</v>
      </c>
      <c r="C441" s="16">
        <f>OBRA!J441</f>
        <v>2020</v>
      </c>
      <c r="D441" s="17" t="str">
        <f>OBRA!M441</f>
        <v>CTA-CTE / EMP P REACT ECO MPIOS</v>
      </c>
      <c r="E441" s="478"/>
      <c r="F441" s="352"/>
      <c r="G441" s="1"/>
      <c r="H441" s="352"/>
      <c r="I441" s="54" t="str">
        <f>OBRA!W441</f>
        <v>N/A</v>
      </c>
      <c r="J441" s="55">
        <f>OBRA!X441</f>
        <v>0</v>
      </c>
      <c r="K441" s="33" t="str">
        <f>OBRA!N441</f>
        <v>DOP/AD/010-A/2020</v>
      </c>
      <c r="L441" s="2" t="str">
        <f>OBRA!O441</f>
        <v>ADMINISTRACIÓN DIRECTA</v>
      </c>
      <c r="M441" s="3" t="str">
        <f>OBRA!P441</f>
        <v>CONSTRUCCIÓN DE EMPEDRADO ZAMPEADO EN VIALIDAD AV. DEL TRABAJO DE KM 0+000.00 AL KM 0+215.00 (ENTRE VICENTE GUERRERO Y ALLENDE), EN LA LOCALIDAD DE SAN CRISTÓBAL ZAPOTITLÁN DEL MUNICIPIO DE JOCOTEPEC, JALISCO.</v>
      </c>
      <c r="N441" s="3"/>
      <c r="O441" s="3"/>
      <c r="P441" s="6">
        <f>OBRA!S441</f>
        <v>44089</v>
      </c>
      <c r="Q441" s="4">
        <f>OBRA!R441</f>
        <v>149317.53</v>
      </c>
      <c r="R441" s="4"/>
      <c r="S441" s="5">
        <f>OBRA!T441</f>
        <v>44166</v>
      </c>
      <c r="T441" s="11">
        <f>OBRA!U441</f>
        <v>44196</v>
      </c>
      <c r="U441" s="53"/>
      <c r="V441" s="377" t="s">
        <v>1428</v>
      </c>
      <c r="W441" s="309"/>
      <c r="X441" s="11"/>
      <c r="Y441" s="986">
        <f>OBRA!AR441</f>
        <v>0</v>
      </c>
      <c r="Z441" s="309"/>
      <c r="AA441" s="309"/>
      <c r="AB441" s="5"/>
      <c r="AC441" s="317">
        <f>OBRA!BW441</f>
        <v>0</v>
      </c>
      <c r="AD441" s="352"/>
    </row>
    <row r="442" spans="1:30" ht="45" hidden="1" customHeight="1">
      <c r="A442" s="22" t="str">
        <f>GRAL!G444</f>
        <v>SERVICIO</v>
      </c>
      <c r="B442" s="809" t="str">
        <f>GRAL!B444</f>
        <v>2018-2021</v>
      </c>
      <c r="C442" s="16">
        <f>OBRA!J442</f>
        <v>2020</v>
      </c>
      <c r="D442" s="17" t="str">
        <f>OBRA!M442</f>
        <v>EMP P/LA REACTIVACIÓN ECONÓMICA EN MPIOS</v>
      </c>
      <c r="E442" s="478"/>
      <c r="F442" s="352"/>
      <c r="G442" s="1"/>
      <c r="H442" s="352"/>
      <c r="I442" s="54" t="str">
        <f>OBRA!W442</f>
        <v>N/A</v>
      </c>
      <c r="J442" s="55" t="str">
        <f>OBRA!X442</f>
        <v>ING. J. GUADALUPE IBARRA RAMIREZ</v>
      </c>
      <c r="K442" s="33" t="str">
        <f>OBRA!N442</f>
        <v>DOP/AD/011/2020</v>
      </c>
      <c r="L442" s="2" t="str">
        <f>OBRA!O442</f>
        <v>ADMINISTRACIÓN DIRECTA</v>
      </c>
      <c r="M442" s="3" t="str">
        <f>OBRA!P442</f>
        <v>CONSTRUCCIÓN DE EMPEDRADO ZAMPEADO EN CALLES DE LA AGENCIA DE EL SAUZ</v>
      </c>
      <c r="N442" s="3"/>
      <c r="O442" s="3"/>
      <c r="P442" s="6">
        <f>OBRA!S442</f>
        <v>44089</v>
      </c>
      <c r="Q442" s="4">
        <f>OBRA!R442</f>
        <v>781012.26</v>
      </c>
      <c r="R442" s="4"/>
      <c r="S442" s="5">
        <f>OBRA!T442</f>
        <v>44150</v>
      </c>
      <c r="T442" s="11">
        <f>OBRA!U442</f>
        <v>44181</v>
      </c>
      <c r="U442" s="53"/>
      <c r="V442" s="377" t="s">
        <v>1428</v>
      </c>
      <c r="W442" s="309"/>
      <c r="X442" s="11"/>
      <c r="Y442" s="986">
        <f>OBRA!AR442</f>
        <v>0</v>
      </c>
      <c r="Z442" s="309"/>
      <c r="AA442" s="309"/>
      <c r="AB442" s="5"/>
      <c r="AC442" s="317">
        <f>OBRA!BW442</f>
        <v>0</v>
      </c>
      <c r="AD442" s="352"/>
    </row>
    <row r="443" spans="1:30" ht="45" hidden="1" customHeight="1">
      <c r="A443" s="22" t="str">
        <f>GRAL!G445</f>
        <v>SERVICIO</v>
      </c>
      <c r="B443" s="809" t="str">
        <f>GRAL!B445</f>
        <v>2018-2021</v>
      </c>
      <c r="C443" s="16">
        <f>OBRA!J443</f>
        <v>2020</v>
      </c>
      <c r="D443" s="17" t="str">
        <f>OBRA!M443</f>
        <v>CTA-CTE / EMP P REACT ECO MPIOS</v>
      </c>
      <c r="E443" s="478"/>
      <c r="F443" s="352"/>
      <c r="G443" s="1"/>
      <c r="H443" s="352"/>
      <c r="I443" s="54" t="str">
        <f>OBRA!W443</f>
        <v>N/A</v>
      </c>
      <c r="J443" s="55">
        <f>OBRA!X443</f>
        <v>0</v>
      </c>
      <c r="K443" s="33" t="str">
        <f>OBRA!N443</f>
        <v>DOP/AD/011-A/2020</v>
      </c>
      <c r="L443" s="2" t="str">
        <f>OBRA!O443</f>
        <v>ADMINISTRACIÓN DIRECTA</v>
      </c>
      <c r="M443" s="3" t="str">
        <f>OBRA!P443</f>
        <v>CONSTRUCCIÓN DE EMPEDRADO ZAMPEADO, EN LA AGENCIA DE EL SAUZ</v>
      </c>
      <c r="N443" s="3"/>
      <c r="O443" s="3"/>
      <c r="P443" s="6">
        <f>OBRA!S443</f>
        <v>44089</v>
      </c>
      <c r="Q443" s="4">
        <f>OBRA!R443</f>
        <v>289700.96999999997</v>
      </c>
      <c r="R443" s="4"/>
      <c r="S443" s="5">
        <f>OBRA!T443</f>
        <v>44150</v>
      </c>
      <c r="T443" s="11">
        <f>OBRA!U443</f>
        <v>44181</v>
      </c>
      <c r="U443" s="53"/>
      <c r="V443" s="377" t="s">
        <v>1428</v>
      </c>
      <c r="W443" s="309"/>
      <c r="X443" s="11"/>
      <c r="Y443" s="986">
        <f>OBRA!AR443</f>
        <v>0</v>
      </c>
      <c r="Z443" s="309"/>
      <c r="AA443" s="309"/>
      <c r="AB443" s="5"/>
      <c r="AC443" s="317">
        <f>OBRA!BW443</f>
        <v>0</v>
      </c>
      <c r="AD443" s="352"/>
    </row>
    <row r="444" spans="1:30" ht="45" hidden="1" customHeight="1">
      <c r="A444" s="22" t="str">
        <f>GRAL!G446</f>
        <v>SERVICIO</v>
      </c>
      <c r="B444" s="809" t="str">
        <f>GRAL!B446</f>
        <v>2018-2021</v>
      </c>
      <c r="C444" s="16">
        <f>OBRA!J444</f>
        <v>2020</v>
      </c>
      <c r="D444" s="17" t="str">
        <f>OBRA!M444</f>
        <v>EMP P/LA REACTIVACIÓN ECONÓMICA EN MPIOS</v>
      </c>
      <c r="E444" s="478"/>
      <c r="F444" s="352"/>
      <c r="G444" s="1"/>
      <c r="H444" s="352"/>
      <c r="I444" s="54" t="str">
        <f>OBRA!W444</f>
        <v>N/A</v>
      </c>
      <c r="J444" s="55" t="str">
        <f>OBRA!X444</f>
        <v>ING. J. GUADALUPE IBARRA RAMIREZ</v>
      </c>
      <c r="K444" s="33" t="str">
        <f>OBRA!N444</f>
        <v>DOP/AD/012/2020</v>
      </c>
      <c r="L444" s="2" t="str">
        <f>OBRA!O444</f>
        <v>ADMINISTRACIÓN DIRECTA</v>
      </c>
      <c r="M444" s="3" t="str">
        <f>OBRA!P444</f>
        <v>CONSTRUCCIÓN DE EMPEDRADO ZAMPEADO EN VIALIDAD ANDADOR PEATONAL ENTRE SAN LUCIANO Y SAN LUCIANO DE ABAJO DE KM 0+000.00 AL KM 0+746.00, SAN LUCIANO</v>
      </c>
      <c r="N444" s="3"/>
      <c r="O444" s="3"/>
      <c r="P444" s="6">
        <f>OBRA!S444</f>
        <v>44089</v>
      </c>
      <c r="Q444" s="4">
        <f>OBRA!R444</f>
        <v>448092.36</v>
      </c>
      <c r="R444" s="4"/>
      <c r="S444" s="5">
        <f>OBRA!T444</f>
        <v>44166</v>
      </c>
      <c r="T444" s="11">
        <f>OBRA!U444</f>
        <v>44196</v>
      </c>
      <c r="U444" s="53"/>
      <c r="V444" s="377" t="s">
        <v>1428</v>
      </c>
      <c r="W444" s="309"/>
      <c r="X444" s="11"/>
      <c r="Y444" s="986">
        <f>OBRA!AR444</f>
        <v>0</v>
      </c>
      <c r="Z444" s="309"/>
      <c r="AA444" s="309"/>
      <c r="AB444" s="5"/>
      <c r="AC444" s="317">
        <f>OBRA!BW444</f>
        <v>0</v>
      </c>
      <c r="AD444" s="352"/>
    </row>
    <row r="445" spans="1:30" ht="45" hidden="1" customHeight="1">
      <c r="A445" s="22" t="str">
        <f>GRAL!G447</f>
        <v>SERVICIO</v>
      </c>
      <c r="B445" s="809" t="str">
        <f>GRAL!B447</f>
        <v>2018-2021</v>
      </c>
      <c r="C445" s="16">
        <f>OBRA!J445</f>
        <v>2020</v>
      </c>
      <c r="D445" s="17" t="str">
        <f>OBRA!M445</f>
        <v>CTA-CTE / EMP P REACT ECO MPIOS</v>
      </c>
      <c r="E445" s="478"/>
      <c r="F445" s="352"/>
      <c r="G445" s="1"/>
      <c r="H445" s="352"/>
      <c r="I445" s="54" t="str">
        <f>OBRA!W445</f>
        <v>N/A</v>
      </c>
      <c r="J445" s="55">
        <f>OBRA!X445</f>
        <v>0</v>
      </c>
      <c r="K445" s="33" t="str">
        <f>OBRA!N445</f>
        <v>DOP/AD/012-A/2020</v>
      </c>
      <c r="L445" s="2" t="str">
        <f>OBRA!O445</f>
        <v>ADMINISTRACIÓN DIRECTA</v>
      </c>
      <c r="M445" s="3" t="str">
        <f>OBRA!P445</f>
        <v>CONSTRUCCIÓN DE EMPEDRADO ZAMPEADO EN VIALIDAD ANDADOR PEATONAL ENTRE SAN LUCIANO Y SAN LUCIANO DE ABAJO DE KM 0+000.00 AL KM 0+746.00, EN LA LOCALIDAD DE SAN LUCIANO DEL MUNICIPIO DE JOCOTEPEC, JALISCO.</v>
      </c>
      <c r="N445" s="3"/>
      <c r="O445" s="3"/>
      <c r="P445" s="6">
        <f>OBRA!S445</f>
        <v>44089</v>
      </c>
      <c r="Q445" s="4">
        <f>OBRA!R445</f>
        <v>180637.7</v>
      </c>
      <c r="R445" s="4"/>
      <c r="S445" s="5">
        <f>OBRA!T445</f>
        <v>44166</v>
      </c>
      <c r="T445" s="11">
        <f>OBRA!U445</f>
        <v>44196</v>
      </c>
      <c r="U445" s="53"/>
      <c r="V445" s="377" t="s">
        <v>1428</v>
      </c>
      <c r="W445" s="309"/>
      <c r="X445" s="11"/>
      <c r="Y445" s="986">
        <f>OBRA!AR445</f>
        <v>0</v>
      </c>
      <c r="Z445" s="309"/>
      <c r="AA445" s="309"/>
      <c r="AB445" s="5"/>
      <c r="AC445" s="317">
        <f>OBRA!BW445</f>
        <v>0</v>
      </c>
      <c r="AD445" s="352"/>
    </row>
    <row r="446" spans="1:30" ht="45" hidden="1" customHeight="1">
      <c r="A446" s="22" t="str">
        <f>GRAL!G448</f>
        <v>SERVICIO</v>
      </c>
      <c r="B446" s="809" t="str">
        <f>GRAL!B448</f>
        <v>2018-2021</v>
      </c>
      <c r="C446" s="16">
        <f>OBRA!J446</f>
        <v>2020</v>
      </c>
      <c r="D446" s="17" t="str">
        <f>OBRA!M446</f>
        <v>EMP P/LA REACTIVACIÓN ECONÓMICA EN MPIOS</v>
      </c>
      <c r="E446" s="478"/>
      <c r="F446" s="352"/>
      <c r="G446" s="1"/>
      <c r="H446" s="352"/>
      <c r="I446" s="54" t="str">
        <f>OBRA!W446</f>
        <v>N/A</v>
      </c>
      <c r="J446" s="55" t="str">
        <f>OBRA!X446</f>
        <v>ING. J. GUADALUPE IBARRA RAMIREZ</v>
      </c>
      <c r="K446" s="33" t="str">
        <f>OBRA!N446</f>
        <v>DOP/AD/013/2020</v>
      </c>
      <c r="L446" s="2" t="str">
        <f>OBRA!O446</f>
        <v>ADMINISTRACIÓN DIRECTA</v>
      </c>
      <c r="M446" s="3" t="str">
        <f>OBRA!P446</f>
        <v>CONSTRUCCIÓN DE EMPEDRADO ZAMPEADO, EN CALLES PRIMAVERA, REFUGIO SALAZAR IBARRA, PROF(A) CATALINA VALENCIA Y PBRO MARCOS CASTELLANOS, DEL FRACC. "EL CARRIZAL", EN LA CABECERA MUNICIPAL DE JOCOTEPEC JALISCO.</v>
      </c>
      <c r="N446" s="3"/>
      <c r="O446" s="3"/>
      <c r="P446" s="6">
        <f>OBRA!S446</f>
        <v>44089</v>
      </c>
      <c r="Q446" s="4">
        <f>OBRA!R446</f>
        <v>846155.00000000012</v>
      </c>
      <c r="R446" s="4"/>
      <c r="S446" s="5">
        <f>OBRA!T446</f>
        <v>44139</v>
      </c>
      <c r="T446" s="11">
        <f>OBRA!U446</f>
        <v>44191</v>
      </c>
      <c r="U446" s="53"/>
      <c r="V446" s="377" t="s">
        <v>1428</v>
      </c>
      <c r="W446" s="309"/>
      <c r="X446" s="11"/>
      <c r="Y446" s="986">
        <f>OBRA!AR446</f>
        <v>0</v>
      </c>
      <c r="Z446" s="309"/>
      <c r="AA446" s="309"/>
      <c r="AB446" s="5"/>
      <c r="AC446" s="317">
        <f>OBRA!BW446</f>
        <v>0</v>
      </c>
      <c r="AD446" s="352"/>
    </row>
    <row r="447" spans="1:30" ht="45" hidden="1" customHeight="1">
      <c r="A447" s="22" t="str">
        <f>GRAL!G449</f>
        <v>SERVICIO</v>
      </c>
      <c r="B447" s="809" t="str">
        <f>GRAL!B449</f>
        <v>2018-2021</v>
      </c>
      <c r="C447" s="16">
        <f>OBRA!J447</f>
        <v>2020</v>
      </c>
      <c r="D447" s="17" t="str">
        <f>OBRA!M447</f>
        <v>CTA-CTE / EMP P REACT ECO MPIOS</v>
      </c>
      <c r="E447" s="478"/>
      <c r="F447" s="352"/>
      <c r="G447" s="1"/>
      <c r="H447" s="352"/>
      <c r="I447" s="54" t="str">
        <f>OBRA!W447</f>
        <v>N/A</v>
      </c>
      <c r="J447" s="55">
        <f>OBRA!X447</f>
        <v>0</v>
      </c>
      <c r="K447" s="33" t="str">
        <f>OBRA!N447</f>
        <v>DOP/AD/013-A/2020</v>
      </c>
      <c r="L447" s="2" t="str">
        <f>OBRA!O447</f>
        <v>ADMINISTRACIÓN DIRECTA</v>
      </c>
      <c r="M447" s="3" t="str">
        <f>OBRA!P447</f>
        <v>CONSTRUCCIÓN DE EMPEDRADO ZAMPEADO, EN FRACC. "EL CARRIZAL", EN LA CABECERA MUNICIPAL DE JOCOTEPEC JALISCO.</v>
      </c>
      <c r="N447" s="3"/>
      <c r="O447" s="3"/>
      <c r="P447" s="6">
        <f>OBRA!S447</f>
        <v>44089</v>
      </c>
      <c r="Q447" s="4">
        <f>OBRA!R447</f>
        <v>219218.46</v>
      </c>
      <c r="R447" s="4"/>
      <c r="S447" s="5">
        <f>OBRA!T447</f>
        <v>44139</v>
      </c>
      <c r="T447" s="11">
        <f>OBRA!U447</f>
        <v>44191</v>
      </c>
      <c r="U447" s="53"/>
      <c r="V447" s="377" t="s">
        <v>1428</v>
      </c>
      <c r="W447" s="309"/>
      <c r="X447" s="11"/>
      <c r="Y447" s="986">
        <f>OBRA!AR447</f>
        <v>0</v>
      </c>
      <c r="Z447" s="309"/>
      <c r="AA447" s="309"/>
      <c r="AB447" s="5"/>
      <c r="AC447" s="317">
        <f>OBRA!BW447</f>
        <v>0</v>
      </c>
      <c r="AD447" s="352"/>
    </row>
    <row r="448" spans="1:30" ht="45" hidden="1" customHeight="1">
      <c r="A448" s="22" t="str">
        <f>GRAL!G450</f>
        <v>SERVICIO</v>
      </c>
      <c r="B448" s="809" t="str">
        <f>GRAL!B450</f>
        <v>2018-2021</v>
      </c>
      <c r="C448" s="16">
        <f>OBRA!J448</f>
        <v>2020</v>
      </c>
      <c r="D448" s="17" t="str">
        <f>OBRA!M448</f>
        <v>EMP P/LA REACTIVACIÓN ECONÓMICA EN MPIOS</v>
      </c>
      <c r="E448" s="478"/>
      <c r="F448" s="352"/>
      <c r="G448" s="1"/>
      <c r="H448" s="352"/>
      <c r="I448" s="54" t="str">
        <f>OBRA!W448</f>
        <v>N/A</v>
      </c>
      <c r="J448" s="55" t="str">
        <f>OBRA!X448</f>
        <v>ING. J. GUADALUPE IBARRA RAMIREZ</v>
      </c>
      <c r="K448" s="33" t="str">
        <f>OBRA!N448</f>
        <v>DOP/AD/014/2020</v>
      </c>
      <c r="L448" s="2" t="str">
        <f>OBRA!O448</f>
        <v>ADMINISTRACIÓN DIRECTA</v>
      </c>
      <c r="M448" s="3" t="str">
        <f>OBRA!P448</f>
        <v>CONSTRUCCIÓN DE EMPEDRADO ZAMPEADO EN VIALIDAD CALLE HIDALGO SUR DE KM 0+000.00 AL KM 0+170.00 (DE DONATO GUERRA A EMPEDRADO EXISTENTE) CABECERA MUNICIPAL DE JOCOTEPEC, JALISCO.</v>
      </c>
      <c r="N448" s="3"/>
      <c r="O448" s="3"/>
      <c r="P448" s="6">
        <f>OBRA!S448</f>
        <v>44089</v>
      </c>
      <c r="Q448" s="4">
        <f>OBRA!R448</f>
        <v>367959.98</v>
      </c>
      <c r="R448" s="4"/>
      <c r="S448" s="5">
        <f>OBRA!T448</f>
        <v>44172</v>
      </c>
      <c r="T448" s="11">
        <f>OBRA!U448</f>
        <v>44196</v>
      </c>
      <c r="U448" s="53"/>
      <c r="V448" s="377" t="s">
        <v>1428</v>
      </c>
      <c r="W448" s="309"/>
      <c r="X448" s="11"/>
      <c r="Y448" s="986">
        <f>OBRA!AR448</f>
        <v>0</v>
      </c>
      <c r="Z448" s="309"/>
      <c r="AA448" s="309"/>
      <c r="AB448" s="5"/>
      <c r="AC448" s="317">
        <f>OBRA!BW448</f>
        <v>0</v>
      </c>
      <c r="AD448" s="352"/>
    </row>
    <row r="449" spans="1:30" ht="45" hidden="1" customHeight="1">
      <c r="A449" s="22" t="str">
        <f>GRAL!G451</f>
        <v>SERVICIO</v>
      </c>
      <c r="B449" s="809" t="str">
        <f>GRAL!B451</f>
        <v>2018-2021</v>
      </c>
      <c r="C449" s="16">
        <f>OBRA!J449</f>
        <v>2020</v>
      </c>
      <c r="D449" s="17" t="str">
        <f>OBRA!M449</f>
        <v>CTA-CTE / EMP P REACT ECO MPIOS</v>
      </c>
      <c r="E449" s="478"/>
      <c r="F449" s="352"/>
      <c r="G449" s="1"/>
      <c r="H449" s="352"/>
      <c r="I449" s="54" t="str">
        <f>OBRA!W449</f>
        <v>N/A</v>
      </c>
      <c r="J449" s="55">
        <f>OBRA!X449</f>
        <v>0</v>
      </c>
      <c r="K449" s="33" t="str">
        <f>OBRA!N449</f>
        <v>DOP/AD/014-A/2020</v>
      </c>
      <c r="L449" s="2" t="str">
        <f>OBRA!O449</f>
        <v>ADMINISTRACIÓN DIRECTA</v>
      </c>
      <c r="M449" s="3" t="str">
        <f>OBRA!P449</f>
        <v>CONSTRUCCIÓN DE EMPEDRADO ZAMPEADO EN VIALIDAD CALLE HIDALGO SUR DE KM 0+000.00 AL KM 0+170.00 (DE DONATO GUERRA A EMPEDRADO EXISTENTE), EN LA CEBECERA MUNICIPAL DE JOCOTEPEC, JALISCO.</v>
      </c>
      <c r="N449" s="3"/>
      <c r="O449" s="3"/>
      <c r="P449" s="6">
        <f>OBRA!S449</f>
        <v>44089</v>
      </c>
      <c r="Q449" s="4">
        <f>OBRA!R449</f>
        <v>134912.99</v>
      </c>
      <c r="R449" s="4"/>
      <c r="S449" s="5">
        <f>OBRA!T449</f>
        <v>44172</v>
      </c>
      <c r="T449" s="11">
        <f>OBRA!U449</f>
        <v>44196</v>
      </c>
      <c r="U449" s="53"/>
      <c r="V449" s="377" t="s">
        <v>1428</v>
      </c>
      <c r="W449" s="309"/>
      <c r="X449" s="11"/>
      <c r="Y449" s="986">
        <f>OBRA!AR449</f>
        <v>0</v>
      </c>
      <c r="Z449" s="309"/>
      <c r="AA449" s="309"/>
      <c r="AB449" s="5"/>
      <c r="AC449" s="317">
        <f>OBRA!BW449</f>
        <v>0</v>
      </c>
      <c r="AD449" s="352"/>
    </row>
    <row r="450" spans="1:30" ht="45" hidden="1" customHeight="1">
      <c r="A450" s="22" t="str">
        <f>GRAL!G452</f>
        <v>SERVICIO</v>
      </c>
      <c r="B450" s="809" t="str">
        <f>GRAL!B452</f>
        <v>2018-2021</v>
      </c>
      <c r="C450" s="16">
        <f>OBRA!J450</f>
        <v>2020</v>
      </c>
      <c r="D450" s="17" t="str">
        <f>OBRA!M450</f>
        <v>EMP P/LA REACTIVACIÓN ECONÓMICA EN MPIOS</v>
      </c>
      <c r="E450" s="478"/>
      <c r="F450" s="352"/>
      <c r="G450" s="1"/>
      <c r="H450" s="352"/>
      <c r="I450" s="54" t="str">
        <f>OBRA!W450</f>
        <v>N/A</v>
      </c>
      <c r="J450" s="55" t="str">
        <f>OBRA!X450</f>
        <v>ING. J. GUADALUPE IBARRA RAMIREZ</v>
      </c>
      <c r="K450" s="33" t="str">
        <f>OBRA!N450</f>
        <v>DOP/AD/015/2020</v>
      </c>
      <c r="L450" s="2" t="str">
        <f>OBRA!O450</f>
        <v>ADMINISTRACIÓN DIRECTA</v>
      </c>
      <c r="M450" s="3" t="str">
        <f>OBRA!P450</f>
        <v>CONSTRUCCIÓN DE EMPEDRADO ZAMPEADO EN CALLES MTRA MARGARITA MIRANDA RAMOS, EDUARDO SOLIS, GILBERTO PARRA PAZ Y MA DEL ROSARIO BERNAL, DEL FRACC. "LAS PALMAS" EN LA CABECERA MUNICIPAL DE JOCOTEPEC, JALISCO.</v>
      </c>
      <c r="N450" s="3"/>
      <c r="O450" s="3"/>
      <c r="P450" s="6">
        <f>OBRA!S450</f>
        <v>44089</v>
      </c>
      <c r="Q450" s="4">
        <f>OBRA!R450</f>
        <v>856034.87000000011</v>
      </c>
      <c r="R450" s="4"/>
      <c r="S450" s="5">
        <f>OBRA!T450</f>
        <v>44153</v>
      </c>
      <c r="T450" s="11">
        <f>OBRA!U450</f>
        <v>44191</v>
      </c>
      <c r="U450" s="53"/>
      <c r="V450" s="377" t="s">
        <v>1428</v>
      </c>
      <c r="W450" s="309"/>
      <c r="X450" s="11"/>
      <c r="Y450" s="986">
        <f>OBRA!AR450</f>
        <v>0</v>
      </c>
      <c r="Z450" s="309"/>
      <c r="AA450" s="309"/>
      <c r="AB450" s="5"/>
      <c r="AC450" s="317">
        <f>OBRA!BW450</f>
        <v>0</v>
      </c>
      <c r="AD450" s="352"/>
    </row>
    <row r="451" spans="1:30" ht="45" hidden="1" customHeight="1">
      <c r="A451" s="22" t="str">
        <f>GRAL!G453</f>
        <v>SERVICIO</v>
      </c>
      <c r="B451" s="809" t="str">
        <f>GRAL!B453</f>
        <v>2018-2021</v>
      </c>
      <c r="C451" s="16">
        <f>OBRA!J451</f>
        <v>2020</v>
      </c>
      <c r="D451" s="17" t="str">
        <f>OBRA!M451</f>
        <v>EMP P/LA REACTIVACIÓN ECONÓMICA EN MPIOS</v>
      </c>
      <c r="E451" s="478"/>
      <c r="F451" s="352"/>
      <c r="G451" s="1"/>
      <c r="H451" s="352"/>
      <c r="I451" s="54" t="str">
        <f>OBRA!W451</f>
        <v>N/A</v>
      </c>
      <c r="J451" s="55" t="str">
        <f>OBRA!X451</f>
        <v>ING. J. GUADALUPE IBARRA RAMIREZ</v>
      </c>
      <c r="K451" s="33" t="str">
        <f>OBRA!N451</f>
        <v>DOP/AD/015/2020</v>
      </c>
      <c r="L451" s="2" t="str">
        <f>OBRA!O451</f>
        <v>ADMINISTRACIÓN DIRECTA</v>
      </c>
      <c r="M451" s="3" t="str">
        <f>OBRA!P451</f>
        <v>CONSTRUCCIÓN DE EMPEDRADO ZAMPEADO EN VIALIDAD CALLE CHAPULTEPEC DE KM 0+000 AL KM 0+395.65 (ENTRE 1RO DE MAYO Y CHURUBUSCO), EN LA CABECERA MUNICIPAL DE JOCOTEPEC, JALISCO.</v>
      </c>
      <c r="N451" s="3"/>
      <c r="O451" s="3"/>
      <c r="P451" s="6">
        <f>OBRA!S451</f>
        <v>44089</v>
      </c>
      <c r="Q451" s="4">
        <f>OBRA!R451</f>
        <v>196467.44</v>
      </c>
      <c r="R451" s="4"/>
      <c r="S451" s="5">
        <f>OBRA!T451</f>
        <v>44153</v>
      </c>
      <c r="T451" s="11">
        <f>OBRA!U451</f>
        <v>44191</v>
      </c>
      <c r="U451" s="53"/>
      <c r="V451" s="377" t="s">
        <v>1428</v>
      </c>
      <c r="W451" s="309"/>
      <c r="X451" s="11"/>
      <c r="Y451" s="986">
        <f>OBRA!AR451</f>
        <v>0</v>
      </c>
      <c r="Z451" s="309"/>
      <c r="AA451" s="309"/>
      <c r="AB451" s="5"/>
      <c r="AC451" s="317">
        <f>OBRA!BW451</f>
        <v>0</v>
      </c>
      <c r="AD451" s="352"/>
    </row>
    <row r="452" spans="1:30" ht="45" hidden="1" customHeight="1">
      <c r="A452" s="22" t="str">
        <f>GRAL!G454</f>
        <v>SERVICIO</v>
      </c>
      <c r="B452" s="809" t="str">
        <f>GRAL!B454</f>
        <v>2018-2021</v>
      </c>
      <c r="C452" s="16">
        <f>OBRA!J452</f>
        <v>2020</v>
      </c>
      <c r="D452" s="17" t="str">
        <f>OBRA!M452</f>
        <v>CTA-CTE / EMP P REACT ECO MPIOS</v>
      </c>
      <c r="E452" s="478"/>
      <c r="F452" s="352"/>
      <c r="G452" s="1"/>
      <c r="H452" s="352"/>
      <c r="I452" s="54" t="str">
        <f>OBRA!W452</f>
        <v>N/A</v>
      </c>
      <c r="J452" s="55">
        <f>OBRA!X452</f>
        <v>0</v>
      </c>
      <c r="K452" s="33" t="str">
        <f>OBRA!N452</f>
        <v>DOP/AD/015-A/2020</v>
      </c>
      <c r="L452" s="2" t="str">
        <f>OBRA!O452</f>
        <v>ADMINISTRACIÓN DIRECTA</v>
      </c>
      <c r="M452" s="3" t="str">
        <f>OBRA!P452</f>
        <v>CONSTRUCCIÓN DE EMPEDRADO ZAMPEADO EN FRACC. "LAS PALMAS", EN LA CABECERA MUNICIPAL DE JOCOTEPEC, JALISCO.</v>
      </c>
      <c r="N452" s="3"/>
      <c r="O452" s="3"/>
      <c r="P452" s="6">
        <f>OBRA!S452</f>
        <v>44089</v>
      </c>
      <c r="Q452" s="4">
        <f>OBRA!R452</f>
        <v>230070.08</v>
      </c>
      <c r="R452" s="4"/>
      <c r="S452" s="5">
        <f>OBRA!T452</f>
        <v>44153</v>
      </c>
      <c r="T452" s="11">
        <f>OBRA!U452</f>
        <v>44191</v>
      </c>
      <c r="U452" s="53"/>
      <c r="V452" s="377" t="s">
        <v>1428</v>
      </c>
      <c r="W452" s="309"/>
      <c r="X452" s="11"/>
      <c r="Y452" s="986">
        <f>OBRA!AR452</f>
        <v>0</v>
      </c>
      <c r="Z452" s="309"/>
      <c r="AA452" s="309"/>
      <c r="AB452" s="5"/>
      <c r="AC452" s="317">
        <f>OBRA!BW452</f>
        <v>0</v>
      </c>
      <c r="AD452" s="352"/>
    </row>
    <row r="453" spans="1:30" ht="45" hidden="1" customHeight="1">
      <c r="A453" s="22" t="str">
        <f>GRAL!G455</f>
        <v>OBRA</v>
      </c>
      <c r="B453" s="809" t="str">
        <f>GRAL!B455</f>
        <v>2018-2021</v>
      </c>
      <c r="C453" s="16">
        <f>OBRA!J453</f>
        <v>2020</v>
      </c>
      <c r="D453" s="17" t="str">
        <f>OBRA!M453</f>
        <v>EMP P/LA REACTIVACIÓN ECONÓMICA EN MPIOS</v>
      </c>
      <c r="E453" s="478"/>
      <c r="F453" s="352"/>
      <c r="G453" s="1"/>
      <c r="H453" s="352"/>
      <c r="I453" s="54" t="str">
        <f>OBRA!W453</f>
        <v>N/A</v>
      </c>
      <c r="J453" s="55" t="str">
        <f>OBRA!X453</f>
        <v>ING. J. GUADALUPE IBARRA RAMIREZ</v>
      </c>
      <c r="K453" s="33" t="str">
        <f>OBRA!N453</f>
        <v>DOP/AD/016/2020</v>
      </c>
      <c r="L453" s="2" t="str">
        <f>OBRA!O453</f>
        <v>ADMINISTRACIÓN DIRECTA</v>
      </c>
      <c r="M453" s="3" t="str">
        <f>OBRA!P453</f>
        <v>CONSTRUCCIÓN DE EMPEDRADO ZAMPEADO EN C. INVIERNO, C. LAZARO CARDENAS, C. GONZALEZ ORTEGA Y CHAPULTEPEC EN CABECERA MUNICIPAL DE JOCOTEPEC, JALISCO.</v>
      </c>
      <c r="N453" s="3"/>
      <c r="O453" s="3"/>
      <c r="P453" s="6">
        <f>OBRA!S453</f>
        <v>44089</v>
      </c>
      <c r="Q453" s="4">
        <f>OBRA!R453</f>
        <v>1291558.55</v>
      </c>
      <c r="R453" s="4"/>
      <c r="S453" s="5">
        <f>OBRA!T453</f>
        <v>44139</v>
      </c>
      <c r="T453" s="11">
        <f>OBRA!U453</f>
        <v>44196</v>
      </c>
      <c r="U453" s="53"/>
      <c r="V453" s="377" t="s">
        <v>1428</v>
      </c>
      <c r="W453" s="309"/>
      <c r="X453" s="11"/>
      <c r="Y453" s="986">
        <f>OBRA!AR453</f>
        <v>0</v>
      </c>
      <c r="Z453" s="309"/>
      <c r="AA453" s="309"/>
      <c r="AB453" s="5"/>
      <c r="AC453" s="317">
        <f>OBRA!BW453</f>
        <v>0</v>
      </c>
      <c r="AD453" s="352"/>
    </row>
    <row r="454" spans="1:30" ht="45" hidden="1" customHeight="1">
      <c r="A454" s="22" t="str">
        <f>GRAL!G456</f>
        <v>OBRA</v>
      </c>
      <c r="B454" s="809" t="str">
        <f>GRAL!B456</f>
        <v>2018-2021</v>
      </c>
      <c r="C454" s="16">
        <f>OBRA!J454</f>
        <v>2020</v>
      </c>
      <c r="D454" s="17" t="str">
        <f>OBRA!M454</f>
        <v>CTA-CTE / EMP P REACT ECO MPIOS</v>
      </c>
      <c r="E454" s="478"/>
      <c r="F454" s="352"/>
      <c r="G454" s="1"/>
      <c r="H454" s="352"/>
      <c r="I454" s="54" t="str">
        <f>OBRA!W454</f>
        <v>N/A</v>
      </c>
      <c r="J454" s="55">
        <f>OBRA!X454</f>
        <v>0</v>
      </c>
      <c r="K454" s="33" t="str">
        <f>OBRA!N454</f>
        <v>DOP/AD/016-A/2020</v>
      </c>
      <c r="L454" s="2" t="str">
        <f>OBRA!O454</f>
        <v>ADMINISTRACIÓN DIRECTA</v>
      </c>
      <c r="M454" s="3" t="str">
        <f>OBRA!P454</f>
        <v>CONSTRUCCIÓN DE EMPEDRADO ZAMPEADO EN C. INVIERNO, C. LAZARO CARDENAS, C. GONZALEZ ORTEGA Y CHAPULTEPEC EN CABECERA MUNICIPAL DE JOCOTEPEC, JALISCO.</v>
      </c>
      <c r="N454" s="3"/>
      <c r="O454" s="3"/>
      <c r="P454" s="6">
        <f>OBRA!S454</f>
        <v>44089</v>
      </c>
      <c r="Q454" s="4">
        <f>OBRA!R454</f>
        <v>542961</v>
      </c>
      <c r="R454" s="4"/>
      <c r="S454" s="5">
        <f>OBRA!T454</f>
        <v>44139</v>
      </c>
      <c r="T454" s="11">
        <f>OBRA!U454</f>
        <v>44196</v>
      </c>
      <c r="U454" s="53"/>
      <c r="V454" s="377" t="s">
        <v>1428</v>
      </c>
      <c r="W454" s="309"/>
      <c r="X454" s="11"/>
      <c r="Y454" s="986">
        <f>OBRA!AR454</f>
        <v>0</v>
      </c>
      <c r="Z454" s="309"/>
      <c r="AA454" s="309"/>
      <c r="AB454" s="5"/>
      <c r="AC454" s="317">
        <f>OBRA!BW454</f>
        <v>0</v>
      </c>
      <c r="AD454" s="352"/>
    </row>
    <row r="455" spans="1:30" ht="83.25" hidden="1" customHeight="1">
      <c r="A455" s="22" t="str">
        <f>GRAL!G457</f>
        <v>SERVICIO</v>
      </c>
      <c r="B455" s="809" t="str">
        <f>GRAL!B457</f>
        <v>2018-2021</v>
      </c>
      <c r="C455" s="16">
        <f>OBRA!J455</f>
        <v>2020</v>
      </c>
      <c r="D455" s="17" t="str">
        <f>OBRA!M455</f>
        <v>CUENTA CORRIENTE</v>
      </c>
      <c r="E455" s="478" t="s">
        <v>1428</v>
      </c>
      <c r="F455" s="352" t="s">
        <v>1428</v>
      </c>
      <c r="G455" s="219"/>
      <c r="H455" s="352" t="s">
        <v>1428</v>
      </c>
      <c r="I455" s="54" t="str">
        <f>OBRA!W455</f>
        <v xml:space="preserve">CICLOS GIP SC </v>
      </c>
      <c r="J455" s="55" t="str">
        <f>OBRA!X455</f>
        <v>ING. JUAN MANUEL GARCIA ESCOTO</v>
      </c>
      <c r="K455" s="33" t="str">
        <f>OBRA!N455</f>
        <v>C.P.S.P. DOP 001/2020</v>
      </c>
      <c r="L455" s="2" t="str">
        <f>OBRA!O455</f>
        <v>SERVICIOS</v>
      </c>
      <c r="M455" s="3" t="str">
        <f>OBRA!P455</f>
        <v>REGISTRO ELECTRICO VERSIÓN MULTIPARAMETROS, PARA EL PROYECTO DE PERFORACIÓN DE POZO PROFUNDO, EN LA AGENCIA MUNICIPAL DE EL MOLINO, DEL MUNICIPIO DE JOCOTEPEC, JALISCO.</v>
      </c>
      <c r="N455" s="541"/>
      <c r="O455" s="541"/>
      <c r="P455" s="6">
        <f>OBRA!S455</f>
        <v>43864</v>
      </c>
      <c r="Q455" s="4">
        <f>OBRA!R455</f>
        <v>15080</v>
      </c>
      <c r="R455" s="4" t="s">
        <v>68</v>
      </c>
      <c r="S455" s="5">
        <f>OBRA!T455</f>
        <v>43865</v>
      </c>
      <c r="T455" s="11">
        <f>OBRA!U455</f>
        <v>43879</v>
      </c>
      <c r="U455" s="1352" t="s">
        <v>5620</v>
      </c>
      <c r="V455" s="377" t="s">
        <v>1428</v>
      </c>
      <c r="W455" s="309" t="s">
        <v>1428</v>
      </c>
      <c r="X455" s="11" t="s">
        <v>1428</v>
      </c>
      <c r="Y455" s="986" t="s">
        <v>1177</v>
      </c>
      <c r="Z455" s="309"/>
      <c r="AA455" s="309"/>
      <c r="AB455" s="5"/>
      <c r="AC455" s="317">
        <f>OBRA!BW455</f>
        <v>0</v>
      </c>
      <c r="AD455" s="352"/>
    </row>
    <row r="456" spans="1:30" ht="252" hidden="1" customHeight="1">
      <c r="A456" s="22" t="str">
        <f>GRAL!G458</f>
        <v>SERVICIO</v>
      </c>
      <c r="B456" s="809" t="str">
        <f>GRAL!B458</f>
        <v>2018-2021</v>
      </c>
      <c r="C456" s="16">
        <f>OBRA!J456</f>
        <v>2020</v>
      </c>
      <c r="D456" s="17" t="str">
        <f>OBRA!M456</f>
        <v>CUENTA CORRIENTE</v>
      </c>
      <c r="E456" s="478" t="s">
        <v>1428</v>
      </c>
      <c r="F456" s="352" t="s">
        <v>1428</v>
      </c>
      <c r="G456" s="219"/>
      <c r="H456" s="352" t="s">
        <v>1428</v>
      </c>
      <c r="I456" s="54" t="str">
        <f>OBRA!W456</f>
        <v>AJG INGENIERIA, SA DE CV</v>
      </c>
      <c r="J456" s="55" t="str">
        <f>OBRA!X456</f>
        <v>ING. JUAN MANUEL GARCIA ESCOTO</v>
      </c>
      <c r="K456" s="33" t="str">
        <f>OBRA!N456</f>
        <v>C.P.S.P. DOP 002/2020</v>
      </c>
      <c r="L456" s="2" t="str">
        <f>OBRA!O456</f>
        <v>SERVICIOS</v>
      </c>
      <c r="M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4" t="s">
        <v>3727</v>
      </c>
      <c r="O456" s="504"/>
      <c r="P456" s="67">
        <f>OBRA!S456</f>
        <v>44275</v>
      </c>
      <c r="Q456" s="4">
        <f>OBRA!R456</f>
        <v>139246.39999999999</v>
      </c>
      <c r="R456" s="4" t="s">
        <v>68</v>
      </c>
      <c r="S456" s="5">
        <f>OBRA!T456</f>
        <v>44287</v>
      </c>
      <c r="T456" s="11">
        <f>OBRA!U456</f>
        <v>44289</v>
      </c>
      <c r="U456" s="1352" t="s">
        <v>5620</v>
      </c>
      <c r="V456" s="377" t="s">
        <v>1428</v>
      </c>
      <c r="W456" s="309" t="s">
        <v>1428</v>
      </c>
      <c r="X456" s="11" t="s">
        <v>1428</v>
      </c>
      <c r="Y456" s="986" t="s">
        <v>1177</v>
      </c>
      <c r="Z456" s="309"/>
      <c r="AA456" s="309"/>
      <c r="AB456" s="5"/>
      <c r="AC456" s="317">
        <f>OBRA!BW456</f>
        <v>0</v>
      </c>
      <c r="AD456" s="352"/>
    </row>
    <row r="457" spans="1:30" ht="11.25" hidden="1" customHeight="1">
      <c r="A457" s="22" t="str">
        <f>GRAL!G459</f>
        <v>OBRA</v>
      </c>
      <c r="B457" s="809" t="str">
        <f>GRAL!B459</f>
        <v>2018-2021</v>
      </c>
      <c r="C457" s="16">
        <f>OBRA!J457</f>
        <v>2020</v>
      </c>
      <c r="D457" s="17">
        <f>OBRA!M457</f>
        <v>0</v>
      </c>
      <c r="E457" s="478" t="s">
        <v>1428</v>
      </c>
      <c r="F457" s="352" t="s">
        <v>1428</v>
      </c>
      <c r="G457" s="219"/>
      <c r="H457" s="352" t="s">
        <v>1428</v>
      </c>
      <c r="I457" s="54">
        <f>OBRA!W457</f>
        <v>0</v>
      </c>
      <c r="J457" s="55">
        <f>OBRA!X457</f>
        <v>0</v>
      </c>
      <c r="K457" s="33" t="str">
        <f>OBRA!N457</f>
        <v>C.P.S.P. DOP 003/2020</v>
      </c>
      <c r="L457" s="2" t="str">
        <f>OBRA!O457</f>
        <v>CANCELADA</v>
      </c>
      <c r="M457" s="3" t="str">
        <f>OBRA!P457</f>
        <v>CONTRATO CANCELADO</v>
      </c>
      <c r="N457" s="504" t="s">
        <v>3727</v>
      </c>
      <c r="O457" s="504"/>
      <c r="P457" s="67">
        <f>OBRA!S457</f>
        <v>0</v>
      </c>
      <c r="Q457" s="4">
        <f>OBRA!R457</f>
        <v>0</v>
      </c>
      <c r="R457" s="4"/>
      <c r="S457" s="5">
        <f>OBRA!T457</f>
        <v>0</v>
      </c>
      <c r="T457" s="11">
        <f>OBRA!U457</f>
        <v>0</v>
      </c>
      <c r="U457" s="207" t="s">
        <v>3815</v>
      </c>
      <c r="V457" s="377" t="s">
        <v>1428</v>
      </c>
      <c r="W457" s="309" t="s">
        <v>1428</v>
      </c>
      <c r="X457" s="509"/>
      <c r="Y457" s="1199">
        <f>OBRA!AR457</f>
        <v>0</v>
      </c>
      <c r="Z457" s="309"/>
      <c r="AA457" s="309"/>
      <c r="AB457" s="5"/>
      <c r="AC457" s="317">
        <f>OBRA!BW457</f>
        <v>0</v>
      </c>
      <c r="AD457" s="352"/>
    </row>
    <row r="458" spans="1:30" ht="106.5" hidden="1" customHeight="1">
      <c r="A458" s="22" t="str">
        <f>GRAL!G461</f>
        <v>SERVICIO</v>
      </c>
      <c r="B458" s="809" t="str">
        <f>GRAL!B461</f>
        <v>2018-2021</v>
      </c>
      <c r="C458" s="16">
        <f>OBRA!J458</f>
        <v>2020</v>
      </c>
      <c r="D458" s="17" t="str">
        <f>OBRA!M458</f>
        <v>CUENTA CORRIENTE</v>
      </c>
      <c r="E458" s="478" t="s">
        <v>1428</v>
      </c>
      <c r="F458" s="352" t="s">
        <v>1428</v>
      </c>
      <c r="G458" s="219"/>
      <c r="H458" s="352" t="s">
        <v>1428</v>
      </c>
      <c r="I458" s="1456" t="str">
        <f>OBRA!W458</f>
        <v>SUPERVISIÓN PROYECTOS Y LABORATORIO PARA LA CONSTRUCCIÓN</v>
      </c>
      <c r="J458" s="55" t="str">
        <f>OBRA!X458</f>
        <v>ING. HECTOR JESUS HERNANDEZ</v>
      </c>
      <c r="K458" s="33" t="str">
        <f>OBRA!N458</f>
        <v>C.P.S.P. DOP 004/2020</v>
      </c>
      <c r="L458" s="2" t="str">
        <f>OBRA!O458</f>
        <v>SERVICIOS</v>
      </c>
      <c r="M458" s="3" t="str">
        <f>OBRA!P458</f>
        <v>ESTUDIOS DE MECÁNICA DE SUELOS Y DE COMPACTACIÓN, CORRESPONDIENTE AL PROYECTO: "REHABILITACIÓN DE IMAGEN URBANA EN CALLE GUADALUPE VICTORIA SUR ENTRE VICENTE GUERRERO Y DONATO GUERRA", EN LA CABECERA MUNICIPAL DE JOCOTEPEC, JALISCO.</v>
      </c>
      <c r="N458" s="504" t="s">
        <v>3727</v>
      </c>
      <c r="O458" s="504"/>
      <c r="P458" s="67">
        <f>OBRA!S458</f>
        <v>43979</v>
      </c>
      <c r="Q458" s="79">
        <f>OBRA!R458</f>
        <v>25520</v>
      </c>
      <c r="R458" s="4" t="s">
        <v>68</v>
      </c>
      <c r="S458" s="5" t="str">
        <f>OBRA!T458</f>
        <v>NO APLICA</v>
      </c>
      <c r="T458" s="11" t="str">
        <f>OBRA!U458</f>
        <v>NO APLICA</v>
      </c>
      <c r="U458" s="1352" t="s">
        <v>5620</v>
      </c>
      <c r="V458" s="377" t="s">
        <v>1428</v>
      </c>
      <c r="W458" s="309" t="s">
        <v>1428</v>
      </c>
      <c r="X458" s="11" t="s">
        <v>1428</v>
      </c>
      <c r="Y458" s="986" t="s">
        <v>1177</v>
      </c>
      <c r="Z458" s="309"/>
      <c r="AA458" s="309"/>
      <c r="AB458" s="5"/>
      <c r="AC458" s="317">
        <f>OBRA!BW458</f>
        <v>0</v>
      </c>
      <c r="AD458" s="352"/>
    </row>
    <row r="459" spans="1:30" ht="94.5" hidden="1" customHeight="1">
      <c r="A459" s="22" t="str">
        <f>GRAL!G462</f>
        <v>SERVICIO</v>
      </c>
      <c r="B459" s="809" t="str">
        <f>GRAL!B462</f>
        <v>2018-2021</v>
      </c>
      <c r="C459" s="16">
        <f>OBRA!J459</f>
        <v>2020</v>
      </c>
      <c r="D459" s="17" t="str">
        <f>OBRA!M459</f>
        <v>CUENTA CORRIENTE</v>
      </c>
      <c r="E459" s="478" t="s">
        <v>1428</v>
      </c>
      <c r="F459" s="352" t="s">
        <v>1428</v>
      </c>
      <c r="G459" s="219"/>
      <c r="H459" s="352" t="s">
        <v>1428</v>
      </c>
      <c r="I459" s="1456" t="str">
        <f>OBRA!W459</f>
        <v>SUPERVISIÓN PROYECTOS Y LABORATORIO PARA LA CONSTRUCCIÓN</v>
      </c>
      <c r="J459" s="55" t="str">
        <f>OBRA!X459</f>
        <v>ING. HECTOR JESUS HERNANDEZ</v>
      </c>
      <c r="K459" s="33" t="str">
        <f>OBRA!N459</f>
        <v>C.P.S.P. DOP 005/2020</v>
      </c>
      <c r="L459" s="2" t="str">
        <f>OBRA!O459</f>
        <v>SERVICIOS</v>
      </c>
      <c r="M459" s="3" t="str">
        <f>OBRA!P459</f>
        <v>ESTUDIOS DE MECÁNICA DE SUELOS, COMPACTACIÓN Y CALCULO ESTRUCTURAL, CORRESPONDIENTE AL PROYECTO: "REHABILITACIÓN DE LA CANCHA UNIDAD DEPORTIVA ZARAGOZA 1ERA. ETAPA", EN LA CABECERA MUNICIPAL DE JOCOTEPEC, JALISCO.</v>
      </c>
      <c r="N459" s="504" t="s">
        <v>3727</v>
      </c>
      <c r="O459" s="504"/>
      <c r="P459" s="67">
        <f>OBRA!S459</f>
        <v>43979</v>
      </c>
      <c r="Q459" s="79">
        <f>OBRA!R459</f>
        <v>36772</v>
      </c>
      <c r="R459" s="4" t="s">
        <v>68</v>
      </c>
      <c r="S459" s="5" t="str">
        <f>OBRA!T459</f>
        <v>NO APLICA</v>
      </c>
      <c r="T459" s="11" t="str">
        <f>OBRA!U459</f>
        <v>NO APLICA</v>
      </c>
      <c r="U459" s="1352" t="s">
        <v>5620</v>
      </c>
      <c r="V459" s="377" t="s">
        <v>1428</v>
      </c>
      <c r="W459" s="309" t="s">
        <v>1428</v>
      </c>
      <c r="X459" s="11" t="s">
        <v>1428</v>
      </c>
      <c r="Y459" s="986" t="s">
        <v>1177</v>
      </c>
      <c r="Z459" s="309"/>
      <c r="AA459" s="309"/>
      <c r="AB459" s="5"/>
      <c r="AC459" s="317">
        <f>OBRA!BW459</f>
        <v>0</v>
      </c>
      <c r="AD459" s="352"/>
    </row>
    <row r="460" spans="1:30" ht="100.5" hidden="1" customHeight="1">
      <c r="A460" s="22" t="str">
        <f>GRAL!G463</f>
        <v>SERVICIO</v>
      </c>
      <c r="B460" s="809" t="str">
        <f>GRAL!B463</f>
        <v>2018-2021</v>
      </c>
      <c r="C460" s="16">
        <f>OBRA!J460</f>
        <v>2020</v>
      </c>
      <c r="D460" s="17" t="str">
        <f>OBRA!M460</f>
        <v>CUENTA CORRIENTE</v>
      </c>
      <c r="E460" s="478" t="s">
        <v>1428</v>
      </c>
      <c r="F460" s="352" t="s">
        <v>1428</v>
      </c>
      <c r="G460" s="219"/>
      <c r="H460" s="352" t="s">
        <v>1428</v>
      </c>
      <c r="I460" s="1456" t="str">
        <f>OBRA!W460</f>
        <v>SUPERVISIÓN PROYECTOS Y LABORATORIO PARA LA CONSTRUCCIÓN</v>
      </c>
      <c r="J460" s="55" t="str">
        <f>OBRA!X460</f>
        <v>ING. HECTOR JESUS HERNANDEZ</v>
      </c>
      <c r="K460" s="33" t="str">
        <f>OBRA!N460</f>
        <v>C.P.S.P. DOP 006/2020</v>
      </c>
      <c r="L460" s="2" t="str">
        <f>OBRA!O460</f>
        <v>SERVICIOS</v>
      </c>
      <c r="M460" s="3" t="str">
        <f>OBRA!P460</f>
        <v>ESTUDIOS DE MECÁNICA DE SUELOS Y COMPACTACIÓN, CORRESPONDIENTE AL PROYECTO: "REHABILITACIÓN DE CANCHA DE USOS MULTIPLES UBICADA EN EL MALECÓN", EN LA LOCALIDAD DE SAN JUAN COSALA, DEL MUNICIPIO DE JOCOTEPEC, JALISCO.</v>
      </c>
      <c r="N460" s="504" t="s">
        <v>3727</v>
      </c>
      <c r="O460" s="504"/>
      <c r="P460" s="67">
        <f>OBRA!S460</f>
        <v>43979</v>
      </c>
      <c r="Q460" s="79">
        <f>OBRA!R460</f>
        <v>18096</v>
      </c>
      <c r="R460" s="4" t="s">
        <v>68</v>
      </c>
      <c r="S460" s="5" t="str">
        <f>OBRA!T460</f>
        <v>NO APLICA</v>
      </c>
      <c r="T460" s="11" t="str">
        <f>OBRA!U460</f>
        <v>NO APLICA</v>
      </c>
      <c r="U460" s="1352" t="s">
        <v>5620</v>
      </c>
      <c r="V460" s="377" t="s">
        <v>1428</v>
      </c>
      <c r="W460" s="309" t="s">
        <v>1428</v>
      </c>
      <c r="X460" s="11" t="s">
        <v>1428</v>
      </c>
      <c r="Y460" s="986" t="s">
        <v>1177</v>
      </c>
      <c r="Z460" s="309"/>
      <c r="AA460" s="309"/>
      <c r="AB460" s="5"/>
      <c r="AC460" s="317">
        <f>OBRA!BW460</f>
        <v>0</v>
      </c>
      <c r="AD460" s="352"/>
    </row>
    <row r="461" spans="1:30" ht="83.25" hidden="1" customHeight="1">
      <c r="A461" s="22" t="str">
        <f>GRAL!G464</f>
        <v>SERVICIO</v>
      </c>
      <c r="B461" s="809" t="str">
        <f>GRAL!B464</f>
        <v>2018-2021</v>
      </c>
      <c r="C461" s="16">
        <f>OBRA!J461</f>
        <v>2020</v>
      </c>
      <c r="D461" s="17" t="str">
        <f>OBRA!M461</f>
        <v>CUENTA CORRIENTE</v>
      </c>
      <c r="E461" s="478" t="s">
        <v>1428</v>
      </c>
      <c r="F461" s="352" t="s">
        <v>1428</v>
      </c>
      <c r="G461" s="219"/>
      <c r="H461" s="352" t="s">
        <v>1428</v>
      </c>
      <c r="I461" s="1456" t="str">
        <f>OBRA!W461</f>
        <v>SUPERVISIÓN PROYECTOS Y LABORATORIO PARA LA CONSTRUCCIÓN</v>
      </c>
      <c r="J461" s="55" t="str">
        <f>OBRA!X461</f>
        <v>ING. HECTOR JESUS HERNANDEZ</v>
      </c>
      <c r="K461" s="33" t="str">
        <f>OBRA!N461</f>
        <v>C.P.S.P. DOP 007/2020</v>
      </c>
      <c r="L461" s="2" t="str">
        <f>OBRA!O461</f>
        <v>SERVICIOS</v>
      </c>
      <c r="M461" s="3" t="str">
        <f>OBRA!P461</f>
        <v>ESTUDIOS DE MECÁNICA DE SUELOS Y COMPACTACIÓN, CORRESPONDIENTE AL PROYECTO: "CONSTRUCCIÓN DE JARDÍN DE NIÑOS "MIGUEL HIDALGO", EN LA CABECERA MUNICIPAL DE JOCOTEPEC, JALISCO.</v>
      </c>
      <c r="N461" s="504" t="s">
        <v>3727</v>
      </c>
      <c r="O461" s="504"/>
      <c r="P461" s="67">
        <f>OBRA!S461</f>
        <v>43979</v>
      </c>
      <c r="Q461" s="79">
        <f>OBRA!R461</f>
        <v>22772</v>
      </c>
      <c r="R461" s="4" t="s">
        <v>68</v>
      </c>
      <c r="S461" s="5" t="str">
        <f>OBRA!T461</f>
        <v>NO APLICA</v>
      </c>
      <c r="T461" s="11" t="str">
        <f>OBRA!U461</f>
        <v>NO APLICA</v>
      </c>
      <c r="U461" s="1352" t="s">
        <v>5620</v>
      </c>
      <c r="V461" s="377" t="s">
        <v>1428</v>
      </c>
      <c r="W461" s="309" t="s">
        <v>1428</v>
      </c>
      <c r="X461" s="11" t="s">
        <v>1428</v>
      </c>
      <c r="Y461" s="986" t="s">
        <v>1177</v>
      </c>
      <c r="Z461" s="309"/>
      <c r="AA461" s="309"/>
      <c r="AB461" s="5"/>
      <c r="AC461" s="317">
        <f>OBRA!BW461</f>
        <v>0</v>
      </c>
      <c r="AD461" s="352"/>
    </row>
    <row r="462" spans="1:30" ht="85.5" hidden="1" customHeight="1">
      <c r="A462" s="22" t="str">
        <f>GRAL!G465</f>
        <v>SERVICIO</v>
      </c>
      <c r="B462" s="809" t="str">
        <f>GRAL!B465</f>
        <v>2018-2021</v>
      </c>
      <c r="C462" s="16">
        <f>OBRA!J462</f>
        <v>2020</v>
      </c>
      <c r="D462" s="17" t="str">
        <f>OBRA!M462</f>
        <v>CUENTA CORRIENTE</v>
      </c>
      <c r="E462" s="478" t="s">
        <v>1428</v>
      </c>
      <c r="F462" s="352" t="s">
        <v>1428</v>
      </c>
      <c r="G462" s="219"/>
      <c r="H462" s="352" t="s">
        <v>1428</v>
      </c>
      <c r="I462" s="1456" t="str">
        <f>OBRA!W462</f>
        <v>SUPERVISIÓN PROYECTOS Y LABORATORIO PARA LA CONSTRUCCIÓN</v>
      </c>
      <c r="J462" s="55" t="str">
        <f>OBRA!X462</f>
        <v>ING. HECTOR JESUS HERNANDEZ</v>
      </c>
      <c r="K462" s="33" t="str">
        <f>OBRA!N462</f>
        <v>C.P.S.P. DOP 008/2020</v>
      </c>
      <c r="L462" s="2" t="str">
        <f>OBRA!O462</f>
        <v>SERVICIOS</v>
      </c>
      <c r="M462" s="3" t="str">
        <f>OBRA!P462</f>
        <v>ESTUDIOS DE MECÁNICA DE SUELOS Y COMPACTACIÓN, CORRESPONDIENTE AL PROYECTO: "CONSTRUCCIÓN DE JARDÍN DE NIÑOS "ITZCOATL", EN LA LOCALIDAD DE NEXTIPAC. DEL MUNICIPIO DE JOCOTEPEC, JALISCO.</v>
      </c>
      <c r="N462" s="504" t="s">
        <v>3727</v>
      </c>
      <c r="O462" s="504"/>
      <c r="P462" s="67">
        <f>OBRA!S462</f>
        <v>43979</v>
      </c>
      <c r="Q462" s="79">
        <f>OBRA!R462</f>
        <v>22772</v>
      </c>
      <c r="R462" s="4" t="s">
        <v>68</v>
      </c>
      <c r="S462" s="5" t="str">
        <f>OBRA!T462</f>
        <v>NO APLICA</v>
      </c>
      <c r="T462" s="11" t="str">
        <f>OBRA!U462</f>
        <v>NO APLICA</v>
      </c>
      <c r="U462" s="1352" t="s">
        <v>5620</v>
      </c>
      <c r="V462" s="377" t="s">
        <v>1428</v>
      </c>
      <c r="W462" s="309" t="s">
        <v>1428</v>
      </c>
      <c r="X462" s="11" t="s">
        <v>1428</v>
      </c>
      <c r="Y462" s="986" t="s">
        <v>1177</v>
      </c>
      <c r="Z462" s="309"/>
      <c r="AA462" s="309"/>
      <c r="AB462" s="5"/>
      <c r="AC462" s="317">
        <f>OBRA!BW462</f>
        <v>0</v>
      </c>
      <c r="AD462" s="352"/>
    </row>
    <row r="463" spans="1:30" ht="92.25" hidden="1" customHeight="1">
      <c r="A463" s="22" t="str">
        <f>GRAL!G466</f>
        <v>SERVICIO</v>
      </c>
      <c r="B463" s="809" t="str">
        <f>GRAL!B466</f>
        <v>2018-2021</v>
      </c>
      <c r="C463" s="16">
        <f>OBRA!J463</f>
        <v>2020</v>
      </c>
      <c r="D463" s="17" t="str">
        <f>OBRA!M463</f>
        <v>CUENTA CORRIENTE</v>
      </c>
      <c r="E463" s="478" t="s">
        <v>1428</v>
      </c>
      <c r="F463" s="352" t="s">
        <v>1428</v>
      </c>
      <c r="G463" s="219"/>
      <c r="H463" s="352" t="s">
        <v>1428</v>
      </c>
      <c r="I463" s="54" t="str">
        <f>OBRA!W463</f>
        <v xml:space="preserve">CICLOS GIP SC </v>
      </c>
      <c r="J463" s="55" t="str">
        <f>OBRA!X463</f>
        <v>ING. HECTOR JESUS HERNANDEZ</v>
      </c>
      <c r="K463" s="33" t="str">
        <f>OBRA!N463</f>
        <v>C.P.S.P. DOP 009/2020</v>
      </c>
      <c r="L463" s="2" t="str">
        <f>OBRA!O463</f>
        <v>SERVICIOS</v>
      </c>
      <c r="M463" s="3" t="str">
        <f>OBRA!P463</f>
        <v>REGISTRO ELECTRICO VERSIÓN MULTIPARAMETROS, PARA EL PROYECTO DE PERFORACIÓN DE: PERFORACIÓN DE POZO PROFUNDO, EN LA AGENCIA MUNICIPAL DE LAS TROJES, DEL MUNICIPIO DE JOCOTEPEC, JALISCO.</v>
      </c>
      <c r="N463" s="504" t="s">
        <v>3727</v>
      </c>
      <c r="O463" s="504"/>
      <c r="P463" s="67">
        <f>OBRA!S463</f>
        <v>44050</v>
      </c>
      <c r="Q463" s="79">
        <f>OBRA!R463</f>
        <v>17400</v>
      </c>
      <c r="R463" s="4" t="s">
        <v>68</v>
      </c>
      <c r="S463" s="5">
        <f>OBRA!T463</f>
        <v>44050</v>
      </c>
      <c r="T463" s="11">
        <f>OBRA!U463</f>
        <v>44055</v>
      </c>
      <c r="U463" s="1352" t="s">
        <v>5620</v>
      </c>
      <c r="V463" s="377" t="s">
        <v>1428</v>
      </c>
      <c r="W463" s="309" t="s">
        <v>1428</v>
      </c>
      <c r="X463" s="11" t="s">
        <v>1428</v>
      </c>
      <c r="Y463" s="986" t="s">
        <v>1177</v>
      </c>
      <c r="Z463" s="309"/>
      <c r="AA463" s="309"/>
      <c r="AB463" s="5"/>
      <c r="AC463" s="317">
        <f>OBRA!BW463</f>
        <v>0</v>
      </c>
      <c r="AD463" s="352"/>
    </row>
    <row r="464" spans="1:30" ht="96" hidden="1" customHeight="1">
      <c r="A464" s="22" t="str">
        <f>GRAL!G467</f>
        <v>SERVICIO</v>
      </c>
      <c r="B464" s="809" t="str">
        <f>GRAL!B467</f>
        <v>2018-2021</v>
      </c>
      <c r="C464" s="16">
        <f>OBRA!J464</f>
        <v>2020</v>
      </c>
      <c r="D464" s="17" t="str">
        <f>OBRA!M464</f>
        <v>CUENTA CORRIENTE</v>
      </c>
      <c r="E464" s="478" t="s">
        <v>1428</v>
      </c>
      <c r="F464" s="352" t="s">
        <v>1428</v>
      </c>
      <c r="G464" s="219"/>
      <c r="H464" s="352" t="s">
        <v>1428</v>
      </c>
      <c r="I464" s="54" t="str">
        <f>OBRA!W464</f>
        <v>SUPERVISIÓN PROYECTOS Y LABORATORIO PARA LA CONSTRUCCIÓN</v>
      </c>
      <c r="J464" s="55" t="str">
        <f>OBRA!X464</f>
        <v>ARQ. EDUARDO ROMERO CARRILLO</v>
      </c>
      <c r="K464" s="33" t="str">
        <f>OBRA!N464</f>
        <v>C.P.S.P. DOP 010/2020</v>
      </c>
      <c r="L464" s="2" t="str">
        <f>OBRA!O464</f>
        <v>SERVICIOS</v>
      </c>
      <c r="M464" s="3" t="str">
        <f>OBRA!P464</f>
        <v>"ESTUDIO DE MECANICA DE SUELOS Y PRUEBAS COMPACTACIÓN", CORRESPONDIENTE AL PROYECTO. "CONSTRUCCIÓN Y EQUIPAMIENTO DE LA PLAZA PRINCIPAL 1ERA ETAPA" DE LA DELEGACIÓN DE CHANTEPEC, DEL MUNICIPIO DE JOCOTEPEC, JALISCO.</v>
      </c>
      <c r="N464" s="504" t="s">
        <v>3727</v>
      </c>
      <c r="O464" s="504"/>
      <c r="P464" s="67">
        <f>OBRA!S464</f>
        <v>44026</v>
      </c>
      <c r="Q464" s="79">
        <f>OBRA!R464</f>
        <v>34046</v>
      </c>
      <c r="R464" s="4" t="s">
        <v>68</v>
      </c>
      <c r="S464" s="5" t="str">
        <f>OBRA!T464</f>
        <v>NO APLICA</v>
      </c>
      <c r="T464" s="11" t="str">
        <f>OBRA!U464</f>
        <v>NO APLICA</v>
      </c>
      <c r="U464" s="1352" t="s">
        <v>5620</v>
      </c>
      <c r="V464" s="377" t="s">
        <v>1428</v>
      </c>
      <c r="W464" s="309" t="s">
        <v>1428</v>
      </c>
      <c r="X464" s="11" t="s">
        <v>1428</v>
      </c>
      <c r="Y464" s="986" t="s">
        <v>1177</v>
      </c>
      <c r="Z464" s="309"/>
      <c r="AA464" s="309"/>
      <c r="AB464" s="5"/>
      <c r="AC464" s="317">
        <f>OBRA!BW464</f>
        <v>0</v>
      </c>
      <c r="AD464" s="352"/>
    </row>
    <row r="465" spans="1:30" ht="66" hidden="1" customHeight="1">
      <c r="A465" s="22" t="str">
        <f>GRAL!G468</f>
        <v>SERVICIO</v>
      </c>
      <c r="B465" s="809" t="str">
        <f>GRAL!B468</f>
        <v>2018-2021</v>
      </c>
      <c r="C465" s="16">
        <f>OBRA!J465</f>
        <v>2020</v>
      </c>
      <c r="D465" s="17" t="str">
        <f>OBRA!M465</f>
        <v>CUENTA CORRIENTE</v>
      </c>
      <c r="E465" s="478" t="s">
        <v>1428</v>
      </c>
      <c r="F465" s="352" t="s">
        <v>1428</v>
      </c>
      <c r="G465" s="219"/>
      <c r="H465" s="352" t="s">
        <v>1428</v>
      </c>
      <c r="I465" s="54" t="str">
        <f>OBRA!W465</f>
        <v>JUAN MANUEL GARCIA ESCOTO</v>
      </c>
      <c r="J465" s="55" t="str">
        <f>OBRA!X465</f>
        <v>ING. HECTOR JESUS HERNANDEZ</v>
      </c>
      <c r="K465" s="33" t="str">
        <f>OBRA!N465</f>
        <v>C.P.S.P. DOP 011/2020</v>
      </c>
      <c r="L465" s="2" t="str">
        <f>OBRA!O465</f>
        <v>SERVICIOS</v>
      </c>
      <c r="M465" s="3" t="str">
        <f>OBRA!P465</f>
        <v>LEVANTAMIENTO TOPOGRÁFICO DE ÁREA DE DONACIÓN Y UBICACIÓN DEL DEPÓSITO PARA AGUA POTABLE EN LADO NORTE DE LA CABECERA MUNICIPAL DE JOCOTEPEC, JALISCO.</v>
      </c>
      <c r="N465" s="504" t="s">
        <v>3728</v>
      </c>
      <c r="O465" s="504"/>
      <c r="P465" s="6">
        <f>OBRA!S465</f>
        <v>44454</v>
      </c>
      <c r="Q465" s="4">
        <f>OBRA!R465</f>
        <v>4059.9999999999995</v>
      </c>
      <c r="R465" s="4" t="s">
        <v>68</v>
      </c>
      <c r="S465" s="5" t="str">
        <f>OBRA!T465</f>
        <v>NO APLICA</v>
      </c>
      <c r="T465" s="11" t="str">
        <f>OBRA!U465</f>
        <v>NO APLICA</v>
      </c>
      <c r="U465" s="1352" t="s">
        <v>5620</v>
      </c>
      <c r="V465" s="377" t="s">
        <v>1428</v>
      </c>
      <c r="W465" s="309" t="s">
        <v>1428</v>
      </c>
      <c r="X465" s="11" t="s">
        <v>1428</v>
      </c>
      <c r="Y465" s="986" t="s">
        <v>1177</v>
      </c>
      <c r="Z465" s="309"/>
      <c r="AA465" s="309"/>
      <c r="AB465" s="5"/>
      <c r="AC465" s="317">
        <f>OBRA!BW465</f>
        <v>0</v>
      </c>
      <c r="AD465" s="352"/>
    </row>
    <row r="466" spans="1:30" ht="186" hidden="1" customHeight="1">
      <c r="A466" s="22" t="str">
        <f>GRAL!G469</f>
        <v>SERVICIO</v>
      </c>
      <c r="B466" s="809" t="str">
        <f>GRAL!B469</f>
        <v>2018-2021</v>
      </c>
      <c r="C466" s="16">
        <f>OBRA!J466</f>
        <v>2020</v>
      </c>
      <c r="D466" s="17" t="str">
        <f>OBRA!M466</f>
        <v>CUENTA CORRIENTE</v>
      </c>
      <c r="E466" s="478" t="s">
        <v>1428</v>
      </c>
      <c r="F466" s="352" t="s">
        <v>1428</v>
      </c>
      <c r="G466" s="219"/>
      <c r="H466" s="352" t="s">
        <v>1428</v>
      </c>
      <c r="I466" s="54" t="str">
        <f>OBRA!W466</f>
        <v>AJG INGENIERIA, SA DE CV</v>
      </c>
      <c r="J466" s="55" t="str">
        <f>OBRA!X466</f>
        <v>ING. HECTOR JESUS HERNANDEZ</v>
      </c>
      <c r="K466" s="33" t="str">
        <f>OBRA!N466</f>
        <v>C.P.S.P. DOP 012/2020</v>
      </c>
      <c r="L466" s="2" t="str">
        <f>OBRA!O466</f>
        <v>SERVICIOS</v>
      </c>
      <c r="M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4" t="s">
        <v>3728</v>
      </c>
      <c r="O466" s="504"/>
      <c r="P466" s="6">
        <f>OBRA!S466</f>
        <v>44082</v>
      </c>
      <c r="Q466" s="4">
        <f>OBRA!R466</f>
        <v>139246</v>
      </c>
      <c r="R466" s="4" t="s">
        <v>68</v>
      </c>
      <c r="S466" s="5">
        <f>OBRA!T466</f>
        <v>44088</v>
      </c>
      <c r="T466" s="11">
        <f>OBRA!U466</f>
        <v>44094</v>
      </c>
      <c r="U466" s="1352" t="s">
        <v>5620</v>
      </c>
      <c r="V466" s="377" t="s">
        <v>1428</v>
      </c>
      <c r="W466" s="309" t="s">
        <v>1428</v>
      </c>
      <c r="X466" s="11" t="s">
        <v>1428</v>
      </c>
      <c r="Y466" s="986" t="s">
        <v>1177</v>
      </c>
      <c r="Z466" s="309"/>
      <c r="AA466" s="309"/>
      <c r="AB466" s="5"/>
      <c r="AC466" s="317">
        <f>OBRA!BW466</f>
        <v>0</v>
      </c>
      <c r="AD466" s="352"/>
    </row>
    <row r="467" spans="1:30" ht="137.25" hidden="1" customHeight="1">
      <c r="A467" s="22" t="str">
        <f>GRAL!G470</f>
        <v>SERVICIO</v>
      </c>
      <c r="B467" s="809" t="str">
        <f>GRAL!B470</f>
        <v>2018-2021</v>
      </c>
      <c r="C467" s="16">
        <f>OBRA!J467</f>
        <v>2020</v>
      </c>
      <c r="D467" s="17" t="str">
        <f>OBRA!M467</f>
        <v>CUENTA CORRIENTE</v>
      </c>
      <c r="E467" s="478" t="s">
        <v>1428</v>
      </c>
      <c r="F467" s="352" t="s">
        <v>1428</v>
      </c>
      <c r="G467" s="219"/>
      <c r="H467" s="352" t="s">
        <v>1428</v>
      </c>
      <c r="I467" s="54" t="str">
        <f>OBRA!W467</f>
        <v>AJG INGENIERIA, SA DE CV</v>
      </c>
      <c r="J467" s="55" t="str">
        <f>OBRA!X467</f>
        <v>ING. HECTOR JESUS HERNANDEZ</v>
      </c>
      <c r="K467" s="33" t="str">
        <f>OBRA!N467</f>
        <v>C.P.S.P. DOP 013/2020</v>
      </c>
      <c r="L467" s="2" t="str">
        <f>OBRA!O467</f>
        <v>SERVICIOS</v>
      </c>
      <c r="M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4" t="s">
        <v>3728</v>
      </c>
      <c r="O467" s="504"/>
      <c r="P467" s="6">
        <f>OBRA!S467</f>
        <v>44081</v>
      </c>
      <c r="Q467" s="4">
        <f>OBRA!R467</f>
        <v>139246</v>
      </c>
      <c r="R467" s="4" t="s">
        <v>68</v>
      </c>
      <c r="S467" s="5">
        <f>OBRA!T467</f>
        <v>44082</v>
      </c>
      <c r="T467" s="11">
        <f>OBRA!U467</f>
        <v>44086</v>
      </c>
      <c r="U467" s="1352" t="s">
        <v>5620</v>
      </c>
      <c r="V467" s="377" t="s">
        <v>1428</v>
      </c>
      <c r="W467" s="309" t="s">
        <v>1428</v>
      </c>
      <c r="X467" s="11" t="s">
        <v>1428</v>
      </c>
      <c r="Y467" s="986" t="s">
        <v>1177</v>
      </c>
      <c r="Z467" s="309"/>
      <c r="AA467" s="309"/>
      <c r="AB467" s="5"/>
      <c r="AC467" s="317">
        <f>OBRA!BW467</f>
        <v>0</v>
      </c>
      <c r="AD467" s="352"/>
    </row>
    <row r="468" spans="1:30" ht="129.75" hidden="1" customHeight="1">
      <c r="A468" s="22" t="str">
        <f>GRAL!G471</f>
        <v>SERVICIO</v>
      </c>
      <c r="B468" s="809" t="str">
        <f>GRAL!B471</f>
        <v>2018-2021</v>
      </c>
      <c r="C468" s="16">
        <f>OBRA!J468</f>
        <v>2020</v>
      </c>
      <c r="D468" s="17" t="str">
        <f>OBRA!M468</f>
        <v>CUENTA CORRIENTE</v>
      </c>
      <c r="E468" s="478" t="s">
        <v>1428</v>
      </c>
      <c r="F468" s="352" t="s">
        <v>1428</v>
      </c>
      <c r="G468" s="219"/>
      <c r="H468" s="352" t="s">
        <v>1428</v>
      </c>
      <c r="I468" s="54" t="str">
        <f>OBRA!W468</f>
        <v>SUPERVISIÓN PROYECTOS Y LABORATORIO PARA LA CONSTRUCCIÓN</v>
      </c>
      <c r="J468" s="55" t="str">
        <f>OBRA!X468</f>
        <v>LIC. SALVADOR CONTRERAS OLGUÍN</v>
      </c>
      <c r="K468" s="33" t="str">
        <f>OBRA!N468</f>
        <v>C.P.S.P. DOP 014/2020</v>
      </c>
      <c r="L468" s="2" t="str">
        <f>OBRA!O468</f>
        <v>SERVICIOS</v>
      </c>
      <c r="M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4" t="s">
        <v>3728</v>
      </c>
      <c r="O468" s="504"/>
      <c r="P468" s="6">
        <f>OBRA!S468</f>
        <v>44075</v>
      </c>
      <c r="Q468" s="4">
        <f>OBRA!R468</f>
        <v>32944</v>
      </c>
      <c r="R468" s="4" t="s">
        <v>68</v>
      </c>
      <c r="S468" s="5" t="str">
        <f>OBRA!T468</f>
        <v>NO APLICA</v>
      </c>
      <c r="T468" s="11" t="str">
        <f>OBRA!U468</f>
        <v>NO APLICA</v>
      </c>
      <c r="U468" s="1352" t="s">
        <v>5620</v>
      </c>
      <c r="V468" s="377" t="s">
        <v>1428</v>
      </c>
      <c r="W468" s="309" t="s">
        <v>1428</v>
      </c>
      <c r="X468" s="11" t="s">
        <v>1428</v>
      </c>
      <c r="Y468" s="986" t="s">
        <v>1177</v>
      </c>
      <c r="Z468" s="309"/>
      <c r="AA468" s="309"/>
      <c r="AB468" s="5"/>
      <c r="AC468" s="317">
        <f>OBRA!BW468</f>
        <v>0</v>
      </c>
      <c r="AD468" s="352"/>
    </row>
    <row r="469" spans="1:30" ht="135.75" hidden="1" customHeight="1">
      <c r="A469" s="22" t="str">
        <f>GRAL!G472</f>
        <v>SERVICIO</v>
      </c>
      <c r="B469" s="809" t="str">
        <f>GRAL!B472</f>
        <v>2018-2021</v>
      </c>
      <c r="C469" s="16">
        <f>OBRA!J469</f>
        <v>2020</v>
      </c>
      <c r="D469" s="17" t="str">
        <f>OBRA!M469</f>
        <v>CUENTA CORRIENTE</v>
      </c>
      <c r="E469" s="478" t="s">
        <v>1428</v>
      </c>
      <c r="F469" s="352" t="s">
        <v>1428</v>
      </c>
      <c r="G469" s="219"/>
      <c r="H469" s="352" t="s">
        <v>1428</v>
      </c>
      <c r="I469" s="54" t="str">
        <f>OBRA!W469</f>
        <v>SUPERVISIÓN PROYECTOS Y LABORATORIO PARA LA CONSTRUCCIÓN</v>
      </c>
      <c r="J469" s="55" t="str">
        <f>OBRA!X469</f>
        <v>ARQ. JAIME CONDE GOMEZ</v>
      </c>
      <c r="K469" s="33" t="str">
        <f>OBRA!N469</f>
        <v>C.P.S.P. DOP 015/2020</v>
      </c>
      <c r="L469" s="2" t="str">
        <f>OBRA!O469</f>
        <v>SERVICIOS</v>
      </c>
      <c r="M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4" t="s">
        <v>3728</v>
      </c>
      <c r="O469" s="504"/>
      <c r="P469" s="6">
        <f>OBRA!S469</f>
        <v>44075</v>
      </c>
      <c r="Q469" s="4">
        <f>OBRA!R469</f>
        <v>25520</v>
      </c>
      <c r="R469" s="4" t="s">
        <v>68</v>
      </c>
      <c r="S469" s="5" t="str">
        <f>OBRA!T469</f>
        <v>NO APLICA</v>
      </c>
      <c r="T469" s="11" t="str">
        <f>OBRA!U469</f>
        <v>NO APLICA</v>
      </c>
      <c r="U469" s="1352" t="s">
        <v>5620</v>
      </c>
      <c r="V469" s="377" t="s">
        <v>1428</v>
      </c>
      <c r="W469" s="309" t="s">
        <v>1428</v>
      </c>
      <c r="X469" s="11" t="s">
        <v>1428</v>
      </c>
      <c r="Y469" s="986" t="s">
        <v>1177</v>
      </c>
      <c r="Z469" s="309"/>
      <c r="AA469" s="309"/>
      <c r="AB469" s="5"/>
      <c r="AC469" s="317">
        <f>OBRA!BW469</f>
        <v>0</v>
      </c>
      <c r="AD469" s="352"/>
    </row>
    <row r="470" spans="1:30" ht="139.5" hidden="1" customHeight="1">
      <c r="A470" s="22" t="str">
        <f>GRAL!G473</f>
        <v>SERVICIO</v>
      </c>
      <c r="B470" s="809" t="str">
        <f>GRAL!B473</f>
        <v>2018-2021</v>
      </c>
      <c r="C470" s="16">
        <f>OBRA!J470</f>
        <v>2020</v>
      </c>
      <c r="D470" s="17" t="str">
        <f>OBRA!M470</f>
        <v>CUENTA CORRIENTE</v>
      </c>
      <c r="E470" s="478" t="s">
        <v>1428</v>
      </c>
      <c r="F470" s="352" t="s">
        <v>1428</v>
      </c>
      <c r="G470" s="219"/>
      <c r="H470" s="352" t="s">
        <v>1428</v>
      </c>
      <c r="I470" s="54" t="str">
        <f>OBRA!W470</f>
        <v>SUPERVISIÓN PROYECTOS Y LABORATORIO PARA LA CONSTRUCCIÓN</v>
      </c>
      <c r="J470" s="55" t="str">
        <f>OBRA!X470</f>
        <v>ING. J. GUADALUPE IBARRA RAMIREZ</v>
      </c>
      <c r="K470" s="33" t="str">
        <f>OBRA!N470</f>
        <v>C.P.S.P. DOP 016/2020</v>
      </c>
      <c r="L470" s="2" t="str">
        <f>OBRA!O470</f>
        <v>SERVICIOS</v>
      </c>
      <c r="M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4" t="s">
        <v>3728</v>
      </c>
      <c r="O470" s="504"/>
      <c r="P470" s="6">
        <f>OBRA!S470</f>
        <v>44124</v>
      </c>
      <c r="Q470" s="4">
        <f>OBRA!R470</f>
        <v>36656</v>
      </c>
      <c r="R470" s="4" t="s">
        <v>68</v>
      </c>
      <c r="S470" s="5" t="str">
        <f>OBRA!T470</f>
        <v>NO APLICA</v>
      </c>
      <c r="T470" s="11" t="str">
        <f>OBRA!U470</f>
        <v>NO APLICA</v>
      </c>
      <c r="U470" s="1352" t="s">
        <v>5620</v>
      </c>
      <c r="V470" s="377" t="s">
        <v>1428</v>
      </c>
      <c r="W470" s="309" t="s">
        <v>1428</v>
      </c>
      <c r="X470" s="11" t="s">
        <v>1428</v>
      </c>
      <c r="Y470" s="986" t="s">
        <v>1177</v>
      </c>
      <c r="Z470" s="309"/>
      <c r="AA470" s="309"/>
      <c r="AB470" s="5"/>
      <c r="AC470" s="317">
        <f>OBRA!BW470</f>
        <v>0</v>
      </c>
      <c r="AD470" s="352"/>
    </row>
    <row r="471" spans="1:30" ht="75" hidden="1" customHeight="1">
      <c r="A471" s="22" t="str">
        <f>GRAL!G474</f>
        <v>SERVICIO</v>
      </c>
      <c r="B471" s="809" t="str">
        <f>GRAL!B474</f>
        <v>2018-2021</v>
      </c>
      <c r="C471" s="16">
        <f>OBRA!J471</f>
        <v>2020</v>
      </c>
      <c r="D471" s="17" t="str">
        <f>OBRA!M471</f>
        <v>CUENTA CORRIENTE</v>
      </c>
      <c r="E471" s="478" t="s">
        <v>1428</v>
      </c>
      <c r="F471" s="352" t="s">
        <v>1428</v>
      </c>
      <c r="G471" s="219"/>
      <c r="H471" s="352" t="s">
        <v>1428</v>
      </c>
      <c r="I471" s="54" t="str">
        <f>OBRA!W471</f>
        <v>ING. JUAN MANUEL GARCÍA ESCOTO</v>
      </c>
      <c r="J471" s="55" t="str">
        <f>OBRA!X471</f>
        <v>ING. HECTOR JESUS HERNANDEZ</v>
      </c>
      <c r="K471" s="33" t="str">
        <f>OBRA!N471</f>
        <v>C.P.S.P. DOP 017/2020</v>
      </c>
      <c r="L471" s="2" t="str">
        <f>OBRA!O471</f>
        <v>SERVICIOS</v>
      </c>
      <c r="M471" s="3" t="str">
        <f>OBRA!P471</f>
        <v>LEVANTAMIENTOS TOPOGRÁFICOS DE ÁREA DE DONACIÓN Y UBICACIÓN DEL POZO DE AGUA POTABLE EN C. ALLENDE, EN LA CABECERA MUNICIPAL DE JOCOTEPEC, JALISCO.</v>
      </c>
      <c r="N471" s="504" t="s">
        <v>3728</v>
      </c>
      <c r="O471" s="504"/>
      <c r="P471" s="67">
        <f>OBRA!S471</f>
        <v>44089</v>
      </c>
      <c r="Q471" s="79">
        <f>OBRA!R471</f>
        <v>4059.9999999999995</v>
      </c>
      <c r="R471" s="4" t="s">
        <v>68</v>
      </c>
      <c r="S471" s="5" t="str">
        <f>OBRA!T471</f>
        <v>-</v>
      </c>
      <c r="T471" s="11" t="str">
        <f>OBRA!U471</f>
        <v>-</v>
      </c>
      <c r="U471" s="1352" t="s">
        <v>5620</v>
      </c>
      <c r="V471" s="377" t="s">
        <v>1428</v>
      </c>
      <c r="W471" s="309" t="s">
        <v>1428</v>
      </c>
      <c r="X471" s="11" t="s">
        <v>1428</v>
      </c>
      <c r="Y471" s="986" t="s">
        <v>1177</v>
      </c>
      <c r="Z471" s="309"/>
      <c r="AA471" s="309"/>
      <c r="AB471" s="5"/>
      <c r="AC471" s="317">
        <f>OBRA!BW471</f>
        <v>0</v>
      </c>
      <c r="AD471" s="352"/>
    </row>
    <row r="472" spans="1:30" ht="72" hidden="1" customHeight="1">
      <c r="A472" s="22" t="str">
        <f>GRAL!G475</f>
        <v>SERVICIO</v>
      </c>
      <c r="B472" s="809" t="str">
        <f>GRAL!B475</f>
        <v>2018-2021</v>
      </c>
      <c r="C472" s="16">
        <f>OBRA!J472</f>
        <v>2020</v>
      </c>
      <c r="D472" s="17" t="str">
        <f>OBRA!M472</f>
        <v>CUENTA CORRIENTE</v>
      </c>
      <c r="E472" s="478" t="s">
        <v>1428</v>
      </c>
      <c r="F472" s="352" t="s">
        <v>1428</v>
      </c>
      <c r="G472" s="219"/>
      <c r="H472" s="352" t="s">
        <v>1428</v>
      </c>
      <c r="I472" s="54" t="str">
        <f>OBRA!W472</f>
        <v>ING. JUAN MANUEL GARCÍA ESCOTO</v>
      </c>
      <c r="J472" s="55" t="str">
        <f>OBRA!X472</f>
        <v>ING. HECTOR JESUS HERNANDEZ</v>
      </c>
      <c r="K472" s="33" t="str">
        <f>OBRA!N472</f>
        <v>C.P.S.P. DOP 018/2020</v>
      </c>
      <c r="L472" s="2" t="str">
        <f>OBRA!O472</f>
        <v>SERVICIOS</v>
      </c>
      <c r="M472" s="3" t="str">
        <f>OBRA!P472</f>
        <v>LEVANTAMIENTO TOPOGRÁFICO DE ÁREA DE DONACIÓN PARA PROYECTO DEL SENDERO "ANDADOR PANORÁMICO" EN ZONA NORTE, EN LA CABECERA MUNICIPAL DE JOCOTEPEC, JALISCO.</v>
      </c>
      <c r="N472" s="504" t="s">
        <v>3728</v>
      </c>
      <c r="O472" s="504"/>
      <c r="P472" s="67">
        <f>OBRA!S472</f>
        <v>44089</v>
      </c>
      <c r="Q472" s="79">
        <f>OBRA!R472</f>
        <v>20880</v>
      </c>
      <c r="R472" s="4" t="s">
        <v>68</v>
      </c>
      <c r="S472" s="5" t="str">
        <f>OBRA!T472</f>
        <v>-</v>
      </c>
      <c r="T472" s="11" t="str">
        <f>OBRA!U472</f>
        <v>-</v>
      </c>
      <c r="U472" s="1352" t="s">
        <v>5620</v>
      </c>
      <c r="V472" s="377" t="s">
        <v>1428</v>
      </c>
      <c r="W472" s="309" t="s">
        <v>1428</v>
      </c>
      <c r="X472" s="11" t="s">
        <v>1428</v>
      </c>
      <c r="Y472" s="986" t="s">
        <v>1177</v>
      </c>
      <c r="Z472" s="309"/>
      <c r="AA472" s="309"/>
      <c r="AB472" s="5"/>
      <c r="AC472" s="317">
        <f>OBRA!BW472</f>
        <v>0</v>
      </c>
      <c r="AD472" s="352"/>
    </row>
    <row r="473" spans="1:30" ht="80.25" hidden="1" customHeight="1">
      <c r="A473" s="22" t="str">
        <f>GRAL!G476</f>
        <v>SERVICIO</v>
      </c>
      <c r="B473" s="809" t="str">
        <f>GRAL!B476</f>
        <v>2018-2021</v>
      </c>
      <c r="C473" s="16">
        <f>OBRA!J473</f>
        <v>2020</v>
      </c>
      <c r="D473" s="17" t="str">
        <f>OBRA!M473</f>
        <v>CUENTA CORRIENTE</v>
      </c>
      <c r="E473" s="478" t="s">
        <v>1428</v>
      </c>
      <c r="F473" s="352" t="s">
        <v>1428</v>
      </c>
      <c r="G473" s="219"/>
      <c r="H473" s="352" t="s">
        <v>1428</v>
      </c>
      <c r="I473" s="54" t="str">
        <f>OBRA!W473</f>
        <v>ING. JUAN MANUEL GARCÍA ESCOTO</v>
      </c>
      <c r="J473" s="55" t="str">
        <f>OBRA!X473</f>
        <v>ING. HECTOR JESUS HERNANDEZ</v>
      </c>
      <c r="K473" s="33" t="str">
        <f>OBRA!N473</f>
        <v>C.P.S.P. DOP 019/2020</v>
      </c>
      <c r="L473" s="2" t="str">
        <f>OBRA!O473</f>
        <v>SERVICIOS</v>
      </c>
      <c r="M473" s="3" t="str">
        <f>OBRA!P473</f>
        <v>LEVANTAMIENTO TOPOGRÁFICO DE ÁREA DE DONACIÓN DEL TERRENO PARA EL PROYECTO DE LA PLANTA DE RECICLADO, UBICADO EN EL CRUCERO A POTRERILLOS DEL MUNICIPIO DE JOCOTEPEC, JALISCO.</v>
      </c>
      <c r="N473" s="504" t="s">
        <v>3728</v>
      </c>
      <c r="O473" s="504"/>
      <c r="P473" s="67">
        <f>OBRA!S473</f>
        <v>44089</v>
      </c>
      <c r="Q473" s="79">
        <f>OBRA!R473</f>
        <v>5800</v>
      </c>
      <c r="R473" s="4" t="s">
        <v>68</v>
      </c>
      <c r="S473" s="5" t="str">
        <f>OBRA!T473</f>
        <v>-</v>
      </c>
      <c r="T473" s="11" t="str">
        <f>OBRA!U473</f>
        <v>-</v>
      </c>
      <c r="U473" s="1352" t="s">
        <v>5620</v>
      </c>
      <c r="V473" s="377" t="s">
        <v>1428</v>
      </c>
      <c r="W473" s="309" t="s">
        <v>1428</v>
      </c>
      <c r="X473" s="11" t="s">
        <v>1428</v>
      </c>
      <c r="Y473" s="986" t="s">
        <v>1177</v>
      </c>
      <c r="Z473" s="309"/>
      <c r="AA473" s="309"/>
      <c r="AB473" s="5"/>
      <c r="AC473" s="317">
        <f>OBRA!BW473</f>
        <v>0</v>
      </c>
      <c r="AD473" s="352"/>
    </row>
    <row r="474" spans="1:30" ht="84.75" hidden="1" customHeight="1">
      <c r="A474" s="22" t="str">
        <f>GRAL!G477</f>
        <v>SERVICIO</v>
      </c>
      <c r="B474" s="809" t="str">
        <f>GRAL!B477</f>
        <v>2018-2021</v>
      </c>
      <c r="C474" s="16">
        <f>OBRA!J474</f>
        <v>2020</v>
      </c>
      <c r="D474" s="17" t="str">
        <f>OBRA!M474</f>
        <v>CUENTA CORRIENTE</v>
      </c>
      <c r="E474" s="478" t="s">
        <v>1428</v>
      </c>
      <c r="F474" s="352" t="s">
        <v>1428</v>
      </c>
      <c r="G474" s="219"/>
      <c r="H474" s="352" t="s">
        <v>1428</v>
      </c>
      <c r="I474" s="54" t="str">
        <f>OBRA!W474</f>
        <v>ING. JUAN MANUEL GARCÍA ESCOTO</v>
      </c>
      <c r="J474" s="55" t="str">
        <f>OBRA!X474</f>
        <v>ING. HECTOR JESUS HERNANDEZ</v>
      </c>
      <c r="K474" s="33" t="str">
        <f>OBRA!N474</f>
        <v>C.P.S.P. DOP 020/2020</v>
      </c>
      <c r="L474" s="2" t="str">
        <f>OBRA!O474</f>
        <v>SERVICIOS</v>
      </c>
      <c r="M474" s="3" t="str">
        <f>OBRA!P474</f>
        <v>LEVANTAMIENTO TOPORÁFICO DE ÁREA DE DONACIÓN DEL TERRENO PARA EL CAMPAMENTO DE LA GUARDIA NACIONAL, UBICADO EN EL EJIDO DE HUEJOTITÁN EN CRUCERO A POTRERILLOS, DEL MUNICIPIO DE JOCOTEPEC, JALISCO,</v>
      </c>
      <c r="N474" s="504" t="s">
        <v>3728</v>
      </c>
      <c r="O474" s="504"/>
      <c r="P474" s="67">
        <f>OBRA!S474</f>
        <v>44089</v>
      </c>
      <c r="Q474" s="79">
        <f>OBRA!R474</f>
        <v>5220</v>
      </c>
      <c r="R474" s="4" t="s">
        <v>68</v>
      </c>
      <c r="S474" s="5" t="str">
        <f>OBRA!T474</f>
        <v>-</v>
      </c>
      <c r="T474" s="11" t="str">
        <f>OBRA!U474</f>
        <v>-</v>
      </c>
      <c r="U474" s="1352" t="s">
        <v>5620</v>
      </c>
      <c r="V474" s="377" t="s">
        <v>1428</v>
      </c>
      <c r="W474" s="309" t="s">
        <v>1428</v>
      </c>
      <c r="X474" s="11" t="s">
        <v>1428</v>
      </c>
      <c r="Y474" s="986" t="s">
        <v>1177</v>
      </c>
      <c r="Z474" s="309"/>
      <c r="AA474" s="309"/>
      <c r="AB474" s="5"/>
      <c r="AC474" s="317">
        <f>OBRA!BW474</f>
        <v>0</v>
      </c>
      <c r="AD474" s="352"/>
    </row>
    <row r="475" spans="1:30" ht="82.5" hidden="1" customHeight="1">
      <c r="A475" s="22" t="str">
        <f>GRAL!G478</f>
        <v>SERVICIO</v>
      </c>
      <c r="B475" s="809" t="str">
        <f>GRAL!B478</f>
        <v>2018-2021</v>
      </c>
      <c r="C475" s="16">
        <f>OBRA!J475</f>
        <v>2020</v>
      </c>
      <c r="D475" s="17" t="str">
        <f>OBRA!M475</f>
        <v>CUENTA CORRIENTE</v>
      </c>
      <c r="E475" s="478" t="s">
        <v>1428</v>
      </c>
      <c r="F475" s="352" t="s">
        <v>1428</v>
      </c>
      <c r="G475" s="219"/>
      <c r="H475" s="352" t="s">
        <v>1428</v>
      </c>
      <c r="I475" s="54" t="str">
        <f>OBRA!W475</f>
        <v>ING. JUAN MANUEL GARCÍA ESCOTO</v>
      </c>
      <c r="J475" s="55" t="str">
        <f>OBRA!X475</f>
        <v>ING. HECTOR JESUS HERNANDEZ</v>
      </c>
      <c r="K475" s="33" t="str">
        <f>OBRA!N475</f>
        <v>C.P.S.P. DOP 021/2020</v>
      </c>
      <c r="L475" s="2" t="str">
        <f>OBRA!O475</f>
        <v>SERVICIOS</v>
      </c>
      <c r="M475" s="3" t="str">
        <f>OBRA!P475</f>
        <v>LEVANTAMIENTO TOGRÁFICO DE ÁREA Y LÍMITES DE PROPIEDAD DE LA CALLE HIDALGO NORTE DE CALLE ALDAMA A FILÓSOFOS, EN LA CABECERA MUNICIPAL DE JOCOTEPEC, JALISCO.</v>
      </c>
      <c r="N475" s="504" t="s">
        <v>3729</v>
      </c>
      <c r="O475" s="504"/>
      <c r="P475" s="67">
        <f>OBRA!S475</f>
        <v>44089</v>
      </c>
      <c r="Q475" s="79">
        <f>OBRA!R475</f>
        <v>5800</v>
      </c>
      <c r="R475" s="4" t="s">
        <v>68</v>
      </c>
      <c r="S475" s="5" t="str">
        <f>OBRA!T475</f>
        <v>-</v>
      </c>
      <c r="T475" s="11" t="str">
        <f>OBRA!U475</f>
        <v>-</v>
      </c>
      <c r="U475" s="1352" t="s">
        <v>5620</v>
      </c>
      <c r="V475" s="377" t="s">
        <v>1428</v>
      </c>
      <c r="W475" s="309" t="s">
        <v>1428</v>
      </c>
      <c r="X475" s="11" t="s">
        <v>1428</v>
      </c>
      <c r="Y475" s="986" t="s">
        <v>1177</v>
      </c>
      <c r="Z475" s="309"/>
      <c r="AA475" s="309"/>
      <c r="AB475" s="5"/>
      <c r="AC475" s="317">
        <f>OBRA!BW475</f>
        <v>0</v>
      </c>
      <c r="AD475" s="352"/>
    </row>
    <row r="476" spans="1:30" ht="86.25" hidden="1" customHeight="1">
      <c r="A476" s="22" t="str">
        <f>GRAL!G479</f>
        <v>SERVICIO</v>
      </c>
      <c r="B476" s="809" t="str">
        <f>GRAL!B479</f>
        <v>2018-2021</v>
      </c>
      <c r="C476" s="16">
        <f>OBRA!J476</f>
        <v>2020</v>
      </c>
      <c r="D476" s="17" t="str">
        <f>OBRA!M476</f>
        <v>CUENTA CORRIENTE</v>
      </c>
      <c r="E476" s="478" t="s">
        <v>1428</v>
      </c>
      <c r="F476" s="352" t="s">
        <v>1428</v>
      </c>
      <c r="G476" s="219"/>
      <c r="H476" s="352" t="s">
        <v>1428</v>
      </c>
      <c r="I476" s="54" t="str">
        <f>OBRA!W476</f>
        <v>ING. JUAN MANUEL GARCÍA ESCOTO</v>
      </c>
      <c r="J476" s="55" t="str">
        <f>OBRA!X476</f>
        <v>ING. HECTOR JESUS HERNANDEZ</v>
      </c>
      <c r="K476" s="33" t="str">
        <f>OBRA!N476</f>
        <v>C.P.S.P. DOP 022/2020</v>
      </c>
      <c r="L476" s="2" t="str">
        <f>OBRA!O476</f>
        <v>SERVICIOS</v>
      </c>
      <c r="M476" s="3" t="str">
        <f>OBRA!P476</f>
        <v>LEVANTAMIENTO TOPOGRÁFICO DEL PREDIO Y CONSTRUCCIÓN EXISTENTE PARA EL PROYECTO DE LA REMODELACIÓN DEL RASTRO MUNICIPAL UBICADO EN CALLE CHAPULTEPEC PTE, S/N, EN LA CABECERA MUNICIPAL DE JOCOTEPEC, JALISCO.</v>
      </c>
      <c r="N476" s="504" t="s">
        <v>3729</v>
      </c>
      <c r="O476" s="504"/>
      <c r="P476" s="67">
        <f>OBRA!S476</f>
        <v>44089</v>
      </c>
      <c r="Q476" s="79">
        <f>OBRA!R476</f>
        <v>5220</v>
      </c>
      <c r="R476" s="4" t="s">
        <v>68</v>
      </c>
      <c r="S476" s="5" t="str">
        <f>OBRA!T476</f>
        <v>-</v>
      </c>
      <c r="T476" s="11" t="str">
        <f>OBRA!U476</f>
        <v>-</v>
      </c>
      <c r="U476" s="1352" t="s">
        <v>5620</v>
      </c>
      <c r="V476" s="377" t="s">
        <v>1428</v>
      </c>
      <c r="W476" s="309" t="s">
        <v>1428</v>
      </c>
      <c r="X476" s="11" t="s">
        <v>1428</v>
      </c>
      <c r="Y476" s="986" t="s">
        <v>1177</v>
      </c>
      <c r="Z476" s="309"/>
      <c r="AA476" s="309"/>
      <c r="AB476" s="5"/>
      <c r="AC476" s="317">
        <f>OBRA!BW476</f>
        <v>0</v>
      </c>
      <c r="AD476" s="352"/>
    </row>
    <row r="477" spans="1:30" ht="94.5" hidden="1" customHeight="1">
      <c r="A477" s="22" t="str">
        <f>GRAL!G480</f>
        <v>SERVICIO</v>
      </c>
      <c r="B477" s="809" t="str">
        <f>GRAL!B480</f>
        <v>2018-2021</v>
      </c>
      <c r="C477" s="16">
        <f>OBRA!J477</f>
        <v>2020</v>
      </c>
      <c r="D477" s="17" t="str">
        <f>OBRA!M477</f>
        <v>CUENTA CORRIENTE</v>
      </c>
      <c r="E477" s="478" t="s">
        <v>1428</v>
      </c>
      <c r="F477" s="352" t="s">
        <v>1428</v>
      </c>
      <c r="G477" s="219"/>
      <c r="H477" s="352" t="s">
        <v>1428</v>
      </c>
      <c r="I477" s="54" t="str">
        <f>OBRA!W477</f>
        <v>ING. JUAN MANUEL GARCÍA ESCOTO</v>
      </c>
      <c r="J477" s="55" t="str">
        <f>OBRA!X477</f>
        <v>ING. HECTOR JESUS HERNANDEZ</v>
      </c>
      <c r="K477" s="33" t="str">
        <f>OBRA!N477</f>
        <v>C.P.S.P. DOP 023/2020</v>
      </c>
      <c r="L477" s="2" t="str">
        <f>OBRA!O477</f>
        <v>SERVICIOS</v>
      </c>
      <c r="M477" s="3" t="str">
        <f>OBRA!P477</f>
        <v>LEVANTAMIENTO TOPOGRÁFICO EN ÁREA DE DONACIÓN DEL TERRENO PARA LA UBICACIÓN DEL DEPÓSITO NUEVO DE AGUA POTABLE, EN LA DELEGACIÓN DE SAN CRISTOBAL ZAPOTITLÁN, DEL MUNICIPIO DE JOCOTEPEC, JALISCO.</v>
      </c>
      <c r="N477" s="504" t="s">
        <v>3729</v>
      </c>
      <c r="O477" s="504"/>
      <c r="P477" s="67">
        <f>OBRA!S477</f>
        <v>44089</v>
      </c>
      <c r="Q477" s="79">
        <f>OBRA!R477</f>
        <v>1739.9999999999998</v>
      </c>
      <c r="R477" s="4" t="s">
        <v>68</v>
      </c>
      <c r="S477" s="5" t="str">
        <f>OBRA!T477</f>
        <v>-</v>
      </c>
      <c r="T477" s="11" t="str">
        <f>OBRA!U477</f>
        <v>-</v>
      </c>
      <c r="U477" s="1352" t="s">
        <v>5620</v>
      </c>
      <c r="V477" s="377" t="s">
        <v>1428</v>
      </c>
      <c r="W477" s="309" t="s">
        <v>1428</v>
      </c>
      <c r="X477" s="11" t="s">
        <v>1428</v>
      </c>
      <c r="Y477" s="986" t="s">
        <v>1177</v>
      </c>
      <c r="Z477" s="309"/>
      <c r="AA477" s="309"/>
      <c r="AB477" s="5"/>
      <c r="AC477" s="317">
        <f>OBRA!BW477</f>
        <v>0</v>
      </c>
      <c r="AD477" s="352"/>
    </row>
    <row r="478" spans="1:30" ht="84" hidden="1" customHeight="1">
      <c r="A478" s="22" t="str">
        <f>GRAL!G481</f>
        <v>SERVICIO</v>
      </c>
      <c r="B478" s="809" t="str">
        <f>GRAL!B481</f>
        <v>2018-2021</v>
      </c>
      <c r="C478" s="16">
        <f>OBRA!J478</f>
        <v>2020</v>
      </c>
      <c r="D478" s="17" t="str">
        <f>OBRA!M478</f>
        <v>CUENTA CORRIENTE</v>
      </c>
      <c r="E478" s="478" t="s">
        <v>1428</v>
      </c>
      <c r="F478" s="352" t="s">
        <v>1428</v>
      </c>
      <c r="G478" s="219"/>
      <c r="H478" s="352" t="s">
        <v>1428</v>
      </c>
      <c r="I478" s="54" t="str">
        <f>OBRA!W478</f>
        <v>ING. JUAN MANUEL GARCÍA ESCOTO</v>
      </c>
      <c r="J478" s="55" t="str">
        <f>OBRA!X478</f>
        <v>ING. HECTOR JESUS HERNANDEZ</v>
      </c>
      <c r="K478" s="33" t="str">
        <f>OBRA!N478</f>
        <v>C.P.S.P. DOP 024/2020</v>
      </c>
      <c r="L478" s="2" t="str">
        <f>OBRA!O478</f>
        <v>SERVICIOS</v>
      </c>
      <c r="M478" s="3" t="str">
        <f>OBRA!P478</f>
        <v>LEVANTAMIENTO TOPOGRÁFICO DE PREDIO Y CONSTRUCCIÓN EXISTENTE EN CASA DE CULTURA UBICADO EN CALLE CARDENAL, EN LA DELEGACIÓN DE SAN JUAN COSALÁ, DEL MUNICIPIO DE JOCOTEPEC, JALISCO.</v>
      </c>
      <c r="N478" s="504" t="s">
        <v>3729</v>
      </c>
      <c r="O478" s="504"/>
      <c r="P478" s="67">
        <f>OBRA!S478</f>
        <v>44089</v>
      </c>
      <c r="Q478" s="79">
        <f>OBRA!R478</f>
        <v>2900</v>
      </c>
      <c r="R478" s="4" t="s">
        <v>68</v>
      </c>
      <c r="S478" s="5" t="str">
        <f>OBRA!T478</f>
        <v>-</v>
      </c>
      <c r="T478" s="11" t="str">
        <f>OBRA!U478</f>
        <v>-</v>
      </c>
      <c r="U478" s="1352" t="s">
        <v>5620</v>
      </c>
      <c r="V478" s="377" t="s">
        <v>1428</v>
      </c>
      <c r="W478" s="309" t="s">
        <v>1428</v>
      </c>
      <c r="X478" s="11" t="s">
        <v>1428</v>
      </c>
      <c r="Y478" s="986" t="s">
        <v>1177</v>
      </c>
      <c r="Z478" s="309"/>
      <c r="AA478" s="309"/>
      <c r="AB478" s="5"/>
      <c r="AC478" s="317">
        <f>OBRA!BW478</f>
        <v>0</v>
      </c>
      <c r="AD478" s="352"/>
    </row>
    <row r="479" spans="1:30" ht="84.75" hidden="1" customHeight="1">
      <c r="A479" s="22" t="str">
        <f>GRAL!G482</f>
        <v>SERVICIO</v>
      </c>
      <c r="B479" s="809" t="str">
        <f>GRAL!B482</f>
        <v>2018-2021</v>
      </c>
      <c r="C479" s="16">
        <f>OBRA!J479</f>
        <v>2020</v>
      </c>
      <c r="D479" s="17" t="str">
        <f>OBRA!M479</f>
        <v>CUENTA CORRIENTE</v>
      </c>
      <c r="E479" s="478" t="s">
        <v>1428</v>
      </c>
      <c r="F479" s="352" t="s">
        <v>1428</v>
      </c>
      <c r="G479" s="219"/>
      <c r="H479" s="352" t="s">
        <v>1428</v>
      </c>
      <c r="I479" s="54" t="str">
        <f>OBRA!W479</f>
        <v>ING. JUAN MANUEL GARCÍA ESCOTO</v>
      </c>
      <c r="J479" s="55" t="str">
        <f>OBRA!X479</f>
        <v>ING. HECTOR JESUS HERNANDEZ</v>
      </c>
      <c r="K479" s="33" t="str">
        <f>OBRA!N479</f>
        <v>C.P.S.P. DOP 025/2020</v>
      </c>
      <c r="L479" s="2" t="str">
        <f>OBRA!O479</f>
        <v>SERVICIOS</v>
      </c>
      <c r="M479" s="3" t="str">
        <f>OBRA!P479</f>
        <v>LEVANTAMIENTO TOPOGRÁFICO EN CALLES Y UBICACIÓN DE ÁREAS CONCESIONADAS PARA PUESTOS DEL TIANGUIS NAVIDEÑO (ZONA CENTRO), EN LA CABECERA MUNICIPAL DE JOCOTEPEC, JALISCO.</v>
      </c>
      <c r="N479" s="504" t="s">
        <v>3729</v>
      </c>
      <c r="O479" s="504"/>
      <c r="P479" s="67">
        <f>OBRA!S479</f>
        <v>44089</v>
      </c>
      <c r="Q479" s="79">
        <f>OBRA!R479</f>
        <v>2900</v>
      </c>
      <c r="R479" s="4" t="s">
        <v>68</v>
      </c>
      <c r="S479" s="5" t="str">
        <f>OBRA!T479</f>
        <v>-</v>
      </c>
      <c r="T479" s="11" t="str">
        <f>OBRA!U479</f>
        <v>-</v>
      </c>
      <c r="U479" s="1352" t="s">
        <v>5620</v>
      </c>
      <c r="V479" s="377" t="s">
        <v>1428</v>
      </c>
      <c r="W479" s="309" t="s">
        <v>1428</v>
      </c>
      <c r="X479" s="11" t="s">
        <v>1428</v>
      </c>
      <c r="Y479" s="986" t="s">
        <v>1177</v>
      </c>
      <c r="Z479" s="309"/>
      <c r="AA479" s="309"/>
      <c r="AB479" s="5"/>
      <c r="AC479" s="317">
        <f>OBRA!BW479</f>
        <v>0</v>
      </c>
      <c r="AD479" s="352"/>
    </row>
    <row r="480" spans="1:30" ht="77.25" hidden="1" customHeight="1">
      <c r="A480" s="22" t="str">
        <f>GRAL!G483</f>
        <v>SERVICIO</v>
      </c>
      <c r="B480" s="809" t="str">
        <f>GRAL!B483</f>
        <v>2018-2021</v>
      </c>
      <c r="C480" s="16">
        <f>OBRA!J480</f>
        <v>2020</v>
      </c>
      <c r="D480" s="17" t="str">
        <f>OBRA!M480</f>
        <v>CUENTA CORRIENTE</v>
      </c>
      <c r="E480" s="478" t="s">
        <v>1428</v>
      </c>
      <c r="F480" s="352" t="s">
        <v>1428</v>
      </c>
      <c r="G480" s="219"/>
      <c r="H480" s="352" t="s">
        <v>1428</v>
      </c>
      <c r="I480" s="54" t="str">
        <f>OBRA!W480</f>
        <v>ING. JUAN MANUEL GARCÍA ESCOTO</v>
      </c>
      <c r="J480" s="55" t="str">
        <f>OBRA!X480</f>
        <v>ING. HECTOR JESUS HERNANDEZ</v>
      </c>
      <c r="K480" s="33" t="str">
        <f>OBRA!N480</f>
        <v>C.P.S.P. DOP 026/2020</v>
      </c>
      <c r="L480" s="2" t="str">
        <f>OBRA!O480</f>
        <v>SERVICIOS</v>
      </c>
      <c r="M480" s="3" t="str">
        <f>OBRA!P480</f>
        <v>LEVANTAMIENTO TOPOGRÁFICO EN ÁREAS DE DONACIÓN DEL TERRENO PARA LA UBICACIÓN DEL POZO DE AGUA POTABLE, EN LA LOCALIDAD DE EL MOLINO, MUNICIPIO DE JOCOTEPEC, JALISCO.</v>
      </c>
      <c r="N480" s="504" t="s">
        <v>3729</v>
      </c>
      <c r="O480" s="504"/>
      <c r="P480" s="67">
        <f>OBRA!S480</f>
        <v>44089</v>
      </c>
      <c r="Q480" s="79">
        <f>OBRA!R480</f>
        <v>4059.9999999999995</v>
      </c>
      <c r="R480" s="4" t="s">
        <v>68</v>
      </c>
      <c r="S480" s="5" t="str">
        <f>OBRA!T480</f>
        <v>-</v>
      </c>
      <c r="T480" s="11" t="str">
        <f>OBRA!U480</f>
        <v>-</v>
      </c>
      <c r="U480" s="1352" t="s">
        <v>5620</v>
      </c>
      <c r="V480" s="377" t="s">
        <v>1428</v>
      </c>
      <c r="W480" s="309" t="s">
        <v>1428</v>
      </c>
      <c r="X480" s="11" t="s">
        <v>1428</v>
      </c>
      <c r="Y480" s="986" t="s">
        <v>1177</v>
      </c>
      <c r="Z480" s="309"/>
      <c r="AA480" s="309"/>
      <c r="AB480" s="5"/>
      <c r="AC480" s="317">
        <f>OBRA!BW480</f>
        <v>0</v>
      </c>
      <c r="AD480" s="352"/>
    </row>
    <row r="481" spans="1:30" ht="69.75" hidden="1" customHeight="1">
      <c r="A481" s="22" t="str">
        <f>GRAL!G484</f>
        <v>SERVICIO</v>
      </c>
      <c r="B481" s="809" t="str">
        <f>GRAL!B484</f>
        <v>2018-2021</v>
      </c>
      <c r="C481" s="16">
        <f>OBRA!J481</f>
        <v>2020</v>
      </c>
      <c r="D481" s="17" t="str">
        <f>OBRA!M481</f>
        <v>CUENTA CORRIENTE</v>
      </c>
      <c r="E481" s="478" t="s">
        <v>1428</v>
      </c>
      <c r="F481" s="352" t="s">
        <v>1428</v>
      </c>
      <c r="G481" s="219"/>
      <c r="H481" s="352" t="s">
        <v>1428</v>
      </c>
      <c r="I481" s="54" t="str">
        <f>OBRA!W481</f>
        <v>ING. JUAN MANUEL GARCÍA ESCOTO</v>
      </c>
      <c r="J481" s="55" t="str">
        <f>OBRA!X481</f>
        <v>ING. HECTOR JESUS HERNANDEZ</v>
      </c>
      <c r="K481" s="33" t="str">
        <f>OBRA!N481</f>
        <v>C.P.S.P. DOP 027/2020</v>
      </c>
      <c r="L481" s="2" t="str">
        <f>OBRA!O481</f>
        <v>SERVICIOS</v>
      </c>
      <c r="M481" s="3" t="str">
        <f>OBRA!P481</f>
        <v>LEVANTAMIENTO TOPOGRÁFICO DE ÁREA DE DONACIÓN DEL TERRENO PARA EL DEPÓSITO DE AGUA POTABLE, EN LA DELGACIÓN DE HUEJOTITÁN, DEL MUNICIPIO DE JOCOTEPEC, JALISCO.</v>
      </c>
      <c r="N481" s="504" t="s">
        <v>3729</v>
      </c>
      <c r="O481" s="504"/>
      <c r="P481" s="67">
        <f>OBRA!S481</f>
        <v>44089</v>
      </c>
      <c r="Q481" s="79">
        <f>OBRA!R481</f>
        <v>3711.9999999999995</v>
      </c>
      <c r="R481" s="4" t="s">
        <v>68</v>
      </c>
      <c r="S481" s="5" t="str">
        <f>OBRA!T481</f>
        <v>-</v>
      </c>
      <c r="T481" s="11" t="str">
        <f>OBRA!U481</f>
        <v>-</v>
      </c>
      <c r="U481" s="1352" t="s">
        <v>5620</v>
      </c>
      <c r="V481" s="377" t="s">
        <v>1428</v>
      </c>
      <c r="W481" s="309" t="s">
        <v>1428</v>
      </c>
      <c r="X481" s="11" t="s">
        <v>1428</v>
      </c>
      <c r="Y481" s="986" t="s">
        <v>1177</v>
      </c>
      <c r="Z481" s="309"/>
      <c r="AA481" s="309"/>
      <c r="AB481" s="5"/>
      <c r="AC481" s="317">
        <f>OBRA!BW481</f>
        <v>0</v>
      </c>
      <c r="AD481" s="352"/>
    </row>
    <row r="482" spans="1:30" ht="102" hidden="1" customHeight="1">
      <c r="A482" s="22" t="str">
        <f>GRAL!G485</f>
        <v>OBRA</v>
      </c>
      <c r="B482" s="809" t="str">
        <f>GRAL!B485</f>
        <v>2018-2021</v>
      </c>
      <c r="C482" s="16">
        <f>OBRA!J482</f>
        <v>2020</v>
      </c>
      <c r="D482" s="17" t="str">
        <f>OBRA!M482</f>
        <v>CUENTA CORRIENTE</v>
      </c>
      <c r="E482" s="478" t="s">
        <v>1428</v>
      </c>
      <c r="F482" s="352" t="s">
        <v>1428</v>
      </c>
      <c r="G482" s="219"/>
      <c r="H482" s="352" t="s">
        <v>1428</v>
      </c>
      <c r="I482" s="54" t="str">
        <f>OBRA!W482</f>
        <v>ING. JUAN MANUEL GARCÍA ESCOTO</v>
      </c>
      <c r="J482" s="55" t="str">
        <f>OBRA!X482</f>
        <v>ING. HECTOR JESUS HERNANDEZ</v>
      </c>
      <c r="K482" s="33" t="str">
        <f>OBRA!N482</f>
        <v>C.P.S.P. DOP 028/2020</v>
      </c>
      <c r="L482" s="2" t="str">
        <f>OBRA!O482</f>
        <v>SERVICIOS</v>
      </c>
      <c r="M482" s="3" t="str">
        <f>OBRA!P482</f>
        <v>LEVANAMIENTO TOPOGRÁFICO DE ÁREAS Y LÍMITES DE PROPIEDAD DEL CAMINO PROLONGACIÓN CALLE MATAMOROS DE DONATO QUERRA HASTA INGRESO AL FRACCIONAMIENTO ROCA AZUL, EN LA CABECERA MUNICIPAL DE JOCOTEPEC, JALISCO.</v>
      </c>
      <c r="N482" s="504" t="s">
        <v>3729</v>
      </c>
      <c r="O482" s="504"/>
      <c r="P482" s="67">
        <f>OBRA!S482</f>
        <v>44089</v>
      </c>
      <c r="Q482" s="79">
        <f>OBRA!R482</f>
        <v>9860</v>
      </c>
      <c r="R482" s="4" t="s">
        <v>68</v>
      </c>
      <c r="S482" s="5" t="str">
        <f>OBRA!T482</f>
        <v>-</v>
      </c>
      <c r="T482" s="11" t="str">
        <f>OBRA!U482</f>
        <v>-</v>
      </c>
      <c r="U482" s="1352" t="s">
        <v>5620</v>
      </c>
      <c r="V482" s="377" t="s">
        <v>1428</v>
      </c>
      <c r="W482" s="309" t="s">
        <v>1428</v>
      </c>
      <c r="X482" s="11" t="s">
        <v>1428</v>
      </c>
      <c r="Y482" s="986" t="s">
        <v>1177</v>
      </c>
      <c r="Z482" s="309"/>
      <c r="AA482" s="309"/>
      <c r="AB482" s="5"/>
      <c r="AC482" s="317">
        <f>OBRA!BW482</f>
        <v>0</v>
      </c>
      <c r="AD482" s="352"/>
    </row>
    <row r="483" spans="1:30" ht="39.75" hidden="1" customHeight="1">
      <c r="A483" s="22" t="str">
        <f>GRAL!G486</f>
        <v>SERVICIO</v>
      </c>
      <c r="B483" s="809" t="str">
        <f>GRAL!B486</f>
        <v>2018-2021</v>
      </c>
      <c r="C483" s="16">
        <f>OBRA!J483</f>
        <v>2020</v>
      </c>
      <c r="D483" s="17" t="str">
        <f>OBRA!M483</f>
        <v>CUENTA CORRIENTE</v>
      </c>
      <c r="E483" s="1170"/>
      <c r="F483" s="1108"/>
      <c r="G483" s="219"/>
      <c r="H483" s="1108"/>
      <c r="I483" s="1200" t="str">
        <f>OBRA!W483</f>
        <v>ING. JUAN MANUEL GARCÍA ESCOTO</v>
      </c>
      <c r="J483" s="1088">
        <f>OBRA!X483</f>
        <v>0</v>
      </c>
      <c r="K483" s="33" t="str">
        <f>OBRA!N483</f>
        <v>C.P.S.P. DOP 029/2020</v>
      </c>
      <c r="L483" s="2" t="str">
        <f>OBRA!O483</f>
        <v>CANCELADA</v>
      </c>
      <c r="M483" s="541" t="str">
        <f>OBRA!P483</f>
        <v>CONTRATO CANCELADO</v>
      </c>
      <c r="N483" s="541"/>
      <c r="O483" s="541"/>
      <c r="P483" s="195">
        <f>OBRA!S483</f>
        <v>0</v>
      </c>
      <c r="Q483" s="63">
        <f>OBRA!R483</f>
        <v>0</v>
      </c>
      <c r="R483" s="63"/>
      <c r="S483" s="474" t="str">
        <f>OBRA!T483</f>
        <v>-</v>
      </c>
      <c r="T483" s="509" t="str">
        <f>OBRA!U483</f>
        <v>-</v>
      </c>
      <c r="U483" s="692"/>
      <c r="V483" s="377" t="s">
        <v>1428</v>
      </c>
      <c r="W483" s="508"/>
      <c r="X483" s="509"/>
      <c r="Y483" s="1199">
        <f>OBRA!AR483</f>
        <v>0</v>
      </c>
      <c r="Z483" s="309"/>
      <c r="AA483" s="309"/>
      <c r="AB483" s="5"/>
      <c r="AC483" s="317">
        <f>OBRA!BW483</f>
        <v>0</v>
      </c>
      <c r="AD483" s="352"/>
    </row>
    <row r="484" spans="1:30" ht="65.25" hidden="1" customHeight="1">
      <c r="A484" s="22" t="str">
        <f>GRAL!G487</f>
        <v>SERVICIO</v>
      </c>
      <c r="B484" s="809" t="str">
        <f>GRAL!B487</f>
        <v>2018-2021</v>
      </c>
      <c r="C484" s="16">
        <f>OBRA!J484</f>
        <v>2020</v>
      </c>
      <c r="D484" s="17" t="str">
        <f>OBRA!M484</f>
        <v>CUENTA CORRIENTE</v>
      </c>
      <c r="E484" s="478" t="s">
        <v>1428</v>
      </c>
      <c r="F484" s="352" t="s">
        <v>1428</v>
      </c>
      <c r="G484" s="219"/>
      <c r="H484" s="352" t="s">
        <v>1428</v>
      </c>
      <c r="I484" s="54" t="str">
        <f>OBRA!W484</f>
        <v>ING. JUAN MANUEL GARCÍA ESCOTO</v>
      </c>
      <c r="J484" s="55" t="str">
        <f>OBRA!X484</f>
        <v>ING. HECTOR JESUS HERNANDEZ</v>
      </c>
      <c r="K484" s="33" t="str">
        <f>OBRA!N484</f>
        <v>C.P.S.P. DOP 030/2020</v>
      </c>
      <c r="L484" s="2" t="str">
        <f>OBRA!O484</f>
        <v>SERVICIOS</v>
      </c>
      <c r="M484" s="3" t="str">
        <f>OBRA!P484</f>
        <v>LEVANTAMIENTO TOPOGRÁFICO DE ÁREA DEL PREDIO DEL VERTEDERO MUNICIPAL, UBICADO EN EL EJIDO DE LA LOMA DEL MUNICIPIO DE JOCOTEPEC, JALISCO.</v>
      </c>
      <c r="N484" s="504" t="s">
        <v>3729</v>
      </c>
      <c r="O484" s="504"/>
      <c r="P484" s="67">
        <f>OBRA!S484</f>
        <v>44089</v>
      </c>
      <c r="Q484" s="79">
        <f>OBRA!R484</f>
        <v>9280</v>
      </c>
      <c r="R484" s="4" t="s">
        <v>68</v>
      </c>
      <c r="S484" s="5" t="str">
        <f>OBRA!T484</f>
        <v>-</v>
      </c>
      <c r="T484" s="11" t="str">
        <f>OBRA!U484</f>
        <v>-</v>
      </c>
      <c r="U484" s="1352" t="s">
        <v>5620</v>
      </c>
      <c r="V484" s="377" t="s">
        <v>1428</v>
      </c>
      <c r="W484" s="309" t="s">
        <v>1428</v>
      </c>
      <c r="X484" s="11" t="s">
        <v>1428</v>
      </c>
      <c r="Y484" s="986" t="s">
        <v>1177</v>
      </c>
      <c r="Z484" s="309"/>
      <c r="AA484" s="309"/>
      <c r="AB484" s="5"/>
      <c r="AC484" s="317">
        <f>OBRA!BW484</f>
        <v>0</v>
      </c>
      <c r="AD484" s="352"/>
    </row>
    <row r="485" spans="1:30" ht="81.75" hidden="1" customHeight="1">
      <c r="A485" s="22" t="str">
        <f>GRAL!G488</f>
        <v>SERVICIO</v>
      </c>
      <c r="B485" s="809" t="str">
        <f>GRAL!B488</f>
        <v>2018-2021</v>
      </c>
      <c r="C485" s="16">
        <f>OBRA!J485</f>
        <v>2020</v>
      </c>
      <c r="D485" s="17" t="str">
        <f>OBRA!M485</f>
        <v>CUENTA CORRIENTE</v>
      </c>
      <c r="E485" s="478" t="s">
        <v>1428</v>
      </c>
      <c r="F485" s="352" t="s">
        <v>1428</v>
      </c>
      <c r="G485" s="219"/>
      <c r="H485" s="352" t="s">
        <v>1428</v>
      </c>
      <c r="I485" s="54" t="str">
        <f>OBRA!W485</f>
        <v>ING. JUAN MANUEL GARCÍA ESCOTO</v>
      </c>
      <c r="J485" s="55" t="str">
        <f>OBRA!X485</f>
        <v>ING. HECTOR JESUS HERNANDEZ</v>
      </c>
      <c r="K485" s="33" t="str">
        <f>OBRA!N485</f>
        <v>C.P.S.P. DOP 031/2020</v>
      </c>
      <c r="L485" s="2" t="str">
        <f>OBRA!O485</f>
        <v>SERVICIOS</v>
      </c>
      <c r="M485" s="3" t="str">
        <f>OBRA!P485</f>
        <v>LEVANTAMIENTO TOPOGRÁFICO DE ÁREA Y LÍMITES DE PROPIEDAD EN CALLE 5 DE MAYO ENTRE AV. DE LA CRUZ Y AV. DEL PARQUE, EN LA DELEGACIÓN DE HUEJOTITÁN DEL MUNICIPIO DE JOCOTEPEC, JALISCO.</v>
      </c>
      <c r="N485" s="504" t="s">
        <v>3729</v>
      </c>
      <c r="O485" s="504"/>
      <c r="P485" s="67">
        <f>OBRA!S485</f>
        <v>44089</v>
      </c>
      <c r="Q485" s="79">
        <f>OBRA!R485</f>
        <v>5220</v>
      </c>
      <c r="R485" s="4" t="s">
        <v>68</v>
      </c>
      <c r="S485" s="5" t="str">
        <f>OBRA!T485</f>
        <v>-</v>
      </c>
      <c r="T485" s="11" t="str">
        <f>OBRA!U485</f>
        <v>-</v>
      </c>
      <c r="U485" s="1352" t="s">
        <v>5620</v>
      </c>
      <c r="V485" s="377" t="s">
        <v>1428</v>
      </c>
      <c r="W485" s="309" t="s">
        <v>1428</v>
      </c>
      <c r="X485" s="11" t="s">
        <v>1428</v>
      </c>
      <c r="Y485" s="986" t="s">
        <v>1177</v>
      </c>
      <c r="Z485" s="309"/>
      <c r="AA485" s="309"/>
      <c r="AB485" s="5"/>
      <c r="AC485" s="317">
        <f>OBRA!BW485</f>
        <v>0</v>
      </c>
      <c r="AD485" s="352"/>
    </row>
    <row r="486" spans="1:30" ht="93" hidden="1" customHeight="1">
      <c r="A486" s="22" t="str">
        <f>GRAL!G489</f>
        <v>SERVICIO</v>
      </c>
      <c r="B486" s="809" t="str">
        <f>GRAL!B489</f>
        <v>2018-2021</v>
      </c>
      <c r="C486" s="16">
        <f>OBRA!J486</f>
        <v>2020</v>
      </c>
      <c r="D486" s="17" t="str">
        <f>OBRA!M486</f>
        <v>CUENTA CORRIENTE</v>
      </c>
      <c r="E486" s="478" t="s">
        <v>1428</v>
      </c>
      <c r="F486" s="352" t="s">
        <v>1428</v>
      </c>
      <c r="G486" s="219"/>
      <c r="H486" s="352" t="s">
        <v>1428</v>
      </c>
      <c r="I486" s="54" t="str">
        <f>OBRA!W486</f>
        <v>ING. JUAN MANUEL GARCÍA ESCOTO</v>
      </c>
      <c r="J486" s="55" t="str">
        <f>OBRA!X486</f>
        <v>ING. HECTOR JESUS HERNANDEZ</v>
      </c>
      <c r="K486" s="33" t="str">
        <f>OBRA!N486</f>
        <v>C.P.S.P. DOP 032/2020</v>
      </c>
      <c r="L486" s="2" t="str">
        <f>OBRA!O486</f>
        <v>SERVICIOS</v>
      </c>
      <c r="M486" s="3" t="str">
        <f>OBRA!P486</f>
        <v>LEVANTAMIENTO TOPOGRÁFICO DE PREDIO Y ÁREA DE UNIDAD DEPORTIVA SUR PARA EL PROYECTO "POLIDEPORTIVO" UBICADO EN CALLE DONATO GUERRA, EN LA CABECERA MUNICIPAL DE JOCOTEPEC, JALISCO.</v>
      </c>
      <c r="N486" s="504" t="s">
        <v>3729</v>
      </c>
      <c r="O486" s="504"/>
      <c r="P486" s="67">
        <f>OBRA!S486</f>
        <v>44089</v>
      </c>
      <c r="Q486" s="79">
        <f>OBRA!R486</f>
        <v>9860</v>
      </c>
      <c r="R486" s="4" t="s">
        <v>68</v>
      </c>
      <c r="S486" s="5" t="str">
        <f>OBRA!T486</f>
        <v>-</v>
      </c>
      <c r="T486" s="11" t="str">
        <f>OBRA!U486</f>
        <v>-</v>
      </c>
      <c r="U486" s="1352" t="s">
        <v>5620</v>
      </c>
      <c r="V486" s="377" t="s">
        <v>1428</v>
      </c>
      <c r="W486" s="309" t="s">
        <v>1428</v>
      </c>
      <c r="X486" s="11" t="s">
        <v>1428</v>
      </c>
      <c r="Y486" s="986" t="s">
        <v>1177</v>
      </c>
      <c r="Z486" s="309"/>
      <c r="AA486" s="309"/>
      <c r="AB486" s="5"/>
      <c r="AC486" s="317">
        <f>OBRA!BW486</f>
        <v>0</v>
      </c>
      <c r="AD486" s="352"/>
    </row>
    <row r="487" spans="1:30" ht="80.25" hidden="1" customHeight="1">
      <c r="A487" s="22" t="str">
        <f>GRAL!G490</f>
        <v>OBRA</v>
      </c>
      <c r="B487" s="809" t="str">
        <f>GRAL!B490</f>
        <v>2018-2021</v>
      </c>
      <c r="C487" s="16">
        <f>OBRA!J487</f>
        <v>2020</v>
      </c>
      <c r="D487" s="17" t="str">
        <f>OBRA!M487</f>
        <v>CUENTA CORRIENTE</v>
      </c>
      <c r="E487" s="478" t="s">
        <v>1428</v>
      </c>
      <c r="F487" s="352" t="s">
        <v>1428</v>
      </c>
      <c r="G487" s="219"/>
      <c r="H487" s="352" t="s">
        <v>1428</v>
      </c>
      <c r="I487" s="54" t="str">
        <f>OBRA!W487</f>
        <v>ING. JUAN MANUEL GARCÍA ESCOTO</v>
      </c>
      <c r="J487" s="55" t="str">
        <f>OBRA!X487</f>
        <v>ING. HECTOR JESUS HERNANDEZ</v>
      </c>
      <c r="K487" s="33" t="str">
        <f>OBRA!N487</f>
        <v>C.P.S.P. DOP 033/2020</v>
      </c>
      <c r="L487" s="2" t="str">
        <f>OBRA!O487</f>
        <v>SERVICIOS</v>
      </c>
      <c r="M487" s="3" t="str">
        <f>OBRA!P487</f>
        <v>LEVANTAMIENTO TOPOGRÁFICO DE ÁREAS Y LÍMITES DE PROPIEDAD DE LA CALLE HIDALGO SUR DE CALLE DONATO GUERRA AL ARROYO, EN LA CABECERA MUNICIPAL DE JOCOTEPEC, JALISCO.</v>
      </c>
      <c r="N487" s="504" t="s">
        <v>3729</v>
      </c>
      <c r="O487" s="504"/>
      <c r="P487" s="67">
        <f>OBRA!S487</f>
        <v>44089</v>
      </c>
      <c r="Q487" s="79">
        <f>OBRA!R487</f>
        <v>4059.9999999999995</v>
      </c>
      <c r="R487" s="4" t="s">
        <v>68</v>
      </c>
      <c r="S487" s="5" t="str">
        <f>OBRA!T487</f>
        <v>-</v>
      </c>
      <c r="T487" s="11" t="str">
        <f>OBRA!U487</f>
        <v>-</v>
      </c>
      <c r="U487" s="1352" t="s">
        <v>5620</v>
      </c>
      <c r="V487" s="377" t="s">
        <v>1428</v>
      </c>
      <c r="W487" s="309" t="s">
        <v>1428</v>
      </c>
      <c r="X487" s="11" t="s">
        <v>1428</v>
      </c>
      <c r="Y487" s="986" t="s">
        <v>1177</v>
      </c>
      <c r="Z487" s="309"/>
      <c r="AA487" s="309"/>
      <c r="AB487" s="5"/>
      <c r="AC487" s="317">
        <f>OBRA!BW487</f>
        <v>0</v>
      </c>
      <c r="AD487" s="352"/>
    </row>
    <row r="488" spans="1:30" ht="136.5" hidden="1" customHeight="1">
      <c r="A488" s="22" t="str">
        <f>GRAL!G491</f>
        <v>OBRA</v>
      </c>
      <c r="B488" s="809" t="str">
        <f>GRAL!B491</f>
        <v>2018-2021</v>
      </c>
      <c r="C488" s="16">
        <f>OBRA!J488</f>
        <v>2020</v>
      </c>
      <c r="D488" s="17" t="str">
        <f>OBRA!M488</f>
        <v>CUENTA CORRIENTE</v>
      </c>
      <c r="E488" s="478" t="s">
        <v>1428</v>
      </c>
      <c r="F488" s="1227"/>
      <c r="G488" s="881"/>
      <c r="H488" s="1227"/>
      <c r="I488" s="54" t="str">
        <f>OBRA!W488</f>
        <v xml:space="preserve">GRUPO CONSTRUCTOR PAVIMAQ, S.A. DE C.V. </v>
      </c>
      <c r="J488" s="55" t="str">
        <f>OBRA!X488</f>
        <v>ARQ. CESAR ANTONIO ALONSO JIMENEZ</v>
      </c>
      <c r="K488" s="33" t="str">
        <f>OBRA!N488</f>
        <v>GMJ 001C- OP/2020</v>
      </c>
      <c r="L488" s="2" t="str">
        <f>OBRA!O488</f>
        <v>ADJUDICACIÓN DIRECTA</v>
      </c>
      <c r="M488" s="3" t="str">
        <f>OBRA!P488</f>
        <v>CONSTRUCCIÓN DE LÍNEAS DE DRENAJE SANITARIO Y DRENAJE PLUVIAL EN LA CALLE RODRIGO DE TRIANA" EN LA CABECERA MUNICIPAL DE JOCOTEPEC, JALISCO".</v>
      </c>
      <c r="N488" s="504" t="s">
        <v>3502</v>
      </c>
      <c r="O488" s="504"/>
      <c r="P488" s="6">
        <f>OBRA!S488</f>
        <v>43894</v>
      </c>
      <c r="Q488" s="4">
        <f>OBRA!R488</f>
        <v>156714.98000000001</v>
      </c>
      <c r="R488" s="4"/>
      <c r="S488" s="5">
        <f>OBRA!T488</f>
        <v>43894</v>
      </c>
      <c r="T488" s="11">
        <f>OBRA!U488</f>
        <v>43960</v>
      </c>
      <c r="U488" s="207" t="s">
        <v>3815</v>
      </c>
      <c r="V488" s="62" t="s">
        <v>1428</v>
      </c>
      <c r="W488" s="587"/>
      <c r="X488" s="1231"/>
      <c r="Y488" s="1199">
        <f>OBRA!AR488</f>
        <v>31343</v>
      </c>
      <c r="Z488" s="309"/>
      <c r="AA488" s="309"/>
      <c r="AB488" s="5"/>
      <c r="AC488" s="317">
        <f>OBRA!BW488</f>
        <v>0</v>
      </c>
      <c r="AD488" s="352"/>
    </row>
    <row r="489" spans="1:30" ht="95.25" hidden="1" customHeight="1">
      <c r="A489" s="22" t="str">
        <f>GRAL!G492</f>
        <v>OBRA</v>
      </c>
      <c r="B489" s="809" t="str">
        <f>GRAL!B492</f>
        <v>2018-2021</v>
      </c>
      <c r="C489" s="16">
        <f>OBRA!J489</f>
        <v>2020</v>
      </c>
      <c r="D489" s="17" t="str">
        <f>OBRA!M489</f>
        <v>RAMO 33</v>
      </c>
      <c r="E489" s="478" t="s">
        <v>1428</v>
      </c>
      <c r="F489" s="1227"/>
      <c r="G489" s="881"/>
      <c r="H489" s="1227"/>
      <c r="I489" s="54" t="str">
        <f>OBRA!W489</f>
        <v>ING. OCTAVIO AUGUSTO GONZALEZ TREJO</v>
      </c>
      <c r="J489" s="55" t="str">
        <f>OBRA!X489</f>
        <v>LIC. SALVADOR CONTRERAS OLGUÍN</v>
      </c>
      <c r="K489" s="33" t="str">
        <f>OBRA!N489</f>
        <v>GMJ 002C- OP/2020</v>
      </c>
      <c r="L489" s="2" t="str">
        <f>OBRA!O489</f>
        <v>ADJUDICACIÓN DIRECTA</v>
      </c>
      <c r="M489" s="3" t="str">
        <f>OBRA!P489</f>
        <v>"CONSTRUCCIÓN DE EMPEDRADO NORMAL CON HUELLAS DE ADOQUÍN EN CALLE CUAUHTÉMOC 3ERA. ETAPA DE CARCAMO A 160 ML AL ORIENTE" EN LA DELEGACIÓN DE CHANTEPEC, MUNICIPIO DE JOCOTEPEC, JALISCO.</v>
      </c>
      <c r="N489" s="504" t="s">
        <v>3502</v>
      </c>
      <c r="O489" s="504"/>
      <c r="P489" s="67">
        <f>OBRA!S489</f>
        <v>43936</v>
      </c>
      <c r="Q489" s="79">
        <f>OBRA!R489</f>
        <v>654632.78</v>
      </c>
      <c r="R489" s="79"/>
      <c r="S489" s="5">
        <f>OBRA!T489</f>
        <v>43937</v>
      </c>
      <c r="T489" s="11">
        <f>OBRA!U489</f>
        <v>43958</v>
      </c>
      <c r="U489" s="207" t="s">
        <v>3815</v>
      </c>
      <c r="V489" s="62" t="s">
        <v>1428</v>
      </c>
      <c r="W489" s="587"/>
      <c r="X489" s="1231"/>
      <c r="Y489" s="1199">
        <f>OBRA!AR489</f>
        <v>130926.54</v>
      </c>
      <c r="Z489" s="309"/>
      <c r="AA489" s="309"/>
      <c r="AB489" s="5"/>
      <c r="AC489" s="317">
        <f>OBRA!BW489</f>
        <v>0</v>
      </c>
      <c r="AD489" s="352" t="s">
        <v>551</v>
      </c>
    </row>
    <row r="490" spans="1:30" ht="96.75" hidden="1" customHeight="1">
      <c r="A490" s="22" t="str">
        <f>GRAL!G493</f>
        <v>OBRA</v>
      </c>
      <c r="B490" s="809" t="str">
        <f>GRAL!B493</f>
        <v>2018-2021</v>
      </c>
      <c r="C490" s="16">
        <f>OBRA!J490</f>
        <v>2020</v>
      </c>
      <c r="D490" s="17" t="str">
        <f>OBRA!M490</f>
        <v>RAMO 33</v>
      </c>
      <c r="E490" s="478" t="s">
        <v>1428</v>
      </c>
      <c r="F490" s="1227"/>
      <c r="G490" s="881"/>
      <c r="H490" s="1227"/>
      <c r="I490" s="54" t="str">
        <f>OBRA!W490</f>
        <v>GRUPO CONSTRUCTOR EDVI S.A. DE C.V.</v>
      </c>
      <c r="J490" s="55" t="str">
        <f>OBRA!X490</f>
        <v>ARQ. CESAR ANTONIO ALONSO JIMENEZ</v>
      </c>
      <c r="K490" s="33" t="str">
        <f>OBRA!N490</f>
        <v>GMJ 003C- OP/2020</v>
      </c>
      <c r="L490" s="2" t="str">
        <f>OBRA!O490</f>
        <v>ADJUDICACIÓN DIRECTA</v>
      </c>
      <c r="M490" s="3" t="str">
        <f>OBRA!P490</f>
        <v>"CONSTRUCCIÓN DE EMPEDRADO NORMAL CON HUELLAS DE CONCRETO EN CALLE LIBERTAD DE RICO A CRISTÓBAL COLÓN" EN LA LOCALIDAD DE NEXTIPAC, MUNICIPIO DE JOCOTEPEC, JALISCO</v>
      </c>
      <c r="N490" s="504" t="s">
        <v>3502</v>
      </c>
      <c r="O490" s="504"/>
      <c r="P490" s="67">
        <f>OBRA!S490</f>
        <v>43948</v>
      </c>
      <c r="Q490" s="79">
        <f>OBRA!R490</f>
        <v>248927.96</v>
      </c>
      <c r="R490" s="79"/>
      <c r="S490" s="5">
        <f>OBRA!T490</f>
        <v>43949</v>
      </c>
      <c r="T490" s="11">
        <f>OBRA!U490</f>
        <v>43980</v>
      </c>
      <c r="U490" s="207" t="s">
        <v>3815</v>
      </c>
      <c r="V490" s="62" t="s">
        <v>1428</v>
      </c>
      <c r="W490" s="587"/>
      <c r="X490" s="1231"/>
      <c r="Y490" s="1199">
        <f>OBRA!AR490</f>
        <v>188222.83000000002</v>
      </c>
      <c r="Z490" s="309"/>
      <c r="AA490" s="309"/>
      <c r="AB490" s="5"/>
      <c r="AC490" s="317">
        <f>OBRA!BW490</f>
        <v>0</v>
      </c>
      <c r="AD490" s="352" t="s">
        <v>551</v>
      </c>
    </row>
    <row r="491" spans="1:30" ht="108.75" hidden="1" customHeight="1">
      <c r="A491" s="22" t="str">
        <f>GRAL!G494</f>
        <v>OBRA</v>
      </c>
      <c r="B491" s="809" t="str">
        <f>GRAL!B494</f>
        <v>2018-2021</v>
      </c>
      <c r="C491" s="16">
        <f>OBRA!J491</f>
        <v>2020</v>
      </c>
      <c r="D491" s="17" t="str">
        <f>OBRA!M491</f>
        <v>RAMO 33</v>
      </c>
      <c r="E491" s="478" t="s">
        <v>1428</v>
      </c>
      <c r="F491" s="1227"/>
      <c r="G491" s="881"/>
      <c r="H491" s="1227"/>
      <c r="I491" s="1200" t="str">
        <f>OBRA!W491</f>
        <v>SERVICIO Y CONSTRUCCIÓN NATENIO S.A. DE C.V.</v>
      </c>
      <c r="J491" s="1088" t="str">
        <f>OBRA!X491</f>
        <v>ARQ. JAIME CONDE GOMEZ</v>
      </c>
      <c r="K491" s="33" t="str">
        <f>OBRA!N491</f>
        <v>GMJ 004C- OP/2020</v>
      </c>
      <c r="L491" s="2" t="str">
        <f>OBRA!O491</f>
        <v>ADJUDICACIÓN DIRECTA</v>
      </c>
      <c r="M491" s="541" t="str">
        <f>OBRA!P491</f>
        <v>"CONSTRUCCIÓN DE EMPEDRADO AHOGADO EN CEMENTO CON HUELLAS DE CONCRETO EN CALLE PADRE ADALBERTO MACIAS" EN LA CABECERA MUNICIPAL DE JOCOTEPEC, JALISCO.</v>
      </c>
      <c r="N491" s="504" t="s">
        <v>3502</v>
      </c>
      <c r="O491" s="504"/>
      <c r="P491" s="195">
        <f>OBRA!S491</f>
        <v>43951</v>
      </c>
      <c r="Q491" s="63">
        <f>OBRA!R491</f>
        <v>1010980.5</v>
      </c>
      <c r="R491" s="63"/>
      <c r="S491" s="474">
        <f>OBRA!T491</f>
        <v>43962</v>
      </c>
      <c r="T491" s="509">
        <f>OBRA!U491</f>
        <v>44054</v>
      </c>
      <c r="U491" s="207" t="s">
        <v>3815</v>
      </c>
      <c r="V491" s="377" t="s">
        <v>1428</v>
      </c>
      <c r="W491" s="535"/>
      <c r="X491" s="437"/>
      <c r="Y491" s="1199">
        <f>OBRA!AR491</f>
        <v>454941.22</v>
      </c>
      <c r="Z491" s="309"/>
      <c r="AA491" s="309"/>
      <c r="AB491" s="5"/>
      <c r="AC491" s="317">
        <f>OBRA!BW491</f>
        <v>0</v>
      </c>
      <c r="AD491" s="352"/>
    </row>
    <row r="492" spans="1:30" ht="132" hidden="1" customHeight="1">
      <c r="A492" s="22" t="str">
        <f>GRAL!G495</f>
        <v>OBRA</v>
      </c>
      <c r="B492" s="809" t="str">
        <f>GRAL!B495</f>
        <v>2018-2021</v>
      </c>
      <c r="C492" s="16">
        <f>OBRA!J492</f>
        <v>2020</v>
      </c>
      <c r="D492" s="17" t="str">
        <f>OBRA!M492</f>
        <v>RAMO 33</v>
      </c>
      <c r="E492" s="478" t="s">
        <v>1428</v>
      </c>
      <c r="F492" s="1227"/>
      <c r="G492" s="878"/>
      <c r="H492" s="1227"/>
      <c r="I492" s="1200" t="str">
        <f>OBRA!W492</f>
        <v>GRUPO CONSTRUCTOR EDVI SA DE CV</v>
      </c>
      <c r="J492" s="1088" t="str">
        <f>OBRA!X492</f>
        <v>ARQ. CESAR ANTONIO ALONSO JIMENEZ</v>
      </c>
      <c r="K492" s="33" t="str">
        <f>OBRA!N492</f>
        <v>GMJ 005C- OP/2020</v>
      </c>
      <c r="L492" s="2" t="str">
        <f>OBRA!O492</f>
        <v>ADJUDICACIÓN DIRECTA</v>
      </c>
      <c r="M492" s="3" t="str">
        <f>OBRA!P492</f>
        <v>"CONSTRUCCIÓN DE LÍNEA DE DRENAJE SANITARIO EN CALLE LIBERTAD DE RICO A CRISTOBAL COLON" EN LA LOCALIDAD DE NEXTIPAC, MUNICIPIO DE JOCOTEPEC, JALISCO.</v>
      </c>
      <c r="N492" s="504" t="s">
        <v>3502</v>
      </c>
      <c r="O492" s="504"/>
      <c r="P492" s="195">
        <f>OBRA!S492</f>
        <v>43948</v>
      </c>
      <c r="Q492" s="63">
        <f>OBRA!R492</f>
        <v>125624.96000000001</v>
      </c>
      <c r="R492" s="63"/>
      <c r="S492" s="474">
        <f>OBRA!T492</f>
        <v>43949</v>
      </c>
      <c r="T492" s="509">
        <f>OBRA!U492</f>
        <v>43980</v>
      </c>
      <c r="U492" s="207" t="s">
        <v>3815</v>
      </c>
      <c r="V492" s="62" t="s">
        <v>1428</v>
      </c>
      <c r="W492" s="587"/>
      <c r="X492" s="1231"/>
      <c r="Y492" s="1199">
        <f>OBRA!AR492</f>
        <v>25124.98</v>
      </c>
      <c r="Z492" s="309"/>
      <c r="AA492" s="309"/>
      <c r="AB492" s="5"/>
      <c r="AC492" s="317">
        <f>OBRA!BW492</f>
        <v>0</v>
      </c>
      <c r="AD492" s="352" t="s">
        <v>551</v>
      </c>
    </row>
    <row r="493" spans="1:30" ht="133.5" hidden="1" customHeight="1">
      <c r="A493" s="22" t="str">
        <f>GRAL!G496</f>
        <v>OBRA</v>
      </c>
      <c r="B493" s="809" t="str">
        <f>GRAL!B496</f>
        <v>2018-2021</v>
      </c>
      <c r="C493" s="16">
        <f>OBRA!J493</f>
        <v>2020</v>
      </c>
      <c r="D493" s="17" t="str">
        <f>OBRA!M493</f>
        <v>RAMO 33</v>
      </c>
      <c r="E493" s="478" t="s">
        <v>1428</v>
      </c>
      <c r="F493" s="502" t="s">
        <v>3524</v>
      </c>
      <c r="G493" s="524" t="s">
        <v>3524</v>
      </c>
      <c r="H493" s="502" t="s">
        <v>3524</v>
      </c>
      <c r="I493" s="54" t="str">
        <f>OBRA!W493</f>
        <v>SONAYBER INGENIERIA Y CONSTRUCCIONES S.A. DE C.V.</v>
      </c>
      <c r="J493" s="55" t="str">
        <f>OBRA!X493</f>
        <v>ING. J. GUADALUPE IBARRA RAMIREZ</v>
      </c>
      <c r="K493" s="33" t="str">
        <f>OBRA!N493</f>
        <v>GMJ 006C- OP/2020</v>
      </c>
      <c r="L493" s="2" t="str">
        <f>OBRA!O493</f>
        <v>ADJUDICACIÓN DIRECTA</v>
      </c>
      <c r="M493" s="3" t="str">
        <f>OBRA!P493</f>
        <v>REHABILITACIÓN DE REDES HIDROSANITARIAS Y SUPERFICIE DE RODAMIENTO EN LA CALLE NICÓLAS BRAVO ENTRE CALLE ALDAMA Y CALLE LOS ANGELES" DE LA CABECERA MUNICIPAL, DE JOCOTEPEC, JALISCO.</v>
      </c>
      <c r="N493" s="504" t="s">
        <v>3502</v>
      </c>
      <c r="O493" s="504"/>
      <c r="P493" s="67">
        <f>OBRA!S493</f>
        <v>43977</v>
      </c>
      <c r="Q493" s="79">
        <f>OBRA!R493</f>
        <v>965741.4</v>
      </c>
      <c r="R493" s="79"/>
      <c r="S493" s="5">
        <f>OBRA!T493</f>
        <v>43984</v>
      </c>
      <c r="T493" s="11">
        <f>OBRA!U493</f>
        <v>44040</v>
      </c>
      <c r="U493" s="53"/>
      <c r="V493" s="62" t="s">
        <v>1428</v>
      </c>
      <c r="W493" s="499" t="s">
        <v>3524</v>
      </c>
      <c r="X493" s="597" t="s">
        <v>3524</v>
      </c>
      <c r="Y493" s="988">
        <f>OBRA!AR493</f>
        <v>434583.63</v>
      </c>
      <c r="Z493" s="309"/>
      <c r="AA493" s="309"/>
      <c r="AB493" s="5"/>
      <c r="AC493" s="317">
        <f>OBRA!BW493</f>
        <v>0</v>
      </c>
      <c r="AD493" s="352" t="s">
        <v>551</v>
      </c>
    </row>
    <row r="494" spans="1:30" ht="131.25" hidden="1" customHeight="1">
      <c r="A494" s="22" t="str">
        <f>GRAL!G497</f>
        <v>OBRA</v>
      </c>
      <c r="B494" s="809" t="str">
        <f>GRAL!B497</f>
        <v>2018-2021</v>
      </c>
      <c r="C494" s="16">
        <f>OBRA!J494</f>
        <v>2020</v>
      </c>
      <c r="D494" s="17" t="str">
        <f>OBRA!M494</f>
        <v>RAMO 33</v>
      </c>
      <c r="E494" s="478" t="s">
        <v>1428</v>
      </c>
      <c r="F494" s="502" t="s">
        <v>3525</v>
      </c>
      <c r="G494" s="524" t="s">
        <v>3525</v>
      </c>
      <c r="H494" s="502" t="s">
        <v>3525</v>
      </c>
      <c r="I494" s="54" t="str">
        <f>OBRA!W494</f>
        <v>SONAYBER INGENIERIA Y CONSTRUCCIONES S.A. DE C.V.</v>
      </c>
      <c r="J494" s="55" t="str">
        <f>OBRA!X494</f>
        <v>ING. J. GUADALUPE IBARRA RAMIREZ</v>
      </c>
      <c r="K494" s="33" t="str">
        <f>OBRA!N494</f>
        <v>GMJ 007C- OP/2020</v>
      </c>
      <c r="L494" s="2" t="str">
        <f>OBRA!O494</f>
        <v>ADJUDICACIÓN DIRECTA</v>
      </c>
      <c r="M494" s="3" t="str">
        <f>OBRA!P494</f>
        <v>"REHABILITACIÓN DE REDES HIDROSANITARIAS Y FABRICACIÓN DE SUPERFICIE DE RODAMIENTO EN PRIV. NICOLAS BRAVO ENTRE NICÓLAS BRAVO A CERRADA" DE LA CABECERA MUNICIPAL, DE JOCOTEPEC, JALISCO.</v>
      </c>
      <c r="N494" s="504" t="s">
        <v>3502</v>
      </c>
      <c r="O494" s="504"/>
      <c r="P494" s="67">
        <f>OBRA!S494</f>
        <v>43977</v>
      </c>
      <c r="Q494" s="79">
        <f>OBRA!R494</f>
        <v>334158.86</v>
      </c>
      <c r="R494" s="79"/>
      <c r="S494" s="5">
        <f>OBRA!T494</f>
        <v>43984</v>
      </c>
      <c r="T494" s="11">
        <f>OBRA!U494</f>
        <v>44040</v>
      </c>
      <c r="U494" s="53"/>
      <c r="V494" s="62" t="s">
        <v>1428</v>
      </c>
      <c r="W494" s="499" t="s">
        <v>3525</v>
      </c>
      <c r="X494" s="597" t="s">
        <v>3525</v>
      </c>
      <c r="Y494" s="988">
        <f>OBRA!AR494</f>
        <v>150371.5</v>
      </c>
      <c r="Z494" s="309"/>
      <c r="AA494" s="309"/>
      <c r="AB494" s="5"/>
      <c r="AC494" s="317">
        <f>OBRA!BW494</f>
        <v>0</v>
      </c>
      <c r="AD494" s="352" t="s">
        <v>551</v>
      </c>
    </row>
    <row r="495" spans="1:30" ht="121.5" hidden="1" customHeight="1">
      <c r="A495" s="22" t="str">
        <f>GRAL!G498</f>
        <v>OBRA</v>
      </c>
      <c r="B495" s="809" t="str">
        <f>GRAL!B498</f>
        <v>2018-2021</v>
      </c>
      <c r="C495" s="16">
        <f>OBRA!J495</f>
        <v>2020</v>
      </c>
      <c r="D495" s="17" t="str">
        <f>OBRA!M495</f>
        <v>RAMO 33</v>
      </c>
      <c r="E495" s="478" t="s">
        <v>1428</v>
      </c>
      <c r="F495" s="502" t="s">
        <v>3514</v>
      </c>
      <c r="G495" s="524" t="s">
        <v>3514</v>
      </c>
      <c r="H495" s="502" t="s">
        <v>3514</v>
      </c>
      <c r="I495" s="54" t="str">
        <f>OBRA!W495</f>
        <v>CONSTRUCCIÓN Y SUPERVISIÓN COMA S.A. DE C.V.</v>
      </c>
      <c r="J495" s="55" t="str">
        <f>OBRA!X495</f>
        <v>LIC. SALVADOR CONTRERAS OLGUÍN</v>
      </c>
      <c r="K495" s="33" t="str">
        <f>OBRA!N495</f>
        <v>GMJ 008C- OP/2020</v>
      </c>
      <c r="L495" s="2" t="str">
        <f>OBRA!O495</f>
        <v>ADJUDICACIÓN DIRECTA</v>
      </c>
      <c r="M495" s="3" t="str">
        <f>OBRA!P495</f>
        <v>"CONSTRUCCÓN DE EMPEDRADO AHOGADO EN CEMENTO EN CALLE HUASOYO ENTRE CALLE PROLONGACIÓN MORELOS Y CALLE RIVERA DEL LAGO" EN LA DELEGACIÓN DE CHANTEPEC, DEL MUNICIPIO DE JOCOTEPEC, JALISCO.</v>
      </c>
      <c r="N495" s="504" t="s">
        <v>3502</v>
      </c>
      <c r="O495" s="504"/>
      <c r="P495" s="6">
        <f>OBRA!S495</f>
        <v>43977</v>
      </c>
      <c r="Q495" s="4">
        <f>OBRA!R495</f>
        <v>755011.1</v>
      </c>
      <c r="R495" s="4"/>
      <c r="S495" s="5">
        <f>OBRA!T495</f>
        <v>43984</v>
      </c>
      <c r="T495" s="11">
        <f>OBRA!U495</f>
        <v>44037</v>
      </c>
      <c r="U495" s="53"/>
      <c r="V495" s="377" t="s">
        <v>1428</v>
      </c>
      <c r="W495" s="499" t="s">
        <v>3514</v>
      </c>
      <c r="X495" s="597" t="s">
        <v>3514</v>
      </c>
      <c r="Y495" s="987">
        <f>OBRA!AR495</f>
        <v>151002.22</v>
      </c>
      <c r="Z495" s="309"/>
      <c r="AA495" s="309"/>
      <c r="AB495" s="5"/>
      <c r="AC495" s="317">
        <f>OBRA!BW495</f>
        <v>0</v>
      </c>
      <c r="AD495" s="352"/>
    </row>
    <row r="496" spans="1:30" ht="103.5" hidden="1" customHeight="1">
      <c r="A496" s="22" t="str">
        <f>GRAL!G499</f>
        <v>OBRA</v>
      </c>
      <c r="B496" s="809" t="str">
        <f>GRAL!B499</f>
        <v>2018-2021</v>
      </c>
      <c r="C496" s="16">
        <f>OBRA!J496</f>
        <v>2020</v>
      </c>
      <c r="D496" s="17" t="str">
        <f>OBRA!M496</f>
        <v>RAMO 33</v>
      </c>
      <c r="E496" s="478" t="s">
        <v>1428</v>
      </c>
      <c r="F496" s="502" t="s">
        <v>3518</v>
      </c>
      <c r="G496" s="524" t="s">
        <v>3518</v>
      </c>
      <c r="H496" s="502" t="s">
        <v>3518</v>
      </c>
      <c r="I496" s="54" t="str">
        <f>OBRA!W496</f>
        <v>GRUPO ARANGE, S.A. DE C.V.</v>
      </c>
      <c r="J496" s="55" t="str">
        <f>OBRA!X496</f>
        <v>ING. LUIS RIGOBERTO OLMEDO NAVARRO</v>
      </c>
      <c r="K496" s="33" t="str">
        <f>OBRA!N496</f>
        <v>GMJ 009C- OP/2020</v>
      </c>
      <c r="L496" s="2" t="str">
        <f>OBRA!O496</f>
        <v>ADJUDICACIÓN DIRECTA</v>
      </c>
      <c r="M496" s="3" t="str">
        <f>OBRA!P496</f>
        <v>"CONSTRUCCIÓN DE EMPEDRADO NORMAL EN AVENIDA DE LOS MAESTROS DE CALLE ALLENDE A CALLE GUADALUPE VICTORIA" DE LA CABECERA MUNICIPAL, DE JOCOTEPEC, JALISCO</v>
      </c>
      <c r="N496" s="504" t="s">
        <v>3502</v>
      </c>
      <c r="O496" s="504"/>
      <c r="P496" s="6">
        <f>OBRA!S496</f>
        <v>44005</v>
      </c>
      <c r="Q496" s="4">
        <f>OBRA!R496</f>
        <v>317000</v>
      </c>
      <c r="R496" s="4"/>
      <c r="S496" s="5">
        <f>OBRA!T496</f>
        <v>44032</v>
      </c>
      <c r="T496" s="11">
        <f>OBRA!U496</f>
        <v>44063</v>
      </c>
      <c r="U496" s="53"/>
      <c r="V496" s="62" t="s">
        <v>1428</v>
      </c>
      <c r="W496" s="499" t="s">
        <v>3518</v>
      </c>
      <c r="X496" s="597" t="s">
        <v>3518</v>
      </c>
      <c r="Y496" s="988">
        <f>OBRA!AR496</f>
        <v>153450</v>
      </c>
      <c r="Z496" s="309"/>
      <c r="AA496" s="309"/>
      <c r="AB496" s="5"/>
      <c r="AC496" s="317">
        <f>OBRA!BW496</f>
        <v>0</v>
      </c>
      <c r="AD496" s="352" t="s">
        <v>551</v>
      </c>
    </row>
    <row r="497" spans="1:30" ht="108.75" hidden="1" customHeight="1">
      <c r="A497" s="22" t="str">
        <f>GRAL!G500</f>
        <v>OBRA</v>
      </c>
      <c r="B497" s="809" t="str">
        <f>GRAL!B500</f>
        <v>2018-2021</v>
      </c>
      <c r="C497" s="16">
        <f>OBRA!J497</f>
        <v>2020</v>
      </c>
      <c r="D497" s="17" t="str">
        <f>OBRA!M497</f>
        <v>RAMO 33</v>
      </c>
      <c r="E497" s="478" t="s">
        <v>1428</v>
      </c>
      <c r="F497" s="496" t="s">
        <v>3512</v>
      </c>
      <c r="G497" s="495" t="s">
        <v>3512</v>
      </c>
      <c r="H497" s="496" t="s">
        <v>3587</v>
      </c>
      <c r="I497" s="54" t="str">
        <f>OBRA!W497</f>
        <v>ING. OCTAVIO AUGUSTO GONZALEZ TREJO</v>
      </c>
      <c r="J497" s="55" t="str">
        <f>OBRA!X497</f>
        <v>LIC. SALVADOR CONTRERAS OLGUÍN</v>
      </c>
      <c r="K497" s="33" t="str">
        <f>OBRA!N497</f>
        <v>GMJ 010C- OP/2020</v>
      </c>
      <c r="L497" s="2" t="str">
        <f>OBRA!O497</f>
        <v>ADJUDICACIÓN DIRECTA</v>
      </c>
      <c r="M497" s="3" t="str">
        <f>OBRA!P497</f>
        <v>"CONSTRUCCIÓN DE EMPEDRADO NORMAL CON HUELLAS DE ADOQUÍN EN CALLE CUAUHTÉMOC 4TA. ETAPA" EN LA DELEGACIÓN DE CHANTEPEC, MUNICIPIO DE JOCOTEPEC, JALISCO.</v>
      </c>
      <c r="N497" s="504" t="s">
        <v>3502</v>
      </c>
      <c r="O497" s="504"/>
      <c r="P497" s="6">
        <f>OBRA!S497</f>
        <v>43974</v>
      </c>
      <c r="Q497" s="4">
        <f>OBRA!R497</f>
        <v>239360.13</v>
      </c>
      <c r="R497" s="4"/>
      <c r="S497" s="5">
        <f>OBRA!T497</f>
        <v>43976</v>
      </c>
      <c r="T497" s="11">
        <f>OBRA!U497</f>
        <v>43983</v>
      </c>
      <c r="U497" s="53"/>
      <c r="V497" s="377" t="s">
        <v>1428</v>
      </c>
      <c r="W497" s="499" t="s">
        <v>3587</v>
      </c>
      <c r="X497" s="597" t="s">
        <v>3587</v>
      </c>
      <c r="Y497" s="988">
        <f>OBRA!AR497</f>
        <v>47872.02</v>
      </c>
      <c r="Z497" s="309"/>
      <c r="AA497" s="309"/>
      <c r="AB497" s="5"/>
      <c r="AC497" s="317">
        <f>OBRA!BW497</f>
        <v>0</v>
      </c>
      <c r="AD497" s="352" t="s">
        <v>551</v>
      </c>
    </row>
    <row r="498" spans="1:30" ht="105" hidden="1" customHeight="1">
      <c r="A498" s="22" t="str">
        <f>GRAL!G501</f>
        <v>OBRA</v>
      </c>
      <c r="B498" s="809" t="str">
        <f>GRAL!B501</f>
        <v>2018-2021</v>
      </c>
      <c r="C498" s="16">
        <f>OBRA!J498</f>
        <v>2020</v>
      </c>
      <c r="D498" s="17" t="str">
        <f>OBRA!M498</f>
        <v>CUENTA CORRIENTE</v>
      </c>
      <c r="E498" s="478" t="s">
        <v>1428</v>
      </c>
      <c r="F498" s="496" t="s">
        <v>3513</v>
      </c>
      <c r="G498" s="495" t="s">
        <v>3513</v>
      </c>
      <c r="H498" s="496" t="s">
        <v>3588</v>
      </c>
      <c r="I498" s="54" t="str">
        <f>OBRA!W498</f>
        <v>ING. OCTAVIO AUGUSTO GONZALEZ TREJO</v>
      </c>
      <c r="J498" s="55" t="str">
        <f>OBRA!X498</f>
        <v>LIC. SALVADOR CONTRERAS OLGUÍN</v>
      </c>
      <c r="K498" s="33" t="str">
        <f>OBRA!N498</f>
        <v>GMJ 011C- OP/2020</v>
      </c>
      <c r="L498" s="2" t="str">
        <f>OBRA!O498</f>
        <v>ADJUDICACIÓN DIRECTA</v>
      </c>
      <c r="M498" s="3" t="str">
        <f>OBRA!P498</f>
        <v>"CONSTRUCCIÓN DE EMPEDRADO NORMAL CON HUELLAS DE ADOQUÍN EN CALLE CUAUHTÉMOC 5TA. ETAPA" EN LA DELEGACIÓN DE CHANTEPEC, MUNICIPIO DE JOCOTEPEC, JALISCO.</v>
      </c>
      <c r="N498" s="504" t="s">
        <v>3503</v>
      </c>
      <c r="O498" s="504"/>
      <c r="P498" s="6">
        <f>OBRA!S498</f>
        <v>43978</v>
      </c>
      <c r="Q498" s="4">
        <f>OBRA!R498</f>
        <v>410553.76</v>
      </c>
      <c r="R498" s="4"/>
      <c r="S498" s="5">
        <f>OBRA!T498</f>
        <v>43952</v>
      </c>
      <c r="T498" s="11">
        <f>OBRA!U498</f>
        <v>43987</v>
      </c>
      <c r="U498" s="53"/>
      <c r="V498" s="377" t="s">
        <v>1428</v>
      </c>
      <c r="W498" s="499" t="s">
        <v>3588</v>
      </c>
      <c r="X498" s="597" t="s">
        <v>3588</v>
      </c>
      <c r="Y498" s="988">
        <f>OBRA!AR498</f>
        <v>82110.740000000005</v>
      </c>
      <c r="Z498" s="309"/>
      <c r="AA498" s="309"/>
      <c r="AB498" s="5"/>
      <c r="AC498" s="317">
        <f>OBRA!BW498</f>
        <v>0</v>
      </c>
      <c r="AD498" s="352" t="s">
        <v>551</v>
      </c>
    </row>
    <row r="499" spans="1:30" ht="129" hidden="1" customHeight="1">
      <c r="A499" s="22" t="str">
        <f>GRAL!G502</f>
        <v>OBRA</v>
      </c>
      <c r="B499" s="809" t="str">
        <f>GRAL!B502</f>
        <v>2018-2021</v>
      </c>
      <c r="C499" s="16">
        <f>OBRA!J499</f>
        <v>2020</v>
      </c>
      <c r="D499" s="17" t="str">
        <f>OBRA!M499</f>
        <v>RAMO 33</v>
      </c>
      <c r="E499" s="478" t="s">
        <v>1428</v>
      </c>
      <c r="F499" s="163"/>
      <c r="G499" s="495" t="s">
        <v>3526</v>
      </c>
      <c r="H499" s="496" t="s">
        <v>3526</v>
      </c>
      <c r="I499" s="54" t="str">
        <f>OBRA!W499</f>
        <v xml:space="preserve">INFRAESTRUCTURA Y EDIFICACIONES OROZCO S.A. DE C.V. </v>
      </c>
      <c r="J499" s="55" t="str">
        <f>OBRA!X499</f>
        <v>ING. J. GUADALUPE IBARRA RAMIREZ</v>
      </c>
      <c r="K499" s="33" t="str">
        <f>OBRA!N499</f>
        <v>GMJ 012C- OP/2020</v>
      </c>
      <c r="L499" s="2" t="str">
        <f>OBRA!O499</f>
        <v>ADJUDICACIÓN DIRECTA</v>
      </c>
      <c r="M499" s="3" t="str">
        <f>OBRA!P499</f>
        <v>"CONSTRUCCIÓN DE REDES HIDROSANITARIAS Y SUPERFICIE DE RODAMIENTO EN LA CALLE LOS ANGELES ENTRE PRIVADA ALDAMA Y CERRADA" DE LA CABECERA MUNICIPAL, DE JOCOTEPEC, JALISCO.</v>
      </c>
      <c r="N499" s="504" t="s">
        <v>3503</v>
      </c>
      <c r="O499" s="504"/>
      <c r="P499" s="67">
        <f>OBRA!S499</f>
        <v>43987</v>
      </c>
      <c r="Q499" s="4">
        <f>OBRA!R499</f>
        <v>1306545.6299999999</v>
      </c>
      <c r="R499" s="4"/>
      <c r="S499" s="5">
        <f>OBRA!T499</f>
        <v>43990</v>
      </c>
      <c r="T499" s="11">
        <f>OBRA!U499</f>
        <v>44057</v>
      </c>
      <c r="U499" s="53"/>
      <c r="V499" s="377" t="s">
        <v>1428</v>
      </c>
      <c r="W499" s="508"/>
      <c r="X499" s="509"/>
      <c r="Y499" s="340">
        <f>OBRA!AR499</f>
        <v>391963.68</v>
      </c>
      <c r="Z499" s="309"/>
      <c r="AA499" s="309"/>
      <c r="AB499" s="5"/>
      <c r="AC499" s="317">
        <f>OBRA!BW499</f>
        <v>0</v>
      </c>
      <c r="AD499" s="352"/>
    </row>
    <row r="500" spans="1:30" ht="140.25" hidden="1" customHeight="1">
      <c r="A500" s="22" t="str">
        <f>GRAL!G503</f>
        <v>OBRA</v>
      </c>
      <c r="B500" s="809" t="str">
        <f>GRAL!B503</f>
        <v>2018-2021</v>
      </c>
      <c r="C500" s="16">
        <f>OBRA!J500</f>
        <v>2020</v>
      </c>
      <c r="D500" s="17" t="str">
        <f>OBRA!M500</f>
        <v>RAMO 33</v>
      </c>
      <c r="E500" s="478" t="s">
        <v>1428</v>
      </c>
      <c r="F500" s="502" t="s">
        <v>3527</v>
      </c>
      <c r="G500" s="524" t="s">
        <v>3527</v>
      </c>
      <c r="H500" s="502" t="s">
        <v>3527</v>
      </c>
      <c r="I500" s="54" t="str">
        <f>OBRA!W500</f>
        <v>GRUPO CONSTRUCTOR EDVI SA DE CV</v>
      </c>
      <c r="J500" s="55" t="str">
        <f>OBRA!X500</f>
        <v>ING. LUIS RIGOBERTO OLMEDO NAVARRO</v>
      </c>
      <c r="K500" s="33" t="str">
        <f>OBRA!N500</f>
        <v>GMJ 013C- OP/2020</v>
      </c>
      <c r="L500" s="2" t="str">
        <f>OBRA!O500</f>
        <v>ADJUDICACIÓN DIRECTA</v>
      </c>
      <c r="M500" s="3" t="str">
        <f>OBRA!P500</f>
        <v>"CONSTRUCCIÓN DE REDES HIDROSANITARIAS Y CONSTRUCCIÒN DE EMPEDRADO NORMAL CON HUELLAS DE CONCRETO EN CALLE PRIVADA VERANO DE CALLE VERANO A CERRADA" DE LA CABECERA MUNICIPAL, DE JOCOTEPEC, JALISCO.</v>
      </c>
      <c r="N500" s="504" t="s">
        <v>3503</v>
      </c>
      <c r="O500" s="504"/>
      <c r="P500" s="67">
        <f>OBRA!S500</f>
        <v>43994</v>
      </c>
      <c r="Q500" s="4">
        <f>OBRA!R500</f>
        <v>281826.5</v>
      </c>
      <c r="R500" s="4"/>
      <c r="S500" s="5">
        <f>OBRA!T500</f>
        <v>43997</v>
      </c>
      <c r="T500" s="11">
        <f>OBRA!U500</f>
        <v>44011</v>
      </c>
      <c r="U500" s="53"/>
      <c r="V500" s="377" t="s">
        <v>1428</v>
      </c>
      <c r="W500" s="499" t="s">
        <v>3527</v>
      </c>
      <c r="X500" s="597" t="s">
        <v>3527</v>
      </c>
      <c r="Y500" s="340">
        <f>OBRA!AR500</f>
        <v>56365.3</v>
      </c>
      <c r="Z500" s="309"/>
      <c r="AA500" s="309"/>
      <c r="AB500" s="5"/>
      <c r="AC500" s="317">
        <f>OBRA!BW500</f>
        <v>0</v>
      </c>
      <c r="AD500" s="352" t="s">
        <v>551</v>
      </c>
    </row>
    <row r="501" spans="1:30" ht="120" hidden="1" customHeight="1">
      <c r="A501" s="22" t="str">
        <f>GRAL!G504</f>
        <v>OBRA</v>
      </c>
      <c r="B501" s="809" t="str">
        <f>GRAL!B504</f>
        <v>2018-2021</v>
      </c>
      <c r="C501" s="16">
        <f>OBRA!J501</f>
        <v>2020</v>
      </c>
      <c r="D501" s="17" t="str">
        <f>OBRA!M501</f>
        <v>RAMO 33</v>
      </c>
      <c r="E501" s="478" t="s">
        <v>1428</v>
      </c>
      <c r="F501" s="496" t="s">
        <v>3520</v>
      </c>
      <c r="G501" s="878"/>
      <c r="H501" s="502" t="s">
        <v>3520</v>
      </c>
      <c r="I501" s="54" t="str">
        <f>OBRA!W501</f>
        <v>GRUPO ARANGE, S.A. DE C.V.</v>
      </c>
      <c r="J501" s="55" t="str">
        <f>OBRA!X501</f>
        <v>LIC. SALVADOR CONTRERAS OLGUÍN</v>
      </c>
      <c r="K501" s="33" t="str">
        <f>OBRA!N501</f>
        <v>GMJ 014C- OP/2020</v>
      </c>
      <c r="L501" s="2" t="str">
        <f>OBRA!O501</f>
        <v>ADJUDICACIÓN DIRECTA</v>
      </c>
      <c r="M501" s="3" t="str">
        <f>OBRA!P501</f>
        <v>"CONSTRUCCIÓN DE RED DE DRENAJE Y CONSTRUCCIÓN DE RED DE AGUA POTABLE EN CALLE GUADALUPE VICTORIA ENTRE AVENIDA DE LOS MAESTROS Y FILOSOFOS" DE LA CABECERA MUNICIPAL, DE JOCOTEPEC, JALISCO.</v>
      </c>
      <c r="N501" s="504" t="s">
        <v>3503</v>
      </c>
      <c r="O501" s="504"/>
      <c r="P501" s="67">
        <f>OBRA!S501</f>
        <v>43994</v>
      </c>
      <c r="Q501" s="79">
        <f>OBRA!R501</f>
        <v>241381.67</v>
      </c>
      <c r="R501" s="79"/>
      <c r="S501" s="5">
        <f>OBRA!T501</f>
        <v>44000</v>
      </c>
      <c r="T501" s="11">
        <f>OBRA!U501</f>
        <v>44030</v>
      </c>
      <c r="U501" s="53"/>
      <c r="V501" s="62" t="s">
        <v>1428</v>
      </c>
      <c r="W501" s="499" t="s">
        <v>3520</v>
      </c>
      <c r="X501" s="597" t="s">
        <v>3520</v>
      </c>
      <c r="Y501" s="340">
        <f>OBRA!AR501</f>
        <v>48276.2</v>
      </c>
      <c r="Z501" s="309"/>
      <c r="AA501" s="309"/>
      <c r="AB501" s="5"/>
      <c r="AC501" s="317">
        <f>OBRA!BW501</f>
        <v>0</v>
      </c>
      <c r="AD501" s="352"/>
    </row>
    <row r="502" spans="1:30" ht="106.5" hidden="1" customHeight="1">
      <c r="A502" s="22" t="str">
        <f>GRAL!G505</f>
        <v>OBRA</v>
      </c>
      <c r="B502" s="809" t="str">
        <f>GRAL!B505</f>
        <v>2018-2021</v>
      </c>
      <c r="C502" s="16">
        <f>OBRA!J502</f>
        <v>2020</v>
      </c>
      <c r="D502" s="17" t="str">
        <f>OBRA!M502</f>
        <v>CUENTA CORRIENTE</v>
      </c>
      <c r="E502" s="478" t="s">
        <v>1428</v>
      </c>
      <c r="F502" s="496" t="s">
        <v>3521</v>
      </c>
      <c r="G502" s="219"/>
      <c r="H502" s="1108"/>
      <c r="I502" s="54" t="str">
        <f>OBRA!W502</f>
        <v>GRUPO CONSTRUCOR PAVIMAQ, S.A. DE C.V.</v>
      </c>
      <c r="J502" s="55" t="str">
        <f>OBRA!X502</f>
        <v>ARQ. CESAR ANTONIO ALONSO JIMENEZ</v>
      </c>
      <c r="K502" s="33" t="str">
        <f>OBRA!N502</f>
        <v>GMJ 015C- OP/2020</v>
      </c>
      <c r="L502" s="2" t="str">
        <f>OBRA!O502</f>
        <v>ADJUDICACIÓN DIRECTA</v>
      </c>
      <c r="M502" s="3" t="str">
        <f>OBRA!P502</f>
        <v>"CONSTRUCCIÓN DE LÍNEA DE DRENAJE SANITARIO Y LINEA DE AGUA POTABLE EN CALLE GUADALUPE VICTORIA ENTRE FILOSOFOS Y CIENTIFICOS" DE LA CABECERA MUNICIPAL, DE JOCOTEPEC, JALISCO.</v>
      </c>
      <c r="N502" s="504" t="s">
        <v>3503</v>
      </c>
      <c r="O502" s="504"/>
      <c r="P502" s="6">
        <f>OBRA!S502</f>
        <v>44012</v>
      </c>
      <c r="Q502" s="4">
        <f>OBRA!R502</f>
        <v>232396.73</v>
      </c>
      <c r="R502" s="4"/>
      <c r="S502" s="5">
        <f>OBRA!T502</f>
        <v>44046</v>
      </c>
      <c r="T502" s="11">
        <f>OBRA!U502</f>
        <v>44099</v>
      </c>
      <c r="U502" s="53"/>
      <c r="V502" s="377" t="s">
        <v>1428</v>
      </c>
      <c r="W502" s="508"/>
      <c r="X502" s="509"/>
      <c r="Y502" s="280">
        <f>OBRA!AR502</f>
        <v>48410.119999999995</v>
      </c>
      <c r="Z502" s="309"/>
      <c r="AA502" s="309"/>
      <c r="AB502" s="5"/>
      <c r="AC502" s="317">
        <f>OBRA!BW502</f>
        <v>0</v>
      </c>
      <c r="AD502" s="352"/>
    </row>
    <row r="503" spans="1:30" ht="75" hidden="1" customHeight="1">
      <c r="A503" s="22" t="str">
        <f>GRAL!G506</f>
        <v>OBRA</v>
      </c>
      <c r="B503" s="809" t="str">
        <f>GRAL!B506</f>
        <v>2018-2021</v>
      </c>
      <c r="C503" s="16">
        <f>OBRA!J503</f>
        <v>2020</v>
      </c>
      <c r="D503" s="17" t="str">
        <f>OBRA!M503</f>
        <v>CUENTA CORRIENTE</v>
      </c>
      <c r="E503" s="478" t="s">
        <v>1428</v>
      </c>
      <c r="F503" s="496" t="s">
        <v>3596</v>
      </c>
      <c r="G503" s="495" t="s">
        <v>3596</v>
      </c>
      <c r="H503" s="496" t="s">
        <v>3596</v>
      </c>
      <c r="I503" s="54" t="str">
        <f>OBRA!W503</f>
        <v>SERVICIO Y CONSTRUCCIÓN NATENIO S.A. DE C.V.</v>
      </c>
      <c r="J503" s="55" t="str">
        <f>OBRA!X503</f>
        <v>ING. J. GUADALUPE IBARRA RAMIREZ</v>
      </c>
      <c r="K503" s="33" t="str">
        <f>OBRA!N503</f>
        <v>GMJ 016C- OP/2020</v>
      </c>
      <c r="L503" s="2" t="str">
        <f>OBRA!O503</f>
        <v>ADJUDICACIÓN DIRECTA</v>
      </c>
      <c r="M503" s="3" t="str">
        <f>OBRA!P503</f>
        <v>"COLOCACIÓN DE EMPEDRADO AHOGADO EN CEMENTO CALLE JAVIER MINA ENTRE CALLE SIN NOMBRE Y ALLENDE" EN LA LOCALIDAD DE EL MOLINO DEL MUNICIPIO DE JOCOTEPEC, JALISCO.</v>
      </c>
      <c r="N503" s="504" t="s">
        <v>3503</v>
      </c>
      <c r="O503" s="504"/>
      <c r="P503" s="67">
        <f>OBRA!S503</f>
        <v>44007</v>
      </c>
      <c r="Q503" s="79">
        <f>OBRA!R503</f>
        <v>302749.5</v>
      </c>
      <c r="R503" s="79"/>
      <c r="S503" s="5">
        <f>OBRA!T503</f>
        <v>44008</v>
      </c>
      <c r="T503" s="11">
        <f>OBRA!U503</f>
        <v>44074</v>
      </c>
      <c r="U503" s="53"/>
      <c r="V503" s="206" t="s">
        <v>1428</v>
      </c>
      <c r="W503" s="499" t="s">
        <v>3596</v>
      </c>
      <c r="X503" s="597" t="s">
        <v>3596</v>
      </c>
      <c r="Y503" s="340">
        <f>OBRA!AR503</f>
        <v>60549</v>
      </c>
      <c r="Z503" s="309"/>
      <c r="AA503" s="309"/>
      <c r="AB503" s="5"/>
      <c r="AC503" s="317">
        <f>OBRA!BW503</f>
        <v>0</v>
      </c>
      <c r="AD503" s="352" t="s">
        <v>551</v>
      </c>
    </row>
    <row r="504" spans="1:30" ht="122.25" hidden="1" customHeight="1">
      <c r="A504" s="22" t="str">
        <f>GRAL!G507</f>
        <v>OBRA</v>
      </c>
      <c r="B504" s="809" t="str">
        <f>GRAL!B507</f>
        <v>2018-2021</v>
      </c>
      <c r="C504" s="16">
        <f>OBRA!J504</f>
        <v>2020</v>
      </c>
      <c r="D504" s="17" t="str">
        <f>OBRA!M504</f>
        <v>CUENTA CORRIENTE</v>
      </c>
      <c r="E504" s="478" t="s">
        <v>1428</v>
      </c>
      <c r="F504" s="496" t="s">
        <v>3597</v>
      </c>
      <c r="G504" s="495" t="s">
        <v>3597</v>
      </c>
      <c r="H504" s="496" t="s">
        <v>3597</v>
      </c>
      <c r="I504" s="54" t="str">
        <f>OBRA!W504</f>
        <v>SERVICIO Y CONSTRUCCIÓN NATENIO S.A. DE C.V.</v>
      </c>
      <c r="J504" s="55" t="str">
        <f>OBRA!X504</f>
        <v>ING. J. GUADALUPE IBARRA RAMIREZ</v>
      </c>
      <c r="K504" s="33" t="str">
        <f>OBRA!N504</f>
        <v>GMJ 017C- OP/2020</v>
      </c>
      <c r="L504" s="2" t="str">
        <f>OBRA!O504</f>
        <v>ADJUDICACIÓN DIRECTA</v>
      </c>
      <c r="M504" s="3" t="str">
        <f>OBRA!P504</f>
        <v>"CONSTRUCCION DE EMPEDRADO AHOGADO EN CEMENTO EN CALLE MATAMOROS DE JAVIER MINA Y CALLE SIN NOMBRE" DE LA LOCALIDAD DE EL MOLINO, DEL MUNICIPIO DE JOCOTEPEC, JALISCO.</v>
      </c>
      <c r="N504" s="504" t="s">
        <v>3503</v>
      </c>
      <c r="O504" s="504"/>
      <c r="P504" s="6">
        <f>OBRA!S504</f>
        <v>44012</v>
      </c>
      <c r="Q504" s="4">
        <f>OBRA!R504</f>
        <v>423536.77</v>
      </c>
      <c r="R504" s="4"/>
      <c r="S504" s="5">
        <f>OBRA!T504</f>
        <v>44018</v>
      </c>
      <c r="T504" s="11">
        <f>OBRA!U504</f>
        <v>44104</v>
      </c>
      <c r="U504" s="53"/>
      <c r="V504" s="377" t="s">
        <v>1428</v>
      </c>
      <c r="W504" s="499" t="s">
        <v>3597</v>
      </c>
      <c r="X504" s="597" t="s">
        <v>3597</v>
      </c>
      <c r="Y504" s="340">
        <f>OBRA!AR504</f>
        <v>84707.34</v>
      </c>
      <c r="Z504" s="309"/>
      <c r="AA504" s="309"/>
      <c r="AB504" s="5"/>
      <c r="AC504" s="317">
        <f>OBRA!BW504</f>
        <v>0</v>
      </c>
      <c r="AD504" s="352" t="s">
        <v>551</v>
      </c>
    </row>
    <row r="505" spans="1:30" ht="76.5" hidden="1" customHeight="1">
      <c r="A505" s="22" t="str">
        <f>GRAL!G508</f>
        <v>OBRA</v>
      </c>
      <c r="B505" s="809" t="str">
        <f>GRAL!B508</f>
        <v>2018-2021</v>
      </c>
      <c r="C505" s="16">
        <f>OBRA!J505</f>
        <v>2020</v>
      </c>
      <c r="D505" s="17" t="str">
        <f>OBRA!M505</f>
        <v>RAMO 33</v>
      </c>
      <c r="E505" s="478" t="s">
        <v>1428</v>
      </c>
      <c r="F505" s="163"/>
      <c r="G505" s="495" t="s">
        <v>3598</v>
      </c>
      <c r="H505" s="163"/>
      <c r="I505" s="54" t="str">
        <f>OBRA!W505</f>
        <v>JESSICA MONSERRAT RIVERA TORRES</v>
      </c>
      <c r="J505" s="55" t="str">
        <f>OBRA!X505</f>
        <v>ING. RIGOBERTO OLMEDO RAMOS</v>
      </c>
      <c r="K505" s="33" t="str">
        <f>OBRA!N505</f>
        <v>GMJ 018C- OP/2020</v>
      </c>
      <c r="L505" s="2" t="str">
        <f>OBRA!O505</f>
        <v>ADJUDICACIÓN DIRECTA</v>
      </c>
      <c r="M505" s="3" t="str">
        <f>OBRA!P505</f>
        <v>"EQUIPAMIENTO DE POZO PROFUNDO DE AGUA POTABLE" EN LA AGENCIA MINICIPAL DE CHANTEPEC, DEL MUNICIPIO DE JOCOTEPEC, JALISCO.</v>
      </c>
      <c r="N505" s="504" t="s">
        <v>3503</v>
      </c>
      <c r="O505" s="504"/>
      <c r="P505" s="6">
        <f>OBRA!S505</f>
        <v>44019</v>
      </c>
      <c r="Q505" s="4">
        <f>OBRA!R505</f>
        <v>174784.71</v>
      </c>
      <c r="R505" s="4"/>
      <c r="S505" s="5">
        <f>OBRA!T505</f>
        <v>44032</v>
      </c>
      <c r="T505" s="11">
        <f>OBRA!U505</f>
        <v>44051</v>
      </c>
      <c r="U505" s="53"/>
      <c r="V505" s="377" t="s">
        <v>1428</v>
      </c>
      <c r="W505" s="535"/>
      <c r="X505" s="597" t="s">
        <v>3598</v>
      </c>
      <c r="Y505" s="340">
        <f>OBRA!AR505</f>
        <v>61174.65</v>
      </c>
      <c r="Z505" s="309"/>
      <c r="AA505" s="309"/>
      <c r="AB505" s="5"/>
      <c r="AC505" s="317">
        <f>OBRA!BW505</f>
        <v>0</v>
      </c>
      <c r="AD505" s="352"/>
    </row>
    <row r="506" spans="1:30" ht="78" hidden="1" customHeight="1">
      <c r="A506" s="22" t="str">
        <f>GRAL!G509</f>
        <v>OBRA</v>
      </c>
      <c r="B506" s="809" t="str">
        <f>GRAL!B509</f>
        <v>2018-2021</v>
      </c>
      <c r="C506" s="16">
        <f>OBRA!J506</f>
        <v>2020</v>
      </c>
      <c r="D506" s="17" t="str">
        <f>OBRA!M506</f>
        <v>RAMO 33</v>
      </c>
      <c r="E506" s="478" t="s">
        <v>1428</v>
      </c>
      <c r="F506" s="146" t="s">
        <v>1177</v>
      </c>
      <c r="G506" s="2" t="s">
        <v>1177</v>
      </c>
      <c r="H506" s="496" t="s">
        <v>3599</v>
      </c>
      <c r="I506" s="54" t="str">
        <f>OBRA!W506</f>
        <v>JESSICA MONSERRAT RIVERA TORRES</v>
      </c>
      <c r="J506" s="55" t="str">
        <f>OBRA!X506</f>
        <v>ING. RIGOBERTO OLMEDO RAMOS</v>
      </c>
      <c r="K506" s="33" t="str">
        <f>OBRA!N506</f>
        <v>GMJ 019C- OP/2020</v>
      </c>
      <c r="L506" s="2" t="str">
        <f>OBRA!O506</f>
        <v>ADJUDICACIÓN DIRECTA</v>
      </c>
      <c r="M506" s="3" t="str">
        <f>OBRA!P506</f>
        <v>"REHABILITACIÓN DE POZO PROFUNDO DE AGUA POTABLE EN LA AGENCIA DE NEXTIPAC", DEL MUNICIPIO DE JOCOTEPEC, JALISCO.</v>
      </c>
      <c r="N506" s="504" t="s">
        <v>3503</v>
      </c>
      <c r="O506" s="504"/>
      <c r="P506" s="67">
        <f>OBRA!S506</f>
        <v>44019</v>
      </c>
      <c r="Q506" s="79">
        <f>OBRA!R506</f>
        <v>165908.29999999999</v>
      </c>
      <c r="R506" s="79"/>
      <c r="S506" s="5">
        <f>OBRA!T506</f>
        <v>44032</v>
      </c>
      <c r="T506" s="11">
        <f>OBRA!U506</f>
        <v>44051</v>
      </c>
      <c r="U506" s="53"/>
      <c r="V506" s="62" t="s">
        <v>1428</v>
      </c>
      <c r="W506" s="201" t="s">
        <v>1177</v>
      </c>
      <c r="X506" s="205" t="s">
        <v>1177</v>
      </c>
      <c r="Y506" s="340">
        <f>OBRA!AR506</f>
        <v>41477.089999999997</v>
      </c>
      <c r="Z506" s="309"/>
      <c r="AA506" s="309"/>
      <c r="AB506" s="5"/>
      <c r="AC506" s="317">
        <f>OBRA!BW506</f>
        <v>0</v>
      </c>
      <c r="AD506" s="352" t="s">
        <v>551</v>
      </c>
    </row>
    <row r="507" spans="1:30" ht="15" hidden="1" customHeight="1">
      <c r="A507" s="22" t="str">
        <f>GRAL!G510</f>
        <v>OBRA</v>
      </c>
      <c r="B507" s="809" t="str">
        <f>GRAL!B510</f>
        <v>2018-2021</v>
      </c>
      <c r="C507" s="16">
        <f>OBRA!J507</f>
        <v>2020</v>
      </c>
      <c r="D507" s="632">
        <f>OBRA!M507</f>
        <v>0</v>
      </c>
      <c r="E507" s="1170"/>
      <c r="F507" s="1108"/>
      <c r="G507" s="219"/>
      <c r="H507" s="1108"/>
      <c r="I507" s="1200">
        <f>OBRA!W507</f>
        <v>0</v>
      </c>
      <c r="J507" s="1088">
        <f>OBRA!X507</f>
        <v>0</v>
      </c>
      <c r="K507" s="255" t="str">
        <f>OBRA!N507</f>
        <v>GMJ 020C- OP/2020</v>
      </c>
      <c r="L507" s="510" t="str">
        <f>OBRA!O507</f>
        <v>CANCELADA</v>
      </c>
      <c r="M507" s="541" t="str">
        <f>OBRA!P507</f>
        <v>CONTRATO CANCELADO</v>
      </c>
      <c r="N507" s="541"/>
      <c r="O507" s="541"/>
      <c r="P507" s="195">
        <f>OBRA!S507</f>
        <v>0</v>
      </c>
      <c r="Q507" s="63">
        <f>OBRA!R507</f>
        <v>0</v>
      </c>
      <c r="R507" s="63"/>
      <c r="S507" s="474">
        <f>OBRA!T507</f>
        <v>0</v>
      </c>
      <c r="T507" s="509">
        <f>OBRA!U507</f>
        <v>0</v>
      </c>
      <c r="U507" s="692"/>
      <c r="V507" s="377" t="s">
        <v>1428</v>
      </c>
      <c r="W507" s="508"/>
      <c r="X507" s="509"/>
      <c r="Y507" s="280">
        <f>OBRA!AR507</f>
        <v>0</v>
      </c>
      <c r="Z507" s="309"/>
      <c r="AA507" s="309"/>
      <c r="AB507" s="5"/>
      <c r="AC507" s="317">
        <f>OBRA!BW507</f>
        <v>0</v>
      </c>
      <c r="AD507" s="352"/>
    </row>
    <row r="508" spans="1:30" ht="141" hidden="1" customHeight="1">
      <c r="A508" s="22" t="str">
        <f>GRAL!G511</f>
        <v>OBRA</v>
      </c>
      <c r="B508" s="809" t="str">
        <f>GRAL!B511</f>
        <v>2018-2021</v>
      </c>
      <c r="C508" s="16">
        <f>OBRA!J508</f>
        <v>2020</v>
      </c>
      <c r="D508" s="17" t="str">
        <f>OBRA!M508</f>
        <v>RAMO 33</v>
      </c>
      <c r="E508" s="478" t="s">
        <v>1428</v>
      </c>
      <c r="F508" s="496" t="s">
        <v>3516</v>
      </c>
      <c r="G508" s="495" t="s">
        <v>3516</v>
      </c>
      <c r="H508" s="496" t="s">
        <v>3516</v>
      </c>
      <c r="I508" s="54" t="str">
        <f>OBRA!W508</f>
        <v xml:space="preserve">DESARROLLO DAP S.A. DE C.V. </v>
      </c>
      <c r="J508" s="55" t="str">
        <f>OBRA!X508</f>
        <v>ARQ. JAIME CONDE GOMEZ</v>
      </c>
      <c r="K508" s="33" t="str">
        <f>OBRA!N508</f>
        <v>GMJ 021C- OP/2020</v>
      </c>
      <c r="L508" s="2" t="str">
        <f>OBRA!O508</f>
        <v>ADJUDICACIÓN DIRECTA</v>
      </c>
      <c r="M508" s="3" t="str">
        <f>OBRA!P508</f>
        <v>"CONSTRUCCIÓN DE EMPEDRADO NORMAL CON HUELLAS DE CONCRETO EN CALLE EMILIANO ZAPATA ENTRE PIPILA Y CALLE CERRADA" DE LA LOCALIDAD DE ZAPOTITÁN DE HIDALGO, EL MUNICIPIO DE JOCOTEPEC, JALISCO.</v>
      </c>
      <c r="N508" s="466" t="s">
        <v>3504</v>
      </c>
      <c r="O508" s="466"/>
      <c r="P508" s="67">
        <f>OBRA!S508</f>
        <v>44021</v>
      </c>
      <c r="Q508" s="79">
        <f>OBRA!R508</f>
        <v>773550.52</v>
      </c>
      <c r="R508" s="79"/>
      <c r="S508" s="5">
        <f>OBRA!T508</f>
        <v>44032</v>
      </c>
      <c r="T508" s="11">
        <f>OBRA!U508</f>
        <v>44077</v>
      </c>
      <c r="U508" s="53"/>
      <c r="V508" s="62" t="s">
        <v>1428</v>
      </c>
      <c r="W508" s="499" t="s">
        <v>3516</v>
      </c>
      <c r="X508" s="597" t="s">
        <v>3516</v>
      </c>
      <c r="Y508" s="340">
        <f>OBRA!AR508</f>
        <v>348563.12</v>
      </c>
      <c r="Z508" s="309"/>
      <c r="AA508" s="309"/>
      <c r="AB508" s="5"/>
      <c r="AC508" s="317">
        <f>OBRA!BW508</f>
        <v>0</v>
      </c>
      <c r="AD508" s="352" t="s">
        <v>551</v>
      </c>
    </row>
    <row r="509" spans="1:30" ht="213.75" hidden="1" customHeight="1">
      <c r="A509" s="22" t="str">
        <f>GRAL!G512</f>
        <v>OBRA</v>
      </c>
      <c r="B509" s="809" t="str">
        <f>GRAL!B512</f>
        <v>2018-2021</v>
      </c>
      <c r="C509" s="16">
        <f>OBRA!J509</f>
        <v>2020</v>
      </c>
      <c r="D509" s="17" t="str">
        <f>OBRA!M509</f>
        <v>RAMO 33</v>
      </c>
      <c r="E509" s="478" t="s">
        <v>1428</v>
      </c>
      <c r="F509" s="496" t="s">
        <v>3528</v>
      </c>
      <c r="G509" s="495" t="s">
        <v>3528</v>
      </c>
      <c r="H509" s="163"/>
      <c r="I509" s="54" t="str">
        <f>OBRA!W509</f>
        <v xml:space="preserve">BAUEN INGENIERÍA Y MAQUINARIA S.A. DE C.V. </v>
      </c>
      <c r="J509" s="55" t="str">
        <f>OBRA!X509</f>
        <v>ARQ. JAIME CONDE GOMEZ</v>
      </c>
      <c r="K509" s="33" t="str">
        <f>OBRA!N509</f>
        <v>GMJ 022C- OP/2020</v>
      </c>
      <c r="L509" s="2" t="str">
        <f>OBRA!O509</f>
        <v>ADJUDICACIÓN DIRECTA</v>
      </c>
      <c r="M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6" t="s">
        <v>3504</v>
      </c>
      <c r="O509" s="466"/>
      <c r="P509" s="6">
        <f>OBRA!S509</f>
        <v>44021</v>
      </c>
      <c r="Q509" s="4">
        <f>OBRA!R509</f>
        <v>844236.05</v>
      </c>
      <c r="R509" s="4"/>
      <c r="S509" s="5">
        <f>OBRA!T509</f>
        <v>44027</v>
      </c>
      <c r="T509" s="11">
        <f>OBRA!U509</f>
        <v>44088</v>
      </c>
      <c r="U509" s="53"/>
      <c r="V509" s="377" t="s">
        <v>1428</v>
      </c>
      <c r="W509" s="499" t="s">
        <v>3528</v>
      </c>
      <c r="X509" s="597" t="s">
        <v>3528</v>
      </c>
      <c r="Y509" s="340">
        <f>OBRA!AR509</f>
        <v>168847.22</v>
      </c>
      <c r="Z509" s="309"/>
      <c r="AA509" s="309"/>
      <c r="AB509" s="5"/>
      <c r="AC509" s="317">
        <f>OBRA!BW509</f>
        <v>0</v>
      </c>
      <c r="AD509" s="352"/>
    </row>
    <row r="510" spans="1:30" ht="80.25" hidden="1" customHeight="1">
      <c r="A510" s="22" t="str">
        <f>GRAL!G513</f>
        <v>OBRA</v>
      </c>
      <c r="B510" s="809" t="str">
        <f>GRAL!B513</f>
        <v>2018-2021</v>
      </c>
      <c r="C510" s="16">
        <f>OBRA!J510</f>
        <v>2020</v>
      </c>
      <c r="D510" s="17" t="str">
        <f>OBRA!M510</f>
        <v>RAMO 33</v>
      </c>
      <c r="E510" s="478" t="s">
        <v>1428</v>
      </c>
      <c r="F510" s="163"/>
      <c r="G510" s="495" t="s">
        <v>3600</v>
      </c>
      <c r="H510" s="496" t="s">
        <v>3600</v>
      </c>
      <c r="I510" s="54" t="str">
        <f>OBRA!W510</f>
        <v>JESSICA MONSERRAT RIVERA TORRES</v>
      </c>
      <c r="J510" s="55" t="str">
        <f>OBRA!X510</f>
        <v>ING. RIGOBERTO OLMEDO RAMOS</v>
      </c>
      <c r="K510" s="33" t="str">
        <f>OBRA!N510</f>
        <v>GMJ 023C- OP/2020</v>
      </c>
      <c r="L510" s="2" t="str">
        <f>OBRA!O510</f>
        <v>ADJUDICACIÓN DIRECTA</v>
      </c>
      <c r="M510" s="3" t="str">
        <f>OBRA!P510</f>
        <v xml:space="preserve">"REHABILITACIÓN DE POZO PROFUNDO DE AGUA POTABLE EN CALLE JOSE SANTANA", EN LA CABECERA MUNICIPAL DE JOCOTEPEC, JALISCO </v>
      </c>
      <c r="N510" s="466" t="s">
        <v>3504</v>
      </c>
      <c r="O510" s="466"/>
      <c r="P510" s="67">
        <f>OBRA!S510</f>
        <v>44019</v>
      </c>
      <c r="Q510" s="79">
        <f>OBRA!R510</f>
        <v>189588.54</v>
      </c>
      <c r="R510" s="79"/>
      <c r="S510" s="5">
        <f>OBRA!T510</f>
        <v>44032</v>
      </c>
      <c r="T510" s="11">
        <f>OBRA!U510</f>
        <v>44051</v>
      </c>
      <c r="U510" s="53"/>
      <c r="V510" s="62" t="s">
        <v>1428</v>
      </c>
      <c r="W510" s="499" t="s">
        <v>3600</v>
      </c>
      <c r="X510" s="597" t="s">
        <v>3600</v>
      </c>
      <c r="Y510" s="340">
        <f>OBRA!AR510</f>
        <v>66356</v>
      </c>
      <c r="Z510" s="309"/>
      <c r="AA510" s="309"/>
      <c r="AB510" s="5"/>
      <c r="AC510" s="317">
        <f>OBRA!BW510</f>
        <v>0</v>
      </c>
      <c r="AD510" s="352"/>
    </row>
    <row r="511" spans="1:30" ht="155.25" hidden="1" customHeight="1">
      <c r="A511" s="22" t="str">
        <f>GRAL!G514</f>
        <v>OBRA</v>
      </c>
      <c r="B511" s="809" t="str">
        <f>GRAL!B514</f>
        <v>2018-2021</v>
      </c>
      <c r="C511" s="16">
        <f>OBRA!J511</f>
        <v>2020</v>
      </c>
      <c r="D511" s="17" t="str">
        <f>OBRA!M511</f>
        <v>RAMO 33</v>
      </c>
      <c r="E511" s="478" t="s">
        <v>1428</v>
      </c>
      <c r="F511" s="496" t="s">
        <v>3508</v>
      </c>
      <c r="G511" s="495" t="s">
        <v>3508</v>
      </c>
      <c r="H511" s="163"/>
      <c r="I511" s="54" t="str">
        <f>OBRA!W511</f>
        <v>ING. SERGIO CABRERA</v>
      </c>
      <c r="J511" s="55" t="str">
        <f>OBRA!X511</f>
        <v>ING. LUIS RIGOBERTO OLMEDO NAVARRO</v>
      </c>
      <c r="K511" s="33" t="str">
        <f>OBRA!N511</f>
        <v>GMJ 024C- OP/2020</v>
      </c>
      <c r="L511" s="2" t="str">
        <f>OBRA!O511</f>
        <v>ADJUDICACIÓN DIRECTA</v>
      </c>
      <c r="M511" s="3" t="str">
        <f>OBRA!P511</f>
        <v>"REHABILITACIÓN DE RED DE DRENAJE SANITARIO CON REPOSICIÓN DE SUPERFICIE DE RODAMIENTO EN CALLE XÓCHITL 2DA ETAPA DEL CADENAMIENTO 00+200 A LA CALLE CUAUHTÉMOC EN LA DELEGACIÓN DE CHANTEPEC, MUNICIPIO DE JOCOTEPEC, JALISCO.</v>
      </c>
      <c r="N511" s="466" t="s">
        <v>3504</v>
      </c>
      <c r="O511" s="466"/>
      <c r="P511" s="6">
        <f>OBRA!S511</f>
        <v>44028</v>
      </c>
      <c r="Q511" s="4">
        <f>OBRA!R511</f>
        <v>1003699.45</v>
      </c>
      <c r="R511" s="4"/>
      <c r="S511" s="5">
        <f>OBRA!T511</f>
        <v>44032</v>
      </c>
      <c r="T511" s="11">
        <f>OBRA!U511</f>
        <v>44089</v>
      </c>
      <c r="U511" s="53"/>
      <c r="V511" s="377" t="s">
        <v>1428</v>
      </c>
      <c r="W511" s="499" t="s">
        <v>3508</v>
      </c>
      <c r="X511" s="597" t="s">
        <v>3508</v>
      </c>
      <c r="Y511" s="279">
        <f>OBRA!AR511</f>
        <v>451664.74</v>
      </c>
      <c r="Z511" s="309"/>
      <c r="AA511" s="309"/>
      <c r="AB511" s="5"/>
      <c r="AC511" s="317">
        <f>OBRA!BW511</f>
        <v>0</v>
      </c>
      <c r="AD511" s="352"/>
    </row>
    <row r="512" spans="1:30" ht="177" hidden="1" customHeight="1">
      <c r="A512" s="22" t="str">
        <f>GRAL!G515</f>
        <v>OBRA</v>
      </c>
      <c r="B512" s="809" t="str">
        <f>GRAL!B515</f>
        <v>2018-2021</v>
      </c>
      <c r="C512" s="16">
        <f>OBRA!J512</f>
        <v>2020</v>
      </c>
      <c r="D512" s="17" t="str">
        <f>OBRA!M512</f>
        <v>RAMO 33</v>
      </c>
      <c r="E512" s="478" t="s">
        <v>1428</v>
      </c>
      <c r="F512" s="496" t="s">
        <v>3507</v>
      </c>
      <c r="G512" s="495" t="s">
        <v>3507</v>
      </c>
      <c r="H512" s="163"/>
      <c r="I512" s="54" t="str">
        <f>OBRA!W512</f>
        <v>ING. SERGIO CABRERA</v>
      </c>
      <c r="J512" s="55" t="str">
        <f>OBRA!X512</f>
        <v>ING. LUIS RIGOBERTO OLMEDO NAVARRO</v>
      </c>
      <c r="K512" s="33" t="str">
        <f>OBRA!N512</f>
        <v>GMJ 025C- OP/2020</v>
      </c>
      <c r="L512" s="2" t="str">
        <f>OBRA!O512</f>
        <v>ADJUDICACIÓN DIRECTA</v>
      </c>
      <c r="M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6" t="s">
        <v>3504</v>
      </c>
      <c r="O512" s="466"/>
      <c r="P512" s="6">
        <f>OBRA!S512</f>
        <v>44028</v>
      </c>
      <c r="Q512" s="4">
        <f>OBRA!R512</f>
        <v>961974.96</v>
      </c>
      <c r="R512" s="4"/>
      <c r="S512" s="5">
        <f>OBRA!T512</f>
        <v>44032</v>
      </c>
      <c r="T512" s="11">
        <f>OBRA!U512</f>
        <v>44089</v>
      </c>
      <c r="U512" s="53"/>
      <c r="V512" s="377" t="s">
        <v>1428</v>
      </c>
      <c r="W512" s="499" t="s">
        <v>3507</v>
      </c>
      <c r="X512" s="597" t="s">
        <v>3507</v>
      </c>
      <c r="Y512" s="279">
        <f>OBRA!AR512</f>
        <v>432888.71</v>
      </c>
      <c r="Z512" s="309"/>
      <c r="AA512" s="309"/>
      <c r="AB512" s="5"/>
      <c r="AC512" s="317">
        <f>OBRA!BW512</f>
        <v>0</v>
      </c>
      <c r="AD512" s="352"/>
    </row>
    <row r="513" spans="1:30" ht="152.25" hidden="1" customHeight="1">
      <c r="A513" s="22" t="str">
        <f>GRAL!G516</f>
        <v>OBRA</v>
      </c>
      <c r="B513" s="809" t="str">
        <f>GRAL!B516</f>
        <v>2018-2021</v>
      </c>
      <c r="C513" s="16">
        <f>OBRA!J513</f>
        <v>2020</v>
      </c>
      <c r="D513" s="17" t="str">
        <f>OBRA!M513</f>
        <v>RAMO 33</v>
      </c>
      <c r="E513" s="478" t="s">
        <v>1428</v>
      </c>
      <c r="F513" s="496" t="s">
        <v>3519</v>
      </c>
      <c r="G513" s="495" t="s">
        <v>3519</v>
      </c>
      <c r="H513" s="496" t="s">
        <v>3519</v>
      </c>
      <c r="I513" s="54" t="str">
        <f>OBRA!W513</f>
        <v>ALSERCON SA DE CV</v>
      </c>
      <c r="J513" s="55" t="str">
        <f>OBRA!X513</f>
        <v>ARQ. CESAR ANTONIO ALONSO JIMENEZ</v>
      </c>
      <c r="K513" s="33" t="str">
        <f>OBRA!N513</f>
        <v>GMJ 026C- OP/2020</v>
      </c>
      <c r="L513" s="2" t="str">
        <f>OBRA!O513</f>
        <v>ADJUDICACIÓN DIRECTA</v>
      </c>
      <c r="M513" s="3" t="str">
        <f>OBRA!P513</f>
        <v>"REHABILITACIÓN DE BANQUETAS Y SUPERFICIE DE RODAMIENTO EN INGRESO PRINCIPAL EN CALLE XÓCHITL DE CARRETERA JOCOTEPEC-CHAPALA A LA CALLE CUAUHTÉMOC" EN LA DELEGACIÓN DE CHANTEPEC, MUNICIPIO DE JOCOTEPEC, JALISCO.</v>
      </c>
      <c r="N513" s="504" t="s">
        <v>3504</v>
      </c>
      <c r="O513" s="504"/>
      <c r="P513" s="6">
        <f>OBRA!S513</f>
        <v>44076</v>
      </c>
      <c r="Q513" s="4">
        <f>OBRA!R513</f>
        <v>720809.67</v>
      </c>
      <c r="R513" s="4"/>
      <c r="S513" s="5">
        <f>OBRA!T513</f>
        <v>44069</v>
      </c>
      <c r="T513" s="11">
        <f>OBRA!U513</f>
        <v>44142</v>
      </c>
      <c r="U513" s="53"/>
      <c r="V513" s="377" t="s">
        <v>1428</v>
      </c>
      <c r="W513" s="508"/>
      <c r="X513" s="509"/>
      <c r="Y513" s="340">
        <f>OBRA!AR513</f>
        <v>334528.5</v>
      </c>
      <c r="Z513" s="508"/>
      <c r="AA513" s="309">
        <v>44144</v>
      </c>
      <c r="AB513" s="5">
        <v>101641.54</v>
      </c>
      <c r="AC513" s="317" t="s">
        <v>3552</v>
      </c>
      <c r="AD513" s="352"/>
    </row>
    <row r="514" spans="1:30" ht="83.25" hidden="1" customHeight="1">
      <c r="A514" s="22" t="str">
        <f>GRAL!G517</f>
        <v>OBRA</v>
      </c>
      <c r="B514" s="809" t="str">
        <f>GRAL!B517</f>
        <v>2018-2021</v>
      </c>
      <c r="C514" s="16">
        <f>OBRA!J514</f>
        <v>2020</v>
      </c>
      <c r="D514" s="17" t="str">
        <f>OBRA!M514</f>
        <v>RAMO 33</v>
      </c>
      <c r="E514" s="478" t="s">
        <v>1428</v>
      </c>
      <c r="F514" s="163"/>
      <c r="G514" s="495" t="s">
        <v>3619</v>
      </c>
      <c r="H514" s="163"/>
      <c r="I514" s="54" t="str">
        <f>OBRA!W514</f>
        <v>CONVADI, S.A. DE C.V.</v>
      </c>
      <c r="J514" s="55" t="str">
        <f>OBRA!X514</f>
        <v>ING. J. GUADALUPE IBARRA RAMIREZ</v>
      </c>
      <c r="K514" s="33" t="str">
        <f>OBRA!N514</f>
        <v>GMJ 027C- OP/2020</v>
      </c>
      <c r="L514" s="2" t="str">
        <f>OBRA!O514</f>
        <v>CONCURSO SIMPLIFICADO SUMARIO</v>
      </c>
      <c r="M514" s="3" t="str">
        <f>OBRA!P514</f>
        <v>"CONSTRUCCIÓN DE POZO PROFUNDO EN CALLE ALLENDE NORTE" EN LA CABECERA MUNICIPAL DE JOCOTEPEC, JALISCO</v>
      </c>
      <c r="N514" s="504" t="s">
        <v>3504</v>
      </c>
      <c r="O514" s="504"/>
      <c r="P514" s="67">
        <f>OBRA!S514</f>
        <v>44007</v>
      </c>
      <c r="Q514" s="79">
        <f>OBRA!R514</f>
        <v>2630623.62</v>
      </c>
      <c r="R514" s="79"/>
      <c r="S514" s="5">
        <f>OBRA!T514</f>
        <v>44008</v>
      </c>
      <c r="T514" s="11">
        <f>OBRA!U514</f>
        <v>44099</v>
      </c>
      <c r="U514" s="53"/>
      <c r="V514" s="377" t="s">
        <v>1428</v>
      </c>
      <c r="W514" s="499" t="s">
        <v>3619</v>
      </c>
      <c r="X514" s="597" t="s">
        <v>3619</v>
      </c>
      <c r="Y514" s="280">
        <f>OBRA!AR514</f>
        <v>263173.42</v>
      </c>
      <c r="Z514" s="309"/>
      <c r="AA514" s="309"/>
      <c r="AB514" s="5"/>
      <c r="AC514" s="317">
        <f>OBRA!BW514</f>
        <v>0</v>
      </c>
      <c r="AD514" s="352"/>
    </row>
    <row r="515" spans="1:30" ht="15" hidden="1" customHeight="1">
      <c r="A515" s="22" t="str">
        <f>GRAL!G520</f>
        <v>OBRA</v>
      </c>
      <c r="B515" s="809" t="str">
        <f>GRAL!B520</f>
        <v>2018-2021</v>
      </c>
      <c r="C515" s="16">
        <f>OBRA!J515</f>
        <v>2020</v>
      </c>
      <c r="D515" s="17" t="str">
        <f>OBRA!M515</f>
        <v>FOCOCI</v>
      </c>
      <c r="E515" s="1170"/>
      <c r="F515" s="1108"/>
      <c r="G515" s="219"/>
      <c r="H515" s="1108"/>
      <c r="I515" s="54" t="str">
        <f>OBRA!W515</f>
        <v>ING. SERGIO CABRERA</v>
      </c>
      <c r="J515" s="55" t="str">
        <f>OBRA!X515</f>
        <v>ARQ. EDUARDO ROMERO CARRILLO</v>
      </c>
      <c r="K515" s="33" t="str">
        <f>OBRA!N515</f>
        <v>FOCOCI-OP-CSS-028/2020</v>
      </c>
      <c r="L515" s="2" t="str">
        <f>OBRA!O515</f>
        <v>CONCURSO SIMPLIFICADO SUMARIO</v>
      </c>
      <c r="M515" s="3" t="str">
        <f>OBRA!P515</f>
        <v>CONSTRUCCIÓN Y EQUIPAMIENTO DE PLAZA PRINCIPAL EN CHANTEPEC, MUNICIPIO DE JOCOTEPEC, JALISCO.</v>
      </c>
      <c r="N515" s="541"/>
      <c r="O515" s="541"/>
      <c r="P515" s="6">
        <f>OBRA!S515</f>
        <v>44120</v>
      </c>
      <c r="Q515" s="4">
        <f>OBRA!R515</f>
        <v>8270578.4299999997</v>
      </c>
      <c r="R515" s="4"/>
      <c r="S515" s="5">
        <f>OBRA!T515</f>
        <v>44123</v>
      </c>
      <c r="T515" s="11">
        <f>OBRA!U515</f>
        <v>44176</v>
      </c>
      <c r="U515" s="53"/>
      <c r="V515" s="377" t="s">
        <v>1428</v>
      </c>
      <c r="W515" s="508"/>
      <c r="X515" s="509"/>
      <c r="Y515" s="280">
        <f>OBRA!AR515</f>
        <v>1654115.68</v>
      </c>
      <c r="Z515" s="309"/>
      <c r="AA515" s="309"/>
      <c r="AB515" s="5"/>
      <c r="AC515" s="317">
        <f>OBRA!BW515</f>
        <v>0</v>
      </c>
      <c r="AD515" s="352"/>
    </row>
    <row r="516" spans="1:30" ht="15" hidden="1" customHeight="1">
      <c r="A516" s="22" t="str">
        <f>GRAL!G521</f>
        <v>OBRA</v>
      </c>
      <c r="B516" s="809" t="str">
        <f>GRAL!B521</f>
        <v>2018-2021</v>
      </c>
      <c r="C516" s="16">
        <f>OBRA!J516</f>
        <v>2020</v>
      </c>
      <c r="D516" s="17" t="str">
        <f>OBRA!M516</f>
        <v>FOCOCI</v>
      </c>
      <c r="E516" s="1170"/>
      <c r="F516" s="1108"/>
      <c r="G516" s="219"/>
      <c r="H516" s="1108"/>
      <c r="I516" s="54" t="str">
        <f>OBRA!W516</f>
        <v xml:space="preserve">SOJO SERVICIOS DE INGENIERIA Y OBRAS, S.A. DE C.V. </v>
      </c>
      <c r="J516" s="1088" t="str">
        <f>OBRA!X516</f>
        <v>ARQ. EDUARDO ROMERO CARRILLO</v>
      </c>
      <c r="K516" s="33" t="str">
        <f>OBRA!N516</f>
        <v>FOCOCI-OP-CSS-029/2020</v>
      </c>
      <c r="L516" s="2" t="str">
        <f>OBRA!O516</f>
        <v>CONCURSO SIMPLIFICADO SUMARIO</v>
      </c>
      <c r="M516" s="3" t="str">
        <f>OBRA!P516</f>
        <v>CONSTRUCCIÓN Y EQUIPAMIENTO DE PLAZA PRINCIPAL EN CHANTEPEC MUNICIPIO DE JOCOTEPEC, JALISCO". (CONSTRUCCIÓN DE EDIFICIO ADMINISTRATIVO)</v>
      </c>
      <c r="N516" s="541"/>
      <c r="O516" s="541"/>
      <c r="P516" s="6">
        <f>OBRA!S516</f>
        <v>44485</v>
      </c>
      <c r="Q516" s="4">
        <f>OBRA!R516</f>
        <v>1729413</v>
      </c>
      <c r="R516" s="4"/>
      <c r="S516" s="5">
        <f>OBRA!T516</f>
        <v>44123</v>
      </c>
      <c r="T516" s="11">
        <f>OBRA!U516</f>
        <v>44196</v>
      </c>
      <c r="U516" s="53"/>
      <c r="V516" s="377" t="s">
        <v>1428</v>
      </c>
      <c r="W516" s="508"/>
      <c r="X516" s="509"/>
      <c r="Y516" s="280">
        <f>OBRA!AR516</f>
        <v>345882.6</v>
      </c>
      <c r="Z516" s="309"/>
      <c r="AA516" s="309"/>
      <c r="AB516" s="5"/>
      <c r="AC516" s="317">
        <f>OBRA!BW516</f>
        <v>0</v>
      </c>
      <c r="AD516" s="352"/>
    </row>
    <row r="517" spans="1:30" ht="15" hidden="1" customHeight="1">
      <c r="A517" s="22" t="e">
        <f>GRAL!#REF!</f>
        <v>#REF!</v>
      </c>
      <c r="B517" s="809" t="e">
        <f>GRAL!#REF!</f>
        <v>#REF!</v>
      </c>
      <c r="C517" s="16">
        <f>OBRA!J517</f>
        <v>2020</v>
      </c>
      <c r="D517" s="17" t="str">
        <f>OBRA!M517</f>
        <v>FOCOCI</v>
      </c>
      <c r="E517" s="1170"/>
      <c r="F517" s="1108"/>
      <c r="G517" s="219"/>
      <c r="H517" s="1108"/>
      <c r="I517" s="54" t="str">
        <f>OBRA!W517</f>
        <v xml:space="preserve">DESARROLLO DAP S.A. DE C.V. </v>
      </c>
      <c r="J517" s="55" t="str">
        <f>OBRA!X517</f>
        <v>LIC. SALVADOR CONTRERAS OLGUÍN</v>
      </c>
      <c r="K517" s="33" t="str">
        <f>OBRA!N517</f>
        <v>FOCOCI-OP-CSS-030/2020</v>
      </c>
      <c r="L517" s="2" t="str">
        <f>OBRA!O517</f>
        <v>CONCURSO SIMPLIFICADO SUMARIO</v>
      </c>
      <c r="M517" s="3" t="str">
        <f>OBRA!P517</f>
        <v>OBRA CIVIL "INTERVENCIÓN Y RESTAURACIÓN DE MERCADO MUNICIPAL MORELOS”, UBICADO EN CALLE MORELOS EN LA CABECERA MUNICIPAL DE JOCOTEPEC, JALISCO.</v>
      </c>
      <c r="N517" s="541"/>
      <c r="O517" s="541"/>
      <c r="P517" s="6">
        <f>OBRA!S517</f>
        <v>44110</v>
      </c>
      <c r="Q517" s="4">
        <f>OBRA!R517</f>
        <v>4896549.54</v>
      </c>
      <c r="R517" s="4"/>
      <c r="S517" s="5">
        <f>OBRA!T517</f>
        <v>44130</v>
      </c>
      <c r="T517" s="11">
        <f>OBRA!U517</f>
        <v>44196</v>
      </c>
      <c r="U517" s="53"/>
      <c r="V517" s="377" t="s">
        <v>1428</v>
      </c>
      <c r="W517" s="508"/>
      <c r="X517" s="509"/>
      <c r="Y517" s="280">
        <f>OBRA!AR517</f>
        <v>1034084.78</v>
      </c>
      <c r="Z517" s="309"/>
      <c r="AA517" s="309"/>
      <c r="AB517" s="5"/>
      <c r="AC517" s="317">
        <f>OBRA!BW517</f>
        <v>0</v>
      </c>
      <c r="AD517" s="352"/>
    </row>
    <row r="518" spans="1:30" ht="15" hidden="1" customHeight="1">
      <c r="A518" s="22" t="e">
        <f>GRAL!#REF!</f>
        <v>#REF!</v>
      </c>
      <c r="B518" s="809" t="e">
        <f>GRAL!#REF!</f>
        <v>#REF!</v>
      </c>
      <c r="C518" s="16">
        <f>OBRA!J518</f>
        <v>2020</v>
      </c>
      <c r="D518" s="17" t="str">
        <f>OBRA!M518</f>
        <v>FOCOCI</v>
      </c>
      <c r="E518" s="1170"/>
      <c r="F518" s="1108"/>
      <c r="G518" s="219"/>
      <c r="H518" s="1108"/>
      <c r="I518" s="54" t="str">
        <f>OBRA!W518</f>
        <v xml:space="preserve">JUAN PABLO BALLESTEROS ARREOLA </v>
      </c>
      <c r="J518" s="55" t="str">
        <f>OBRA!X518</f>
        <v>LIC. SALVADOR CONTRERAS OLGUÍN</v>
      </c>
      <c r="K518" s="33" t="str">
        <f>OBRA!N518</f>
        <v>FOCOCI-OP-CSS-031/2020</v>
      </c>
      <c r="L518" s="2" t="str">
        <f>OBRA!O518</f>
        <v>CONCURSO SIMPLIFICADO SUMARIO</v>
      </c>
      <c r="M518" s="3" t="str">
        <f>OBRA!P518</f>
        <v>"INTERVENCIÓN Y RESTAURACIÓN DE MERCADO MUNICIPAL MORELOS”, UBICADO EN CALLE MORELOS EN LA CABECERA MUNICIPAL DE JOCOTEPEC, JALISCO</v>
      </c>
      <c r="N518" s="541"/>
      <c r="O518" s="541"/>
      <c r="P518" s="6">
        <f>OBRA!S518</f>
        <v>44110</v>
      </c>
      <c r="Q518" s="4">
        <f>OBRA!R518</f>
        <v>4629575.57</v>
      </c>
      <c r="R518" s="4"/>
      <c r="S518" s="5">
        <f>OBRA!T518</f>
        <v>44164</v>
      </c>
      <c r="T518" s="11">
        <f>OBRA!U518</f>
        <v>44185</v>
      </c>
      <c r="U518" s="53"/>
      <c r="V518" s="377" t="s">
        <v>1428</v>
      </c>
      <c r="W518" s="508"/>
      <c r="X518" s="509"/>
      <c r="Y518" s="280">
        <f>OBRA!AR518</f>
        <v>925915.1</v>
      </c>
      <c r="Z518" s="309"/>
      <c r="AA518" s="309"/>
      <c r="AB518" s="5"/>
      <c r="AC518" s="317">
        <f>OBRA!BW518</f>
        <v>0</v>
      </c>
      <c r="AD518" s="352"/>
    </row>
    <row r="519" spans="1:30" ht="99.75" hidden="1" customHeight="1">
      <c r="A519" s="22" t="str">
        <f>GRAL!G522</f>
        <v>OBRA</v>
      </c>
      <c r="B519" s="809" t="str">
        <f>GRAL!B522</f>
        <v>2018-2021</v>
      </c>
      <c r="C519" s="16">
        <f>OBRA!J519</f>
        <v>2020</v>
      </c>
      <c r="D519" s="17" t="str">
        <f>OBRA!M519</f>
        <v>RAMO 33</v>
      </c>
      <c r="E519" s="478" t="s">
        <v>1428</v>
      </c>
      <c r="F519" s="163"/>
      <c r="G519" s="495" t="s">
        <v>3620</v>
      </c>
      <c r="H519" s="496" t="s">
        <v>3620</v>
      </c>
      <c r="I519" s="54" t="str">
        <f>OBRA!W519</f>
        <v>SERVICIO Y CONSTRUCCIÓN NATENIO S.A. DE C.V.</v>
      </c>
      <c r="J519" s="55" t="str">
        <f>OBRA!X519</f>
        <v>LIC. SALVADOR CONTRERAS OLGUÍN</v>
      </c>
      <c r="K519" s="33" t="str">
        <f>OBRA!N519</f>
        <v>GMJ 032C- OP/2020</v>
      </c>
      <c r="L519" s="2" t="str">
        <f>OBRA!O519</f>
        <v>ADJUDICACIÓN DIRECTA</v>
      </c>
      <c r="M519" s="3" t="str">
        <f>OBRA!P519</f>
        <v>"CONSTRUCCIÓN DE LÍNEA DE DRENAJE SANITARIO EN PRIVADA RAÚL RAMÍREZ", EN LA LOCALIDAD DE SAN JUAN COSALA DEL MUNICIPIO DE JOCOTEPEC, JALISCO.</v>
      </c>
      <c r="N519" s="466" t="s">
        <v>3504</v>
      </c>
      <c r="O519" s="466"/>
      <c r="P519" s="6">
        <f>OBRA!S519</f>
        <v>44155</v>
      </c>
      <c r="Q519" s="4">
        <f>OBRA!R519</f>
        <v>287771.56</v>
      </c>
      <c r="R519" s="4"/>
      <c r="S519" s="5">
        <f>OBRA!T519</f>
        <v>44165</v>
      </c>
      <c r="T519" s="11">
        <f>OBRA!U519</f>
        <v>44180</v>
      </c>
      <c r="U519" s="53"/>
      <c r="V519" s="62" t="s">
        <v>1428</v>
      </c>
      <c r="W519" s="499" t="s">
        <v>3620</v>
      </c>
      <c r="X519" s="597" t="s">
        <v>3620</v>
      </c>
      <c r="Y519" s="340">
        <f>OBRA!AR519</f>
        <v>57554.3</v>
      </c>
      <c r="Z519" s="309"/>
      <c r="AA519" s="309"/>
      <c r="AB519" s="5"/>
      <c r="AC519" s="317">
        <f>OBRA!BW519</f>
        <v>0</v>
      </c>
      <c r="AD519" s="352"/>
    </row>
    <row r="520" spans="1:30" ht="84.75" hidden="1" customHeight="1">
      <c r="A520" s="22" t="str">
        <f>GRAL!G523</f>
        <v>OBRA</v>
      </c>
      <c r="B520" s="809" t="str">
        <f>GRAL!B523</f>
        <v>2018-2021</v>
      </c>
      <c r="C520" s="16">
        <f>OBRA!J520</f>
        <v>2020</v>
      </c>
      <c r="D520" s="18" t="str">
        <f>OBRA!M520</f>
        <v>RESCATE AL PATRIMONIO</v>
      </c>
      <c r="E520" s="1011" t="s">
        <v>3522</v>
      </c>
      <c r="F520" s="496" t="s">
        <v>3523</v>
      </c>
      <c r="G520" s="495" t="s">
        <v>3523</v>
      </c>
      <c r="H520" s="496" t="s">
        <v>3523</v>
      </c>
      <c r="I520" s="54" t="str">
        <f>OBRA!W520</f>
        <v>CONSTRUCCIONES ADMAYAL, S.A. DE C.V</v>
      </c>
      <c r="J520" s="55" t="str">
        <f>OBRA!X520</f>
        <v>ING. LUIS RIGOBERTO OLMEDO NAVARRO</v>
      </c>
      <c r="K520" s="33" t="str">
        <f>OBRA!N520</f>
        <v>GMJ 033C- OP/2020</v>
      </c>
      <c r="L520" s="2" t="str">
        <f>OBRA!O520</f>
        <v>ADJUDICACIÓN DIRECTA</v>
      </c>
      <c r="M520" s="3" t="str">
        <f>OBRA!P520</f>
        <v>"REMOZAMIENTO Y MEJORAMIENTO DE IMAGEN URBANA EN EL TEMPLO DEL SEÑOR DEL MONTE” EN LA CABECERA MUNICIPAL DE JOCOTEPEC, JALISCO</v>
      </c>
      <c r="N520" s="504" t="s">
        <v>3505</v>
      </c>
      <c r="O520" s="504"/>
      <c r="P520" s="6">
        <f>OBRA!S520</f>
        <v>44158</v>
      </c>
      <c r="Q520" s="4">
        <f>OBRA!R520</f>
        <v>1600000</v>
      </c>
      <c r="R520" s="4"/>
      <c r="S520" s="5">
        <f>OBRA!T520</f>
        <v>44166</v>
      </c>
      <c r="T520" s="11">
        <f>OBRA!U520</f>
        <v>44189</v>
      </c>
      <c r="U520" s="53"/>
      <c r="V520" s="203"/>
      <c r="W520" s="535"/>
      <c r="X520" s="437"/>
      <c r="Y520" s="280">
        <f>OBRA!AR520</f>
        <v>320000</v>
      </c>
      <c r="Z520" s="309"/>
      <c r="AA520" s="309"/>
      <c r="AB520" s="5"/>
      <c r="AC520" s="317">
        <f>OBRA!BW520</f>
        <v>0</v>
      </c>
      <c r="AD520" s="352"/>
    </row>
    <row r="521" spans="1:30" ht="114.75" hidden="1" customHeight="1">
      <c r="A521" s="22" t="e">
        <f>GRAL!#REF!</f>
        <v>#REF!</v>
      </c>
      <c r="B521" s="809" t="e">
        <f>GRAL!#REF!</f>
        <v>#REF!</v>
      </c>
      <c r="C521" s="16">
        <f>OBRA!J521</f>
        <v>2020</v>
      </c>
      <c r="D521" s="17" t="str">
        <f>OBRA!M521</f>
        <v>RAMO 33</v>
      </c>
      <c r="E521" s="478" t="s">
        <v>1428</v>
      </c>
      <c r="F521" s="496" t="s">
        <v>3621</v>
      </c>
      <c r="G521" s="510"/>
      <c r="H521" s="496" t="s">
        <v>3621</v>
      </c>
      <c r="I521" s="54" t="str">
        <f>OBRA!W521</f>
        <v>CONSTRUCCIÓN Y SUPERVISIÓN COMA S.A. DE C.V.</v>
      </c>
      <c r="J521" s="55" t="str">
        <f>OBRA!X521</f>
        <v>ARQ. CESAR ANTONIO ALONSO JIMENEZ</v>
      </c>
      <c r="K521" s="33" t="str">
        <f>OBRA!N521</f>
        <v>GMJ 034C- OP/2020</v>
      </c>
      <c r="L521" s="2" t="str">
        <f>OBRA!O521</f>
        <v>ADJUDICACIÓN DIRECTA</v>
      </c>
      <c r="M521" s="3" t="str">
        <f>OBRA!P521</f>
        <v>"REHABILITACIÓN DE LÍNEAS HIDROSANITARIAS En CALLE CHAPULTEPEC ENTRE VICENTE GUERRERO Y CARRETERA FEDERAL Nº 15 ”, EN LA CABECERA MUNICIPAL DE JOCOTEPEC, JALISCO.</v>
      </c>
      <c r="N521" s="504" t="s">
        <v>3505</v>
      </c>
      <c r="O521" s="504"/>
      <c r="P521" s="6">
        <f>OBRA!S521</f>
        <v>44168</v>
      </c>
      <c r="Q521" s="4">
        <f>OBRA!R521</f>
        <v>914194.81</v>
      </c>
      <c r="R521" s="4"/>
      <c r="S521" s="5">
        <f>OBRA!T521</f>
        <v>44169</v>
      </c>
      <c r="T521" s="11">
        <f>OBRA!U521</f>
        <v>44180</v>
      </c>
      <c r="U521" s="53"/>
      <c r="V521" s="62" t="s">
        <v>1428</v>
      </c>
      <c r="W521" s="499" t="s">
        <v>3621</v>
      </c>
      <c r="X521" s="597" t="s">
        <v>3621</v>
      </c>
      <c r="Y521" s="340">
        <f>OBRA!AR521</f>
        <v>411389.14999999997</v>
      </c>
      <c r="Z521" s="309"/>
      <c r="AA521" s="309"/>
      <c r="AB521" s="5"/>
      <c r="AC521" s="317">
        <f>OBRA!BW521</f>
        <v>0</v>
      </c>
      <c r="AD521" s="352"/>
    </row>
    <row r="522" spans="1:30" ht="83.25" hidden="1" customHeight="1">
      <c r="A522" s="22" t="str">
        <f>GRAL!G524</f>
        <v>OBRA</v>
      </c>
      <c r="B522" s="809" t="str">
        <f>GRAL!B524</f>
        <v>2018-2021</v>
      </c>
      <c r="C522" s="16">
        <f>OBRA!J522</f>
        <v>2020</v>
      </c>
      <c r="D522" s="17" t="str">
        <f>OBRA!M522</f>
        <v>RASTRO DIGNO</v>
      </c>
      <c r="E522" s="1011" t="s">
        <v>3522</v>
      </c>
      <c r="F522" s="163"/>
      <c r="G522" s="510"/>
      <c r="H522" s="163"/>
      <c r="I522" s="54" t="str">
        <f>OBRA!W522</f>
        <v>ALSERCON SA DE CV</v>
      </c>
      <c r="J522" s="55" t="str">
        <f>OBRA!X522</f>
        <v>ARQ. JAIME CONDE GOMEZ</v>
      </c>
      <c r="K522" s="33" t="str">
        <f>OBRA!N522</f>
        <v>GMJ 035C- OP/2020</v>
      </c>
      <c r="L522" s="2" t="str">
        <f>OBRA!O522</f>
        <v>ADJUDICACIÓN DIRECTA</v>
      </c>
      <c r="M522" s="3" t="str">
        <f>OBRA!P522</f>
        <v>OBRA CIVIL "REHABILITACIÓN DEL RASTRO MUNICIPAL 2DA ETAPA", DE LA CABECERA MUNICIPAL DE JOCOTEPEC, JALISCO.</v>
      </c>
      <c r="N522" s="504" t="s">
        <v>3505</v>
      </c>
      <c r="O522" s="504"/>
      <c r="P522" s="67">
        <f>OBRA!S522</f>
        <v>44195</v>
      </c>
      <c r="Q522" s="79">
        <f>OBRA!R522</f>
        <v>537866.98</v>
      </c>
      <c r="R522" s="79"/>
      <c r="S522" s="5">
        <f>OBRA!T522</f>
        <v>44195</v>
      </c>
      <c r="T522" s="11">
        <f>OBRA!U522</f>
        <v>44227</v>
      </c>
      <c r="U522" s="53"/>
      <c r="V522" s="203"/>
      <c r="W522" s="535"/>
      <c r="X522" s="437"/>
      <c r="Y522" s="280">
        <f>OBRA!AR522</f>
        <v>0</v>
      </c>
      <c r="Z522" s="309"/>
      <c r="AA522" s="309"/>
      <c r="AB522" s="5"/>
      <c r="AC522" s="317">
        <f>OBRA!BW522</f>
        <v>0</v>
      </c>
      <c r="AD522" s="352"/>
    </row>
    <row r="523" spans="1:30" ht="15" hidden="1" customHeight="1">
      <c r="A523" s="22" t="str">
        <f>GRAL!G525</f>
        <v>OBRA</v>
      </c>
      <c r="B523" s="809" t="str">
        <f>GRAL!B525</f>
        <v>2018-2021</v>
      </c>
      <c r="C523" s="16">
        <f>OBRA!J523</f>
        <v>2020</v>
      </c>
      <c r="D523" s="632">
        <f>OBRA!M523</f>
        <v>0</v>
      </c>
      <c r="E523" s="1170"/>
      <c r="F523" s="1108"/>
      <c r="G523" s="219"/>
      <c r="H523" s="1108"/>
      <c r="I523" s="1200">
        <f>OBRA!W523</f>
        <v>0</v>
      </c>
      <c r="J523" s="1088">
        <f>OBRA!X523</f>
        <v>0</v>
      </c>
      <c r="K523" s="33" t="str">
        <f>OBRA!N523</f>
        <v>GMJ 036C- OP/2020</v>
      </c>
      <c r="L523" s="510" t="str">
        <f>OBRA!O523</f>
        <v>CANCELADA</v>
      </c>
      <c r="M523" s="541" t="str">
        <f>OBRA!P523</f>
        <v>CONTRATO CANCELADO</v>
      </c>
      <c r="N523" s="541"/>
      <c r="O523" s="541"/>
      <c r="P523" s="195">
        <f>OBRA!S523</f>
        <v>0</v>
      </c>
      <c r="Q523" s="63">
        <f>OBRA!R523</f>
        <v>0</v>
      </c>
      <c r="R523" s="63"/>
      <c r="S523" s="474">
        <f>OBRA!T523</f>
        <v>0</v>
      </c>
      <c r="T523" s="509">
        <f>OBRA!U523</f>
        <v>0</v>
      </c>
      <c r="U523" s="692"/>
      <c r="V523" s="203"/>
      <c r="W523" s="508"/>
      <c r="X523" s="509"/>
      <c r="Y523" s="280">
        <f>OBRA!AR523</f>
        <v>0</v>
      </c>
      <c r="Z523" s="309"/>
      <c r="AA523" s="309"/>
      <c r="AB523" s="5"/>
      <c r="AC523" s="317">
        <f>OBRA!BW523</f>
        <v>0</v>
      </c>
      <c r="AD523" s="352"/>
    </row>
    <row r="524" spans="1:30" ht="82.5" hidden="1" customHeight="1">
      <c r="A524" s="22" t="str">
        <f>GRAL!G526</f>
        <v>OBRA</v>
      </c>
      <c r="B524" s="809" t="str">
        <f>GRAL!B526</f>
        <v>2018-2021</v>
      </c>
      <c r="C524" s="16">
        <f>OBRA!J524</f>
        <v>2020</v>
      </c>
      <c r="D524" s="17" t="str">
        <f>OBRA!M524</f>
        <v>RAMO 33</v>
      </c>
      <c r="E524" s="478" t="s">
        <v>1428</v>
      </c>
      <c r="F524" s="163"/>
      <c r="G524" s="510"/>
      <c r="H524" s="163"/>
      <c r="I524" s="54" t="str">
        <f>OBRA!W524</f>
        <v>PLANOS Y OBRAS LODEIRO S.A. DE C.V.</v>
      </c>
      <c r="J524" s="55" t="str">
        <f>OBRA!X524</f>
        <v>ING. RIGOBERTO OR / ARQ. JAIME CONDE</v>
      </c>
      <c r="K524" s="33" t="str">
        <f>OBRA!N524</f>
        <v>GMJ 037C- OP/2020</v>
      </c>
      <c r="L524" s="2" t="str">
        <f>OBRA!O524</f>
        <v>ADJUDICACIÓN DIRECTA</v>
      </c>
      <c r="M524" s="3" t="str">
        <f>OBRA!P524</f>
        <v>"CONSTRUCCIÓN DE BANQUETAS EN UNIDAD DEPORTIVA ZARAGOZA” EN LA CABECERA MUNICIPAL DE JOCOTEPEC, JALISCO.</v>
      </c>
      <c r="N524" s="504" t="s">
        <v>3505</v>
      </c>
      <c r="O524" s="504"/>
      <c r="P524" s="6">
        <f>OBRA!S524</f>
        <v>44168</v>
      </c>
      <c r="Q524" s="4">
        <f>OBRA!R524</f>
        <v>229496.26</v>
      </c>
      <c r="R524" s="4"/>
      <c r="S524" s="5">
        <f>OBRA!T524</f>
        <v>44172</v>
      </c>
      <c r="T524" s="11">
        <f>OBRA!U524</f>
        <v>44184</v>
      </c>
      <c r="U524" s="53"/>
      <c r="V524" s="377" t="s">
        <v>1428</v>
      </c>
      <c r="W524" s="535"/>
      <c r="X524" s="437"/>
      <c r="Y524" s="280">
        <f>OBRA!AR524</f>
        <v>45899.24</v>
      </c>
      <c r="Z524" s="309"/>
      <c r="AA524" s="309"/>
      <c r="AB524" s="5"/>
      <c r="AC524" s="317">
        <f>OBRA!BW524</f>
        <v>0</v>
      </c>
      <c r="AD524" s="352"/>
    </row>
    <row r="525" spans="1:30" ht="148.5" hidden="1" customHeight="1">
      <c r="A525" s="22" t="str">
        <f>GRAL!G527</f>
        <v>OBRA</v>
      </c>
      <c r="B525" s="809" t="str">
        <f>GRAL!B527</f>
        <v>2018-2021</v>
      </c>
      <c r="C525" s="16">
        <f>OBRA!J525</f>
        <v>2020</v>
      </c>
      <c r="D525" s="17" t="str">
        <f>OBRA!M525</f>
        <v>CUENTA CORRIENTE</v>
      </c>
      <c r="E525" s="478" t="s">
        <v>1428</v>
      </c>
      <c r="F525" s="163"/>
      <c r="G525" s="510"/>
      <c r="H525" s="163"/>
      <c r="I525" s="54" t="str">
        <f>OBRA!W525</f>
        <v>ALSERCON SA DE CV</v>
      </c>
      <c r="J525" s="1088" t="str">
        <f>OBRA!X525</f>
        <v>ARQ. JAIME CONDE GOMEZ</v>
      </c>
      <c r="K525" s="33" t="str">
        <f>OBRA!N525</f>
        <v>GMJ 038C- OP/2020</v>
      </c>
      <c r="L525" s="2" t="str">
        <f>OBRA!O525</f>
        <v>ADJUDICACIÓN DIRECTA</v>
      </c>
      <c r="M525" s="3" t="str">
        <f>OBRA!P525</f>
        <v>"CONSTRUCCIÓN DE DEPÓSITO DE AGUA, LINEA DE LLENADO Y DISTRIBUCCIÓN DE AGUA POTABLE EN CUARTEL DE LA GUARDIA NACIONAL", PARA ABASTECER ZONA 6 EN CRUCERO A LA DELEGACIÓN DE POTRERILLOS DEL MUNICIPIO DE JOCOTEPEC, JALISCO.</v>
      </c>
      <c r="N525" s="504" t="s">
        <v>3505</v>
      </c>
      <c r="O525" s="504"/>
      <c r="P525" s="6">
        <f>OBRA!S525</f>
        <v>44548</v>
      </c>
      <c r="Q525" s="4">
        <f>OBRA!R525</f>
        <v>868714.16</v>
      </c>
      <c r="R525" s="4"/>
      <c r="S525" s="5">
        <f>OBRA!T525</f>
        <v>44194</v>
      </c>
      <c r="T525" s="11">
        <f>OBRA!U525</f>
        <v>44284</v>
      </c>
      <c r="U525" s="53"/>
      <c r="V525" s="377" t="s">
        <v>1428</v>
      </c>
      <c r="W525" s="535"/>
      <c r="X525" s="437"/>
      <c r="Y525" s="280">
        <f>OBRA!AR525</f>
        <v>0</v>
      </c>
      <c r="Z525" s="309"/>
      <c r="AA525" s="309"/>
      <c r="AB525" s="5"/>
      <c r="AC525" s="317">
        <f>OBRA!BW525</f>
        <v>0</v>
      </c>
      <c r="AD525" s="352"/>
    </row>
    <row r="526" spans="1:30" ht="15" hidden="1" customHeight="1">
      <c r="A526" s="22" t="e">
        <f>GRAL!#REF!</f>
        <v>#REF!</v>
      </c>
      <c r="B526" s="809" t="e">
        <f>GRAL!#REF!</f>
        <v>#REF!</v>
      </c>
      <c r="C526" s="16">
        <f>OBRA!J526</f>
        <v>2021</v>
      </c>
      <c r="D526" s="17" t="str">
        <f>OBRA!M526</f>
        <v>FOCOCI</v>
      </c>
      <c r="E526" s="478"/>
      <c r="F526" s="352"/>
      <c r="G526" s="1"/>
      <c r="H526" s="352"/>
      <c r="I526" s="54" t="str">
        <f>OBRA!W526</f>
        <v>N/A</v>
      </c>
      <c r="J526" s="55" t="str">
        <f>OBRA!X526</f>
        <v>N/A</v>
      </c>
      <c r="K526" s="19" t="str">
        <f>OBRA!N526</f>
        <v>CONV/FOCOCI/004-2021</v>
      </c>
      <c r="L526" s="2" t="str">
        <f>OBRA!O526</f>
        <v>CONVENIO</v>
      </c>
      <c r="M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OBRA!S526</f>
        <v>44251</v>
      </c>
      <c r="Q526" s="4">
        <f>OBRA!R526</f>
        <v>9000000</v>
      </c>
      <c r="R526" s="4"/>
      <c r="S526" s="5">
        <f>OBRA!T526</f>
        <v>44251</v>
      </c>
      <c r="T526" s="11">
        <f>OBRA!U526</f>
        <v>44469</v>
      </c>
      <c r="U526" s="53"/>
      <c r="V526" s="377" t="s">
        <v>1428</v>
      </c>
      <c r="W526" s="309"/>
      <c r="X526" s="11"/>
      <c r="Y526" s="279">
        <f>OBRA!AR526</f>
        <v>0</v>
      </c>
      <c r="Z526" s="309"/>
      <c r="AA526" s="309"/>
      <c r="AB526" s="5"/>
      <c r="AC526" s="317">
        <f>OBRA!BW526</f>
        <v>0</v>
      </c>
      <c r="AD526" s="352"/>
    </row>
    <row r="527" spans="1:30" ht="15" hidden="1" customHeight="1">
      <c r="A527" s="22" t="str">
        <f>GRAL!G529</f>
        <v>OBRA</v>
      </c>
      <c r="B527" s="809" t="str">
        <f>GRAL!B529</f>
        <v>2018-2021</v>
      </c>
      <c r="C527" s="16">
        <f>OBRA!J527</f>
        <v>2021</v>
      </c>
      <c r="D527" s="17" t="str">
        <f>OBRA!M527</f>
        <v>CUENTA CORRIENTE</v>
      </c>
      <c r="E527" s="478"/>
      <c r="F527" s="352"/>
      <c r="G527" s="1"/>
      <c r="H527" s="352"/>
      <c r="I527" s="54" t="str">
        <f>OBRA!W527</f>
        <v>N/A</v>
      </c>
      <c r="J527" s="55" t="str">
        <f>OBRA!X527</f>
        <v>ING. LUIS RIGOBERTO OLMEDO NAVARRO</v>
      </c>
      <c r="K527" s="19" t="str">
        <f>OBRA!N527</f>
        <v>DOP/AD/001/2021</v>
      </c>
      <c r="L527" s="2" t="str">
        <f>OBRA!O527</f>
        <v>CANCELADA</v>
      </c>
      <c r="M527" s="3" t="str">
        <f>OBRA!P527</f>
        <v>"CONSTRUCCIÓN DE PUENTE PEATONAL EN CALLE LIBERTAD Y CALLE 5 DE MAYO" EN LA DELEGACIÓN DE ZAPOTITÁN DE HIDALGO, DEL MUNICIPIO DE JOCOTEPEC, JALISCO.</v>
      </c>
      <c r="N527" s="3"/>
      <c r="O527" s="3"/>
      <c r="P527" s="6">
        <f>OBRA!S527</f>
        <v>44221</v>
      </c>
      <c r="Q527" s="4">
        <f>OBRA!R527</f>
        <v>710000</v>
      </c>
      <c r="R527" s="4"/>
      <c r="S527" s="5">
        <f>OBRA!T527</f>
        <v>44222</v>
      </c>
      <c r="T527" s="11">
        <f>OBRA!U527</f>
        <v>44377</v>
      </c>
      <c r="U527" s="53"/>
      <c r="V527" s="377" t="s">
        <v>1428</v>
      </c>
      <c r="W527" s="309"/>
      <c r="X527" s="11"/>
      <c r="Y527" s="279">
        <f>OBRA!AR527</f>
        <v>0</v>
      </c>
      <c r="Z527" s="309"/>
      <c r="AA527" s="309"/>
      <c r="AB527" s="5"/>
      <c r="AC527" s="317">
        <f>OBRA!BW527</f>
        <v>0</v>
      </c>
      <c r="AD527" s="352"/>
    </row>
    <row r="528" spans="1:30" ht="15" hidden="1" customHeight="1">
      <c r="A528" s="22" t="str">
        <f>GRAL!G530</f>
        <v>OBRA</v>
      </c>
      <c r="B528" s="809" t="str">
        <f>GRAL!B530</f>
        <v>2018-2021</v>
      </c>
      <c r="C528" s="16">
        <f>OBRA!J528</f>
        <v>2021</v>
      </c>
      <c r="D528" s="17" t="str">
        <f>OBRA!M528</f>
        <v>CUENTA CORRIENTE</v>
      </c>
      <c r="E528" s="478"/>
      <c r="F528" s="352"/>
      <c r="G528" s="1"/>
      <c r="H528" s="352"/>
      <c r="I528" s="54" t="str">
        <f>OBRA!W528</f>
        <v>N/A</v>
      </c>
      <c r="J528" s="55" t="str">
        <f>OBRA!X528</f>
        <v xml:space="preserve">ING. ENRIQUE ENRÍQUEZ VÁZQUEZ </v>
      </c>
      <c r="K528" s="19" t="str">
        <f>OBRA!N528</f>
        <v>DOP/AD/002/2021</v>
      </c>
      <c r="L528" s="2" t="str">
        <f>OBRA!O528</f>
        <v>ADMINISTRACIÓN DIRECTA</v>
      </c>
      <c r="M528" s="3" t="str">
        <f>OBRA!P528</f>
        <v>"SUMINISTRO Y COLOCACIÓN DE TECHUMBRE EN CANCHA DE USOS MULTIPLES" UBICADA EN CALLES PEDRO MORENO Y MORELOS, ABASOLO Y 16 DE SEPTIEMBRE, EN LA DELEGACIÓN DE ZAPOTITÁN DE HIDALGO, DEL MUNICIPIO DE JOCOTEPEC, JALISCO.</v>
      </c>
      <c r="N528" s="3"/>
      <c r="O528" s="3"/>
      <c r="P528" s="6">
        <f>OBRA!S528</f>
        <v>44221</v>
      </c>
      <c r="Q528" s="4">
        <f>OBRA!R528</f>
        <v>650000</v>
      </c>
      <c r="R528" s="4"/>
      <c r="S528" s="5">
        <f>OBRA!T528</f>
        <v>44222</v>
      </c>
      <c r="T528" s="11">
        <f>OBRA!U528</f>
        <v>44377</v>
      </c>
      <c r="U528" s="53"/>
      <c r="V528" s="377" t="s">
        <v>1428</v>
      </c>
      <c r="W528" s="309"/>
      <c r="X528" s="11"/>
      <c r="Y528" s="279">
        <f>OBRA!AR528</f>
        <v>0</v>
      </c>
      <c r="Z528" s="309"/>
      <c r="AA528" s="309"/>
      <c r="AB528" s="5"/>
      <c r="AC528" s="317">
        <f>OBRA!BW528</f>
        <v>0</v>
      </c>
      <c r="AD528" s="352"/>
    </row>
    <row r="529" spans="1:30" ht="15" hidden="1" customHeight="1">
      <c r="A529" s="22" t="str">
        <f>GRAL!G531</f>
        <v>OBRA</v>
      </c>
      <c r="B529" s="809" t="str">
        <f>GRAL!B531</f>
        <v>2018-2021</v>
      </c>
      <c r="C529" s="16">
        <f>OBRA!J529</f>
        <v>2021</v>
      </c>
      <c r="D529" s="17" t="str">
        <f>OBRA!M529</f>
        <v>RAMO 33</v>
      </c>
      <c r="E529" s="478"/>
      <c r="F529" s="352"/>
      <c r="G529" s="1"/>
      <c r="H529" s="352"/>
      <c r="I529" s="54" t="str">
        <f>OBRA!W529</f>
        <v>N/A</v>
      </c>
      <c r="J529" s="55" t="str">
        <f>OBRA!X529</f>
        <v>ING. J. GUADALUPE IBARRA RAMIREZ</v>
      </c>
      <c r="K529" s="19" t="str">
        <f>OBRA!N529</f>
        <v>DOP/AD/003/2021</v>
      </c>
      <c r="L529" s="2" t="str">
        <f>OBRA!O529</f>
        <v>ADMINISTRACIÓN DIRECTA</v>
      </c>
      <c r="M529" s="3" t="str">
        <f>OBRA!P529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OBRA!S529</f>
        <v>44435</v>
      </c>
      <c r="Q529" s="4">
        <f>OBRA!R529</f>
        <v>174639.07</v>
      </c>
      <c r="R529" s="4"/>
      <c r="S529" s="5">
        <f>OBRA!T529</f>
        <v>44440</v>
      </c>
      <c r="T529" s="11">
        <f>OBRA!U529</f>
        <v>44455</v>
      </c>
      <c r="U529" s="53"/>
      <c r="V529" s="377" t="s">
        <v>1428</v>
      </c>
      <c r="W529" s="309"/>
      <c r="X529" s="11"/>
      <c r="Y529" s="279">
        <f>OBRA!AR529</f>
        <v>0</v>
      </c>
      <c r="Z529" s="309"/>
      <c r="AA529" s="309"/>
      <c r="AB529" s="5"/>
      <c r="AC529" s="317">
        <f>OBRA!BW529</f>
        <v>0</v>
      </c>
      <c r="AD529" s="352"/>
    </row>
    <row r="530" spans="1:30" ht="15" hidden="1" customHeight="1">
      <c r="A530" s="22" t="str">
        <f>GRAL!G532</f>
        <v>OBRA</v>
      </c>
      <c r="B530" s="809" t="str">
        <f>GRAL!B532</f>
        <v>2018-2021</v>
      </c>
      <c r="C530" s="16">
        <f>OBRA!J530</f>
        <v>2021</v>
      </c>
      <c r="D530" s="17" t="str">
        <f>OBRA!M530</f>
        <v>CUENTA CORRIENTE</v>
      </c>
      <c r="E530" s="478"/>
      <c r="F530" s="352"/>
      <c r="G530" s="1"/>
      <c r="H530" s="352"/>
      <c r="I530" s="54" t="str">
        <f>OBRA!W530</f>
        <v>N/A</v>
      </c>
      <c r="J530" s="55" t="str">
        <f>OBRA!X530</f>
        <v>LIC. SALVADOR CONTRERAS OLGUÍN</v>
      </c>
      <c r="K530" s="19" t="str">
        <f>OBRA!N530</f>
        <v>DOP/AD/004/2021</v>
      </c>
      <c r="L530" s="2" t="str">
        <f>OBRA!O530</f>
        <v>ADMINISTRACIÓN DIRECTA</v>
      </c>
      <c r="M530" s="3" t="str">
        <f>OBRA!P530</f>
        <v>"REHABILITACIÓN DE PISOS EN AULAS DE LA ESCUELA PRIMARIA JOSE SANTANA", EN LA CABECERA MUNICIPAL DE JOCOTEPEC, JALISCO.</v>
      </c>
      <c r="N530" s="3"/>
      <c r="O530" s="3"/>
      <c r="P530" s="6">
        <f>OBRA!S530</f>
        <v>44225</v>
      </c>
      <c r="Q530" s="4">
        <f>OBRA!R530</f>
        <v>27000</v>
      </c>
      <c r="R530" s="4"/>
      <c r="S530" s="5">
        <f>OBRA!T530</f>
        <v>44228</v>
      </c>
      <c r="T530" s="11">
        <f>OBRA!U530</f>
        <v>44250</v>
      </c>
      <c r="U530" s="53"/>
      <c r="V530" s="377" t="s">
        <v>1428</v>
      </c>
      <c r="W530" s="309"/>
      <c r="X530" s="11"/>
      <c r="Y530" s="279">
        <f>OBRA!AR530</f>
        <v>0</v>
      </c>
      <c r="Z530" s="309"/>
      <c r="AA530" s="309"/>
      <c r="AB530" s="5"/>
      <c r="AC530" s="317">
        <f>OBRA!BW530</f>
        <v>0</v>
      </c>
      <c r="AD530" s="352"/>
    </row>
    <row r="531" spans="1:30" ht="15" hidden="1" customHeight="1">
      <c r="A531" s="22" t="str">
        <f>GRAL!G533</f>
        <v>OBRA</v>
      </c>
      <c r="B531" s="809" t="str">
        <f>GRAL!B533</f>
        <v>2018-2021</v>
      </c>
      <c r="C531" s="16">
        <f>OBRA!J531</f>
        <v>2021</v>
      </c>
      <c r="D531" s="17" t="str">
        <f>OBRA!M531</f>
        <v>CUENTA CORRIENTE</v>
      </c>
      <c r="E531" s="478"/>
      <c r="F531" s="352"/>
      <c r="G531" s="1"/>
      <c r="H531" s="352"/>
      <c r="I531" s="54" t="str">
        <f>OBRA!W531</f>
        <v>N/A</v>
      </c>
      <c r="J531" s="55" t="str">
        <f>OBRA!X531</f>
        <v>ING. LUIS RIGOBERTO OLMEDO NAVARRO</v>
      </c>
      <c r="K531" s="19" t="str">
        <f>OBRA!N531</f>
        <v>DOP/AD/005/2021</v>
      </c>
      <c r="L531" s="2" t="str">
        <f>OBRA!O531</f>
        <v>ADMINISTRACIÓN DIRECTA</v>
      </c>
      <c r="M531" s="3" t="str">
        <f>OBRA!P531</f>
        <v>"MANO DE OBRA PARA LA REACTIVACIÓN DE LÍNEAS HIDROSANITARIAS EN CALLE JUÁREZ, CALLE 30 DE SEPTIEMBRE Y C. 5 DE MAYO", EN LA DELEGACIÓN DE HUEJOTITÁN, DEL MUNICIPIO DE JOCOTEPEC, JALISCO.</v>
      </c>
      <c r="N531" s="3"/>
      <c r="O531" s="3"/>
      <c r="P531" s="6">
        <f>OBRA!S531</f>
        <v>44225</v>
      </c>
      <c r="Q531" s="4">
        <f>OBRA!R531</f>
        <v>266000</v>
      </c>
      <c r="R531" s="4"/>
      <c r="S531" s="5">
        <f>OBRA!T531</f>
        <v>44228</v>
      </c>
      <c r="T531" s="11">
        <f>OBRA!U531</f>
        <v>44281</v>
      </c>
      <c r="U531" s="53"/>
      <c r="V531" s="377" t="s">
        <v>1428</v>
      </c>
      <c r="W531" s="309"/>
      <c r="X531" s="11"/>
      <c r="Y531" s="279">
        <f>OBRA!AR531</f>
        <v>0</v>
      </c>
      <c r="Z531" s="309"/>
      <c r="AA531" s="309"/>
      <c r="AB531" s="5"/>
      <c r="AC531" s="317">
        <f>OBRA!BW531</f>
        <v>0</v>
      </c>
      <c r="AD531" s="352"/>
    </row>
    <row r="532" spans="1:30" ht="15" hidden="1" customHeight="1">
      <c r="A532" s="22" t="str">
        <f>GRAL!G534</f>
        <v>OBRA</v>
      </c>
      <c r="B532" s="809" t="str">
        <f>GRAL!B534</f>
        <v>2018-2021</v>
      </c>
      <c r="C532" s="16">
        <f>OBRA!J532</f>
        <v>2021</v>
      </c>
      <c r="D532" s="17">
        <f>OBRA!M532</f>
        <v>0</v>
      </c>
      <c r="E532" s="478"/>
      <c r="F532" s="352"/>
      <c r="G532" s="1"/>
      <c r="H532" s="352"/>
      <c r="I532" s="54" t="str">
        <f>OBRA!W532</f>
        <v>N/A</v>
      </c>
      <c r="J532" s="55" t="str">
        <f>OBRA!X532</f>
        <v>DANIEL RODRIGUEZ</v>
      </c>
      <c r="K532" s="19" t="str">
        <f>OBRA!N532</f>
        <v>DOP/AD/006/2021</v>
      </c>
      <c r="L532" s="2" t="str">
        <f>OBRA!O532</f>
        <v>CANCELADA</v>
      </c>
      <c r="M532" s="3">
        <f>OBRA!P532</f>
        <v>0</v>
      </c>
      <c r="N532" s="3"/>
      <c r="O532" s="3"/>
      <c r="P532" s="6">
        <f>OBRA!S532</f>
        <v>0</v>
      </c>
      <c r="Q532" s="4">
        <f>OBRA!R532</f>
        <v>0</v>
      </c>
      <c r="R532" s="4"/>
      <c r="S532" s="5">
        <f>OBRA!T532</f>
        <v>0</v>
      </c>
      <c r="T532" s="11">
        <f>OBRA!U532</f>
        <v>0</v>
      </c>
      <c r="U532" s="53"/>
      <c r="V532" s="377" t="s">
        <v>1428</v>
      </c>
      <c r="W532" s="309"/>
      <c r="X532" s="11"/>
      <c r="Y532" s="279">
        <f>OBRA!AR532</f>
        <v>0</v>
      </c>
      <c r="Z532" s="309"/>
      <c r="AA532" s="309"/>
      <c r="AB532" s="5"/>
      <c r="AC532" s="317">
        <f>OBRA!BW532</f>
        <v>0</v>
      </c>
      <c r="AD532" s="352"/>
    </row>
    <row r="533" spans="1:30" ht="15" hidden="1" customHeight="1">
      <c r="A533" s="22" t="str">
        <f>GRAL!G535</f>
        <v>OBRA</v>
      </c>
      <c r="B533" s="809" t="str">
        <f>GRAL!B535</f>
        <v>2018-2021</v>
      </c>
      <c r="C533" s="16">
        <f>OBRA!J533</f>
        <v>2021</v>
      </c>
      <c r="D533" s="17" t="str">
        <f>OBRA!M533</f>
        <v>CUENTA CORRIENTE</v>
      </c>
      <c r="E533" s="478"/>
      <c r="F533" s="352"/>
      <c r="G533" s="1"/>
      <c r="H533" s="352"/>
      <c r="I533" s="54" t="str">
        <f>OBRA!W533</f>
        <v>N/A</v>
      </c>
      <c r="J533" s="55">
        <f>OBRA!X533</f>
        <v>0</v>
      </c>
      <c r="K533" s="19" t="str">
        <f>OBRA!N533</f>
        <v>DOP/AD/007/2021</v>
      </c>
      <c r="L533" s="2" t="str">
        <f>OBRA!O533</f>
        <v>CANCELADA</v>
      </c>
      <c r="M533" s="3" t="str">
        <f>OBRA!P533</f>
        <v xml:space="preserve">“MANO DE OBRA PARA LA REHABILITACIÓN DE LÍNEA DRENAJE EN CALLE LIBERTAD EN LA DELEGACIÓN DE POTRERILLOS”, DEL MUNICIPIO DE JOCOTEPEC, JALISCO. </v>
      </c>
      <c r="N533" s="3"/>
      <c r="O533" s="3"/>
      <c r="P533" s="6">
        <f>OBRA!S533</f>
        <v>44302</v>
      </c>
      <c r="Q533" s="4">
        <f>OBRA!R533</f>
        <v>227155</v>
      </c>
      <c r="R533" s="4"/>
      <c r="S533" s="5">
        <f>OBRA!T533</f>
        <v>44228</v>
      </c>
      <c r="T533" s="11">
        <f>OBRA!U533</f>
        <v>44281</v>
      </c>
      <c r="U533" s="53"/>
      <c r="V533" s="377" t="s">
        <v>1428</v>
      </c>
      <c r="W533" s="309"/>
      <c r="X533" s="11"/>
      <c r="Y533" s="279">
        <f>OBRA!AR533</f>
        <v>0</v>
      </c>
      <c r="Z533" s="309"/>
      <c r="AA533" s="309"/>
      <c r="AB533" s="5"/>
      <c r="AC533" s="317">
        <f>OBRA!BW533</f>
        <v>0</v>
      </c>
      <c r="AD533" s="352"/>
    </row>
    <row r="534" spans="1:30" ht="15" hidden="1" customHeight="1">
      <c r="A534" s="22" t="str">
        <f>GRAL!G536</f>
        <v>OBRA</v>
      </c>
      <c r="B534" s="809" t="str">
        <f>GRAL!B536</f>
        <v>2018-2021</v>
      </c>
      <c r="C534" s="16">
        <f>OBRA!J534</f>
        <v>2021</v>
      </c>
      <c r="D534" s="17" t="str">
        <f>OBRA!M534</f>
        <v>RAMO 33</v>
      </c>
      <c r="E534" s="478"/>
      <c r="F534" s="352"/>
      <c r="G534" s="1"/>
      <c r="H534" s="352"/>
      <c r="I534" s="54" t="str">
        <f>OBRA!W534</f>
        <v>N/A</v>
      </c>
      <c r="J534" s="55" t="str">
        <f>OBRA!X534</f>
        <v>DANIEL RODRIGUEZ</v>
      </c>
      <c r="K534" s="19" t="str">
        <f>OBRA!N534</f>
        <v>DOP/AD/008/2021</v>
      </c>
      <c r="L534" s="2" t="str">
        <f>OBRA!O534</f>
        <v>ADMINISTRACIÓN DIRECTA</v>
      </c>
      <c r="M534" s="3" t="str">
        <f>OBRA!P534</f>
        <v>"CONSTRUCCIÓN DE DRENAJE SANITARIO EN PRIVADA FRANCISCO VILLA DE LA CALLE 1RO DE MAYO A CERRADA" EN LA DELEGACIÓN DE LA LOMA, EN EL MUNICIPIO DE JOCOTEPEC, JALISCO.</v>
      </c>
      <c r="N534" s="3"/>
      <c r="O534" s="3"/>
      <c r="P534" s="6">
        <f>OBRA!S534</f>
        <v>44356</v>
      </c>
      <c r="Q534" s="4">
        <f>OBRA!R534</f>
        <v>113778.58</v>
      </c>
      <c r="R534" s="4"/>
      <c r="S534" s="5">
        <f>OBRA!T534</f>
        <v>44361</v>
      </c>
      <c r="T534" s="11">
        <f>OBRA!U534</f>
        <v>44379</v>
      </c>
      <c r="U534" s="53"/>
      <c r="V534" s="377" t="s">
        <v>1428</v>
      </c>
      <c r="W534" s="309"/>
      <c r="X534" s="11"/>
      <c r="Y534" s="279">
        <f>OBRA!AR534</f>
        <v>0</v>
      </c>
      <c r="Z534" s="309"/>
      <c r="AA534" s="309"/>
      <c r="AB534" s="5"/>
      <c r="AC534" s="317">
        <f>OBRA!BW534</f>
        <v>0</v>
      </c>
      <c r="AD534" s="352"/>
    </row>
    <row r="535" spans="1:30" ht="15" hidden="1" customHeight="1">
      <c r="A535" s="22" t="str">
        <f>GRAL!G537</f>
        <v>OBRA</v>
      </c>
      <c r="B535" s="809" t="str">
        <f>GRAL!B537</f>
        <v>2018-2021</v>
      </c>
      <c r="C535" s="16">
        <f>OBRA!J535</f>
        <v>2021</v>
      </c>
      <c r="D535" s="17" t="str">
        <f>OBRA!M535</f>
        <v>CUENTA CORRIENTE</v>
      </c>
      <c r="E535" s="478"/>
      <c r="F535" s="352"/>
      <c r="G535" s="1"/>
      <c r="H535" s="352"/>
      <c r="I535" s="54" t="str">
        <f>OBRA!W535</f>
        <v>N/A</v>
      </c>
      <c r="J535" s="55" t="str">
        <f>OBRA!X535</f>
        <v>DANIEL RODRIGUEZ</v>
      </c>
      <c r="K535" s="19" t="str">
        <f>OBRA!N535</f>
        <v>DOP/AD/009/2021</v>
      </c>
      <c r="L535" s="2" t="str">
        <f>OBRA!O535</f>
        <v>CANCELADA</v>
      </c>
      <c r="M535" s="3" t="str">
        <f>OBRA!P535</f>
        <v>“CONSTRUCCIÓN DE LÍNEA DE AGUA POTABLE EN PRIV. FRANCISCO VILLA DE LA CALLE 1RO DE MAYO A CERRADA”, EN LA DELEGACIÓN DE LA LOMA, EN EL MUNICIPIO DE JOCOTEPEC, JALISCO.</v>
      </c>
      <c r="N535" s="3"/>
      <c r="O535" s="3"/>
      <c r="P535" s="6">
        <f>OBRA!S535</f>
        <v>44356</v>
      </c>
      <c r="Q535" s="4">
        <f>OBRA!R535</f>
        <v>77686.679999999993</v>
      </c>
      <c r="R535" s="4"/>
      <c r="S535" s="5">
        <f>OBRA!T535</f>
        <v>44369</v>
      </c>
      <c r="T535" s="11">
        <f>OBRA!U535</f>
        <v>44383</v>
      </c>
      <c r="U535" s="53"/>
      <c r="V535" s="377" t="s">
        <v>1428</v>
      </c>
      <c r="W535" s="309"/>
      <c r="X535" s="11"/>
      <c r="Y535" s="279">
        <f>OBRA!AR535</f>
        <v>0</v>
      </c>
      <c r="Z535" s="309"/>
      <c r="AA535" s="309"/>
      <c r="AB535" s="5"/>
      <c r="AC535" s="317">
        <f>OBRA!BW535</f>
        <v>0</v>
      </c>
      <c r="AD535" s="352"/>
    </row>
    <row r="536" spans="1:30" ht="15" hidden="1" customHeight="1">
      <c r="A536" s="22" t="str">
        <f>GRAL!G539</f>
        <v>OBRA</v>
      </c>
      <c r="B536" s="809" t="str">
        <f>GRAL!B539</f>
        <v>2018-2021</v>
      </c>
      <c r="C536" s="16">
        <f>OBRA!J537</f>
        <v>2021</v>
      </c>
      <c r="D536" s="17" t="str">
        <f>OBRA!M537</f>
        <v>CUENTA CORRIENTE</v>
      </c>
      <c r="E536" s="478"/>
      <c r="F536" s="352"/>
      <c r="G536" s="1"/>
      <c r="H536" s="352"/>
      <c r="I536" s="54" t="str">
        <f>OBRA!W537</f>
        <v>N/A</v>
      </c>
      <c r="J536" s="55" t="str">
        <f>OBRA!X537</f>
        <v>ING. LUIS RIGOBERTO OLMEDO NAVARRO</v>
      </c>
      <c r="K536" s="19" t="str">
        <f>OBRA!N537</f>
        <v>DOP/AD/011/2021</v>
      </c>
      <c r="L536" s="2" t="str">
        <f>OBRA!O537</f>
        <v>ADMINISTRACIÓN DIRECTA</v>
      </c>
      <c r="M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OBRA!S537</f>
        <v>44232</v>
      </c>
      <c r="Q536" s="4">
        <f>OBRA!R537</f>
        <v>271040</v>
      </c>
      <c r="R536" s="4"/>
      <c r="S536" s="5">
        <f>OBRA!T537</f>
        <v>44236</v>
      </c>
      <c r="T536" s="11">
        <f>OBRA!U537</f>
        <v>44257</v>
      </c>
      <c r="U536" s="53"/>
      <c r="V536" s="377" t="s">
        <v>1428</v>
      </c>
      <c r="W536" s="309"/>
      <c r="X536" s="11"/>
      <c r="Y536" s="279">
        <f>OBRA!AR537</f>
        <v>0</v>
      </c>
      <c r="Z536" s="309"/>
      <c r="AA536" s="309"/>
      <c r="AB536" s="5"/>
      <c r="AC536" s="317">
        <f>OBRA!BW537</f>
        <v>0</v>
      </c>
      <c r="AD536" s="352"/>
    </row>
    <row r="537" spans="1:30" ht="15" hidden="1" customHeight="1">
      <c r="A537" s="22" t="str">
        <f>GRAL!G540</f>
        <v>OBRA</v>
      </c>
      <c r="B537" s="809" t="str">
        <f>GRAL!B540</f>
        <v>2018-2021</v>
      </c>
      <c r="C537" s="16">
        <f>OBRA!J538</f>
        <v>2021</v>
      </c>
      <c r="D537" s="17" t="str">
        <f>OBRA!M538</f>
        <v>RASTRO DIGNO 2020</v>
      </c>
      <c r="E537" s="478"/>
      <c r="F537" s="352"/>
      <c r="G537" s="1"/>
      <c r="H537" s="352"/>
      <c r="I537" s="54" t="str">
        <f>OBRA!W538</f>
        <v>-</v>
      </c>
      <c r="J537" s="55" t="str">
        <f>OBRA!X538</f>
        <v>ARQ. JAIME CONDE GOMEZ</v>
      </c>
      <c r="K537" s="19" t="str">
        <f>OBRA!N538</f>
        <v>DOP/AD/012/2021</v>
      </c>
      <c r="L537" s="2" t="str">
        <f>OBRA!O538</f>
        <v>CANCELADA</v>
      </c>
      <c r="M537" s="3" t="str">
        <f>OBRA!P538</f>
        <v>“COMPLEMENTO DE OBRA CIVIL EN EL RASTRO MUNICIPAL”, DE LA CABECERA MUNICIPAL DE JOCOTEPEC, JALISCO.</v>
      </c>
      <c r="N537" s="3"/>
      <c r="O537" s="3"/>
      <c r="P537" s="6">
        <f>OBRA!S538</f>
        <v>44438</v>
      </c>
      <c r="Q537" s="4">
        <f>OBRA!R538</f>
        <v>124003.71</v>
      </c>
      <c r="R537" s="4"/>
      <c r="S537" s="5">
        <f>OBRA!T538</f>
        <v>44445</v>
      </c>
      <c r="T537" s="11">
        <f>OBRA!U538</f>
        <v>44463</v>
      </c>
      <c r="U537" s="53"/>
      <c r="V537" s="377" t="s">
        <v>1428</v>
      </c>
      <c r="W537" s="309"/>
      <c r="X537" s="11"/>
      <c r="Y537" s="279">
        <f>OBRA!AR538</f>
        <v>0</v>
      </c>
      <c r="Z537" s="309"/>
      <c r="AA537" s="309"/>
      <c r="AB537" s="5"/>
      <c r="AC537" s="317">
        <f>OBRA!BW538</f>
        <v>0</v>
      </c>
      <c r="AD537" s="352"/>
    </row>
    <row r="538" spans="1:30" ht="15" hidden="1" customHeight="1">
      <c r="A538" s="22" t="str">
        <f>GRAL!G541</f>
        <v>OBRA</v>
      </c>
      <c r="B538" s="809" t="str">
        <f>GRAL!B541</f>
        <v>2018-2021</v>
      </c>
      <c r="C538" s="16">
        <f>OBRA!J539</f>
        <v>2021</v>
      </c>
      <c r="D538" s="17" t="str">
        <f>OBRA!M539</f>
        <v>CUENTA CORRIENTE</v>
      </c>
      <c r="E538" s="478" t="s">
        <v>1428</v>
      </c>
      <c r="F538" s="352" t="s">
        <v>1428</v>
      </c>
      <c r="G538" s="1" t="s">
        <v>1177</v>
      </c>
      <c r="H538" s="352" t="s">
        <v>1428</v>
      </c>
      <c r="I538" s="54" t="str">
        <f>OBRA!W539</f>
        <v>N/A</v>
      </c>
      <c r="J538" s="55" t="str">
        <f>OBRA!X539</f>
        <v>ING. J. GUADALUPE IBARRA RAMIREZ</v>
      </c>
      <c r="K538" s="19" t="str">
        <f>OBRA!N539</f>
        <v>DOP/AD/013/2021</v>
      </c>
      <c r="L538" s="2" t="str">
        <f>OBRA!O539</f>
        <v>ADMINISTRACIÓN DIRECTA</v>
      </c>
      <c r="M538" s="3" t="str">
        <f>OBRA!P539</f>
        <v>“MANTENIMIENTO, REPARACIÓN DE SUPERFICIE DE RODAMIENTO EN EMPEDRADO ZAMPEADO (GRIETA SUPERFICIAL Y ESTRUCTURAL), CONSTRUCCIÓN DE MACHUELO EN C. PADRE ADALBERTO MACIAS”, EN LA CABECERA MUNICIPAL DE JOCOTEPEC, JALISCO.</v>
      </c>
      <c r="N538" s="3"/>
      <c r="O538" s="3"/>
      <c r="P538" s="6">
        <f>OBRA!S539</f>
        <v>44407</v>
      </c>
      <c r="Q538" s="4">
        <f>OBRA!R539</f>
        <v>168528.09</v>
      </c>
      <c r="R538" s="4"/>
      <c r="S538" s="5">
        <f>OBRA!T539</f>
        <v>44410</v>
      </c>
      <c r="T538" s="11">
        <f>OBRA!U539</f>
        <v>44469</v>
      </c>
      <c r="U538" s="53" t="s">
        <v>3815</v>
      </c>
      <c r="V538" s="377" t="s">
        <v>1428</v>
      </c>
      <c r="W538" s="309" t="s">
        <v>1428</v>
      </c>
      <c r="X538" s="11"/>
      <c r="Y538" s="279">
        <f>OBRA!AR539</f>
        <v>0</v>
      </c>
      <c r="Z538" s="309"/>
      <c r="AA538" s="309"/>
      <c r="AB538" s="5"/>
      <c r="AC538" s="317">
        <f>OBRA!BW539</f>
        <v>0</v>
      </c>
      <c r="AD538" s="352"/>
    </row>
    <row r="539" spans="1:30" ht="15" hidden="1" customHeight="1">
      <c r="A539" s="22" t="str">
        <f>GRAL!G542</f>
        <v>OBRA</v>
      </c>
      <c r="B539" s="809" t="str">
        <f>GRAL!B542</f>
        <v>2018-2021</v>
      </c>
      <c r="C539" s="16">
        <f>OBRA!J540</f>
        <v>2021</v>
      </c>
      <c r="D539" s="17" t="str">
        <f>OBRA!M540</f>
        <v>EMP P/LA REACTIVACIÓN ECONÓMICA EN MPIOS</v>
      </c>
      <c r="E539" s="478" t="s">
        <v>1428</v>
      </c>
      <c r="F539" s="352" t="s">
        <v>1428</v>
      </c>
      <c r="G539" s="1" t="s">
        <v>1177</v>
      </c>
      <c r="H539" s="352" t="s">
        <v>1428</v>
      </c>
      <c r="I539" s="54" t="str">
        <f>OBRA!W540</f>
        <v>N/A</v>
      </c>
      <c r="J539" s="55" t="str">
        <f>OBRA!X540</f>
        <v>DANIEL RODRIGUEZ</v>
      </c>
      <c r="K539" s="19" t="str">
        <f>OBRA!N540</f>
        <v>DOP/AD/014/2021</v>
      </c>
      <c r="L539" s="2" t="str">
        <f>OBRA!O540</f>
        <v>ADMINISTRACIÓN DIRECTA</v>
      </c>
      <c r="M539" s="3" t="str">
        <f>OBRA!P540</f>
        <v>CONSTRUCCIÓN DE EMPEDRADO ZAMPEADO EN VIALIDAD CALLE GUAYABITOS, EN LA LOCALIDAD DE CHANTEPEC, DEL MUNICIPIO DE JOCOTEPEC, JALISCO.</v>
      </c>
      <c r="N539" s="3"/>
      <c r="O539" s="3"/>
      <c r="P539" s="6">
        <f>OBRA!S540</f>
        <v>44378</v>
      </c>
      <c r="Q539" s="4">
        <f>OBRA!R540</f>
        <v>80674.649999999994</v>
      </c>
      <c r="R539" s="4"/>
      <c r="S539" s="5">
        <f>OBRA!T540</f>
        <v>44438</v>
      </c>
      <c r="T539" s="11">
        <f>OBRA!U540</f>
        <v>44464</v>
      </c>
      <c r="U539" s="53" t="s">
        <v>3815</v>
      </c>
      <c r="V539" s="377" t="s">
        <v>1428</v>
      </c>
      <c r="W539" s="309" t="s">
        <v>1428</v>
      </c>
      <c r="X539" s="11"/>
      <c r="Y539" s="279">
        <f>OBRA!AR540</f>
        <v>0</v>
      </c>
      <c r="Z539" s="309"/>
      <c r="AA539" s="309"/>
      <c r="AB539" s="5"/>
      <c r="AC539" s="317">
        <f>OBRA!BW540</f>
        <v>0</v>
      </c>
      <c r="AD539" s="352"/>
    </row>
    <row r="540" spans="1:30" ht="15" hidden="1" customHeight="1">
      <c r="A540" s="22" t="str">
        <f>GRAL!G543</f>
        <v>OBRA</v>
      </c>
      <c r="B540" s="809" t="str">
        <f>GRAL!B543</f>
        <v>2018-2021</v>
      </c>
      <c r="C540" s="16">
        <f>OBRA!J541</f>
        <v>2021</v>
      </c>
      <c r="D540" s="17" t="str">
        <f>OBRA!M541</f>
        <v>EMP P/LA REACTIVACIÓN ECONÓMICA EN MPIOS</v>
      </c>
      <c r="E540" s="478" t="s">
        <v>1428</v>
      </c>
      <c r="F540" s="352" t="s">
        <v>1428</v>
      </c>
      <c r="G540" s="1" t="s">
        <v>1177</v>
      </c>
      <c r="H540" s="352" t="s">
        <v>1428</v>
      </c>
      <c r="I540" s="54" t="str">
        <f>OBRA!W541</f>
        <v>N/A</v>
      </c>
      <c r="J540" s="55" t="str">
        <f>OBRA!X541</f>
        <v>DANIEL RODRIGUEZ</v>
      </c>
      <c r="K540" s="19" t="str">
        <f>OBRA!N541</f>
        <v>DOP/AD/015/2021</v>
      </c>
      <c r="L540" s="2" t="str">
        <f>OBRA!O541</f>
        <v>ADMINISTRACIÓN DIRECTA</v>
      </c>
      <c r="M540" s="3" t="str">
        <f>OBRA!P541</f>
        <v>CONSTRUCCIÓN DE EMPEDRADO ZAMPEADO EN LA LOCALIDAD DE LA LOMA</v>
      </c>
      <c r="N540" s="3"/>
      <c r="O540" s="3"/>
      <c r="P540" s="6">
        <f>OBRA!S541</f>
        <v>44378</v>
      </c>
      <c r="Q540" s="4">
        <f>OBRA!R541</f>
        <v>966321.38</v>
      </c>
      <c r="R540" s="4"/>
      <c r="S540" s="5">
        <f>OBRA!T541</f>
        <v>44438</v>
      </c>
      <c r="T540" s="11">
        <f>OBRA!U541</f>
        <v>44452</v>
      </c>
      <c r="U540" s="53" t="s">
        <v>3815</v>
      </c>
      <c r="V540" s="377" t="s">
        <v>1428</v>
      </c>
      <c r="W540" s="309" t="s">
        <v>1428</v>
      </c>
      <c r="X540" s="11"/>
      <c r="Y540" s="279">
        <f>OBRA!AR541</f>
        <v>0</v>
      </c>
      <c r="Z540" s="309"/>
      <c r="AA540" s="309"/>
      <c r="AB540" s="5"/>
      <c r="AC540" s="317">
        <f>OBRA!BW541</f>
        <v>0</v>
      </c>
      <c r="AD540" s="352"/>
    </row>
    <row r="541" spans="1:30" ht="15" hidden="1" customHeight="1">
      <c r="A541" s="22" t="str">
        <f>GRAL!G544</f>
        <v>OBRA</v>
      </c>
      <c r="B541" s="809" t="str">
        <f>GRAL!B544</f>
        <v>2018-2021</v>
      </c>
      <c r="C541" s="16">
        <f>OBRA!J542</f>
        <v>2021</v>
      </c>
      <c r="D541" s="17" t="str">
        <f>OBRA!M542</f>
        <v>EMP P/LA REACTIVACIÓN ECONÓMICA EN MPIOS</v>
      </c>
      <c r="E541" s="478" t="s">
        <v>1428</v>
      </c>
      <c r="F541" s="352" t="s">
        <v>1428</v>
      </c>
      <c r="G541" s="1" t="s">
        <v>1177</v>
      </c>
      <c r="H541" s="352" t="s">
        <v>1428</v>
      </c>
      <c r="I541" s="54" t="str">
        <f>OBRA!W542</f>
        <v>N/A</v>
      </c>
      <c r="J541" s="55" t="str">
        <f>OBRA!X542</f>
        <v>DANIEL RODRIGUEZ</v>
      </c>
      <c r="K541" s="19" t="str">
        <f>OBRA!N542</f>
        <v>DOP/AD/016/2021</v>
      </c>
      <c r="L541" s="2" t="str">
        <f>OBRA!O542</f>
        <v>ADMINISTRACIÓN DIRECTA</v>
      </c>
      <c r="M541" s="3" t="str">
        <f>OBRA!P542</f>
        <v>CONSTRUCCIÓN DE EMPEDRADO ZAMPEADO EN LA LOCALIDAD DE LA SAN JUAN COSALA</v>
      </c>
      <c r="N541" s="3"/>
      <c r="O541" s="3"/>
      <c r="P541" s="6">
        <f>OBRA!S542</f>
        <v>44378</v>
      </c>
      <c r="Q541" s="4">
        <f>OBRA!R542</f>
        <v>831652.39</v>
      </c>
      <c r="R541" s="4"/>
      <c r="S541" s="5">
        <f>OBRA!T542</f>
        <v>44466</v>
      </c>
      <c r="T541" s="11">
        <f>OBRA!U542</f>
        <v>44541</v>
      </c>
      <c r="U541" s="53" t="s">
        <v>3815</v>
      </c>
      <c r="V541" s="377" t="s">
        <v>1428</v>
      </c>
      <c r="W541" s="309" t="s">
        <v>1428</v>
      </c>
      <c r="X541" s="11"/>
      <c r="Y541" s="279">
        <f>OBRA!AR542</f>
        <v>0</v>
      </c>
      <c r="Z541" s="309"/>
      <c r="AA541" s="309"/>
      <c r="AB541" s="5"/>
      <c r="AC541" s="317">
        <f>OBRA!BW542</f>
        <v>0</v>
      </c>
      <c r="AD541" s="352"/>
    </row>
    <row r="542" spans="1:30" ht="15" hidden="1" customHeight="1">
      <c r="A542" s="22" t="str">
        <f>GRAL!G545</f>
        <v>OBRA</v>
      </c>
      <c r="B542" s="809" t="str">
        <f>GRAL!B545</f>
        <v>2018-2021</v>
      </c>
      <c r="C542" s="16">
        <f>OBRA!J543</f>
        <v>2021</v>
      </c>
      <c r="D542" s="17" t="str">
        <f>OBRA!M543</f>
        <v>EMP P/LA REACTIVACIÓN ECONÓMICA EN MPIOS</v>
      </c>
      <c r="E542" s="478" t="s">
        <v>1428</v>
      </c>
      <c r="F542" s="352" t="s">
        <v>1428</v>
      </c>
      <c r="G542" s="1" t="s">
        <v>1177</v>
      </c>
      <c r="H542" s="352" t="s">
        <v>1428</v>
      </c>
      <c r="I542" s="54" t="str">
        <f>OBRA!W543</f>
        <v>N/A</v>
      </c>
      <c r="J542" s="55" t="str">
        <f>OBRA!X543</f>
        <v>DANIEL RODRIGUEZ</v>
      </c>
      <c r="K542" s="19" t="str">
        <f>OBRA!N543</f>
        <v>DOP/AD/017/2021</v>
      </c>
      <c r="L542" s="2" t="str">
        <f>OBRA!O543</f>
        <v>ADMINISTRACIÓN DIRECTA</v>
      </c>
      <c r="M542" s="3" t="str">
        <f>OBRA!P543</f>
        <v>CONSTRUCCIÓN DE EMPEDRADO ZAMPEADO EN LA LOCALIDAD DE LA NEXTIPAC</v>
      </c>
      <c r="N542" s="3"/>
      <c r="O542" s="3"/>
      <c r="P542" s="6">
        <f>OBRA!S543</f>
        <v>44378</v>
      </c>
      <c r="Q542" s="4">
        <f>OBRA!R543</f>
        <v>1965177.84</v>
      </c>
      <c r="R542" s="4"/>
      <c r="S542" s="5">
        <f>OBRA!T543</f>
        <v>44438</v>
      </c>
      <c r="T542" s="11">
        <f>OBRA!U543</f>
        <v>44492</v>
      </c>
      <c r="U542" s="53" t="s">
        <v>3815</v>
      </c>
      <c r="V542" s="377" t="s">
        <v>1428</v>
      </c>
      <c r="W542" s="309" t="s">
        <v>1428</v>
      </c>
      <c r="X542" s="11"/>
      <c r="Y542" s="279">
        <f>OBRA!AR543</f>
        <v>0</v>
      </c>
      <c r="Z542" s="309"/>
      <c r="AA542" s="309"/>
      <c r="AB542" s="5"/>
      <c r="AC542" s="317">
        <f>OBRA!BW543</f>
        <v>0</v>
      </c>
      <c r="AD542" s="352"/>
    </row>
    <row r="543" spans="1:30" ht="15" hidden="1" customHeight="1">
      <c r="A543" s="22" t="str">
        <f>GRAL!G546</f>
        <v>OBRA</v>
      </c>
      <c r="B543" s="809" t="str">
        <f>GRAL!B546</f>
        <v>2018-2021</v>
      </c>
      <c r="C543" s="16">
        <f>OBRA!J544</f>
        <v>2021</v>
      </c>
      <c r="D543" s="17" t="str">
        <f>OBRA!M544</f>
        <v>EMP P/LA REACTIVACIÓN ECONÓMICA EN MPIOS</v>
      </c>
      <c r="E543" s="478" t="s">
        <v>1428</v>
      </c>
      <c r="F543" s="352" t="s">
        <v>1428</v>
      </c>
      <c r="G543" s="1" t="s">
        <v>1177</v>
      </c>
      <c r="H543" s="352" t="s">
        <v>1428</v>
      </c>
      <c r="I543" s="54" t="str">
        <f>OBRA!W544</f>
        <v>N/A</v>
      </c>
      <c r="J543" s="55" t="str">
        <f>OBRA!X544</f>
        <v>DANIEL RODRIGUEZ</v>
      </c>
      <c r="K543" s="19" t="str">
        <f>OBRA!N544</f>
        <v>DOP/AD/018/2021</v>
      </c>
      <c r="L543" s="2" t="str">
        <f>OBRA!O544</f>
        <v>ADMINISTRACIÓN DIRECTA</v>
      </c>
      <c r="M543" s="3" t="str">
        <f>OBRA!P544</f>
        <v>CONSTRUCCIÓN DE EMPEDRADO ZAMPEADO EN VIALIDAD CALLE FERNANDO MONTES DE OCA DE KM  0+000.00 AL KM 0+254.71 (ENTRE CALLE VICENTE SUAREZ Y CALLE SIN, EN LA LOCALIDAD DE EL MOLINO, DEL MUNICIPIO DE JOCOTEPEC, JALISCO.</v>
      </c>
      <c r="N543" s="3"/>
      <c r="O543" s="3"/>
      <c r="P543" s="6">
        <f>OBRA!S544</f>
        <v>44378</v>
      </c>
      <c r="Q543" s="4">
        <f>OBRA!R544</f>
        <v>643795.13</v>
      </c>
      <c r="R543" s="4"/>
      <c r="S543" s="5">
        <f>OBRA!T544</f>
        <v>44487</v>
      </c>
      <c r="T543" s="11">
        <f>OBRA!U544</f>
        <v>44541</v>
      </c>
      <c r="U543" s="53" t="s">
        <v>3815</v>
      </c>
      <c r="V543" s="377" t="s">
        <v>1428</v>
      </c>
      <c r="W543" s="309" t="s">
        <v>1428</v>
      </c>
      <c r="X543" s="11"/>
      <c r="Y543" s="279">
        <f>OBRA!AR544</f>
        <v>0</v>
      </c>
      <c r="Z543" s="309"/>
      <c r="AA543" s="309"/>
      <c r="AB543" s="5"/>
      <c r="AC543" s="317">
        <f>OBRA!BW544</f>
        <v>0</v>
      </c>
      <c r="AD543" s="352"/>
    </row>
    <row r="544" spans="1:30" ht="15" hidden="1" customHeight="1">
      <c r="A544" s="22" t="str">
        <f>GRAL!G547</f>
        <v>OBRA</v>
      </c>
      <c r="B544" s="809" t="str">
        <f>GRAL!B547</f>
        <v>2018-2021</v>
      </c>
      <c r="C544" s="16">
        <f>OBRA!J545</f>
        <v>2021</v>
      </c>
      <c r="D544" s="17" t="str">
        <f>OBRA!M545</f>
        <v>EMP P/LA REACTIVACIÓN ECONÓMICA EN MPIOS</v>
      </c>
      <c r="E544" s="478" t="s">
        <v>1428</v>
      </c>
      <c r="F544" s="352" t="s">
        <v>1428</v>
      </c>
      <c r="G544" s="1" t="s">
        <v>1177</v>
      </c>
      <c r="H544" s="352" t="s">
        <v>1428</v>
      </c>
      <c r="I544" s="54" t="str">
        <f>OBRA!W545</f>
        <v>N/A</v>
      </c>
      <c r="J544" s="55" t="str">
        <f>OBRA!X545</f>
        <v>DANIEL RODRIGUEZ</v>
      </c>
      <c r="K544" s="19" t="str">
        <f>OBRA!N545</f>
        <v>DOP/AD/019/2021</v>
      </c>
      <c r="L544" s="2" t="str">
        <f>OBRA!O545</f>
        <v>ADMINISTRACIÓN DIRECTA</v>
      </c>
      <c r="M544" s="3" t="str">
        <f>OBRA!P545</f>
        <v>CONSTRUCCIÓN DE EMPEDRADO ZAMPEADO EN VIALIDAD CALLE LIBERTAD DE KM 0+000.00 AL KM 0+221.00 (ENTRE BENITO JUAREZ A ESMERALDA), EN LA LOCALIDAD DE POTRERILLOS DEL MUNICIPIO DE JOCOTEPEC, JALISCO.</v>
      </c>
      <c r="N544" s="3"/>
      <c r="O544" s="3"/>
      <c r="P544" s="6">
        <f>OBRA!S545</f>
        <v>44378</v>
      </c>
      <c r="Q544" s="4">
        <f>OBRA!R545</f>
        <v>512378.61</v>
      </c>
      <c r="R544" s="4"/>
      <c r="S544" s="5">
        <f>OBRA!T545</f>
        <v>44513</v>
      </c>
      <c r="T544" s="11">
        <f>OBRA!U545</f>
        <v>44541</v>
      </c>
      <c r="U544" s="53" t="s">
        <v>3815</v>
      </c>
      <c r="V544" s="377" t="s">
        <v>1428</v>
      </c>
      <c r="W544" s="309" t="s">
        <v>1428</v>
      </c>
      <c r="X544" s="11"/>
      <c r="Y544" s="279">
        <f>OBRA!AR545</f>
        <v>0</v>
      </c>
      <c r="Z544" s="309"/>
      <c r="AA544" s="309"/>
      <c r="AB544" s="5"/>
      <c r="AC544" s="317">
        <f>OBRA!BW545</f>
        <v>0</v>
      </c>
      <c r="AD544" s="352"/>
    </row>
    <row r="545" spans="1:30" ht="15" hidden="1" customHeight="1">
      <c r="A545" s="22">
        <f>GRAL!G548</f>
        <v>0</v>
      </c>
      <c r="B545" s="809" t="str">
        <f>GRAL!B548</f>
        <v>2018-2021</v>
      </c>
      <c r="C545" s="16">
        <f>OBRA!J546</f>
        <v>2021</v>
      </c>
      <c r="D545" s="17">
        <f>OBRA!M546</f>
        <v>0</v>
      </c>
      <c r="E545" s="478" t="s">
        <v>1428</v>
      </c>
      <c r="F545" s="352" t="s">
        <v>1428</v>
      </c>
      <c r="G545" s="1" t="s">
        <v>1177</v>
      </c>
      <c r="H545" s="352" t="s">
        <v>1428</v>
      </c>
      <c r="I545" s="54">
        <f>OBRA!W546</f>
        <v>0</v>
      </c>
      <c r="J545" s="55">
        <f>OBRA!X546</f>
        <v>0</v>
      </c>
      <c r="K545" s="19" t="str">
        <f>OBRA!N546</f>
        <v>DOP/AD/020/2021</v>
      </c>
      <c r="L545" s="2" t="str">
        <f>OBRA!O546</f>
        <v>CANCELADA</v>
      </c>
      <c r="M545" s="3">
        <f>OBRA!P546</f>
        <v>0</v>
      </c>
      <c r="N545" s="3"/>
      <c r="O545" s="3"/>
      <c r="P545" s="6">
        <f>OBRA!S546</f>
        <v>0</v>
      </c>
      <c r="Q545" s="4">
        <f>OBRA!R546</f>
        <v>0</v>
      </c>
      <c r="R545" s="4"/>
      <c r="S545" s="5">
        <f>OBRA!T546</f>
        <v>0</v>
      </c>
      <c r="T545" s="11">
        <f>OBRA!U546</f>
        <v>0</v>
      </c>
      <c r="U545" s="53" t="s">
        <v>3815</v>
      </c>
      <c r="V545" s="377" t="s">
        <v>1428</v>
      </c>
      <c r="W545" s="309" t="s">
        <v>1428</v>
      </c>
      <c r="X545" s="11"/>
      <c r="Y545" s="279">
        <f>OBRA!AR546</f>
        <v>0</v>
      </c>
      <c r="Z545" s="309"/>
      <c r="AA545" s="309"/>
      <c r="AB545" s="5"/>
      <c r="AC545" s="317">
        <f>OBRA!BW546</f>
        <v>0</v>
      </c>
      <c r="AD545" s="352"/>
    </row>
    <row r="546" spans="1:30" ht="121.5" customHeight="1" thickTop="1">
      <c r="A546" s="22" t="str">
        <f>GRAL!G549</f>
        <v>SERVICIO</v>
      </c>
      <c r="B546" s="809" t="str">
        <f>GRAL!B549</f>
        <v>2018-2021</v>
      </c>
      <c r="C546" s="16">
        <f>OBRA!J547</f>
        <v>2021</v>
      </c>
      <c r="D546" s="17" t="str">
        <f>OBRA!M547</f>
        <v>CUENTA CORRIENTE</v>
      </c>
      <c r="E546" s="478" t="s">
        <v>1428</v>
      </c>
      <c r="F546" s="352" t="s">
        <v>1428</v>
      </c>
      <c r="G546" s="1" t="s">
        <v>1177</v>
      </c>
      <c r="H546" s="352" t="s">
        <v>1428</v>
      </c>
      <c r="I546" s="54" t="str">
        <f>OBRA!W547</f>
        <v>URIEL PALOS CUEVAS</v>
      </c>
      <c r="J546" s="55" t="str">
        <f>OBRA!X547</f>
        <v>DANIEL RODRIGUEZ</v>
      </c>
      <c r="K546" s="33" t="str">
        <f>OBRA!N547</f>
        <v>C- OP 001/2021</v>
      </c>
      <c r="L546" s="2" t="str">
        <f>OBRA!O547</f>
        <v>ARRENDAMIENTO</v>
      </c>
      <c r="M546" s="3" t="str">
        <f>OBRA!P547</f>
        <v>RENTA DE CAMIÓN DE VOLTEO MARCA FREIGHTLINER DE 14 M3, PARA SER UTILIZADO EN EL MÓDULO DE MAQUINARÍA DEL MUNICIPIO DE JOCOTEPEC, JALISCO.</v>
      </c>
      <c r="N546" s="504" t="s">
        <v>3817</v>
      </c>
      <c r="O546" s="504"/>
      <c r="P546" s="67">
        <f>OBRA!S547</f>
        <v>44204</v>
      </c>
      <c r="Q546" s="79">
        <f>OBRA!R547</f>
        <v>45000</v>
      </c>
      <c r="R546" s="79" t="s">
        <v>3954</v>
      </c>
      <c r="S546" s="5">
        <f>OBRA!T547</f>
        <v>44208</v>
      </c>
      <c r="T546" s="11">
        <f>OBRA!U547</f>
        <v>44298</v>
      </c>
      <c r="U546" s="207" t="s">
        <v>5621</v>
      </c>
      <c r="V546" s="62" t="s">
        <v>1428</v>
      </c>
      <c r="W546" s="309" t="s">
        <v>1428</v>
      </c>
      <c r="X546" s="11" t="s">
        <v>1428</v>
      </c>
      <c r="Y546" s="986" t="s">
        <v>1177</v>
      </c>
      <c r="Z546" s="309"/>
      <c r="AA546" s="309"/>
      <c r="AB546" s="5"/>
      <c r="AC546" s="317">
        <f>OBRA!BW547</f>
        <v>0</v>
      </c>
      <c r="AD546" s="352"/>
    </row>
    <row r="547" spans="1:30" ht="91.5" customHeight="1">
      <c r="A547" s="22" t="str">
        <f>GRAL!G550</f>
        <v>SERVICIO</v>
      </c>
      <c r="B547" s="809" t="str">
        <f>GRAL!B550</f>
        <v>2018-2021</v>
      </c>
      <c r="C547" s="16">
        <f>OBRA!J548</f>
        <v>2021</v>
      </c>
      <c r="D547" s="17" t="str">
        <f>OBRA!M548</f>
        <v>CUENTA CORRIENTE</v>
      </c>
      <c r="E547" s="478" t="s">
        <v>1428</v>
      </c>
      <c r="F547" s="352" t="s">
        <v>1428</v>
      </c>
      <c r="G547" s="1" t="s">
        <v>1177</v>
      </c>
      <c r="H547" s="352" t="s">
        <v>1428</v>
      </c>
      <c r="I547" s="54" t="str">
        <f>OBRA!W548</f>
        <v>GRUPO ARANGE, S.A. DE C.V.</v>
      </c>
      <c r="J547" s="55" t="str">
        <f>OBRA!X548</f>
        <v>DANIEL RODRIGUEZ</v>
      </c>
      <c r="K547" s="33" t="str">
        <f>OBRA!N548</f>
        <v>C- OP 002/2021</v>
      </c>
      <c r="L547" s="2" t="str">
        <f>OBRA!O548</f>
        <v>ARRENDAMIENTO</v>
      </c>
      <c r="M547" s="3" t="str">
        <f>OBRA!P548</f>
        <v>RENTA DE RETROEXCAVADORA MARCA JOHN DEERE MOD 310SJ, PARA SER UTILIZADA EN LIMPIEZA DE CALLES DEL PROGRAMA SADER 2021 DEL MUNICIPIO DE JOCOTEPEC, JALISCO.</v>
      </c>
      <c r="N547" s="504" t="s">
        <v>3817</v>
      </c>
      <c r="O547" s="504"/>
      <c r="P547" s="67">
        <f>OBRA!S548</f>
        <v>44224</v>
      </c>
      <c r="Q547" s="79">
        <f>OBRA!R548</f>
        <v>64960</v>
      </c>
      <c r="R547" s="79" t="s">
        <v>3954</v>
      </c>
      <c r="S547" s="5">
        <f>OBRA!T548</f>
        <v>44228</v>
      </c>
      <c r="T547" s="11">
        <f>OBRA!U548</f>
        <v>44255</v>
      </c>
      <c r="U547" s="207" t="s">
        <v>5621</v>
      </c>
      <c r="V547" s="62" t="s">
        <v>1428</v>
      </c>
      <c r="W547" s="309"/>
      <c r="X547" s="11" t="s">
        <v>1428</v>
      </c>
      <c r="Y547" s="986" t="s">
        <v>1177</v>
      </c>
      <c r="Z547" s="309"/>
      <c r="AA547" s="309"/>
      <c r="AB547" s="5"/>
      <c r="AC547" s="317">
        <f>OBRA!BW548</f>
        <v>0</v>
      </c>
      <c r="AD547" s="352"/>
    </row>
    <row r="548" spans="1:30" ht="88.5" hidden="1" customHeight="1">
      <c r="A548" s="22" t="str">
        <f>GRAL!G551</f>
        <v>SERVICIO</v>
      </c>
      <c r="B548" s="809" t="str">
        <f>GRAL!B551</f>
        <v>2018-2021</v>
      </c>
      <c r="C548" s="16">
        <f>OBRA!J549</f>
        <v>2021</v>
      </c>
      <c r="D548" s="17" t="str">
        <f>OBRA!M549</f>
        <v>CUENTA CORRIENTE</v>
      </c>
      <c r="E548" s="478" t="s">
        <v>1428</v>
      </c>
      <c r="F548" s="352" t="s">
        <v>1428</v>
      </c>
      <c r="G548" s="1" t="s">
        <v>1177</v>
      </c>
      <c r="H548" s="352" t="s">
        <v>1428</v>
      </c>
      <c r="I548" s="54">
        <f>OBRA!W549</f>
        <v>0</v>
      </c>
      <c r="J548" s="1088">
        <f>OBRA!X549</f>
        <v>0</v>
      </c>
      <c r="K548" s="19" t="str">
        <f>OBRA!N549</f>
        <v>C- OP 003/2021</v>
      </c>
      <c r="L548" s="2" t="str">
        <f>OBRA!O549</f>
        <v>ARRENDAMIENTO (CANCELADO)</v>
      </c>
      <c r="M548" s="3">
        <f>OBRA!P549</f>
        <v>0</v>
      </c>
      <c r="N548" s="541"/>
      <c r="O548" s="541"/>
      <c r="P548" s="6">
        <f>OBRA!S549</f>
        <v>0</v>
      </c>
      <c r="Q548" s="4">
        <f>OBRA!R549</f>
        <v>0</v>
      </c>
      <c r="R548" s="1023"/>
      <c r="S548" s="5">
        <f>OBRA!T549</f>
        <v>0</v>
      </c>
      <c r="T548" s="11">
        <f>OBRA!U549</f>
        <v>0</v>
      </c>
      <c r="U548" s="207" t="s">
        <v>3815</v>
      </c>
      <c r="V548" s="377" t="s">
        <v>1428</v>
      </c>
      <c r="W548" s="309" t="s">
        <v>1428</v>
      </c>
      <c r="X548" s="509"/>
      <c r="Y548" s="1199">
        <f>OBRA!AR549</f>
        <v>0</v>
      </c>
      <c r="Z548" s="309"/>
      <c r="AA548" s="309"/>
      <c r="AB548" s="5"/>
      <c r="AC548" s="317">
        <f>OBRA!BW549</f>
        <v>0</v>
      </c>
      <c r="AD548" s="352"/>
    </row>
    <row r="549" spans="1:30" ht="150.75" customHeight="1">
      <c r="A549" s="22" t="str">
        <f>GRAL!G552</f>
        <v>SERVICIO</v>
      </c>
      <c r="B549" s="809" t="str">
        <f>GRAL!B552</f>
        <v>2018-2021</v>
      </c>
      <c r="C549" s="16">
        <f>OBRA!J550</f>
        <v>2021</v>
      </c>
      <c r="D549" s="17" t="str">
        <f>OBRA!M550</f>
        <v>CUENTA CORRIENTE</v>
      </c>
      <c r="E549" s="478" t="s">
        <v>1428</v>
      </c>
      <c r="F549" s="352" t="s">
        <v>1428</v>
      </c>
      <c r="G549" s="1" t="s">
        <v>1177</v>
      </c>
      <c r="H549" s="352" t="s">
        <v>1428</v>
      </c>
      <c r="I549" s="54" t="str">
        <f>OBRA!W550</f>
        <v>ING. SERGIO CABRERA</v>
      </c>
      <c r="J549" s="55" t="str">
        <f>OBRA!X550</f>
        <v>LIC. SALVADOR CONTRERAS OLGUÍN</v>
      </c>
      <c r="K549" s="33" t="str">
        <f>OBRA!N550</f>
        <v>C- OP 004/2021</v>
      </c>
      <c r="L549" s="2" t="str">
        <f>OBRA!O550</f>
        <v>ARRENDAMIENTO</v>
      </c>
      <c r="M549" s="3" t="str">
        <f>OBRA!P550</f>
        <v>RENTA DE RETROEXCAVADORA CATERPILAR 416E PARA SER UTILIZADA EN LA OBRA: REHABILITACIÓN DE LÍNEAS HIDROSANITARIAS EN CALLE JUÁREZ, CALLE 30 DE SEPTIEMBRE Y C. 5 DE MAYO" EN LA DELEGACIÓN DE HUEJOTITÁN, DEL MUNICIPIO DE JOCOTEPEC, JALISCO.</v>
      </c>
      <c r="N549" s="504" t="s">
        <v>3817</v>
      </c>
      <c r="O549" s="504"/>
      <c r="P549" s="67">
        <f>OBRA!S550</f>
        <v>44227</v>
      </c>
      <c r="Q549" s="79">
        <f>OBRA!R550</f>
        <v>580</v>
      </c>
      <c r="R549" s="79" t="s">
        <v>2294</v>
      </c>
      <c r="S549" s="5" t="str">
        <f>OBRA!T550</f>
        <v>-</v>
      </c>
      <c r="T549" s="11" t="str">
        <f>OBRA!U550</f>
        <v>-</v>
      </c>
      <c r="U549" s="207" t="s">
        <v>5621</v>
      </c>
      <c r="V549" s="62" t="s">
        <v>1428</v>
      </c>
      <c r="W549" s="309" t="s">
        <v>1428</v>
      </c>
      <c r="X549" s="11" t="s">
        <v>1428</v>
      </c>
      <c r="Y549" s="986" t="s">
        <v>1177</v>
      </c>
      <c r="Z549" s="309"/>
      <c r="AA549" s="309"/>
      <c r="AB549" s="5"/>
      <c r="AC549" s="317">
        <f>OBRA!BW550</f>
        <v>0</v>
      </c>
      <c r="AD549" s="352"/>
    </row>
    <row r="550" spans="1:30" ht="90" customHeight="1">
      <c r="A550" s="22" t="str">
        <f>GRAL!G553</f>
        <v>SERVICIO</v>
      </c>
      <c r="B550" s="809" t="str">
        <f>GRAL!B553</f>
        <v>2018-2021</v>
      </c>
      <c r="C550" s="16">
        <f>OBRA!J551</f>
        <v>2021</v>
      </c>
      <c r="D550" s="17" t="str">
        <f>OBRA!M551</f>
        <v>CUENTA CORRIENTE</v>
      </c>
      <c r="E550" s="478" t="s">
        <v>1428</v>
      </c>
      <c r="F550" s="352" t="s">
        <v>1428</v>
      </c>
      <c r="G550" s="1" t="s">
        <v>1177</v>
      </c>
      <c r="H550" s="352" t="s">
        <v>1428</v>
      </c>
      <c r="I550" s="54" t="str">
        <f>OBRA!W551</f>
        <v>ING. SERGIO CABRERA</v>
      </c>
      <c r="J550" s="55" t="str">
        <f>OBRA!X551</f>
        <v>LIC. SALVADOR CONTRERAS OLGUÍN</v>
      </c>
      <c r="K550" s="33" t="str">
        <f>OBRA!N551</f>
        <v>C- OP 005/2021</v>
      </c>
      <c r="L550" s="2" t="str">
        <f>OBRA!O551</f>
        <v>ARRENDAMIENTO</v>
      </c>
      <c r="M550" s="3" t="str">
        <f>OBRA!P551</f>
        <v>RENTA DE CAMIÓN DE 14 M3, PARA SER UTILIZADO EN LA OBRA: REHABILITACIÓN DE LÍNEAS HIDROSANITARIAS EN CALLE JUÁREZ, CALLE 30 DE SEPTIEMBRE Y C. 5 DE MAYO" EN LA DELEGACIÓN DE HUEJOTITÁN, DEL MUNICIPIO DE JOCOTEPEC, JALISCO.</v>
      </c>
      <c r="N550" s="504" t="s">
        <v>3817</v>
      </c>
      <c r="O550" s="504"/>
      <c r="P550" s="67">
        <f>OBRA!S551</f>
        <v>44227</v>
      </c>
      <c r="Q550" s="79">
        <f>OBRA!R551</f>
        <v>696</v>
      </c>
      <c r="R550" s="79" t="s">
        <v>2462</v>
      </c>
      <c r="S550" s="5" t="str">
        <f>OBRA!T551</f>
        <v>-</v>
      </c>
      <c r="T550" s="11" t="str">
        <f>OBRA!U551</f>
        <v>-</v>
      </c>
      <c r="U550" s="207" t="s">
        <v>5621</v>
      </c>
      <c r="V550" s="62" t="s">
        <v>1428</v>
      </c>
      <c r="W550" s="309" t="s">
        <v>1428</v>
      </c>
      <c r="X550" s="11" t="s">
        <v>1428</v>
      </c>
      <c r="Y550" s="986" t="s">
        <v>1177</v>
      </c>
      <c r="Z550" s="309"/>
      <c r="AA550" s="309"/>
      <c r="AB550" s="5"/>
      <c r="AC550" s="317">
        <f>OBRA!BW551</f>
        <v>0</v>
      </c>
      <c r="AD550" s="352"/>
    </row>
    <row r="551" spans="1:30" ht="90" customHeight="1">
      <c r="A551" s="22" t="str">
        <f>GRAL!G554</f>
        <v>SERVICIO</v>
      </c>
      <c r="B551" s="809" t="str">
        <f>GRAL!B554</f>
        <v>2018-2021</v>
      </c>
      <c r="C551" s="16">
        <f>OBRA!J552</f>
        <v>2021</v>
      </c>
      <c r="D551" s="17" t="str">
        <f>OBRA!M552</f>
        <v>CUENTA CORRIENTE</v>
      </c>
      <c r="E551" s="478" t="s">
        <v>1428</v>
      </c>
      <c r="F551" s="352" t="s">
        <v>1428</v>
      </c>
      <c r="G551" s="1" t="s">
        <v>1177</v>
      </c>
      <c r="H551" s="352" t="s">
        <v>1428</v>
      </c>
      <c r="I551" s="54" t="str">
        <f>OBRA!W552</f>
        <v xml:space="preserve">SEBASTIAN MARQUEZ RAMOS </v>
      </c>
      <c r="J551" s="55" t="str">
        <f>OBRA!X552</f>
        <v>DANIEL RODRIGUEZ</v>
      </c>
      <c r="K551" s="33" t="str">
        <f>OBRA!N552</f>
        <v>C- OP 006/2021</v>
      </c>
      <c r="L551" s="2" t="str">
        <f>OBRA!O552</f>
        <v>ARRENDAMIENTO</v>
      </c>
      <c r="M551" s="3" t="str">
        <f>OBRA!P552</f>
        <v>RENTA DE CAMIÓN TIPO PIPA MARCA DINA MOD. 1982 CON CAPACIDAD DE 8,000 LITROS PARA ACARRERO DE AGUA, PARA SER UTILIZADA EN LAS OBRAS DEL PROGRAMA SADER 2020 EN EL MUNICIPIO.</v>
      </c>
      <c r="N551" s="504" t="s">
        <v>3817</v>
      </c>
      <c r="O551" s="504"/>
      <c r="P551" s="67">
        <f>OBRA!S552</f>
        <v>44263</v>
      </c>
      <c r="Q551" s="79">
        <f>OBRA!R552</f>
        <v>23200</v>
      </c>
      <c r="R551" s="79" t="s">
        <v>3954</v>
      </c>
      <c r="S551" s="5" t="str">
        <f>OBRA!T552</f>
        <v>-</v>
      </c>
      <c r="T551" s="11" t="str">
        <f>OBRA!U552</f>
        <v>-</v>
      </c>
      <c r="U551" s="207" t="s">
        <v>5621</v>
      </c>
      <c r="V551" s="62" t="s">
        <v>1428</v>
      </c>
      <c r="W551" s="309" t="s">
        <v>1428</v>
      </c>
      <c r="X551" s="11" t="s">
        <v>1428</v>
      </c>
      <c r="Y551" s="986" t="s">
        <v>1177</v>
      </c>
      <c r="Z551" s="309"/>
      <c r="AA551" s="309"/>
      <c r="AB551" s="5"/>
      <c r="AC551" s="317">
        <f>OBRA!BW552</f>
        <v>0</v>
      </c>
      <c r="AD551" s="352"/>
    </row>
    <row r="552" spans="1:30" ht="90" customHeight="1">
      <c r="A552" s="22" t="str">
        <f>GRAL!G555</f>
        <v>SERVICIO</v>
      </c>
      <c r="B552" s="809" t="str">
        <f>GRAL!B555</f>
        <v>2018-2021</v>
      </c>
      <c r="C552" s="16">
        <f>OBRA!J553</f>
        <v>2021</v>
      </c>
      <c r="D552" s="17" t="str">
        <f>OBRA!M553</f>
        <v>CUENTA CORRIENTE</v>
      </c>
      <c r="E552" s="478" t="s">
        <v>1428</v>
      </c>
      <c r="F552" s="352" t="s">
        <v>1428</v>
      </c>
      <c r="G552" s="1" t="s">
        <v>1177</v>
      </c>
      <c r="H552" s="352" t="s">
        <v>1428</v>
      </c>
      <c r="I552" s="54" t="str">
        <f>OBRA!W553</f>
        <v>GRUPO ARANGE, S.A. DE C.V.</v>
      </c>
      <c r="J552" s="55" t="str">
        <f>OBRA!X553</f>
        <v>DANIEL RODRIGUEZ</v>
      </c>
      <c r="K552" s="33" t="str">
        <f>OBRA!N553</f>
        <v>C- OP 007/2021</v>
      </c>
      <c r="L552" s="2" t="str">
        <f>OBRA!O553</f>
        <v>ARRENDAMIENTO</v>
      </c>
      <c r="M552" s="3" t="str">
        <f>OBRA!P553</f>
        <v>RENTA DE CAMIÓN TIPO PIPA MARCA DINA MOD. 1982 CON CAPACIDAD DE 8,000 LITROS PARA ACARRERO DE AGUA, PARA SER UTILIZADA EN LAS OBRAS DEL PROGRAMA SADER 2020 EN EL MUNICIPIO.</v>
      </c>
      <c r="N552" s="504" t="s">
        <v>3817</v>
      </c>
      <c r="O552" s="504"/>
      <c r="P552" s="67">
        <f>OBRA!S553</f>
        <v>44263</v>
      </c>
      <c r="Q552" s="79">
        <f>OBRA!R553</f>
        <v>23200</v>
      </c>
      <c r="R552" s="79" t="s">
        <v>3954</v>
      </c>
      <c r="S552" s="5" t="str">
        <f>OBRA!T553</f>
        <v>-</v>
      </c>
      <c r="T552" s="11" t="str">
        <f>OBRA!U553</f>
        <v>-</v>
      </c>
      <c r="U552" s="207" t="s">
        <v>5621</v>
      </c>
      <c r="V552" s="62" t="s">
        <v>1428</v>
      </c>
      <c r="W552" s="309" t="s">
        <v>1428</v>
      </c>
      <c r="X552" s="11" t="s">
        <v>1428</v>
      </c>
      <c r="Y552" s="986" t="s">
        <v>1177</v>
      </c>
      <c r="Z552" s="309"/>
      <c r="AA552" s="309"/>
      <c r="AB552" s="5"/>
      <c r="AC552" s="317">
        <f>OBRA!BW553</f>
        <v>0</v>
      </c>
      <c r="AD552" s="352"/>
    </row>
    <row r="553" spans="1:30" ht="90" customHeight="1">
      <c r="A553" s="22" t="str">
        <f>GRAL!G556</f>
        <v>SERVICIO</v>
      </c>
      <c r="B553" s="809" t="str">
        <f>GRAL!B556</f>
        <v>2018-2021</v>
      </c>
      <c r="C553" s="16">
        <f>OBRA!J554</f>
        <v>2021</v>
      </c>
      <c r="D553" s="17" t="str">
        <f>OBRA!M554</f>
        <v>CUENTA CORRIENTE</v>
      </c>
      <c r="E553" s="478" t="s">
        <v>1428</v>
      </c>
      <c r="F553" s="352" t="s">
        <v>1428</v>
      </c>
      <c r="G553" s="1" t="s">
        <v>1177</v>
      </c>
      <c r="H553" s="352" t="s">
        <v>1428</v>
      </c>
      <c r="I553" s="54" t="str">
        <f>OBRA!W554</f>
        <v>INDUSTRIAS UNIDAS BOGDAN, S.A. DE C.V.</v>
      </c>
      <c r="J553" s="55" t="str">
        <f>OBRA!X554</f>
        <v>DANIEL RODRIGUEZ</v>
      </c>
      <c r="K553" s="33" t="str">
        <f>OBRA!N554</f>
        <v>C- OP 008/2021</v>
      </c>
      <c r="L553" s="2" t="str">
        <f>OBRA!O554</f>
        <v>ARRENDAMIENTO</v>
      </c>
      <c r="M553" s="3" t="str">
        <f>OBRA!P554</f>
        <v>RENTA DE CAMIÓN DE VOLTEO MARCA FREIGHTLINER DE 7 M3, PARA SER UTILIZADO EN LA CONSTRUCCIÓN DE DRENAJE SANITARIO EN PRIVADA FRANCISCO VILLA DE LA CALLE 1RO DE MAYO A CERRADA, EN LA LOCALIDAD DE LA LOMA, DEL MUNICIPIO DE JOCOTEPEC, JALISCO.</v>
      </c>
      <c r="N553" s="504" t="s">
        <v>3817</v>
      </c>
      <c r="O553" s="504"/>
      <c r="P553" s="67">
        <f>OBRA!S554</f>
        <v>44364</v>
      </c>
      <c r="Q553" s="79">
        <f>OBRA!R554</f>
        <v>4686.3999999999996</v>
      </c>
      <c r="R553" s="79" t="s">
        <v>5591</v>
      </c>
      <c r="S553" s="5" t="str">
        <f>OBRA!T554</f>
        <v>-</v>
      </c>
      <c r="T553" s="11" t="str">
        <f>OBRA!U554</f>
        <v>-</v>
      </c>
      <c r="U553" s="207" t="s">
        <v>5621</v>
      </c>
      <c r="V553" s="62" t="s">
        <v>1428</v>
      </c>
      <c r="W553" s="309" t="s">
        <v>1428</v>
      </c>
      <c r="X553" s="11" t="s">
        <v>1428</v>
      </c>
      <c r="Y553" s="986" t="s">
        <v>1177</v>
      </c>
      <c r="Z553" s="309"/>
      <c r="AA553" s="309"/>
      <c r="AB553" s="5"/>
      <c r="AC553" s="317">
        <f>OBRA!BW554</f>
        <v>0</v>
      </c>
      <c r="AD553" s="352"/>
    </row>
    <row r="554" spans="1:30" ht="140.25" customHeight="1">
      <c r="A554" s="22" t="str">
        <f>GRAL!G557</f>
        <v>SERVICIO</v>
      </c>
      <c r="B554" s="809" t="str">
        <f>GRAL!B557</f>
        <v>2018-2021</v>
      </c>
      <c r="C554" s="16">
        <f>OBRA!J555</f>
        <v>2021</v>
      </c>
      <c r="D554" s="17" t="str">
        <f>OBRA!M555</f>
        <v>CUENTA CORRIENTE</v>
      </c>
      <c r="E554" s="478" t="s">
        <v>1428</v>
      </c>
      <c r="F554" s="352" t="s">
        <v>1428</v>
      </c>
      <c r="G554" s="1"/>
      <c r="H554" s="352" t="s">
        <v>1428</v>
      </c>
      <c r="I554" s="54" t="str">
        <f>OBRA!W555</f>
        <v>INDUSTRIAS UNIDAS BOGDAN, S.A. DE C.V.</v>
      </c>
      <c r="J554" s="55" t="str">
        <f>OBRA!X555</f>
        <v>DANIEL RODRIGUEZ</v>
      </c>
      <c r="K554" s="33" t="str">
        <f>OBRA!N555</f>
        <v>C- OP 009/2021</v>
      </c>
      <c r="L554" s="2" t="str">
        <f>OBRA!O555</f>
        <v>ARRENDAMIENTO</v>
      </c>
      <c r="M554" s="3" t="str">
        <f>OBRA!P555</f>
        <v>RENTA DE RETROEXCAVADORA CATERPILAR 416E PARA SER UTILIZADA EN LA CONSTRUCCIÓN DE DRENAJE SANITARIO EN PRIVADA FRANCISCO VILLA DE LA CALLE 1RO DE MAYO A CERRADA, EN LA LOCALIDAD DE LA LOMA, DEL MUNICIPIO DE JOCOTEPEC, JALISCO.</v>
      </c>
      <c r="N554" s="504" t="s">
        <v>3817</v>
      </c>
      <c r="O554" s="504"/>
      <c r="P554" s="67">
        <f>OBRA!S555</f>
        <v>44364</v>
      </c>
      <c r="Q554" s="79">
        <f>OBRA!R555</f>
        <v>554.48</v>
      </c>
      <c r="R554" s="79" t="s">
        <v>2294</v>
      </c>
      <c r="S554" s="5" t="str">
        <f>OBRA!T555</f>
        <v>-</v>
      </c>
      <c r="T554" s="11" t="str">
        <f>OBRA!U555</f>
        <v>-</v>
      </c>
      <c r="U554" s="207" t="s">
        <v>5621</v>
      </c>
      <c r="V554" s="62" t="s">
        <v>1428</v>
      </c>
      <c r="W554" s="309" t="s">
        <v>1428</v>
      </c>
      <c r="X554" s="11" t="s">
        <v>1428</v>
      </c>
      <c r="Y554" s="986" t="s">
        <v>1177</v>
      </c>
      <c r="Z554" s="309"/>
      <c r="AA554" s="309"/>
      <c r="AB554" s="5"/>
      <c r="AC554" s="317">
        <f>OBRA!BW555</f>
        <v>0</v>
      </c>
      <c r="AD554" s="352"/>
    </row>
    <row r="555" spans="1:30" ht="79.5" customHeight="1">
      <c r="A555" s="22" t="str">
        <f>GRAL!G558</f>
        <v>SERVICIO</v>
      </c>
      <c r="B555" s="809" t="str">
        <f>GRAL!B558</f>
        <v>2018-2021</v>
      </c>
      <c r="C555" s="16">
        <f>OBRA!J556</f>
        <v>2021</v>
      </c>
      <c r="D555" s="17" t="str">
        <f>OBRA!M556</f>
        <v>CUENTA CORRIENTE</v>
      </c>
      <c r="E555" s="478" t="s">
        <v>1428</v>
      </c>
      <c r="F555" s="352" t="s">
        <v>1428</v>
      </c>
      <c r="G555" s="1"/>
      <c r="H555" s="352" t="s">
        <v>1428</v>
      </c>
      <c r="I555" s="54" t="str">
        <f>OBRA!W556</f>
        <v>J. TRINIDAD NÚÑEZ BRITO</v>
      </c>
      <c r="J555" s="55" t="str">
        <f>OBRA!X556</f>
        <v>ING. MIGUEL MACHUCA HERNÁNDEZ</v>
      </c>
      <c r="K555" s="33" t="str">
        <f>OBRA!N556</f>
        <v>C.P.S.P. D.O.P. 001/2021</v>
      </c>
      <c r="L555" s="2" t="str">
        <f>OBRA!O556</f>
        <v>SERVICIOS</v>
      </c>
      <c r="M555" s="3" t="str">
        <f>OBRA!P556</f>
        <v>ESTUDIO GEOHIDROLÓGICO-GEOFÍSICOS PARA LOCALIZACIÓN Y/O PERFORACIÓN DE POZO PARA AGUA POTABLE UBICADO EN CALLE MORELOS EN LA AGENCIA DE NEXTIPAC, DEL MUNICIPIO DE JOCOTEPEC, JALISCO.</v>
      </c>
      <c r="N555" s="504" t="s">
        <v>3818</v>
      </c>
      <c r="O555" s="504"/>
      <c r="P555" s="67">
        <f>OBRA!S556</f>
        <v>44204</v>
      </c>
      <c r="Q555" s="79">
        <f>OBRA!R556</f>
        <v>11600</v>
      </c>
      <c r="R555" s="79" t="s">
        <v>68</v>
      </c>
      <c r="S555" s="5">
        <f>OBRA!T556</f>
        <v>44207</v>
      </c>
      <c r="T555" s="11">
        <f>OBRA!U556</f>
        <v>44214</v>
      </c>
      <c r="U555" s="1352" t="s">
        <v>5620</v>
      </c>
      <c r="V555" s="62" t="s">
        <v>1428</v>
      </c>
      <c r="W555" s="309" t="s">
        <v>1428</v>
      </c>
      <c r="X555" s="11" t="s">
        <v>1428</v>
      </c>
      <c r="Y555" s="986" t="s">
        <v>1177</v>
      </c>
      <c r="Z555" s="309"/>
      <c r="AA555" s="309"/>
      <c r="AB555" s="5"/>
      <c r="AC555" s="317">
        <f>OBRA!BW556</f>
        <v>0</v>
      </c>
      <c r="AD555" s="352"/>
    </row>
    <row r="556" spans="1:30" ht="54.75" hidden="1" customHeight="1">
      <c r="A556" s="22" t="str">
        <f>GRAL!G559</f>
        <v>SERVICIO</v>
      </c>
      <c r="B556" s="809" t="str">
        <f>GRAL!B559</f>
        <v>2018-2021</v>
      </c>
      <c r="C556" s="16">
        <f>OBRA!J557</f>
        <v>2021</v>
      </c>
      <c r="D556" s="17" t="str">
        <f>OBRA!M557</f>
        <v>CUENTA CORRIENTE</v>
      </c>
      <c r="E556" s="478" t="s">
        <v>1428</v>
      </c>
      <c r="F556" s="352" t="s">
        <v>1428</v>
      </c>
      <c r="G556" s="219"/>
      <c r="H556" s="352" t="s">
        <v>1428</v>
      </c>
      <c r="I556" s="54">
        <f>OBRA!W557</f>
        <v>0</v>
      </c>
      <c r="J556" s="55">
        <f>OBRA!X557</f>
        <v>0</v>
      </c>
      <c r="K556" s="33" t="str">
        <f>OBRA!N557</f>
        <v>C.P.S.P. D.O.P. 002/2021</v>
      </c>
      <c r="L556" s="2" t="str">
        <f>OBRA!O557</f>
        <v>SERVICIOS (CANCELADO)</v>
      </c>
      <c r="M556" s="3">
        <f>OBRA!P557</f>
        <v>0</v>
      </c>
      <c r="N556" s="541"/>
      <c r="O556" s="541"/>
      <c r="P556" s="6">
        <f>OBRA!S557</f>
        <v>0</v>
      </c>
      <c r="Q556" s="4">
        <f>OBRA!R557</f>
        <v>0</v>
      </c>
      <c r="R556" s="1023"/>
      <c r="S556" s="5">
        <f>OBRA!T557</f>
        <v>0</v>
      </c>
      <c r="T556" s="11">
        <f>OBRA!U557</f>
        <v>0</v>
      </c>
      <c r="U556" s="207" t="s">
        <v>3815</v>
      </c>
      <c r="V556" s="377" t="s">
        <v>1428</v>
      </c>
      <c r="W556" s="309" t="s">
        <v>1428</v>
      </c>
      <c r="X556" s="509"/>
      <c r="Y556" s="1199">
        <f>OBRA!AR557</f>
        <v>0</v>
      </c>
      <c r="Z556" s="309"/>
      <c r="AA556" s="309"/>
      <c r="AB556" s="5"/>
      <c r="AC556" s="317">
        <f>OBRA!BW557</f>
        <v>0</v>
      </c>
      <c r="AD556" s="352"/>
    </row>
    <row r="557" spans="1:30" ht="81.75" customHeight="1">
      <c r="A557" s="22" t="str">
        <f>GRAL!G560</f>
        <v>SERVICIO</v>
      </c>
      <c r="B557" s="809" t="str">
        <f>GRAL!B560</f>
        <v>2018-2021</v>
      </c>
      <c r="C557" s="16">
        <f>OBRA!J558</f>
        <v>2021</v>
      </c>
      <c r="D557" s="17" t="str">
        <f>OBRA!M558</f>
        <v>CUENTA CORRIENTE</v>
      </c>
      <c r="E557" s="478" t="s">
        <v>1428</v>
      </c>
      <c r="F557" s="352" t="s">
        <v>1428</v>
      </c>
      <c r="G557" s="1"/>
      <c r="H557" s="352" t="s">
        <v>1428</v>
      </c>
      <c r="I557" s="54" t="str">
        <f>OBRA!W558</f>
        <v>ARGUELLES ARQUITECTOS, S.A. DE C.V.</v>
      </c>
      <c r="J557" s="55" t="str">
        <f>OBRA!X558</f>
        <v>ARQ. FRANCISCO SALAZAR</v>
      </c>
      <c r="K557" s="33" t="str">
        <f>OBRA!N558</f>
        <v>C.P.S.P. D.O.P. 003/2021</v>
      </c>
      <c r="L557" s="2" t="str">
        <f>OBRA!O558</f>
        <v>SERVICIOS</v>
      </c>
      <c r="M557" s="3" t="str">
        <f>OBRA!P558</f>
        <v>GESTIÓN DE: "LICENCIA DEL PERMISO PARA REMOZAMIENTO Y MEJORAMIENTO DE IMAGEN URBANA EN EL TEMPLO DEL SEÑOR DEL MONTE", EN LA CABECERA MUNICIPAL DE JOCOTEPEC, JALISCO.</v>
      </c>
      <c r="N557" s="504" t="s">
        <v>3818</v>
      </c>
      <c r="O557" s="504"/>
      <c r="P557" s="67">
        <f>OBRA!S558</f>
        <v>44212</v>
      </c>
      <c r="Q557" s="79">
        <f>OBRA!R558</f>
        <v>23200</v>
      </c>
      <c r="R557" s="79" t="s">
        <v>68</v>
      </c>
      <c r="S557" s="5" t="str">
        <f>OBRA!T558</f>
        <v>-</v>
      </c>
      <c r="T557" s="11" t="str">
        <f>OBRA!U558</f>
        <v>-</v>
      </c>
      <c r="U557" s="1352" t="s">
        <v>5620</v>
      </c>
      <c r="V557" s="62" t="s">
        <v>1428</v>
      </c>
      <c r="W557" s="309" t="s">
        <v>1428</v>
      </c>
      <c r="X557" s="11" t="s">
        <v>1428</v>
      </c>
      <c r="Y557" s="986" t="s">
        <v>1177</v>
      </c>
      <c r="Z557" s="309"/>
      <c r="AA557" s="309"/>
      <c r="AB557" s="5"/>
      <c r="AC557" s="317">
        <f>OBRA!BW558</f>
        <v>0</v>
      </c>
      <c r="AD557" s="352"/>
    </row>
    <row r="558" spans="1:30" ht="15" hidden="1" customHeight="1">
      <c r="A558" s="22" t="str">
        <f>GRAL!G561</f>
        <v>SERVICIO</v>
      </c>
      <c r="B558" s="809" t="str">
        <f>GRAL!B561</f>
        <v>2018-2021</v>
      </c>
      <c r="C558" s="16">
        <f>OBRA!J559</f>
        <v>2021</v>
      </c>
      <c r="D558" s="17" t="str">
        <f>OBRA!M559</f>
        <v>CUENTA CORRIENTE</v>
      </c>
      <c r="E558" s="478" t="s">
        <v>1428</v>
      </c>
      <c r="F558" s="352" t="s">
        <v>1428</v>
      </c>
      <c r="G558" s="219"/>
      <c r="H558" s="352" t="s">
        <v>1428</v>
      </c>
      <c r="I558" s="54">
        <f>OBRA!W559</f>
        <v>0</v>
      </c>
      <c r="J558" s="55">
        <f>OBRA!X559</f>
        <v>0</v>
      </c>
      <c r="K558" s="33" t="str">
        <f>OBRA!N559</f>
        <v>C.P.S.P. D.O.P. 004/2021</v>
      </c>
      <c r="L558" s="2" t="str">
        <f>OBRA!O559</f>
        <v>SERVICIOS (CANCELADO)</v>
      </c>
      <c r="M558" s="3">
        <f>OBRA!P559</f>
        <v>0</v>
      </c>
      <c r="N558" s="541"/>
      <c r="O558" s="541"/>
      <c r="P558" s="6">
        <f>OBRA!S559</f>
        <v>0</v>
      </c>
      <c r="Q558" s="4">
        <f>OBRA!R559</f>
        <v>0</v>
      </c>
      <c r="R558" s="1023"/>
      <c r="S558" s="5">
        <f>OBRA!T559</f>
        <v>0</v>
      </c>
      <c r="T558" s="11">
        <f>OBRA!U559</f>
        <v>0</v>
      </c>
      <c r="U558" s="207" t="s">
        <v>3815</v>
      </c>
      <c r="V558" s="377" t="s">
        <v>1428</v>
      </c>
      <c r="W558" s="309" t="s">
        <v>1428</v>
      </c>
      <c r="X558" s="509"/>
      <c r="Y558" s="1199">
        <f>OBRA!AR559</f>
        <v>0</v>
      </c>
      <c r="Z558" s="309"/>
      <c r="AA558" s="309"/>
      <c r="AB558" s="5"/>
      <c r="AC558" s="317">
        <f>OBRA!BW559</f>
        <v>0</v>
      </c>
      <c r="AD558" s="352"/>
    </row>
    <row r="559" spans="1:30" ht="162.75" customHeight="1">
      <c r="A559" s="22" t="str">
        <f>GRAL!G562</f>
        <v>SERVICIO</v>
      </c>
      <c r="B559" s="809" t="str">
        <f>GRAL!B562</f>
        <v>2018-2021</v>
      </c>
      <c r="C559" s="16">
        <f>OBRA!J560</f>
        <v>2021</v>
      </c>
      <c r="D559" s="17" t="str">
        <f>OBRA!M560</f>
        <v>CUENTA CORRIENTE</v>
      </c>
      <c r="E559" s="478" t="s">
        <v>1428</v>
      </c>
      <c r="F559" s="352" t="s">
        <v>1428</v>
      </c>
      <c r="G559" s="1"/>
      <c r="H559" s="352" t="s">
        <v>1428</v>
      </c>
      <c r="I559" s="54">
        <f>OBRA!X560</f>
        <v>0</v>
      </c>
      <c r="J559" s="55">
        <f>OBRA!X560</f>
        <v>0</v>
      </c>
      <c r="K559" s="33" t="str">
        <f>OBRA!N560</f>
        <v>C.P.S.P. D.O.P. 005/2021</v>
      </c>
      <c r="L559" s="2" t="str">
        <f>OBRA!O560</f>
        <v>SERVICIOS</v>
      </c>
      <c r="M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4" t="s">
        <v>3818</v>
      </c>
      <c r="O559" s="504"/>
      <c r="P559" s="67">
        <f>OBRA!S560</f>
        <v>44400</v>
      </c>
      <c r="Q559" s="79">
        <f>OBRA!R560</f>
        <v>16239.999999999998</v>
      </c>
      <c r="R559" s="79" t="s">
        <v>68</v>
      </c>
      <c r="S559" s="5">
        <f>OBRA!T560</f>
        <v>0</v>
      </c>
      <c r="T559" s="11">
        <f>OBRA!U560</f>
        <v>0</v>
      </c>
      <c r="U559" s="1352" t="s">
        <v>5620</v>
      </c>
      <c r="V559" s="62" t="s">
        <v>1428</v>
      </c>
      <c r="W559" s="309" t="s">
        <v>1428</v>
      </c>
      <c r="X559" s="11" t="s">
        <v>1428</v>
      </c>
      <c r="Y559" s="986" t="s">
        <v>1177</v>
      </c>
      <c r="Z559" s="309"/>
      <c r="AA559" s="309"/>
      <c r="AB559" s="5"/>
      <c r="AC559" s="317">
        <f>OBRA!BW560</f>
        <v>0</v>
      </c>
      <c r="AD559" s="352"/>
    </row>
    <row r="560" spans="1:30" ht="15" hidden="1" customHeight="1">
      <c r="A560" s="22" t="str">
        <f>GRAL!G563</f>
        <v>SERVICIO</v>
      </c>
      <c r="B560" s="809" t="str">
        <f>GRAL!B563</f>
        <v>2018-2021</v>
      </c>
      <c r="C560" s="16">
        <f>OBRA!J561</f>
        <v>2021</v>
      </c>
      <c r="D560" s="17" t="str">
        <f>OBRA!M561</f>
        <v>CUENTA CORRIENTE</v>
      </c>
      <c r="E560" s="478" t="s">
        <v>1428</v>
      </c>
      <c r="F560" s="352" t="s">
        <v>1428</v>
      </c>
      <c r="G560" s="219"/>
      <c r="H560" s="352" t="s">
        <v>1428</v>
      </c>
      <c r="I560" s="54">
        <f>OBRA!W561</f>
        <v>0</v>
      </c>
      <c r="J560" s="55">
        <f>OBRA!X561</f>
        <v>0</v>
      </c>
      <c r="K560" s="33" t="str">
        <f>OBRA!N561</f>
        <v>C.P.S.P. D.O.P. 006/2021</v>
      </c>
      <c r="L560" s="2" t="str">
        <f>OBRA!O561</f>
        <v>SERVICIOS (CANCELADO)</v>
      </c>
      <c r="M560" s="3">
        <f>OBRA!P561</f>
        <v>0</v>
      </c>
      <c r="N560" s="541"/>
      <c r="O560" s="541"/>
      <c r="P560" s="6">
        <f>OBRA!S561</f>
        <v>0</v>
      </c>
      <c r="Q560" s="4">
        <f>OBRA!R561</f>
        <v>0</v>
      </c>
      <c r="R560" s="1023"/>
      <c r="S560" s="5">
        <f>OBRA!T561</f>
        <v>0</v>
      </c>
      <c r="T560" s="11">
        <f>OBRA!U561</f>
        <v>0</v>
      </c>
      <c r="U560" s="207" t="s">
        <v>3815</v>
      </c>
      <c r="V560" s="377" t="s">
        <v>1428</v>
      </c>
      <c r="W560" s="309" t="s">
        <v>1428</v>
      </c>
      <c r="X560" s="509"/>
      <c r="Y560" s="1199">
        <f>OBRA!AR561</f>
        <v>0</v>
      </c>
      <c r="Z560" s="309"/>
      <c r="AA560" s="309"/>
      <c r="AB560" s="5"/>
      <c r="AC560" s="317">
        <f>OBRA!BW561</f>
        <v>0</v>
      </c>
      <c r="AD560" s="352"/>
    </row>
    <row r="561" spans="1:30" ht="127.5" customHeight="1">
      <c r="A561" s="22" t="str">
        <f>GRAL!G564</f>
        <v>SERVICIO</v>
      </c>
      <c r="B561" s="809" t="str">
        <f>GRAL!B564</f>
        <v>2018-2021</v>
      </c>
      <c r="C561" s="16">
        <f>OBRA!J562</f>
        <v>2021</v>
      </c>
      <c r="D561" s="17" t="str">
        <f>OBRA!M562</f>
        <v>CUENTA CORRIENTE</v>
      </c>
      <c r="E561" s="478" t="s">
        <v>1428</v>
      </c>
      <c r="F561" s="352" t="s">
        <v>1428</v>
      </c>
      <c r="G561" s="1"/>
      <c r="H561" s="352" t="s">
        <v>1428</v>
      </c>
      <c r="I561" s="54">
        <f>OBRA!X562</f>
        <v>0</v>
      </c>
      <c r="J561" s="55">
        <f>OBRA!X562</f>
        <v>0</v>
      </c>
      <c r="K561" s="33" t="str">
        <f>OBRA!N562</f>
        <v>C.P.S.P. D.O.P. 007/2021</v>
      </c>
      <c r="L561" s="2" t="str">
        <f>OBRA!O562</f>
        <v>SERVICIOS</v>
      </c>
      <c r="M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4" t="s">
        <v>3818</v>
      </c>
      <c r="O561" s="504"/>
      <c r="P561" s="67">
        <f>OBRA!S562</f>
        <v>44441</v>
      </c>
      <c r="Q561" s="79">
        <f>OBRA!R562</f>
        <v>16240</v>
      </c>
      <c r="R561" s="79" t="s">
        <v>68</v>
      </c>
      <c r="S561" s="5" t="str">
        <f>OBRA!T562</f>
        <v>-</v>
      </c>
      <c r="T561" s="11" t="str">
        <f>OBRA!U562</f>
        <v>-</v>
      </c>
      <c r="U561" s="1352" t="s">
        <v>5620</v>
      </c>
      <c r="V561" s="62" t="s">
        <v>1428</v>
      </c>
      <c r="W561" s="309" t="s">
        <v>1428</v>
      </c>
      <c r="X561" s="11" t="s">
        <v>1428</v>
      </c>
      <c r="Y561" s="986" t="s">
        <v>1177</v>
      </c>
      <c r="Z561" s="309"/>
      <c r="AA561" s="309"/>
      <c r="AB561" s="5"/>
      <c r="AC561" s="317">
        <f>OBRA!BW562</f>
        <v>0</v>
      </c>
      <c r="AD561" s="352"/>
    </row>
    <row r="562" spans="1:30" ht="234.75" customHeight="1">
      <c r="A562" s="22" t="str">
        <f>GRAL!G565</f>
        <v>SERVICIO</v>
      </c>
      <c r="B562" s="809" t="str">
        <f>GRAL!B565</f>
        <v>2018-2021</v>
      </c>
      <c r="C562" s="16">
        <f>OBRA!J563</f>
        <v>2021</v>
      </c>
      <c r="D562" s="17" t="str">
        <f>OBRA!M563</f>
        <v>CUENTA CORRIENTE</v>
      </c>
      <c r="E562" s="478" t="s">
        <v>1428</v>
      </c>
      <c r="F562" s="352" t="s">
        <v>1428</v>
      </c>
      <c r="G562" s="1"/>
      <c r="H562" s="352" t="s">
        <v>1428</v>
      </c>
      <c r="I562" s="54">
        <f>OBRA!X563</f>
        <v>0</v>
      </c>
      <c r="J562" s="55">
        <f>OBRA!X563</f>
        <v>0</v>
      </c>
      <c r="K562" s="33" t="str">
        <f>OBRA!N563</f>
        <v>C.P.S.P. D.O.P. 008/2021</v>
      </c>
      <c r="L562" s="2" t="str">
        <f>OBRA!O563</f>
        <v>SERVICIOS</v>
      </c>
      <c r="M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4" t="s">
        <v>3818</v>
      </c>
      <c r="O562" s="504"/>
      <c r="P562" s="67">
        <f>OBRA!S563</f>
        <v>44435</v>
      </c>
      <c r="Q562" s="79">
        <f>OBRA!R563</f>
        <v>226407.64</v>
      </c>
      <c r="R562" s="79" t="s">
        <v>68</v>
      </c>
      <c r="S562" s="5" t="str">
        <f>OBRA!T563</f>
        <v>-</v>
      </c>
      <c r="T562" s="11" t="str">
        <f>OBRA!U563</f>
        <v>-</v>
      </c>
      <c r="U562" s="1352" t="s">
        <v>5620</v>
      </c>
      <c r="V562" s="62" t="s">
        <v>1428</v>
      </c>
      <c r="W562" s="309" t="s">
        <v>1428</v>
      </c>
      <c r="X562" s="11" t="s">
        <v>1428</v>
      </c>
      <c r="Y562" s="986" t="s">
        <v>1177</v>
      </c>
      <c r="Z562" s="309"/>
      <c r="AA562" s="309"/>
      <c r="AB562" s="5"/>
      <c r="AC562" s="317">
        <f>OBRA!BW563</f>
        <v>0</v>
      </c>
      <c r="AD562" s="352"/>
    </row>
    <row r="563" spans="1:30" ht="129" customHeight="1">
      <c r="A563" s="22" t="str">
        <f>GRAL!G566</f>
        <v>SERVICIO</v>
      </c>
      <c r="B563" s="809" t="str">
        <f>GRAL!B566</f>
        <v>2018-2021</v>
      </c>
      <c r="C563" s="16">
        <f>OBRA!J564</f>
        <v>2021</v>
      </c>
      <c r="D563" s="17" t="str">
        <f>OBRA!M564</f>
        <v>CUENTA CORRIENTE</v>
      </c>
      <c r="E563" s="478" t="s">
        <v>1428</v>
      </c>
      <c r="F563" s="352" t="s">
        <v>1428</v>
      </c>
      <c r="G563" s="1"/>
      <c r="H563" s="352" t="s">
        <v>1428</v>
      </c>
      <c r="I563" s="54">
        <f>OBRA!X564</f>
        <v>0</v>
      </c>
      <c r="J563" s="55">
        <f>OBRA!X564</f>
        <v>0</v>
      </c>
      <c r="K563" s="33" t="str">
        <f>OBRA!N564</f>
        <v>C.P.S.P. D.O.P. 009/2021</v>
      </c>
      <c r="L563" s="2" t="str">
        <f>OBRA!O564</f>
        <v>SERVICIOS</v>
      </c>
      <c r="M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4" t="s">
        <v>3818</v>
      </c>
      <c r="O563" s="504"/>
      <c r="P563" s="67">
        <f>OBRA!S564</f>
        <v>44432</v>
      </c>
      <c r="Q563" s="79">
        <f>OBRA!R564</f>
        <v>91300</v>
      </c>
      <c r="R563" s="79" t="s">
        <v>68</v>
      </c>
      <c r="S563" s="5" t="str">
        <f>OBRA!T564</f>
        <v>-</v>
      </c>
      <c r="T563" s="11" t="str">
        <f>OBRA!U564</f>
        <v>-</v>
      </c>
      <c r="U563" s="1352" t="s">
        <v>5620</v>
      </c>
      <c r="V563" s="62" t="s">
        <v>1428</v>
      </c>
      <c r="W563" s="309" t="s">
        <v>1428</v>
      </c>
      <c r="X563" s="11" t="s">
        <v>1428</v>
      </c>
      <c r="Y563" s="986" t="s">
        <v>1177</v>
      </c>
      <c r="Z563" s="309"/>
      <c r="AA563" s="309"/>
      <c r="AB563" s="5"/>
      <c r="AC563" s="317">
        <f>OBRA!BW564</f>
        <v>0</v>
      </c>
      <c r="AD563" s="352"/>
    </row>
    <row r="564" spans="1:30" ht="88.5" hidden="1" customHeight="1">
      <c r="A564" s="22" t="str">
        <f>GRAL!G567</f>
        <v>OBRA</v>
      </c>
      <c r="B564" s="809" t="str">
        <f>GRAL!B567</f>
        <v>2018-2021</v>
      </c>
      <c r="C564" s="16">
        <f>OBRA!J565</f>
        <v>2021</v>
      </c>
      <c r="D564" s="17" t="str">
        <f>OBRA!M565</f>
        <v>CUENTA CORRIENTE</v>
      </c>
      <c r="E564" s="478" t="s">
        <v>1428</v>
      </c>
      <c r="F564" s="1108"/>
      <c r="G564" s="219"/>
      <c r="H564" s="1108"/>
      <c r="I564" s="54" t="str">
        <f>OBRA!W565</f>
        <v>JESSICA MONSERRAT RIVERA TORRES</v>
      </c>
      <c r="J564" s="55" t="str">
        <f>OBRA!X565</f>
        <v>ING. MIGUEL MACHUCA HERNÁNDEZ / ING. LUIS RIGOBERTO OLMEDO NAVARRO</v>
      </c>
      <c r="K564" s="19" t="str">
        <f>OBRA!N565</f>
        <v>GMJ 001C- OP/2021</v>
      </c>
      <c r="L564" s="2" t="str">
        <f>OBRA!O565</f>
        <v>ADJUDICACIÓN DIRECTA</v>
      </c>
      <c r="M564" s="3" t="str">
        <f>OBRA!P565</f>
        <v>"PERFORACIÓN DE POZO PROFUNDO "MORELOS" A 250 ML", EN LA AGENCIA MUNICIPAL DE NEXTIPAC, DEL MUNICIPIO DE JOCOTEPEC, JALISCO.</v>
      </c>
      <c r="N564" s="541"/>
      <c r="O564" s="541"/>
      <c r="P564" s="6">
        <f>OBRA!S565</f>
        <v>44208</v>
      </c>
      <c r="Q564" s="4">
        <f>OBRA!R565</f>
        <v>1300000</v>
      </c>
      <c r="R564" s="1023"/>
      <c r="S564" s="5">
        <f>OBRA!T565</f>
        <v>44231</v>
      </c>
      <c r="T564" s="11">
        <f>OBRA!U565</f>
        <v>44377</v>
      </c>
      <c r="U564" s="53"/>
      <c r="V564" s="377" t="s">
        <v>1428</v>
      </c>
      <c r="W564" s="508"/>
      <c r="X564" s="509"/>
      <c r="Y564" s="280">
        <f>OBRA!AR565</f>
        <v>455000</v>
      </c>
      <c r="Z564" s="309"/>
      <c r="AA564" s="309"/>
      <c r="AB564" s="5"/>
      <c r="AC564" s="317">
        <f>OBRA!BW565</f>
        <v>0</v>
      </c>
      <c r="AD564" s="352"/>
    </row>
    <row r="565" spans="1:30" ht="15" hidden="1" customHeight="1">
      <c r="A565" s="22" t="str">
        <f>GRAL!G568</f>
        <v>OBRA</v>
      </c>
      <c r="B565" s="809" t="str">
        <f>GRAL!B568</f>
        <v>2018-2021</v>
      </c>
      <c r="C565" s="16">
        <f>OBRA!J566</f>
        <v>2021</v>
      </c>
      <c r="D565" s="17" t="str">
        <f>OBRA!M566</f>
        <v>RAMO 33</v>
      </c>
      <c r="E565" s="478"/>
      <c r="F565" s="352"/>
      <c r="G565" s="1"/>
      <c r="H565" s="352"/>
      <c r="I565" s="54" t="str">
        <f>OBRA!W566</f>
        <v>CONCRETOS, ASFALTOS Y CIMENTACIONES EDIR, S.A. DE C.V.</v>
      </c>
      <c r="J565" s="55" t="str">
        <f>OBRA!X566</f>
        <v xml:space="preserve">ING. ENRIQUE ENRÍQUEZ VÁZQUEZ </v>
      </c>
      <c r="K565" s="19" t="str">
        <f>OBRA!N566</f>
        <v>GMJ 002C- OP/2021</v>
      </c>
      <c r="L565" s="2" t="str">
        <f>OBRA!O566</f>
        <v>CONCURSO SIMPLIFICADO SUMARIO</v>
      </c>
      <c r="M565" s="3" t="str">
        <f>OBRA!P566</f>
        <v>"REHABILITACIÓN DE LÍNEAS HIDROSANITARÍAS CON REPOSICIÓN DE SUPERFICIE DE RODAMIENTO EN CALLE MORELOS DE CALLE NICOLÁS BRAVO A CALLE GONZÁLEZ ORTEGA" EN LA CABECERA MUNICIPAL DE JOCOTEPEC, JALISCO, (NEXTIPAC).</v>
      </c>
      <c r="N565" s="3"/>
      <c r="O565" s="3"/>
      <c r="P565" s="6">
        <f>OBRA!S566</f>
        <v>44210</v>
      </c>
      <c r="Q565" s="4">
        <f>OBRA!R566</f>
        <v>2242164.25</v>
      </c>
      <c r="R565" s="1023"/>
      <c r="S565" s="5">
        <f>OBRA!T566</f>
        <v>44211</v>
      </c>
      <c r="T565" s="11">
        <f>OBRA!U566</f>
        <v>44270</v>
      </c>
      <c r="U565" s="53"/>
      <c r="V565" s="377" t="s">
        <v>1428</v>
      </c>
      <c r="W565" s="309"/>
      <c r="X565" s="11"/>
      <c r="Y565" s="279">
        <f>OBRA!AR566</f>
        <v>398055.22</v>
      </c>
      <c r="Z565" s="309"/>
      <c r="AA565" s="309"/>
      <c r="AB565" s="5"/>
      <c r="AC565" s="317">
        <f>OBRA!BW566</f>
        <v>0</v>
      </c>
      <c r="AD565" s="352"/>
    </row>
    <row r="566" spans="1:30" ht="101.25" hidden="1" customHeight="1">
      <c r="A566" s="22" t="str">
        <f>GRAL!G569</f>
        <v>OBRA</v>
      </c>
      <c r="B566" s="809" t="str">
        <f>GRAL!B569</f>
        <v>2018-2021</v>
      </c>
      <c r="C566" s="16">
        <f>OBRA!J567</f>
        <v>2021</v>
      </c>
      <c r="D566" s="17" t="str">
        <f>OBRA!M567</f>
        <v>CUENTA CORRIENTE</v>
      </c>
      <c r="E566" s="478" t="s">
        <v>1428</v>
      </c>
      <c r="F566" s="1108"/>
      <c r="G566" s="219"/>
      <c r="H566" s="1108"/>
      <c r="I566" s="54" t="str">
        <f>OBRA!W567</f>
        <v>C. SERGIO CABRERA</v>
      </c>
      <c r="J566" s="1088" t="str">
        <f>OBRA!X567</f>
        <v xml:space="preserve">ING. ENRIQUE ENRÍQUEZ VÁZQUEZ </v>
      </c>
      <c r="K566" s="19" t="str">
        <f>OBRA!N567</f>
        <v>GMJ 003C- OP/2021</v>
      </c>
      <c r="L566" s="2" t="str">
        <f>OBRA!O567</f>
        <v>CANCELADA</v>
      </c>
      <c r="M566" s="3" t="str">
        <f>OBRA!P567</f>
        <v>"IMAGEN URBANA EN CALLE MORELOS DE CALLE NICOLÁS BRAVO A PRIVADA GONZÁLEZ ORTEGA", EN LA CABECERA MUNICIPAL DE JOCOTEPEC, JALISCO, (NEXTIPAC).</v>
      </c>
      <c r="N566" s="541"/>
      <c r="O566" s="541"/>
      <c r="P566" s="6">
        <f>OBRA!S567</f>
        <v>44208</v>
      </c>
      <c r="Q566" s="4">
        <f>OBRA!R567</f>
        <v>195609.22</v>
      </c>
      <c r="R566" s="1023"/>
      <c r="S566" s="5">
        <f>OBRA!T567</f>
        <v>44242</v>
      </c>
      <c r="T566" s="11">
        <f>OBRA!U567</f>
        <v>44270</v>
      </c>
      <c r="U566" s="53"/>
      <c r="V566" s="377" t="s">
        <v>1428</v>
      </c>
      <c r="W566" s="508"/>
      <c r="X566" s="509"/>
      <c r="Y566" s="280">
        <f>OBRA!AR567</f>
        <v>0</v>
      </c>
      <c r="Z566" s="309"/>
      <c r="AA566" s="309"/>
      <c r="AB566" s="5"/>
      <c r="AC566" s="317">
        <f>OBRA!BW567</f>
        <v>0</v>
      </c>
      <c r="AD566" s="352"/>
    </row>
    <row r="567" spans="1:30" ht="15" hidden="1" customHeight="1">
      <c r="A567" s="22" t="str">
        <f>GRAL!G570</f>
        <v>OBRA</v>
      </c>
      <c r="B567" s="809" t="str">
        <f>GRAL!B570</f>
        <v>2018-2021</v>
      </c>
      <c r="C567" s="16">
        <f>OBRA!J568</f>
        <v>2021</v>
      </c>
      <c r="D567" s="17" t="str">
        <f>OBRA!M568</f>
        <v>RAMO 33</v>
      </c>
      <c r="E567" s="478"/>
      <c r="F567" s="352"/>
      <c r="G567" s="1"/>
      <c r="H567" s="352"/>
      <c r="I567" s="54" t="str">
        <f>OBRA!W568</f>
        <v>TERRACERÍAS Y PAVIMENTOS DE LA RIBERA, S.A. DE C.V.</v>
      </c>
      <c r="J567" s="55" t="str">
        <f>OBRA!X568</f>
        <v xml:space="preserve">ING. ENRIQUE ENRÍQUEZ VÁZQUEZ </v>
      </c>
      <c r="K567" s="19" t="str">
        <f>OBRA!N568</f>
        <v>GMJ 004C- OP/2021</v>
      </c>
      <c r="L567" s="2" t="str">
        <f>OBRA!O568</f>
        <v>CONCURSO SIMPLIFICADO SUMARIO</v>
      </c>
      <c r="M567" s="3" t="str">
        <f>OBRA!P568</f>
        <v>"REHABILITACIÓN DE LÍNEAS HDROSANITARIAS CON REPOSICIÓN DE SUPERFICIE DE RODAMIENTO EN CALLE MORELOS DE CALLE GONZÁLEZ ORTEGA A CALLE CRISTOBAL COLÓN, EN LA CABECERA MUNICIPAL DE JOCOTEPEC, JALISCO (NEXTIPAC).</v>
      </c>
      <c r="N567" s="3"/>
      <c r="O567" s="3"/>
      <c r="P567" s="6">
        <f>OBRA!S568</f>
        <v>44210</v>
      </c>
      <c r="Q567" s="4">
        <f>OBRA!R568</f>
        <v>8221905.6500000004</v>
      </c>
      <c r="R567" s="1023"/>
      <c r="S567" s="5">
        <f>OBRA!T568</f>
        <v>44211</v>
      </c>
      <c r="T567" s="11">
        <f>OBRA!U568</f>
        <v>44266</v>
      </c>
      <c r="U567" s="53"/>
      <c r="V567" s="377" t="s">
        <v>1428</v>
      </c>
      <c r="W567" s="309"/>
      <c r="X567" s="11"/>
      <c r="Y567" s="279">
        <f>OBRA!AR568</f>
        <v>1644381.12</v>
      </c>
      <c r="Z567" s="309"/>
      <c r="AA567" s="309"/>
      <c r="AB567" s="5"/>
      <c r="AC567" s="317">
        <f>OBRA!BW568</f>
        <v>0</v>
      </c>
      <c r="AD567" s="352"/>
    </row>
    <row r="568" spans="1:30" ht="111.75" hidden="1" customHeight="1">
      <c r="A568" s="22" t="str">
        <f>GRAL!G571</f>
        <v>OBRA</v>
      </c>
      <c r="B568" s="809" t="str">
        <f>GRAL!B571</f>
        <v>2018-2021</v>
      </c>
      <c r="C568" s="16">
        <f>OBRA!J569</f>
        <v>2021</v>
      </c>
      <c r="D568" s="17" t="str">
        <f>OBRA!M569</f>
        <v>CUENTA CORRIENTE</v>
      </c>
      <c r="E568" s="478" t="s">
        <v>1428</v>
      </c>
      <c r="F568" s="1108"/>
      <c r="G568" s="219"/>
      <c r="H568" s="1108"/>
      <c r="I568" s="54" t="str">
        <f>OBRA!W569</f>
        <v>TERRACERÍAS Y PAVIMENTOS DE LA RIBERA, S.A. DE C.V.</v>
      </c>
      <c r="J568" s="1088" t="str">
        <f>OBRA!X569</f>
        <v xml:space="preserve">ING. ENRIQUE ENRÍQUEZ VÁZQUEZ </v>
      </c>
      <c r="K568" s="19" t="str">
        <f>OBRA!N569</f>
        <v>GMJ 005C- OP/2021</v>
      </c>
      <c r="L568" s="2" t="str">
        <f>OBRA!O569</f>
        <v>ADJUDICACIÓN DIRECTA</v>
      </c>
      <c r="M568" s="3" t="str">
        <f>OBRA!P569</f>
        <v>"IMAGEN URBANA EN CALLE MORELOS ENTRE CALLE GONZÁLEZ ORTEGA A CRISTOBAL COLÓN" EN LA CABECERA MUNICIPAL DE JOCOTEPEC, JALISCO, (NEXTIPAC).</v>
      </c>
      <c r="N568" s="541"/>
      <c r="O568" s="541"/>
      <c r="P568" s="6">
        <f>OBRA!S569</f>
        <v>44208</v>
      </c>
      <c r="Q568" s="4">
        <f>OBRA!R569</f>
        <v>758856.32</v>
      </c>
      <c r="R568" s="1023"/>
      <c r="S568" s="5">
        <f>OBRA!T569</f>
        <v>44271</v>
      </c>
      <c r="T568" s="11">
        <f>OBRA!U569</f>
        <v>44275</v>
      </c>
      <c r="U568" s="53"/>
      <c r="V568" s="377" t="s">
        <v>1428</v>
      </c>
      <c r="W568" s="508"/>
      <c r="X568" s="509"/>
      <c r="Y568" s="280">
        <f>OBRA!AR569</f>
        <v>0</v>
      </c>
      <c r="Z568" s="309"/>
      <c r="AA568" s="309"/>
      <c r="AB568" s="5"/>
      <c r="AC568" s="317">
        <f>OBRA!BW569</f>
        <v>0</v>
      </c>
      <c r="AD568" s="352"/>
    </row>
    <row r="569" spans="1:30" ht="147.75" hidden="1" customHeight="1">
      <c r="A569" s="22" t="str">
        <f>GRAL!G572</f>
        <v>OBRA</v>
      </c>
      <c r="B569" s="809" t="str">
        <f>GRAL!B572</f>
        <v>2018-2021</v>
      </c>
      <c r="C569" s="16">
        <f>OBRA!J570</f>
        <v>2021</v>
      </c>
      <c r="D569" s="17" t="str">
        <f>OBRA!M570</f>
        <v>RAMO 33</v>
      </c>
      <c r="E569" s="478"/>
      <c r="F569" s="1108"/>
      <c r="G569" s="219"/>
      <c r="H569" s="1108"/>
      <c r="I569" s="54" t="str">
        <f>OBRA!W570</f>
        <v xml:space="preserve">SERVICIOS Y CONSTRUCCIONES NATENIO, S.A. DE C.V. </v>
      </c>
      <c r="J569" s="1088" t="str">
        <f>OBRA!X570</f>
        <v>ING. VICTOR MANUEL PACHECO AZCONA</v>
      </c>
      <c r="K569" s="19" t="str">
        <f>OBRA!N570</f>
        <v>GMJ 006C- OP/2021</v>
      </c>
      <c r="L569" s="2" t="str">
        <f>OBRA!O570</f>
        <v>ADJUDICACIÓN DIRECTA</v>
      </c>
      <c r="M569" s="3" t="str">
        <f>OBRA!P570</f>
        <v>"REHABILITACIÓN DE LÍNEAS HIDROSANITARIAS CON REPOSICIÓN DE SUPERFICIE DE RODAMIENTO EN CALLE MORELOS ENTRE CALLE CRISTOBAL COLÓN A CALLE RICO" EN LA CABECERA MUNICIPAL DE JOCOTEPEC, JALISCO, (NEXTIPAC).</v>
      </c>
      <c r="N569" s="541"/>
      <c r="O569" s="541"/>
      <c r="P569" s="6">
        <f>OBRA!S570</f>
        <v>44208</v>
      </c>
      <c r="Q569" s="4">
        <f>OBRA!R570</f>
        <v>1379641.73</v>
      </c>
      <c r="R569" s="1023"/>
      <c r="S569" s="5">
        <f>OBRA!T570</f>
        <v>44211</v>
      </c>
      <c r="T569" s="11">
        <f>OBRA!U570</f>
        <v>44256</v>
      </c>
      <c r="U569" s="53"/>
      <c r="V569" s="377" t="s">
        <v>1428</v>
      </c>
      <c r="W569" s="508"/>
      <c r="X569" s="509"/>
      <c r="Y569" s="280">
        <f>OBRA!AR570</f>
        <v>275928.34000000003</v>
      </c>
      <c r="Z569" s="309"/>
      <c r="AA569" s="309"/>
      <c r="AB569" s="5"/>
      <c r="AC569" s="317">
        <f>OBRA!BW570</f>
        <v>0</v>
      </c>
      <c r="AD569" s="352"/>
    </row>
    <row r="570" spans="1:30" ht="96.75" hidden="1" customHeight="1">
      <c r="A570" s="22" t="str">
        <f>GRAL!G573</f>
        <v>OBRA</v>
      </c>
      <c r="B570" s="809" t="str">
        <f>GRAL!B573</f>
        <v>2018-2021</v>
      </c>
      <c r="C570" s="16">
        <f>OBRA!J571</f>
        <v>2021</v>
      </c>
      <c r="D570" s="17" t="str">
        <f>OBRA!M571</f>
        <v>CUENTA CORRIENTE</v>
      </c>
      <c r="E570" s="478" t="s">
        <v>1428</v>
      </c>
      <c r="F570" s="1108"/>
      <c r="G570" s="219"/>
      <c r="H570" s="1108"/>
      <c r="I570" s="54" t="str">
        <f>OBRA!W571</f>
        <v xml:space="preserve">SERVICIOS Y CONSTRUCCIONES NATENIO, S.A. DE C.V. </v>
      </c>
      <c r="J570" s="1088" t="str">
        <f>OBRA!X571</f>
        <v>ING. VICTOR MANUEL PACHECO AZCONA</v>
      </c>
      <c r="K570" s="19" t="str">
        <f>OBRA!N571</f>
        <v>GMJ 007C- OP/2021</v>
      </c>
      <c r="L570" s="2" t="str">
        <f>OBRA!O571</f>
        <v>CANCELADA</v>
      </c>
      <c r="M570" s="3" t="str">
        <f>OBRA!P571</f>
        <v>"IMAGEN URBANA EN CALLE MORELOS DE CALLE CRISTOBAL COLÓN A CALLE RICO" EN LA CABECERA MUNICIPAL DE JOCOTEPEC, JALISCO, (NEXTIPAC).</v>
      </c>
      <c r="N570" s="541"/>
      <c r="O570" s="541"/>
      <c r="P570" s="6">
        <f>OBRA!S571</f>
        <v>44208</v>
      </c>
      <c r="Q570" s="4">
        <f>OBRA!R571</f>
        <v>101577.38</v>
      </c>
      <c r="R570" s="1023"/>
      <c r="S570" s="5">
        <f>OBRA!T571</f>
        <v>44270</v>
      </c>
      <c r="T570" s="11">
        <f>OBRA!U571</f>
        <v>44275</v>
      </c>
      <c r="U570" s="53"/>
      <c r="V570" s="377" t="s">
        <v>1428</v>
      </c>
      <c r="W570" s="508"/>
      <c r="X570" s="509"/>
      <c r="Y570" s="280">
        <f>OBRA!AR571</f>
        <v>0</v>
      </c>
      <c r="Z570" s="309"/>
      <c r="AA570" s="309"/>
      <c r="AB570" s="5"/>
      <c r="AC570" s="317">
        <f>OBRA!BW571</f>
        <v>0</v>
      </c>
      <c r="AD570" s="352"/>
    </row>
    <row r="571" spans="1:30" ht="180.75" hidden="1" customHeight="1">
      <c r="A571" s="22" t="str">
        <f>GRAL!G574</f>
        <v>OBRA</v>
      </c>
      <c r="B571" s="809" t="str">
        <f>GRAL!B574</f>
        <v>2018-2021</v>
      </c>
      <c r="C571" s="16">
        <f>OBRA!J572</f>
        <v>2021</v>
      </c>
      <c r="D571" s="17" t="str">
        <f>OBRA!M572</f>
        <v>RAMO 33</v>
      </c>
      <c r="E571" s="478" t="s">
        <v>1428</v>
      </c>
      <c r="F571" s="1108"/>
      <c r="G571" s="219"/>
      <c r="H571" s="1108"/>
      <c r="I571" s="54" t="str">
        <f>OBRA!W572</f>
        <v xml:space="preserve">DESARROLLO DAP S.A. DE C.V. </v>
      </c>
      <c r="J571" s="1088" t="str">
        <f>OBRA!X572</f>
        <v>ING. VICTOR MANUEL PACHECO AZCONA</v>
      </c>
      <c r="K571" s="19" t="str">
        <f>OBRA!N572</f>
        <v>GMJ 008C- OP/2021</v>
      </c>
      <c r="L571" s="2" t="str">
        <f>OBRA!O572</f>
        <v>ADJUDICACIÓN DIRECTA</v>
      </c>
      <c r="M571" s="3" t="str">
        <f>OBRA!P572</f>
        <v>"REHABILITACIÓN DE LÍNEA DE AGUA POTABLE EN CALLE MORELOS DE CALLE RICO A CALLE RIVERA DEL LAGO Y REHABILITACIÓN DE LÍNEA DE DRENAJE SANITARIO EN CALLE MORELOS DE CALLE RICO HASTA MALECÓN", EN LA CABECERA MUNICIPAL DE JOCOTEPEC, JALISCO, (NEXTIPAC).</v>
      </c>
      <c r="N571" s="541"/>
      <c r="O571" s="541"/>
      <c r="P571" s="6">
        <f>OBRA!S572</f>
        <v>44200</v>
      </c>
      <c r="Q571" s="4">
        <f>OBRA!R572</f>
        <v>1301387.07</v>
      </c>
      <c r="R571" s="1023"/>
      <c r="S571" s="5">
        <f>OBRA!T572</f>
        <v>44201</v>
      </c>
      <c r="T571" s="11">
        <f>OBRA!U572</f>
        <v>44270</v>
      </c>
      <c r="U571" s="53"/>
      <c r="V571" s="377" t="s">
        <v>1428</v>
      </c>
      <c r="W571" s="508"/>
      <c r="X571" s="509"/>
      <c r="Y571" s="280">
        <f>OBRA!AR572</f>
        <v>243611.33000000002</v>
      </c>
      <c r="Z571" s="309"/>
      <c r="AA571" s="309"/>
      <c r="AB571" s="5"/>
      <c r="AC571" s="317">
        <f>OBRA!BW572</f>
        <v>0</v>
      </c>
      <c r="AD571" s="352"/>
    </row>
    <row r="572" spans="1:30" ht="15" hidden="1" customHeight="1">
      <c r="A572" s="22" t="str">
        <f>GRAL!G575</f>
        <v>OBRA</v>
      </c>
      <c r="B572" s="809" t="str">
        <f>GRAL!B575</f>
        <v>2018-2021</v>
      </c>
      <c r="C572" s="16">
        <f>OBRA!J573</f>
        <v>2021</v>
      </c>
      <c r="D572" s="17" t="str">
        <f>OBRA!M573</f>
        <v>CUENTA CORRIENTE</v>
      </c>
      <c r="E572" s="478"/>
      <c r="F572" s="352"/>
      <c r="G572" s="1"/>
      <c r="H572" s="352"/>
      <c r="I572" s="54" t="str">
        <f>OBRA!W573</f>
        <v xml:space="preserve">DESARROLLO DAP S.A. DE C.V. </v>
      </c>
      <c r="J572" s="55" t="str">
        <f>OBRA!X573</f>
        <v>ING. VICTOR MANUEL PACHECO AZCONA</v>
      </c>
      <c r="K572" s="19" t="str">
        <f>OBRA!N573</f>
        <v>GMJ 009C- OP/2021</v>
      </c>
      <c r="L572" s="2" t="str">
        <f>OBRA!O573</f>
        <v>CONCURSO SIMPLIFICADO SUMARIO</v>
      </c>
      <c r="M572" s="3" t="str">
        <f>OBRA!P573</f>
        <v>"INTERVENCIÓN Y ACONDICIONAMIENTO DE TERRACERIAS, REHABILITACIÓN DE BANQUETAS E IMAGEN URBANA EN CALLE MORELOS DE CALLE RICO A MALECÓN DE KM 0+000 AL KM 0+379.50", EN LA CABECERA MUNICIPAL DE JOCOTEPEC, JALISCO (NEXTIPAC)</v>
      </c>
      <c r="N572" s="3"/>
      <c r="O572" s="3"/>
      <c r="P572" s="6">
        <f>OBRA!S573</f>
        <v>44208</v>
      </c>
      <c r="Q572" s="4">
        <f>OBRA!R573</f>
        <v>2617705.66</v>
      </c>
      <c r="R572" s="1023"/>
      <c r="S572" s="5">
        <f>OBRA!T573</f>
        <v>44227</v>
      </c>
      <c r="T572" s="11">
        <f>OBRA!U573</f>
        <v>44270</v>
      </c>
      <c r="U572" s="53"/>
      <c r="V572" s="377" t="s">
        <v>1428</v>
      </c>
      <c r="W572" s="309"/>
      <c r="X572" s="11"/>
      <c r="Y572" s="279">
        <f>OBRA!AR573</f>
        <v>409864.94</v>
      </c>
      <c r="Z572" s="309"/>
      <c r="AA572" s="309"/>
      <c r="AB572" s="5"/>
      <c r="AC572" s="317">
        <f>OBRA!BW573</f>
        <v>0</v>
      </c>
      <c r="AD572" s="352"/>
    </row>
    <row r="573" spans="1:30" ht="15" hidden="1" customHeight="1">
      <c r="A573" s="22" t="str">
        <f>GRAL!G576</f>
        <v>OBRA</v>
      </c>
      <c r="B573" s="809" t="str">
        <f>GRAL!B576</f>
        <v>2018-2021</v>
      </c>
      <c r="C573" s="16">
        <f>OBRA!J574</f>
        <v>2021</v>
      </c>
      <c r="D573" s="17" t="str">
        <f>OBRA!M574</f>
        <v>FOCOCI</v>
      </c>
      <c r="E573" s="478"/>
      <c r="F573" s="352"/>
      <c r="G573" s="1"/>
      <c r="H573" s="352"/>
      <c r="I573" s="54" t="str">
        <f>OBRA!W574</f>
        <v>ALSERCON SA DE CV</v>
      </c>
      <c r="J573" s="55" t="str">
        <f>OBRA!X574</f>
        <v>ARQ. JAIME CONDE GOMEZ</v>
      </c>
      <c r="K573" s="19" t="str">
        <f>OBRA!N574</f>
        <v>FOCOCI-OP-CSS-010/2021</v>
      </c>
      <c r="L573" s="2" t="str">
        <f>OBRA!O574</f>
        <v>CONCURSO SIMPLIFICADO SUMARIO</v>
      </c>
      <c r="M573" s="3" t="str">
        <f>OBRA!P574</f>
        <v>"PAVIMENTACIÓN CON EMPEDRADO AHOGADO EN CONCRETO HIDRÁULICO Y SUSTITUCIÓN DE REDES HIDROSANITARIAS EN CALLE LÁZARO CÁRDENAS", EN LA CABECERA MUNICIPAL DE JOCOTEPEC, JALISCO</v>
      </c>
      <c r="N573" s="3"/>
      <c r="O573" s="3"/>
      <c r="P573" s="6">
        <f>OBRA!S574</f>
        <v>44239</v>
      </c>
      <c r="Q573" s="4">
        <f>OBRA!R574</f>
        <v>4895145.74</v>
      </c>
      <c r="R573" s="1023"/>
      <c r="S573" s="5">
        <f>OBRA!T574</f>
        <v>44242</v>
      </c>
      <c r="T573" s="11">
        <f>OBRA!U574</f>
        <v>44331</v>
      </c>
      <c r="U573" s="53"/>
      <c r="V573" s="377" t="s">
        <v>1428</v>
      </c>
      <c r="W573" s="309"/>
      <c r="X573" s="11"/>
      <c r="Y573" s="279">
        <f>OBRA!AR574</f>
        <v>1713301</v>
      </c>
      <c r="Z573" s="309"/>
      <c r="AA573" s="309"/>
      <c r="AB573" s="5"/>
      <c r="AC573" s="317">
        <f>OBRA!BW574</f>
        <v>0</v>
      </c>
      <c r="AD573" s="352"/>
    </row>
    <row r="574" spans="1:30" ht="15" hidden="1" customHeight="1">
      <c r="A574" s="22" t="str">
        <f>GRAL!G577</f>
        <v>OBRA</v>
      </c>
      <c r="B574" s="809" t="str">
        <f>GRAL!B577</f>
        <v>2018-2021</v>
      </c>
      <c r="C574" s="16">
        <f>OBRA!J575</f>
        <v>2021</v>
      </c>
      <c r="D574" s="17" t="str">
        <f>OBRA!M575</f>
        <v>FOCOCI</v>
      </c>
      <c r="E574" s="478"/>
      <c r="F574" s="352"/>
      <c r="G574" s="1"/>
      <c r="H574" s="352"/>
      <c r="I574" s="54" t="str">
        <f>OBRA!W575</f>
        <v>COREGO CONSTRUCCIONES, S.A. DE C.V.</v>
      </c>
      <c r="J574" s="55" t="str">
        <f>OBRA!X575</f>
        <v xml:space="preserve">ING. ENRIQUE ENRÍQUEZ VÁZQUEZ </v>
      </c>
      <c r="K574" s="19" t="str">
        <f>OBRA!N575</f>
        <v>FOCOCI-OP-CSS-011/2021</v>
      </c>
      <c r="L574" s="2" t="str">
        <f>OBRA!O575</f>
        <v>CONCURSO SIMPLIFICADO SUMARIO</v>
      </c>
      <c r="M574" s="3" t="str">
        <f>OBRA!P575</f>
        <v>"REHABILITACIÓN DE INGRESO A ZAPOTITÁN DE HIDALGO DE LA CARRETERA FEDERAL AL PUENTE EN EL MUNICIPIO DE JOCOTEPEC, JALISCO".</v>
      </c>
      <c r="N574" s="3"/>
      <c r="O574" s="3"/>
      <c r="P574" s="6">
        <f>OBRA!S575</f>
        <v>44278</v>
      </c>
      <c r="Q574" s="4">
        <f>OBRA!R575</f>
        <v>3973863.2</v>
      </c>
      <c r="R574" s="1023"/>
      <c r="S574" s="5">
        <f>OBRA!T575</f>
        <v>44280</v>
      </c>
      <c r="T574" s="11">
        <f>OBRA!U575</f>
        <v>44347</v>
      </c>
      <c r="U574" s="53"/>
      <c r="V574" s="377" t="s">
        <v>1428</v>
      </c>
      <c r="W574" s="309"/>
      <c r="X574" s="11"/>
      <c r="Y574" s="279">
        <f>OBRA!AR575</f>
        <v>392270.12</v>
      </c>
      <c r="Z574" s="309"/>
      <c r="AA574" s="309"/>
      <c r="AB574" s="5"/>
      <c r="AC574" s="317">
        <f>OBRA!BW575</f>
        <v>0</v>
      </c>
      <c r="AD574" s="352"/>
    </row>
    <row r="575" spans="1:30" ht="100.5" hidden="1" customHeight="1">
      <c r="A575" s="22" t="str">
        <f>GRAL!G578</f>
        <v>OBRA</v>
      </c>
      <c r="B575" s="809" t="str">
        <f>GRAL!B578</f>
        <v>2018-2021</v>
      </c>
      <c r="C575" s="16">
        <f>OBRA!J576</f>
        <v>2021</v>
      </c>
      <c r="D575" s="17" t="str">
        <f>OBRA!M576</f>
        <v>CUENTA CORRIENTE</v>
      </c>
      <c r="E575" s="478" t="s">
        <v>1428</v>
      </c>
      <c r="F575" s="1108"/>
      <c r="G575" s="219"/>
      <c r="H575" s="1108"/>
      <c r="I575" s="54" t="str">
        <f>OBRA!W576</f>
        <v>JESSICA MONSERRAT RIVERA TORRES</v>
      </c>
      <c r="J575" s="1088">
        <f>OBRA!X576</f>
        <v>0</v>
      </c>
      <c r="K575" s="19" t="str">
        <f>OBRA!N576</f>
        <v>GMJ 012C- OP/2021</v>
      </c>
      <c r="L575" s="2" t="str">
        <f>OBRA!O576</f>
        <v>CANCELADA</v>
      </c>
      <c r="M575" s="3" t="str">
        <f>OBRA!P576</f>
        <v>"REHABILITACIÓN DE POZO PROFUNDO UBICADO EN EL ATRIO DEL TEMPLO DEL SEÑOR DEL MONTE, EN LA CABECERA MUNICIPAL DE JOCOTEPEC, JALISCO.</v>
      </c>
      <c r="N575" s="541"/>
      <c r="O575" s="541"/>
      <c r="P575" s="6">
        <f>OBRA!S576</f>
        <v>0</v>
      </c>
      <c r="Q575" s="4">
        <f>OBRA!R576</f>
        <v>144561.23000000001</v>
      </c>
      <c r="R575" s="1023"/>
      <c r="S575" s="5">
        <f>OBRA!T576</f>
        <v>44228</v>
      </c>
      <c r="T575" s="11">
        <f>OBRA!U576</f>
        <v>44255</v>
      </c>
      <c r="U575" s="53"/>
      <c r="V575" s="377" t="s">
        <v>1428</v>
      </c>
      <c r="W575" s="508"/>
      <c r="X575" s="509"/>
      <c r="Y575" s="280">
        <f>OBRA!AR576</f>
        <v>0</v>
      </c>
      <c r="Z575" s="309"/>
      <c r="AA575" s="309"/>
      <c r="AB575" s="5"/>
      <c r="AC575" s="317">
        <f>OBRA!BW576</f>
        <v>0</v>
      </c>
      <c r="AD575" s="352"/>
    </row>
    <row r="576" spans="1:30" ht="194.25" hidden="1" customHeight="1">
      <c r="A576" s="22" t="str">
        <f>GRAL!G579</f>
        <v>OBRA</v>
      </c>
      <c r="B576" s="809" t="str">
        <f>GRAL!B579</f>
        <v>2018-2021</v>
      </c>
      <c r="C576" s="16">
        <f>OBRA!J577</f>
        <v>2021</v>
      </c>
      <c r="D576" s="17" t="str">
        <f>OBRA!M577</f>
        <v>CUENTA CORRIENTE</v>
      </c>
      <c r="E576" s="478" t="s">
        <v>1428</v>
      </c>
      <c r="F576" s="1108"/>
      <c r="G576" s="219"/>
      <c r="H576" s="1108"/>
      <c r="I576" s="54" t="str">
        <f>OBRA!W577</f>
        <v xml:space="preserve">INFRAESTRUCTURA Y EDIFICACIONES OROZCO S.A. DE C.V. </v>
      </c>
      <c r="J576" s="1088" t="str">
        <f>OBRA!X577</f>
        <v xml:space="preserve">ING. ENRIQUE ENRÍQUEZ VÁZQUEZ </v>
      </c>
      <c r="K576" s="19" t="str">
        <f>OBRA!N577</f>
        <v>GMJ 013C- OP/2021</v>
      </c>
      <c r="L576" s="2" t="str">
        <f>OBRA!O577</f>
        <v>ADJUDICACIÓN DIRECTA</v>
      </c>
      <c r="M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1"/>
      <c r="O576" s="541"/>
      <c r="P576" s="6">
        <f>OBRA!S577</f>
        <v>44242</v>
      </c>
      <c r="Q576" s="4">
        <f>OBRA!R577</f>
        <v>1127177.8999999999</v>
      </c>
      <c r="R576" s="1023"/>
      <c r="S576" s="5">
        <f>OBRA!T577</f>
        <v>44242</v>
      </c>
      <c r="T576" s="11">
        <f>OBRA!U577</f>
        <v>44332</v>
      </c>
      <c r="U576" s="53"/>
      <c r="V576" s="377" t="s">
        <v>1428</v>
      </c>
      <c r="W576" s="508"/>
      <c r="X576" s="509"/>
      <c r="Y576" s="280">
        <f>OBRA!AR577</f>
        <v>494512.25999999995</v>
      </c>
      <c r="Z576" s="309"/>
      <c r="AA576" s="309"/>
      <c r="AB576" s="5"/>
      <c r="AC576" s="317">
        <f>OBRA!BW577</f>
        <v>0</v>
      </c>
      <c r="AD576" s="352"/>
    </row>
    <row r="577" spans="1:30" ht="189.75" hidden="1" customHeight="1">
      <c r="A577" s="22" t="str">
        <f>GRAL!G580</f>
        <v>OBRA</v>
      </c>
      <c r="B577" s="809" t="str">
        <f>GRAL!B580</f>
        <v>2018-2021</v>
      </c>
      <c r="C577" s="16">
        <f>OBRA!J578</f>
        <v>2021</v>
      </c>
      <c r="D577" s="17" t="str">
        <f>OBRA!M578</f>
        <v>CUENTA CORRIENTE</v>
      </c>
      <c r="E577" s="478" t="s">
        <v>1428</v>
      </c>
      <c r="F577" s="1108"/>
      <c r="G577" s="219"/>
      <c r="H577" s="1108"/>
      <c r="I577" s="54" t="str">
        <f>OBRA!W578</f>
        <v>SUPERVISIÓN PROYECTOS Y LABORATORIO PARA LA CONSTRUCCIÓN, S.A. DE C.V.</v>
      </c>
      <c r="J577" s="1088" t="str">
        <f>OBRA!X578</f>
        <v xml:space="preserve">ING. ENRIQUE ENRÍQUEZ VÁZQUEZ </v>
      </c>
      <c r="K577" s="19" t="str">
        <f>OBRA!N578</f>
        <v>GMJ 014C- OP/2021</v>
      </c>
      <c r="L577" s="2" t="str">
        <f>OBRA!O578</f>
        <v>ADJUDICACIÓN DIRECTA</v>
      </c>
      <c r="M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1"/>
      <c r="O577" s="541"/>
      <c r="P577" s="6">
        <f>OBRA!S578</f>
        <v>44242</v>
      </c>
      <c r="Q577" s="4">
        <f>OBRA!R578</f>
        <v>1311375.01</v>
      </c>
      <c r="R577" s="1023"/>
      <c r="S577" s="5">
        <f>OBRA!T578</f>
        <v>44242</v>
      </c>
      <c r="T577" s="11">
        <f>OBRA!U578</f>
        <v>44332</v>
      </c>
      <c r="U577" s="53"/>
      <c r="V577" s="377" t="s">
        <v>1428</v>
      </c>
      <c r="W577" s="508"/>
      <c r="X577" s="509"/>
      <c r="Y577" s="280">
        <f>OBRA!AR578</f>
        <v>327843.75</v>
      </c>
      <c r="Z577" s="309"/>
      <c r="AA577" s="309"/>
      <c r="AB577" s="5"/>
      <c r="AC577" s="317">
        <f>OBRA!BW578</f>
        <v>0</v>
      </c>
      <c r="AD577" s="352"/>
    </row>
    <row r="578" spans="1:30" ht="84.75" hidden="1" customHeight="1">
      <c r="A578" s="22" t="str">
        <f>GRAL!G581</f>
        <v>OBRA</v>
      </c>
      <c r="B578" s="809" t="str">
        <f>GRAL!B581</f>
        <v>2018-2021</v>
      </c>
      <c r="C578" s="16">
        <f>OBRA!J579</f>
        <v>2021</v>
      </c>
      <c r="D578" s="17" t="str">
        <f>OBRA!M579</f>
        <v>CUENTA CORRIENTE</v>
      </c>
      <c r="E578" s="478" t="s">
        <v>1428</v>
      </c>
      <c r="F578" s="1108"/>
      <c r="G578" s="219"/>
      <c r="H578" s="1108"/>
      <c r="I578" s="54" t="str">
        <f>OBRA!W579</f>
        <v>MARCO ANTONIO PAREDES RODRÍGUEZ</v>
      </c>
      <c r="J578" s="1088" t="str">
        <f>OBRA!X579</f>
        <v>ING. LUIS RIGOBERTO OLMEDO NAVARRO</v>
      </c>
      <c r="K578" s="19" t="str">
        <f>OBRA!N579</f>
        <v>GMJ 015C- OP/2021</v>
      </c>
      <c r="L578" s="2" t="str">
        <f>OBRA!O579</f>
        <v>ADJUDICACIÓN DIRECTA</v>
      </c>
      <c r="M578" s="3" t="str">
        <f>OBRA!P579</f>
        <v>"EQUIPAMIENTO DE POZO MORELOS" EN LA AGENCIA MINICIPAL DE NEXTIPAC, DEL MUNICIPIO DE JOCOTEPEC, JALISCO.</v>
      </c>
      <c r="N578" s="541"/>
      <c r="O578" s="541"/>
      <c r="P578" s="6">
        <f>OBRA!S579</f>
        <v>44305</v>
      </c>
      <c r="Q578" s="4">
        <f>OBRA!R579</f>
        <v>347784.24</v>
      </c>
      <c r="R578" s="1023"/>
      <c r="S578" s="5">
        <f>OBRA!T579</f>
        <v>44378</v>
      </c>
      <c r="T578" s="11">
        <f>OBRA!U579</f>
        <v>44424</v>
      </c>
      <c r="U578" s="53"/>
      <c r="V578" s="377" t="s">
        <v>1428</v>
      </c>
      <c r="W578" s="508"/>
      <c r="X578" s="509"/>
      <c r="Y578" s="280">
        <f>OBRA!AR579</f>
        <v>121724.48</v>
      </c>
      <c r="Z578" s="309"/>
      <c r="AA578" s="309"/>
      <c r="AB578" s="5"/>
      <c r="AC578" s="317">
        <f>OBRA!BW579</f>
        <v>0</v>
      </c>
      <c r="AD578" s="352"/>
    </row>
    <row r="579" spans="1:30" ht="15" hidden="1" customHeight="1">
      <c r="A579" s="22" t="str">
        <f>GRAL!G582</f>
        <v>OBRA</v>
      </c>
      <c r="B579" s="809" t="str">
        <f>GRAL!B582</f>
        <v>2018-2021</v>
      </c>
      <c r="C579" s="16">
        <f>OBRA!J580</f>
        <v>2021</v>
      </c>
      <c r="D579" s="17" t="str">
        <f>OBRA!M580</f>
        <v>CUENTA CORRIENTE</v>
      </c>
      <c r="E579" s="478"/>
      <c r="F579" s="352"/>
      <c r="G579" s="1"/>
      <c r="H579" s="352"/>
      <c r="I579" s="54" t="str">
        <f>OBRA!W580</f>
        <v>CONVADI, S.A. DE C.V.</v>
      </c>
      <c r="J579" s="55" t="str">
        <f>OBRA!X580</f>
        <v>ING. ALEJANDRO SIGALA MOLINA</v>
      </c>
      <c r="K579" s="19" t="str">
        <f>OBRA!N580</f>
        <v>GMJ 016C- OP/2021</v>
      </c>
      <c r="L579" s="2" t="str">
        <f>OBRA!O580</f>
        <v>ADJUDICACIÓN DIRECTA</v>
      </c>
      <c r="M579" s="3" t="str">
        <f>OBRA!P580</f>
        <v>"PROYECTO DE ELECTRIFICACIÓN Y EQUIPAMIENTO 1ERA ETAPA DE POZO PROFUNDO ALLENDE", UBICADO EN LA CABECERA MUNICIPAL DE JOCOTEPEC, JALISCO</v>
      </c>
      <c r="N579" s="3"/>
      <c r="O579" s="3"/>
      <c r="P579" s="6">
        <f>OBRA!S580</f>
        <v>44308</v>
      </c>
      <c r="Q579" s="4">
        <f>OBRA!R580</f>
        <v>1083547.78</v>
      </c>
      <c r="R579" s="1023"/>
      <c r="S579" s="5">
        <f>OBRA!T580</f>
        <v>44322</v>
      </c>
      <c r="T579" s="11">
        <f>OBRA!U580</f>
        <v>44347</v>
      </c>
      <c r="U579" s="53"/>
      <c r="V579" s="377" t="s">
        <v>1428</v>
      </c>
      <c r="W579" s="309"/>
      <c r="X579" s="11"/>
      <c r="Y579" s="279">
        <f>OBRA!AR580</f>
        <v>487596.5</v>
      </c>
      <c r="Z579" s="309"/>
      <c r="AA579" s="309"/>
      <c r="AB579" s="5"/>
      <c r="AC579" s="317">
        <f>OBRA!BW580</f>
        <v>0</v>
      </c>
      <c r="AD579" s="352"/>
    </row>
    <row r="580" spans="1:30" ht="15" hidden="1" customHeight="1">
      <c r="A580" s="22" t="str">
        <f>GRAL!G583</f>
        <v>OBRA</v>
      </c>
      <c r="B580" s="809" t="str">
        <f>GRAL!B583</f>
        <v>2018-2021</v>
      </c>
      <c r="C580" s="16">
        <f>OBRA!J581</f>
        <v>2021</v>
      </c>
      <c r="D580" s="17" t="str">
        <f>OBRA!M581</f>
        <v>CUENTA CORRIENTE</v>
      </c>
      <c r="E580" s="478"/>
      <c r="F580" s="352"/>
      <c r="G580" s="1"/>
      <c r="H580" s="352"/>
      <c r="I580" s="54" t="str">
        <f>OBRA!W581</f>
        <v>GRUPO ARANGE, S.A. DE C.V.</v>
      </c>
      <c r="J580" s="55" t="str">
        <f>OBRA!X581</f>
        <v>LIC. SALVADOR CONTRERAS OLGUÍN</v>
      </c>
      <c r="K580" s="19" t="str">
        <f>OBRA!N581</f>
        <v>GMJ 017C- OP/2021</v>
      </c>
      <c r="L580" s="2" t="str">
        <f>OBRA!O581</f>
        <v>ADJUDICACIÓN DIRECTA</v>
      </c>
      <c r="M580" s="3" t="str">
        <f>OBRA!P581</f>
        <v>"PROYECTO DE ELÉCTRICO DEL RASTRO MUNICIPAL, ETAPA 1,  EN LA CABECERA MUNICIPAL DE JOCOTEPEC, JALISCO</v>
      </c>
      <c r="N580" s="3"/>
      <c r="O580" s="3"/>
      <c r="P580" s="6">
        <f>OBRA!S581</f>
        <v>44440</v>
      </c>
      <c r="Q580" s="4">
        <f>OBRA!R581</f>
        <v>652301.56999999995</v>
      </c>
      <c r="R580" s="1023"/>
      <c r="S580" s="5">
        <f>OBRA!T581</f>
        <v>44445</v>
      </c>
      <c r="T580" s="11">
        <f>OBRA!U581</f>
        <v>44463</v>
      </c>
      <c r="U580" s="53"/>
      <c r="V580" s="377" t="s">
        <v>1428</v>
      </c>
      <c r="W580" s="309"/>
      <c r="X580" s="11"/>
      <c r="Y580" s="279">
        <f>OBRA!AR581</f>
        <v>293535.69</v>
      </c>
      <c r="Z580" s="309"/>
      <c r="AA580" s="309"/>
      <c r="AB580" s="5"/>
      <c r="AC580" s="317">
        <f>OBRA!BW581</f>
        <v>0</v>
      </c>
      <c r="AD580" s="352"/>
    </row>
    <row r="581" spans="1:30" ht="15" hidden="1" customHeight="1">
      <c r="A581" s="22" t="str">
        <f>GRAL!G584</f>
        <v>OBRA</v>
      </c>
      <c r="B581" s="809" t="str">
        <f>GRAL!B584</f>
        <v>2018-2021</v>
      </c>
      <c r="C581" s="16">
        <f>OBRA!J582</f>
        <v>2021</v>
      </c>
      <c r="D581" s="17" t="str">
        <f>OBRA!M582</f>
        <v>CUENTA CORRIENTE</v>
      </c>
      <c r="E581" s="478"/>
      <c r="F581" s="352"/>
      <c r="G581" s="1"/>
      <c r="H581" s="352"/>
      <c r="I581" s="54" t="str">
        <f>OBRA!W582</f>
        <v xml:space="preserve">ING. SERGIO CABRERA </v>
      </c>
      <c r="J581" s="55" t="str">
        <f>OBRA!X582</f>
        <v>ING. J. GUADALUPE IBARRA RAMIREZ</v>
      </c>
      <c r="K581" s="19" t="str">
        <f>OBRA!N582</f>
        <v>GMJ 018C- OP/2021</v>
      </c>
      <c r="L581" s="2" t="str">
        <f>OBRA!O582</f>
        <v>ADJUDICACIÓN DIRECTA</v>
      </c>
      <c r="M581" s="3" t="str">
        <f>OBRA!P582</f>
        <v>“ACONDICIONAMIENTO DE TERRACERIAS, REHABILITACIÓN DE BANQUETAS E IMAGEN URBANA EN CALLE MORELOS DE CALLE RICO A MALECÓN DE KM 0+143.00 AL KM 0+379.50”, EN LA CABECERA MUNICIPAL DE JOCOTEPEC, JALISCO (NEXTIPAC)</v>
      </c>
      <c r="N581" s="3"/>
      <c r="O581" s="3"/>
      <c r="P581" s="6">
        <f>OBRA!S582</f>
        <v>44454</v>
      </c>
      <c r="Q581" s="4">
        <f>OBRA!R582</f>
        <v>1137012.22</v>
      </c>
      <c r="R581" s="1023"/>
      <c r="S581" s="5">
        <f>OBRA!T582</f>
        <v>44456</v>
      </c>
      <c r="T581" s="11">
        <f>OBRA!U582</f>
        <v>44499</v>
      </c>
      <c r="U581" s="53"/>
      <c r="V581" s="377" t="s">
        <v>1428</v>
      </c>
      <c r="W581" s="309"/>
      <c r="X581" s="11"/>
      <c r="Y581" s="279">
        <f>OBRA!AR582</f>
        <v>0</v>
      </c>
      <c r="Z581" s="309"/>
      <c r="AA581" s="309"/>
      <c r="AB581" s="5"/>
      <c r="AC581" s="317">
        <f>OBRA!BW582</f>
        <v>0</v>
      </c>
      <c r="AD581" s="352"/>
    </row>
    <row r="582" spans="1:30" ht="15" hidden="1" customHeight="1">
      <c r="A582" s="22" t="s">
        <v>2206</v>
      </c>
      <c r="B582" s="809" t="str">
        <f>GRAL!B585</f>
        <v>2021-2024</v>
      </c>
      <c r="C582" s="16">
        <f>OBRA!J583</f>
        <v>2021</v>
      </c>
      <c r="D582" s="17" t="str">
        <f>OBRA!M583</f>
        <v xml:space="preserve">CULTURA CARDINAL </v>
      </c>
      <c r="E582" s="478"/>
      <c r="F582" s="352"/>
      <c r="G582" s="1"/>
      <c r="H582" s="352"/>
      <c r="I582" s="54" t="str">
        <f>OBRA!W583</f>
        <v>N/A</v>
      </c>
      <c r="J582" s="55" t="str">
        <f>OBRA!X583</f>
        <v>ARQ. JAIME CONDE GOMEZ</v>
      </c>
      <c r="K582" s="19" t="str">
        <f>OBRA!N583</f>
        <v>DOP/AD/001/2021</v>
      </c>
      <c r="L582" s="2" t="str">
        <f>OBRA!O583</f>
        <v>ADMINISTRACIÓN DIRECTA</v>
      </c>
      <c r="M582" s="3" t="str">
        <f>OBRA!P583</f>
        <v>CONSTRUCCIÓN DE AULA EN CASA DE LA CULTURA (PARA USO DE ARCHIVO MUERTO)" EN LA CABECERA MUNICIPAL DE JOCOTEPEC, JALISCO.</v>
      </c>
      <c r="N582" s="3"/>
      <c r="O582" s="3"/>
      <c r="P582" s="6">
        <f>OBRA!S583</f>
        <v>44504</v>
      </c>
      <c r="Q582" s="4">
        <f>OBRA!R583</f>
        <v>100000</v>
      </c>
      <c r="R582" s="1023"/>
      <c r="S582" s="5">
        <f>OBRA!T583</f>
        <v>44508</v>
      </c>
      <c r="T582" s="11">
        <f>OBRA!U583</f>
        <v>44561</v>
      </c>
      <c r="U582" s="53"/>
      <c r="V582" s="377" t="s">
        <v>1428</v>
      </c>
      <c r="W582" s="309"/>
      <c r="X582" s="11"/>
      <c r="Y582" s="279">
        <f>OBRA!AR583</f>
        <v>0</v>
      </c>
      <c r="Z582" s="309"/>
      <c r="AA582" s="309"/>
      <c r="AB582" s="5"/>
      <c r="AC582" s="317">
        <f>OBRA!BW583</f>
        <v>0</v>
      </c>
      <c r="AD582" s="352"/>
    </row>
    <row r="583" spans="1:30" ht="72.75" customHeight="1">
      <c r="A583" s="22" t="s">
        <v>2206</v>
      </c>
      <c r="B583" s="809" t="str">
        <f>GRAL!B587</f>
        <v>2021-2024</v>
      </c>
      <c r="C583" s="16">
        <f>OBRA!J585</f>
        <v>2021</v>
      </c>
      <c r="D583" s="17" t="str">
        <f>OBRA!M585</f>
        <v>CUENTA CORRIENTE</v>
      </c>
      <c r="E583" s="478" t="s">
        <v>1428</v>
      </c>
      <c r="F583" s="352" t="s">
        <v>1428</v>
      </c>
      <c r="G583" s="1"/>
      <c r="H583" s="352" t="s">
        <v>1428</v>
      </c>
      <c r="I583" s="54" t="str">
        <f>OBRA!X584</f>
        <v>ING. J. GUADALUPE IBARRA RAMIREZ</v>
      </c>
      <c r="J583" s="55">
        <f>OBRA!X585</f>
        <v>0</v>
      </c>
      <c r="K583" s="33" t="str">
        <f>OBRA!N585</f>
        <v>C.P.S.P. D.O.P. 001/2021</v>
      </c>
      <c r="L583" s="2" t="str">
        <f>OBRA!O585</f>
        <v>SERVICIOS</v>
      </c>
      <c r="M583" s="3" t="str">
        <f>OBRA!P585</f>
        <v>ESTUDIO DE MECÁNICA DE SUELOS Y EL ESTUDIO DE CÁLCULO ESTRUCTURAL EN LA ESCUELA JOSÉ SANTANA, EN LA CABECERA MUNICIPAL DE JOCOTEPEC, JALISCO.</v>
      </c>
      <c r="N583" s="504" t="s">
        <v>3818</v>
      </c>
      <c r="O583" s="504"/>
      <c r="P583" s="67">
        <f>OBRA!S585</f>
        <v>44512</v>
      </c>
      <c r="Q583" s="79">
        <f>OBRA!R585</f>
        <v>42920</v>
      </c>
      <c r="R583" s="79" t="s">
        <v>68</v>
      </c>
      <c r="S583" s="5" t="str">
        <f>OBRA!T585</f>
        <v>-</v>
      </c>
      <c r="T583" s="11" t="str">
        <f>OBRA!U585</f>
        <v>-</v>
      </c>
      <c r="U583" s="1352" t="s">
        <v>5620</v>
      </c>
      <c r="V583" s="62" t="s">
        <v>1428</v>
      </c>
      <c r="W583" s="309" t="s">
        <v>1428</v>
      </c>
      <c r="X583" s="11" t="s">
        <v>1428</v>
      </c>
      <c r="Y583" s="986" t="s">
        <v>1177</v>
      </c>
      <c r="Z583" s="309"/>
      <c r="AA583" s="309"/>
      <c r="AB583" s="5"/>
      <c r="AC583" s="317">
        <f>OBRA!BW585</f>
        <v>0</v>
      </c>
      <c r="AD583" s="352"/>
    </row>
    <row r="584" spans="1:30" ht="69.75" customHeight="1">
      <c r="A584" s="22" t="s">
        <v>2206</v>
      </c>
      <c r="B584" s="809" t="str">
        <f>GRAL!B588</f>
        <v>2021-2024</v>
      </c>
      <c r="C584" s="16">
        <f>OBRA!J586</f>
        <v>2021</v>
      </c>
      <c r="D584" s="17" t="str">
        <f>OBRA!M586</f>
        <v>CUENTA CORRIENTE</v>
      </c>
      <c r="E584" s="478" t="s">
        <v>1428</v>
      </c>
      <c r="F584" s="352" t="s">
        <v>1428</v>
      </c>
      <c r="G584" s="1"/>
      <c r="H584" s="352" t="s">
        <v>1428</v>
      </c>
      <c r="I584" s="54">
        <f>OBRA!X585</f>
        <v>0</v>
      </c>
      <c r="J584" s="55">
        <f>OBRA!X586</f>
        <v>0</v>
      </c>
      <c r="K584" s="33" t="str">
        <f>OBRA!N586</f>
        <v>C.P.S.P. D.O.P. 002/2021</v>
      </c>
      <c r="L584" s="2" t="str">
        <f>OBRA!O586</f>
        <v>SERVICIOS</v>
      </c>
      <c r="M584" s="3" t="str">
        <f>OBRA!P586</f>
        <v>DESLINDE DE PREDIO UBICADO EN CARRETERA JOCOTEPEC-CHAPALA, ESQUINA CALLE CRISTOBAL COLÓN, EN LA LOCALIDAD DE NEXTIPAC, DEL MUNICIPIO DE JOCOTEPEC. JALISCO.</v>
      </c>
      <c r="N584" s="504" t="s">
        <v>3818</v>
      </c>
      <c r="O584" s="504"/>
      <c r="P584" s="67">
        <f>OBRA!S586</f>
        <v>44512</v>
      </c>
      <c r="Q584" s="79">
        <f>OBRA!R586</f>
        <v>5800</v>
      </c>
      <c r="R584" s="79" t="s">
        <v>68</v>
      </c>
      <c r="S584" s="5" t="str">
        <f>OBRA!T586</f>
        <v>-</v>
      </c>
      <c r="T584" s="11" t="str">
        <f>OBRA!U586</f>
        <v>-</v>
      </c>
      <c r="U584" s="1352" t="s">
        <v>5620</v>
      </c>
      <c r="V584" s="62" t="s">
        <v>1428</v>
      </c>
      <c r="W584" s="309" t="s">
        <v>1428</v>
      </c>
      <c r="X584" s="11" t="s">
        <v>1428</v>
      </c>
      <c r="Y584" s="986" t="s">
        <v>1177</v>
      </c>
      <c r="Z584" s="309"/>
      <c r="AA584" s="309"/>
      <c r="AB584" s="5"/>
      <c r="AC584" s="317">
        <f>OBRA!BW586</f>
        <v>0</v>
      </c>
      <c r="AD584" s="352"/>
    </row>
    <row r="585" spans="1:30" ht="192.75" customHeight="1">
      <c r="A585" s="22" t="s">
        <v>2206</v>
      </c>
      <c r="B585" s="809" t="str">
        <f>GRAL!B589</f>
        <v>2021-2024</v>
      </c>
      <c r="C585" s="16">
        <f>OBRA!J587</f>
        <v>2021</v>
      </c>
      <c r="D585" s="17" t="str">
        <f>OBRA!M587</f>
        <v>CUENTA CORRIENTE</v>
      </c>
      <c r="E585" s="478" t="s">
        <v>1428</v>
      </c>
      <c r="F585" s="352" t="s">
        <v>1428</v>
      </c>
      <c r="G585" s="1"/>
      <c r="H585" s="352" t="s">
        <v>1428</v>
      </c>
      <c r="I585" s="54">
        <f>OBRA!X586</f>
        <v>0</v>
      </c>
      <c r="J585" s="55">
        <f>OBRA!X587</f>
        <v>0</v>
      </c>
      <c r="K585" s="33" t="str">
        <f>OBRA!N587</f>
        <v>C.P.S.P. D.O.P. 003/2021</v>
      </c>
      <c r="L585" s="2" t="str">
        <f>OBRA!O587</f>
        <v>SERVICIOS</v>
      </c>
      <c r="M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4" t="s">
        <v>3818</v>
      </c>
      <c r="O585" s="504"/>
      <c r="P585" s="67">
        <f>OBRA!S587</f>
        <v>44515</v>
      </c>
      <c r="Q585" s="79">
        <f>OBRA!R587</f>
        <v>34800</v>
      </c>
      <c r="R585" s="79" t="s">
        <v>68</v>
      </c>
      <c r="S585" s="5" t="str">
        <f>OBRA!T587</f>
        <v>-</v>
      </c>
      <c r="T585" s="11" t="str">
        <f>OBRA!U587</f>
        <v>-</v>
      </c>
      <c r="U585" s="1352" t="s">
        <v>5620</v>
      </c>
      <c r="V585" s="62" t="s">
        <v>1428</v>
      </c>
      <c r="W585" s="309" t="s">
        <v>1428</v>
      </c>
      <c r="X585" s="11" t="s">
        <v>1428</v>
      </c>
      <c r="Y585" s="986" t="s">
        <v>1177</v>
      </c>
      <c r="Z585" s="309"/>
      <c r="AA585" s="309"/>
      <c r="AB585" s="5"/>
      <c r="AC585" s="317">
        <f>OBRA!BW587</f>
        <v>0</v>
      </c>
      <c r="AD585" s="352"/>
    </row>
    <row r="586" spans="1:30" ht="83.25" customHeight="1">
      <c r="A586" s="22" t="s">
        <v>2206</v>
      </c>
      <c r="B586" s="809" t="str">
        <f>GRAL!B590</f>
        <v>2021-2024</v>
      </c>
      <c r="C586" s="16">
        <f>OBRA!J588</f>
        <v>2021</v>
      </c>
      <c r="D586" s="17" t="str">
        <f>OBRA!M588</f>
        <v>CUENTA CORRIENTE</v>
      </c>
      <c r="E586" s="478" t="s">
        <v>1428</v>
      </c>
      <c r="F586" s="352" t="s">
        <v>1428</v>
      </c>
      <c r="G586" s="1"/>
      <c r="H586" s="352" t="s">
        <v>1428</v>
      </c>
      <c r="I586" s="54">
        <f>OBRA!X587</f>
        <v>0</v>
      </c>
      <c r="J586" s="55">
        <f>OBRA!X588</f>
        <v>0</v>
      </c>
      <c r="K586" s="33" t="str">
        <f>OBRA!N588</f>
        <v>C.P.S.P. D.O.P. 004/2021</v>
      </c>
      <c r="L586" s="2" t="str">
        <f>OBRA!O588</f>
        <v>SERVICIOS</v>
      </c>
      <c r="M586" s="3" t="str">
        <f>OBRA!P588</f>
        <v>"LOS ANTEPROYECTOS Y PROYECTOS EJECUTIVOS DE LAS LÍNEAS POR BOPMBEO Y POR GRAVEDAD DEL POZO ALLENDE AL TANQUE DE ALMACENAMIENTO, EN LA CABECERA MUNICIPAL DE JOCOTEPEC, JALISCO.</v>
      </c>
      <c r="N586" s="504" t="s">
        <v>3818</v>
      </c>
      <c r="O586" s="504"/>
      <c r="P586" s="67">
        <f>OBRA!S588</f>
        <v>44533</v>
      </c>
      <c r="Q586" s="79">
        <f>OBRA!R588</f>
        <v>28999.999999999996</v>
      </c>
      <c r="R586" s="79" t="s">
        <v>68</v>
      </c>
      <c r="S586" s="5">
        <f>OBRA!T588</f>
        <v>44543</v>
      </c>
      <c r="T586" s="11">
        <f>OBRA!U588</f>
        <v>44546</v>
      </c>
      <c r="U586" s="1352" t="s">
        <v>5620</v>
      </c>
      <c r="V586" s="62" t="s">
        <v>1428</v>
      </c>
      <c r="W586" s="309" t="s">
        <v>1428</v>
      </c>
      <c r="X586" s="11" t="s">
        <v>1428</v>
      </c>
      <c r="Y586" s="986" t="s">
        <v>1177</v>
      </c>
      <c r="Z586" s="309"/>
      <c r="AA586" s="309"/>
      <c r="AB586" s="5"/>
      <c r="AC586" s="317">
        <f>OBRA!BW588</f>
        <v>0</v>
      </c>
      <c r="AD586" s="352"/>
    </row>
    <row r="587" spans="1:30" ht="15" hidden="1" customHeight="1">
      <c r="A587" s="22" t="s">
        <v>2206</v>
      </c>
      <c r="B587" s="809" t="str">
        <f>GRAL!B591</f>
        <v>2021-2024</v>
      </c>
      <c r="C587" s="16">
        <f>OBRA!J589</f>
        <v>2021</v>
      </c>
      <c r="D587" s="17">
        <f>OBRA!M589</f>
        <v>0</v>
      </c>
      <c r="E587" s="478"/>
      <c r="F587" s="352"/>
      <c r="G587" s="1"/>
      <c r="H587" s="352"/>
      <c r="I587" s="54" t="str">
        <f>OBRA!W589</f>
        <v xml:space="preserve">ING. SERGIO CABRERA </v>
      </c>
      <c r="J587" s="55" t="str">
        <f>OBRA!X589</f>
        <v>ING. J. GUADALUPE IBARRA RAMIREZ</v>
      </c>
      <c r="K587" s="19" t="str">
        <f>OBRA!N589</f>
        <v>GMJ 001C- OP/2021</v>
      </c>
      <c r="L587" s="2" t="str">
        <f>OBRA!O589</f>
        <v>CANCELADA</v>
      </c>
      <c r="M587" s="3">
        <f>OBRA!P589</f>
        <v>0</v>
      </c>
      <c r="N587" s="3"/>
      <c r="O587" s="3"/>
      <c r="P587" s="6">
        <f>OBRA!S589</f>
        <v>0</v>
      </c>
      <c r="Q587" s="4">
        <f>OBRA!R589</f>
        <v>0</v>
      </c>
      <c r="R587" s="1023"/>
      <c r="S587" s="5">
        <f>OBRA!T589</f>
        <v>0</v>
      </c>
      <c r="T587" s="11">
        <f>OBRA!U589</f>
        <v>0</v>
      </c>
      <c r="U587" s="53"/>
      <c r="V587" s="377" t="s">
        <v>1428</v>
      </c>
      <c r="W587" s="309"/>
      <c r="X587" s="11"/>
      <c r="Y587" s="279">
        <f>OBRA!AR589</f>
        <v>0</v>
      </c>
      <c r="Z587" s="309"/>
      <c r="AA587" s="309"/>
      <c r="AB587" s="5"/>
      <c r="AC587" s="317">
        <f>OBRA!BW589</f>
        <v>0</v>
      </c>
      <c r="AD587" s="352"/>
    </row>
    <row r="588" spans="1:30" ht="15" hidden="1" customHeight="1">
      <c r="A588" s="22" t="s">
        <v>2206</v>
      </c>
      <c r="B588" s="809" t="str">
        <f>GRAL!B592</f>
        <v>2021-2024</v>
      </c>
      <c r="C588" s="16">
        <f>OBRA!J590</f>
        <v>2021</v>
      </c>
      <c r="D588" s="17" t="str">
        <f>OBRA!M590</f>
        <v>CUENTA CORRIENTE</v>
      </c>
      <c r="E588" s="478"/>
      <c r="F588" s="352"/>
      <c r="G588" s="1"/>
      <c r="H588" s="352"/>
      <c r="I588" s="54" t="str">
        <f>OBRA!W590</f>
        <v>ING. SERGIO CABRERA</v>
      </c>
      <c r="J588" s="55" t="str">
        <f>OBRA!X590</f>
        <v>ING. J. GUADALUPE IBARRA RAMIREZ</v>
      </c>
      <c r="K588" s="19" t="str">
        <f>OBRA!N590</f>
        <v>GMJ 002C- OP/2021</v>
      </c>
      <c r="L588" s="2" t="str">
        <f>OBRA!O590</f>
        <v>ADJUDICACIÓN DIRECTA</v>
      </c>
      <c r="M588" s="3" t="str">
        <f>OBRA!P590</f>
        <v>"REHABILITACIÓN DE LÍNEA DE AGUA POTABLE Y LÍNEA DRENAJE EN CALLE LIBERTAD" EN LA DELEGACIÓN DE POTRERILLOS, DEL MUNICIPIO DE JOCOTEPEC, JALISCO.</v>
      </c>
      <c r="N588" s="3"/>
      <c r="O588" s="3"/>
      <c r="P588" s="6">
        <f>OBRA!S590</f>
        <v>44504</v>
      </c>
      <c r="Q588" s="4">
        <f>OBRA!R590</f>
        <v>715198.43</v>
      </c>
      <c r="R588" s="1023"/>
      <c r="S588" s="5">
        <f>OBRA!T590</f>
        <v>44508</v>
      </c>
      <c r="T588" s="11">
        <f>OBRA!U590</f>
        <v>44548</v>
      </c>
      <c r="U588" s="53"/>
      <c r="V588" s="377" t="s">
        <v>1428</v>
      </c>
      <c r="W588" s="309"/>
      <c r="X588" s="11"/>
      <c r="Y588" s="279">
        <f>OBRA!AR590</f>
        <v>143039.67999999999</v>
      </c>
      <c r="Z588" s="309"/>
      <c r="AA588" s="309"/>
      <c r="AB588" s="5"/>
      <c r="AC588" s="317">
        <f>OBRA!BW590</f>
        <v>0</v>
      </c>
      <c r="AD588" s="352"/>
    </row>
    <row r="589" spans="1:30" ht="15" hidden="1" customHeight="1">
      <c r="A589" s="22" t="s">
        <v>2206</v>
      </c>
      <c r="B589" s="809" t="str">
        <f>GRAL!B593</f>
        <v>2021-2024</v>
      </c>
      <c r="C589" s="16">
        <f>OBRA!J591</f>
        <v>2021</v>
      </c>
      <c r="D589" s="17" t="str">
        <f>OBRA!M591</f>
        <v>RAMO 33</v>
      </c>
      <c r="E589" s="478"/>
      <c r="F589" s="352"/>
      <c r="G589" s="1"/>
      <c r="H589" s="352"/>
      <c r="I589" s="54" t="str">
        <f>OBRA!W591</f>
        <v>ING. SERGIO CABRERA</v>
      </c>
      <c r="J589" s="55" t="str">
        <f>OBRA!X591</f>
        <v>ING. J. GUADALUPE IBARRA RAMIREZ</v>
      </c>
      <c r="K589" s="19" t="str">
        <f>OBRA!N591</f>
        <v>GMJ 003C- OP/2021</v>
      </c>
      <c r="L589" s="2" t="str">
        <f>OBRA!O591</f>
        <v>ADJUDICACIÓN DIRECTA</v>
      </c>
      <c r="M589" s="3" t="str">
        <f>OBRA!P591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OBRA!S591</f>
        <v>44522</v>
      </c>
      <c r="Q589" s="4">
        <f>OBRA!R591</f>
        <v>347130.34</v>
      </c>
      <c r="R589" s="1023"/>
      <c r="S589" s="5">
        <f>OBRA!T591</f>
        <v>44523</v>
      </c>
      <c r="T589" s="11">
        <f>OBRA!U591</f>
        <v>44560</v>
      </c>
      <c r="U589" s="53"/>
      <c r="V589" s="377" t="s">
        <v>1428</v>
      </c>
      <c r="W589" s="309"/>
      <c r="X589" s="11"/>
      <c r="Y589" s="279">
        <f>OBRA!AR591</f>
        <v>34713.03</v>
      </c>
      <c r="Z589" s="309"/>
      <c r="AA589" s="309"/>
      <c r="AB589" s="5"/>
      <c r="AC589" s="317">
        <f>OBRA!BW591</f>
        <v>0</v>
      </c>
      <c r="AD589" s="352"/>
    </row>
    <row r="590" spans="1:30" ht="15" hidden="1" customHeight="1">
      <c r="A590" s="22" t="s">
        <v>2206</v>
      </c>
      <c r="B590" s="809" t="str">
        <f>GRAL!B594</f>
        <v>2021-2024</v>
      </c>
      <c r="C590" s="16">
        <f>OBRA!J592</f>
        <v>2021</v>
      </c>
      <c r="D590" s="17" t="str">
        <f>OBRA!M592</f>
        <v>RAMO 33</v>
      </c>
      <c r="E590" s="478"/>
      <c r="F590" s="352"/>
      <c r="G590" s="1"/>
      <c r="H590" s="352"/>
      <c r="I590" s="54" t="str">
        <f>OBRA!W592</f>
        <v>ING. SERGIO CABRERA</v>
      </c>
      <c r="J590" s="55" t="str">
        <f>OBRA!X592</f>
        <v>ING. J. GUADALUPE IBARRA RAMIREZ</v>
      </c>
      <c r="K590" s="19" t="str">
        <f>OBRA!N592</f>
        <v>GMJ 004C- OP/2021</v>
      </c>
      <c r="L590" s="2" t="str">
        <f>OBRA!O592</f>
        <v>ADJUDICACIÓN DIRECTA</v>
      </c>
      <c r="M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OBRA!S592</f>
        <v>44522</v>
      </c>
      <c r="Q590" s="4">
        <f>OBRA!R592</f>
        <v>791064.19</v>
      </c>
      <c r="R590" s="1023"/>
      <c r="S590" s="5">
        <f>OBRA!T592</f>
        <v>44523</v>
      </c>
      <c r="T590" s="11">
        <f>OBRA!U592</f>
        <v>44530</v>
      </c>
      <c r="U590" s="53"/>
      <c r="V590" s="377" t="s">
        <v>1428</v>
      </c>
      <c r="W590" s="309"/>
      <c r="X590" s="11"/>
      <c r="Y590" s="279">
        <f>OBRA!AR592</f>
        <v>79106.41</v>
      </c>
      <c r="Z590" s="309"/>
      <c r="AA590" s="309"/>
      <c r="AB590" s="5"/>
      <c r="AC590" s="317">
        <f>OBRA!BW592</f>
        <v>0</v>
      </c>
      <c r="AD590" s="352"/>
    </row>
    <row r="591" spans="1:30" ht="15" hidden="1" customHeight="1">
      <c r="A591" s="22" t="s">
        <v>2206</v>
      </c>
      <c r="B591" s="809" t="str">
        <f>GRAL!B595</f>
        <v>2021-2024</v>
      </c>
      <c r="C591" s="16">
        <f>OBRA!J593</f>
        <v>2021</v>
      </c>
      <c r="D591" s="17" t="str">
        <f>OBRA!M593</f>
        <v>RAMO 33</v>
      </c>
      <c r="E591" s="478"/>
      <c r="F591" s="352"/>
      <c r="G591" s="1"/>
      <c r="H591" s="352"/>
      <c r="I591" s="54" t="str">
        <f>OBRA!W593</f>
        <v>PLANOS Y OBRAS LODEIRO S.A. DE C.V.</v>
      </c>
      <c r="J591" s="55" t="str">
        <f>OBRA!X593</f>
        <v>ING. J. GUADALUPE IBARRA RAMIREZ</v>
      </c>
      <c r="K591" s="19" t="str">
        <f>OBRA!N593</f>
        <v>GMJ 005C- OP/2021</v>
      </c>
      <c r="L591" s="2" t="str">
        <f>OBRA!O593</f>
        <v>ADJUDICACIÓN DIRECTA</v>
      </c>
      <c r="M591" s="3" t="str">
        <f>OBRA!P593</f>
        <v>"CONSTRUCCIÓN DE BANQUETAS EN CALLE LAZARO CÁRDENAS ENTRE C. VERANO Y C. INVIERNO" EN LA CABECERA MUNICIPAL DE JOCOTEPEC, JALISCO.</v>
      </c>
      <c r="N591" s="3"/>
      <c r="O591" s="3"/>
      <c r="P591" s="6">
        <f>OBRA!S593</f>
        <v>44522</v>
      </c>
      <c r="Q591" s="4">
        <f>OBRA!R593</f>
        <v>100144.26</v>
      </c>
      <c r="R591" s="1023"/>
      <c r="S591" s="5">
        <f>OBRA!T593</f>
        <v>44524</v>
      </c>
      <c r="T591" s="11">
        <f>OBRA!U593</f>
        <v>44558</v>
      </c>
      <c r="U591" s="53"/>
      <c r="V591" s="377" t="s">
        <v>1428</v>
      </c>
      <c r="W591" s="309"/>
      <c r="X591" s="11"/>
      <c r="Y591" s="279">
        <f>OBRA!AR593</f>
        <v>20028.86</v>
      </c>
      <c r="Z591" s="309"/>
      <c r="AA591" s="309"/>
      <c r="AB591" s="5"/>
      <c r="AC591" s="317">
        <f>OBRA!BW593</f>
        <v>0</v>
      </c>
      <c r="AD591" s="352"/>
    </row>
    <row r="592" spans="1:30" ht="15" hidden="1" customHeight="1">
      <c r="A592" s="22" t="s">
        <v>2206</v>
      </c>
      <c r="B592" s="809" t="str">
        <f>GRAL!B596</f>
        <v>2021-2024</v>
      </c>
      <c r="C592" s="16">
        <f>OBRA!J594</f>
        <v>2021</v>
      </c>
      <c r="D592" s="17" t="str">
        <f>OBRA!M594</f>
        <v>RAMO 33</v>
      </c>
      <c r="E592" s="478"/>
      <c r="F592" s="352"/>
      <c r="G592" s="1"/>
      <c r="H592" s="352"/>
      <c r="I592" s="54" t="str">
        <f>OBRA!W594</f>
        <v>ING. SERGIO CABRERA</v>
      </c>
      <c r="J592" s="55" t="str">
        <f>OBRA!X594</f>
        <v>ING. J. GUADALUPE IBARRA RAMIREZ</v>
      </c>
      <c r="K592" s="19" t="str">
        <f>OBRA!N594</f>
        <v>GMJ 006C- OP/2021</v>
      </c>
      <c r="L592" s="2" t="str">
        <f>OBRA!O594</f>
        <v>ADJUDICACIÓN DIRECTA</v>
      </c>
      <c r="M592" s="3" t="str">
        <f>OBRA!P594</f>
        <v>"REHABILITACIÓN DE LÍNEA ALIMENTADORA DE AGUA POTABLE DE 6" EN C. LA PAZ ENTRE C. HIDALGO Y C. TACUBA" EN LA DELEGACIÓN DE SAN JUAN COSALÁ, DEL MUNICIPIO DE JOCOTEPEC, JALISCO.</v>
      </c>
      <c r="N592" s="3"/>
      <c r="O592" s="3"/>
      <c r="P592" s="6">
        <f>OBRA!S594</f>
        <v>44522</v>
      </c>
      <c r="Q592" s="4">
        <f>OBRA!R594</f>
        <v>252763.45</v>
      </c>
      <c r="R592" s="1023"/>
      <c r="S592" s="5">
        <f>OBRA!T594</f>
        <v>44523</v>
      </c>
      <c r="T592" s="11">
        <f>OBRA!U594</f>
        <v>44559</v>
      </c>
      <c r="U592" s="53"/>
      <c r="V592" s="377" t="s">
        <v>1428</v>
      </c>
      <c r="W592" s="309"/>
      <c r="X592" s="11"/>
      <c r="Y592" s="279">
        <f>OBRA!AR594</f>
        <v>50552.68</v>
      </c>
      <c r="Z592" s="309"/>
      <c r="AA592" s="309"/>
      <c r="AB592" s="5"/>
      <c r="AC592" s="317">
        <f>OBRA!BW594</f>
        <v>0</v>
      </c>
      <c r="AD592" s="352"/>
    </row>
    <row r="593" spans="1:30" ht="15" hidden="1" customHeight="1">
      <c r="A593" s="22" t="s">
        <v>2206</v>
      </c>
      <c r="B593" s="809" t="str">
        <f>GRAL!B597</f>
        <v>2021-2024</v>
      </c>
      <c r="C593" s="16">
        <f>OBRA!J595</f>
        <v>2021</v>
      </c>
      <c r="D593" s="17" t="str">
        <f>OBRA!M595</f>
        <v>CUENTA CORRIENTE</v>
      </c>
      <c r="E593" s="478"/>
      <c r="F593" s="352"/>
      <c r="G593" s="1"/>
      <c r="H593" s="352"/>
      <c r="I593" s="54" t="str">
        <f>OBRA!W595</f>
        <v>ING. SERGIO CABRERA</v>
      </c>
      <c r="J593" s="55" t="str">
        <f>OBRA!X595</f>
        <v>C. DANIEL RODRIGUEZ VALENZUELA</v>
      </c>
      <c r="K593" s="19" t="str">
        <f>OBRA!N595</f>
        <v>GMJ 007C- OP/2021</v>
      </c>
      <c r="L593" s="2" t="str">
        <f>OBRA!O595</f>
        <v>ADJUDICACIÓN DIRECTA</v>
      </c>
      <c r="M593" s="3" t="str">
        <f>OBRA!P595</f>
        <v>"REHABILITACIÓN DE LÍNEA DE AGUA POTABLE EN LA CALLE RIVERA DEL LAGO ENTRE CALLE MORELOS Y LA CALLE GUAYABITOS" EN LA DELEGACIÓN DE CHANTEPEC, DEL MUNICIPIO DE JOCOTEPEC, JALISCO</v>
      </c>
      <c r="N593" s="3"/>
      <c r="O593" s="3"/>
      <c r="P593" s="6">
        <f>OBRA!S595</f>
        <v>44560</v>
      </c>
      <c r="Q593" s="4">
        <f>OBRA!R595</f>
        <v>360015.52</v>
      </c>
      <c r="R593" s="1023"/>
      <c r="S593" s="5">
        <f>OBRA!T595</f>
        <v>44560</v>
      </c>
      <c r="T593" s="11">
        <f>OBRA!U595</f>
        <v>44569</v>
      </c>
      <c r="U593" s="53"/>
      <c r="V593" s="377" t="s">
        <v>1428</v>
      </c>
      <c r="W593" s="309"/>
      <c r="X593" s="11"/>
      <c r="Y593" s="279">
        <f>OBRA!AR595</f>
        <v>72003.100000000006</v>
      </c>
      <c r="Z593" s="309"/>
      <c r="AA593" s="309"/>
      <c r="AB593" s="5"/>
      <c r="AC593" s="317">
        <f>OBRA!BW595</f>
        <v>0</v>
      </c>
      <c r="AD593" s="352"/>
    </row>
    <row r="594" spans="1:30" ht="15" hidden="1" customHeight="1">
      <c r="A594" s="22" t="s">
        <v>2206</v>
      </c>
      <c r="B594" s="809" t="str">
        <f>GRAL!B598</f>
        <v>2021-2024</v>
      </c>
      <c r="C594" s="16">
        <f>OBRA!J596</f>
        <v>2022</v>
      </c>
      <c r="D594" s="17" t="str">
        <f>OBRA!M596</f>
        <v>CUENTA CORRIENTE</v>
      </c>
      <c r="E594" s="1170"/>
      <c r="F594" s="1108"/>
      <c r="G594" s="219"/>
      <c r="H594" s="1108"/>
      <c r="I594" s="54" t="str">
        <f>OBRA!W596</f>
        <v>N/A</v>
      </c>
      <c r="J594" s="55" t="str">
        <f>OBRA!X596</f>
        <v>ARQ. JAIME CONDE GOMEZ</v>
      </c>
      <c r="K594" s="19" t="str">
        <f>OBRA!N596</f>
        <v>DOP/AD/001/2022</v>
      </c>
      <c r="L594" s="2" t="str">
        <f>OBRA!O596</f>
        <v>ADMINISTRACIÓN DIRECTA</v>
      </c>
      <c r="M594" s="3" t="str">
        <f>OBRA!P596</f>
        <v>CUARTO DE EMERGENCIA PARA MUJERES EN SITUACIÓN DE VIOLENCIA EXTREMA…</v>
      </c>
      <c r="N594" s="541"/>
      <c r="O594" s="541"/>
      <c r="P594" s="6">
        <f>OBRA!S596</f>
        <v>44693</v>
      </c>
      <c r="Q594" s="4">
        <f>OBRA!R596</f>
        <v>70000</v>
      </c>
      <c r="R594" s="1023"/>
      <c r="S594" s="5">
        <f>OBRA!T596</f>
        <v>44697</v>
      </c>
      <c r="T594" s="11">
        <f>OBRA!U596</f>
        <v>44728</v>
      </c>
      <c r="U594" s="692"/>
      <c r="V594" s="203"/>
      <c r="W594" s="508"/>
      <c r="X594" s="509"/>
      <c r="Y594" s="534">
        <f>OBRA!AR596</f>
        <v>0</v>
      </c>
      <c r="Z594" s="309"/>
      <c r="AA594" s="309"/>
      <c r="AB594" s="5"/>
      <c r="AC594" s="317">
        <f>OBRA!BW596</f>
        <v>0</v>
      </c>
      <c r="AD594" s="352"/>
    </row>
    <row r="595" spans="1:30" ht="15" hidden="1" customHeight="1">
      <c r="A595" s="22" t="s">
        <v>2206</v>
      </c>
      <c r="B595" s="809" t="str">
        <f>GRAL!B599</f>
        <v>2021-2024</v>
      </c>
      <c r="C595" s="16">
        <f>OBRA!J597</f>
        <v>2022</v>
      </c>
      <c r="D595" s="17" t="str">
        <f>OBRA!M597</f>
        <v>RAMO 33</v>
      </c>
      <c r="E595" s="1170"/>
      <c r="F595" s="1108"/>
      <c r="G595" s="219"/>
      <c r="H595" s="1108"/>
      <c r="I595" s="54" t="str">
        <f>OBRA!W597</f>
        <v>N/A</v>
      </c>
      <c r="J595" s="55" t="str">
        <f>OBRA!X597</f>
        <v>ING. LUIS RIGOBERTO OLMEDO NAVARRO</v>
      </c>
      <c r="K595" s="19" t="str">
        <f>OBRA!N597</f>
        <v>DOP/AD/002/2022</v>
      </c>
      <c r="L595" s="2" t="str">
        <f>OBRA!O597</f>
        <v>ADMINISTRACIÓN DIRECTA</v>
      </c>
      <c r="M595" s="3" t="str">
        <f>OBRA!P597</f>
        <v>"CONSTRUCCIÓN DE BANQUETAS EN EL PUENTE 20 DE NOVIEMBRE", EN LA LOCALIDAD DE ZAPOTITÁN DE HIDALGO, DEL MUNICIPIO DE JOCOTEPEC, JALISCO.</v>
      </c>
      <c r="N595" s="541"/>
      <c r="O595" s="541"/>
      <c r="P595" s="6">
        <f>OBRA!S597</f>
        <v>44707</v>
      </c>
      <c r="Q595" s="4">
        <f>OBRA!R597</f>
        <v>60152.28</v>
      </c>
      <c r="R595" s="1023"/>
      <c r="S595" s="5">
        <f>OBRA!T597</f>
        <v>44718</v>
      </c>
      <c r="T595" s="11">
        <f>OBRA!U597</f>
        <v>44726</v>
      </c>
      <c r="U595" s="692"/>
      <c r="V595" s="203"/>
      <c r="W595" s="508"/>
      <c r="X595" s="509"/>
      <c r="Y595" s="534">
        <f>OBRA!AR597</f>
        <v>0</v>
      </c>
      <c r="Z595" s="309"/>
      <c r="AA595" s="309"/>
      <c r="AB595" s="5"/>
      <c r="AC595" s="317">
        <f>OBRA!BW597</f>
        <v>0</v>
      </c>
      <c r="AD595" s="352"/>
    </row>
    <row r="596" spans="1:30" ht="15" hidden="1" customHeight="1">
      <c r="A596" s="22" t="s">
        <v>2206</v>
      </c>
      <c r="B596" s="809" t="str">
        <f>GRAL!B600</f>
        <v>2021-2024</v>
      </c>
      <c r="C596" s="16">
        <f>OBRA!J598</f>
        <v>2022</v>
      </c>
      <c r="D596" s="17" t="str">
        <f>OBRA!M598</f>
        <v>CUENTA CORRIENTE</v>
      </c>
      <c r="E596" s="1170"/>
      <c r="F596" s="1108"/>
      <c r="G596" s="219"/>
      <c r="H596" s="1108"/>
      <c r="I596" s="54" t="str">
        <f>OBRA!W598</f>
        <v>N/A</v>
      </c>
      <c r="J596" s="55" t="str">
        <f>OBRA!X598</f>
        <v>ING. LUIS RIGOBERTO OLMEDO NAVARRO</v>
      </c>
      <c r="K596" s="19" t="str">
        <f>OBRA!N598</f>
        <v>DOP/AD/003/2022</v>
      </c>
      <c r="L596" s="2" t="str">
        <f>OBRA!O598</f>
        <v>ADMINISTRACIÓN DIRECTA</v>
      </c>
      <c r="M596" s="3" t="str">
        <f>OBRA!P598</f>
        <v>“CONSTRUCCIÓN DEL TECHO DE LA SALA DE JUNTAS DEL PUNTO INOCUO DE DESEMBARQUE UBICADO DENTRO DE LAS INSTALACIONES DE LA COOPERATIVA”, EN LA LOCALIDAD DE SAN JUAN COSALÁ, DEL MUNICIPIO DE JOCOTEPEC, JALISCO</v>
      </c>
      <c r="N596" s="541"/>
      <c r="O596" s="541"/>
      <c r="P596" s="6">
        <f>OBRA!S598</f>
        <v>44777</v>
      </c>
      <c r="Q596" s="4">
        <f>OBRA!R598</f>
        <v>81200</v>
      </c>
      <c r="R596" s="1023"/>
      <c r="S596" s="5">
        <f>OBRA!T598</f>
        <v>44781</v>
      </c>
      <c r="T596" s="11">
        <f>OBRA!U598</f>
        <v>44799</v>
      </c>
      <c r="U596" s="692"/>
      <c r="V596" s="203"/>
      <c r="W596" s="508"/>
      <c r="X596" s="509"/>
      <c r="Y596" s="534">
        <f>OBRA!AR598</f>
        <v>0</v>
      </c>
      <c r="Z596" s="309"/>
      <c r="AA596" s="309"/>
      <c r="AB596" s="5"/>
      <c r="AC596" s="317">
        <f>OBRA!BW598</f>
        <v>0</v>
      </c>
      <c r="AD596" s="352"/>
    </row>
    <row r="597" spans="1:30" ht="15" hidden="1" customHeight="1">
      <c r="A597" s="22" t="s">
        <v>2206</v>
      </c>
      <c r="B597" s="809" t="str">
        <f>GRAL!B601</f>
        <v>2021-2024</v>
      </c>
      <c r="C597" s="16">
        <f>OBRA!J599</f>
        <v>2022</v>
      </c>
      <c r="D597" s="17" t="str">
        <f>OBRA!M599</f>
        <v>CUENTA CORRIENTE</v>
      </c>
      <c r="E597" s="1170"/>
      <c r="F597" s="1108"/>
      <c r="G597" s="219"/>
      <c r="H597" s="1108"/>
      <c r="I597" s="54" t="str">
        <f>OBRA!W599</f>
        <v>N/A</v>
      </c>
      <c r="J597" s="55" t="str">
        <f>OBRA!X599</f>
        <v>C. DANIEL RODRIGUEZ VALENZUELA</v>
      </c>
      <c r="K597" s="19" t="str">
        <f>OBRA!N599</f>
        <v>DOP/AD/001-A/2022</v>
      </c>
      <c r="L597" s="2" t="str">
        <f>OBRA!O599</f>
        <v>ADMINISTRACIÓN DIRECTA</v>
      </c>
      <c r="M597" s="3" t="str">
        <f>OBRA!P599</f>
        <v>"REHABILITACIÓN DE EXTENSIÓN DE RED DE AGUA POTABLE DE 4" EN CALLE PROL. MORELOS ENTRE CALLE RIBERA DEL LAGO Y CALLE CHUECA" EN LA LOCALIDAD DE NEXTIPAC, DEL MUNICIPIO DE JOCOTEPEC, JALISCO.</v>
      </c>
      <c r="N597" s="541"/>
      <c r="O597" s="541"/>
      <c r="P597" s="6">
        <f>OBRA!S599</f>
        <v>44595</v>
      </c>
      <c r="Q597" s="4">
        <f>OBRA!R599</f>
        <v>330190.86</v>
      </c>
      <c r="R597" s="1023"/>
      <c r="S597" s="5">
        <f>OBRA!T599</f>
        <v>44599</v>
      </c>
      <c r="T597" s="11">
        <f>OBRA!U599</f>
        <v>44617</v>
      </c>
      <c r="U597" s="692"/>
      <c r="V597" s="203"/>
      <c r="W597" s="508"/>
      <c r="X597" s="509"/>
      <c r="Y597" s="534">
        <f>OBRA!AR599</f>
        <v>0</v>
      </c>
      <c r="Z597" s="309"/>
      <c r="AA597" s="309"/>
      <c r="AB597" s="5"/>
      <c r="AC597" s="317">
        <f>OBRA!BW599</f>
        <v>0</v>
      </c>
      <c r="AD597" s="352"/>
    </row>
    <row r="598" spans="1:30" ht="15" hidden="1" customHeight="1">
      <c r="A598" s="22" t="s">
        <v>2206</v>
      </c>
      <c r="B598" s="809" t="str">
        <f>GRAL!B737</f>
        <v>2021-2024</v>
      </c>
      <c r="C598" s="16">
        <f>OBRA!J600</f>
        <v>2022</v>
      </c>
      <c r="D598" s="17" t="str">
        <f>OBRA!M600</f>
        <v>CUENTA CORRIENTE</v>
      </c>
      <c r="E598" s="1170"/>
      <c r="F598" s="1108"/>
      <c r="G598" s="219"/>
      <c r="H598" s="1108"/>
      <c r="I598" s="54" t="str">
        <f>OBRA!W600</f>
        <v>N/A</v>
      </c>
      <c r="J598" s="55" t="str">
        <f>OBRA!X600</f>
        <v>C. DANIEL RODRIGUEZ VALENZUELA</v>
      </c>
      <c r="K598" s="19" t="str">
        <f>OBRA!N600</f>
        <v>DOP/AD/005/2022</v>
      </c>
      <c r="L598" s="2" t="str">
        <f>OBRA!O600</f>
        <v>ADMINISTRACIÓN DIRECTA</v>
      </c>
      <c r="M598" s="3" t="str">
        <f>OBRA!P600</f>
        <v>"CONSTRUCCIÓN DE SUPERFICIE DE RODAMIENTO EN CALLE 12 DE OCTUBRE", EN LA LOCALIDAD DE SAN PEDRO TESISTÁN, DEL MUNICIPIO DE JOCOTEPEC, JALISCO</v>
      </c>
      <c r="N598" s="541"/>
      <c r="O598" s="541"/>
      <c r="P598" s="6">
        <f>OBRA!S600</f>
        <v>44875</v>
      </c>
      <c r="Q598" s="4">
        <f>OBRA!R600</f>
        <v>86073.66</v>
      </c>
      <c r="R598" s="1023"/>
      <c r="S598" s="5">
        <f>OBRA!T600</f>
        <v>44886</v>
      </c>
      <c r="T598" s="11">
        <f>OBRA!U600</f>
        <v>44893</v>
      </c>
      <c r="U598" s="692"/>
      <c r="V598" s="203"/>
      <c r="W598" s="508"/>
      <c r="X598" s="509"/>
      <c r="Y598" s="534">
        <f>OBRA!AR600</f>
        <v>0</v>
      </c>
      <c r="Z598" s="309"/>
      <c r="AA598" s="309"/>
      <c r="AB598" s="5"/>
      <c r="AC598" s="317">
        <f>OBRA!BW600</f>
        <v>0</v>
      </c>
      <c r="AD598" s="352"/>
    </row>
    <row r="599" spans="1:30" ht="15" hidden="1" customHeight="1">
      <c r="A599" s="22" t="s">
        <v>2206</v>
      </c>
      <c r="B599" s="809">
        <f>GRAL!B876</f>
        <v>0</v>
      </c>
      <c r="C599" s="16">
        <f>OBRA!J601</f>
        <v>2022</v>
      </c>
      <c r="D599" s="17" t="str">
        <f>OBRA!M601</f>
        <v>CUENTA CORRIENTE</v>
      </c>
      <c r="E599" s="1170"/>
      <c r="F599" s="1108"/>
      <c r="G599" s="219"/>
      <c r="H599" s="1108"/>
      <c r="I599" s="54" t="str">
        <f>OBRA!W601</f>
        <v>N/A</v>
      </c>
      <c r="J599" s="55" t="str">
        <f>OBRA!X601</f>
        <v>C. DANIEL RODRIGUEZ VALENZUELA</v>
      </c>
      <c r="K599" s="19" t="str">
        <f>OBRA!N601</f>
        <v>DOP/AD/006/2022</v>
      </c>
      <c r="L599" s="2" t="str">
        <f>OBRA!O601</f>
        <v>ADMINISTRACIÓN DIRECTA</v>
      </c>
      <c r="M599" s="3" t="str">
        <f>OBRA!P601</f>
        <v>"CONSTRUCCIÓN DE SUPERFICIE DE RODAMIENTO EN CALLE LIBERTAD", EN LA LOCALIDAD DE SAN PEDRO TESISTÁN, DEL MUNICIPIO DE JOCOTEPEC, JALISCO</v>
      </c>
      <c r="N599" s="541"/>
      <c r="O599" s="541"/>
      <c r="P599" s="6">
        <f>OBRA!S601</f>
        <v>44875</v>
      </c>
      <c r="Q599" s="4">
        <f>OBRA!R601</f>
        <v>109829.72</v>
      </c>
      <c r="R599" s="1023"/>
      <c r="S599" s="5">
        <f>OBRA!T601</f>
        <v>44879</v>
      </c>
      <c r="T599" s="11">
        <f>OBRA!U601</f>
        <v>44886</v>
      </c>
      <c r="U599" s="692"/>
      <c r="V599" s="203"/>
      <c r="W599" s="508"/>
      <c r="X599" s="509"/>
      <c r="Y599" s="534">
        <f>OBRA!AR601</f>
        <v>0</v>
      </c>
      <c r="Z599" s="309"/>
      <c r="AA599" s="309"/>
      <c r="AB599" s="5"/>
      <c r="AC599" s="317">
        <f>OBRA!BW601</f>
        <v>0</v>
      </c>
      <c r="AD599" s="352"/>
    </row>
    <row r="600" spans="1:30" ht="15" hidden="1" customHeight="1">
      <c r="A600" s="22" t="s">
        <v>2206</v>
      </c>
      <c r="B600" s="809">
        <f>GRAL!B877</f>
        <v>0</v>
      </c>
      <c r="C600" s="16">
        <f>OBRA!J602</f>
        <v>2022</v>
      </c>
      <c r="D600" s="17" t="str">
        <f>OBRA!M602</f>
        <v>CUENTA CORRIENTE</v>
      </c>
      <c r="E600" s="1170"/>
      <c r="F600" s="1108"/>
      <c r="G600" s="219"/>
      <c r="H600" s="1108"/>
      <c r="I600" s="54" t="str">
        <f>OBRA!W602</f>
        <v>N/A</v>
      </c>
      <c r="J600" s="55" t="str">
        <f>OBRA!X602</f>
        <v>ING. J. GUADALUPE IBARRA RAMIREZ</v>
      </c>
      <c r="K600" s="19" t="str">
        <f>OBRA!N602</f>
        <v>MANTENIMIENTOS</v>
      </c>
      <c r="L600" s="2" t="str">
        <f>OBRA!O602</f>
        <v>MANTENIMIENTOS</v>
      </c>
      <c r="M600" s="3" t="str">
        <f>OBRA!P602</f>
        <v>REMODELACIÓN DE PRESIDENCIA</v>
      </c>
      <c r="N600" s="541"/>
      <c r="O600" s="541"/>
      <c r="P600" s="6" t="str">
        <f>OBRA!S602</f>
        <v>N/A</v>
      </c>
      <c r="Q600" s="4">
        <f>OBRA!R602</f>
        <v>0</v>
      </c>
      <c r="R600" s="1023"/>
      <c r="S600" s="5">
        <f>OBRA!T602</f>
        <v>44562</v>
      </c>
      <c r="T600" s="11">
        <f>OBRA!U602</f>
        <v>44926</v>
      </c>
      <c r="U600" s="692"/>
      <c r="V600" s="203"/>
      <c r="W600" s="508"/>
      <c r="X600" s="509"/>
      <c r="Y600" s="534">
        <f>OBRA!AR602</f>
        <v>0</v>
      </c>
      <c r="Z600" s="309"/>
      <c r="AA600" s="309"/>
      <c r="AB600" s="5"/>
      <c r="AC600" s="317">
        <f>OBRA!BW602</f>
        <v>0</v>
      </c>
      <c r="AD600" s="352"/>
    </row>
    <row r="601" spans="1:30" ht="15" hidden="1" customHeight="1">
      <c r="A601" s="22" t="s">
        <v>2206</v>
      </c>
      <c r="B601" s="809">
        <f>GRAL!B878</f>
        <v>0</v>
      </c>
      <c r="C601" s="16">
        <f>OBRA!J603</f>
        <v>2022</v>
      </c>
      <c r="D601" s="17" t="str">
        <f>OBRA!M603</f>
        <v>CUENTA CORRIENTE</v>
      </c>
      <c r="E601" s="1170"/>
      <c r="F601" s="1108"/>
      <c r="G601" s="219"/>
      <c r="H601" s="1108"/>
      <c r="I601" s="54" t="str">
        <f>OBRA!W603</f>
        <v>N/A</v>
      </c>
      <c r="J601" s="55" t="str">
        <f>OBRA!X603</f>
        <v>ARQ. JAIME CONDE GOMEZ</v>
      </c>
      <c r="K601" s="19" t="str">
        <f>OBRA!N603</f>
        <v>DOP/AD/007/2022</v>
      </c>
      <c r="L601" s="2" t="str">
        <f>OBRA!O603</f>
        <v>ADMINISTRACIÓN DIRECTA</v>
      </c>
      <c r="M601" s="3" t="str">
        <f>OBRA!P603</f>
        <v>“CONSTRUCCIÓN DE BAÑOS PÚBLICOS”, EN LA LOCALIDAD DE EL MOLINO, DEL MUNICIPIO DE JOCOTEPEC, JALISCO</v>
      </c>
      <c r="N601" s="541"/>
      <c r="O601" s="541"/>
      <c r="P601" s="6">
        <f>OBRA!S603</f>
        <v>44875</v>
      </c>
      <c r="Q601" s="4">
        <f>OBRA!R603</f>
        <v>297707.86</v>
      </c>
      <c r="R601" s="1023"/>
      <c r="S601" s="5">
        <f>OBRA!T603</f>
        <v>44880</v>
      </c>
      <c r="T601" s="11">
        <f>OBRA!U603</f>
        <v>44926</v>
      </c>
      <c r="U601" s="692"/>
      <c r="V601" s="203"/>
      <c r="W601" s="508"/>
      <c r="X601" s="509"/>
      <c r="Y601" s="534">
        <f>OBRA!AR603</f>
        <v>0</v>
      </c>
      <c r="Z601" s="309"/>
      <c r="AA601" s="309"/>
      <c r="AB601" s="5"/>
      <c r="AC601" s="317">
        <f>OBRA!BW603</f>
        <v>0</v>
      </c>
      <c r="AD601" s="352"/>
    </row>
    <row r="602" spans="1:30" ht="15" hidden="1" customHeight="1">
      <c r="A602" s="22" t="s">
        <v>2206</v>
      </c>
      <c r="B602" s="809">
        <f>GRAL!B879</f>
        <v>0</v>
      </c>
      <c r="C602" s="16">
        <f>OBRA!J604</f>
        <v>2022</v>
      </c>
      <c r="D602" s="17" t="str">
        <f>OBRA!M604</f>
        <v>CUENTA CORRIENTE</v>
      </c>
      <c r="E602" s="1170"/>
      <c r="F602" s="1108"/>
      <c r="G602" s="219"/>
      <c r="H602" s="1108"/>
      <c r="I602" s="54" t="str">
        <f>OBRA!W604</f>
        <v>N/A</v>
      </c>
      <c r="J602" s="55" t="str">
        <f>OBRA!X604</f>
        <v>ING. J. GUADALUPE IBARRA RAMIREZ</v>
      </c>
      <c r="K602" s="19" t="str">
        <f>OBRA!N604</f>
        <v>DOP/AD/001-B/2022</v>
      </c>
      <c r="L602" s="2" t="str">
        <f>OBRA!O604</f>
        <v>ADMINISTRACIÓN DIRECTA</v>
      </c>
      <c r="M602" s="3" t="str">
        <f>OBRA!P604</f>
        <v>"REMODELACIÓN DE PRESIDENCIA (2DA ETAPA)", EN LA CABECERA MUNICIPAL DE JOCOTEPEC.</v>
      </c>
      <c r="N602" s="541"/>
      <c r="O602" s="541"/>
      <c r="P602" s="6">
        <f>OBRA!S604</f>
        <v>44620</v>
      </c>
      <c r="Q602" s="4">
        <f>OBRA!R604</f>
        <v>800000</v>
      </c>
      <c r="R602" s="1023"/>
      <c r="S602" s="5">
        <f>OBRA!T604</f>
        <v>44624</v>
      </c>
      <c r="T602" s="11">
        <f>OBRA!U604</f>
        <v>44773</v>
      </c>
      <c r="U602" s="692"/>
      <c r="V602" s="203"/>
      <c r="W602" s="508"/>
      <c r="X602" s="509"/>
      <c r="Y602" s="534">
        <f>OBRA!AR604</f>
        <v>0</v>
      </c>
      <c r="Z602" s="309"/>
      <c r="AA602" s="309"/>
      <c r="AB602" s="5"/>
      <c r="AC602" s="317">
        <f>OBRA!BW604</f>
        <v>0</v>
      </c>
      <c r="AD602" s="352"/>
    </row>
    <row r="603" spans="1:30" ht="15" hidden="1" customHeight="1">
      <c r="A603" s="22" t="s">
        <v>2206</v>
      </c>
      <c r="B603" s="809">
        <f>GRAL!B880</f>
        <v>0</v>
      </c>
      <c r="C603" s="16">
        <f>OBRA!J605</f>
        <v>2022</v>
      </c>
      <c r="D603" s="17">
        <f>OBRA!M605</f>
        <v>0</v>
      </c>
      <c r="E603" s="1170"/>
      <c r="F603" s="1108"/>
      <c r="G603" s="219"/>
      <c r="H603" s="1108"/>
      <c r="I603" s="54" t="str">
        <f>OBRA!W605</f>
        <v>N/A</v>
      </c>
      <c r="J603" s="55">
        <f>OBRA!X605</f>
        <v>0</v>
      </c>
      <c r="K603" s="19" t="str">
        <f>OBRA!N605</f>
        <v>DOP/AD/010/2022</v>
      </c>
      <c r="L603" s="2" t="str">
        <f>OBRA!O605</f>
        <v>CANCELADA</v>
      </c>
      <c r="M603" s="3" t="str">
        <f>OBRA!P605</f>
        <v>-</v>
      </c>
      <c r="N603" s="541"/>
      <c r="O603" s="541"/>
      <c r="P603" s="6">
        <f>OBRA!S605</f>
        <v>0</v>
      </c>
      <c r="Q603" s="4" t="str">
        <f>OBRA!R605</f>
        <v>|</v>
      </c>
      <c r="R603" s="1023"/>
      <c r="S603" s="5">
        <f>OBRA!T605</f>
        <v>0</v>
      </c>
      <c r="T603" s="11">
        <f>OBRA!U605</f>
        <v>0</v>
      </c>
      <c r="U603" s="692"/>
      <c r="V603" s="203"/>
      <c r="W603" s="508"/>
      <c r="X603" s="509"/>
      <c r="Y603" s="534">
        <f>OBRA!AR605</f>
        <v>0</v>
      </c>
      <c r="Z603" s="309"/>
      <c r="AA603" s="309"/>
      <c r="AB603" s="5"/>
      <c r="AC603" s="317">
        <f>OBRA!BW605</f>
        <v>0</v>
      </c>
      <c r="AD603" s="352"/>
    </row>
    <row r="604" spans="1:30" ht="78" customHeight="1">
      <c r="A604" s="22" t="s">
        <v>2206</v>
      </c>
      <c r="B604" s="809">
        <f>GRAL!B881</f>
        <v>0</v>
      </c>
      <c r="C604" s="16">
        <f>OBRA!J606</f>
        <v>2022</v>
      </c>
      <c r="D604" s="17" t="str">
        <f>OBRA!M606</f>
        <v>CUENTA CORRIENTE</v>
      </c>
      <c r="E604" s="478" t="s">
        <v>1428</v>
      </c>
      <c r="F604" s="352"/>
      <c r="G604" s="1"/>
      <c r="H604" s="352"/>
      <c r="I604" s="54" t="str">
        <f>OBRA!W606</f>
        <v>ING. J. TRINIDAD NUÑEZ BRITO</v>
      </c>
      <c r="J604" s="55" t="str">
        <f>OBRA!X606</f>
        <v>LIC. SALVADOR CONTRERAS OLGUÍN</v>
      </c>
      <c r="K604" s="33" t="str">
        <f>OBRA!N606</f>
        <v>CPSP DOP 001/2022</v>
      </c>
      <c r="L604" s="2" t="str">
        <f>OBRA!O606</f>
        <v xml:space="preserve">SERVICIOS </v>
      </c>
      <c r="M604" s="3" t="str">
        <f>OBRA!P606</f>
        <v>ESTUDIO GEOHIDROLÓGICO-GEOFÍSICOS PARA LOCALIZACIÓN Y/O PERFORACIÓN DE POZO PARA AGUA POTABLE (SAN JUAN COSALA, SAN PEDRO TESISTÁN, POTRERILLOS Y SAN LUCIANO), DEL MUNICIPIO DE JOCOTEPEC, JALISCO.</v>
      </c>
      <c r="N604" s="504" t="s">
        <v>4507</v>
      </c>
      <c r="O604" s="504"/>
      <c r="P604" s="67">
        <f>OBRA!S606</f>
        <v>44572</v>
      </c>
      <c r="Q604" s="79">
        <f>OBRA!R606</f>
        <v>69600</v>
      </c>
      <c r="R604" s="79" t="s">
        <v>68</v>
      </c>
      <c r="S604" s="5">
        <f>OBRA!T606</f>
        <v>44578</v>
      </c>
      <c r="T604" s="11">
        <f>OBRA!U606</f>
        <v>44581</v>
      </c>
      <c r="U604" s="1352" t="s">
        <v>5620</v>
      </c>
      <c r="V604" s="62" t="s">
        <v>1428</v>
      </c>
      <c r="W604" s="309"/>
      <c r="X604" s="11"/>
      <c r="Y604" s="986" t="s">
        <v>1177</v>
      </c>
      <c r="Z604" s="309"/>
      <c r="AA604" s="309"/>
      <c r="AB604" s="5"/>
      <c r="AC604" s="317">
        <f>OBRA!BW606</f>
        <v>0</v>
      </c>
      <c r="AD604" s="352"/>
    </row>
    <row r="605" spans="1:30" ht="15" hidden="1" customHeight="1">
      <c r="A605" s="22" t="s">
        <v>2206</v>
      </c>
      <c r="B605" s="809">
        <f>GRAL!B882</f>
        <v>0</v>
      </c>
      <c r="C605" s="16">
        <f>OBRA!J607</f>
        <v>2022</v>
      </c>
      <c r="D605" s="17" t="str">
        <f>OBRA!M607</f>
        <v>CUENTA CORRIENTE</v>
      </c>
      <c r="E605" s="478" t="s">
        <v>1428</v>
      </c>
      <c r="F605" s="352" t="s">
        <v>1428</v>
      </c>
      <c r="G605" s="219"/>
      <c r="H605" s="352" t="s">
        <v>1428</v>
      </c>
      <c r="I605" s="54" t="str">
        <f>OBRA!W607</f>
        <v>PEDRO MACHUCA SAAVEDRA</v>
      </c>
      <c r="J605" s="55" t="str">
        <f>OBRA!X607</f>
        <v>LIC. SALVADOR CONTRERAS OLGUÍN</v>
      </c>
      <c r="K605" s="19" t="str">
        <f>OBRA!N607</f>
        <v>CPSP DOP 002/2022</v>
      </c>
      <c r="L605" s="2" t="str">
        <f>OBRA!O607</f>
        <v>SERVICIOS (CANCELADO)</v>
      </c>
      <c r="M605" s="3" t="str">
        <f>OBRA!P607</f>
        <v>LOCALIZACIÓN DE AGUA EN PREDIOS PARA POSIBLE PERFORACIÓN DE POZO PROFUNDO POR MEDIO DE LA TÉCNICA DE RADIESTESIA EN LAS LOCALIDADES DE SAN JUAN COSALA, SAN PEDRO TESISTÁN. POTRERILLOS Y SAN LUCIANO EN EL MUNICIPIO DE JOCOTEPEC, JALISCO.</v>
      </c>
      <c r="N605" s="541"/>
      <c r="O605" s="541"/>
      <c r="P605" s="6">
        <f>OBRA!S607</f>
        <v>44575</v>
      </c>
      <c r="Q605" s="4">
        <f>OBRA!R607</f>
        <v>12000</v>
      </c>
      <c r="R605" s="1023"/>
      <c r="S605" s="5">
        <f>OBRA!T607</f>
        <v>44578</v>
      </c>
      <c r="T605" s="11">
        <f>OBRA!U607</f>
        <v>44582</v>
      </c>
      <c r="U605" s="207" t="s">
        <v>3815</v>
      </c>
      <c r="V605" s="377" t="s">
        <v>1428</v>
      </c>
      <c r="W605" s="309" t="s">
        <v>1428</v>
      </c>
      <c r="X605" s="509"/>
      <c r="Y605" s="279">
        <f>OBRA!AR607</f>
        <v>0</v>
      </c>
      <c r="Z605" s="309"/>
      <c r="AA605" s="309"/>
      <c r="AB605" s="5"/>
      <c r="AC605" s="317">
        <f>OBRA!BW607</f>
        <v>0</v>
      </c>
      <c r="AD605" s="352"/>
    </row>
    <row r="606" spans="1:30" ht="157.5" customHeight="1">
      <c r="A606" s="22" t="s">
        <v>2206</v>
      </c>
      <c r="B606" s="809">
        <f>GRAL!B883</f>
        <v>0</v>
      </c>
      <c r="C606" s="16">
        <f>OBRA!J608</f>
        <v>2022</v>
      </c>
      <c r="D606" s="17" t="str">
        <f>OBRA!M608</f>
        <v>CUENTA CORRIENTE</v>
      </c>
      <c r="E606" s="478" t="s">
        <v>1428</v>
      </c>
      <c r="F606" s="352"/>
      <c r="G606" s="1"/>
      <c r="H606" s="352"/>
      <c r="I606" s="54" t="str">
        <f>OBRA!W608</f>
        <v>OSCAR CASTILLO LEDEZMA</v>
      </c>
      <c r="J606" s="55">
        <f>OBRA!X608</f>
        <v>0</v>
      </c>
      <c r="K606" s="33" t="str">
        <f>OBRA!N608</f>
        <v>CPSP DOP 003/2022</v>
      </c>
      <c r="L606" s="2" t="str">
        <f>OBRA!O608</f>
        <v xml:space="preserve">SERVICIOS </v>
      </c>
      <c r="M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4" t="s">
        <v>4507</v>
      </c>
      <c r="O606" s="504"/>
      <c r="P606" s="67">
        <f>OBRA!S608</f>
        <v>44592</v>
      </c>
      <c r="Q606" s="79" t="str">
        <f>OBRA!R608</f>
        <v>vie</v>
      </c>
      <c r="R606" s="79" t="s">
        <v>68</v>
      </c>
      <c r="S606" s="5">
        <f>OBRA!T608</f>
        <v>44593</v>
      </c>
      <c r="T606" s="11">
        <f>OBRA!U608</f>
        <v>44607</v>
      </c>
      <c r="U606" s="1352" t="s">
        <v>5620</v>
      </c>
      <c r="V606" s="62" t="s">
        <v>1428</v>
      </c>
      <c r="W606" s="309"/>
      <c r="X606" s="11"/>
      <c r="Y606" s="986" t="s">
        <v>1177</v>
      </c>
      <c r="Z606" s="309"/>
      <c r="AA606" s="309"/>
      <c r="AB606" s="5"/>
      <c r="AC606" s="317">
        <f>OBRA!BW608</f>
        <v>0</v>
      </c>
      <c r="AD606" s="352"/>
    </row>
    <row r="607" spans="1:30" ht="91.5" customHeight="1">
      <c r="A607" s="22" t="s">
        <v>2206</v>
      </c>
      <c r="B607" s="809">
        <f>GRAL!B884</f>
        <v>0</v>
      </c>
      <c r="C607" s="16">
        <f>OBRA!J609</f>
        <v>2022</v>
      </c>
      <c r="D607" s="17" t="str">
        <f>OBRA!M609</f>
        <v>CUENTA CORRIENTE</v>
      </c>
      <c r="E607" s="478" t="s">
        <v>1428</v>
      </c>
      <c r="F607" s="352"/>
      <c r="G607" s="1"/>
      <c r="H607" s="352"/>
      <c r="I607" s="54" t="str">
        <f>OBRA!W609</f>
        <v>ING. SERGIO CABRERA</v>
      </c>
      <c r="J607" s="55" t="str">
        <f>OBRA!X609</f>
        <v>ARQ. FRANCISCO SALAZAR</v>
      </c>
      <c r="K607" s="33" t="str">
        <f>OBRA!N609</f>
        <v>CPSP DOP 004/2022</v>
      </c>
      <c r="L607" s="2" t="str">
        <f>OBRA!O609</f>
        <v xml:space="preserve">SERVICIOS </v>
      </c>
      <c r="M607" s="3" t="str">
        <f>OBRA!P609</f>
        <v>LEVANTAMIENTO TOPOGRÁFICO: EN FRACCIONAMIENTO MAGISTERIAL EN ÁREA DE ARROYO Y CALLE MAGISTERIAL PARA PROYECTO DEL COLECTOR DE AGUA PLUVIAL, EN LA CABECERA MUNICIPAL DE JOCOTEPEC, JALISCO.</v>
      </c>
      <c r="N607" s="504" t="s">
        <v>4507</v>
      </c>
      <c r="O607" s="504"/>
      <c r="P607" s="67">
        <f>OBRA!S609</f>
        <v>44634</v>
      </c>
      <c r="Q607" s="79">
        <f>OBRA!R609</f>
        <v>10000.000400000001</v>
      </c>
      <c r="R607" s="79" t="s">
        <v>68</v>
      </c>
      <c r="S607" s="5" t="str">
        <f>OBRA!T609</f>
        <v>-</v>
      </c>
      <c r="T607" s="11" t="str">
        <f>OBRA!U609</f>
        <v>-</v>
      </c>
      <c r="U607" s="1352" t="s">
        <v>5620</v>
      </c>
      <c r="V607" s="62" t="s">
        <v>1428</v>
      </c>
      <c r="W607" s="309"/>
      <c r="X607" s="11"/>
      <c r="Y607" s="986" t="s">
        <v>1177</v>
      </c>
      <c r="Z607" s="309"/>
      <c r="AA607" s="309"/>
      <c r="AB607" s="5"/>
      <c r="AC607" s="317">
        <f>OBRA!BW609</f>
        <v>0</v>
      </c>
      <c r="AD607" s="352"/>
    </row>
    <row r="608" spans="1:30" ht="15" hidden="1" customHeight="1">
      <c r="A608" s="22" t="s">
        <v>2206</v>
      </c>
      <c r="B608" s="809" t="e">
        <f>GRAL!#REF!</f>
        <v>#REF!</v>
      </c>
      <c r="C608" s="16">
        <f>OBRA!J610</f>
        <v>2022</v>
      </c>
      <c r="D608" s="17" t="str">
        <f>OBRA!M610</f>
        <v>CUENTA CORRIENTE</v>
      </c>
      <c r="E608" s="478" t="s">
        <v>1428</v>
      </c>
      <c r="F608" s="352" t="s">
        <v>1428</v>
      </c>
      <c r="G608" s="219"/>
      <c r="H608" s="352" t="s">
        <v>1428</v>
      </c>
      <c r="I608" s="54" t="str">
        <f>OBRA!W610</f>
        <v>-</v>
      </c>
      <c r="J608" s="55">
        <f>OBRA!X610</f>
        <v>0</v>
      </c>
      <c r="K608" s="19" t="str">
        <f>OBRA!N610</f>
        <v>CPSP DOP 005/2022</v>
      </c>
      <c r="L608" s="2" t="str">
        <f>OBRA!O610</f>
        <v>CANCELADA</v>
      </c>
      <c r="M608" s="3" t="str">
        <f>OBRA!P610</f>
        <v>-</v>
      </c>
      <c r="N608" s="541"/>
      <c r="O608" s="541"/>
      <c r="P608" s="6">
        <f>OBRA!S610</f>
        <v>0</v>
      </c>
      <c r="Q608" s="4">
        <f>OBRA!R610</f>
        <v>0</v>
      </c>
      <c r="R608" s="1023"/>
      <c r="S608" s="5">
        <f>OBRA!T610</f>
        <v>0</v>
      </c>
      <c r="T608" s="11">
        <f>OBRA!U610</f>
        <v>0</v>
      </c>
      <c r="U608" s="207" t="s">
        <v>3815</v>
      </c>
      <c r="V608" s="377" t="s">
        <v>1428</v>
      </c>
      <c r="W608" s="309" t="s">
        <v>1428</v>
      </c>
      <c r="X608" s="509"/>
      <c r="Y608" s="279">
        <f>OBRA!AR610</f>
        <v>0</v>
      </c>
      <c r="Z608" s="309"/>
      <c r="AA608" s="309"/>
      <c r="AB608" s="5"/>
      <c r="AC608" s="317">
        <f>OBRA!BW610</f>
        <v>0</v>
      </c>
      <c r="AD608" s="352"/>
    </row>
    <row r="609" spans="1:30" ht="85.5" customHeight="1">
      <c r="A609" s="22" t="s">
        <v>2206</v>
      </c>
      <c r="B609" s="809" t="e">
        <f>GRAL!#REF!</f>
        <v>#REF!</v>
      </c>
      <c r="C609" s="16">
        <f>OBRA!J611</f>
        <v>2022</v>
      </c>
      <c r="D609" s="17" t="str">
        <f>OBRA!M611</f>
        <v>CUENTA CORRIENTE</v>
      </c>
      <c r="E609" s="478" t="s">
        <v>1428</v>
      </c>
      <c r="F609" s="352"/>
      <c r="G609" s="1"/>
      <c r="H609" s="352"/>
      <c r="I609" s="54" t="str">
        <f>OBRA!W611</f>
        <v>ING. SERGIO CABRERA</v>
      </c>
      <c r="J609" s="55" t="str">
        <f>OBRA!X611</f>
        <v>ARQ. FRANCISCO SALAZAR</v>
      </c>
      <c r="K609" s="33" t="str">
        <f>OBRA!N611</f>
        <v>CPSP DOP 006/2022</v>
      </c>
      <c r="L609" s="2" t="str">
        <f>OBRA!O611</f>
        <v xml:space="preserve">SERVICIOS </v>
      </c>
      <c r="M609" s="3" t="str">
        <f>OBRA!P611</f>
        <v>LEVANTAMIENTO TOPOGRAFICO: PARA EL PROYECTO DE LÍNEAS DE LLENADO Y ABASTECIMIENTO DEL POZO ALLENDE AL TANQUE ELEVADO, ZONA NORTE DE LA CABECERA DE JOCOTEPEC, JALISCO.</v>
      </c>
      <c r="N609" s="504" t="s">
        <v>4507</v>
      </c>
      <c r="O609" s="504"/>
      <c r="P609" s="67">
        <f>OBRA!S611</f>
        <v>44634</v>
      </c>
      <c r="Q609" s="79">
        <f>OBRA!R611</f>
        <v>10000.000400000001</v>
      </c>
      <c r="R609" s="79" t="s">
        <v>68</v>
      </c>
      <c r="S609" s="5" t="str">
        <f>OBRA!T611</f>
        <v>-</v>
      </c>
      <c r="T609" s="11" t="str">
        <f>OBRA!U611</f>
        <v>-</v>
      </c>
      <c r="U609" s="1352" t="s">
        <v>5620</v>
      </c>
      <c r="V609" s="62" t="s">
        <v>1428</v>
      </c>
      <c r="W609" s="309"/>
      <c r="X609" s="11"/>
      <c r="Y609" s="986" t="s">
        <v>1177</v>
      </c>
      <c r="Z609" s="309"/>
      <c r="AA609" s="309"/>
      <c r="AB609" s="5"/>
      <c r="AC609" s="317">
        <f>OBRA!BW611</f>
        <v>0</v>
      </c>
      <c r="AD609" s="352"/>
    </row>
    <row r="610" spans="1:30" ht="12.75" hidden="1" customHeight="1">
      <c r="A610" s="22" t="s">
        <v>2206</v>
      </c>
      <c r="B610" s="809" t="e">
        <f>GRAL!#REF!</f>
        <v>#REF!</v>
      </c>
      <c r="C610" s="16">
        <f>OBRA!J612</f>
        <v>2022</v>
      </c>
      <c r="D610" s="17" t="str">
        <f>OBRA!M612</f>
        <v>CUENTA CORRIENTE</v>
      </c>
      <c r="E610" s="478" t="s">
        <v>1428</v>
      </c>
      <c r="F610" s="352" t="s">
        <v>1428</v>
      </c>
      <c r="G610" s="219"/>
      <c r="H610" s="352" t="s">
        <v>1428</v>
      </c>
      <c r="I610" s="54" t="str">
        <f>OBRA!W612</f>
        <v>-</v>
      </c>
      <c r="J610" s="55">
        <f>OBRA!X612</f>
        <v>0</v>
      </c>
      <c r="K610" s="19" t="str">
        <f>OBRA!N612</f>
        <v>CPSP DOP 007/2022</v>
      </c>
      <c r="L610" s="2" t="str">
        <f>OBRA!O612</f>
        <v>CANCELADA</v>
      </c>
      <c r="M610" s="3" t="str">
        <f>OBRA!P612</f>
        <v>-</v>
      </c>
      <c r="N610" s="541"/>
      <c r="O610" s="541"/>
      <c r="P610" s="6">
        <f>OBRA!S612</f>
        <v>0</v>
      </c>
      <c r="Q610" s="4">
        <f>OBRA!R612</f>
        <v>0</v>
      </c>
      <c r="R610" s="1023"/>
      <c r="S610" s="5">
        <f>OBRA!T612</f>
        <v>0</v>
      </c>
      <c r="T610" s="11">
        <f>OBRA!U612</f>
        <v>0</v>
      </c>
      <c r="U610" s="207" t="s">
        <v>3815</v>
      </c>
      <c r="V610" s="377" t="s">
        <v>1428</v>
      </c>
      <c r="W610" s="309" t="s">
        <v>1428</v>
      </c>
      <c r="X610" s="509"/>
      <c r="Y610" s="279">
        <f>OBRA!AR612</f>
        <v>0</v>
      </c>
      <c r="Z610" s="309"/>
      <c r="AA610" s="309"/>
      <c r="AB610" s="5"/>
      <c r="AC610" s="317">
        <f>OBRA!BW612</f>
        <v>0</v>
      </c>
      <c r="AD610" s="352"/>
    </row>
    <row r="611" spans="1:30" ht="70.5" customHeight="1">
      <c r="A611" s="22" t="s">
        <v>2206</v>
      </c>
      <c r="B611" s="809" t="e">
        <f>GRAL!#REF!</f>
        <v>#REF!</v>
      </c>
      <c r="C611" s="16">
        <f>OBRA!J613</f>
        <v>2022</v>
      </c>
      <c r="D611" s="17" t="str">
        <f>OBRA!M613</f>
        <v>CUENTA CORRIENTE</v>
      </c>
      <c r="E611" s="478" t="s">
        <v>1428</v>
      </c>
      <c r="F611" s="352"/>
      <c r="G611" s="1"/>
      <c r="H611" s="352"/>
      <c r="I611" s="54" t="str">
        <f>OBRA!W613</f>
        <v>ING. SERGIO CABRERA</v>
      </c>
      <c r="J611" s="55" t="str">
        <f>OBRA!X613</f>
        <v>ARQ. FRANCISCO SALAZAR</v>
      </c>
      <c r="K611" s="33" t="str">
        <f>OBRA!N613</f>
        <v>CPSP DOP 008/2022</v>
      </c>
      <c r="L611" s="2" t="str">
        <f>OBRA!O613</f>
        <v xml:space="preserve">SERVICIOS </v>
      </c>
      <c r="M611" s="3" t="str">
        <f>OBRA!P613</f>
        <v>LEVANTAMIENTO TOPOGRAFICO: PARA EL PROYECTO DE LA REMODELACIÓN DE LA PLAZA PRINCIPAL DE LA LOCALIDAD DE SAN JUAN COSALA, DEL MUNICIPIO DE JOCOTEPEC, JALISCO.</v>
      </c>
      <c r="N611" s="504" t="s">
        <v>4507</v>
      </c>
      <c r="O611" s="504"/>
      <c r="P611" s="67">
        <f>OBRA!S613</f>
        <v>44634</v>
      </c>
      <c r="Q611" s="79">
        <f>OBRA!R613</f>
        <v>7000.0199999999995</v>
      </c>
      <c r="R611" s="79" t="s">
        <v>68</v>
      </c>
      <c r="S611" s="5" t="str">
        <f>OBRA!T613</f>
        <v>-</v>
      </c>
      <c r="T611" s="11" t="str">
        <f>OBRA!U613</f>
        <v>-</v>
      </c>
      <c r="U611" s="1352" t="s">
        <v>5620</v>
      </c>
      <c r="V611" s="62" t="s">
        <v>1428</v>
      </c>
      <c r="W611" s="309"/>
      <c r="X611" s="11"/>
      <c r="Y611" s="986" t="s">
        <v>1177</v>
      </c>
      <c r="Z611" s="309"/>
      <c r="AA611" s="309"/>
      <c r="AB611" s="5"/>
      <c r="AC611" s="317">
        <f>OBRA!BW613</f>
        <v>0</v>
      </c>
      <c r="AD611" s="352"/>
    </row>
    <row r="612" spans="1:30" ht="93" customHeight="1">
      <c r="A612" s="22" t="s">
        <v>2206</v>
      </c>
      <c r="B612" s="809" t="e">
        <f>GRAL!#REF!</f>
        <v>#REF!</v>
      </c>
      <c r="C612" s="16">
        <f>OBRA!J614</f>
        <v>2022</v>
      </c>
      <c r="D612" s="17" t="str">
        <f>OBRA!M614</f>
        <v>CUENTA CORRIENTE</v>
      </c>
      <c r="E612" s="478" t="s">
        <v>1428</v>
      </c>
      <c r="F612" s="352"/>
      <c r="G612" s="1"/>
      <c r="H612" s="352"/>
      <c r="I612" s="54" t="str">
        <f>OBRA!W614</f>
        <v>ECCOC DE GUADALAJARA, S.A. DE C.V.</v>
      </c>
      <c r="J612" s="55" t="str">
        <f>OBRA!X614</f>
        <v>ARQ. FRANCISCO SALAZAR</v>
      </c>
      <c r="K612" s="33" t="str">
        <f>OBRA!N614</f>
        <v>CPSP DOP 009/2022</v>
      </c>
      <c r="L612" s="2" t="str">
        <f>OBRA!O614</f>
        <v xml:space="preserve">SERVICIOS </v>
      </c>
      <c r="M612" s="3" t="str">
        <f>OBRA!P614</f>
        <v>SERVICIO DE LABORATORIO, SONDEOS CON EQUIPOS DE PENETRACIÓN ESTÁNDAR PARA LA CONSTRUCCIÓN DE PUENTE PEATONAL EN LA CALLE ALLENDE, DE LA LOCALIDAD DE ZAPOTITÁN DE HIDALGO, DEL MUNICIPIO DE JOCOTEPEC, JALISCO.</v>
      </c>
      <c r="N612" s="504" t="s">
        <v>4507</v>
      </c>
      <c r="O612" s="504"/>
      <c r="P612" s="67">
        <f>OBRA!S614</f>
        <v>44635</v>
      </c>
      <c r="Q612" s="79">
        <f>OBRA!R614</f>
        <v>15659.999999999998</v>
      </c>
      <c r="R612" s="79" t="s">
        <v>68</v>
      </c>
      <c r="S612" s="5" t="str">
        <f>OBRA!T614</f>
        <v>-</v>
      </c>
      <c r="T612" s="11" t="str">
        <f>OBRA!U614</f>
        <v>-</v>
      </c>
      <c r="U612" s="1352" t="s">
        <v>5620</v>
      </c>
      <c r="V612" s="62" t="s">
        <v>1428</v>
      </c>
      <c r="W612" s="309"/>
      <c r="X612" s="11"/>
      <c r="Y612" s="986" t="s">
        <v>1177</v>
      </c>
      <c r="Z612" s="309"/>
      <c r="AA612" s="309"/>
      <c r="AB612" s="5"/>
      <c r="AC612" s="317">
        <f>OBRA!BW614</f>
        <v>0</v>
      </c>
      <c r="AD612" s="352"/>
    </row>
    <row r="613" spans="1:30" ht="82.5" customHeight="1">
      <c r="A613" s="22" t="s">
        <v>2206</v>
      </c>
      <c r="B613" s="809" t="e">
        <f>GRAL!#REF!</f>
        <v>#REF!</v>
      </c>
      <c r="C613" s="16">
        <f>OBRA!J615</f>
        <v>2022</v>
      </c>
      <c r="D613" s="17" t="str">
        <f>OBRA!M615</f>
        <v>CUENTA CORRIENTE</v>
      </c>
      <c r="E613" s="478" t="s">
        <v>1428</v>
      </c>
      <c r="F613" s="352"/>
      <c r="G613" s="1"/>
      <c r="H613" s="352"/>
      <c r="I613" s="54" t="str">
        <f>OBRA!W615</f>
        <v>PEDRO MACHUCA SAAVEDRA</v>
      </c>
      <c r="J613" s="55" t="str">
        <f>OBRA!X615</f>
        <v>ARQ. FRANCISCO SALAZAR</v>
      </c>
      <c r="K613" s="33" t="str">
        <f>OBRA!N615</f>
        <v>CPSP DOP 010/2022</v>
      </c>
      <c r="L613" s="2" t="str">
        <f>OBRA!O615</f>
        <v xml:space="preserve">SERVICIOS </v>
      </c>
      <c r="M613" s="3" t="str">
        <f>OBRA!P615</f>
        <v>LOCALIZACIÓN DE AGUA EN PREDIOS PARA POSIBLE PERFORACIÓN DE POZO PROFUNDO POR MEDIO DE LA TÉCNICA DE RADIESTESIA EN LA LOCALIDAD DE CHANTEPEC, EN EL MUNICIPIO DE JOCOTEPEC, JALISCO.</v>
      </c>
      <c r="N613" s="504" t="s">
        <v>4507</v>
      </c>
      <c r="O613" s="504"/>
      <c r="P613" s="67">
        <f>OBRA!S615</f>
        <v>44658</v>
      </c>
      <c r="Q613" s="79">
        <f>OBRA!R615</f>
        <v>4000</v>
      </c>
      <c r="R613" s="79" t="s">
        <v>68</v>
      </c>
      <c r="S613" s="5">
        <f>OBRA!T615</f>
        <v>44660</v>
      </c>
      <c r="T613" s="11">
        <f>OBRA!U615</f>
        <v>44660</v>
      </c>
      <c r="U613" s="1352" t="s">
        <v>5620</v>
      </c>
      <c r="V613" s="62" t="s">
        <v>1428</v>
      </c>
      <c r="W613" s="309"/>
      <c r="X613" s="11"/>
      <c r="Y613" s="986" t="s">
        <v>1177</v>
      </c>
      <c r="Z613" s="309"/>
      <c r="AA613" s="309"/>
      <c r="AB613" s="5"/>
      <c r="AC613" s="317">
        <f>OBRA!BW615</f>
        <v>0</v>
      </c>
      <c r="AD613" s="352"/>
    </row>
    <row r="614" spans="1:30" ht="82.5" customHeight="1">
      <c r="A614" s="22" t="s">
        <v>2206</v>
      </c>
      <c r="B614" s="809" t="e">
        <f>GRAL!#REF!</f>
        <v>#REF!</v>
      </c>
      <c r="C614" s="16">
        <f>OBRA!J616</f>
        <v>2022</v>
      </c>
      <c r="D614" s="17" t="str">
        <f>OBRA!M616</f>
        <v>CUENTA CORRIENTE</v>
      </c>
      <c r="E614" s="478" t="s">
        <v>1428</v>
      </c>
      <c r="F614" s="352"/>
      <c r="G614" s="1"/>
      <c r="H614" s="352"/>
      <c r="I614" s="54" t="str">
        <f>OBRA!W616</f>
        <v>J. TRINIDAD NÚÑEZ BRITO</v>
      </c>
      <c r="J614" s="55" t="str">
        <f>OBRA!X616</f>
        <v>ARQ. FRANCISCO SALAZAR</v>
      </c>
      <c r="K614" s="33" t="str">
        <f>OBRA!N616</f>
        <v>CPSP DOP 011/2022</v>
      </c>
      <c r="L614" s="2" t="str">
        <f>OBRA!O616</f>
        <v xml:space="preserve">SERVICIOS </v>
      </c>
      <c r="M614" s="3" t="str">
        <f>OBRA!P616</f>
        <v>ESTUDIO GEOHIDROLÓGICO-GEOFÍSICO Y PROSPECCIÓN GEOFÍSICA CON FINES DE LOCALIZAR AGUA SUBTERRANEA EN LA LOCALIDAD DE CHANTEPEC, DEL MUNICIPIO DE JOCOTEPEC, JALISCO.</v>
      </c>
      <c r="N614" s="504" t="s">
        <v>4508</v>
      </c>
      <c r="O614" s="504"/>
      <c r="P614" s="67">
        <f>OBRA!S616</f>
        <v>44690</v>
      </c>
      <c r="Q614" s="79">
        <f>OBRA!R616</f>
        <v>17400</v>
      </c>
      <c r="R614" s="79" t="s">
        <v>68</v>
      </c>
      <c r="S614" s="5">
        <f>OBRA!T616</f>
        <v>44693</v>
      </c>
      <c r="T614" s="11">
        <f>OBRA!U616</f>
        <v>44695</v>
      </c>
      <c r="U614" s="1352" t="s">
        <v>5620</v>
      </c>
      <c r="V614" s="62" t="s">
        <v>1428</v>
      </c>
      <c r="W614" s="309"/>
      <c r="X614" s="11"/>
      <c r="Y614" s="986" t="s">
        <v>1177</v>
      </c>
      <c r="Z614" s="309"/>
      <c r="AA614" s="309"/>
      <c r="AB614" s="5"/>
      <c r="AC614" s="317">
        <f>OBRA!BW616</f>
        <v>0</v>
      </c>
      <c r="AD614" s="352"/>
    </row>
    <row r="615" spans="1:30" ht="101.25" customHeight="1">
      <c r="A615" s="22" t="s">
        <v>2206</v>
      </c>
      <c r="B615" s="809" t="e">
        <f>GRAL!#REF!</f>
        <v>#REF!</v>
      </c>
      <c r="C615" s="16">
        <f>OBRA!J617</f>
        <v>2022</v>
      </c>
      <c r="D615" s="17" t="str">
        <f>OBRA!M617</f>
        <v>CUENTA CORRIENTE</v>
      </c>
      <c r="E615" s="478" t="s">
        <v>1428</v>
      </c>
      <c r="F615" s="352"/>
      <c r="G615" s="1"/>
      <c r="H615" s="352"/>
      <c r="I615" s="54" t="str">
        <f>OBRA!W617</f>
        <v>ECCOC DE GUADALAJARA, S.A. DE C.V.</v>
      </c>
      <c r="J615" s="55" t="str">
        <f>OBRA!X617</f>
        <v>ARQ. FRANCISCO SALAZAR</v>
      </c>
      <c r="K615" s="33" t="str">
        <f>OBRA!N617</f>
        <v>CPSP DOP 012/2022</v>
      </c>
      <c r="L615" s="2" t="str">
        <f>OBRA!O617</f>
        <v xml:space="preserve">SERVICIOS </v>
      </c>
      <c r="M615" s="3" t="str">
        <f>OBRA!P617</f>
        <v>ESTUDIO DE MECANICA DE SUELOS PARA LA CONSTRUCCIÓN DE LA CALLE GUADALUPE VICTORIA Y 3 POZOS A CIELO ABIERTO; CALLE JOSÉ SANTANA PONIENTE Y 3 POZOS A CIELO ABIERTO; CALLE MORELOS Y 3 POZOS A CIELO ABIERTO, EN EL MUNICIPIO DE JOCOTEPEC, JALISCO.</v>
      </c>
      <c r="N615" s="504" t="s">
        <v>4508</v>
      </c>
      <c r="O615" s="504"/>
      <c r="P615" s="67">
        <f>OBRA!S617</f>
        <v>44662</v>
      </c>
      <c r="Q615" s="79">
        <f>OBRA!R617</f>
        <v>32886</v>
      </c>
      <c r="R615" s="79" t="s">
        <v>68</v>
      </c>
      <c r="S615" s="5" t="str">
        <f>OBRA!T617</f>
        <v>-</v>
      </c>
      <c r="T615" s="11" t="str">
        <f>OBRA!U617</f>
        <v>-</v>
      </c>
      <c r="U615" s="1352" t="s">
        <v>5620</v>
      </c>
      <c r="V615" s="62" t="s">
        <v>1428</v>
      </c>
      <c r="W615" s="309"/>
      <c r="X615" s="11"/>
      <c r="Y615" s="986" t="s">
        <v>1177</v>
      </c>
      <c r="Z615" s="309"/>
      <c r="AA615" s="309"/>
      <c r="AB615" s="5"/>
      <c r="AC615" s="317">
        <f>OBRA!BW617</f>
        <v>0</v>
      </c>
      <c r="AD615" s="352"/>
    </row>
    <row r="616" spans="1:30" ht="137.25" customHeight="1">
      <c r="A616" s="22" t="s">
        <v>2206</v>
      </c>
      <c r="B616" s="809" t="e">
        <f>GRAL!#REF!</f>
        <v>#REF!</v>
      </c>
      <c r="C616" s="16">
        <f>OBRA!J618</f>
        <v>2022</v>
      </c>
      <c r="D616" s="17" t="str">
        <f>OBRA!M618</f>
        <v>CUENTA CORRIENTE</v>
      </c>
      <c r="E616" s="478" t="s">
        <v>1428</v>
      </c>
      <c r="F616" s="352"/>
      <c r="G616" s="1"/>
      <c r="H616" s="352"/>
      <c r="I616" s="54" t="str">
        <f>OBRA!W618</f>
        <v>ECCOC DE GUADALAJARA, S.A. DE C.V.</v>
      </c>
      <c r="J616" s="55" t="str">
        <f>OBRA!X618</f>
        <v>ARQ. FRANCISCO SALAZAR</v>
      </c>
      <c r="K616" s="33" t="str">
        <f>OBRA!N618</f>
        <v>CPSP DOP 013/2022</v>
      </c>
      <c r="L616" s="2" t="str">
        <f>OBRA!O618</f>
        <v xml:space="preserve">SERVICIOS </v>
      </c>
      <c r="M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4" t="s">
        <v>4508</v>
      </c>
      <c r="O616" s="504"/>
      <c r="P616" s="67">
        <f>OBRA!S618</f>
        <v>44690</v>
      </c>
      <c r="Q616" s="79">
        <f>OBRA!R618</f>
        <v>18270</v>
      </c>
      <c r="R616" s="79" t="s">
        <v>68</v>
      </c>
      <c r="S616" s="5" t="str">
        <f>OBRA!T618</f>
        <v>-</v>
      </c>
      <c r="T616" s="11" t="str">
        <f>OBRA!U618</f>
        <v>-</v>
      </c>
      <c r="U616" s="1352" t="s">
        <v>5620</v>
      </c>
      <c r="V616" s="62" t="s">
        <v>1428</v>
      </c>
      <c r="W616" s="309"/>
      <c r="X616" s="11"/>
      <c r="Y616" s="986" t="s">
        <v>1177</v>
      </c>
      <c r="Z616" s="309"/>
      <c r="AA616" s="309"/>
      <c r="AB616" s="5"/>
      <c r="AC616" s="317">
        <f>OBRA!BW618</f>
        <v>0</v>
      </c>
      <c r="AD616" s="352"/>
    </row>
    <row r="617" spans="1:30" ht="117" customHeight="1">
      <c r="A617" s="22" t="s">
        <v>2206</v>
      </c>
      <c r="B617" s="809" t="e">
        <f>GRAL!#REF!</f>
        <v>#REF!</v>
      </c>
      <c r="C617" s="16">
        <f>OBRA!J619</f>
        <v>2022</v>
      </c>
      <c r="D617" s="17" t="str">
        <f>OBRA!M619</f>
        <v>CUENTA CORRIENTE</v>
      </c>
      <c r="E617" s="478" t="s">
        <v>1428</v>
      </c>
      <c r="F617" s="352"/>
      <c r="G617" s="1"/>
      <c r="H617" s="352"/>
      <c r="I617" s="54" t="str">
        <f>OBRA!W619</f>
        <v>PEDRO MACHUCA SAAVEDRA</v>
      </c>
      <c r="J617" s="55" t="str">
        <f>OBRA!X619</f>
        <v>ARQ. FRANCISCO SALAZAR</v>
      </c>
      <c r="K617" s="33" t="str">
        <f>OBRA!N619</f>
        <v>CPSP DOP 014/2022</v>
      </c>
      <c r="L617" s="2" t="str">
        <f>OBRA!O619</f>
        <v xml:space="preserve">SERVICIOS </v>
      </c>
      <c r="M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N617" s="504" t="s">
        <v>4508</v>
      </c>
      <c r="O617" s="504"/>
      <c r="P617" s="67">
        <f>OBRA!S619</f>
        <v>44714</v>
      </c>
      <c r="Q617" s="79">
        <f>OBRA!R619</f>
        <v>3500</v>
      </c>
      <c r="R617" s="79" t="s">
        <v>68</v>
      </c>
      <c r="S617" s="5">
        <f>OBRA!T619</f>
        <v>44716</v>
      </c>
      <c r="T617" s="11">
        <f>OBRA!U619</f>
        <v>44716</v>
      </c>
      <c r="U617" s="1352" t="s">
        <v>5620</v>
      </c>
      <c r="V617" s="62" t="s">
        <v>1428</v>
      </c>
      <c r="W617" s="309"/>
      <c r="X617" s="11"/>
      <c r="Y617" s="986" t="s">
        <v>1177</v>
      </c>
      <c r="Z617" s="309"/>
      <c r="AA617" s="309"/>
      <c r="AB617" s="5"/>
      <c r="AC617" s="317">
        <f>OBRA!BW619</f>
        <v>0</v>
      </c>
      <c r="AD617" s="352"/>
    </row>
    <row r="618" spans="1:30" ht="15" hidden="1" customHeight="1">
      <c r="A618" s="22" t="s">
        <v>2206</v>
      </c>
      <c r="B618" s="809">
        <f>GRAL!B885</f>
        <v>0</v>
      </c>
      <c r="C618" s="16">
        <f>OBRA!J620</f>
        <v>2022</v>
      </c>
      <c r="D618" s="17" t="str">
        <f>OBRA!M620</f>
        <v>CUENTA CORRIENTE</v>
      </c>
      <c r="E618" s="478" t="s">
        <v>1428</v>
      </c>
      <c r="F618" s="352" t="s">
        <v>1428</v>
      </c>
      <c r="G618" s="219"/>
      <c r="H618" s="352" t="s">
        <v>1428</v>
      </c>
      <c r="I618" s="54" t="str">
        <f>OBRA!W620</f>
        <v>-</v>
      </c>
      <c r="J618" s="55">
        <f>OBRA!X620</f>
        <v>0</v>
      </c>
      <c r="K618" s="19" t="str">
        <f>OBRA!N620</f>
        <v>CPSP DOP 015/2022</v>
      </c>
      <c r="L618" s="2" t="str">
        <f>OBRA!O620</f>
        <v>CANCELADA</v>
      </c>
      <c r="M618" s="3" t="str">
        <f>OBRA!P620</f>
        <v>-</v>
      </c>
      <c r="N618" s="541"/>
      <c r="O618" s="541"/>
      <c r="P618" s="6">
        <f>OBRA!S620</f>
        <v>0</v>
      </c>
      <c r="Q618" s="4">
        <f>OBRA!R620</f>
        <v>0</v>
      </c>
      <c r="R618" s="1023"/>
      <c r="S618" s="5">
        <f>OBRA!T620</f>
        <v>0</v>
      </c>
      <c r="T618" s="11">
        <f>OBRA!U620</f>
        <v>0</v>
      </c>
      <c r="U618" s="207" t="s">
        <v>3815</v>
      </c>
      <c r="V618" s="377" t="s">
        <v>1428</v>
      </c>
      <c r="W618" s="309" t="s">
        <v>1428</v>
      </c>
      <c r="X618" s="509"/>
      <c r="Y618" s="279">
        <f>OBRA!AR620</f>
        <v>0</v>
      </c>
      <c r="Z618" s="309"/>
      <c r="AA618" s="309"/>
      <c r="AB618" s="5"/>
      <c r="AC618" s="317">
        <f>OBRA!BW620</f>
        <v>0</v>
      </c>
      <c r="AD618" s="352"/>
    </row>
    <row r="619" spans="1:30" ht="44.25" hidden="1" customHeight="1">
      <c r="A619" s="22" t="s">
        <v>2206</v>
      </c>
      <c r="B619" s="809">
        <f>GRAL!B886</f>
        <v>0</v>
      </c>
      <c r="C619" s="16">
        <f>OBRA!J621</f>
        <v>2022</v>
      </c>
      <c r="D619" s="17" t="str">
        <f>OBRA!M621</f>
        <v>CUENTA CORRIENTE</v>
      </c>
      <c r="E619" s="478" t="s">
        <v>1428</v>
      </c>
      <c r="F619" s="352" t="s">
        <v>1428</v>
      </c>
      <c r="G619" s="219"/>
      <c r="H619" s="352" t="s">
        <v>1428</v>
      </c>
      <c r="I619" s="54" t="str">
        <f>OBRA!W621</f>
        <v>-</v>
      </c>
      <c r="J619" s="55">
        <f>OBRA!X621</f>
        <v>0</v>
      </c>
      <c r="K619" s="19" t="str">
        <f>OBRA!N621</f>
        <v>CPSP DOP 016/2022</v>
      </c>
      <c r="L619" s="2" t="str">
        <f>OBRA!O621</f>
        <v>CANCELADA</v>
      </c>
      <c r="M619" s="3" t="str">
        <f>OBRA!P621</f>
        <v>-</v>
      </c>
      <c r="N619" s="541"/>
      <c r="O619" s="541"/>
      <c r="P619" s="6">
        <f>OBRA!S621</f>
        <v>0</v>
      </c>
      <c r="Q619" s="4">
        <f>OBRA!R621</f>
        <v>0</v>
      </c>
      <c r="R619" s="1023"/>
      <c r="S619" s="5">
        <f>OBRA!T621</f>
        <v>0</v>
      </c>
      <c r="T619" s="11">
        <f>OBRA!U621</f>
        <v>0</v>
      </c>
      <c r="U619" s="207" t="s">
        <v>3815</v>
      </c>
      <c r="V619" s="377" t="s">
        <v>1428</v>
      </c>
      <c r="W619" s="309" t="s">
        <v>1428</v>
      </c>
      <c r="X619" s="509"/>
      <c r="Y619" s="279">
        <f>OBRA!AR621</f>
        <v>0</v>
      </c>
      <c r="Z619" s="309"/>
      <c r="AA619" s="309"/>
      <c r="AB619" s="5"/>
      <c r="AC619" s="317">
        <f>OBRA!BW621</f>
        <v>0</v>
      </c>
      <c r="AD619" s="352"/>
    </row>
    <row r="620" spans="1:30" ht="36.75" hidden="1" customHeight="1">
      <c r="A620" s="22" t="s">
        <v>2206</v>
      </c>
      <c r="B620" s="809">
        <f>GRAL!B887</f>
        <v>0</v>
      </c>
      <c r="C620" s="16">
        <f>OBRA!J622</f>
        <v>2022</v>
      </c>
      <c r="D620" s="17" t="str">
        <f>OBRA!M622</f>
        <v>CUENTA CORRIENTE</v>
      </c>
      <c r="E620" s="478" t="s">
        <v>1428</v>
      </c>
      <c r="F620" s="352" t="s">
        <v>1428</v>
      </c>
      <c r="G620" s="219"/>
      <c r="H620" s="352" t="s">
        <v>1428</v>
      </c>
      <c r="I620" s="54" t="str">
        <f>OBRA!W622</f>
        <v>-</v>
      </c>
      <c r="J620" s="55">
        <f>OBRA!X622</f>
        <v>0</v>
      </c>
      <c r="K620" s="19" t="str">
        <f>OBRA!N622</f>
        <v>CPSP DOP 017/2022</v>
      </c>
      <c r="L620" s="2" t="str">
        <f>OBRA!O622</f>
        <v>CANCELADA</v>
      </c>
      <c r="M620" s="3" t="str">
        <f>OBRA!P622</f>
        <v>-</v>
      </c>
      <c r="N620" s="541"/>
      <c r="O620" s="541"/>
      <c r="P620" s="6">
        <f>OBRA!S622</f>
        <v>0</v>
      </c>
      <c r="Q620" s="4">
        <f>OBRA!R622</f>
        <v>0</v>
      </c>
      <c r="R620" s="1023"/>
      <c r="S620" s="5">
        <f>OBRA!T622</f>
        <v>0</v>
      </c>
      <c r="T620" s="11">
        <f>OBRA!U622</f>
        <v>0</v>
      </c>
      <c r="U620" s="207" t="s">
        <v>3815</v>
      </c>
      <c r="V620" s="377" t="s">
        <v>1428</v>
      </c>
      <c r="W620" s="309" t="s">
        <v>1428</v>
      </c>
      <c r="X620" s="509"/>
      <c r="Y620" s="279">
        <f>OBRA!AR622</f>
        <v>0</v>
      </c>
      <c r="Z620" s="309"/>
      <c r="AA620" s="309"/>
      <c r="AB620" s="5"/>
      <c r="AC620" s="317">
        <f>OBRA!BW622</f>
        <v>0</v>
      </c>
      <c r="AD620" s="352"/>
    </row>
    <row r="621" spans="1:30" ht="38.25" hidden="1" customHeight="1">
      <c r="A621" s="22" t="s">
        <v>2206</v>
      </c>
      <c r="B621" s="809">
        <f>GRAL!B888</f>
        <v>0</v>
      </c>
      <c r="C621" s="16">
        <f>OBRA!J623</f>
        <v>2022</v>
      </c>
      <c r="D621" s="17" t="str">
        <f>OBRA!M623</f>
        <v>CUENTA CORRIENTE</v>
      </c>
      <c r="E621" s="478" t="s">
        <v>1428</v>
      </c>
      <c r="F621" s="352" t="s">
        <v>1428</v>
      </c>
      <c r="G621" s="219"/>
      <c r="H621" s="352" t="s">
        <v>1428</v>
      </c>
      <c r="I621" s="54" t="str">
        <f>OBRA!W623</f>
        <v>-</v>
      </c>
      <c r="J621" s="55">
        <f>OBRA!X623</f>
        <v>0</v>
      </c>
      <c r="K621" s="19" t="str">
        <f>OBRA!N623</f>
        <v>CPSP DOP 018/2022</v>
      </c>
      <c r="L621" s="2" t="str">
        <f>OBRA!O623</f>
        <v>CANCELADA</v>
      </c>
      <c r="M621" s="3" t="str">
        <f>OBRA!P623</f>
        <v>-</v>
      </c>
      <c r="N621" s="541"/>
      <c r="O621" s="541"/>
      <c r="P621" s="6">
        <f>OBRA!S623</f>
        <v>0</v>
      </c>
      <c r="Q621" s="4">
        <f>OBRA!R623</f>
        <v>0</v>
      </c>
      <c r="R621" s="1023"/>
      <c r="S621" s="5">
        <f>OBRA!T623</f>
        <v>0</v>
      </c>
      <c r="T621" s="11">
        <f>OBRA!U623</f>
        <v>0</v>
      </c>
      <c r="U621" s="207" t="s">
        <v>3815</v>
      </c>
      <c r="V621" s="377" t="s">
        <v>1428</v>
      </c>
      <c r="W621" s="309" t="s">
        <v>1428</v>
      </c>
      <c r="X621" s="509"/>
      <c r="Y621" s="279">
        <f>OBRA!AR623</f>
        <v>0</v>
      </c>
      <c r="Z621" s="309"/>
      <c r="AA621" s="309"/>
      <c r="AB621" s="5"/>
      <c r="AC621" s="317">
        <f>OBRA!BW623</f>
        <v>0</v>
      </c>
      <c r="AD621" s="352"/>
    </row>
    <row r="622" spans="1:30" ht="43.5" hidden="1" customHeight="1">
      <c r="A622" s="22" t="s">
        <v>2206</v>
      </c>
      <c r="B622" s="809">
        <f>GRAL!B889</f>
        <v>0</v>
      </c>
      <c r="C622" s="16">
        <f>OBRA!J624</f>
        <v>2022</v>
      </c>
      <c r="D622" s="17" t="str">
        <f>OBRA!M624</f>
        <v>CUENTA CORRIENTE</v>
      </c>
      <c r="E622" s="478" t="s">
        <v>1428</v>
      </c>
      <c r="F622" s="352" t="s">
        <v>1428</v>
      </c>
      <c r="G622" s="219"/>
      <c r="H622" s="352" t="s">
        <v>1428</v>
      </c>
      <c r="I622" s="54" t="str">
        <f>OBRA!W624</f>
        <v>-</v>
      </c>
      <c r="J622" s="55">
        <f>OBRA!X624</f>
        <v>0</v>
      </c>
      <c r="K622" s="19" t="str">
        <f>OBRA!N624</f>
        <v>CPSP DOP 019/2022</v>
      </c>
      <c r="L622" s="2" t="str">
        <f>OBRA!O624</f>
        <v>CANCELADA</v>
      </c>
      <c r="M622" s="3" t="str">
        <f>OBRA!P624</f>
        <v>-</v>
      </c>
      <c r="N622" s="541"/>
      <c r="O622" s="541"/>
      <c r="P622" s="6">
        <f>OBRA!S624</f>
        <v>0</v>
      </c>
      <c r="Q622" s="4">
        <f>OBRA!R624</f>
        <v>0</v>
      </c>
      <c r="R622" s="1023"/>
      <c r="S622" s="5">
        <f>OBRA!T624</f>
        <v>0</v>
      </c>
      <c r="T622" s="11">
        <f>OBRA!U624</f>
        <v>0</v>
      </c>
      <c r="U622" s="207" t="s">
        <v>3815</v>
      </c>
      <c r="V622" s="377" t="s">
        <v>1428</v>
      </c>
      <c r="W622" s="309" t="s">
        <v>1428</v>
      </c>
      <c r="X622" s="509"/>
      <c r="Y622" s="279">
        <f>OBRA!AR624</f>
        <v>0</v>
      </c>
      <c r="Z622" s="309"/>
      <c r="AA622" s="309"/>
      <c r="AB622" s="5"/>
      <c r="AC622" s="317">
        <f>OBRA!BW624</f>
        <v>0</v>
      </c>
      <c r="AD622" s="352"/>
    </row>
    <row r="623" spans="1:30" ht="41.25" hidden="1" customHeight="1">
      <c r="A623" s="22" t="s">
        <v>2206</v>
      </c>
      <c r="B623" s="809">
        <f>GRAL!B890</f>
        <v>0</v>
      </c>
      <c r="C623" s="16">
        <f>OBRA!J625</f>
        <v>2022</v>
      </c>
      <c r="D623" s="17" t="str">
        <f>OBRA!M625</f>
        <v>CUENTA CORRIENTE</v>
      </c>
      <c r="E623" s="478" t="s">
        <v>1428</v>
      </c>
      <c r="F623" s="352" t="s">
        <v>1428</v>
      </c>
      <c r="G623" s="219"/>
      <c r="H623" s="352" t="s">
        <v>1428</v>
      </c>
      <c r="I623" s="54" t="str">
        <f>OBRA!W625</f>
        <v>-</v>
      </c>
      <c r="J623" s="55">
        <f>OBRA!X625</f>
        <v>0</v>
      </c>
      <c r="K623" s="19" t="str">
        <f>OBRA!N625</f>
        <v>CPSP DOP 020/2022</v>
      </c>
      <c r="L623" s="2" t="str">
        <f>OBRA!O625</f>
        <v>CANCELADA</v>
      </c>
      <c r="M623" s="3" t="str">
        <f>OBRA!P625</f>
        <v>-</v>
      </c>
      <c r="N623" s="541"/>
      <c r="O623" s="541"/>
      <c r="P623" s="6">
        <f>OBRA!S625</f>
        <v>0</v>
      </c>
      <c r="Q623" s="4">
        <f>OBRA!R625</f>
        <v>0</v>
      </c>
      <c r="R623" s="1023"/>
      <c r="S623" s="5">
        <f>OBRA!T625</f>
        <v>0</v>
      </c>
      <c r="T623" s="11">
        <f>OBRA!U625</f>
        <v>0</v>
      </c>
      <c r="U623" s="207" t="s">
        <v>3815</v>
      </c>
      <c r="V623" s="377" t="s">
        <v>1428</v>
      </c>
      <c r="W623" s="309" t="s">
        <v>1428</v>
      </c>
      <c r="X623" s="509"/>
      <c r="Y623" s="279">
        <f>OBRA!AR625</f>
        <v>0</v>
      </c>
      <c r="Z623" s="309"/>
      <c r="AA623" s="309"/>
      <c r="AB623" s="5"/>
      <c r="AC623" s="317">
        <f>OBRA!BW625</f>
        <v>0</v>
      </c>
      <c r="AD623" s="352"/>
    </row>
    <row r="624" spans="1:30" ht="94.5" customHeight="1">
      <c r="A624" s="22" t="s">
        <v>2206</v>
      </c>
      <c r="B624" s="809">
        <f>GRAL!B891</f>
        <v>0</v>
      </c>
      <c r="C624" s="16">
        <f>OBRA!J626</f>
        <v>2022</v>
      </c>
      <c r="D624" s="17" t="str">
        <f>OBRA!M626</f>
        <v>CUENTA CORRIENTE</v>
      </c>
      <c r="E624" s="478" t="s">
        <v>1428</v>
      </c>
      <c r="F624" s="352"/>
      <c r="G624" s="1"/>
      <c r="H624" s="352"/>
      <c r="I624" s="54" t="str">
        <f>OBRA!W626</f>
        <v>ALSERCON SA DE CV</v>
      </c>
      <c r="J624" s="55" t="str">
        <f>OBRA!X626</f>
        <v>C. DANIEL RODRIGUEZ VALENZUELA</v>
      </c>
      <c r="K624" s="33" t="str">
        <f>OBRA!N626</f>
        <v>C- OP 001/2022</v>
      </c>
      <c r="L624" s="2" t="str">
        <f>OBRA!O626</f>
        <v>ARRENDAMIENTO</v>
      </c>
      <c r="M624" s="3" t="str">
        <f>OBRA!P626</f>
        <v>RENTA DE CAMIÓN TIPO PIPA MARCA DODGE RAM 6500 MOD. 1996 PLACAS JM57075, CON CAPACIDAD DE 10,000 LITROS PARA ACARREOS DE AGUA, PARA SER UTILIZADA EN LAS OBRAS DEL PROGRAMA SADER 2021 EN LA LOCALIDAD DE LA LOMA, MUNICIPIO DE JOCOTEPEC, JALISCO.</v>
      </c>
      <c r="N624" s="504" t="s">
        <v>4881</v>
      </c>
      <c r="O624" s="504"/>
      <c r="P624" s="67">
        <f>OBRA!S626</f>
        <v>44655</v>
      </c>
      <c r="Q624" s="79">
        <f>OBRA!R626</f>
        <v>1739.9999999999998</v>
      </c>
      <c r="R624" s="79" t="s">
        <v>5591</v>
      </c>
      <c r="S624" s="5">
        <f>OBRA!T626</f>
        <v>44658</v>
      </c>
      <c r="T624" s="11">
        <f>OBRA!U626</f>
        <v>44662</v>
      </c>
      <c r="U624" s="207" t="s">
        <v>5621</v>
      </c>
      <c r="V624" s="62" t="s">
        <v>1428</v>
      </c>
      <c r="W624" s="309"/>
      <c r="X624" s="11"/>
      <c r="Y624" s="986" t="s">
        <v>1177</v>
      </c>
      <c r="Z624" s="309"/>
      <c r="AA624" s="309"/>
      <c r="AB624" s="5"/>
      <c r="AC624" s="317">
        <f>OBRA!BW626</f>
        <v>0</v>
      </c>
      <c r="AD624" s="352"/>
    </row>
    <row r="625" spans="1:30" ht="96.75" customHeight="1">
      <c r="A625" s="22" t="s">
        <v>2206</v>
      </c>
      <c r="B625" s="809">
        <f>GRAL!B892</f>
        <v>0</v>
      </c>
      <c r="C625" s="16">
        <f>OBRA!J627</f>
        <v>2022</v>
      </c>
      <c r="D625" s="17" t="str">
        <f>OBRA!M627</f>
        <v>CUENTA CORRIENTE</v>
      </c>
      <c r="E625" s="478" t="s">
        <v>1428</v>
      </c>
      <c r="F625" s="352"/>
      <c r="G625" s="1"/>
      <c r="H625" s="352"/>
      <c r="I625" s="54" t="str">
        <f>OBRA!W627</f>
        <v xml:space="preserve">DORIA &amp; SAMPIER CONSTRUCTORA, S.A. DE C.V. </v>
      </c>
      <c r="J625" s="55" t="str">
        <f>OBRA!X627</f>
        <v>C. DANIEL RODRIGUEZ VALENZUELA</v>
      </c>
      <c r="K625" s="33" t="str">
        <f>OBRA!N627</f>
        <v>C- OP 002/2022</v>
      </c>
      <c r="L625" s="2" t="str">
        <f>OBRA!O627</f>
        <v>ARRENDAMIENTO</v>
      </c>
      <c r="M625" s="3" t="str">
        <f>OBRA!P627</f>
        <v>RENTA DE RETROEXCAVADORA MARCA JCB MOD. 2000 SERIE 4214E PARA SER UTILIZADA EN LAS OBRAS DEL PROGRAMA: EMPEDRADOS PARA LA REACTIVACIÓN ECONÓMICA EN MUNICIPIOS SADER 2021 EN EL MUNICIPIO DE JOCOTEPEC, JALISCO.</v>
      </c>
      <c r="N625" s="504" t="s">
        <v>4881</v>
      </c>
      <c r="O625" s="504"/>
      <c r="P625" s="67">
        <f>OBRA!S627</f>
        <v>44594</v>
      </c>
      <c r="Q625" s="79">
        <f>OBRA!R627</f>
        <v>638</v>
      </c>
      <c r="R625" s="79" t="s">
        <v>2294</v>
      </c>
      <c r="S625" s="5" t="str">
        <f>OBRA!T627</f>
        <v>-</v>
      </c>
      <c r="T625" s="11" t="str">
        <f>OBRA!U627</f>
        <v>-</v>
      </c>
      <c r="U625" s="207" t="s">
        <v>5621</v>
      </c>
      <c r="V625" s="62" t="s">
        <v>1428</v>
      </c>
      <c r="W625" s="309"/>
      <c r="X625" s="11"/>
      <c r="Y625" s="986" t="s">
        <v>1177</v>
      </c>
      <c r="Z625" s="309"/>
      <c r="AA625" s="309"/>
      <c r="AB625" s="5"/>
      <c r="AC625" s="317">
        <f>OBRA!BW627</f>
        <v>0</v>
      </c>
      <c r="AD625" s="352"/>
    </row>
    <row r="626" spans="1:30" ht="100.5" customHeight="1">
      <c r="A626" s="22" t="s">
        <v>2206</v>
      </c>
      <c r="B626" s="809">
        <f>GRAL!B893</f>
        <v>0</v>
      </c>
      <c r="C626" s="16">
        <f>OBRA!J628</f>
        <v>2022</v>
      </c>
      <c r="D626" s="17" t="str">
        <f>OBRA!M628</f>
        <v>CUENTA CORRIENTE</v>
      </c>
      <c r="E626" s="478" t="s">
        <v>1428</v>
      </c>
      <c r="F626" s="352"/>
      <c r="G626" s="1"/>
      <c r="H626" s="352"/>
      <c r="I626" s="54" t="str">
        <f>OBRA!W628</f>
        <v>ALSERCON SA DE CV</v>
      </c>
      <c r="J626" s="55" t="str">
        <f>OBRA!X628</f>
        <v>C. DANIEL RODRIGUEZ VALENZUELA</v>
      </c>
      <c r="K626" s="33" t="str">
        <f>OBRA!N628</f>
        <v>C- OP 003/2022</v>
      </c>
      <c r="L626" s="2" t="str">
        <f>OBRA!O628</f>
        <v>ARRENDAMIENTO</v>
      </c>
      <c r="M626" s="3" t="str">
        <f>OBRA!P628</f>
        <v>RENTA DE CAMIÓN TIPO PIPA MARCA DODGE RAM 6500 MOD. 1996 PLACAS JM57075, CON CAPACIDAD DE 10,000 LITROS PARA ACARREOS DE AGUA, PARA SER UTILIZADA EN LAS OBRAS DEL PROGRAMA SADER 2021 EN LA LOCALIDAD DE LA LOMA, MUNICIPIO DE JOCOTEPEC, JALISCO.</v>
      </c>
      <c r="N626" s="504" t="s">
        <v>4881</v>
      </c>
      <c r="O626" s="504"/>
      <c r="P626" s="67">
        <f>OBRA!S628</f>
        <v>44673</v>
      </c>
      <c r="Q626" s="79">
        <f>OBRA!R628</f>
        <v>1739.9999999999998</v>
      </c>
      <c r="R626" s="79" t="s">
        <v>5591</v>
      </c>
      <c r="S626" s="5">
        <f>OBRA!T628</f>
        <v>44677</v>
      </c>
      <c r="T626" s="11">
        <f>OBRA!U628</f>
        <v>44707</v>
      </c>
      <c r="U626" s="207" t="s">
        <v>5621</v>
      </c>
      <c r="V626" s="62" t="s">
        <v>1428</v>
      </c>
      <c r="W626" s="309"/>
      <c r="X626" s="11"/>
      <c r="Y626" s="986" t="s">
        <v>1177</v>
      </c>
      <c r="Z626" s="309"/>
      <c r="AA626" s="309"/>
      <c r="AB626" s="5"/>
      <c r="AC626" s="317">
        <f>OBRA!BW628</f>
        <v>0</v>
      </c>
      <c r="AD626" s="352"/>
    </row>
    <row r="627" spans="1:30" ht="107.25" customHeight="1">
      <c r="A627" s="22" t="s">
        <v>2206</v>
      </c>
      <c r="B627" s="809">
        <f>GRAL!B894</f>
        <v>0</v>
      </c>
      <c r="C627" s="16">
        <f>OBRA!J629</f>
        <v>2022</v>
      </c>
      <c r="D627" s="17" t="str">
        <f>OBRA!M629</f>
        <v>CUENTA CORRIENTE</v>
      </c>
      <c r="E627" s="478" t="s">
        <v>1428</v>
      </c>
      <c r="F627" s="352"/>
      <c r="G627" s="1"/>
      <c r="H627" s="352"/>
      <c r="I627" s="54" t="str">
        <f>OBRA!W629</f>
        <v>ING. SERGIO CABRERA</v>
      </c>
      <c r="J627" s="55" t="str">
        <f>OBRA!X629</f>
        <v>C. DANIEL RODRIGUEZ VALENZUELA</v>
      </c>
      <c r="K627" s="33" t="str">
        <f>OBRA!N629</f>
        <v>C- OP 004/2022</v>
      </c>
      <c r="L627" s="2" t="str">
        <f>OBRA!O629</f>
        <v>ARRENDAMIENTO</v>
      </c>
      <c r="M627" s="3" t="str">
        <f>OBRA!P629</f>
        <v>RENTA DE COMPACTADOR MCA CARTEPILLAR MOD CS-563 E, PARA SER UTILIZADA EN LAS OBRAS: REHABILITACIÓN DE LÍNEAS HIDROSANITARIAS EN CALLE 5 DE FEBRERO Y CALLE 1RO DE MAYO EN LA AGENCIA DE LA LOMA, DEL MUNICIPIO DE JOCOTEPEC, JALISCO.</v>
      </c>
      <c r="N627" s="504" t="s">
        <v>4881</v>
      </c>
      <c r="O627" s="504"/>
      <c r="P627" s="67">
        <f>OBRA!S629</f>
        <v>44594</v>
      </c>
      <c r="Q627" s="79">
        <f>OBRA!R629</f>
        <v>1144.8851999999999</v>
      </c>
      <c r="R627" s="79" t="s">
        <v>2294</v>
      </c>
      <c r="S627" s="5" t="str">
        <f>OBRA!T629</f>
        <v>-</v>
      </c>
      <c r="T627" s="11" t="str">
        <f>OBRA!U629</f>
        <v>-</v>
      </c>
      <c r="U627" s="207" t="s">
        <v>5621</v>
      </c>
      <c r="V627" s="62" t="s">
        <v>1428</v>
      </c>
      <c r="W627" s="309"/>
      <c r="X627" s="11"/>
      <c r="Y627" s="986" t="s">
        <v>1177</v>
      </c>
      <c r="Z627" s="309"/>
      <c r="AA627" s="309"/>
      <c r="AB627" s="5"/>
      <c r="AC627" s="317">
        <f>OBRA!BW629</f>
        <v>0</v>
      </c>
      <c r="AD627" s="352"/>
    </row>
    <row r="628" spans="1:30" ht="106.5" customHeight="1">
      <c r="A628" s="22" t="s">
        <v>2206</v>
      </c>
      <c r="B628" s="809">
        <f>GRAL!B895</f>
        <v>0</v>
      </c>
      <c r="C628" s="16">
        <f>OBRA!J630</f>
        <v>2022</v>
      </c>
      <c r="D628" s="17" t="str">
        <f>OBRA!M630</f>
        <v>CUENTA CORRIENTE</v>
      </c>
      <c r="E628" s="478" t="s">
        <v>1428</v>
      </c>
      <c r="F628" s="352"/>
      <c r="G628" s="1"/>
      <c r="H628" s="352"/>
      <c r="I628" s="54" t="str">
        <f>OBRA!W630</f>
        <v>ING. SERGIO CABRERA</v>
      </c>
      <c r="J628" s="55" t="str">
        <f>OBRA!X630</f>
        <v>C. DANIEL RODRIGUEZ VALENZUELA</v>
      </c>
      <c r="K628" s="33" t="str">
        <f>OBRA!N630</f>
        <v>C- OP 005/2022</v>
      </c>
      <c r="L628" s="2" t="str">
        <f>OBRA!O630</f>
        <v>ARRENDAMIENTO</v>
      </c>
      <c r="M628" s="3" t="str">
        <f>OBRA!P630</f>
        <v>RENTA DE MOTONIVELADORA CARTEPILLAR 160 H, PARA SER UTILIZADA EN LAS OBRAS; REHABILITACIÓN DE LÍNEAS HIDROSANITARIAS EN CALLE 5 DE FEBRERO, CALLE 1RO DE MAYO Y CALLE CHAPULTEPEC, EN LA AGENCIA DE LA LOMA, DEL MUNICIPIO DE JOCOTEPEC, JALISCO.</v>
      </c>
      <c r="N628" s="504" t="s">
        <v>4881</v>
      </c>
      <c r="O628" s="504"/>
      <c r="P628" s="67">
        <f>OBRA!S630</f>
        <v>44641</v>
      </c>
      <c r="Q628" s="79">
        <f>OBRA!R630</f>
        <v>1850.8843999999997</v>
      </c>
      <c r="R628" s="79" t="s">
        <v>2294</v>
      </c>
      <c r="S628" s="5" t="str">
        <f>OBRA!T630</f>
        <v>-</v>
      </c>
      <c r="T628" s="11" t="str">
        <f>OBRA!U630</f>
        <v>-</v>
      </c>
      <c r="U628" s="207" t="s">
        <v>5621</v>
      </c>
      <c r="V628" s="62" t="s">
        <v>1428</v>
      </c>
      <c r="W628" s="309"/>
      <c r="X628" s="11"/>
      <c r="Y628" s="986" t="s">
        <v>1177</v>
      </c>
      <c r="Z628" s="309"/>
      <c r="AA628" s="309"/>
      <c r="AB628" s="5"/>
      <c r="AC628" s="317">
        <f>OBRA!BW630</f>
        <v>0</v>
      </c>
      <c r="AD628" s="352"/>
    </row>
    <row r="629" spans="1:30" ht="102" customHeight="1">
      <c r="A629" s="22" t="s">
        <v>2206</v>
      </c>
      <c r="B629" s="809">
        <f>GRAL!B896</f>
        <v>0</v>
      </c>
      <c r="C629" s="16">
        <f>OBRA!J631</f>
        <v>2022</v>
      </c>
      <c r="D629" s="17" t="str">
        <f>OBRA!M631</f>
        <v>CUENTA CORRIENTE</v>
      </c>
      <c r="E629" s="478" t="s">
        <v>1428</v>
      </c>
      <c r="F629" s="352"/>
      <c r="G629" s="1"/>
      <c r="H629" s="352"/>
      <c r="I629" s="54" t="str">
        <f>OBRA!W631</f>
        <v>ING. SERGIO CABRERA</v>
      </c>
      <c r="J629" s="55" t="str">
        <f>OBRA!X631</f>
        <v>C. DANIEL RODRIGUEZ VALENZUELA</v>
      </c>
      <c r="K629" s="33" t="str">
        <f>OBRA!N631</f>
        <v>C- OP 006/2022</v>
      </c>
      <c r="L629" s="2" t="str">
        <f>OBRA!O631</f>
        <v>ARRENDAMIENTO</v>
      </c>
      <c r="M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4" t="s">
        <v>4881</v>
      </c>
      <c r="O629" s="504"/>
      <c r="P629" s="67">
        <f>OBRA!S631</f>
        <v>44642</v>
      </c>
      <c r="Q629" s="79">
        <f>OBRA!R631</f>
        <v>854.74599999999998</v>
      </c>
      <c r="R629" s="79" t="s">
        <v>2294</v>
      </c>
      <c r="S629" s="5">
        <f>OBRA!T631</f>
        <v>44642</v>
      </c>
      <c r="T629" s="11">
        <f>OBRA!U631</f>
        <v>44926</v>
      </c>
      <c r="U629" s="207" t="s">
        <v>5621</v>
      </c>
      <c r="V629" s="62" t="s">
        <v>1428</v>
      </c>
      <c r="W629" s="309"/>
      <c r="X629" s="11"/>
      <c r="Y629" s="986" t="s">
        <v>1177</v>
      </c>
      <c r="Z629" s="309"/>
      <c r="AA629" s="309"/>
      <c r="AB629" s="5"/>
      <c r="AC629" s="317">
        <f>OBRA!BW631</f>
        <v>0</v>
      </c>
      <c r="AD629" s="352"/>
    </row>
    <row r="630" spans="1:30" ht="111" customHeight="1">
      <c r="A630" s="22" t="s">
        <v>2206</v>
      </c>
      <c r="B630" s="809">
        <f>GRAL!B897</f>
        <v>0</v>
      </c>
      <c r="C630" s="16">
        <f>OBRA!J632</f>
        <v>2022</v>
      </c>
      <c r="D630" s="17" t="str">
        <f>OBRA!M632</f>
        <v>CUENTA CORRIENTE</v>
      </c>
      <c r="E630" s="478" t="s">
        <v>1428</v>
      </c>
      <c r="F630" s="352"/>
      <c r="G630" s="1"/>
      <c r="H630" s="352"/>
      <c r="I630" s="54" t="str">
        <f>OBRA!W632</f>
        <v>ING. SERGIO CABRERA</v>
      </c>
      <c r="J630" s="55" t="str">
        <f>OBRA!X632</f>
        <v>C. DANIEL RODRIGUEZ VALENZUELA</v>
      </c>
      <c r="K630" s="33" t="str">
        <f>OBRA!N632</f>
        <v>C- OP 007/2022</v>
      </c>
      <c r="L630" s="2" t="str">
        <f>OBRA!O632</f>
        <v>ARRENDAMIENTO</v>
      </c>
      <c r="M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N630" s="504" t="s">
        <v>4881</v>
      </c>
      <c r="O630" s="504"/>
      <c r="P630" s="67">
        <f>OBRA!S632</f>
        <v>44648</v>
      </c>
      <c r="Q630" s="79">
        <f>OBRA!R632</f>
        <v>818.2639999999999</v>
      </c>
      <c r="R630" s="79" t="s">
        <v>2294</v>
      </c>
      <c r="S630" s="5">
        <f>OBRA!T632</f>
        <v>44648</v>
      </c>
      <c r="T630" s="11">
        <f>OBRA!U632</f>
        <v>44926</v>
      </c>
      <c r="U630" s="207" t="s">
        <v>5621</v>
      </c>
      <c r="V630" s="62" t="s">
        <v>1428</v>
      </c>
      <c r="W630" s="309"/>
      <c r="X630" s="11"/>
      <c r="Y630" s="986" t="s">
        <v>1177</v>
      </c>
      <c r="Z630" s="309"/>
      <c r="AA630" s="309"/>
      <c r="AB630" s="5"/>
      <c r="AC630" s="317">
        <f>OBRA!BW632</f>
        <v>0</v>
      </c>
      <c r="AD630" s="352"/>
    </row>
    <row r="631" spans="1:30" ht="108.75" customHeight="1">
      <c r="A631" s="22" t="s">
        <v>2206</v>
      </c>
      <c r="B631" s="809">
        <f>GRAL!B898</f>
        <v>0</v>
      </c>
      <c r="C631" s="16">
        <f>OBRA!J633</f>
        <v>2022</v>
      </c>
      <c r="D631" s="17" t="str">
        <f>OBRA!M633</f>
        <v>CUENTA CORRIENTE</v>
      </c>
      <c r="E631" s="478" t="s">
        <v>1428</v>
      </c>
      <c r="F631" s="352"/>
      <c r="G631" s="1"/>
      <c r="H631" s="352"/>
      <c r="I631" s="54" t="str">
        <f>OBRA!W633</f>
        <v>ING. SERGIO CABRERA</v>
      </c>
      <c r="J631" s="55" t="str">
        <f>OBRA!X633</f>
        <v>C. DANIEL RODRIGUEZ VALENZUELA</v>
      </c>
      <c r="K631" s="33" t="str">
        <f>OBRA!N633</f>
        <v>C- OP 008/2022</v>
      </c>
      <c r="L631" s="2" t="str">
        <f>OBRA!O633</f>
        <v>ARRENDAMIENTO</v>
      </c>
      <c r="M631" s="3" t="str">
        <f>OBRA!P633</f>
        <v>RENTA DE UN CAMIÓN PIPA DE 9 M3, PARA SER UTILIZADA EN LAS OBRAS; REHABILITACIÓN DE LÍNEAS HIDROSANITARIAS EN CALLE 5 DE FEBRERO Y CALLE 1RO DE MAYO EN LA AGENCIA DE LA LOMA, Y CALLE RIBERA DEL LAGO EN NEXTIPAC, DEL MUNICIPIO DE JOCOTEPEC, JALISCO</v>
      </c>
      <c r="N631" s="504" t="s">
        <v>4881</v>
      </c>
      <c r="O631" s="504"/>
      <c r="P631" s="67">
        <f>OBRA!S633</f>
        <v>44642</v>
      </c>
      <c r="Q631" s="79">
        <f>OBRA!R633</f>
        <v>376.51279999999997</v>
      </c>
      <c r="R631" s="79" t="s">
        <v>2294</v>
      </c>
      <c r="S631" s="5">
        <f>OBRA!T633</f>
        <v>44642</v>
      </c>
      <c r="T631" s="11">
        <f>OBRA!U633</f>
        <v>44926</v>
      </c>
      <c r="U631" s="207" t="s">
        <v>5621</v>
      </c>
      <c r="V631" s="62" t="s">
        <v>1428</v>
      </c>
      <c r="W631" s="309"/>
      <c r="X631" s="11"/>
      <c r="Y631" s="986" t="s">
        <v>1177</v>
      </c>
      <c r="Z631" s="309"/>
      <c r="AA631" s="309"/>
      <c r="AB631" s="5"/>
      <c r="AC631" s="317">
        <f>OBRA!BW633</f>
        <v>0</v>
      </c>
      <c r="AD631" s="352"/>
    </row>
    <row r="632" spans="1:30" ht="15" hidden="1" customHeight="1">
      <c r="A632" s="22" t="s">
        <v>2206</v>
      </c>
      <c r="B632" s="809">
        <f>GRAL!B899</f>
        <v>0</v>
      </c>
      <c r="C632" s="16">
        <f>OBRA!J634</f>
        <v>2022</v>
      </c>
      <c r="D632" s="17">
        <f>OBRA!M634</f>
        <v>0</v>
      </c>
      <c r="E632" s="478" t="s">
        <v>1428</v>
      </c>
      <c r="F632" s="352" t="s">
        <v>1428</v>
      </c>
      <c r="G632" s="219"/>
      <c r="H632" s="352" t="s">
        <v>1428</v>
      </c>
      <c r="I632" s="54" t="str">
        <f>OBRA!W634</f>
        <v>-</v>
      </c>
      <c r="J632" s="55">
        <f>OBRA!X634</f>
        <v>0</v>
      </c>
      <c r="K632" s="19" t="str">
        <f>OBRA!N634</f>
        <v>C- OP 009/2022</v>
      </c>
      <c r="L632" s="2" t="str">
        <f>OBRA!O634</f>
        <v>CANCELADA</v>
      </c>
      <c r="M632" s="3" t="str">
        <f>OBRA!P634</f>
        <v>-</v>
      </c>
      <c r="N632" s="541"/>
      <c r="O632" s="541"/>
      <c r="P632" s="6">
        <f>OBRA!S634</f>
        <v>0</v>
      </c>
      <c r="Q632" s="4">
        <f>OBRA!R634</f>
        <v>0</v>
      </c>
      <c r="R632" s="1023"/>
      <c r="S632" s="5">
        <f>OBRA!T634</f>
        <v>0</v>
      </c>
      <c r="T632" s="11">
        <f>OBRA!U634</f>
        <v>0</v>
      </c>
      <c r="U632" s="207" t="s">
        <v>3815</v>
      </c>
      <c r="V632" s="377" t="s">
        <v>1428</v>
      </c>
      <c r="W632" s="309" t="s">
        <v>1428</v>
      </c>
      <c r="X632" s="509"/>
      <c r="Y632" s="279">
        <f>OBRA!AR634</f>
        <v>0</v>
      </c>
      <c r="Z632" s="309"/>
      <c r="AA632" s="309"/>
      <c r="AB632" s="5"/>
      <c r="AC632" s="317">
        <f>OBRA!BW634</f>
        <v>0</v>
      </c>
      <c r="AD632" s="352"/>
    </row>
    <row r="633" spans="1:30" ht="15" hidden="1" customHeight="1">
      <c r="A633" s="22" t="s">
        <v>2206</v>
      </c>
      <c r="B633" s="809">
        <f>GRAL!B900</f>
        <v>0</v>
      </c>
      <c r="C633" s="16">
        <f>OBRA!J635</f>
        <v>2022</v>
      </c>
      <c r="D633" s="17">
        <f>OBRA!M635</f>
        <v>0</v>
      </c>
      <c r="E633" s="478" t="s">
        <v>1428</v>
      </c>
      <c r="F633" s="352" t="s">
        <v>1428</v>
      </c>
      <c r="G633" s="219"/>
      <c r="H633" s="352" t="s">
        <v>1428</v>
      </c>
      <c r="I633" s="54" t="str">
        <f>OBRA!W635</f>
        <v>-</v>
      </c>
      <c r="J633" s="55">
        <f>OBRA!X635</f>
        <v>0</v>
      </c>
      <c r="K633" s="19" t="str">
        <f>OBRA!N635</f>
        <v>C- OP 010/2022</v>
      </c>
      <c r="L633" s="2" t="str">
        <f>OBRA!O635</f>
        <v>CANCELADA</v>
      </c>
      <c r="M633" s="3" t="str">
        <f>OBRA!P635</f>
        <v>-</v>
      </c>
      <c r="N633" s="541"/>
      <c r="O633" s="541"/>
      <c r="P633" s="6">
        <f>OBRA!S635</f>
        <v>0</v>
      </c>
      <c r="Q633" s="4">
        <f>OBRA!R635</f>
        <v>0</v>
      </c>
      <c r="R633" s="1023"/>
      <c r="S633" s="5">
        <f>OBRA!T635</f>
        <v>0</v>
      </c>
      <c r="T633" s="11">
        <f>OBRA!U635</f>
        <v>0</v>
      </c>
      <c r="U633" s="207" t="s">
        <v>3815</v>
      </c>
      <c r="V633" s="377" t="s">
        <v>1428</v>
      </c>
      <c r="W633" s="309" t="s">
        <v>1428</v>
      </c>
      <c r="X633" s="509"/>
      <c r="Y633" s="279">
        <f>OBRA!AR635</f>
        <v>0</v>
      </c>
      <c r="Z633" s="309"/>
      <c r="AA633" s="309"/>
      <c r="AB633" s="5"/>
      <c r="AC633" s="317">
        <f>OBRA!BW635</f>
        <v>0</v>
      </c>
      <c r="AD633" s="352"/>
    </row>
    <row r="634" spans="1:30" ht="15" hidden="1" customHeight="1">
      <c r="A634" s="22" t="s">
        <v>2206</v>
      </c>
      <c r="B634" s="809">
        <f>GRAL!B901</f>
        <v>0</v>
      </c>
      <c r="C634" s="16">
        <f>OBRA!J636</f>
        <v>2022</v>
      </c>
      <c r="D634" s="17" t="str">
        <f>OBRA!M636</f>
        <v>RAMO 33</v>
      </c>
      <c r="E634" s="1170"/>
      <c r="F634" s="1108"/>
      <c r="G634" s="219"/>
      <c r="H634" s="1108"/>
      <c r="I634" s="54" t="str">
        <f>OBRA!W636</f>
        <v xml:space="preserve">SERVICIOS Y CONSTRUCCIONES NATENIO, S.A. DE C.V. </v>
      </c>
      <c r="J634" s="55" t="str">
        <f>OBRA!X636</f>
        <v>C. DANIEL RODRIGUEZ VALENZUELA</v>
      </c>
      <c r="K634" s="19" t="str">
        <f>OBRA!N636</f>
        <v>GMJ 001 C-OP/2022</v>
      </c>
      <c r="L634" s="2" t="str">
        <f>OBRA!O636</f>
        <v>ADJUDICACIÓN DIRECTA</v>
      </c>
      <c r="M634" s="3" t="str">
        <f>OBRA!P636</f>
        <v>"REHABILITACIÓN DE RED DE AGUA POTABLE EN CALLE PRIVADA FRANCISCO VILLA ENTRE CALLE PRIMERO DE MAYO A CERRADA", EN LA LOCALIDAD DE LA LOMA, DEL MUNICIPIO DE JOCOTEPEC, JALISCO.</v>
      </c>
      <c r="N634" s="541"/>
      <c r="O634" s="541"/>
      <c r="P634" s="6">
        <f>OBRA!S636</f>
        <v>44628</v>
      </c>
      <c r="Q634" s="4">
        <f>OBRA!R636</f>
        <v>98067.87</v>
      </c>
      <c r="R634" s="1023"/>
      <c r="S634" s="5">
        <f>OBRA!T636</f>
        <v>44634</v>
      </c>
      <c r="T634" s="11">
        <f>OBRA!U636</f>
        <v>44639</v>
      </c>
      <c r="U634" s="692"/>
      <c r="V634" s="203"/>
      <c r="W634" s="508"/>
      <c r="X634" s="509"/>
      <c r="Y634" s="534">
        <f>OBRA!AR636</f>
        <v>19613.560000000001</v>
      </c>
      <c r="Z634" s="309"/>
      <c r="AA634" s="309"/>
      <c r="AB634" s="5"/>
      <c r="AC634" s="317">
        <f>OBRA!BW636</f>
        <v>0</v>
      </c>
      <c r="AD634" s="352"/>
    </row>
    <row r="635" spans="1:30" ht="15" hidden="1" customHeight="1">
      <c r="A635" s="22" t="s">
        <v>2206</v>
      </c>
      <c r="B635" s="809">
        <f>GRAL!B902</f>
        <v>0</v>
      </c>
      <c r="C635" s="16">
        <f>OBRA!J637</f>
        <v>2022</v>
      </c>
      <c r="D635" s="17" t="str">
        <f>OBRA!M637</f>
        <v>RAMO 33</v>
      </c>
      <c r="E635" s="1170"/>
      <c r="F635" s="1108"/>
      <c r="G635" s="219"/>
      <c r="H635" s="1108"/>
      <c r="I635" s="54" t="str">
        <f>OBRA!W637</f>
        <v xml:space="preserve">DORIA &amp; SAMPIER CONSTRUCTORA, S.A. DE C.V. </v>
      </c>
      <c r="J635" s="55" t="str">
        <f>OBRA!X637</f>
        <v>C. DANIEL RODRIGUEZ VALENZUELA</v>
      </c>
      <c r="K635" s="19" t="str">
        <f>OBRA!N637</f>
        <v>GMJ 002 C-OP/2022</v>
      </c>
      <c r="L635" s="2" t="str">
        <f>OBRA!O637</f>
        <v>ADJUDICACIÓN DIRECTA</v>
      </c>
      <c r="M635" s="3" t="str">
        <f>OBRA!P637</f>
        <v>"REHABILITACIÓN DE LÍNEA DE DRENAJE, EN CALLE 1RO DE MAYO ENTRE CALLE CHAPULTEPEC Y CALLE 05 DE FEBRERO", EN LA AGENCIA DE LA LOMA, MUNICIPIO DE JOCOTEPEC, JALISCO.</v>
      </c>
      <c r="N635" s="541"/>
      <c r="O635" s="541"/>
      <c r="P635" s="6">
        <f>OBRA!S637</f>
        <v>44628</v>
      </c>
      <c r="Q635" s="4">
        <f>OBRA!R637</f>
        <v>160513.82999999999</v>
      </c>
      <c r="R635" s="1023"/>
      <c r="S635" s="5">
        <f>OBRA!T637</f>
        <v>44634</v>
      </c>
      <c r="T635" s="11">
        <f>OBRA!U637</f>
        <v>44653</v>
      </c>
      <c r="U635" s="692"/>
      <c r="V635" s="203"/>
      <c r="W635" s="508"/>
      <c r="X635" s="509"/>
      <c r="Y635" s="534">
        <f>OBRA!AR637</f>
        <v>32102.76</v>
      </c>
      <c r="Z635" s="309"/>
      <c r="AA635" s="309"/>
      <c r="AB635" s="5"/>
      <c r="AC635" s="317">
        <f>OBRA!BW637</f>
        <v>0</v>
      </c>
      <c r="AD635" s="352"/>
    </row>
    <row r="636" spans="1:30" ht="15" hidden="1" customHeight="1">
      <c r="A636" s="22" t="s">
        <v>2206</v>
      </c>
      <c r="B636" s="809">
        <f>GRAL!B903</f>
        <v>0</v>
      </c>
      <c r="C636" s="16">
        <f>OBRA!J638</f>
        <v>2022</v>
      </c>
      <c r="D636" s="17" t="str">
        <f>OBRA!M638</f>
        <v>RAMO 33</v>
      </c>
      <c r="E636" s="1170"/>
      <c r="F636" s="1108"/>
      <c r="G636" s="219"/>
      <c r="H636" s="1108"/>
      <c r="I636" s="54" t="str">
        <f>OBRA!W638</f>
        <v xml:space="preserve">DORIA &amp; SAMPIER CONSTRUCTORA, S.A. DE C.V. </v>
      </c>
      <c r="J636" s="55" t="str">
        <f>OBRA!X638</f>
        <v>C. DANIEL RODRIGUEZ VALENZUELA</v>
      </c>
      <c r="K636" s="19" t="str">
        <f>OBRA!N638</f>
        <v>GMJ 003 C-OP/2022</v>
      </c>
      <c r="L636" s="2" t="str">
        <f>OBRA!O638</f>
        <v>ADJUDICACIÓN DIRECTA</v>
      </c>
      <c r="M636" s="3" t="str">
        <f>OBRA!P638</f>
        <v>"REHABILITACIÓN DE DRENAJE SANITARIO DE 10" EN CALLE 14 DE FEBRERO Y/O CALLE 5 DE FEBRERO ENTRE CALLE 1RO DE MAYO Y CALLE 5 DE MAYO", EN LA AGENCIA DE LA LOMA, MUNICIPIO DE JOCOTEPEC, JALISCO.</v>
      </c>
      <c r="N636" s="541"/>
      <c r="O636" s="541"/>
      <c r="P636" s="6">
        <f>OBRA!S638</f>
        <v>44628</v>
      </c>
      <c r="Q636" s="4">
        <f>OBRA!R638</f>
        <v>236056.39</v>
      </c>
      <c r="R636" s="1023"/>
      <c r="S636" s="5">
        <f>OBRA!T638</f>
        <v>44634</v>
      </c>
      <c r="T636" s="11">
        <f>OBRA!U638</f>
        <v>44653</v>
      </c>
      <c r="U636" s="692"/>
      <c r="V636" s="203"/>
      <c r="W636" s="508"/>
      <c r="X636" s="509"/>
      <c r="Y636" s="534">
        <f>OBRA!AR638</f>
        <v>23605.64</v>
      </c>
      <c r="Z636" s="309"/>
      <c r="AA636" s="309"/>
      <c r="AB636" s="5"/>
      <c r="AC636" s="317">
        <f>OBRA!BW638</f>
        <v>0</v>
      </c>
      <c r="AD636" s="352"/>
    </row>
    <row r="637" spans="1:30" ht="15" hidden="1" customHeight="1">
      <c r="A637" s="22" t="s">
        <v>2206</v>
      </c>
      <c r="B637" s="809">
        <f>GRAL!B904</f>
        <v>0</v>
      </c>
      <c r="C637" s="16">
        <f>OBRA!J639</f>
        <v>2022</v>
      </c>
      <c r="D637" s="17" t="str">
        <f>OBRA!M639</f>
        <v>RAMO 33</v>
      </c>
      <c r="E637" s="1170"/>
      <c r="F637" s="1108"/>
      <c r="G637" s="219"/>
      <c r="H637" s="1108"/>
      <c r="I637" s="54" t="str">
        <f>OBRA!W639</f>
        <v>EDUARDO VENTURA PADILLA</v>
      </c>
      <c r="J637" s="55" t="str">
        <f>OBRA!X639</f>
        <v>ING. J. GUADALUPE IBARRA RAMIREZ</v>
      </c>
      <c r="K637" s="19" t="str">
        <f>OBRA!N639</f>
        <v>GMJ 004 C-OP/2022</v>
      </c>
      <c r="L637" s="2" t="str">
        <f>OBRA!O639</f>
        <v>ADJUDICACIÓN DIRECTA</v>
      </c>
      <c r="M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1"/>
      <c r="O637" s="541"/>
      <c r="P637" s="6">
        <f>OBRA!S639</f>
        <v>44690</v>
      </c>
      <c r="Q637" s="4">
        <f>OBRA!R639</f>
        <v>2031883.8</v>
      </c>
      <c r="R637" s="1023"/>
      <c r="S637" s="5">
        <f>OBRA!T639</f>
        <v>44692</v>
      </c>
      <c r="T637" s="11">
        <f>OBRA!U639</f>
        <v>44765</v>
      </c>
      <c r="U637" s="692"/>
      <c r="V637" s="203"/>
      <c r="W637" s="508"/>
      <c r="X637" s="509"/>
      <c r="Y637" s="534">
        <f>OBRA!AR639</f>
        <v>914347.71000000008</v>
      </c>
      <c r="Z637" s="309"/>
      <c r="AA637" s="309"/>
      <c r="AB637" s="5"/>
      <c r="AC637" s="317">
        <f>OBRA!BW639</f>
        <v>0</v>
      </c>
      <c r="AD637" s="352"/>
    </row>
    <row r="638" spans="1:30" ht="15" hidden="1" customHeight="1">
      <c r="A638" s="22" t="s">
        <v>2206</v>
      </c>
      <c r="B638" s="809">
        <f>GRAL!B905</f>
        <v>0</v>
      </c>
      <c r="C638" s="16">
        <f>OBRA!J640</f>
        <v>2022</v>
      </c>
      <c r="D638" s="17" t="str">
        <f>OBRA!M640</f>
        <v>CUENTA CORRIENTE</v>
      </c>
      <c r="E638" s="1170"/>
      <c r="F638" s="1108"/>
      <c r="G638" s="219"/>
      <c r="H638" s="1108"/>
      <c r="I638" s="54" t="str">
        <f>OBRA!W640</f>
        <v>TERRACERÍAS Y PAVIMENTOS DE LA RIBERA, S.A. DE C.V.</v>
      </c>
      <c r="J638" s="55" t="str">
        <f>OBRA!X640</f>
        <v>C. DANIEL RODRIGUEZ VALENZUELA</v>
      </c>
      <c r="K638" s="19" t="str">
        <f>OBRA!N640</f>
        <v>GMJ 005 C-OP/2022</v>
      </c>
      <c r="L638" s="2" t="str">
        <f>OBRA!O640</f>
        <v>ADJUDICACIÓN DIRECTA</v>
      </c>
      <c r="M638" s="3" t="str">
        <f>OBRA!P640</f>
        <v>"REHABILITACIÓN DE RED DE DRENAJE EN LA CALLE MORELOS ENTRE RIVERA DEL LAGO Y MALECÓN", EN LA LOCALIDAD DE NEXTIPAC, DEL MUNICIPIO DE JOCOTEPEC, JALISCO.</v>
      </c>
      <c r="N638" s="541"/>
      <c r="O638" s="541"/>
      <c r="P638" s="6">
        <f>OBRA!S640</f>
        <v>44704</v>
      </c>
      <c r="Q638" s="4">
        <f>OBRA!R640</f>
        <v>793754.52</v>
      </c>
      <c r="R638" s="1023"/>
      <c r="S638" s="5">
        <f>OBRA!T640</f>
        <v>44705</v>
      </c>
      <c r="T638" s="11">
        <f>OBRA!U640</f>
        <v>44712</v>
      </c>
      <c r="U638" s="692"/>
      <c r="V638" s="203"/>
      <c r="W638" s="508"/>
      <c r="X638" s="509"/>
      <c r="Y638" s="534">
        <f>OBRA!AR640</f>
        <v>79375.45</v>
      </c>
      <c r="Z638" s="309"/>
      <c r="AA638" s="309"/>
      <c r="AB638" s="5"/>
      <c r="AC638" s="317">
        <f>OBRA!BW640</f>
        <v>0</v>
      </c>
      <c r="AD638" s="352"/>
    </row>
    <row r="639" spans="1:30" ht="15" hidden="1" customHeight="1">
      <c r="A639" s="22" t="s">
        <v>2206</v>
      </c>
      <c r="B639" s="809">
        <f>GRAL!B906</f>
        <v>0</v>
      </c>
      <c r="C639" s="16">
        <f>OBRA!J641</f>
        <v>2022</v>
      </c>
      <c r="D639" s="17" t="str">
        <f>OBRA!M641</f>
        <v>RAMO 33</v>
      </c>
      <c r="E639" s="1170"/>
      <c r="F639" s="1108"/>
      <c r="G639" s="219"/>
      <c r="H639" s="1108"/>
      <c r="I639" s="54" t="str">
        <f>OBRA!W641</f>
        <v>TERRACERÍAS Y PAVIMENTOS DE LA RIBERA, S.A. DE C.V.</v>
      </c>
      <c r="J639" s="55" t="str">
        <f>OBRA!X641</f>
        <v>C. DANIEL RODRIGUEZ VALENZUELA</v>
      </c>
      <c r="K639" s="19" t="str">
        <f>OBRA!N641</f>
        <v>GMJ 006 C-OP/2022</v>
      </c>
      <c r="L639" s="2" t="str">
        <f>OBRA!O641</f>
        <v>ADJUDICACIÓN DIRECTA</v>
      </c>
      <c r="M639" s="3" t="str">
        <f>OBRA!P641</f>
        <v>"REHABILITACIÓN DE ANDADOR, MURO DE CONTECIÓN Y ALUMBRADO PÚBLICO EN ANDADOR MORELOS ENTRE C. RIVERA DEL LAGO Y MALECÓN", EN LA LOCALIDAD DE NEXTIPAC, DEL MUNICIPIO DE JOCTEPEC, JALISCO.</v>
      </c>
      <c r="N639" s="541"/>
      <c r="O639" s="541"/>
      <c r="P639" s="6">
        <f>OBRA!S641</f>
        <v>44704</v>
      </c>
      <c r="Q639" s="4">
        <f>OBRA!R641</f>
        <v>579637.71</v>
      </c>
      <c r="R639" s="1023"/>
      <c r="S639" s="5">
        <f>OBRA!T641</f>
        <v>44712</v>
      </c>
      <c r="T639" s="11">
        <f>OBRA!U641</f>
        <v>44722</v>
      </c>
      <c r="U639" s="692"/>
      <c r="V639" s="203"/>
      <c r="W639" s="508"/>
      <c r="X639" s="509"/>
      <c r="Y639" s="534">
        <f>OBRA!AR641</f>
        <v>57963.77</v>
      </c>
      <c r="Z639" s="309"/>
      <c r="AA639" s="309"/>
      <c r="AB639" s="5"/>
      <c r="AC639" s="317">
        <f>OBRA!BW641</f>
        <v>0</v>
      </c>
      <c r="AD639" s="352"/>
    </row>
    <row r="640" spans="1:30" ht="15" hidden="1" customHeight="1">
      <c r="A640" s="22" t="s">
        <v>2206</v>
      </c>
      <c r="B640" s="809">
        <f>GRAL!B907</f>
        <v>0</v>
      </c>
      <c r="C640" s="16">
        <f>OBRA!J642</f>
        <v>2022</v>
      </c>
      <c r="D640" s="17" t="str">
        <f>OBRA!M642</f>
        <v>RAMO 33</v>
      </c>
      <c r="E640" s="1170"/>
      <c r="F640" s="1108"/>
      <c r="G640" s="219"/>
      <c r="H640" s="1108"/>
      <c r="I640" s="54" t="str">
        <f>OBRA!W642</f>
        <v>ESTRUCTURAS PLANEADAS DE OCCIDENTE, S.A. DE C.V.</v>
      </c>
      <c r="J640" s="55" t="str">
        <f>OBRA!X642</f>
        <v>C. DANIEL RODRIGUEZ VALENZUELA</v>
      </c>
      <c r="K640" s="19" t="str">
        <f>OBRA!N642</f>
        <v>GMJ 007 C-OP/2022</v>
      </c>
      <c r="L640" s="2" t="str">
        <f>OBRA!O642</f>
        <v>ADJUDICACIÓN DIRECTA</v>
      </c>
      <c r="M640" s="3" t="str">
        <f>OBRA!P642</f>
        <v>“CONSTRUCCIÓN DE DRENAJE SANITARIO, AGUA POTABLE Y SUPERFICIE DE RODAMIENTO EN PRIVADA GALEANA”, EN LA LOCALIDAD DE SAN JUAN COSALÁ, DEL MUNICIPIO DE JOCOTEPEC,JALISCO.</v>
      </c>
      <c r="N640" s="541"/>
      <c r="O640" s="541"/>
      <c r="P640" s="6">
        <f>OBRA!S642</f>
        <v>44704</v>
      </c>
      <c r="Q640" s="4">
        <f>OBRA!R642</f>
        <v>627108.43000000005</v>
      </c>
      <c r="R640" s="1023"/>
      <c r="S640" s="5">
        <f>OBRA!T642</f>
        <v>44705</v>
      </c>
      <c r="T640" s="11">
        <f>OBRA!U642</f>
        <v>44742</v>
      </c>
      <c r="U640" s="692"/>
      <c r="V640" s="203"/>
      <c r="W640" s="508"/>
      <c r="X640" s="509"/>
      <c r="Y640" s="534">
        <f>OBRA!AR642</f>
        <v>125421.68</v>
      </c>
      <c r="Z640" s="309"/>
      <c r="AA640" s="309"/>
      <c r="AB640" s="5"/>
      <c r="AC640" s="317">
        <f>OBRA!BW642</f>
        <v>0</v>
      </c>
      <c r="AD640" s="352"/>
    </row>
    <row r="641" spans="1:30" ht="15" hidden="1" customHeight="1">
      <c r="A641" s="22" t="s">
        <v>2206</v>
      </c>
      <c r="B641" s="809">
        <f>GRAL!B908</f>
        <v>0</v>
      </c>
      <c r="C641" s="16">
        <f>OBRA!J643</f>
        <v>2022</v>
      </c>
      <c r="D641" s="17" t="str">
        <f>OBRA!M643</f>
        <v>RAMO 33</v>
      </c>
      <c r="E641" s="1170"/>
      <c r="F641" s="1108"/>
      <c r="G641" s="219"/>
      <c r="H641" s="1108"/>
      <c r="I641" s="54" t="str">
        <f>OBRA!W643</f>
        <v xml:space="preserve">SERVICIOS Y CONSTRUCCIONES NATENIO, S.A. DE C.V. </v>
      </c>
      <c r="J641" s="55" t="str">
        <f>OBRA!X643</f>
        <v>C. DANIEL RODRIGUEZ VALENZUELA</v>
      </c>
      <c r="K641" s="19" t="str">
        <f>OBRA!N643</f>
        <v>GMJ 008 C-OP/2022</v>
      </c>
      <c r="L641" s="2" t="str">
        <f>OBRA!O643</f>
        <v>ADJUDICACIÓN DIRECTA</v>
      </c>
      <c r="M641" s="3" t="str">
        <f>OBRA!P643</f>
        <v>“REHABILITACIÓN DE LÍNEA DE DRENAJE SANITARIO  CON TUBERÍA DE 8” Y CONSTRUCCIÓN DE ANDADOR PEATONAL EN ARROYO CAMICHINES”, EN LA LOCALIDAD DE SAN JUAN COSALÁ, DEL MUNICIPIO DE JOCOTEPEC,JALISCO.</v>
      </c>
      <c r="N641" s="541"/>
      <c r="O641" s="541"/>
      <c r="P641" s="6">
        <f>OBRA!S643</f>
        <v>44707</v>
      </c>
      <c r="Q641" s="4">
        <f>OBRA!R643</f>
        <v>168470.35</v>
      </c>
      <c r="R641" s="1023"/>
      <c r="S641" s="5">
        <f>OBRA!T643</f>
        <v>44711</v>
      </c>
      <c r="T641" s="11">
        <f>OBRA!U643</f>
        <v>44722</v>
      </c>
      <c r="U641" s="692"/>
      <c r="V641" s="203"/>
      <c r="W641" s="508"/>
      <c r="X641" s="509"/>
      <c r="Y641" s="534">
        <f>OBRA!AR643</f>
        <v>33694.06</v>
      </c>
      <c r="Z641" s="309"/>
      <c r="AA641" s="309"/>
      <c r="AB641" s="5"/>
      <c r="AC641" s="317">
        <f>OBRA!BW643</f>
        <v>0</v>
      </c>
      <c r="AD641" s="352"/>
    </row>
    <row r="642" spans="1:30" ht="15" hidden="1" customHeight="1">
      <c r="A642" s="22" t="s">
        <v>2206</v>
      </c>
      <c r="B642" s="809">
        <f>GRAL!B909</f>
        <v>0</v>
      </c>
      <c r="C642" s="16">
        <f>OBRA!J644</f>
        <v>2022</v>
      </c>
      <c r="D642" s="17" t="str">
        <f>OBRA!M644</f>
        <v>RAMO 33</v>
      </c>
      <c r="E642" s="1170"/>
      <c r="F642" s="1108"/>
      <c r="G642" s="219"/>
      <c r="H642" s="1108"/>
      <c r="I642" s="54" t="str">
        <f>OBRA!W644</f>
        <v>SOLEC ENERGY, S.A. DE C.V.</v>
      </c>
      <c r="J642" s="55" t="str">
        <f>OBRA!X644</f>
        <v>C. DANIEL RODRIGUEZ VALENZUELA</v>
      </c>
      <c r="K642" s="19" t="str">
        <f>OBRA!N644</f>
        <v>GMJ 009 C-OP/2022</v>
      </c>
      <c r="L642" s="2" t="str">
        <f>OBRA!O644</f>
        <v>ADJUDICACIÓN DIRECTA</v>
      </c>
      <c r="M642" s="3" t="str">
        <f>OBRA!P644</f>
        <v>“PROYECTO, SUMINISTRO E INSTALACIÓN DE ALUMBRADO PÚBLICO EN CALLE PROLONGACIÓN MORELOS”, EN LA LOCALIDAD DE CHANTEPEC, DEL MUNICIPIO DE JOCOTEPEC, JALISCO</v>
      </c>
      <c r="N642" s="541"/>
      <c r="O642" s="541"/>
      <c r="P642" s="6">
        <f>OBRA!S644</f>
        <v>44736</v>
      </c>
      <c r="Q642" s="4">
        <f>OBRA!R644</f>
        <v>809084.8</v>
      </c>
      <c r="R642" s="1023"/>
      <c r="S642" s="5">
        <f>OBRA!T644</f>
        <v>44760</v>
      </c>
      <c r="T642" s="11">
        <f>OBRA!U644</f>
        <v>44804</v>
      </c>
      <c r="U642" s="692"/>
      <c r="V642" s="203"/>
      <c r="W642" s="508"/>
      <c r="X642" s="509"/>
      <c r="Y642" s="534">
        <f>OBRA!AR644</f>
        <v>80908.479999999996</v>
      </c>
      <c r="Z642" s="309"/>
      <c r="AA642" s="309"/>
      <c r="AB642" s="5"/>
      <c r="AC642" s="317">
        <f>OBRA!BW644</f>
        <v>0</v>
      </c>
      <c r="AD642" s="352"/>
    </row>
    <row r="643" spans="1:30" ht="15" hidden="1" customHeight="1">
      <c r="A643" s="22" t="s">
        <v>2206</v>
      </c>
      <c r="B643" s="809">
        <f>GRAL!B910</f>
        <v>0</v>
      </c>
      <c r="C643" s="16">
        <f>OBRA!J645</f>
        <v>2022</v>
      </c>
      <c r="D643" s="17" t="str">
        <f>OBRA!M645</f>
        <v>RAMO 33</v>
      </c>
      <c r="E643" s="1170"/>
      <c r="F643" s="1108"/>
      <c r="G643" s="219"/>
      <c r="H643" s="1108"/>
      <c r="I643" s="54" t="str">
        <f>OBRA!W645</f>
        <v>ING. SERGIO CABRERA</v>
      </c>
      <c r="J643" s="55" t="str">
        <f>OBRA!X645</f>
        <v>C. DANIEL RODRIGUEZ VALENZUELA</v>
      </c>
      <c r="K643" s="19" t="str">
        <f>OBRA!N645</f>
        <v>GMJ 010 C-OP/2022</v>
      </c>
      <c r="L643" s="2" t="str">
        <f>OBRA!O645</f>
        <v>ADJUDICACIÓN DIRECTA</v>
      </c>
      <c r="M643" s="3" t="str">
        <f>OBRA!P645</f>
        <v>"PROYECTO DE CONSTRUCCIÓN DE TECHADO TIPO LONARIA EN AREA DE IMPARTICIÓN DE EDUCACIÓN FÍSICA EN LA ESCUELA CAM (CENTRO DE ATENCIÓN MULTIPLE GALLAUDET)" EN LA CABECERA MUNICIPAL DE JOCOTEPEC, JALISCO</v>
      </c>
      <c r="N643" s="541"/>
      <c r="O643" s="541"/>
      <c r="P643" s="6">
        <f>OBRA!S645</f>
        <v>44763</v>
      </c>
      <c r="Q643" s="4">
        <f>OBRA!R645</f>
        <v>1697255.04</v>
      </c>
      <c r="R643" s="1023"/>
      <c r="S643" s="5">
        <f>OBRA!T645</f>
        <v>44767</v>
      </c>
      <c r="T643" s="11">
        <f>OBRA!U645</f>
        <v>44814</v>
      </c>
      <c r="U643" s="692"/>
      <c r="V643" s="203"/>
      <c r="W643" s="508"/>
      <c r="X643" s="509"/>
      <c r="Y643" s="534">
        <f>OBRA!AR645</f>
        <v>848627.51</v>
      </c>
      <c r="Z643" s="309"/>
      <c r="AA643" s="309"/>
      <c r="AB643" s="5"/>
      <c r="AC643" s="317">
        <f>OBRA!BW645</f>
        <v>0</v>
      </c>
      <c r="AD643" s="352"/>
    </row>
    <row r="644" spans="1:30" ht="15" hidden="1" customHeight="1">
      <c r="A644" s="22" t="s">
        <v>2206</v>
      </c>
      <c r="B644" s="809">
        <f>GRAL!B911</f>
        <v>0</v>
      </c>
      <c r="C644" s="16">
        <f>OBRA!J646</f>
        <v>2022</v>
      </c>
      <c r="D644" s="17" t="str">
        <f>OBRA!M646</f>
        <v>CUENTA CORRIENTE</v>
      </c>
      <c r="E644" s="1170"/>
      <c r="F644" s="1108"/>
      <c r="G644" s="219"/>
      <c r="H644" s="1108"/>
      <c r="I644" s="54" t="str">
        <f>OBRA!W646</f>
        <v>ING. SERGIO CABRERA</v>
      </c>
      <c r="J644" s="55" t="str">
        <f>OBRA!X646</f>
        <v>ING. J. GUADALUPE IBARRA RAMIREZ</v>
      </c>
      <c r="K644" s="19" t="str">
        <f>OBRA!N646</f>
        <v>GMJ 011 C-OP/2022</v>
      </c>
      <c r="L644" s="2" t="str">
        <f>OBRA!O646</f>
        <v>ADJUDICACIÓN DIRECTA</v>
      </c>
      <c r="M644" s="3" t="str">
        <f>OBRA!P646</f>
        <v>"ELEVACIÓN DE NAVE EN RASTRO MUNICIPAL COMO COMPLEMENTO DE LA OBRA; SUMINISTRO E INSTALACIÓN DE EQUIPAMIENTO PARA RASTRO MUNICIPAL", EN LA CABECERA MUNICIPAL DE JOCOTEPEC, JALISCO</v>
      </c>
      <c r="N644" s="541"/>
      <c r="O644" s="541"/>
      <c r="P644" s="6">
        <f>OBRA!S646</f>
        <v>44767</v>
      </c>
      <c r="Q644" s="4">
        <f>OBRA!R646</f>
        <v>1343062.53</v>
      </c>
      <c r="R644" s="1023"/>
      <c r="S644" s="5">
        <f>OBRA!T646</f>
        <v>44770</v>
      </c>
      <c r="T644" s="11">
        <f>OBRA!U646</f>
        <v>44814</v>
      </c>
      <c r="U644" s="692"/>
      <c r="V644" s="203"/>
      <c r="W644" s="508"/>
      <c r="X644" s="509"/>
      <c r="Y644" s="534">
        <f>OBRA!AR646</f>
        <v>671531.25</v>
      </c>
      <c r="Z644" s="309"/>
      <c r="AA644" s="309"/>
      <c r="AB644" s="5"/>
      <c r="AC644" s="317">
        <f>OBRA!BW646</f>
        <v>0</v>
      </c>
      <c r="AD644" s="352"/>
    </row>
    <row r="645" spans="1:30" ht="15" hidden="1" customHeight="1">
      <c r="A645" s="22" t="s">
        <v>2206</v>
      </c>
      <c r="B645" s="809">
        <f>GRAL!B912</f>
        <v>0</v>
      </c>
      <c r="C645" s="16">
        <f>OBRA!J647</f>
        <v>2022</v>
      </c>
      <c r="D645" s="17" t="str">
        <f>OBRA!M647</f>
        <v>CUENTA CORRIENTE</v>
      </c>
      <c r="E645" s="1170"/>
      <c r="F645" s="1108"/>
      <c r="G645" s="219"/>
      <c r="H645" s="1108"/>
      <c r="I645" s="54" t="str">
        <f>OBRA!W647</f>
        <v>ESTRUCTURAS PLANEADAS DE OCCIDENTE, S.A. DE C.V.</v>
      </c>
      <c r="J645" s="55" t="str">
        <f>OBRA!X647</f>
        <v>ING. J. GUADALUPE IBARRA RAMIREZ</v>
      </c>
      <c r="K645" s="19" t="str">
        <f>OBRA!N647</f>
        <v>GMJ 012 C-OP/2022</v>
      </c>
      <c r="L645" s="2" t="str">
        <f>OBRA!O647</f>
        <v>ADJUDICACIÓN DIRECTA</v>
      </c>
      <c r="M645" s="3" t="str">
        <f>OBRA!P647</f>
        <v>"REPARACIÓN DE BANQUETA PERIMETRAL EN LA PLAZA PRINCIPAL" DE LA CABECERA MUNICPAL DE JOCOTEPEC, JALISCO.</v>
      </c>
      <c r="N645" s="541"/>
      <c r="O645" s="541"/>
      <c r="P645" s="6">
        <f>OBRA!S647</f>
        <v>44816</v>
      </c>
      <c r="Q645" s="4">
        <f>OBRA!R647</f>
        <v>85733.34</v>
      </c>
      <c r="R645" s="1023"/>
      <c r="S645" s="5">
        <f>OBRA!T647</f>
        <v>44817</v>
      </c>
      <c r="T645" s="11">
        <f>OBRA!U647</f>
        <v>44834</v>
      </c>
      <c r="U645" s="692"/>
      <c r="V645" s="203"/>
      <c r="W645" s="508"/>
      <c r="X645" s="509"/>
      <c r="Y645" s="534">
        <f>OBRA!AR647</f>
        <v>0</v>
      </c>
      <c r="Z645" s="309"/>
      <c r="AA645" s="309"/>
      <c r="AB645" s="5"/>
      <c r="AC645" s="317">
        <f>OBRA!BW647</f>
        <v>0</v>
      </c>
      <c r="AD645" s="352"/>
    </row>
    <row r="646" spans="1:30" ht="15" hidden="1" customHeight="1">
      <c r="A646" s="22" t="s">
        <v>2206</v>
      </c>
      <c r="B646" s="809">
        <f>GRAL!B913</f>
        <v>0</v>
      </c>
      <c r="C646" s="16">
        <f>OBRA!J648</f>
        <v>2022</v>
      </c>
      <c r="D646" s="17" t="str">
        <f>OBRA!M648</f>
        <v>RAMO 33</v>
      </c>
      <c r="E646" s="1170"/>
      <c r="F646" s="1108"/>
      <c r="G646" s="219"/>
      <c r="H646" s="1108"/>
      <c r="I646" s="54" t="str">
        <f>OBRA!W648</f>
        <v>PIERO MASCORRO OLMOS</v>
      </c>
      <c r="J646" s="55" t="str">
        <f>OBRA!X648</f>
        <v>C. DANIEL RODRIGUEZ VALENZUELA</v>
      </c>
      <c r="K646" s="19" t="str">
        <f>OBRA!N648</f>
        <v>FAIS-RAMO/33-OP-CSS-013/2022</v>
      </c>
      <c r="L646" s="2" t="str">
        <f>OBRA!O648</f>
        <v>CONCURSO SIMPLIFICADO SUMARIO</v>
      </c>
      <c r="M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1"/>
      <c r="O646" s="541"/>
      <c r="P646" s="6">
        <f>OBRA!S648</f>
        <v>44810</v>
      </c>
      <c r="Q646" s="4">
        <f>OBRA!R648</f>
        <v>4165845.27</v>
      </c>
      <c r="R646" s="1023"/>
      <c r="S646" s="5">
        <f>OBRA!T648</f>
        <v>44812</v>
      </c>
      <c r="T646" s="11">
        <f>OBRA!U648</f>
        <v>44834</v>
      </c>
      <c r="U646" s="692"/>
      <c r="V646" s="203"/>
      <c r="W646" s="508"/>
      <c r="X646" s="509"/>
      <c r="Y646" s="534">
        <f>OBRA!AR648</f>
        <v>2115489.1800000002</v>
      </c>
      <c r="Z646" s="309"/>
      <c r="AA646" s="309"/>
      <c r="AB646" s="5"/>
      <c r="AC646" s="317">
        <f>OBRA!BW648</f>
        <v>0</v>
      </c>
      <c r="AD646" s="352"/>
    </row>
    <row r="647" spans="1:30" ht="15" hidden="1" customHeight="1">
      <c r="A647" s="22" t="s">
        <v>2206</v>
      </c>
      <c r="B647" s="809">
        <f>GRAL!B914</f>
        <v>0</v>
      </c>
      <c r="C647" s="16">
        <f>OBRA!J649</f>
        <v>2022</v>
      </c>
      <c r="D647" s="17" t="str">
        <f>OBRA!M649</f>
        <v>RAMO 33</v>
      </c>
      <c r="E647" s="1170"/>
      <c r="F647" s="1108"/>
      <c r="G647" s="219"/>
      <c r="H647" s="1108"/>
      <c r="I647" s="54" t="str">
        <f>OBRA!W649</f>
        <v>RAMPER DRILLINGS S.A. DE C.V.</v>
      </c>
      <c r="J647" s="55" t="str">
        <f>OBRA!X649</f>
        <v>ING. J. GUADALUPE IBARRA RAMIREZ</v>
      </c>
      <c r="K647" s="19" t="str">
        <f>OBRA!N649</f>
        <v>FAIS-RAMO/33-OP-CSS-014/2022</v>
      </c>
      <c r="L647" s="2" t="str">
        <f>OBRA!O649</f>
        <v>CONCURSO SIMPLIFICADO SUMARIO</v>
      </c>
      <c r="M647" s="3" t="str">
        <f>OBRA!P649</f>
        <v>"PERFORACIÓN, EQUIPAMIENTO, ELECTRIFICACIÓN, TREN DE DESCARGA, CASETA DE CLORACIÓN, CERCADO PERIMETRAL Y PUESTA EN MARCHA DEL POZO DE AGUA EN CALLE JUAN PABLO II, EN LA LOCALIDAD DE SAN JUAN COSALÁ, MUNICIPIO DE JOCOTEPEC,  JALISCO.</v>
      </c>
      <c r="N647" s="541"/>
      <c r="O647" s="541"/>
      <c r="P647" s="6">
        <f>OBRA!S649</f>
        <v>44839</v>
      </c>
      <c r="Q647" s="4">
        <f>OBRA!R649</f>
        <v>4216204.78</v>
      </c>
      <c r="R647" s="1023"/>
      <c r="S647" s="5">
        <f>OBRA!T649</f>
        <v>44847</v>
      </c>
      <c r="T647" s="11">
        <f>OBRA!U649</f>
        <v>44895</v>
      </c>
      <c r="U647" s="692"/>
      <c r="V647" s="203"/>
      <c r="W647" s="508"/>
      <c r="X647" s="509"/>
      <c r="Y647" s="534">
        <f>OBRA!AR649</f>
        <v>2229168.31</v>
      </c>
      <c r="Z647" s="309"/>
      <c r="AA647" s="309"/>
      <c r="AB647" s="5"/>
      <c r="AC647" s="317">
        <f>OBRA!BW649</f>
        <v>0</v>
      </c>
      <c r="AD647" s="352"/>
    </row>
    <row r="648" spans="1:30" ht="15" hidden="1" customHeight="1">
      <c r="A648" s="22" t="s">
        <v>2206</v>
      </c>
      <c r="B648" s="809">
        <f>GRAL!B915</f>
        <v>0</v>
      </c>
      <c r="C648" s="16">
        <f>OBRA!J650</f>
        <v>2022</v>
      </c>
      <c r="D648" s="17" t="str">
        <f>OBRA!M650</f>
        <v>CUENTA CORRIENTE</v>
      </c>
      <c r="E648" s="1170"/>
      <c r="F648" s="1108"/>
      <c r="G648" s="219"/>
      <c r="H648" s="1108"/>
      <c r="I648" s="54" t="str">
        <f>OBRA!W650</f>
        <v>GRUPO ARANGE, S.A. DE C.V.</v>
      </c>
      <c r="J648" s="55" t="str">
        <f>OBRA!X650</f>
        <v>ING. J. GUADALUPE IBARRA RAMIREZ</v>
      </c>
      <c r="K648" s="19" t="str">
        <f>OBRA!N650</f>
        <v>PROGRAMA CUENTA CORRIENTE-OP-CSS-015/2022</v>
      </c>
      <c r="L648" s="2" t="str">
        <f>OBRA!O650</f>
        <v>CONCURSO SIMPLIFICADO SUMARIO</v>
      </c>
      <c r="M648" s="3" t="str">
        <f>OBRA!P650</f>
        <v>"PERFORACIÓN, EQUIPAMIENTO, ELECTRIFICACIÓN, TREN DE DESCARGA, CASETA DE CLORACIÓN, CERCADO PERIMETRAL Y PUESTA EN MARCHA DEL POZO DE AGUA EN LA LOCALIDAD DE CHANTEPEC, MUNICIPIO DE JOCOTEPEC, JALISCO.</v>
      </c>
      <c r="N648" s="541"/>
      <c r="O648" s="541"/>
      <c r="P648" s="6">
        <f>OBRA!S650</f>
        <v>44839</v>
      </c>
      <c r="Q648" s="4">
        <f>OBRA!R650</f>
        <v>3845696.93</v>
      </c>
      <c r="R648" s="1023"/>
      <c r="S648" s="5">
        <f>OBRA!T650</f>
        <v>44847</v>
      </c>
      <c r="T648" s="11">
        <f>OBRA!U650</f>
        <v>44895</v>
      </c>
      <c r="U648" s="692"/>
      <c r="V648" s="203"/>
      <c r="W648" s="508"/>
      <c r="X648" s="509"/>
      <c r="Y648" s="534">
        <f>OBRA!AR650</f>
        <v>1922848.46</v>
      </c>
      <c r="Z648" s="309"/>
      <c r="AA648" s="309"/>
      <c r="AB648" s="5"/>
      <c r="AC648" s="317">
        <f>OBRA!BW650</f>
        <v>0</v>
      </c>
      <c r="AD648" s="352"/>
    </row>
    <row r="649" spans="1:30" ht="15" hidden="1" customHeight="1">
      <c r="A649" s="22" t="s">
        <v>2206</v>
      </c>
      <c r="B649" s="809">
        <f>GRAL!B916</f>
        <v>0</v>
      </c>
      <c r="C649" s="16">
        <f>OBRA!J651</f>
        <v>2022</v>
      </c>
      <c r="D649" s="17" t="str">
        <f>OBRA!M651</f>
        <v>RAMO 33</v>
      </c>
      <c r="E649" s="1170"/>
      <c r="F649" s="1108"/>
      <c r="G649" s="219"/>
      <c r="H649" s="1108"/>
      <c r="I649" s="54" t="str">
        <f>OBRA!W651</f>
        <v xml:space="preserve">INFRAESTRUCTURA Y EDIFICACIONES OROZCO S.A. DE C.V. </v>
      </c>
      <c r="J649" s="55" t="str">
        <f>OBRA!X651</f>
        <v>C. DANIEL RODRIGUEZ VALENZUELA</v>
      </c>
      <c r="K649" s="19" t="str">
        <f>OBRA!N651</f>
        <v>GMJ 016 C-OP/2022</v>
      </c>
      <c r="L649" s="2" t="str">
        <f>OBRA!O651</f>
        <v>ADJUDICACIÓN DIRECTA</v>
      </c>
      <c r="M649" s="3" t="str">
        <f>OBRA!P651</f>
        <v>"REHABILITACIÓN DE REDES HIDROSANITARIAS DE CALLE RIVERA DEL LAGO DE CALLE GUAYABITOS A 130 ML A LA CALLE CHUECA", EN LA LOCALIDAD DE NEXTIPAC, DEL MUNICIPIO DE JOCOTEPEC, JALISCO.</v>
      </c>
      <c r="N649" s="541"/>
      <c r="O649" s="541"/>
      <c r="P649" s="6">
        <f>OBRA!S651</f>
        <v>44851</v>
      </c>
      <c r="Q649" s="4">
        <f>OBRA!R651</f>
        <v>645484.5</v>
      </c>
      <c r="R649" s="1023"/>
      <c r="S649" s="5">
        <f>OBRA!T651</f>
        <v>44865</v>
      </c>
      <c r="T649" s="11">
        <f>OBRA!U651</f>
        <v>44883</v>
      </c>
      <c r="U649" s="692"/>
      <c r="V649" s="203"/>
      <c r="W649" s="508"/>
      <c r="X649" s="509"/>
      <c r="Y649" s="534">
        <f>OBRA!AR651</f>
        <v>346035.52</v>
      </c>
      <c r="Z649" s="309"/>
      <c r="AA649" s="309"/>
      <c r="AB649" s="5"/>
      <c r="AC649" s="317">
        <f>OBRA!BW651</f>
        <v>0</v>
      </c>
      <c r="AD649" s="352"/>
    </row>
    <row r="650" spans="1:30" ht="15" hidden="1" customHeight="1">
      <c r="A650" s="22" t="s">
        <v>2206</v>
      </c>
      <c r="B650" s="809">
        <f>GRAL!B917</f>
        <v>0</v>
      </c>
      <c r="C650" s="16">
        <f>OBRA!J652</f>
        <v>2022</v>
      </c>
      <c r="D650" s="17" t="str">
        <f>OBRA!M652</f>
        <v>RAMO 33</v>
      </c>
      <c r="E650" s="1170"/>
      <c r="F650" s="1108"/>
      <c r="G650" s="219"/>
      <c r="H650" s="1108"/>
      <c r="I650" s="54" t="str">
        <f>OBRA!W652</f>
        <v>C. JOSÉ LUIS RANGEL GÁLVEZ</v>
      </c>
      <c r="J650" s="55" t="str">
        <f>OBRA!X652</f>
        <v>C. DANIEL RODRIGUEZ VALENZUELA</v>
      </c>
      <c r="K650" s="19" t="str">
        <f>OBRA!N652</f>
        <v>FAIS-RAMO/33-OP-CSS-017/2022</v>
      </c>
      <c r="L650" s="2" t="str">
        <f>OBRA!O652</f>
        <v>CONCURSO SIMPLIFICADO SUMARIO</v>
      </c>
      <c r="M650" s="3" t="str">
        <f>OBRA!P652</f>
        <v>REHABILITACIÓN DE REDES HIDROSANITARIAS Y SUPERFICIE DE RODAMIENTO DE LA CALLE INDEPENDENCIA NORTE ENTRE CALLE ITURBIDE Y CALLE ALDAMA", EN LA CABECERA MUNICIPAL DE JOCOTEPEC, JALISCO.</v>
      </c>
      <c r="N650" s="541"/>
      <c r="O650" s="541"/>
      <c r="P650" s="6">
        <f>OBRA!S652</f>
        <v>44859</v>
      </c>
      <c r="Q650" s="4">
        <f>OBRA!R652</f>
        <v>2479806.63</v>
      </c>
      <c r="R650" s="1023"/>
      <c r="S650" s="5">
        <f>OBRA!T652</f>
        <v>44862</v>
      </c>
      <c r="T650" s="11">
        <f>OBRA!U652</f>
        <v>44898</v>
      </c>
      <c r="U650" s="692"/>
      <c r="V650" s="203"/>
      <c r="W650" s="508"/>
      <c r="X650" s="509"/>
      <c r="Y650" s="534">
        <f>OBRA!AR652</f>
        <v>991922.65</v>
      </c>
      <c r="Z650" s="309"/>
      <c r="AA650" s="309"/>
      <c r="AB650" s="5"/>
      <c r="AC650" s="317">
        <f>OBRA!BW652</f>
        <v>0</v>
      </c>
      <c r="AD650" s="352"/>
    </row>
    <row r="651" spans="1:30" ht="15" hidden="1" customHeight="1">
      <c r="A651" s="22" t="s">
        <v>2206</v>
      </c>
      <c r="B651" s="809">
        <f>GRAL!B918</f>
        <v>0</v>
      </c>
      <c r="C651" s="16">
        <f>OBRA!J653</f>
        <v>2022</v>
      </c>
      <c r="D651" s="17" t="str">
        <f>OBRA!M653</f>
        <v>RAMO 33</v>
      </c>
      <c r="E651" s="1170"/>
      <c r="F651" s="1108"/>
      <c r="G651" s="219"/>
      <c r="H651" s="1108"/>
      <c r="I651" s="54" t="str">
        <f>OBRA!W653</f>
        <v>C. REFUGIO GUTIÉRREZ NIEVES</v>
      </c>
      <c r="J651" s="55" t="str">
        <f>OBRA!X653</f>
        <v>C. DANIEL RODRIGUEZ VALENZUELA</v>
      </c>
      <c r="K651" s="19" t="str">
        <f>OBRA!N653</f>
        <v>FAIS-RAMO/33-OP-CSS-018/2022</v>
      </c>
      <c r="L651" s="2" t="str">
        <f>OBRA!O653</f>
        <v>CONCURSO SIMPLIFICADO SUMARIO</v>
      </c>
      <c r="M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1"/>
      <c r="O651" s="541"/>
      <c r="P651" s="6">
        <f>OBRA!S653</f>
        <v>44859</v>
      </c>
      <c r="Q651" s="4">
        <f>OBRA!R653</f>
        <v>2218847.77</v>
      </c>
      <c r="R651" s="1023"/>
      <c r="S651" s="5">
        <f>OBRA!T653</f>
        <v>44862</v>
      </c>
      <c r="T651" s="11">
        <f>OBRA!U653</f>
        <v>44898</v>
      </c>
      <c r="U651" s="692"/>
      <c r="V651" s="203"/>
      <c r="W651" s="508"/>
      <c r="X651" s="509"/>
      <c r="Y651" s="534">
        <f>OBRA!AR653</f>
        <v>1060839.56</v>
      </c>
      <c r="Z651" s="309"/>
      <c r="AA651" s="309"/>
      <c r="AB651" s="5"/>
      <c r="AC651" s="317">
        <f>OBRA!BW653</f>
        <v>0</v>
      </c>
      <c r="AD651" s="352"/>
    </row>
    <row r="652" spans="1:30" ht="15" hidden="1" customHeight="1">
      <c r="A652" s="22" t="s">
        <v>2206</v>
      </c>
      <c r="B652" s="809">
        <f>GRAL!B919</f>
        <v>0</v>
      </c>
      <c r="C652" s="16">
        <f>OBRA!J654</f>
        <v>2022</v>
      </c>
      <c r="D652" s="17" t="str">
        <f>OBRA!M654</f>
        <v>RAMO 33</v>
      </c>
      <c r="E652" s="1170"/>
      <c r="F652" s="1108"/>
      <c r="G652" s="219"/>
      <c r="H652" s="1108"/>
      <c r="I652" s="54" t="str">
        <f>OBRA!W654</f>
        <v>ESTRUCTURAS PLANEADAS DE OCCIDENTE, S.A. DE C.V.</v>
      </c>
      <c r="J652" s="55" t="str">
        <f>OBRA!X654</f>
        <v>C. DANIEL RODRIGUEZ VALENZUELA</v>
      </c>
      <c r="K652" s="19" t="str">
        <f>OBRA!N654</f>
        <v>GMJ 019 C-OP/2022</v>
      </c>
      <c r="L652" s="2" t="str">
        <f>OBRA!O654</f>
        <v>ADJUDICACIÓN DIRECTA</v>
      </c>
      <c r="M652" s="3" t="str">
        <f>OBRA!P654</f>
        <v>“CONSTRUCCIÓN DE REDES HIDROSANITARÍAS EN CALLE PRIV. JUAN PABLO II”, EN LA LOCALIDAD DE SAN JUAN COSALÁ, DEL MUNICIPIO DE JOCOTEPEC, JALISCO</v>
      </c>
      <c r="N652" s="541"/>
      <c r="O652" s="541"/>
      <c r="P652" s="6">
        <f>OBRA!S654</f>
        <v>44872</v>
      </c>
      <c r="Q652" s="4">
        <f>OBRA!R654</f>
        <v>762057.5</v>
      </c>
      <c r="R652" s="1023"/>
      <c r="S652" s="5">
        <f>OBRA!T654</f>
        <v>44889</v>
      </c>
      <c r="T652" s="11">
        <f>OBRA!U654</f>
        <v>44900</v>
      </c>
      <c r="U652" s="692"/>
      <c r="V652" s="203"/>
      <c r="W652" s="508"/>
      <c r="X652" s="509"/>
      <c r="Y652" s="534">
        <f>OBRA!AR654</f>
        <v>381028.75</v>
      </c>
      <c r="Z652" s="309"/>
      <c r="AA652" s="309"/>
      <c r="AB652" s="5"/>
      <c r="AC652" s="317">
        <f>OBRA!BW654</f>
        <v>0</v>
      </c>
      <c r="AD652" s="352"/>
    </row>
    <row r="653" spans="1:30" ht="15" hidden="1" customHeight="1">
      <c r="A653" s="22" t="s">
        <v>2206</v>
      </c>
      <c r="B653" s="809">
        <f>GRAL!B920</f>
        <v>0</v>
      </c>
      <c r="C653" s="16">
        <f>OBRA!J655</f>
        <v>2022</v>
      </c>
      <c r="D653" s="17">
        <f>OBRA!M655</f>
        <v>0</v>
      </c>
      <c r="E653" s="1170"/>
      <c r="F653" s="1108"/>
      <c r="G653" s="219"/>
      <c r="H653" s="1108"/>
      <c r="I653" s="54">
        <f>OBRA!W655</f>
        <v>0</v>
      </c>
      <c r="J653" s="55">
        <f>OBRA!X655</f>
        <v>0</v>
      </c>
      <c r="K653" s="19" t="str">
        <f>OBRA!N655</f>
        <v>GMJ 020 C-OP/2022</v>
      </c>
      <c r="L653" s="2" t="str">
        <f>OBRA!O655</f>
        <v>CANCELADA</v>
      </c>
      <c r="M653" s="3">
        <f>OBRA!P655</f>
        <v>0</v>
      </c>
      <c r="N653" s="541"/>
      <c r="O653" s="541"/>
      <c r="P653" s="6">
        <f>OBRA!S655</f>
        <v>0</v>
      </c>
      <c r="Q653" s="4">
        <f>OBRA!R655</f>
        <v>0</v>
      </c>
      <c r="R653" s="1023"/>
      <c r="S653" s="5">
        <f>OBRA!T655</f>
        <v>0</v>
      </c>
      <c r="T653" s="11">
        <f>OBRA!U655</f>
        <v>0</v>
      </c>
      <c r="U653" s="692"/>
      <c r="V653" s="203"/>
      <c r="W653" s="508"/>
      <c r="X653" s="509"/>
      <c r="Y653" s="534">
        <f>OBRA!AR655</f>
        <v>0</v>
      </c>
      <c r="Z653" s="309"/>
      <c r="AA653" s="309"/>
      <c r="AB653" s="5"/>
      <c r="AC653" s="317">
        <f>OBRA!BW655</f>
        <v>0</v>
      </c>
      <c r="AD653" s="352"/>
    </row>
    <row r="654" spans="1:30" ht="15" hidden="1" customHeight="1">
      <c r="A654" s="22" t="s">
        <v>2206</v>
      </c>
      <c r="B654" s="809">
        <f>GRAL!B921</f>
        <v>0</v>
      </c>
      <c r="C654" s="16">
        <f>OBRA!J656</f>
        <v>2022</v>
      </c>
      <c r="D654" s="17" t="str">
        <f>OBRA!M656</f>
        <v>CEA-FISE</v>
      </c>
      <c r="E654" s="1170"/>
      <c r="F654" s="1108"/>
      <c r="G654" s="219"/>
      <c r="H654" s="1108"/>
      <c r="I654" s="54" t="str">
        <f>OBRA!W656</f>
        <v>-</v>
      </c>
      <c r="J654" s="55" t="str">
        <f>OBRA!X656</f>
        <v>-</v>
      </c>
      <c r="K654" s="19" t="str">
        <f>OBRA!N656</f>
        <v>CEA-FISE-003/2022</v>
      </c>
      <c r="L654" s="2" t="str">
        <f>OBRA!O656</f>
        <v>CONVENIO</v>
      </c>
      <c r="M654" s="3" t="str">
        <f>OBRA!P656</f>
        <v xml:space="preserve">CONSTRUCCIÓN DE LÍNEA DE CONDUCCIÓN DE AGUA POTABLE DEL POZO ALLENDE AL TANQUE EXISTENTE Y LÍNEA DE DE CONEXIÓN A RED DE DISTRIBUCCIÓN DE AGUA POTABLE, EN LA CABECERA MUNICIPAL DE JOCOTEPEC, JALISCO". </v>
      </c>
      <c r="N654" s="541"/>
      <c r="O654" s="541"/>
      <c r="P654" s="6">
        <f>OBRA!S656</f>
        <v>44848</v>
      </c>
      <c r="Q654" s="4">
        <f>OBRA!R656</f>
        <v>4000000</v>
      </c>
      <c r="R654" s="1023"/>
      <c r="S654" s="5">
        <f>OBRA!T656</f>
        <v>45213</v>
      </c>
      <c r="T654" s="11">
        <f>OBRA!U656</f>
        <v>45565</v>
      </c>
      <c r="U654" s="692"/>
      <c r="V654" s="203"/>
      <c r="W654" s="508"/>
      <c r="X654" s="509"/>
      <c r="Y654" s="534">
        <f>OBRA!AR656</f>
        <v>0</v>
      </c>
      <c r="Z654" s="309"/>
      <c r="AA654" s="309"/>
      <c r="AB654" s="5"/>
      <c r="AC654" s="317">
        <f>OBRA!BW656</f>
        <v>0</v>
      </c>
      <c r="AD654" s="352"/>
    </row>
    <row r="655" spans="1:30" ht="15" hidden="1" customHeight="1">
      <c r="A655" s="22" t="s">
        <v>2206</v>
      </c>
      <c r="B655" s="809">
        <f>GRAL!B922</f>
        <v>0</v>
      </c>
      <c r="C655" s="16">
        <f>OBRA!J657</f>
        <v>2022</v>
      </c>
      <c r="D655" s="17" t="str">
        <f>OBRA!M657</f>
        <v>CEA-FISE</v>
      </c>
      <c r="E655" s="1170"/>
      <c r="F655" s="1108"/>
      <c r="G655" s="219"/>
      <c r="H655" s="1108"/>
      <c r="I655" s="54" t="str">
        <f>OBRA!W657</f>
        <v>-</v>
      </c>
      <c r="J655" s="55" t="str">
        <f>OBRA!X657</f>
        <v>-</v>
      </c>
      <c r="K655" s="19" t="str">
        <f>OBRA!N657</f>
        <v>CEA-FISE-004/2022</v>
      </c>
      <c r="L655" s="2" t="str">
        <f>OBRA!O657</f>
        <v>CONVENIO</v>
      </c>
      <c r="M655" s="3" t="str">
        <f>OBRA!P657</f>
        <v>CONSTRUCCIÓN DE COLECTOR PRINCIPAL Y CARCAMO DE BOMBEO, ENTRE CALLE VICENTE GUERRERO Y PLANTA DE TRATAMIENTO DE LA LOCALIDAD DE SAN CRISTÓBAL ZAPOTITLÁN, MUNICIPIO DE JOCOTEPEC, JALISCO.</v>
      </c>
      <c r="N655" s="541"/>
      <c r="O655" s="541"/>
      <c r="P655" s="6">
        <f>OBRA!S657</f>
        <v>44848</v>
      </c>
      <c r="Q655" s="4">
        <f>OBRA!R657</f>
        <v>4000000</v>
      </c>
      <c r="R655" s="1023"/>
      <c r="S655" s="5">
        <f>OBRA!T657</f>
        <v>44848</v>
      </c>
      <c r="T655" s="11">
        <f>OBRA!U657</f>
        <v>45565</v>
      </c>
      <c r="U655" s="692"/>
      <c r="V655" s="203"/>
      <c r="W655" s="508"/>
      <c r="X655" s="509"/>
      <c r="Y655" s="534">
        <f>OBRA!AR657</f>
        <v>0</v>
      </c>
      <c r="Z655" s="309"/>
      <c r="AA655" s="309"/>
      <c r="AB655" s="5"/>
      <c r="AC655" s="317">
        <f>OBRA!BW657</f>
        <v>0</v>
      </c>
      <c r="AD655" s="352"/>
    </row>
    <row r="656" spans="1:30" ht="15" hidden="1" customHeight="1">
      <c r="A656" s="22" t="s">
        <v>2206</v>
      </c>
      <c r="B656" s="809">
        <f>GRAL!B923</f>
        <v>0</v>
      </c>
      <c r="C656" s="16">
        <f>OBRA!J658</f>
        <v>2023</v>
      </c>
      <c r="D656" s="17" t="str">
        <f>OBRA!M658</f>
        <v>FOCOCI</v>
      </c>
      <c r="E656" s="1170"/>
      <c r="F656" s="1108"/>
      <c r="G656" s="219"/>
      <c r="H656" s="1108"/>
      <c r="I656" s="54">
        <f>OBRA!W658</f>
        <v>0</v>
      </c>
      <c r="J656" s="55">
        <f>OBRA!X658</f>
        <v>0</v>
      </c>
      <c r="K656" s="19" t="str">
        <f>OBRA!N658</f>
        <v>CONV/FOCOCI/014/2023</v>
      </c>
      <c r="L656" s="2" t="str">
        <f>OBRA!O658</f>
        <v>CONVENIO</v>
      </c>
      <c r="M656" s="3" t="str">
        <f>OBRA!P658</f>
        <v>PAVIMENTACIÓN CON EMPEDRADO ZAMPEADO, EN CALLE LA PAZ EN LA DELEGACIÓN DE SAN JUAN COSALÁ, MUNICIPIO DE JOCOTPEC, JALISCO</v>
      </c>
      <c r="N656" s="541"/>
      <c r="O656" s="541"/>
      <c r="P656" s="6">
        <f>OBRA!S658</f>
        <v>45086</v>
      </c>
      <c r="Q656" s="4">
        <f>OBRA!R658</f>
        <v>5000000</v>
      </c>
      <c r="R656" s="1023"/>
      <c r="S656" s="5">
        <f>OBRA!T658</f>
        <v>45086</v>
      </c>
      <c r="T656" s="11">
        <f>OBRA!U658</f>
        <v>45291</v>
      </c>
      <c r="U656" s="692"/>
      <c r="V656" s="203"/>
      <c r="W656" s="508"/>
      <c r="X656" s="509"/>
      <c r="Y656" s="534">
        <f>OBRA!AR658</f>
        <v>0</v>
      </c>
      <c r="Z656" s="309"/>
      <c r="AA656" s="309"/>
      <c r="AB656" s="5"/>
      <c r="AC656" s="317">
        <f>OBRA!BW658</f>
        <v>0</v>
      </c>
      <c r="AD656" s="352"/>
    </row>
    <row r="657" spans="1:30" ht="15" hidden="1" customHeight="1">
      <c r="A657" s="22" t="s">
        <v>2206</v>
      </c>
      <c r="B657" s="809">
        <f>GRAL!B924</f>
        <v>0</v>
      </c>
      <c r="C657" s="16">
        <f>OBRA!J659</f>
        <v>2023</v>
      </c>
      <c r="D657" s="17" t="str">
        <f>OBRA!M659</f>
        <v>CEA-FISE</v>
      </c>
      <c r="E657" s="1170"/>
      <c r="F657" s="1108"/>
      <c r="G657" s="219"/>
      <c r="H657" s="1108"/>
      <c r="I657" s="54">
        <f>OBRA!W659</f>
        <v>0</v>
      </c>
      <c r="J657" s="55">
        <f>OBRA!X659</f>
        <v>0</v>
      </c>
      <c r="K657" s="19" t="str">
        <f>OBRA!N659</f>
        <v>CEA-IHAP-FISE-021/2023</v>
      </c>
      <c r="L657" s="2" t="str">
        <f>OBRA!O659</f>
        <v>CONVENIO</v>
      </c>
      <c r="M657" s="3" t="str">
        <f>OBRA!P659</f>
        <v>PERFORACIÓN DE POZO PROFUNDO PARA LA EXTRACCIÓN DE AGUA POTABLE, UBICADO EN LA LOCALIDAD DE SAN JUAN COSALÁ MUNICIPIO DE JOCOTEPEC, JALISCO.</v>
      </c>
      <c r="N657" s="541"/>
      <c r="O657" s="541"/>
      <c r="P657" s="6">
        <f>OBRA!S659</f>
        <v>45153</v>
      </c>
      <c r="Q657" s="4">
        <f>OBRA!R659</f>
        <v>4000000</v>
      </c>
      <c r="R657" s="1023"/>
      <c r="S657" s="5">
        <f>OBRA!T659</f>
        <v>45153</v>
      </c>
      <c r="T657" s="11">
        <f>OBRA!U659</f>
        <v>45565</v>
      </c>
      <c r="U657" s="692"/>
      <c r="V657" s="203"/>
      <c r="W657" s="508"/>
      <c r="X657" s="509"/>
      <c r="Y657" s="534">
        <f>OBRA!AR659</f>
        <v>0</v>
      </c>
      <c r="Z657" s="309"/>
      <c r="AA657" s="309"/>
      <c r="AB657" s="5"/>
      <c r="AC657" s="317">
        <f>OBRA!BW659</f>
        <v>0</v>
      </c>
      <c r="AD657" s="352"/>
    </row>
    <row r="658" spans="1:30" ht="15" hidden="1" customHeight="1">
      <c r="A658" s="22" t="s">
        <v>2206</v>
      </c>
      <c r="B658" s="809">
        <f>GRAL!B925</f>
        <v>0</v>
      </c>
      <c r="C658" s="16">
        <f>OBRA!J660</f>
        <v>2023</v>
      </c>
      <c r="D658" s="17" t="str">
        <f>OBRA!M660</f>
        <v>CEA-FISE</v>
      </c>
      <c r="E658" s="1170"/>
      <c r="F658" s="1108"/>
      <c r="G658" s="219"/>
      <c r="H658" s="1108"/>
      <c r="I658" s="54">
        <f>OBRA!W660</f>
        <v>0</v>
      </c>
      <c r="J658" s="55">
        <f>OBRA!X660</f>
        <v>0</v>
      </c>
      <c r="K658" s="19" t="str">
        <f>OBRA!N660</f>
        <v>CEA-IHAP-FISE-022/2023</v>
      </c>
      <c r="L658" s="2" t="str">
        <f>OBRA!O660</f>
        <v>CONVENIO</v>
      </c>
      <c r="M658" s="3" t="str">
        <f>OBRA!P660</f>
        <v>PERFORACIÓN DE POZO PROFUNDO PARA LA EXTRACCIÓN DE AGUA POTABLE, UBICADO EN LA CABECERA MUNICIPAL DE JOCOTEPEC, JALISCO.</v>
      </c>
      <c r="N658" s="541"/>
      <c r="O658" s="541"/>
      <c r="P658" s="6">
        <f>OBRA!S660</f>
        <v>45153</v>
      </c>
      <c r="Q658" s="4">
        <f>OBRA!R660</f>
        <v>4000000</v>
      </c>
      <c r="R658" s="1023"/>
      <c r="S658" s="5">
        <f>OBRA!T660</f>
        <v>45153</v>
      </c>
      <c r="T658" s="11">
        <f>OBRA!U660</f>
        <v>45565</v>
      </c>
      <c r="U658" s="692"/>
      <c r="V658" s="203"/>
      <c r="W658" s="508"/>
      <c r="X658" s="509"/>
      <c r="Y658" s="534">
        <f>OBRA!AR660</f>
        <v>0</v>
      </c>
      <c r="Z658" s="309"/>
      <c r="AA658" s="309"/>
      <c r="AB658" s="5"/>
      <c r="AC658" s="317">
        <f>OBRA!BW660</f>
        <v>0</v>
      </c>
      <c r="AD658" s="352"/>
    </row>
    <row r="659" spans="1:30" ht="101.25" customHeight="1">
      <c r="A659" s="22" t="s">
        <v>2206</v>
      </c>
      <c r="B659" s="809">
        <f>GRAL!B926</f>
        <v>0</v>
      </c>
      <c r="C659" s="16">
        <f>OBRA!J661</f>
        <v>2023</v>
      </c>
      <c r="D659" s="17" t="str">
        <f>OBRA!M661</f>
        <v>CUENTA CORRIENTE</v>
      </c>
      <c r="E659" s="478" t="s">
        <v>1428</v>
      </c>
      <c r="F659" s="496" t="s">
        <v>6049</v>
      </c>
      <c r="G659" s="495" t="s">
        <v>6049</v>
      </c>
      <c r="H659" s="146"/>
      <c r="I659" s="54" t="str">
        <f>OBRA!W661</f>
        <v>ING. J. TRINIDAD NUÑEZ BRITO</v>
      </c>
      <c r="J659" s="55" t="str">
        <f>OBRA!X661</f>
        <v>ARQ. FRANCISCO SALAZAR</v>
      </c>
      <c r="K659" s="33" t="str">
        <f>OBRA!N661</f>
        <v>C.P.S.P. DOP 001/2023</v>
      </c>
      <c r="L659" s="2" t="str">
        <f>OBRA!O661</f>
        <v>SERVICIOS</v>
      </c>
      <c r="M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N659" s="504" t="s">
        <v>4882</v>
      </c>
      <c r="O659" s="1894" t="s">
        <v>6825</v>
      </c>
      <c r="P659" s="67">
        <f>OBRA!S661</f>
        <v>44928</v>
      </c>
      <c r="Q659" s="79">
        <f>OBRA!R661</f>
        <v>17400</v>
      </c>
      <c r="R659" s="79" t="s">
        <v>68</v>
      </c>
      <c r="S659" s="5">
        <f>OBRA!T661</f>
        <v>44929</v>
      </c>
      <c r="T659" s="11">
        <f>OBRA!U661</f>
        <v>44931</v>
      </c>
      <c r="U659" s="1352" t="s">
        <v>5620</v>
      </c>
      <c r="V659" s="62" t="s">
        <v>1428</v>
      </c>
      <c r="W659" s="499" t="s">
        <v>6049</v>
      </c>
      <c r="X659" s="597" t="s">
        <v>6049</v>
      </c>
      <c r="Y659" s="986" t="s">
        <v>1177</v>
      </c>
      <c r="Z659" s="309"/>
      <c r="AA659" s="309"/>
      <c r="AB659" s="5"/>
      <c r="AC659" s="317">
        <f>OBRA!BW661</f>
        <v>0</v>
      </c>
      <c r="AD659" s="352"/>
    </row>
    <row r="660" spans="1:30" ht="98.25" customHeight="1">
      <c r="A660" s="22" t="s">
        <v>2206</v>
      </c>
      <c r="B660" s="809">
        <f>GRAL!B927</f>
        <v>0</v>
      </c>
      <c r="C660" s="16">
        <f>OBRA!J662</f>
        <v>2023</v>
      </c>
      <c r="D660" s="17" t="str">
        <f>OBRA!M662</f>
        <v>CUENTA CORRIENTE</v>
      </c>
      <c r="E660" s="478" t="s">
        <v>1428</v>
      </c>
      <c r="F660" s="146"/>
      <c r="G660" s="2"/>
      <c r="H660" s="146"/>
      <c r="I660" s="54" t="str">
        <f>OBRA!W662</f>
        <v>ING. J. TRINIDAD NUÑEZ BRITO</v>
      </c>
      <c r="J660" s="55" t="str">
        <f>OBRA!X662</f>
        <v>ARQ. FRANCISCO SALAZAR</v>
      </c>
      <c r="K660" s="33" t="str">
        <f>OBRA!N662</f>
        <v>C.P.S.P. DOP 002/2023</v>
      </c>
      <c r="L660" s="2" t="str">
        <f>OBRA!O662</f>
        <v>SERVICIOS</v>
      </c>
      <c r="M660" s="3" t="str">
        <f>OBRA!P662</f>
        <v>CONTRATACIÓN DEL SERVICIO PARA LA REALIZACIÓN DE: ESTUDIO GEOHIDROLÓGICO-GEOFÍSICO Y PROSPECCIÓN GEOFÍSICA CON FINES DE LOCALIZAR AGUA SUBTERRÁNEA EN POZO LA ERMITA EN LA LOCALIDAD DE SAN PEDRO TESISTÁN, DEL MUNICIPIO DE JOCOTEPEC, JALISCO.</v>
      </c>
      <c r="N660" s="504" t="s">
        <v>4882</v>
      </c>
      <c r="O660" s="1894"/>
      <c r="P660" s="67">
        <f>OBRA!S662</f>
        <v>44928</v>
      </c>
      <c r="Q660" s="79">
        <f>OBRA!R662</f>
        <v>17400</v>
      </c>
      <c r="R660" s="79" t="s">
        <v>68</v>
      </c>
      <c r="S660" s="5">
        <f>OBRA!T662</f>
        <v>44931</v>
      </c>
      <c r="T660" s="11">
        <f>OBRA!U662</f>
        <v>44932</v>
      </c>
      <c r="U660" s="1352" t="s">
        <v>5620</v>
      </c>
      <c r="V660" s="62" t="s">
        <v>1428</v>
      </c>
      <c r="W660" s="201"/>
      <c r="X660" s="205"/>
      <c r="Y660" s="986" t="s">
        <v>1177</v>
      </c>
      <c r="Z660" s="309"/>
      <c r="AA660" s="309"/>
      <c r="AB660" s="5"/>
      <c r="AC660" s="317">
        <f>OBRA!BW662</f>
        <v>0</v>
      </c>
      <c r="AD660" s="352"/>
    </row>
    <row r="661" spans="1:30" ht="101.25" customHeight="1">
      <c r="A661" s="22" t="s">
        <v>2206</v>
      </c>
      <c r="B661" s="809">
        <f>GRAL!B928</f>
        <v>0</v>
      </c>
      <c r="C661" s="16">
        <f>OBRA!J663</f>
        <v>2023</v>
      </c>
      <c r="D661" s="17" t="str">
        <f>OBRA!M663</f>
        <v>CUENTA CORRIENTE</v>
      </c>
      <c r="E661" s="478" t="s">
        <v>1428</v>
      </c>
      <c r="F661" s="146"/>
      <c r="G661" s="2"/>
      <c r="H661" s="146"/>
      <c r="I661" s="54" t="str">
        <f>OBRA!W663</f>
        <v>ING. J. TRINIDAD NUÑEZ BRITO</v>
      </c>
      <c r="J661" s="55" t="str">
        <f>OBRA!X663</f>
        <v>ARQ. FRANCISCO SALAZAR</v>
      </c>
      <c r="K661" s="33" t="str">
        <f>OBRA!N663</f>
        <v>C.P.S.P. DOP 003/2023</v>
      </c>
      <c r="L661" s="2" t="str">
        <f>OBRA!O663</f>
        <v>SERVICIOS</v>
      </c>
      <c r="M661" s="3" t="str">
        <f>OBRA!P663</f>
        <v>CONTRATACIÓN DEL SERVICIO PARA LA REALIZACIÓN DE: ESTUDIO GEOHIDROLÓGICO-GEOFÍSICO Y PROSPECCIÓN GEOFÍSICA CON FINES DE LOCALIZAR AGUA SUBTERRÁNEA EN POZO LA AZOTERA EN LA LOCALIDAD DE SAN PEDRO TESISTÁN, DEL MUNICIPIO DE JOCOTEPEC, JALISCO.</v>
      </c>
      <c r="N661" s="504" t="s">
        <v>4882</v>
      </c>
      <c r="O661" s="1894"/>
      <c r="P661" s="67">
        <f>OBRA!S663</f>
        <v>44928</v>
      </c>
      <c r="Q661" s="79">
        <f>OBRA!R663</f>
        <v>17400</v>
      </c>
      <c r="R661" s="79" t="s">
        <v>68</v>
      </c>
      <c r="S661" s="5">
        <f>OBRA!T663</f>
        <v>44928</v>
      </c>
      <c r="T661" s="11">
        <f>OBRA!U663</f>
        <v>44957</v>
      </c>
      <c r="U661" s="1352" t="s">
        <v>5620</v>
      </c>
      <c r="V661" s="62" t="s">
        <v>1428</v>
      </c>
      <c r="W661" s="201"/>
      <c r="X661" s="205"/>
      <c r="Y661" s="986" t="s">
        <v>1177</v>
      </c>
      <c r="Z661" s="309"/>
      <c r="AA661" s="309"/>
      <c r="AB661" s="5"/>
      <c r="AC661" s="317">
        <f>OBRA!BW663</f>
        <v>0</v>
      </c>
      <c r="AD661" s="352"/>
    </row>
    <row r="662" spans="1:30" ht="87" customHeight="1">
      <c r="A662" s="22" t="s">
        <v>2206</v>
      </c>
      <c r="B662" s="809">
        <f>GRAL!B929</f>
        <v>0</v>
      </c>
      <c r="C662" s="16">
        <f>OBRA!J664</f>
        <v>2023</v>
      </c>
      <c r="D662" s="17" t="str">
        <f>OBRA!M664</f>
        <v>CUENTA CORRIENTE</v>
      </c>
      <c r="E662" s="478" t="s">
        <v>1428</v>
      </c>
      <c r="F662" s="496" t="s">
        <v>6139</v>
      </c>
      <c r="G662" s="495" t="s">
        <v>6139</v>
      </c>
      <c r="H662" s="496"/>
      <c r="I662" s="54" t="str">
        <f>OBRA!W664</f>
        <v>ING. SERGIO CABRERA</v>
      </c>
      <c r="J662" s="55" t="str">
        <f>OBRA!X664</f>
        <v>ARQ. FRANCISCO SALAZAR</v>
      </c>
      <c r="K662" s="33" t="str">
        <f>OBRA!N664</f>
        <v>C.P.S.P. DOP 004/2023</v>
      </c>
      <c r="L662" s="2" t="str">
        <f>OBRA!O664</f>
        <v>SERVICIOS</v>
      </c>
      <c r="M662" s="3" t="str">
        <f>OBRA!P664</f>
        <v>CONTRATACIÓN PARA LA REALIZACIÓN DEL SIGUIENTE LEVANTAMIENTO TOPOGRÁFICO: PARA EL PROYECTO; REHABILITACIÓN DE UNIDAD DEPORTIVA DONATO GUERRA SUR, EN LA CABECERA MUNICIPAL DE JOCOTEPEC, JALISCO.</v>
      </c>
      <c r="N662" s="504" t="s">
        <v>4882</v>
      </c>
      <c r="O662" s="1894" t="s">
        <v>6826</v>
      </c>
      <c r="P662" s="67">
        <f>OBRA!S664</f>
        <v>44953</v>
      </c>
      <c r="Q662" s="79">
        <f>OBRA!R664</f>
        <v>25520</v>
      </c>
      <c r="R662" s="79" t="s">
        <v>68</v>
      </c>
      <c r="S662" s="5">
        <f>OBRA!T664</f>
        <v>44958</v>
      </c>
      <c r="T662" s="11">
        <f>OBRA!U664</f>
        <v>44960</v>
      </c>
      <c r="U662" s="1352" t="s">
        <v>5620</v>
      </c>
      <c r="V662" s="62" t="s">
        <v>1428</v>
      </c>
      <c r="W662" s="499" t="s">
        <v>6139</v>
      </c>
      <c r="X662" s="597" t="s">
        <v>6139</v>
      </c>
      <c r="Y662" s="986" t="s">
        <v>1177</v>
      </c>
      <c r="Z662" s="309"/>
      <c r="AA662" s="309"/>
      <c r="AB662" s="5"/>
      <c r="AC662" s="317">
        <f>OBRA!BW664</f>
        <v>0</v>
      </c>
      <c r="AD662" s="352"/>
    </row>
    <row r="663" spans="1:30" ht="93" customHeight="1">
      <c r="A663" s="22" t="s">
        <v>2206</v>
      </c>
      <c r="B663" s="809">
        <f>GRAL!B930</f>
        <v>0</v>
      </c>
      <c r="C663" s="16">
        <f>OBRA!J665</f>
        <v>2023</v>
      </c>
      <c r="D663" s="17" t="str">
        <f>OBRA!M665</f>
        <v>CUENTA CORRIENTE</v>
      </c>
      <c r="E663" s="478" t="s">
        <v>1428</v>
      </c>
      <c r="F663" s="146"/>
      <c r="G663" s="2"/>
      <c r="H663" s="146"/>
      <c r="I663" s="54" t="str">
        <f>OBRA!W665</f>
        <v>ING. SERGIO CABRERA</v>
      </c>
      <c r="J663" s="55" t="str">
        <f>OBRA!X665</f>
        <v>ARQ. FRANCISCO SALAZAR</v>
      </c>
      <c r="K663" s="33" t="str">
        <f>OBRA!N665</f>
        <v>C.P.S.P. DOP 005/2023</v>
      </c>
      <c r="L663" s="2" t="str">
        <f>OBRA!O665</f>
        <v>SERVICIOS</v>
      </c>
      <c r="M663" s="3" t="str">
        <f>OBRA!P665</f>
        <v>CONTRATACIÓN PARA LA REALIZACIÓN DEL SIGUIENTE LEVANTAMIENTO TOPOGRÁFICO: PARA EL PROYECTO; REHABILITACIÓN DE UNIDAD DEPORTIVA ZARAGOZA NORTE, EN LA CABECERA MUNICIPAL DE JOCOTEPEC, JALISCO.</v>
      </c>
      <c r="N663" s="504" t="s">
        <v>4882</v>
      </c>
      <c r="O663" s="1894"/>
      <c r="P663" s="67">
        <f>OBRA!S665</f>
        <v>44953</v>
      </c>
      <c r="Q663" s="79">
        <f>OBRA!R665</f>
        <v>17400</v>
      </c>
      <c r="R663" s="79" t="s">
        <v>68</v>
      </c>
      <c r="S663" s="5">
        <f>OBRA!T665</f>
        <v>44960</v>
      </c>
      <c r="T663" s="11">
        <f>OBRA!U665</f>
        <v>44962</v>
      </c>
      <c r="U663" s="1352" t="s">
        <v>5620</v>
      </c>
      <c r="V663" s="62" t="s">
        <v>1428</v>
      </c>
      <c r="W663" s="201"/>
      <c r="X663" s="205"/>
      <c r="Y663" s="986" t="s">
        <v>1177</v>
      </c>
      <c r="Z663" s="309"/>
      <c r="AA663" s="309"/>
      <c r="AB663" s="5"/>
      <c r="AC663" s="317">
        <f>OBRA!BW665</f>
        <v>0</v>
      </c>
      <c r="AD663" s="352"/>
    </row>
    <row r="664" spans="1:30" ht="93.75" customHeight="1">
      <c r="A664" s="22" t="s">
        <v>2206</v>
      </c>
      <c r="B664" s="809">
        <f>GRAL!B931</f>
        <v>0</v>
      </c>
      <c r="C664" s="16">
        <f>OBRA!J666</f>
        <v>2023</v>
      </c>
      <c r="D664" s="17" t="str">
        <f>OBRA!M666</f>
        <v>CUENTA CORRIENTE</v>
      </c>
      <c r="E664" s="478" t="s">
        <v>1428</v>
      </c>
      <c r="F664" s="146"/>
      <c r="G664" s="2"/>
      <c r="H664" s="146"/>
      <c r="I664" s="54" t="str">
        <f>OBRA!W666</f>
        <v>PEDRO MACHUCA SAAVEDRA</v>
      </c>
      <c r="J664" s="55" t="str">
        <f>OBRA!X666</f>
        <v>ARQ. FRANCISCO SALAZAR</v>
      </c>
      <c r="K664" s="33" t="str">
        <f>OBRA!N666</f>
        <v>C.P.S.P. DOP 006/2023</v>
      </c>
      <c r="L664" s="2" t="str">
        <f>OBRA!O666</f>
        <v>SERVICIOS</v>
      </c>
      <c r="M664" s="3" t="str">
        <f>OBRA!P666</f>
        <v>CONTRACIÓN DEL SERVICIO PARA: LOCALIZACIÓN DE AGUA EN PREDIO PARA SU POSIBLE PERFORACIÓN DE POZO PROFUNDO POR MEDIO DE LA TÉCNICA DE RADIESTESIA UBICADO EN CALLE FLAMINGOS, EN LA LOCALIDAD DE NEXTIPAC, DEL MUNICIPIO DE JOCOTEPEC, JALISCO.</v>
      </c>
      <c r="N664" s="504" t="s">
        <v>4882</v>
      </c>
      <c r="O664" s="1894"/>
      <c r="P664" s="67">
        <f>OBRA!S666</f>
        <v>44929</v>
      </c>
      <c r="Q664" s="79">
        <f>OBRA!R666</f>
        <v>3500</v>
      </c>
      <c r="R664" s="79" t="s">
        <v>68</v>
      </c>
      <c r="S664" s="5">
        <f>OBRA!T666</f>
        <v>44931</v>
      </c>
      <c r="T664" s="11">
        <f>OBRA!U666</f>
        <v>44931</v>
      </c>
      <c r="U664" s="1352" t="s">
        <v>5620</v>
      </c>
      <c r="V664" s="62" t="s">
        <v>1428</v>
      </c>
      <c r="W664" s="201"/>
      <c r="X664" s="205"/>
      <c r="Y664" s="986" t="s">
        <v>1177</v>
      </c>
      <c r="Z664" s="309"/>
      <c r="AA664" s="309"/>
      <c r="AB664" s="5"/>
      <c r="AC664" s="317">
        <f>OBRA!BW666</f>
        <v>0</v>
      </c>
      <c r="AD664" s="352"/>
    </row>
    <row r="665" spans="1:30" ht="108" customHeight="1">
      <c r="A665" s="22" t="s">
        <v>2206</v>
      </c>
      <c r="B665" s="809">
        <f>GRAL!B932</f>
        <v>0</v>
      </c>
      <c r="C665" s="16">
        <f>OBRA!J667</f>
        <v>2023</v>
      </c>
      <c r="D665" s="17" t="str">
        <f>OBRA!M667</f>
        <v>CUENTA CORRIENTE</v>
      </c>
      <c r="E665" s="478" t="s">
        <v>1428</v>
      </c>
      <c r="F665" s="146"/>
      <c r="G665" s="2"/>
      <c r="H665" s="146"/>
      <c r="I665" s="54" t="str">
        <f>OBRA!W667</f>
        <v>PEDRO MACHUCA SAAVEDRA</v>
      </c>
      <c r="J665" s="55" t="str">
        <f>OBRA!X667</f>
        <v>ARQ. FRANCISCO SALAZAR</v>
      </c>
      <c r="K665" s="33" t="str">
        <f>OBRA!N667</f>
        <v>C.P.S.P. DOP 007/2023</v>
      </c>
      <c r="L665" s="2" t="str">
        <f>OBRA!O667</f>
        <v>SERVICIOS</v>
      </c>
      <c r="M665" s="3" t="str">
        <f>OBRA!P667</f>
        <v>CONTRACIÓN DEL SERVICIO PARA: LOCALIZACIÓN DE AGUA EN PREDIO PARA SU POSIBLE PERFORACIÓN DE POZO PROFUNDO POR MEDIO DE LA TÉCNICA DE RADIESTESIA UBICADO EN CALLE LA PUERTA, EN LA LOCALIDAD DE SAN JUAN COSALÁ, DEL MUNICIPIO DE JOCOTEPEC, JALISCO.</v>
      </c>
      <c r="N665" s="504" t="s">
        <v>4882</v>
      </c>
      <c r="O665" s="1894"/>
      <c r="P665" s="67">
        <f>OBRA!S667</f>
        <v>44970</v>
      </c>
      <c r="Q665" s="79">
        <f>OBRA!R667</f>
        <v>3500</v>
      </c>
      <c r="R665" s="79" t="s">
        <v>68</v>
      </c>
      <c r="S665" s="5">
        <f>OBRA!T667</f>
        <v>44972</v>
      </c>
      <c r="T665" s="11">
        <f>OBRA!U667</f>
        <v>44972</v>
      </c>
      <c r="U665" s="1352" t="s">
        <v>5620</v>
      </c>
      <c r="V665" s="62" t="s">
        <v>1428</v>
      </c>
      <c r="W665" s="201"/>
      <c r="X665" s="205"/>
      <c r="Y665" s="986" t="s">
        <v>1177</v>
      </c>
      <c r="Z665" s="309"/>
      <c r="AA665" s="309"/>
      <c r="AB665" s="5"/>
      <c r="AC665" s="317">
        <f>OBRA!BW667</f>
        <v>0</v>
      </c>
      <c r="AD665" s="352"/>
    </row>
    <row r="666" spans="1:30" ht="141.75" customHeight="1">
      <c r="A666" s="22" t="s">
        <v>2206</v>
      </c>
      <c r="B666" s="809">
        <f>GRAL!B933</f>
        <v>0</v>
      </c>
      <c r="C666" s="16">
        <f>OBRA!J668</f>
        <v>2023</v>
      </c>
      <c r="D666" s="17" t="str">
        <f>OBRA!M668</f>
        <v>CUENTA CORRIENTE</v>
      </c>
      <c r="E666" s="478" t="s">
        <v>1428</v>
      </c>
      <c r="F666" s="146"/>
      <c r="G666" s="2"/>
      <c r="H666" s="146"/>
      <c r="I666" s="54" t="str">
        <f>OBRA!W668</f>
        <v>ECCOC DE GUADALAJARA, S.A. DE C.V.</v>
      </c>
      <c r="J666" s="55" t="str">
        <f>OBRA!X668</f>
        <v>ARQ. FRANCISCO SALAZAR</v>
      </c>
      <c r="K666" s="33" t="str">
        <f>OBRA!N668</f>
        <v>C.P.S.P. DOP 008/2023</v>
      </c>
      <c r="L666" s="2" t="str">
        <f>OBRA!O668</f>
        <v>SERVICIOS</v>
      </c>
      <c r="M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4" t="s">
        <v>4882</v>
      </c>
      <c r="O666" s="1894"/>
      <c r="P666" s="67">
        <f>OBRA!S668</f>
        <v>44978</v>
      </c>
      <c r="Q666" s="79">
        <f>OBRA!R668</f>
        <v>22272</v>
      </c>
      <c r="R666" s="79" t="s">
        <v>68</v>
      </c>
      <c r="S666" s="5">
        <f>OBRA!T668</f>
        <v>44979</v>
      </c>
      <c r="T666" s="11">
        <f>OBRA!U668</f>
        <v>44979</v>
      </c>
      <c r="U666" s="1352" t="s">
        <v>5620</v>
      </c>
      <c r="V666" s="62" t="s">
        <v>1428</v>
      </c>
      <c r="W666" s="201"/>
      <c r="X666" s="205"/>
      <c r="Y666" s="986" t="s">
        <v>1177</v>
      </c>
      <c r="Z666" s="309"/>
      <c r="AA666" s="309"/>
      <c r="AB666" s="5"/>
      <c r="AC666" s="317">
        <f>OBRA!BW668</f>
        <v>0</v>
      </c>
      <c r="AD666" s="352"/>
    </row>
    <row r="667" spans="1:30" ht="172.5" customHeight="1">
      <c r="A667" s="22" t="s">
        <v>2206</v>
      </c>
      <c r="B667" s="809">
        <f>GRAL!B934</f>
        <v>0</v>
      </c>
      <c r="C667" s="16">
        <f>OBRA!J669</f>
        <v>2023</v>
      </c>
      <c r="D667" s="17" t="str">
        <f>OBRA!M669</f>
        <v>CUENTA CORRIENTE</v>
      </c>
      <c r="E667" s="478" t="s">
        <v>1428</v>
      </c>
      <c r="F667" s="146"/>
      <c r="G667" s="2"/>
      <c r="H667" s="146"/>
      <c r="I667" s="54" t="str">
        <f>OBRA!W669</f>
        <v>ECCOC DE GUADALAJARA, S.A. DE C.V.</v>
      </c>
      <c r="J667" s="55" t="str">
        <f>OBRA!X669</f>
        <v>ARQ. FRANCISCO SALAZAR</v>
      </c>
      <c r="K667" s="33" t="str">
        <f>OBRA!N669</f>
        <v>C.P.S.P. DOP 009/2023</v>
      </c>
      <c r="L667" s="2" t="str">
        <f>OBRA!O669</f>
        <v>SERVICIOS</v>
      </c>
      <c r="M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4" t="s">
        <v>4882</v>
      </c>
      <c r="O667" s="1894"/>
      <c r="P667" s="67">
        <f>OBRA!S669</f>
        <v>45007</v>
      </c>
      <c r="Q667" s="79">
        <f>OBRA!R669</f>
        <v>20880</v>
      </c>
      <c r="R667" s="79" t="s">
        <v>68</v>
      </c>
      <c r="S667" s="5">
        <f>OBRA!T669</f>
        <v>45009</v>
      </c>
      <c r="T667" s="11">
        <f>OBRA!U669</f>
        <v>45016</v>
      </c>
      <c r="U667" s="1352" t="s">
        <v>5620</v>
      </c>
      <c r="V667" s="62" t="s">
        <v>1428</v>
      </c>
      <c r="W667" s="201"/>
      <c r="X667" s="205"/>
      <c r="Y667" s="986" t="s">
        <v>1177</v>
      </c>
      <c r="Z667" s="309"/>
      <c r="AA667" s="309"/>
      <c r="AB667" s="5"/>
      <c r="AC667" s="317">
        <f>OBRA!BW669</f>
        <v>0</v>
      </c>
      <c r="AD667" s="352"/>
    </row>
    <row r="668" spans="1:30" ht="136.5" customHeight="1">
      <c r="A668" s="22" t="s">
        <v>2206</v>
      </c>
      <c r="B668" s="809">
        <f>GRAL!B935</f>
        <v>0</v>
      </c>
      <c r="C668" s="16">
        <f>OBRA!J670</f>
        <v>2023</v>
      </c>
      <c r="D668" s="17" t="str">
        <f>OBRA!M670</f>
        <v>CUENTA CORRIENTE</v>
      </c>
      <c r="E668" s="478" t="s">
        <v>1428</v>
      </c>
      <c r="F668" s="146"/>
      <c r="G668" s="2"/>
      <c r="H668" s="146"/>
      <c r="I668" s="54" t="str">
        <f>OBRA!W670</f>
        <v>ECCOC DE GUADALAJARA, S.A. DE C.V.</v>
      </c>
      <c r="J668" s="55" t="str">
        <f>OBRA!X670</f>
        <v>ARQ. FRANCISCO SALAZAR</v>
      </c>
      <c r="K668" s="33" t="str">
        <f>OBRA!N670</f>
        <v>C.P.S.P. DOP 010/2023</v>
      </c>
      <c r="L668" s="2" t="str">
        <f>OBRA!O670</f>
        <v>SERVICIOS</v>
      </c>
      <c r="M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4" t="s">
        <v>4882</v>
      </c>
      <c r="O668" s="1894"/>
      <c r="P668" s="67">
        <f>OBRA!S670</f>
        <v>45009</v>
      </c>
      <c r="Q668" s="79">
        <f>OBRA!R670</f>
        <v>27839.999999999996</v>
      </c>
      <c r="R668" s="79" t="s">
        <v>68</v>
      </c>
      <c r="S668" s="5">
        <f>OBRA!T670</f>
        <v>45013</v>
      </c>
      <c r="T668" s="11">
        <f>OBRA!U670</f>
        <v>45016</v>
      </c>
      <c r="U668" s="1352" t="s">
        <v>5620</v>
      </c>
      <c r="V668" s="62" t="s">
        <v>1428</v>
      </c>
      <c r="W668" s="201"/>
      <c r="X668" s="205"/>
      <c r="Y668" s="986" t="s">
        <v>1177</v>
      </c>
      <c r="Z668" s="309"/>
      <c r="AA668" s="309"/>
      <c r="AB668" s="5"/>
      <c r="AC668" s="317">
        <f>OBRA!BW670</f>
        <v>0</v>
      </c>
      <c r="AD668" s="352"/>
    </row>
    <row r="669" spans="1:30" ht="91.5" customHeight="1">
      <c r="A669" s="22" t="s">
        <v>2206</v>
      </c>
      <c r="B669" s="809">
        <f>GRAL!B936</f>
        <v>0</v>
      </c>
      <c r="C669" s="16">
        <f>OBRA!J671</f>
        <v>2023</v>
      </c>
      <c r="D669" s="17" t="str">
        <f>OBRA!M671</f>
        <v>CUENTA CORRIENTE</v>
      </c>
      <c r="E669" s="478" t="s">
        <v>1428</v>
      </c>
      <c r="F669" s="146"/>
      <c r="G669" s="2"/>
      <c r="H669" s="146"/>
      <c r="I669" s="54" t="str">
        <f>OBRA!W671</f>
        <v>LEXCLI, S. DE R.L. DE C.V.</v>
      </c>
      <c r="J669" s="55" t="str">
        <f>OBRA!X671</f>
        <v>ARQ. FRANCISCO SALAZAR</v>
      </c>
      <c r="K669" s="33" t="str">
        <f>OBRA!N671</f>
        <v>C.P.S.P. DOP 011/2023</v>
      </c>
      <c r="L669" s="2" t="str">
        <f>OBRA!O671</f>
        <v>SERVICIOS</v>
      </c>
      <c r="M669" s="3" t="str">
        <f>OBRA!P671</f>
        <v>CONTRATACIÓN PARA LA REALIZACIÓN DE: ESTUDIO GEOHIDROLÓGICO-GEOFÍSICO CON FINES DE LOCALIZAR AGUA SUBTERRÁNEA EN PREDIO DENOMINADO "LA AZOTERA" UBICADO EN LA LOCALIDAD DE SAN PEDRO TESISTÁN, DEL MUNICIPIO DE JOCOTEPEC, JALISCO.</v>
      </c>
      <c r="N669" s="504" t="s">
        <v>6532</v>
      </c>
      <c r="O669" s="1894"/>
      <c r="P669" s="67">
        <f>OBRA!S671</f>
        <v>44988</v>
      </c>
      <c r="Q669" s="79">
        <f>OBRA!R671</f>
        <v>18560</v>
      </c>
      <c r="R669" s="79" t="s">
        <v>68</v>
      </c>
      <c r="S669" s="5">
        <f>OBRA!T671</f>
        <v>44991</v>
      </c>
      <c r="T669" s="11">
        <f>OBRA!U671</f>
        <v>44995</v>
      </c>
      <c r="U669" s="1352" t="s">
        <v>5620</v>
      </c>
      <c r="V669" s="62" t="s">
        <v>1428</v>
      </c>
      <c r="W669" s="201"/>
      <c r="X669" s="205"/>
      <c r="Y669" s="986" t="s">
        <v>1177</v>
      </c>
      <c r="Z669" s="309"/>
      <c r="AA669" s="309"/>
      <c r="AB669" s="5"/>
      <c r="AC669" s="317">
        <f>OBRA!BW671</f>
        <v>0</v>
      </c>
      <c r="AD669" s="352"/>
    </row>
    <row r="670" spans="1:30" ht="93.75" customHeight="1">
      <c r="A670" s="22" t="s">
        <v>2206</v>
      </c>
      <c r="B670" s="809">
        <f>GRAL!B937</f>
        <v>0</v>
      </c>
      <c r="C670" s="16">
        <f>OBRA!J672</f>
        <v>2023</v>
      </c>
      <c r="D670" s="17" t="str">
        <f>OBRA!M672</f>
        <v>CUENTA CORRIENTE</v>
      </c>
      <c r="E670" s="478" t="s">
        <v>1428</v>
      </c>
      <c r="F670" s="146"/>
      <c r="G670" s="2"/>
      <c r="H670" s="146"/>
      <c r="I670" s="54" t="str">
        <f>OBRA!W672</f>
        <v>LEXCLI, S. DE R.L. DE C.V.</v>
      </c>
      <c r="J670" s="55" t="str">
        <f>OBRA!X672</f>
        <v>ARQ. FRANCISCO SALAZAR</v>
      </c>
      <c r="K670" s="33" t="str">
        <f>OBRA!N672</f>
        <v>C.P.S.P. DOP 012/2023</v>
      </c>
      <c r="L670" s="2" t="str">
        <f>OBRA!O672</f>
        <v>SERVICIOS</v>
      </c>
      <c r="M670" s="3" t="str">
        <f>OBRA!P672</f>
        <v>CONTRATACIÓN PARA LA REALIZACIÓN DE: ESTUDIO GEOHIDROLÓGICO-GEOFÍSICO CON FINES DE LOCALIZAR AGUA SUBTERRÁNEA EN PREDIO DENOMINADO "LA PUERTA" UBICADO EN LA LOCALIDAD DE SAN JUAN COSALÁ, DEL MUNICIPIO DE JOCOTEPEC, JALISCO.</v>
      </c>
      <c r="N670" s="504" t="s">
        <v>6532</v>
      </c>
      <c r="O670" s="1894"/>
      <c r="P670" s="67">
        <f>OBRA!S672</f>
        <v>44995</v>
      </c>
      <c r="Q670" s="79">
        <f>OBRA!R672</f>
        <v>18560</v>
      </c>
      <c r="R670" s="79" t="s">
        <v>68</v>
      </c>
      <c r="S670" s="5">
        <f>OBRA!T672</f>
        <v>44998</v>
      </c>
      <c r="T670" s="11">
        <f>OBRA!U672</f>
        <v>45002</v>
      </c>
      <c r="U670" s="1352" t="s">
        <v>5620</v>
      </c>
      <c r="V670" s="62" t="s">
        <v>1428</v>
      </c>
      <c r="W670" s="201"/>
      <c r="X670" s="205"/>
      <c r="Y670" s="986" t="s">
        <v>1177</v>
      </c>
      <c r="Z670" s="309"/>
      <c r="AA670" s="309"/>
      <c r="AB670" s="5"/>
      <c r="AC670" s="317">
        <f>OBRA!BW672</f>
        <v>0</v>
      </c>
      <c r="AD670" s="352"/>
    </row>
    <row r="671" spans="1:30" ht="78" customHeight="1">
      <c r="A671" s="22" t="s">
        <v>2206</v>
      </c>
      <c r="B671" s="809">
        <f>GRAL!B938</f>
        <v>0</v>
      </c>
      <c r="C671" s="16">
        <f>OBRA!J673</f>
        <v>2023</v>
      </c>
      <c r="D671" s="17" t="str">
        <f>OBRA!M673</f>
        <v>CUENTA CORRIENTE</v>
      </c>
      <c r="E671" s="478" t="s">
        <v>1428</v>
      </c>
      <c r="F671" s="496" t="s">
        <v>6167</v>
      </c>
      <c r="G671" s="495" t="s">
        <v>6167</v>
      </c>
      <c r="H671" s="146"/>
      <c r="I671" s="54" t="str">
        <f>OBRA!W673</f>
        <v>LEXCLI, S. DE R.L. DE C.V.</v>
      </c>
      <c r="J671" s="55" t="str">
        <f>OBRA!X673</f>
        <v>ARQ. FRANCISCO SALAZAR</v>
      </c>
      <c r="K671" s="33" t="str">
        <f>OBRA!N673</f>
        <v>C.P.S.P. DOP 013/2023</v>
      </c>
      <c r="L671" s="2" t="str">
        <f>OBRA!O673</f>
        <v>SERVICIOS</v>
      </c>
      <c r="M671" s="3" t="str">
        <f>OBRA!P673</f>
        <v>CONTRATACIÓN PARA LA REALIZACIÓN DE: ESTUDIO GEOHIDROLÓGICO-GEOFÍSICO CON FINES DE LOCALIZAR AGUA SUBTERRÁNEA EN ATRIO DEL TEMPLO DEL SR. DEL MONTE UBICADO EN LA CABECERA MUNICIPAL DE JOCOTEPEC, JALISCO.</v>
      </c>
      <c r="N671" s="504" t="s">
        <v>6532</v>
      </c>
      <c r="O671" s="1894" t="s">
        <v>6827</v>
      </c>
      <c r="P671" s="67">
        <f>OBRA!S673</f>
        <v>45002</v>
      </c>
      <c r="Q671" s="79">
        <f>OBRA!R673</f>
        <v>18560</v>
      </c>
      <c r="R671" s="79" t="s">
        <v>68</v>
      </c>
      <c r="S671" s="5">
        <f>OBRA!T673</f>
        <v>45005</v>
      </c>
      <c r="T671" s="11">
        <f>OBRA!U673</f>
        <v>45009</v>
      </c>
      <c r="U671" s="1352" t="s">
        <v>5620</v>
      </c>
      <c r="V671" s="62" t="s">
        <v>1428</v>
      </c>
      <c r="W671" s="499" t="s">
        <v>6167</v>
      </c>
      <c r="X671" s="597" t="s">
        <v>6167</v>
      </c>
      <c r="Y671" s="986" t="s">
        <v>1177</v>
      </c>
      <c r="Z671" s="309"/>
      <c r="AA671" s="309"/>
      <c r="AB671" s="5"/>
      <c r="AC671" s="317">
        <f>OBRA!BW673</f>
        <v>0</v>
      </c>
      <c r="AD671" s="352"/>
    </row>
    <row r="672" spans="1:30" ht="91.5" customHeight="1">
      <c r="A672" s="22" t="s">
        <v>2206</v>
      </c>
      <c r="B672" s="809">
        <f>GRAL!B939</f>
        <v>0</v>
      </c>
      <c r="C672" s="16">
        <f>OBRA!J674</f>
        <v>2023</v>
      </c>
      <c r="D672" s="17" t="str">
        <f>OBRA!M674</f>
        <v>CUENTA CORRIENTE</v>
      </c>
      <c r="E672" s="478" t="s">
        <v>1428</v>
      </c>
      <c r="F672" s="146"/>
      <c r="G672" s="2"/>
      <c r="H672" s="146"/>
      <c r="I672" s="54" t="str">
        <f>OBRA!W674</f>
        <v>LEXCLI, S. DE R.L. DE C.V.</v>
      </c>
      <c r="J672" s="55" t="str">
        <f>OBRA!X674</f>
        <v>ARQ. FRANCISCO SALAZAR</v>
      </c>
      <c r="K672" s="33" t="str">
        <f>OBRA!N674</f>
        <v>C.P.S.P. DOP 014/2023</v>
      </c>
      <c r="L672" s="2" t="str">
        <f>OBRA!O674</f>
        <v>SERVICIOS</v>
      </c>
      <c r="M672" s="3" t="str">
        <f>OBRA!P674</f>
        <v>CONTRATACIÓN PARA LA REALIZACIÓN DE: ESTUDIO GEOHIDROLÓGICO-GEOFÍSICO CON FINES DE LOCALIZAR AGUA SUBTERRÁNEA EN CALLE VICENTE GUERRERO NORTE UBICADO EN LA LOCALICAS DE SAN JUAN COSALÁ, DEL MUNICIPIO DE JOCOTEPEC, JALISCO.</v>
      </c>
      <c r="N672" s="504" t="s">
        <v>6532</v>
      </c>
      <c r="O672" s="1894"/>
      <c r="P672" s="67">
        <f>OBRA!S674</f>
        <v>45001</v>
      </c>
      <c r="Q672" s="79">
        <f>OBRA!R674</f>
        <v>18560</v>
      </c>
      <c r="R672" s="79" t="s">
        <v>68</v>
      </c>
      <c r="S672" s="5">
        <f>OBRA!T674</f>
        <v>45005</v>
      </c>
      <c r="T672" s="11">
        <f>OBRA!U674</f>
        <v>45009</v>
      </c>
      <c r="U672" s="1352" t="s">
        <v>5620</v>
      </c>
      <c r="V672" s="62" t="s">
        <v>1428</v>
      </c>
      <c r="W672" s="201"/>
      <c r="X672" s="205"/>
      <c r="Y672" s="986" t="s">
        <v>1177</v>
      </c>
      <c r="Z672" s="309"/>
      <c r="AA672" s="309"/>
      <c r="AB672" s="5"/>
      <c r="AC672" s="317">
        <f>OBRA!BW674</f>
        <v>0</v>
      </c>
      <c r="AD672" s="352"/>
    </row>
    <row r="673" spans="1:30" ht="75" customHeight="1">
      <c r="A673" s="22" t="s">
        <v>2206</v>
      </c>
      <c r="B673" s="809">
        <f>GRAL!B940</f>
        <v>0</v>
      </c>
      <c r="C673" s="16">
        <f>OBRA!J675</f>
        <v>2023</v>
      </c>
      <c r="D673" s="17" t="str">
        <f>OBRA!M675</f>
        <v>CUENTA CORRIENTE</v>
      </c>
      <c r="E673" s="478" t="s">
        <v>1428</v>
      </c>
      <c r="F673" s="496" t="s">
        <v>6117</v>
      </c>
      <c r="G673" s="495" t="s">
        <v>6117</v>
      </c>
      <c r="H673" s="146"/>
      <c r="I673" s="54" t="str">
        <f>OBRA!W675</f>
        <v>ING. SERGIO CABRERA</v>
      </c>
      <c r="J673" s="55" t="str">
        <f>OBRA!X675</f>
        <v>ARQ. FRANCISCO SALAZAR</v>
      </c>
      <c r="K673" s="33" t="str">
        <f>OBRA!N675</f>
        <v>C.P.S.P. DOP 015/2023</v>
      </c>
      <c r="L673" s="2" t="str">
        <f>OBRA!O675</f>
        <v>SERVICIOS</v>
      </c>
      <c r="M673" s="3" t="str">
        <f>OBRA!P675</f>
        <v>CONTRATACIÓN PARA LA REALIZACIÓN DEL SIGUIENTE LEVANTAMIENTO TOPOGRAFICO: PARA EL PROYECTO DE; REMODELACIÓN DE LA PLAZA PRINCIPAL DE HUEJOTITÁN, DEL MUNICIPIO DE JOCOTEPEC, JALISCO.</v>
      </c>
      <c r="N673" s="504" t="s">
        <v>6532</v>
      </c>
      <c r="O673" s="1894" t="s">
        <v>6828</v>
      </c>
      <c r="P673" s="67">
        <f>OBRA!S675</f>
        <v>45005</v>
      </c>
      <c r="Q673" s="79">
        <f>OBRA!R675</f>
        <v>11600</v>
      </c>
      <c r="R673" s="79" t="s">
        <v>68</v>
      </c>
      <c r="S673" s="5">
        <f>OBRA!T675</f>
        <v>45012</v>
      </c>
      <c r="T673" s="11">
        <f>OBRA!U675</f>
        <v>45016</v>
      </c>
      <c r="U673" s="1352" t="s">
        <v>5620</v>
      </c>
      <c r="V673" s="62" t="s">
        <v>1428</v>
      </c>
      <c r="W673" s="201"/>
      <c r="X673" s="205"/>
      <c r="Y673" s="986" t="s">
        <v>1177</v>
      </c>
      <c r="Z673" s="309"/>
      <c r="AA673" s="309"/>
      <c r="AB673" s="5"/>
      <c r="AC673" s="317">
        <f>OBRA!BW675</f>
        <v>0</v>
      </c>
      <c r="AD673" s="352"/>
    </row>
    <row r="674" spans="1:30" ht="80.25" customHeight="1">
      <c r="A674" s="22" t="s">
        <v>2206</v>
      </c>
      <c r="B674" s="809">
        <f>GRAL!B941</f>
        <v>0</v>
      </c>
      <c r="C674" s="16">
        <f>OBRA!J676</f>
        <v>2023</v>
      </c>
      <c r="D674" s="17" t="str">
        <f>OBRA!M676</f>
        <v>CUENTA CORRIENTE</v>
      </c>
      <c r="E674" s="478" t="s">
        <v>1428</v>
      </c>
      <c r="F674" s="496" t="s">
        <v>6848</v>
      </c>
      <c r="G674" s="495" t="s">
        <v>6848</v>
      </c>
      <c r="H674" s="146"/>
      <c r="I674" s="54" t="str">
        <f>OBRA!W676</f>
        <v>ING. SERGIO CABRERA</v>
      </c>
      <c r="J674" s="55" t="str">
        <f>OBRA!X676</f>
        <v>ARQ. FRANCISCO SALAZAR</v>
      </c>
      <c r="K674" s="33" t="str">
        <f>OBRA!N676</f>
        <v>C.P.S.P. DOP 016/2023</v>
      </c>
      <c r="L674" s="2" t="str">
        <f>OBRA!O676</f>
        <v>SERVICIOS</v>
      </c>
      <c r="M674" s="3" t="str">
        <f>OBRA!P680</f>
        <v>CONTRATACIÓN PARA LA REALIZACIÓN DE LOS SIGUIENTES LEVANTAMIENTOS TOPOGRAFICOS: DE LAS OBRAS DEL PROGRAMA "EMPEDRADOS PARA LA REACTIVACIÓN ECONÓMICA EN MUNICIPIOS" EJERCICIO FISCAL 2022.</v>
      </c>
      <c r="N674" s="504" t="s">
        <v>6532</v>
      </c>
      <c r="O674" s="1894" t="s">
        <v>6830</v>
      </c>
      <c r="P674" s="67">
        <f>OBRA!S680</f>
        <v>45118</v>
      </c>
      <c r="Q674" s="79">
        <f>OBRA!R680</f>
        <v>96447.573600000003</v>
      </c>
      <c r="R674" s="79" t="s">
        <v>68</v>
      </c>
      <c r="S674" s="5">
        <f>OBRA!T680</f>
        <v>45120</v>
      </c>
      <c r="T674" s="11">
        <f>OBRA!U680</f>
        <v>45129</v>
      </c>
      <c r="U674" s="1352" t="s">
        <v>5620</v>
      </c>
      <c r="V674" s="62" t="s">
        <v>1428</v>
      </c>
      <c r="W674" s="201"/>
      <c r="X674" s="205"/>
      <c r="Y674" s="986" t="s">
        <v>1177</v>
      </c>
      <c r="Z674" s="309"/>
      <c r="AA674" s="309"/>
      <c r="AB674" s="5"/>
      <c r="AC674" s="317">
        <f>OBRA!BW676</f>
        <v>0</v>
      </c>
      <c r="AD674" s="352"/>
    </row>
    <row r="675" spans="1:30" ht="114.75" customHeight="1">
      <c r="A675" s="22" t="s">
        <v>2206</v>
      </c>
      <c r="B675" s="809">
        <f>GRAL!B942</f>
        <v>0</v>
      </c>
      <c r="C675" s="16">
        <f>OBRA!J677</f>
        <v>2023</v>
      </c>
      <c r="D675" s="17" t="str">
        <f>OBRA!M677</f>
        <v>CUENTA CORRIENTE</v>
      </c>
      <c r="E675" s="478" t="s">
        <v>1428</v>
      </c>
      <c r="F675" s="146"/>
      <c r="G675" s="2"/>
      <c r="H675" s="146"/>
      <c r="I675" s="54" t="str">
        <f>OBRA!W677</f>
        <v xml:space="preserve">CICLOS GIP SC </v>
      </c>
      <c r="J675" s="55" t="str">
        <f>OBRA!X677</f>
        <v>ARQ. FRANCISCO SALAZAR</v>
      </c>
      <c r="K675" s="33" t="str">
        <f>OBRA!N677</f>
        <v>C.P.S.P. DOP 017/2023</v>
      </c>
      <c r="L675" s="2" t="str">
        <f>OBRA!O677</f>
        <v>SERVICIOS</v>
      </c>
      <c r="M675" s="3" t="str">
        <f>OBRA!P677</f>
        <v>CONTRATACIÓN PARA LA REALIZACIÓN DE: ESTUDIOS DE EVALUACIÓN GEOLÓGICA-GEOHIDROLÓGICA REFORZADA CON INVESTIGACIÓNES GEOFÍSICAS-ELECTROMAGNÉTICAS REALIZADAS EN EL PROYECTO PARA EL POZO LOS ARCOS, EN LA CABECERA MUNICIPAL DE JOCOTEPEC, JALISCO.</v>
      </c>
      <c r="N675" s="504" t="s">
        <v>6532</v>
      </c>
      <c r="O675" s="1894"/>
      <c r="P675" s="67">
        <f>OBRA!S677</f>
        <v>45065</v>
      </c>
      <c r="Q675" s="79">
        <f>OBRA!R677</f>
        <v>23200</v>
      </c>
      <c r="R675" s="79" t="s">
        <v>68</v>
      </c>
      <c r="S675" s="5">
        <f>OBRA!T677</f>
        <v>45068</v>
      </c>
      <c r="T675" s="11">
        <f>OBRA!U677</f>
        <v>45070</v>
      </c>
      <c r="U675" s="1352" t="s">
        <v>5620</v>
      </c>
      <c r="V675" s="62" t="s">
        <v>1428</v>
      </c>
      <c r="W675" s="201"/>
      <c r="X675" s="205"/>
      <c r="Y675" s="986" t="s">
        <v>1177</v>
      </c>
      <c r="Z675" s="309"/>
      <c r="AA675" s="309"/>
      <c r="AB675" s="5"/>
      <c r="AC675" s="317">
        <f>OBRA!BW677</f>
        <v>0</v>
      </c>
      <c r="AD675" s="352"/>
    </row>
    <row r="676" spans="1:30" ht="116.25" customHeight="1">
      <c r="A676" s="22" t="s">
        <v>2206</v>
      </c>
      <c r="B676" s="809">
        <f>GRAL!B943</f>
        <v>0</v>
      </c>
      <c r="C676" s="16">
        <f>OBRA!J678</f>
        <v>2023</v>
      </c>
      <c r="D676" s="17" t="str">
        <f>OBRA!M678</f>
        <v>CUENTA CORRIENTE</v>
      </c>
      <c r="E676" s="478" t="s">
        <v>1428</v>
      </c>
      <c r="F676" s="146"/>
      <c r="G676" s="2"/>
      <c r="H676" s="146"/>
      <c r="I676" s="54" t="str">
        <f>OBRA!W678</f>
        <v xml:space="preserve">CICLOS GIP SC </v>
      </c>
      <c r="J676" s="55" t="str">
        <f>OBRA!X678</f>
        <v>ARQ. FRANCISCO SALAZAR</v>
      </c>
      <c r="K676" s="33" t="str">
        <f>OBRA!N678</f>
        <v>C.P.S.P. DOP 018/2023</v>
      </c>
      <c r="L676" s="2" t="str">
        <f>OBRA!O678</f>
        <v>SERVICIOS</v>
      </c>
      <c r="M676" s="3" t="str">
        <f>OBRA!P678</f>
        <v>CONTRATACIÓN PARA LA REALIZACIÓN DE: ESTUDIOS DE EVALUACIÓN GEOLÓGICA-GEOHIDROLÓGICA REFORZADA CON INVESTIGACIÓNES GEOFÍSICAS-ELECTROMAGNÉTICAS REALIZADAS EN EL PROYECTO PARA EL POZO CAMICHINES, EN LA CABECERA MUNICIPAL DE JOCOTEPEC, JALISCO.</v>
      </c>
      <c r="N676" s="504" t="s">
        <v>6532</v>
      </c>
      <c r="O676" s="1894"/>
      <c r="P676" s="67">
        <f>OBRA!S678</f>
        <v>45069</v>
      </c>
      <c r="Q676" s="79">
        <f>OBRA!R678</f>
        <v>23200</v>
      </c>
      <c r="R676" s="79" t="s">
        <v>68</v>
      </c>
      <c r="S676" s="5">
        <f>OBRA!T678</f>
        <v>45071</v>
      </c>
      <c r="T676" s="11">
        <f>OBRA!U678</f>
        <v>45072</v>
      </c>
      <c r="U676" s="1352" t="s">
        <v>5620</v>
      </c>
      <c r="V676" s="62" t="s">
        <v>1428</v>
      </c>
      <c r="W676" s="201"/>
      <c r="X676" s="205"/>
      <c r="Y676" s="986" t="s">
        <v>1177</v>
      </c>
      <c r="Z676" s="309"/>
      <c r="AA676" s="309"/>
      <c r="AB676" s="5"/>
      <c r="AC676" s="317">
        <f>OBRA!BW678</f>
        <v>0</v>
      </c>
      <c r="AD676" s="352"/>
    </row>
    <row r="677" spans="1:30" ht="100.5" customHeight="1">
      <c r="A677" s="22" t="s">
        <v>2206</v>
      </c>
      <c r="B677" s="809">
        <f>GRAL!B944</f>
        <v>0</v>
      </c>
      <c r="C677" s="16">
        <f>OBRA!J679</f>
        <v>2023</v>
      </c>
      <c r="D677" s="17" t="str">
        <f>OBRA!M679</f>
        <v>CUENTA CORRIENTE</v>
      </c>
      <c r="E677" s="478" t="s">
        <v>1428</v>
      </c>
      <c r="F677" s="496" t="s">
        <v>5901</v>
      </c>
      <c r="G677" s="495" t="s">
        <v>5901</v>
      </c>
      <c r="H677" s="146"/>
      <c r="I677" s="54" t="str">
        <f>OBRA!W679</f>
        <v>ING. LUIS JOEL HUERTA LOMA</v>
      </c>
      <c r="J677" s="55" t="str">
        <f>OBRA!X679</f>
        <v>ARQ. FRANCISCO SALAZAR</v>
      </c>
      <c r="K677" s="33" t="str">
        <f>OBRA!N679</f>
        <v>C.P.S.P. DOP 019/2023</v>
      </c>
      <c r="L677" s="2" t="str">
        <f>OBRA!O679</f>
        <v>SERVICIOS</v>
      </c>
      <c r="M677" s="3" t="str">
        <f>OBRA!P679</f>
        <v>CONTRATACIÓN PARA LA REALIZACIÓN DEL SIGUIENTE LEVANTAMIENTO TOPOGRAFICO: PARA EL PROYECTO EJECUTIVO DEL COLECTOR DE LA CABECERA MUNICIPAL DE JOCOTEPEC, JALISCO.</v>
      </c>
      <c r="N677" s="504" t="s">
        <v>6532</v>
      </c>
      <c r="O677" s="1894" t="s">
        <v>6829</v>
      </c>
      <c r="P677" s="67">
        <f>OBRA!S679</f>
        <v>45099</v>
      </c>
      <c r="Q677" s="79">
        <f>OBRA!R679</f>
        <v>5999.9955999999993</v>
      </c>
      <c r="R677" s="79" t="s">
        <v>68</v>
      </c>
      <c r="S677" s="5">
        <f>OBRA!T679</f>
        <v>45099</v>
      </c>
      <c r="T677" s="11">
        <f>OBRA!U679</f>
        <v>45103</v>
      </c>
      <c r="U677" s="1352" t="s">
        <v>5620</v>
      </c>
      <c r="V677" s="62" t="s">
        <v>1428</v>
      </c>
      <c r="W677" s="499" t="s">
        <v>5901</v>
      </c>
      <c r="X677" s="597" t="s">
        <v>5901</v>
      </c>
      <c r="Y677" s="986" t="s">
        <v>1177</v>
      </c>
      <c r="Z677" s="309"/>
      <c r="AA677" s="309"/>
      <c r="AB677" s="5"/>
      <c r="AC677" s="317">
        <f>OBRA!BW679</f>
        <v>0</v>
      </c>
      <c r="AD677" s="352"/>
    </row>
    <row r="678" spans="1:30" ht="76.5" customHeight="1">
      <c r="A678" s="22" t="s">
        <v>2206</v>
      </c>
      <c r="B678" s="809">
        <f>GRAL!B945</f>
        <v>0</v>
      </c>
      <c r="C678" s="16">
        <f>OBRA!J680</f>
        <v>2023</v>
      </c>
      <c r="D678" s="17" t="str">
        <f>OBRA!M680</f>
        <v>CUENTA CORRIENTE</v>
      </c>
      <c r="E678" s="478" t="s">
        <v>1428</v>
      </c>
      <c r="F678" s="496" t="s">
        <v>6848</v>
      </c>
      <c r="G678" s="495" t="s">
        <v>6848</v>
      </c>
      <c r="H678" s="146"/>
      <c r="I678" s="54" t="str">
        <f>OBRA!W680</f>
        <v>ING. LUIS JOEL HUERTA LOMA</v>
      </c>
      <c r="J678" s="55" t="str">
        <f>OBRA!X680</f>
        <v>ARQ. FRANCISCO SALAZAR</v>
      </c>
      <c r="K678" s="33" t="str">
        <f>OBRA!N680</f>
        <v>C.P.S.P. DOP 020/2023</v>
      </c>
      <c r="L678" s="2" t="str">
        <f>OBRA!O680</f>
        <v>SERVICIOS</v>
      </c>
      <c r="M678" s="3" t="str">
        <f>OBRA!P680</f>
        <v>CONTRATACIÓN PARA LA REALIZACIÓN DE LOS SIGUIENTES LEVANTAMIENTOS TOPOGRAFICOS: DE LAS OBRAS DEL PROGRAMA "EMPEDRADOS PARA LA REACTIVACIÓN ECONÓMICA EN MUNICIPIOS" EJERCICIO FISCAL 2022.</v>
      </c>
      <c r="N678" s="504" t="s">
        <v>6532</v>
      </c>
      <c r="O678" s="1894" t="s">
        <v>6830</v>
      </c>
      <c r="P678" s="67">
        <f>OBRA!S680</f>
        <v>45118</v>
      </c>
      <c r="Q678" s="79">
        <f>OBRA!R680</f>
        <v>96447.573600000003</v>
      </c>
      <c r="R678" s="79" t="s">
        <v>68</v>
      </c>
      <c r="S678" s="5">
        <f>OBRA!T680</f>
        <v>45120</v>
      </c>
      <c r="T678" s="11">
        <f>OBRA!U680</f>
        <v>45129</v>
      </c>
      <c r="U678" s="1352" t="s">
        <v>5620</v>
      </c>
      <c r="V678" s="62" t="s">
        <v>1428</v>
      </c>
      <c r="W678" s="201"/>
      <c r="X678" s="205"/>
      <c r="Y678" s="986" t="s">
        <v>1177</v>
      </c>
      <c r="Z678" s="309"/>
      <c r="AA678" s="309"/>
      <c r="AB678" s="5"/>
      <c r="AC678" s="317">
        <f>OBRA!BW680</f>
        <v>0</v>
      </c>
      <c r="AD678" s="352"/>
    </row>
    <row r="679" spans="1:30" ht="191.25" customHeight="1">
      <c r="A679" s="22" t="s">
        <v>2206</v>
      </c>
      <c r="B679" s="809">
        <f>GRAL!B946</f>
        <v>0</v>
      </c>
      <c r="C679" s="16">
        <f>OBRA!J681</f>
        <v>2023</v>
      </c>
      <c r="D679" s="17" t="str">
        <f>OBRA!M681</f>
        <v>CUENTA CORRIENTE</v>
      </c>
      <c r="E679" s="478" t="s">
        <v>1428</v>
      </c>
      <c r="F679" s="146"/>
      <c r="G679" s="2"/>
      <c r="H679" s="146"/>
      <c r="I679" s="54" t="str">
        <f>OBRA!W681</f>
        <v>SOLEC ENERGY, S.A. DE C.V.</v>
      </c>
      <c r="J679" s="55" t="str">
        <f>OBRA!X681</f>
        <v>ARQ. FRANCISCO SALAZAR</v>
      </c>
      <c r="K679" s="33" t="str">
        <f>OBRA!N681</f>
        <v>C.P.S.P. DOP 021/2023</v>
      </c>
      <c r="L679" s="2" t="str">
        <f>OBRA!O681</f>
        <v>SERVICIOS</v>
      </c>
      <c r="M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4" t="s">
        <v>6532</v>
      </c>
      <c r="O679" s="1894"/>
      <c r="P679" s="67">
        <f>OBRA!S681</f>
        <v>45131</v>
      </c>
      <c r="Q679" s="79">
        <f>OBRA!R681</f>
        <v>17400</v>
      </c>
      <c r="R679" s="79" t="s">
        <v>68</v>
      </c>
      <c r="S679" s="5">
        <f>OBRA!T681</f>
        <v>45138</v>
      </c>
      <c r="T679" s="11">
        <f>OBRA!U681</f>
        <v>45187</v>
      </c>
      <c r="U679" s="1352" t="s">
        <v>5620</v>
      </c>
      <c r="V679" s="62" t="s">
        <v>1428</v>
      </c>
      <c r="W679" s="201"/>
      <c r="X679" s="205"/>
      <c r="Y679" s="986" t="s">
        <v>1177</v>
      </c>
      <c r="Z679" s="309"/>
      <c r="AA679" s="309"/>
      <c r="AB679" s="5"/>
      <c r="AC679" s="317">
        <f>OBRA!BW681</f>
        <v>0</v>
      </c>
      <c r="AD679" s="352"/>
    </row>
    <row r="680" spans="1:30" ht="81.75" customHeight="1">
      <c r="A680" s="22" t="s">
        <v>2206</v>
      </c>
      <c r="B680" s="809">
        <f>GRAL!B947</f>
        <v>0</v>
      </c>
      <c r="C680" s="16">
        <f>OBRA!J682</f>
        <v>2023</v>
      </c>
      <c r="D680" s="17" t="str">
        <f>OBRA!M682</f>
        <v>CUENTA CORRIENTE</v>
      </c>
      <c r="E680" s="478" t="s">
        <v>1428</v>
      </c>
      <c r="F680" s="146"/>
      <c r="G680" s="2"/>
      <c r="H680" s="146"/>
      <c r="I680" s="54" t="str">
        <f>OBRA!W682</f>
        <v>SOLEC ENERGY, S.A. DE C.V.</v>
      </c>
      <c r="J680" s="55" t="str">
        <f>OBRA!X682</f>
        <v>ARQ. FRANCISCO SALAZAR</v>
      </c>
      <c r="K680" s="33" t="str">
        <f>OBRA!N682</f>
        <v>C.P.S.P. DOP 022/2023</v>
      </c>
      <c r="L680" s="2" t="str">
        <f>OBRA!O682</f>
        <v>SERVICIOS</v>
      </c>
      <c r="M680" s="3" t="str">
        <f>OBRA!P682</f>
        <v>CONTRATACIÓN DE SERVICIOS PROFESIONALES PARA: REHABILITACIÓN DE ACOMETIDAS Y REACOMODO DE LA BAJA TENSIÓN EN CALLE PLAYAS DEL SOL EN LA LOCALIDAD DE CHANTEPEC, DEL MUNICIPIO DE JOCOTEPEC, JALISCO.</v>
      </c>
      <c r="N680" s="504" t="s">
        <v>6532</v>
      </c>
      <c r="O680" s="1894"/>
      <c r="P680" s="67">
        <f>OBRA!S682</f>
        <v>45133</v>
      </c>
      <c r="Q680" s="79">
        <f>OBRA!R682</f>
        <v>73689.208799999993</v>
      </c>
      <c r="R680" s="79" t="s">
        <v>68</v>
      </c>
      <c r="S680" s="5">
        <f>OBRA!T682</f>
        <v>45141</v>
      </c>
      <c r="T680" s="11">
        <f>OBRA!U682</f>
        <v>45155</v>
      </c>
      <c r="U680" s="1352" t="s">
        <v>5620</v>
      </c>
      <c r="V680" s="62" t="s">
        <v>1428</v>
      </c>
      <c r="W680" s="201"/>
      <c r="X680" s="205"/>
      <c r="Y680" s="986" t="s">
        <v>1177</v>
      </c>
      <c r="Z680" s="309"/>
      <c r="AA680" s="309"/>
      <c r="AB680" s="5"/>
      <c r="AC680" s="317">
        <f>OBRA!BW682</f>
        <v>0</v>
      </c>
      <c r="AD680" s="352"/>
    </row>
    <row r="681" spans="1:30" ht="93" customHeight="1">
      <c r="A681" s="22" t="s">
        <v>2206</v>
      </c>
      <c r="B681" s="809">
        <f>GRAL!B948</f>
        <v>0</v>
      </c>
      <c r="C681" s="16">
        <f>OBRA!J683</f>
        <v>2023</v>
      </c>
      <c r="D681" s="17" t="str">
        <f>OBRA!M683</f>
        <v>CUENTA CORRIENTE</v>
      </c>
      <c r="E681" s="478" t="s">
        <v>1428</v>
      </c>
      <c r="F681" s="146"/>
      <c r="G681" s="2"/>
      <c r="H681" s="146"/>
      <c r="I681" s="54" t="str">
        <f>OBRA!W683</f>
        <v>SOLEC ENERGY, S.A. DE C.V.</v>
      </c>
      <c r="J681" s="55" t="str">
        <f>OBRA!X683</f>
        <v>ARQ. FRANCISCO SALAZAR</v>
      </c>
      <c r="K681" s="33" t="str">
        <f>OBRA!N683</f>
        <v>C.P.S.P. DOP 023/2023</v>
      </c>
      <c r="L681" s="2" t="str">
        <f>OBRA!O683</f>
        <v>SERVICIOS</v>
      </c>
      <c r="M681" s="3" t="str">
        <f>OBRA!P683</f>
        <v>CONTRATACIÓN DE SERVICIOS PROFESIONALES PARA LA: ADECUACIONES COMPLEMENTARIAS PARA EL BUEN FUNCIONAMIENTO EN EL SERVICIO DE ENERGÍA ELÉCTRICA EN LA CICLOVÍA EN EL TRAMO DE SAN JUAN COSALÁ A NEXTIPAC, DEL MUNICIPIO DE JOCOTEPEC, JALISCO.</v>
      </c>
      <c r="N681" s="3"/>
      <c r="O681" s="1918"/>
      <c r="P681" s="67">
        <f>OBRA!S683</f>
        <v>45148</v>
      </c>
      <c r="Q681" s="79">
        <f>OBRA!R683</f>
        <v>161863.23319999999</v>
      </c>
      <c r="R681" s="79" t="s">
        <v>68</v>
      </c>
      <c r="S681" s="5">
        <f>OBRA!T683</f>
        <v>45152</v>
      </c>
      <c r="T681" s="11">
        <f>OBRA!U683</f>
        <v>45163</v>
      </c>
      <c r="U681" s="1352" t="s">
        <v>5620</v>
      </c>
      <c r="V681" s="62" t="s">
        <v>1428</v>
      </c>
      <c r="W681" s="201"/>
      <c r="X681" s="205"/>
      <c r="Y681" s="986" t="s">
        <v>1177</v>
      </c>
      <c r="Z681" s="309"/>
      <c r="AA681" s="309"/>
      <c r="AB681" s="5"/>
      <c r="AC681" s="317">
        <f>OBRA!BW683</f>
        <v>0</v>
      </c>
      <c r="AD681" s="352"/>
    </row>
    <row r="682" spans="1:30" ht="128.25" customHeight="1">
      <c r="A682" s="22" t="s">
        <v>2206</v>
      </c>
      <c r="B682" s="809">
        <f>GRAL!B949</f>
        <v>0</v>
      </c>
      <c r="C682" s="16">
        <f>OBRA!J684</f>
        <v>2023</v>
      </c>
      <c r="D682" s="17" t="str">
        <f>OBRA!M684</f>
        <v>CUENTA CORRIENTE</v>
      </c>
      <c r="E682" s="478" t="s">
        <v>1428</v>
      </c>
      <c r="F682" s="146"/>
      <c r="G682" s="2"/>
      <c r="H682" s="146"/>
      <c r="I682" s="54" t="str">
        <f>OBRA!W684</f>
        <v>ING. LUIS JOEL HUERTA LOMA</v>
      </c>
      <c r="J682" s="55" t="str">
        <f>OBRA!X684</f>
        <v>ARQ. FRANCISCO SALAZAR</v>
      </c>
      <c r="K682" s="33" t="str">
        <f>OBRA!N684</f>
        <v>C.P.S.P. DOP 024/2023</v>
      </c>
      <c r="L682" s="2" t="str">
        <f>OBRA!O684</f>
        <v>SERVICIOS</v>
      </c>
      <c r="M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4" t="s">
        <v>6532</v>
      </c>
      <c r="O682" s="1894"/>
      <c r="P682" s="67">
        <f>OBRA!S684</f>
        <v>45140</v>
      </c>
      <c r="Q682" s="79">
        <f>OBRA!R684</f>
        <v>34800</v>
      </c>
      <c r="R682" s="79" t="s">
        <v>68</v>
      </c>
      <c r="S682" s="5">
        <f>OBRA!T684</f>
        <v>45141</v>
      </c>
      <c r="T682" s="11">
        <f>OBRA!U684</f>
        <v>45143</v>
      </c>
      <c r="U682" s="1352" t="s">
        <v>5620</v>
      </c>
      <c r="V682" s="62" t="s">
        <v>1428</v>
      </c>
      <c r="W682" s="201"/>
      <c r="X682" s="205"/>
      <c r="Y682" s="986" t="s">
        <v>1177</v>
      </c>
      <c r="Z682" s="309"/>
      <c r="AA682" s="309"/>
      <c r="AB682" s="5"/>
      <c r="AC682" s="317">
        <f>OBRA!BW684</f>
        <v>0</v>
      </c>
      <c r="AD682" s="352"/>
    </row>
    <row r="683" spans="1:30" ht="138" customHeight="1">
      <c r="A683" s="22" t="s">
        <v>2206</v>
      </c>
      <c r="B683" s="809">
        <f>GRAL!B950</f>
        <v>0</v>
      </c>
      <c r="C683" s="16">
        <f>OBRA!J685</f>
        <v>2023</v>
      </c>
      <c r="D683" s="17" t="str">
        <f>OBRA!M685</f>
        <v>CUENTA CORRIENTE</v>
      </c>
      <c r="E683" s="478" t="s">
        <v>1428</v>
      </c>
      <c r="F683" s="496" t="s">
        <v>5901</v>
      </c>
      <c r="G683" s="495" t="s">
        <v>5901</v>
      </c>
      <c r="H683" s="146"/>
      <c r="I683" s="54" t="str">
        <f>OBRA!W685</f>
        <v>ING. LUIS JOEL HUERTA LOMA</v>
      </c>
      <c r="J683" s="55" t="str">
        <f>OBRA!X685</f>
        <v>ARQ. FRANCISCO SALAZAR</v>
      </c>
      <c r="K683" s="33" t="str">
        <f>OBRA!N685</f>
        <v>C.P.S.P. DOP 025/2023</v>
      </c>
      <c r="L683" s="2" t="str">
        <f>OBRA!O685</f>
        <v>SERVICIOS</v>
      </c>
      <c r="M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4" t="s">
        <v>6532</v>
      </c>
      <c r="O683" s="1894" t="s">
        <v>6829</v>
      </c>
      <c r="P683" s="67">
        <f>OBRA!S685</f>
        <v>45140</v>
      </c>
      <c r="Q683" s="79">
        <f>OBRA!R685</f>
        <v>54531.6</v>
      </c>
      <c r="R683" s="79" t="s">
        <v>68</v>
      </c>
      <c r="S683" s="5">
        <f>OBRA!T685</f>
        <v>45152</v>
      </c>
      <c r="T683" s="11">
        <f>OBRA!U685</f>
        <v>45155</v>
      </c>
      <c r="U683" s="1352" t="s">
        <v>5620</v>
      </c>
      <c r="V683" s="62" t="s">
        <v>1428</v>
      </c>
      <c r="W683" s="499" t="s">
        <v>5901</v>
      </c>
      <c r="X683" s="597" t="s">
        <v>5901</v>
      </c>
      <c r="Y683" s="986" t="s">
        <v>1177</v>
      </c>
      <c r="Z683" s="309"/>
      <c r="AA683" s="309"/>
      <c r="AB683" s="5"/>
      <c r="AC683" s="317">
        <f>OBRA!BW685</f>
        <v>0</v>
      </c>
      <c r="AD683" s="352"/>
    </row>
    <row r="684" spans="1:30" ht="124.5" customHeight="1">
      <c r="A684" s="22" t="s">
        <v>2206</v>
      </c>
      <c r="B684" s="809">
        <f>GRAL!B951</f>
        <v>0</v>
      </c>
      <c r="C684" s="16">
        <f>OBRA!J686</f>
        <v>2023</v>
      </c>
      <c r="D684" s="17" t="str">
        <f>OBRA!M686</f>
        <v>CUENTA CORRIENTE</v>
      </c>
      <c r="E684" s="478" t="s">
        <v>1428</v>
      </c>
      <c r="F684" s="146"/>
      <c r="G684" s="2"/>
      <c r="H684" s="146"/>
      <c r="I684" s="54" t="str">
        <f>OBRA!W686</f>
        <v>ING. LUIS JOEL HUERTA LOMA</v>
      </c>
      <c r="J684" s="55" t="str">
        <f>OBRA!X686</f>
        <v>ARQ. FRANCISCO SALAZAR</v>
      </c>
      <c r="K684" s="33" t="str">
        <f>OBRA!N686</f>
        <v>C.P.S.P. DOP 026/2023</v>
      </c>
      <c r="L684" s="2" t="str">
        <f>OBRA!O686</f>
        <v>SERVICIOS</v>
      </c>
      <c r="M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4" t="s">
        <v>6532</v>
      </c>
      <c r="O684" s="1894"/>
      <c r="P684" s="67">
        <f>OBRA!S686</f>
        <v>45140</v>
      </c>
      <c r="Q684" s="79">
        <f>OBRA!R686</f>
        <v>34800</v>
      </c>
      <c r="R684" s="79" t="s">
        <v>68</v>
      </c>
      <c r="S684" s="5">
        <f>OBRA!T686</f>
        <v>45144</v>
      </c>
      <c r="T684" s="11">
        <f>OBRA!U686</f>
        <v>45146</v>
      </c>
      <c r="U684" s="1352" t="s">
        <v>5620</v>
      </c>
      <c r="V684" s="62" t="s">
        <v>1428</v>
      </c>
      <c r="W684" s="201"/>
      <c r="X684" s="205"/>
      <c r="Y684" s="986" t="s">
        <v>1177</v>
      </c>
      <c r="Z684" s="309"/>
      <c r="AA684" s="309"/>
      <c r="AB684" s="5"/>
      <c r="AC684" s="317">
        <f>OBRA!BW686</f>
        <v>0</v>
      </c>
      <c r="AD684" s="352"/>
    </row>
    <row r="685" spans="1:30" ht="111.75" customHeight="1">
      <c r="A685" s="22" t="s">
        <v>2206</v>
      </c>
      <c r="B685" s="809">
        <f>GRAL!B952</f>
        <v>0</v>
      </c>
      <c r="C685" s="16">
        <f>OBRA!J687</f>
        <v>2023</v>
      </c>
      <c r="D685" s="17" t="str">
        <f>OBRA!M687</f>
        <v>CUENTA CORRIENTE</v>
      </c>
      <c r="E685" s="478" t="s">
        <v>1428</v>
      </c>
      <c r="F685" s="496" t="s">
        <v>6049</v>
      </c>
      <c r="G685" s="495" t="s">
        <v>6049</v>
      </c>
      <c r="H685" s="146"/>
      <c r="I685" s="54" t="str">
        <f>OBRA!W687</f>
        <v>PEDRO MACHUCA SAAVEDRA</v>
      </c>
      <c r="J685" s="55" t="str">
        <f>OBRA!X687</f>
        <v>ARQ. FRANCISCO SALAZAR</v>
      </c>
      <c r="K685" s="33" t="str">
        <f>OBRA!N687</f>
        <v>C.P.S.P. DOP 027/2023</v>
      </c>
      <c r="L685" s="2" t="str">
        <f>OBRA!O687</f>
        <v>SERVICIOS</v>
      </c>
      <c r="M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N685" s="504" t="s">
        <v>6532</v>
      </c>
      <c r="O685" s="1894" t="s">
        <v>6825</v>
      </c>
      <c r="P685" s="67">
        <f>OBRA!S687</f>
        <v>45140</v>
      </c>
      <c r="Q685" s="79">
        <f>OBRA!R687</f>
        <v>3500</v>
      </c>
      <c r="R685" s="79" t="s">
        <v>68</v>
      </c>
      <c r="S685" s="5">
        <f>OBRA!T687</f>
        <v>45142</v>
      </c>
      <c r="T685" s="11">
        <f>OBRA!U687</f>
        <v>45142</v>
      </c>
      <c r="U685" s="1352" t="s">
        <v>5620</v>
      </c>
      <c r="V685" s="62" t="s">
        <v>1428</v>
      </c>
      <c r="W685" s="499" t="s">
        <v>6049</v>
      </c>
      <c r="X685" s="597" t="s">
        <v>6049</v>
      </c>
      <c r="Y685" s="986" t="s">
        <v>1177</v>
      </c>
      <c r="Z685" s="309"/>
      <c r="AA685" s="309"/>
      <c r="AB685" s="5"/>
      <c r="AC685" s="317">
        <f>OBRA!BW687</f>
        <v>0</v>
      </c>
      <c r="AD685" s="352"/>
    </row>
    <row r="686" spans="1:30" ht="119.25" customHeight="1">
      <c r="A686" s="22" t="s">
        <v>2206</v>
      </c>
      <c r="B686" s="809">
        <f>GRAL!B953</f>
        <v>0</v>
      </c>
      <c r="C686" s="16">
        <f>OBRA!J688</f>
        <v>2023</v>
      </c>
      <c r="D686" s="17" t="str">
        <f>OBRA!M688</f>
        <v>CUENTA CORRIENTE</v>
      </c>
      <c r="E686" s="478" t="s">
        <v>1428</v>
      </c>
      <c r="F686" s="146"/>
      <c r="G686" s="2"/>
      <c r="H686" s="146"/>
      <c r="I686" s="54" t="str">
        <f>OBRA!W688</f>
        <v>PEDRO MACHUCA SAAVEDRA</v>
      </c>
      <c r="J686" s="55" t="str">
        <f>OBRA!X688</f>
        <v>ARQ. FRANCISCO SALAZAR</v>
      </c>
      <c r="K686" s="33" t="str">
        <f>OBRA!N688</f>
        <v>C.P.S.P. DOP 028/2023</v>
      </c>
      <c r="L686" s="2" t="str">
        <f>OBRA!O688</f>
        <v>SERVICIOS</v>
      </c>
      <c r="M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4" t="s">
        <v>6532</v>
      </c>
      <c r="O686" s="1894"/>
      <c r="P686" s="67">
        <f>OBRA!S688</f>
        <v>45140</v>
      </c>
      <c r="Q686" s="79">
        <f>OBRA!R688</f>
        <v>3500</v>
      </c>
      <c r="R686" s="79" t="s">
        <v>68</v>
      </c>
      <c r="S686" s="5">
        <f>OBRA!T688</f>
        <v>45143</v>
      </c>
      <c r="T686" s="11">
        <f>OBRA!U688</f>
        <v>45143</v>
      </c>
      <c r="U686" s="1352" t="s">
        <v>5620</v>
      </c>
      <c r="V686" s="62" t="s">
        <v>1428</v>
      </c>
      <c r="W686" s="201"/>
      <c r="X686" s="205"/>
      <c r="Y686" s="986" t="s">
        <v>1177</v>
      </c>
      <c r="Z686" s="309"/>
      <c r="AA686" s="309"/>
      <c r="AB686" s="5"/>
      <c r="AC686" s="317">
        <f>OBRA!BW688</f>
        <v>0</v>
      </c>
      <c r="AD686" s="352"/>
    </row>
    <row r="687" spans="1:30" ht="116.25" customHeight="1">
      <c r="A687" s="22" t="s">
        <v>2206</v>
      </c>
      <c r="B687" s="809">
        <f>GRAL!B954</f>
        <v>0</v>
      </c>
      <c r="C687" s="16">
        <f>OBRA!J689</f>
        <v>2023</v>
      </c>
      <c r="D687" s="17" t="str">
        <f>OBRA!M689</f>
        <v>CUENTA CORRIENTE</v>
      </c>
      <c r="E687" s="478" t="s">
        <v>1428</v>
      </c>
      <c r="F687" s="146"/>
      <c r="G687" s="2"/>
      <c r="H687" s="146"/>
      <c r="I687" s="54" t="str">
        <f>OBRA!W689</f>
        <v>PEDRO MACHUCA SAAVEDRA</v>
      </c>
      <c r="J687" s="55" t="str">
        <f>OBRA!X689</f>
        <v>ARQ. FRANCISCO SALAZAR</v>
      </c>
      <c r="K687" s="33" t="str">
        <f>OBRA!N689</f>
        <v>C.P.S.P. DOP 029/2023</v>
      </c>
      <c r="L687" s="2" t="str">
        <f>OBRA!O689</f>
        <v>SERVICIOS</v>
      </c>
      <c r="M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N687" s="504" t="s">
        <v>6532</v>
      </c>
      <c r="O687" s="1894"/>
      <c r="P687" s="67">
        <f>OBRA!S689</f>
        <v>45140</v>
      </c>
      <c r="Q687" s="79">
        <f>OBRA!R689</f>
        <v>3500</v>
      </c>
      <c r="R687" s="79" t="s">
        <v>68</v>
      </c>
      <c r="S687" s="5">
        <f>OBRA!T689</f>
        <v>45145</v>
      </c>
      <c r="T687" s="11">
        <f>OBRA!U689</f>
        <v>45145</v>
      </c>
      <c r="U687" s="1352" t="s">
        <v>5620</v>
      </c>
      <c r="V687" s="62" t="s">
        <v>1428</v>
      </c>
      <c r="W687" s="201"/>
      <c r="X687" s="205"/>
      <c r="Y687" s="986" t="s">
        <v>1177</v>
      </c>
      <c r="Z687" s="309"/>
      <c r="AA687" s="309"/>
      <c r="AB687" s="5"/>
      <c r="AC687" s="317">
        <f>OBRA!BW689</f>
        <v>0</v>
      </c>
      <c r="AD687" s="352"/>
    </row>
    <row r="688" spans="1:30" ht="107.25" customHeight="1">
      <c r="A688" s="22" t="s">
        <v>2206</v>
      </c>
      <c r="B688" s="809">
        <f>GRAL!B955</f>
        <v>0</v>
      </c>
      <c r="C688" s="16">
        <f>OBRA!J690</f>
        <v>2023</v>
      </c>
      <c r="D688" s="17" t="str">
        <f>OBRA!M690</f>
        <v>CUENTA CORRIENTE</v>
      </c>
      <c r="E688" s="478" t="s">
        <v>1428</v>
      </c>
      <c r="F688" s="146"/>
      <c r="G688" s="2"/>
      <c r="H688" s="146"/>
      <c r="I688" s="54" t="str">
        <f>OBRA!W690</f>
        <v>SOLEC ENERGY, S.A. DE C.V.</v>
      </c>
      <c r="J688" s="55" t="str">
        <f>OBRA!X690</f>
        <v>ARQ. FRANCISCO SALAZAR</v>
      </c>
      <c r="K688" s="33" t="str">
        <f>OBRA!N690</f>
        <v>C.P.S.P. DOP 030/2023</v>
      </c>
      <c r="L688" s="2" t="str">
        <f>OBRA!O690</f>
        <v>SERVICIOS</v>
      </c>
      <c r="M688" s="3" t="str">
        <f>OBRA!P690</f>
        <v>CONTRATACIÓN DE SERVICIOS PROFESIONALES PARA: TRABAJOS DIVERSOS EN CICLOVÍA DEL CADENAMIENTO 20.290976-103.410383 AL CADENAMIENTO 20.289391-103.349097 CON LA MANO DE OBRA CALIFICADA  EN EL TRAMO DE SAN JUAN COSALÁ, MUNICIPIO DE JOCOTEPEC, JALISCO.</v>
      </c>
      <c r="N688" s="504" t="s">
        <v>6532</v>
      </c>
      <c r="O688" s="1894"/>
      <c r="P688" s="67">
        <f>OBRA!S690</f>
        <v>45168</v>
      </c>
      <c r="Q688" s="79">
        <f>OBRA!R690</f>
        <v>50489.60319999999</v>
      </c>
      <c r="R688" s="79" t="s">
        <v>68</v>
      </c>
      <c r="S688" s="5">
        <f>OBRA!T690</f>
        <v>45175</v>
      </c>
      <c r="T688" s="11">
        <f>OBRA!U690</f>
        <v>45184</v>
      </c>
      <c r="U688" s="1352" t="s">
        <v>5620</v>
      </c>
      <c r="V688" s="62" t="s">
        <v>1428</v>
      </c>
      <c r="W688" s="201"/>
      <c r="X688" s="205"/>
      <c r="Y688" s="986" t="s">
        <v>1177</v>
      </c>
      <c r="Z688" s="309"/>
      <c r="AA688" s="309"/>
      <c r="AB688" s="5"/>
      <c r="AC688" s="317">
        <f>OBRA!BW690</f>
        <v>0</v>
      </c>
      <c r="AD688" s="352"/>
    </row>
    <row r="689" spans="1:30" ht="91.5" customHeight="1">
      <c r="A689" s="22" t="s">
        <v>2206</v>
      </c>
      <c r="B689" s="809">
        <f>GRAL!B936</f>
        <v>0</v>
      </c>
      <c r="C689" s="16">
        <f>OBRA!J691</f>
        <v>2023</v>
      </c>
      <c r="D689" s="17" t="str">
        <f>OBRA!M691</f>
        <v>CUENTA CORRIENTE</v>
      </c>
      <c r="E689" s="478" t="s">
        <v>1428</v>
      </c>
      <c r="F689" s="146"/>
      <c r="G689" s="2"/>
      <c r="H689" s="146"/>
      <c r="I689" s="54" t="str">
        <f>OBRA!W691</f>
        <v>SOLEC ENERGY, S.A. DE C.V.</v>
      </c>
      <c r="J689" s="55" t="str">
        <f>OBRA!X691</f>
        <v>ARQ. FRANCISCO SALAZAR</v>
      </c>
      <c r="K689" s="33" t="str">
        <f>OBRA!N691</f>
        <v>C.P.S.P. DOP 031/2023</v>
      </c>
      <c r="L689" s="2" t="str">
        <f>OBRA!O691</f>
        <v>SERVICIOS</v>
      </c>
      <c r="M689" s="3" t="str">
        <f>OBRA!P691</f>
        <v>CONTRATACIÓN DE SERVICIOS PROFESIONALES PARA: TRABAJOS DIVERSOS EN CICLOVÍA DEL CADENAMIENTO 20.29097-103.41065 AL CADENAMIENTO 20.289768-103.313651 CON LA MANO DE OBRA CALIFICADA  EN EL TRAMO DE SAN JUAN COSALÁ-NEXTIPAC, MUNICIPIO DE JOCOTEPEC, JALISCO.</v>
      </c>
      <c r="N689" s="504" t="s">
        <v>6533</v>
      </c>
      <c r="O689" s="1894"/>
      <c r="P689" s="67">
        <f>OBRA!S691</f>
        <v>45168</v>
      </c>
      <c r="Q689" s="79">
        <f>OBRA!R691</f>
        <v>142089.26999999999</v>
      </c>
      <c r="R689" s="79" t="s">
        <v>68</v>
      </c>
      <c r="S689" s="5">
        <f>OBRA!T691</f>
        <v>45180</v>
      </c>
      <c r="T689" s="11">
        <f>OBRA!U691</f>
        <v>45197</v>
      </c>
      <c r="U689" s="207" t="s">
        <v>5621</v>
      </c>
      <c r="V689" s="62" t="s">
        <v>1428</v>
      </c>
      <c r="W689" s="201"/>
      <c r="X689" s="205"/>
      <c r="Y689" s="986" t="s">
        <v>1177</v>
      </c>
      <c r="Z689" s="309"/>
      <c r="AA689" s="309"/>
      <c r="AB689" s="5"/>
      <c r="AC689" s="317" t="e">
        <f>OBRA!#REF!</f>
        <v>#REF!</v>
      </c>
      <c r="AD689" s="352"/>
    </row>
    <row r="690" spans="1:30" ht="94.5" customHeight="1">
      <c r="A690" s="22" t="s">
        <v>2206</v>
      </c>
      <c r="B690" s="809">
        <f>GRAL!B937</f>
        <v>0</v>
      </c>
      <c r="C690" s="16">
        <f>OBRA!J692</f>
        <v>2023</v>
      </c>
      <c r="D690" s="17" t="str">
        <f>OBRA!M692</f>
        <v>CUENTA CORRIENTE</v>
      </c>
      <c r="E690" s="478" t="s">
        <v>1428</v>
      </c>
      <c r="F690" s="496" t="s">
        <v>6057</v>
      </c>
      <c r="G690" s="495" t="s">
        <v>6057</v>
      </c>
      <c r="H690" s="146"/>
      <c r="I690" s="54" t="str">
        <f>OBRA!W692</f>
        <v>LUIS JOEL HUERTA LOMA</v>
      </c>
      <c r="J690" s="55" t="str">
        <f>OBRA!X692</f>
        <v>ARQ. FRANCISCO SALAZAR</v>
      </c>
      <c r="K690" s="33" t="str">
        <f>OBRA!N692</f>
        <v>C.P.S.P. DOP 032/2023</v>
      </c>
      <c r="L690" s="2" t="str">
        <f>OBRA!O692</f>
        <v>SERVICIOS</v>
      </c>
      <c r="M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N690" s="504" t="s">
        <v>6533</v>
      </c>
      <c r="O690" s="1894" t="s">
        <v>6831</v>
      </c>
      <c r="P690" s="67">
        <f>OBRA!S692</f>
        <v>45173</v>
      </c>
      <c r="Q690" s="79">
        <f>OBRA!R692</f>
        <v>9860</v>
      </c>
      <c r="R690" s="79" t="s">
        <v>68</v>
      </c>
      <c r="S690" s="5">
        <f>OBRA!T692</f>
        <v>45175</v>
      </c>
      <c r="T690" s="11">
        <f>OBRA!U692</f>
        <v>45177</v>
      </c>
      <c r="U690" s="207" t="s">
        <v>5621</v>
      </c>
      <c r="V690" s="62" t="s">
        <v>1428</v>
      </c>
      <c r="W690" s="499" t="s">
        <v>6057</v>
      </c>
      <c r="X690" s="205" t="s">
        <v>1428</v>
      </c>
      <c r="Y690" s="986" t="s">
        <v>1177</v>
      </c>
      <c r="Z690" s="309"/>
      <c r="AA690" s="309"/>
      <c r="AB690" s="5"/>
      <c r="AC690" s="317" t="e">
        <f>OBRA!#REF!</f>
        <v>#REF!</v>
      </c>
      <c r="AD690" s="352"/>
    </row>
    <row r="691" spans="1:30" ht="297.75" customHeight="1">
      <c r="A691" s="22" t="s">
        <v>2206</v>
      </c>
      <c r="B691" s="809">
        <f>GRAL!B938</f>
        <v>0</v>
      </c>
      <c r="C691" s="16">
        <f>OBRA!J693</f>
        <v>2023</v>
      </c>
      <c r="D691" s="17" t="str">
        <f>OBRA!M693</f>
        <v>CUENTA CORRIENTE</v>
      </c>
      <c r="E691" s="478" t="s">
        <v>1428</v>
      </c>
      <c r="F691" s="146"/>
      <c r="G691" s="2"/>
      <c r="H691" s="146"/>
      <c r="I691" s="54" t="str">
        <f>OBRA!W693</f>
        <v>ECCOC DE GUADALAJARA, S.A. DE C.V.</v>
      </c>
      <c r="J691" s="55" t="str">
        <f>OBRA!X693</f>
        <v>ARQ. FRANCISCO SALAZAR</v>
      </c>
      <c r="K691" s="33" t="str">
        <f>OBRA!N693</f>
        <v>C.P.S.P. DOP 033/2023</v>
      </c>
      <c r="L691" s="2" t="str">
        <f>OBRA!O693</f>
        <v>SERVICIOS</v>
      </c>
      <c r="M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4" t="s">
        <v>6533</v>
      </c>
      <c r="O691" s="1894"/>
      <c r="P691" s="67">
        <f>OBRA!S693</f>
        <v>45190</v>
      </c>
      <c r="Q691" s="79">
        <f>OBRA!R693</f>
        <v>34800</v>
      </c>
      <c r="R691" s="79" t="s">
        <v>68</v>
      </c>
      <c r="S691" s="5">
        <f>OBRA!T693</f>
        <v>45194</v>
      </c>
      <c r="T691" s="11">
        <f>OBRA!U693</f>
        <v>45195</v>
      </c>
      <c r="U691" s="207" t="s">
        <v>5621</v>
      </c>
      <c r="V691" s="62" t="s">
        <v>1428</v>
      </c>
      <c r="W691" s="201"/>
      <c r="X691" s="205"/>
      <c r="Y691" s="986" t="s">
        <v>1177</v>
      </c>
      <c r="Z691" s="309"/>
      <c r="AA691" s="309"/>
      <c r="AB691" s="5"/>
      <c r="AC691" s="317" t="e">
        <f>OBRA!#REF!</f>
        <v>#REF!</v>
      </c>
      <c r="AD691" s="352"/>
    </row>
    <row r="692" spans="1:30" ht="140.25" customHeight="1">
      <c r="A692" s="22" t="s">
        <v>2206</v>
      </c>
      <c r="B692" s="809">
        <f>GRAL!B939</f>
        <v>0</v>
      </c>
      <c r="C692" s="16">
        <f>OBRA!J694</f>
        <v>2023</v>
      </c>
      <c r="D692" s="17" t="str">
        <f>OBRA!M694</f>
        <v>CUENTA CORRIENTE</v>
      </c>
      <c r="E692" s="478" t="s">
        <v>1428</v>
      </c>
      <c r="F692" s="146"/>
      <c r="G692" s="2"/>
      <c r="H692" s="146"/>
      <c r="I692" s="54" t="str">
        <f>OBRA!W694</f>
        <v>LUIS JOEL HUERTA LOMA</v>
      </c>
      <c r="J692" s="55" t="str">
        <f>OBRA!X694</f>
        <v>ARQ. FRANCISCO SALAZAR</v>
      </c>
      <c r="K692" s="33" t="str">
        <f>OBRA!N694</f>
        <v>C.P.S.P. DOP 034/2023</v>
      </c>
      <c r="L692" s="2" t="str">
        <f>OBRA!O694</f>
        <v>SERVICIOS</v>
      </c>
      <c r="M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4" t="s">
        <v>6533</v>
      </c>
      <c r="O692" s="1894"/>
      <c r="P692" s="67">
        <f>OBRA!S694</f>
        <v>45209</v>
      </c>
      <c r="Q692" s="79">
        <f>OBRA!R694</f>
        <v>54287.999999999993</v>
      </c>
      <c r="R692" s="79" t="s">
        <v>68</v>
      </c>
      <c r="S692" s="5">
        <f>OBRA!T694</f>
        <v>45210</v>
      </c>
      <c r="T692" s="11">
        <f>OBRA!U694</f>
        <v>45243</v>
      </c>
      <c r="U692" s="207" t="s">
        <v>5621</v>
      </c>
      <c r="V692" s="62" t="s">
        <v>1428</v>
      </c>
      <c r="W692" s="201"/>
      <c r="X692" s="205"/>
      <c r="Y692" s="986" t="s">
        <v>1177</v>
      </c>
      <c r="Z692" s="309"/>
      <c r="AA692" s="309"/>
      <c r="AB692" s="5"/>
      <c r="AC692" s="317" t="e">
        <f>OBRA!#REF!</f>
        <v>#REF!</v>
      </c>
      <c r="AD692" s="352"/>
    </row>
    <row r="693" spans="1:30" ht="111.75" customHeight="1">
      <c r="A693" s="22" t="s">
        <v>2206</v>
      </c>
      <c r="B693" s="809">
        <f>GRAL!B940</f>
        <v>0</v>
      </c>
      <c r="C693" s="16">
        <f>OBRA!J695</f>
        <v>2023</v>
      </c>
      <c r="D693" s="17" t="str">
        <f>OBRA!M695</f>
        <v>CUENTA CORRIENTE</v>
      </c>
      <c r="E693" s="478" t="s">
        <v>1428</v>
      </c>
      <c r="F693" s="496" t="s">
        <v>5524</v>
      </c>
      <c r="G693" s="495" t="s">
        <v>5524</v>
      </c>
      <c r="H693" s="146"/>
      <c r="I693" s="54" t="str">
        <f>OBRA!W695</f>
        <v>SOLEC ENERGY, S.A. DE C.V.</v>
      </c>
      <c r="J693" s="55" t="str">
        <f>OBRA!X695</f>
        <v>ARQ. FRANCISCO SALAZAR</v>
      </c>
      <c r="K693" s="33" t="str">
        <f>OBRA!N695</f>
        <v>C.P.S.P. DOP 035/2023</v>
      </c>
      <c r="L693" s="2" t="str">
        <f>OBRA!O695</f>
        <v>SERVICIOS</v>
      </c>
      <c r="M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4" t="s">
        <v>6533</v>
      </c>
      <c r="O693" s="1894" t="s">
        <v>6832</v>
      </c>
      <c r="P693" s="67">
        <f>OBRA!S695</f>
        <v>45233</v>
      </c>
      <c r="Q693" s="79">
        <f>OBRA!R695</f>
        <v>30376.572</v>
      </c>
      <c r="R693" s="79" t="s">
        <v>68</v>
      </c>
      <c r="S693" s="5">
        <f>OBRA!T695</f>
        <v>45237</v>
      </c>
      <c r="T693" s="11">
        <f>OBRA!U695</f>
        <v>45239</v>
      </c>
      <c r="U693" s="207" t="s">
        <v>5621</v>
      </c>
      <c r="V693" s="62" t="s">
        <v>1428</v>
      </c>
      <c r="W693" s="499" t="s">
        <v>5524</v>
      </c>
      <c r="X693" s="205"/>
      <c r="Y693" s="986" t="s">
        <v>1177</v>
      </c>
      <c r="Z693" s="309"/>
      <c r="AA693" s="309"/>
      <c r="AB693" s="5"/>
      <c r="AC693" s="317" t="e">
        <f>OBRA!#REF!</f>
        <v>#REF!</v>
      </c>
      <c r="AD693" s="352"/>
    </row>
    <row r="694" spans="1:30" ht="247.5" customHeight="1">
      <c r="A694" s="22" t="s">
        <v>2206</v>
      </c>
      <c r="B694" s="809">
        <f>GRAL!B941</f>
        <v>0</v>
      </c>
      <c r="C694" s="16">
        <f>OBRA!J696</f>
        <v>2023</v>
      </c>
      <c r="D694" s="17" t="str">
        <f>OBRA!M696</f>
        <v>CUENTA CORRIENTE</v>
      </c>
      <c r="E694" s="478" t="s">
        <v>1428</v>
      </c>
      <c r="F694" s="146"/>
      <c r="G694" s="2"/>
      <c r="H694" s="146"/>
      <c r="I694" s="54" t="str">
        <f>OBRA!W696</f>
        <v>LUIS JOEL HUERTA LOMA</v>
      </c>
      <c r="J694" s="55" t="str">
        <f>OBRA!X696</f>
        <v>ARQ. FRANCISCO SALAZAR</v>
      </c>
      <c r="K694" s="33" t="str">
        <f>OBRA!N696</f>
        <v>C.P.S.P. DOP 036/2023</v>
      </c>
      <c r="L694" s="2" t="str">
        <f>OBRA!O696</f>
        <v>SERVICIOS</v>
      </c>
      <c r="M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4" t="s">
        <v>6533</v>
      </c>
      <c r="O694" s="1894"/>
      <c r="P694" s="67">
        <f>OBRA!S696</f>
        <v>45225</v>
      </c>
      <c r="Q694" s="79">
        <f>OBRA!R696</f>
        <v>56143.999999999993</v>
      </c>
      <c r="R694" s="79" t="s">
        <v>68</v>
      </c>
      <c r="S694" s="5">
        <f>OBRA!T696</f>
        <v>45226</v>
      </c>
      <c r="T694" s="11">
        <f>OBRA!U696</f>
        <v>45229</v>
      </c>
      <c r="U694" s="207" t="s">
        <v>5621</v>
      </c>
      <c r="V694" s="62" t="s">
        <v>1428</v>
      </c>
      <c r="W694" s="201"/>
      <c r="X694" s="205"/>
      <c r="Y694" s="986" t="s">
        <v>1177</v>
      </c>
      <c r="Z694" s="309"/>
      <c r="AA694" s="309"/>
      <c r="AB694" s="5"/>
      <c r="AC694" s="317" t="e">
        <f>OBRA!#REF!</f>
        <v>#REF!</v>
      </c>
      <c r="AD694" s="352"/>
    </row>
    <row r="695" spans="1:30" ht="107.25" customHeight="1">
      <c r="A695" s="22" t="s">
        <v>2206</v>
      </c>
      <c r="B695" s="809">
        <f>GRAL!B942</f>
        <v>0</v>
      </c>
      <c r="C695" s="16">
        <f>OBRA!J697</f>
        <v>2023</v>
      </c>
      <c r="D695" s="17" t="str">
        <f>OBRA!M697</f>
        <v>CUENTA CORRIENTE</v>
      </c>
      <c r="E695" s="478" t="s">
        <v>1428</v>
      </c>
      <c r="F695" s="496"/>
      <c r="G695" s="495" t="s">
        <v>6528</v>
      </c>
      <c r="H695" s="146"/>
      <c r="I695" s="54" t="str">
        <f>OBRA!W697</f>
        <v>ALEJANDRO RAMÍREZ CORTES</v>
      </c>
      <c r="J695" s="55" t="str">
        <f>OBRA!X697</f>
        <v>ARQ. FRANCISCO SALAZAR</v>
      </c>
      <c r="K695" s="33" t="str">
        <f>OBRA!N697</f>
        <v>C.P.S.P. DOP 038/2023</v>
      </c>
      <c r="L695" s="2" t="str">
        <f>OBRA!O697</f>
        <v>SERVICIOS</v>
      </c>
      <c r="M695" s="3" t="str">
        <f>OBRA!P697</f>
        <v>CONTRATACIÓN DE SERVICIO PROFESIONALES: PARA LA ELABORACIÓN DE UN DICTAMEN Y REVISIÓN ESTRUCTURAL, DEL TANQUE DE ALMACENAMIENTO DE AGUA POTABLE EN ZONA NORTE, EN LA CABECERA MUNICIPAL DE JOCOTEPEC, JALISCO.</v>
      </c>
      <c r="N695" s="504" t="s">
        <v>6533</v>
      </c>
      <c r="O695" s="1894" t="s">
        <v>6833</v>
      </c>
      <c r="P695" s="67">
        <f>OBRA!S697</f>
        <v>45264</v>
      </c>
      <c r="Q695" s="79">
        <f>OBRA!R697</f>
        <v>102831.39</v>
      </c>
      <c r="R695" s="79" t="s">
        <v>68</v>
      </c>
      <c r="S695" s="5">
        <f>OBRA!T697</f>
        <v>45266</v>
      </c>
      <c r="T695" s="11">
        <f>OBRA!U697</f>
        <v>45301</v>
      </c>
      <c r="U695" s="207" t="s">
        <v>5621</v>
      </c>
      <c r="V695" s="62" t="s">
        <v>1428</v>
      </c>
      <c r="W695" s="499" t="s">
        <v>6528</v>
      </c>
      <c r="X695" s="597" t="s">
        <v>6528</v>
      </c>
      <c r="Y695" s="986" t="s">
        <v>1177</v>
      </c>
      <c r="Z695" s="309"/>
      <c r="AA695" s="309"/>
      <c r="AB695" s="5"/>
      <c r="AC695" s="317" t="e">
        <f>OBRA!#REF!</f>
        <v>#REF!</v>
      </c>
      <c r="AD695" s="352"/>
    </row>
    <row r="696" spans="1:30" ht="135" customHeight="1">
      <c r="A696" s="22" t="s">
        <v>2206</v>
      </c>
      <c r="B696" s="809">
        <f>GRAL!B942</f>
        <v>0</v>
      </c>
      <c r="C696" s="16">
        <f>OBRA!J697</f>
        <v>2023</v>
      </c>
      <c r="D696" s="17" t="str">
        <f>OBRA!M698</f>
        <v>CUENTA CORRIENTE</v>
      </c>
      <c r="E696" s="478" t="s">
        <v>1428</v>
      </c>
      <c r="F696" s="496" t="s">
        <v>6167</v>
      </c>
      <c r="G696" s="495" t="s">
        <v>6167</v>
      </c>
      <c r="H696" s="146"/>
      <c r="I696" s="54" t="str">
        <f>OBRA!W698</f>
        <v xml:space="preserve">CICLOS GIP SC </v>
      </c>
      <c r="J696" s="55" t="str">
        <f>OBRA!X698</f>
        <v>ARQ. FRANCISCO SALAZAR</v>
      </c>
      <c r="K696" s="33" t="str">
        <f>OBRA!N698</f>
        <v>C.P.S.P. DOP 039/2023</v>
      </c>
      <c r="L696" s="2" t="str">
        <f>OBRA!O698</f>
        <v>SERVICIOS</v>
      </c>
      <c r="M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4" t="s">
        <v>6533</v>
      </c>
      <c r="O696" s="1894" t="s">
        <v>6827</v>
      </c>
      <c r="P696" s="67">
        <f>OBRA!S698</f>
        <v>45265</v>
      </c>
      <c r="Q696" s="79">
        <f>OBRA!R698</f>
        <v>23200</v>
      </c>
      <c r="R696" s="79" t="str">
        <f>GRAL!R700</f>
        <v>MES</v>
      </c>
      <c r="S696" s="5">
        <f>OBRA!T698</f>
        <v>45266</v>
      </c>
      <c r="T696" s="11">
        <f>OBRA!U698</f>
        <v>45267</v>
      </c>
      <c r="U696" s="207" t="s">
        <v>5621</v>
      </c>
      <c r="V696" s="62" t="s">
        <v>1428</v>
      </c>
      <c r="W696" s="499" t="s">
        <v>6167</v>
      </c>
      <c r="X696" s="597" t="s">
        <v>6167</v>
      </c>
      <c r="Y696" s="986" t="s">
        <v>1177</v>
      </c>
      <c r="Z696" s="309"/>
      <c r="AA696" s="309"/>
      <c r="AB696" s="5"/>
      <c r="AC696" s="317">
        <f>OBRA!BW698</f>
        <v>0</v>
      </c>
      <c r="AD696" s="352"/>
    </row>
    <row r="697" spans="1:30" ht="153" customHeight="1">
      <c r="A697" s="22" t="s">
        <v>2206</v>
      </c>
      <c r="B697" s="809">
        <f>GRAL!B943</f>
        <v>0</v>
      </c>
      <c r="C697" s="16">
        <f>OBRA!J699</f>
        <v>2023</v>
      </c>
      <c r="D697" s="17" t="str">
        <f>OBRA!M699</f>
        <v>CUENTA CORRIENTE</v>
      </c>
      <c r="E697" s="478" t="s">
        <v>1428</v>
      </c>
      <c r="F697" s="146"/>
      <c r="G697" s="495" t="s">
        <v>6528</v>
      </c>
      <c r="H697" s="146"/>
      <c r="I697" s="54" t="str">
        <f>OBRA!W699</f>
        <v>ALEJANDRO RAMÍREZ CORTES</v>
      </c>
      <c r="J697" s="55" t="str">
        <f>OBRA!X699</f>
        <v>ARQ. FRANCISCO SALAZAR</v>
      </c>
      <c r="K697" s="33" t="str">
        <f>OBRA!N699</f>
        <v>C.P.S.P. DOP 040/2023</v>
      </c>
      <c r="L697" s="2" t="str">
        <f>OBRA!O699</f>
        <v>SERVICIOS</v>
      </c>
      <c r="M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4" t="s">
        <v>6533</v>
      </c>
      <c r="O697" s="1894" t="s">
        <v>6833</v>
      </c>
      <c r="P697" s="67">
        <f>OBRA!S699</f>
        <v>45267</v>
      </c>
      <c r="Q697" s="79">
        <f>OBRA!R699</f>
        <v>45601.919999999998</v>
      </c>
      <c r="R697" s="79" t="str">
        <f>GRAL!R701</f>
        <v>DÍA</v>
      </c>
      <c r="S697" s="5">
        <f>OBRA!T699</f>
        <v>45271</v>
      </c>
      <c r="T697" s="11">
        <f>OBRA!U699</f>
        <v>45299</v>
      </c>
      <c r="U697" s="207" t="s">
        <v>5621</v>
      </c>
      <c r="V697" s="62" t="s">
        <v>1428</v>
      </c>
      <c r="W697" s="499" t="s">
        <v>6528</v>
      </c>
      <c r="X697" s="597" t="s">
        <v>6528</v>
      </c>
      <c r="Y697" s="986" t="s">
        <v>1177</v>
      </c>
      <c r="Z697" s="309"/>
      <c r="AA697" s="309"/>
      <c r="AB697" s="5"/>
      <c r="AC697" s="317">
        <f>OBRA!BW699</f>
        <v>0</v>
      </c>
      <c r="AD697" s="352"/>
    </row>
    <row r="698" spans="1:30" ht="92.25" customHeight="1">
      <c r="A698" s="22" t="s">
        <v>2206</v>
      </c>
      <c r="B698" s="809">
        <f>GRAL!B944</f>
        <v>0</v>
      </c>
      <c r="C698" s="16">
        <f>OBRA!J700</f>
        <v>2023</v>
      </c>
      <c r="D698" s="17" t="str">
        <f>OBRA!M700</f>
        <v>CUENTA CORRIENTE</v>
      </c>
      <c r="E698" s="478" t="s">
        <v>1428</v>
      </c>
      <c r="F698" s="496" t="s">
        <v>5523</v>
      </c>
      <c r="G698" s="495" t="s">
        <v>5523</v>
      </c>
      <c r="H698" s="146"/>
      <c r="I698" s="54" t="str">
        <f>OBRA!W700</f>
        <v>MARCO ANTONIO PAREDES RODRÍGUEZ</v>
      </c>
      <c r="J698" s="55" t="str">
        <f>OBRA!X700</f>
        <v>ARQ. FRANCISCO SALAZAR</v>
      </c>
      <c r="K698" s="33" t="str">
        <f>OBRA!N700</f>
        <v>C.P.S.P. DOP 041/2023</v>
      </c>
      <c r="L698" s="2" t="str">
        <f>OBRA!O700</f>
        <v>SERVICIOS</v>
      </c>
      <c r="M698" s="3" t="str">
        <f>OBRA!P700</f>
        <v>CONTRATACIÓN DEL SERVICIO PARA LA REALIZACIÓN DE LOS SIGUIENTES TRABAJOS, EN EL POZO DE CHANTEPEC, MUNICIPIO DE JOCOTEPEC, JALISCO.</v>
      </c>
      <c r="N698" s="504" t="s">
        <v>6533</v>
      </c>
      <c r="O698" s="1894" t="s">
        <v>6834</v>
      </c>
      <c r="P698" s="67">
        <f>OBRA!S700</f>
        <v>45275</v>
      </c>
      <c r="Q698" s="79">
        <f>OBRA!R700</f>
        <v>44196</v>
      </c>
      <c r="R698" s="79" t="str">
        <f>GRAL!R702</f>
        <v>DÍA</v>
      </c>
      <c r="S698" s="5">
        <f>OBRA!T700</f>
        <v>45280</v>
      </c>
      <c r="T698" s="11">
        <f>OBRA!U700</f>
        <v>45282</v>
      </c>
      <c r="U698" s="207" t="s">
        <v>5621</v>
      </c>
      <c r="V698" s="62" t="s">
        <v>1428</v>
      </c>
      <c r="W698" s="499" t="s">
        <v>5523</v>
      </c>
      <c r="X698" s="597" t="s">
        <v>5523</v>
      </c>
      <c r="Y698" s="986" t="s">
        <v>1177</v>
      </c>
      <c r="Z698" s="309"/>
      <c r="AA698" s="309"/>
      <c r="AB698" s="5"/>
      <c r="AC698" s="317">
        <f>OBRA!BW700</f>
        <v>0</v>
      </c>
      <c r="AD698" s="352"/>
    </row>
    <row r="699" spans="1:30" ht="105" customHeight="1">
      <c r="A699" s="22" t="s">
        <v>2206</v>
      </c>
      <c r="B699" s="809">
        <f>GRAL!B943</f>
        <v>0</v>
      </c>
      <c r="C699" s="16">
        <f>OBRA!J701</f>
        <v>2023</v>
      </c>
      <c r="D699" s="17" t="str">
        <f>OBRA!M701</f>
        <v>CUENTA CORRIENTE</v>
      </c>
      <c r="E699" s="478" t="s">
        <v>1428</v>
      </c>
      <c r="F699" s="146"/>
      <c r="G699" s="2"/>
      <c r="H699" s="146"/>
      <c r="I699" s="54" t="str">
        <f>OBRA!W701</f>
        <v>URBANIZADORA Y PAVIMENTADORA MONLE S.A. DE C.V.</v>
      </c>
      <c r="J699" s="55" t="str">
        <f>OBRA!X701</f>
        <v>C. DANIEL RODRIGUEZ VALENZUELA</v>
      </c>
      <c r="K699" s="33" t="str">
        <f>OBRA!N701</f>
        <v>C- OP 001/2023</v>
      </c>
      <c r="L699" s="2" t="str">
        <f>OBRA!O701</f>
        <v>ARRENDAMIENTO</v>
      </c>
      <c r="M699" s="3" t="str">
        <f>OBRA!P701</f>
        <v>RENTA DE UNA RETROEXCAVADORA JHON DEERE 310SJ 4X4, PARA SER UTILIZADAEN DIVERSOS MANTENIMIENTOS REQUERIDOS POR LA DIRECCIÓN DE OBRAS PÚBLICAS DEL GOBIERNO MUNICIPAL DE JOCOTEPEC, JALISCO.</v>
      </c>
      <c r="N699" s="504" t="s">
        <v>4884</v>
      </c>
      <c r="O699" s="1894" t="s">
        <v>6835</v>
      </c>
      <c r="P699" s="67">
        <f>OBRA!S701</f>
        <v>44928</v>
      </c>
      <c r="Q699" s="79">
        <f>OBRA!R701</f>
        <v>56839.999999999993</v>
      </c>
      <c r="R699" s="79" t="str">
        <f>GRAL!R703</f>
        <v>DÍA</v>
      </c>
      <c r="S699" s="5">
        <f>OBRA!T701</f>
        <v>44928</v>
      </c>
      <c r="T699" s="11">
        <f>OBRA!U701</f>
        <v>44957</v>
      </c>
      <c r="U699" s="207" t="s">
        <v>5621</v>
      </c>
      <c r="V699" s="62" t="s">
        <v>1428</v>
      </c>
      <c r="W699" s="201"/>
      <c r="X699" s="205"/>
      <c r="Y699" s="986" t="s">
        <v>1177</v>
      </c>
      <c r="Z699" s="309"/>
      <c r="AA699" s="309"/>
      <c r="AB699" s="5"/>
      <c r="AC699" s="317">
        <f>OBRA!BW701</f>
        <v>0</v>
      </c>
      <c r="AD699" s="352"/>
    </row>
    <row r="700" spans="1:30" ht="113.25" customHeight="1">
      <c r="A700" s="22" t="s">
        <v>2206</v>
      </c>
      <c r="B700" s="809">
        <f>GRAL!B944</f>
        <v>0</v>
      </c>
      <c r="C700" s="16">
        <f>OBRA!J702</f>
        <v>2023</v>
      </c>
      <c r="D700" s="17" t="str">
        <f>OBRA!M702</f>
        <v>CUENTA CORRIENTE</v>
      </c>
      <c r="E700" s="478" t="s">
        <v>1428</v>
      </c>
      <c r="F700" s="146"/>
      <c r="G700" s="2"/>
      <c r="H700" s="146"/>
      <c r="I700" s="54" t="str">
        <f>OBRA!W702</f>
        <v>BACHMEIER S.A. DE C.V.</v>
      </c>
      <c r="J700" s="55" t="str">
        <f>OBRA!X702</f>
        <v>ING. LUIS RIGOBERTO OLMEDO NAVARRO</v>
      </c>
      <c r="K700" s="33" t="str">
        <f>OBRA!N702</f>
        <v>C- OP 001A/2023</v>
      </c>
      <c r="L700" s="2" t="str">
        <f>OBRA!O702</f>
        <v>ARRENDAMIENTO</v>
      </c>
      <c r="M700" s="3" t="str">
        <f>OBRA!P702</f>
        <v>RENTA DE UN CAMIÓN (VOLTEO 7 M3) DODGE, MODELO 1989 CON PLACAS JL-0889, PARA SER UTILIZADO EN LAS OBRAS: MANTENIMIENTOS VARIOS EN LAS AGENCIAS, DELEGACIONES Y CABECERA MUNICIPAL DEL MUNICIPIO DE JOCOTEPEC, JALISCO.</v>
      </c>
      <c r="N700" s="504" t="s">
        <v>4884</v>
      </c>
      <c r="O700" s="1894" t="s">
        <v>6835</v>
      </c>
      <c r="P700" s="67">
        <f>OBRA!S702</f>
        <v>44929</v>
      </c>
      <c r="Q700" s="79">
        <f>OBRA!R702</f>
        <v>3248</v>
      </c>
      <c r="R700" s="79" t="str">
        <f>GRAL!R704</f>
        <v>DÍA</v>
      </c>
      <c r="S700" s="5">
        <f>OBRA!T702</f>
        <v>44929</v>
      </c>
      <c r="T700" s="11">
        <f>OBRA!U702</f>
        <v>44985</v>
      </c>
      <c r="U700" s="207" t="s">
        <v>5621</v>
      </c>
      <c r="V700" s="62" t="s">
        <v>1428</v>
      </c>
      <c r="W700" s="201"/>
      <c r="X700" s="205"/>
      <c r="Y700" s="986" t="s">
        <v>1177</v>
      </c>
      <c r="Z700" s="309"/>
      <c r="AA700" s="309"/>
      <c r="AB700" s="5"/>
      <c r="AC700" s="317">
        <f>OBRA!BW702</f>
        <v>0</v>
      </c>
      <c r="AD700" s="352"/>
    </row>
    <row r="701" spans="1:30" ht="107.25" customHeight="1">
      <c r="A701" s="22" t="s">
        <v>2206</v>
      </c>
      <c r="B701" s="809">
        <f>GRAL!B945</f>
        <v>0</v>
      </c>
      <c r="C701" s="16">
        <f>OBRA!J703</f>
        <v>2023</v>
      </c>
      <c r="D701" s="17" t="str">
        <f>OBRA!M703</f>
        <v>CUENTA CORRIENTE</v>
      </c>
      <c r="E701" s="478" t="s">
        <v>1428</v>
      </c>
      <c r="F701" s="146"/>
      <c r="G701" s="2"/>
      <c r="H701" s="146"/>
      <c r="I701" s="54" t="str">
        <f>OBRA!W703</f>
        <v>ALSERCON SA DE CV</v>
      </c>
      <c r="J701" s="55" t="str">
        <f>OBRA!X703</f>
        <v>C. DANIEL RODRIGUEZ VALENZUELA</v>
      </c>
      <c r="K701" s="33" t="str">
        <f>OBRA!N703</f>
        <v>C- OP 002/2023</v>
      </c>
      <c r="L701" s="2" t="str">
        <f>OBRA!O703</f>
        <v>ARRENDAMIENTO</v>
      </c>
      <c r="M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N701" s="504" t="s">
        <v>4884</v>
      </c>
      <c r="O701" s="1894" t="s">
        <v>6835</v>
      </c>
      <c r="P701" s="67">
        <f>OBRA!S703</f>
        <v>45005</v>
      </c>
      <c r="Q701" s="79">
        <f>OBRA!R703</f>
        <v>28999.999999999996</v>
      </c>
      <c r="R701" s="79" t="str">
        <f>GRAL!R705</f>
        <v>HORA</v>
      </c>
      <c r="S701" s="5">
        <f>OBRA!T703</f>
        <v>45007</v>
      </c>
      <c r="T701" s="11">
        <f>OBRA!U703</f>
        <v>45038</v>
      </c>
      <c r="U701" s="207" t="s">
        <v>5621</v>
      </c>
      <c r="V701" s="62" t="s">
        <v>1428</v>
      </c>
      <c r="W701" s="201"/>
      <c r="X701" s="205"/>
      <c r="Y701" s="986" t="s">
        <v>1177</v>
      </c>
      <c r="Z701" s="309"/>
      <c r="AA701" s="309"/>
      <c r="AB701" s="5"/>
      <c r="AC701" s="317">
        <f>OBRA!BW703</f>
        <v>0</v>
      </c>
      <c r="AD701" s="352"/>
    </row>
    <row r="702" spans="1:30" ht="113.25" customHeight="1">
      <c r="A702" s="22" t="s">
        <v>2206</v>
      </c>
      <c r="B702" s="809">
        <f>GRAL!B946</f>
        <v>0</v>
      </c>
      <c r="C702" s="16">
        <f>OBRA!J704</f>
        <v>2023</v>
      </c>
      <c r="D702" s="17" t="str">
        <f>OBRA!M704</f>
        <v>CUENTA CORRIENTE</v>
      </c>
      <c r="E702" s="478" t="s">
        <v>1428</v>
      </c>
      <c r="F702" s="146"/>
      <c r="G702" s="2"/>
      <c r="H702" s="146"/>
      <c r="I702" s="54" t="str">
        <f>OBRA!W704</f>
        <v>URBANIZADORA Y PAVIMENTADORA MONLE S.A. DE C.V.</v>
      </c>
      <c r="J702" s="55" t="str">
        <f>OBRA!X704</f>
        <v>C. DANIEL RODRIGUEZ VALENZUELA</v>
      </c>
      <c r="K702" s="33" t="str">
        <f>OBRA!N704</f>
        <v>C- OP 003/2023</v>
      </c>
      <c r="L702" s="2" t="str">
        <f>OBRA!O704</f>
        <v>ARRENDAMIENTO</v>
      </c>
      <c r="M702" s="3" t="str">
        <f>OBRA!P704</f>
        <v>RENTA DE UNA RETROEXCAVADORA JHON DEERE 310SJ 4X4, PARA SER UTILIZADA EN DIVERSOS MANTENIMIENTOS REQUERIDOS POR LA DIRECCIÓN DE OBRAS PÚBLICAS DEL GOBIERNO MUNICIPAL DE JOCOTEPEC, JALISCO.</v>
      </c>
      <c r="N702" s="504" t="s">
        <v>4884</v>
      </c>
      <c r="O702" s="1894" t="s">
        <v>6835</v>
      </c>
      <c r="P702" s="67">
        <f>OBRA!S704</f>
        <v>44956</v>
      </c>
      <c r="Q702" s="79">
        <f>OBRA!R704</f>
        <v>59681.999999999993</v>
      </c>
      <c r="R702" s="79" t="str">
        <f>GRAL!R706</f>
        <v>HORA</v>
      </c>
      <c r="S702" s="5">
        <f>OBRA!T704</f>
        <v>44958</v>
      </c>
      <c r="T702" s="11">
        <f>OBRA!U704</f>
        <v>44985</v>
      </c>
      <c r="U702" s="207" t="s">
        <v>5621</v>
      </c>
      <c r="V702" s="62" t="s">
        <v>1428</v>
      </c>
      <c r="W702" s="201"/>
      <c r="X702" s="205"/>
      <c r="Y702" s="986" t="s">
        <v>1177</v>
      </c>
      <c r="Z702" s="309"/>
      <c r="AA702" s="309"/>
      <c r="AB702" s="5"/>
      <c r="AC702" s="317">
        <f>OBRA!BW704</f>
        <v>0</v>
      </c>
      <c r="AD702" s="352"/>
    </row>
    <row r="703" spans="1:30" ht="108" customHeight="1">
      <c r="A703" s="22" t="s">
        <v>2206</v>
      </c>
      <c r="B703" s="809">
        <f>GRAL!B947</f>
        <v>0</v>
      </c>
      <c r="C703" s="16">
        <f>OBRA!J705</f>
        <v>2023</v>
      </c>
      <c r="D703" s="17" t="str">
        <f>OBRA!M705</f>
        <v>CUENTA CORRIENTE</v>
      </c>
      <c r="E703" s="478" t="s">
        <v>1428</v>
      </c>
      <c r="F703" s="146"/>
      <c r="G703" s="2"/>
      <c r="H703" s="146"/>
      <c r="I703" s="54" t="str">
        <f>OBRA!W705</f>
        <v xml:space="preserve">DORIA &amp; SAMPIER CONSTRUCTORA, S.A. DE C.V. </v>
      </c>
      <c r="J703" s="55" t="str">
        <f>OBRA!X705</f>
        <v>C. DANIEL RODRIGUEZ VALENZUELA</v>
      </c>
      <c r="K703" s="33" t="str">
        <f>OBRA!N705</f>
        <v>C- OP 004/2023</v>
      </c>
      <c r="L703" s="2" t="str">
        <f>OBRA!O705</f>
        <v>ARRENDAMIENTO</v>
      </c>
      <c r="M703" s="3" t="str">
        <f>OBRA!P705</f>
        <v>RENTA DE UNA RETROEXCAVADORA MARCA JCB MOD. 2000 SERIE 4214E, PARA SER UTILIZADA EN LA CONSTRUCCIÓN DE BASE PARA LA COLOCACIÓN DE LETRAS MONUMENTALES DE SAN JOSE POTRERILLOS, DEL MUNICIPIO DE JOCOTEPEC, JALISCO.</v>
      </c>
      <c r="N703" s="504" t="s">
        <v>4884</v>
      </c>
      <c r="O703" s="1894" t="s">
        <v>6835</v>
      </c>
      <c r="P703" s="67">
        <f>OBRA!S705</f>
        <v>44981</v>
      </c>
      <c r="Q703" s="79">
        <f>OBRA!R705</f>
        <v>638</v>
      </c>
      <c r="R703" s="79" t="str">
        <f>GRAL!R707</f>
        <v>HORA</v>
      </c>
      <c r="S703" s="5">
        <f>OBRA!T705</f>
        <v>44985</v>
      </c>
      <c r="T703" s="11">
        <f>OBRA!U705</f>
        <v>44989</v>
      </c>
      <c r="U703" s="207" t="s">
        <v>5621</v>
      </c>
      <c r="V703" s="62" t="s">
        <v>1428</v>
      </c>
      <c r="W703" s="201"/>
      <c r="X703" s="205"/>
      <c r="Y703" s="986" t="s">
        <v>1177</v>
      </c>
      <c r="Z703" s="309"/>
      <c r="AA703" s="309"/>
      <c r="AB703" s="5"/>
      <c r="AC703" s="317">
        <f>OBRA!BW705</f>
        <v>0</v>
      </c>
      <c r="AD703" s="352"/>
    </row>
    <row r="704" spans="1:30" ht="100.5" customHeight="1">
      <c r="A704" s="22" t="s">
        <v>2206</v>
      </c>
      <c r="B704" s="809">
        <f>GRAL!B948</f>
        <v>0</v>
      </c>
      <c r="C704" s="16">
        <f>OBRA!J706</f>
        <v>2023</v>
      </c>
      <c r="D704" s="17" t="str">
        <f>OBRA!M706</f>
        <v>CUENTA CORRIENTE</v>
      </c>
      <c r="E704" s="478" t="s">
        <v>1428</v>
      </c>
      <c r="F704" s="146"/>
      <c r="G704" s="2"/>
      <c r="H704" s="146"/>
      <c r="I704" s="54" t="str">
        <f>OBRA!W706</f>
        <v>ALSERCON SA DE CV</v>
      </c>
      <c r="J704" s="55" t="str">
        <f>OBRA!X706</f>
        <v>C. DANIEL RODRIGUEZ VALENZUELA</v>
      </c>
      <c r="K704" s="33" t="str">
        <f>OBRA!N706</f>
        <v>C- OP 005/2023</v>
      </c>
      <c r="L704" s="2" t="str">
        <f>OBRA!O706</f>
        <v>ARRENDAMIENTO</v>
      </c>
      <c r="M704" s="3" t="str">
        <f>OBRA!P706</f>
        <v>RENTA DE CAMIÓN TIPO PIPA MARCA DODGE RAM 6500 MOD. 1996 PLACAS JM57075, CON CAPACIDAD DE 10,000 LITROS PARA EL SERVICIO DE ACARREO DE AGUA EN EL MUNICIPIO DE JOCOTEPEC, JALISCO.</v>
      </c>
      <c r="N704" s="504" t="s">
        <v>4884</v>
      </c>
      <c r="O704" s="1894" t="s">
        <v>6836</v>
      </c>
      <c r="P704" s="67">
        <f>OBRA!S706</f>
        <v>45037</v>
      </c>
      <c r="Q704" s="79">
        <f>OBRA!R706</f>
        <v>28999.999999999996</v>
      </c>
      <c r="R704" s="79" t="str">
        <f>GRAL!R708</f>
        <v>HORA</v>
      </c>
      <c r="S704" s="5">
        <f>OBRA!T706</f>
        <v>45039</v>
      </c>
      <c r="T704" s="11">
        <f>OBRA!U706</f>
        <v>45069</v>
      </c>
      <c r="U704" s="207" t="s">
        <v>5621</v>
      </c>
      <c r="V704" s="62" t="s">
        <v>1428</v>
      </c>
      <c r="W704" s="201"/>
      <c r="X704" s="205"/>
      <c r="Y704" s="986" t="s">
        <v>1177</v>
      </c>
      <c r="Z704" s="309"/>
      <c r="AA704" s="309"/>
      <c r="AB704" s="5"/>
      <c r="AC704" s="317">
        <f>OBRA!BW706</f>
        <v>0</v>
      </c>
      <c r="AD704" s="352"/>
    </row>
    <row r="705" spans="1:30" ht="117" customHeight="1">
      <c r="A705" s="22" t="s">
        <v>2206</v>
      </c>
      <c r="B705" s="809">
        <f>GRAL!B949</f>
        <v>0</v>
      </c>
      <c r="C705" s="16">
        <f>OBRA!J707</f>
        <v>2023</v>
      </c>
      <c r="D705" s="17" t="str">
        <f>OBRA!M707</f>
        <v>CUENTA CORRIENTE</v>
      </c>
      <c r="E705" s="478" t="s">
        <v>1428</v>
      </c>
      <c r="F705" s="146"/>
      <c r="G705" s="2"/>
      <c r="H705" s="146"/>
      <c r="I705" s="54" t="str">
        <f>OBRA!W707</f>
        <v>URBANIZADORA Y PAVIMENTADORA MONLE S.A. DE C.V.</v>
      </c>
      <c r="J705" s="55" t="str">
        <f>OBRA!X707</f>
        <v>C. DANIEL RODRIGUEZ VALENZUELA</v>
      </c>
      <c r="K705" s="33" t="str">
        <f>OBRA!N707</f>
        <v>C- OP 006/2023</v>
      </c>
      <c r="L705" s="2" t="str">
        <f>OBRA!O707</f>
        <v>ARRENDAMIENTO</v>
      </c>
      <c r="M705" s="3" t="str">
        <f>OBRA!P707</f>
        <v>RENTA DE UNA RETROEXCAVADORA DEE 310SJ 4X4, PARA SER UTILIZADA EN DIVERSOS MANTENIMIENTOS REQUERIDOS POR LA DIRECCIÓN DE OBRAS PÚBLICAS DEL GOBIERNO MUNICIPAL DE JOCOTEPEC, JALISCO.</v>
      </c>
      <c r="N705" s="504" t="s">
        <v>4884</v>
      </c>
      <c r="O705" s="1894" t="s">
        <v>6835</v>
      </c>
      <c r="P705" s="67">
        <f>OBRA!S707</f>
        <v>45015</v>
      </c>
      <c r="Q705" s="79">
        <f>OBRA!R707</f>
        <v>59681.999999999993</v>
      </c>
      <c r="R705" s="79" t="str">
        <f>GRAL!R709</f>
        <v>HORA</v>
      </c>
      <c r="S705" s="5">
        <f>OBRA!T707</f>
        <v>45017</v>
      </c>
      <c r="T705" s="11">
        <f>OBRA!U707</f>
        <v>45046</v>
      </c>
      <c r="U705" s="207" t="s">
        <v>5621</v>
      </c>
      <c r="V705" s="62" t="s">
        <v>1428</v>
      </c>
      <c r="W705" s="201"/>
      <c r="X705" s="205"/>
      <c r="Y705" s="986" t="s">
        <v>1177</v>
      </c>
      <c r="Z705" s="309"/>
      <c r="AA705" s="309"/>
      <c r="AB705" s="5"/>
      <c r="AC705" s="317">
        <f>OBRA!BW707</f>
        <v>0</v>
      </c>
      <c r="AD705" s="352"/>
    </row>
    <row r="706" spans="1:30" ht="120.75" customHeight="1">
      <c r="A706" s="22" t="s">
        <v>2206</v>
      </c>
      <c r="B706" s="809">
        <f>GRAL!B950</f>
        <v>0</v>
      </c>
      <c r="C706" s="16">
        <f>OBRA!J708</f>
        <v>2023</v>
      </c>
      <c r="D706" s="17" t="str">
        <f>OBRA!M708</f>
        <v>CUENTA CORRIENTE</v>
      </c>
      <c r="E706" s="478" t="s">
        <v>1428</v>
      </c>
      <c r="F706" s="146"/>
      <c r="G706" s="2"/>
      <c r="H706" s="146"/>
      <c r="I706" s="54" t="str">
        <f>OBRA!W708</f>
        <v>CONSTRUCTORES BACHMEIER S.A. DE C.V.</v>
      </c>
      <c r="J706" s="55" t="str">
        <f>OBRA!X708</f>
        <v>ING. LUIS RIGOBERTO OLMEDO NAVARRO</v>
      </c>
      <c r="K706" s="33" t="str">
        <f>OBRA!N708</f>
        <v>C- OP 006A/2023</v>
      </c>
      <c r="L706" s="2" t="str">
        <f>OBRA!O708</f>
        <v>ARRENDAMIENTO</v>
      </c>
      <c r="M706" s="3" t="str">
        <f>OBRA!P708</f>
        <v>RENTA DE EXCAVADORA CAT 320, PARA SER UTILIZADA EN LAS OBRAS: DESAZOLVES EN ARROYOS, DE LAS DELEGACIONES Y DE LA CABECERA DEL MUNICIPIO DE JOCOTEPEC, JALISCO.</v>
      </c>
      <c r="N706" s="504" t="s">
        <v>4884</v>
      </c>
      <c r="O706" s="1894" t="s">
        <v>6835</v>
      </c>
      <c r="P706" s="67">
        <f>OBRA!S708</f>
        <v>45033</v>
      </c>
      <c r="Q706" s="79">
        <f>OBRA!R708</f>
        <v>4750.0027999999993</v>
      </c>
      <c r="R706" s="79" t="str">
        <f>GRAL!R710</f>
        <v>HORA</v>
      </c>
      <c r="S706" s="5">
        <f>OBRA!T708</f>
        <v>45033</v>
      </c>
      <c r="T706" s="11">
        <f>OBRA!U708</f>
        <v>45094</v>
      </c>
      <c r="U706" s="207" t="s">
        <v>5621</v>
      </c>
      <c r="V706" s="62" t="s">
        <v>1428</v>
      </c>
      <c r="W706" s="201"/>
      <c r="X706" s="205"/>
      <c r="Y706" s="986" t="s">
        <v>1177</v>
      </c>
      <c r="Z706" s="309"/>
      <c r="AA706" s="309"/>
      <c r="AB706" s="5"/>
      <c r="AC706" s="317">
        <f>OBRA!BW708</f>
        <v>0</v>
      </c>
      <c r="AD706" s="352"/>
    </row>
    <row r="707" spans="1:30" ht="81.75" customHeight="1">
      <c r="A707" s="22" t="s">
        <v>2206</v>
      </c>
      <c r="B707" s="809">
        <f>GRAL!B951</f>
        <v>0</v>
      </c>
      <c r="C707" s="16">
        <f>OBRA!J709</f>
        <v>2023</v>
      </c>
      <c r="D707" s="17" t="str">
        <f>OBRA!M709</f>
        <v>CUENTA CORRIENTE</v>
      </c>
      <c r="E707" s="478" t="s">
        <v>1428</v>
      </c>
      <c r="F707" s="146"/>
      <c r="G707" s="2"/>
      <c r="H707" s="146"/>
      <c r="I707" s="54" t="str">
        <f>OBRA!W709</f>
        <v>CONSTRUCTORES BACHMEIER S.A. DE C.V.</v>
      </c>
      <c r="J707" s="55" t="str">
        <f>OBRA!X709</f>
        <v>ING. LUIS RIGOBERTO OLMEDO NAVARRO</v>
      </c>
      <c r="K707" s="33" t="str">
        <f>OBRA!N709</f>
        <v>C- OP 006B/2023</v>
      </c>
      <c r="L707" s="2" t="str">
        <f>OBRA!O709</f>
        <v>ARRENDAMIENTO</v>
      </c>
      <c r="M707" s="3" t="str">
        <f>OBRA!P709</f>
        <v>RENTA DE UNA EXCAVADORA, PARA SER UTILIZADA EN LAS OBRAS: MANTENIMIENTOS VARIOS EN LAS AGENCIAS, DELEGACIONES Y CABECERA DEL MUNICIPIO DE JOCOTEPEC, JALISCO.</v>
      </c>
      <c r="N707" s="504" t="s">
        <v>4884</v>
      </c>
      <c r="O707" s="1894" t="s">
        <v>6835</v>
      </c>
      <c r="P707" s="67">
        <f>OBRA!S709</f>
        <v>45033</v>
      </c>
      <c r="Q707" s="79">
        <f>OBRA!R709</f>
        <v>1899.9987999999998</v>
      </c>
      <c r="R707" s="79" t="str">
        <f>GRAL!R711</f>
        <v>MES</v>
      </c>
      <c r="S707" s="5">
        <f>OBRA!T709</f>
        <v>45033</v>
      </c>
      <c r="T707" s="11">
        <f>OBRA!U709</f>
        <v>45094</v>
      </c>
      <c r="U707" s="207" t="s">
        <v>5621</v>
      </c>
      <c r="V707" s="62" t="s">
        <v>1428</v>
      </c>
      <c r="W707" s="201"/>
      <c r="X707" s="205"/>
      <c r="Y707" s="986" t="s">
        <v>1177</v>
      </c>
      <c r="Z707" s="309"/>
      <c r="AA707" s="309"/>
      <c r="AB707" s="5"/>
      <c r="AC707" s="317">
        <f>OBRA!BW709</f>
        <v>0</v>
      </c>
      <c r="AD707" s="352"/>
    </row>
    <row r="708" spans="1:30" ht="145.5" customHeight="1">
      <c r="A708" s="22" t="s">
        <v>2206</v>
      </c>
      <c r="B708" s="809">
        <f>GRAL!B952</f>
        <v>0</v>
      </c>
      <c r="C708" s="16">
        <f>OBRA!J710</f>
        <v>2023</v>
      </c>
      <c r="D708" s="17" t="str">
        <f>OBRA!M710</f>
        <v>CUENTA CORRIENTE</v>
      </c>
      <c r="E708" s="478" t="s">
        <v>1428</v>
      </c>
      <c r="F708" s="146"/>
      <c r="G708" s="2"/>
      <c r="H708" s="146"/>
      <c r="I708" s="54" t="str">
        <f>OBRA!W710</f>
        <v xml:space="preserve">DORIA &amp; SAMPIER CONSTRUCTORA, S.A. DE C.V. </v>
      </c>
      <c r="J708" s="55" t="str">
        <f>OBRA!X710</f>
        <v>C. DANIEL RODRIGUEZ VALENZUELA</v>
      </c>
      <c r="K708" s="33" t="str">
        <f>OBRA!N710</f>
        <v>C- OP 007/2023</v>
      </c>
      <c r="L708" s="2" t="str">
        <f>OBRA!O710</f>
        <v>ARRENDAMIENTO</v>
      </c>
      <c r="M708" s="3" t="str">
        <f>OBRA!P710</f>
        <v>RENTA DE UN CAMIÓN VOLTEO MARCA KENWORTH COLOR AZUL PLACA JU00932 Y UN CAMIÓN VOLTEO MARCA INTERNACIONAL COLOR AMARILLO PLACA 09AF9U, PARA SER UTILIZADO EN EL ACARREO DE MATERIAL POR DESAZOLVES DE ARROYOS EN EL MUNICIPIO DE JOCOTEPEC, JALISCO.</v>
      </c>
      <c r="N708" s="504" t="s">
        <v>4884</v>
      </c>
      <c r="O708" s="1894" t="s">
        <v>6835</v>
      </c>
      <c r="P708" s="67">
        <f>OBRA!S710</f>
        <v>45034</v>
      </c>
      <c r="Q708" s="79">
        <f>OBRA!R710</f>
        <v>5220</v>
      </c>
      <c r="R708" s="79" t="str">
        <f>GRAL!R712</f>
        <v>DÍA</v>
      </c>
      <c r="S708" s="5">
        <f>OBRA!T710</f>
        <v>45036</v>
      </c>
      <c r="T708" s="11">
        <f>OBRA!U710</f>
        <v>45066</v>
      </c>
      <c r="U708" s="207" t="s">
        <v>5621</v>
      </c>
      <c r="V708" s="62" t="s">
        <v>1428</v>
      </c>
      <c r="W708" s="201"/>
      <c r="X708" s="205"/>
      <c r="Y708" s="986" t="s">
        <v>1177</v>
      </c>
      <c r="Z708" s="309"/>
      <c r="AA708" s="309"/>
      <c r="AB708" s="5"/>
      <c r="AC708" s="317">
        <f>OBRA!BW710</f>
        <v>0</v>
      </c>
      <c r="AD708" s="352"/>
    </row>
    <row r="709" spans="1:30" ht="99.75" customHeight="1">
      <c r="A709" s="22" t="s">
        <v>2206</v>
      </c>
      <c r="B709" s="809">
        <f>GRAL!B953</f>
        <v>0</v>
      </c>
      <c r="C709" s="16">
        <f>OBRA!J711</f>
        <v>2023</v>
      </c>
      <c r="D709" s="17" t="str">
        <f>OBRA!M711</f>
        <v>CUENTA CORRIENTE</v>
      </c>
      <c r="E709" s="478" t="s">
        <v>1428</v>
      </c>
      <c r="F709" s="146"/>
      <c r="G709" s="2"/>
      <c r="H709" s="146"/>
      <c r="I709" s="54" t="str">
        <f>OBRA!W711</f>
        <v xml:space="preserve">DORIA &amp; SAMPIER CONSTRUCTORA, S.A. DE C.V. </v>
      </c>
      <c r="J709" s="55" t="str">
        <f>OBRA!X711</f>
        <v>C. DANIEL RODRIGUEZ VALENZUELA</v>
      </c>
      <c r="K709" s="33" t="str">
        <f>OBRA!N711</f>
        <v>C- OP 008/2023</v>
      </c>
      <c r="L709" s="2" t="str">
        <f>OBRA!O711</f>
        <v>ARRENDAMIENTO</v>
      </c>
      <c r="M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N709" s="504" t="s">
        <v>4884</v>
      </c>
      <c r="O709" s="1894" t="s">
        <v>6835</v>
      </c>
      <c r="P709" s="67">
        <f>OBRA!S711</f>
        <v>45034</v>
      </c>
      <c r="Q709" s="79">
        <f>OBRA!R711</f>
        <v>5220</v>
      </c>
      <c r="R709" s="79" t="str">
        <f>GRAL!R713</f>
        <v>HORA</v>
      </c>
      <c r="S709" s="5">
        <f>OBRA!T711</f>
        <v>45036</v>
      </c>
      <c r="T709" s="11">
        <f>OBRA!U711</f>
        <v>45066</v>
      </c>
      <c r="U709" s="207" t="s">
        <v>5621</v>
      </c>
      <c r="V709" s="62" t="s">
        <v>1428</v>
      </c>
      <c r="W709" s="201"/>
      <c r="X709" s="205"/>
      <c r="Y709" s="986" t="s">
        <v>1177</v>
      </c>
      <c r="Z709" s="309"/>
      <c r="AA709" s="309"/>
      <c r="AB709" s="5"/>
      <c r="AC709" s="317">
        <f>OBRA!BW711</f>
        <v>0</v>
      </c>
      <c r="AD709" s="352"/>
    </row>
    <row r="710" spans="1:30" ht="112.5" customHeight="1">
      <c r="A710" s="22" t="s">
        <v>2206</v>
      </c>
      <c r="B710" s="809">
        <f>GRAL!B954</f>
        <v>0</v>
      </c>
      <c r="C710" s="16">
        <f>OBRA!J712</f>
        <v>2023</v>
      </c>
      <c r="D710" s="17" t="str">
        <f>OBRA!M712</f>
        <v>CUENTA CORRIENTE</v>
      </c>
      <c r="E710" s="478" t="s">
        <v>1428</v>
      </c>
      <c r="F710" s="496" t="s">
        <v>6053</v>
      </c>
      <c r="G710" s="495" t="s">
        <v>6053</v>
      </c>
      <c r="H710" s="146"/>
      <c r="I710" s="54" t="str">
        <f>OBRA!W712</f>
        <v xml:space="preserve">DORIA &amp; SAMPIER CONSTRUCTORA, S.A. DE C.V. </v>
      </c>
      <c r="J710" s="55" t="str">
        <f>OBRA!X712</f>
        <v>C. DANIEL RODRIGUEZ VALENZUELA</v>
      </c>
      <c r="K710" s="33" t="str">
        <f>OBRA!N712</f>
        <v>C- OP 009/2023</v>
      </c>
      <c r="L710" s="2" t="str">
        <f>OBRA!O712</f>
        <v>ARRENDAMIENTO</v>
      </c>
      <c r="M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N710" s="504" t="s">
        <v>4884</v>
      </c>
      <c r="O710" s="1894" t="s">
        <v>6837</v>
      </c>
      <c r="P710" s="67">
        <f>OBRA!S712</f>
        <v>44972</v>
      </c>
      <c r="Q710" s="79">
        <f>OBRA!R712</f>
        <v>696</v>
      </c>
      <c r="R710" s="79" t="str">
        <f>GRAL!R714</f>
        <v>MES</v>
      </c>
      <c r="S710" s="5">
        <f>OBRA!T712</f>
        <v>44974</v>
      </c>
      <c r="T710" s="11">
        <f>OBRA!U712</f>
        <v>44976</v>
      </c>
      <c r="U710" s="207" t="s">
        <v>5621</v>
      </c>
      <c r="V710" s="62" t="s">
        <v>1428</v>
      </c>
      <c r="W710" s="499" t="s">
        <v>6053</v>
      </c>
      <c r="X710" s="205" t="s">
        <v>1428</v>
      </c>
      <c r="Y710" s="986" t="s">
        <v>1177</v>
      </c>
      <c r="Z710" s="309"/>
      <c r="AA710" s="309"/>
      <c r="AB710" s="5"/>
      <c r="AC710" s="317">
        <f>OBRA!BW712</f>
        <v>0</v>
      </c>
      <c r="AD710" s="352"/>
    </row>
    <row r="711" spans="1:30" ht="102" customHeight="1">
      <c r="A711" s="22" t="s">
        <v>2206</v>
      </c>
      <c r="B711" s="809">
        <f>GRAL!B955</f>
        <v>0</v>
      </c>
      <c r="C711" s="16">
        <f>OBRA!J713</f>
        <v>2023</v>
      </c>
      <c r="D711" s="17" t="str">
        <f>OBRA!M713</f>
        <v>CUENTA CORRIENTE</v>
      </c>
      <c r="E711" s="478" t="s">
        <v>1428</v>
      </c>
      <c r="F711" s="496" t="s">
        <v>6053</v>
      </c>
      <c r="G711" s="495" t="s">
        <v>6053</v>
      </c>
      <c r="H711" s="146"/>
      <c r="I711" s="54" t="str">
        <f>OBRA!W713</f>
        <v xml:space="preserve">DORIA &amp; SAMPIER CONSTRUCTORA, S.A. DE C.V. </v>
      </c>
      <c r="J711" s="55" t="str">
        <f>OBRA!X713</f>
        <v>C. DANIEL RODRIGUEZ VALENZUELA</v>
      </c>
      <c r="K711" s="33" t="str">
        <f>OBRA!N713</f>
        <v>C- OP 010/2023</v>
      </c>
      <c r="L711" s="2" t="str">
        <f>OBRA!O713</f>
        <v>ARRENDAMIENTO</v>
      </c>
      <c r="M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N711" s="504" t="s">
        <v>4884</v>
      </c>
      <c r="O711" s="1894" t="s">
        <v>6837</v>
      </c>
      <c r="P711" s="67">
        <f>OBRA!S713</f>
        <v>44966</v>
      </c>
      <c r="Q711" s="79">
        <f>OBRA!R713</f>
        <v>754</v>
      </c>
      <c r="R711" s="79" t="str">
        <f>GRAL!R715</f>
        <v>HORA</v>
      </c>
      <c r="S711" s="5">
        <f>OBRA!T713</f>
        <v>44970</v>
      </c>
      <c r="T711" s="11">
        <f>OBRA!U713</f>
        <v>44976</v>
      </c>
      <c r="U711" s="207" t="s">
        <v>5621</v>
      </c>
      <c r="V711" s="62" t="s">
        <v>1428</v>
      </c>
      <c r="W711" s="499" t="s">
        <v>6053</v>
      </c>
      <c r="X711" s="205" t="s">
        <v>1428</v>
      </c>
      <c r="Y711" s="986" t="s">
        <v>1177</v>
      </c>
      <c r="Z711" s="309"/>
      <c r="AA711" s="309"/>
      <c r="AB711" s="5"/>
      <c r="AC711" s="317">
        <f>OBRA!BW713</f>
        <v>0</v>
      </c>
      <c r="AD711" s="352"/>
    </row>
    <row r="712" spans="1:30" ht="120" customHeight="1">
      <c r="A712" s="22" t="s">
        <v>2206</v>
      </c>
      <c r="B712" s="809">
        <f>GRAL!B956</f>
        <v>0</v>
      </c>
      <c r="C712" s="16">
        <f>OBRA!J714</f>
        <v>2023</v>
      </c>
      <c r="D712" s="17" t="str">
        <f>OBRA!M714</f>
        <v>CUENTA CORRIENTE</v>
      </c>
      <c r="E712" s="478" t="s">
        <v>1428</v>
      </c>
      <c r="F712" s="496" t="s">
        <v>6053</v>
      </c>
      <c r="G712" s="495" t="s">
        <v>6053</v>
      </c>
      <c r="H712" s="146"/>
      <c r="I712" s="54" t="str">
        <f>OBRA!W714</f>
        <v xml:space="preserve">DORIA &amp; SAMPIER CONSTRUCTORA, S.A. DE C.V. </v>
      </c>
      <c r="J712" s="55" t="str">
        <f>OBRA!X714</f>
        <v>C. DANIEL RODRIGUEZ VALENZUELA</v>
      </c>
      <c r="K712" s="33" t="str">
        <f>OBRA!N714</f>
        <v>C- OP 011/2023</v>
      </c>
      <c r="L712" s="2" t="str">
        <f>OBRA!O714</f>
        <v>ARRENDAMIENTO</v>
      </c>
      <c r="M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4" t="s">
        <v>6534</v>
      </c>
      <c r="O712" s="1894" t="s">
        <v>6837</v>
      </c>
      <c r="P712" s="67">
        <f>OBRA!S714</f>
        <v>44966</v>
      </c>
      <c r="Q712" s="79">
        <f>OBRA!R714</f>
        <v>1020.8</v>
      </c>
      <c r="R712" s="79" t="str">
        <f>GRAL!R716</f>
        <v>HORA</v>
      </c>
      <c r="S712" s="5">
        <f>OBRA!T714</f>
        <v>44970</v>
      </c>
      <c r="T712" s="11">
        <f>OBRA!U714</f>
        <v>44977</v>
      </c>
      <c r="U712" s="207" t="s">
        <v>5621</v>
      </c>
      <c r="V712" s="62" t="s">
        <v>1428</v>
      </c>
      <c r="W712" s="499" t="s">
        <v>6053</v>
      </c>
      <c r="X712" s="205" t="s">
        <v>1428</v>
      </c>
      <c r="Y712" s="986" t="s">
        <v>1177</v>
      </c>
      <c r="Z712" s="309"/>
      <c r="AA712" s="309"/>
      <c r="AB712" s="5"/>
      <c r="AC712" s="317">
        <f>OBRA!BW714</f>
        <v>0</v>
      </c>
      <c r="AD712" s="352"/>
    </row>
    <row r="713" spans="1:30" ht="76.5" customHeight="1">
      <c r="A713" s="22" t="s">
        <v>2206</v>
      </c>
      <c r="B713" s="809">
        <f>GRAL!B947</f>
        <v>0</v>
      </c>
      <c r="C713" s="16">
        <f>OBRA!J718</f>
        <v>2023</v>
      </c>
      <c r="D713" s="17" t="str">
        <f>OBRA!M718</f>
        <v>CUENTA CORRIENTE</v>
      </c>
      <c r="E713" s="478" t="s">
        <v>1428</v>
      </c>
      <c r="F713" s="146"/>
      <c r="G713" s="2"/>
      <c r="H713" s="146"/>
      <c r="I713" s="54" t="str">
        <f>OBRA!W718</f>
        <v>URBANIZADORA Y PAVIMENTADORA MONLE S.A. DE C.V.</v>
      </c>
      <c r="J713" s="55" t="str">
        <f>OBRA!X718</f>
        <v>C. DANIEL RODRIGUEZ VALENZUELA</v>
      </c>
      <c r="K713" s="33" t="str">
        <f>OBRA!N718</f>
        <v>C- OP 015/2023</v>
      </c>
      <c r="L713" s="2" t="str">
        <f>OBRA!O718</f>
        <v>ARRENDAMIENTO</v>
      </c>
      <c r="M713" s="3" t="str">
        <f>OBRA!P718</f>
        <v>RENTA DE UNA RETROEXCAVADORA JHON DEERE 310SJ 4X4, PARA SER UTILIZADA EN DIVERSOS MANTENIMIENTOS REQUERIDOS POR LA DIRECCIÓN DE OBRAS PÚBLICAS DEL GOBIERNO MUNICIPAL DE JOCOTEPEC, JALISCO.</v>
      </c>
      <c r="N713" s="504" t="s">
        <v>6534</v>
      </c>
      <c r="O713" s="1894" t="s">
        <v>6835</v>
      </c>
      <c r="P713" s="67">
        <f>OBRA!S718</f>
        <v>45044</v>
      </c>
      <c r="Q713" s="79">
        <f>OBRA!R718</f>
        <v>59681.999999999993</v>
      </c>
      <c r="R713" s="79" t="s">
        <v>68</v>
      </c>
      <c r="S713" s="5">
        <f>OBRA!T718</f>
        <v>45047</v>
      </c>
      <c r="T713" s="11">
        <f>OBRA!U718</f>
        <v>45077</v>
      </c>
      <c r="U713" s="207" t="s">
        <v>5621</v>
      </c>
      <c r="V713" s="62" t="s">
        <v>1428</v>
      </c>
      <c r="W713" s="201"/>
      <c r="X713" s="205"/>
      <c r="Y713" s="986" t="s">
        <v>1177</v>
      </c>
      <c r="Z713" s="309"/>
      <c r="AA713" s="309"/>
      <c r="AB713" s="5"/>
      <c r="AC713" s="317">
        <f>OBRA!BW718</f>
        <v>0</v>
      </c>
      <c r="AD713" s="352"/>
    </row>
    <row r="714" spans="1:30" ht="139.5" customHeight="1">
      <c r="A714" s="22" t="s">
        <v>2206</v>
      </c>
      <c r="B714" s="809">
        <f>GRAL!B948</f>
        <v>0</v>
      </c>
      <c r="C714" s="16">
        <f>OBRA!J719</f>
        <v>2023</v>
      </c>
      <c r="D714" s="17" t="str">
        <f>OBRA!M719</f>
        <v>CUENTA CORRIENTE</v>
      </c>
      <c r="E714" s="478" t="s">
        <v>1428</v>
      </c>
      <c r="F714" s="146"/>
      <c r="G714" s="2"/>
      <c r="H714" s="146"/>
      <c r="I714" s="54" t="str">
        <f>OBRA!W719</f>
        <v>GHR CONSTRUCTOR, S.A. DE C.V.</v>
      </c>
      <c r="J714" s="55" t="str">
        <f>OBRA!X719</f>
        <v>C. DANIEL RODRIGUEZ VALENZUELA</v>
      </c>
      <c r="K714" s="33" t="str">
        <f>OBRA!N719</f>
        <v>C- OP 016/2023</v>
      </c>
      <c r="L714" s="2" t="str">
        <f>OBRA!O719</f>
        <v>ARRENDAMIENTO</v>
      </c>
      <c r="M71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4" t="s">
        <v>6534</v>
      </c>
      <c r="O714" s="1894" t="s">
        <v>6835</v>
      </c>
      <c r="P714" s="67">
        <f>OBRA!S719</f>
        <v>45113</v>
      </c>
      <c r="Q714" s="79">
        <f>OBRA!R719</f>
        <v>2900</v>
      </c>
      <c r="R714" s="79" t="s">
        <v>68</v>
      </c>
      <c r="S714" s="5">
        <f>OBRA!T719</f>
        <v>45117</v>
      </c>
      <c r="T714" s="11">
        <f>OBRA!U719</f>
        <v>45127</v>
      </c>
      <c r="U714" s="207" t="s">
        <v>5621</v>
      </c>
      <c r="V714" s="62" t="s">
        <v>1428</v>
      </c>
      <c r="W714" s="201"/>
      <c r="X714" s="205"/>
      <c r="Y714" s="986" t="s">
        <v>1177</v>
      </c>
      <c r="Z714" s="309"/>
      <c r="AA714" s="309"/>
      <c r="AB714" s="5"/>
      <c r="AC714" s="317">
        <f>OBRA!BW719</f>
        <v>0</v>
      </c>
      <c r="AD714" s="352"/>
    </row>
    <row r="715" spans="1:30" ht="91.5" customHeight="1">
      <c r="A715" s="22" t="s">
        <v>2206</v>
      </c>
      <c r="B715" s="809">
        <f>GRAL!B949</f>
        <v>0</v>
      </c>
      <c r="C715" s="16">
        <f>OBRA!J720</f>
        <v>2023</v>
      </c>
      <c r="D715" s="17" t="str">
        <f>OBRA!M720</f>
        <v>CUENTA CORRIENTE</v>
      </c>
      <c r="E715" s="478" t="s">
        <v>1428</v>
      </c>
      <c r="F715" s="146"/>
      <c r="G715" s="2"/>
      <c r="H715" s="146"/>
      <c r="I715" s="54" t="str">
        <f>OBRA!W720</f>
        <v>GHR CONSTRUCTOR, S.A. DE C.V.</v>
      </c>
      <c r="J715" s="55" t="str">
        <f>OBRA!X720</f>
        <v>C. DANIEL RODRIGUEZ VALENZUELA</v>
      </c>
      <c r="K715" s="33" t="str">
        <f>OBRA!N720</f>
        <v>C- OP 017/2023</v>
      </c>
      <c r="L715" s="2" t="str">
        <f>OBRA!O720</f>
        <v>ARRENDAMIENTO</v>
      </c>
      <c r="M715" s="3" t="str">
        <f>OBRA!P720</f>
        <v>RENTA DE UNA RETROEXCAVADORA CATERPILLAR 416E 4X4 DE 77HP, PARA SER UTITLIZADO PARA LA CONSTRUCCIÓN DE BASE PARA COLOCACIÓN DE LETRAS MONUMENTALES EN LAS TROJES, MUNICIPIO DE JOCOTEPEC, JALISCO</v>
      </c>
      <c r="N715" s="504" t="s">
        <v>6534</v>
      </c>
      <c r="O715" s="1894" t="s">
        <v>6835</v>
      </c>
      <c r="P715" s="67">
        <f>OBRA!S720</f>
        <v>45133</v>
      </c>
      <c r="Q715" s="79">
        <f>OBRA!R720</f>
        <v>696</v>
      </c>
      <c r="R715" s="79" t="s">
        <v>68</v>
      </c>
      <c r="S715" s="5">
        <f>OBRA!T720</f>
        <v>45139</v>
      </c>
      <c r="T715" s="11">
        <f>OBRA!U720</f>
        <v>45148</v>
      </c>
      <c r="U715" s="207" t="s">
        <v>5621</v>
      </c>
      <c r="V715" s="62" t="s">
        <v>1428</v>
      </c>
      <c r="W715" s="201"/>
      <c r="X715" s="205"/>
      <c r="Y715" s="986" t="s">
        <v>1177</v>
      </c>
      <c r="Z715" s="309"/>
      <c r="AA715" s="309"/>
      <c r="AB715" s="5"/>
      <c r="AC715" s="317">
        <f>OBRA!BW720</f>
        <v>0</v>
      </c>
      <c r="AD715" s="352"/>
    </row>
    <row r="716" spans="1:30" ht="80.25" customHeight="1">
      <c r="A716" s="22" t="s">
        <v>2206</v>
      </c>
      <c r="B716" s="809">
        <f>GRAL!B950</f>
        <v>0</v>
      </c>
      <c r="C716" s="16">
        <f>OBRA!J721</f>
        <v>2023</v>
      </c>
      <c r="D716" s="17" t="str">
        <f>OBRA!M721</f>
        <v>CUENTA CORRIENTE</v>
      </c>
      <c r="E716" s="478" t="s">
        <v>1428</v>
      </c>
      <c r="F716" s="146"/>
      <c r="G716" s="2"/>
      <c r="H716" s="146"/>
      <c r="I716" s="54" t="str">
        <f>OBRA!W721</f>
        <v>URBANIZADORA Y PAVIMENTADORA MONLE, S.A. DE C.V.</v>
      </c>
      <c r="J716" s="55" t="str">
        <f>OBRA!X721</f>
        <v>C. DANIEL RODRIGUEZ VALENZUELA</v>
      </c>
      <c r="K716" s="33" t="str">
        <f>OBRA!N721</f>
        <v>C- OP 018/2023</v>
      </c>
      <c r="L716" s="2" t="str">
        <f>OBRA!O721</f>
        <v>ARRENDAMIENTO</v>
      </c>
      <c r="M716" s="3" t="str">
        <f>OBRA!P721</f>
        <v>RENTA DE UNA RETROEXCAVADORA JHON DEERE 310SJ 4X4, PARA SER UTILIZADA EN DIVERSOS MANTENIMIENTOS REQUERIDOS POR LA DIRECCIÓN DE OBRAS PÚBLICAS DEL GOBIERNO MUNICIPAL DE JOCOTEPEC, JALISCO.</v>
      </c>
      <c r="N716" s="504" t="s">
        <v>6534</v>
      </c>
      <c r="O716" s="1894" t="s">
        <v>6835</v>
      </c>
      <c r="P716" s="67">
        <f>OBRA!S721</f>
        <v>45077</v>
      </c>
      <c r="Q716" s="79">
        <f>OBRA!R721</f>
        <v>56839.999999999993</v>
      </c>
      <c r="R716" s="79" t="s">
        <v>68</v>
      </c>
      <c r="S716" s="5">
        <f>OBRA!T721</f>
        <v>45078</v>
      </c>
      <c r="T716" s="11">
        <f>OBRA!U721</f>
        <v>45138</v>
      </c>
      <c r="U716" s="207" t="s">
        <v>5621</v>
      </c>
      <c r="V716" s="62" t="s">
        <v>1428</v>
      </c>
      <c r="W716" s="201"/>
      <c r="X716" s="205"/>
      <c r="Y716" s="986" t="s">
        <v>1177</v>
      </c>
      <c r="Z716" s="309"/>
      <c r="AA716" s="309"/>
      <c r="AB716" s="5"/>
      <c r="AC716" s="317">
        <f>OBRA!BW721</f>
        <v>0</v>
      </c>
      <c r="AD716" s="352"/>
    </row>
    <row r="717" spans="1:30" ht="90.75" customHeight="1">
      <c r="A717" s="22" t="s">
        <v>2206</v>
      </c>
      <c r="B717" s="809">
        <f>GRAL!B951</f>
        <v>0</v>
      </c>
      <c r="C717" s="16">
        <f>OBRA!J722</f>
        <v>2023</v>
      </c>
      <c r="D717" s="17" t="str">
        <f>OBRA!M722</f>
        <v>CUENTA CORRIENTE</v>
      </c>
      <c r="E717" s="478" t="s">
        <v>1428</v>
      </c>
      <c r="F717" s="146"/>
      <c r="G717" s="2"/>
      <c r="H717" s="146"/>
      <c r="I717" s="54" t="str">
        <f>OBRA!W722</f>
        <v xml:space="preserve">DORIA &amp; SAMPIER CONSTRUCTORA, S.A. DE C.V. </v>
      </c>
      <c r="J717" s="55" t="str">
        <f>OBRA!X722</f>
        <v>C. DANIEL RODRIGUEZ VALENZUELA</v>
      </c>
      <c r="K717" s="33" t="str">
        <f>OBRA!N722</f>
        <v>C- OP 019/2023</v>
      </c>
      <c r="L717" s="2" t="str">
        <f>OBRA!O722</f>
        <v>ARRENDAMIENTO</v>
      </c>
      <c r="M717" s="3" t="str">
        <f>OBRA!P722</f>
        <v>RENTA DE UNA RETROEXCAVADORA CATERPILLAR SERIE 416E, PARA LOS TRABAJOS DE NIVELACIÓN DE TERRENO EN POZO DE AGUA CAMICHINES EN CALLE FRANCISCO VILLA, CABECERA MUNICIPAL DE JOCOTEPEC, JALISCO.</v>
      </c>
      <c r="N717" s="504" t="s">
        <v>6534</v>
      </c>
      <c r="O717" s="1894" t="s">
        <v>6835</v>
      </c>
      <c r="P717" s="67">
        <f>OBRA!S722</f>
        <v>45210</v>
      </c>
      <c r="Q717" s="79">
        <f>OBRA!R722</f>
        <v>779.52</v>
      </c>
      <c r="R717" s="79" t="s">
        <v>68</v>
      </c>
      <c r="S717" s="5">
        <f>OBRA!T722</f>
        <v>45215</v>
      </c>
      <c r="T717" s="11">
        <f>OBRA!U722</f>
        <v>45217</v>
      </c>
      <c r="U717" s="207" t="s">
        <v>5621</v>
      </c>
      <c r="V717" s="62" t="s">
        <v>1428</v>
      </c>
      <c r="W717" s="201"/>
      <c r="X717" s="205"/>
      <c r="Y717" s="986" t="s">
        <v>1177</v>
      </c>
      <c r="Z717" s="309"/>
      <c r="AA717" s="309"/>
      <c r="AB717" s="5"/>
      <c r="AC717" s="317">
        <f>OBRA!BW722</f>
        <v>0</v>
      </c>
      <c r="AD717" s="352"/>
    </row>
    <row r="718" spans="1:30" ht="102" customHeight="1">
      <c r="A718" s="22" t="s">
        <v>2206</v>
      </c>
      <c r="B718" s="809">
        <f>GRAL!B952</f>
        <v>0</v>
      </c>
      <c r="C718" s="16">
        <f>OBRA!J723</f>
        <v>2023</v>
      </c>
      <c r="D718" s="17" t="str">
        <f>OBRA!M723</f>
        <v>CUENTA CORRIENTE</v>
      </c>
      <c r="E718" s="478" t="s">
        <v>1428</v>
      </c>
      <c r="F718" s="496" t="s">
        <v>6057</v>
      </c>
      <c r="G718" s="495" t="s">
        <v>6057</v>
      </c>
      <c r="H718" s="146"/>
      <c r="I718" s="54" t="str">
        <f>OBRA!W723</f>
        <v xml:space="preserve">DORIA &amp; SAMPIER CONSTRUCTORA, S.A. DE C.V. </v>
      </c>
      <c r="J718" s="55" t="str">
        <f>OBRA!X723</f>
        <v>C. DANIEL RODRIGUEZ VALENZUELA</v>
      </c>
      <c r="K718" s="33" t="str">
        <f>OBRA!N723</f>
        <v>C- OP 020/2023</v>
      </c>
      <c r="L718" s="2" t="str">
        <f>OBRA!O723</f>
        <v>ARRENDAMIENTO</v>
      </c>
      <c r="M718" s="3" t="str">
        <f>OBRA!P723</f>
        <v>RENTA DE UNA RETROEXCAVADORA CATERPILLAR SERIE 416E, PARA LA OBRA "REHABILITACIÓN DE REDES HIDROSANITARIAS Y COLECTOR DE CALLE RIVERA DEL LAGO ENTRE CALLE GUAYABITOS Y CALLE CHUECA", EN LA LOCALIDAD DE CHANTEPEC, MUNICIPIO DE JOCOTEPEC, JALISCO.</v>
      </c>
      <c r="N718" s="504" t="s">
        <v>6534</v>
      </c>
      <c r="O718" s="1894" t="s">
        <v>6831</v>
      </c>
      <c r="P718" s="67">
        <f>OBRA!S723</f>
        <v>45204</v>
      </c>
      <c r="Q718" s="79">
        <f>OBRA!R723</f>
        <v>730.8</v>
      </c>
      <c r="R718" s="79" t="s">
        <v>68</v>
      </c>
      <c r="S718" s="5">
        <f>OBRA!T723</f>
        <v>45208</v>
      </c>
      <c r="T718" s="11">
        <f>OBRA!U723</f>
        <v>45240</v>
      </c>
      <c r="U718" s="207" t="s">
        <v>5621</v>
      </c>
      <c r="V718" s="62" t="s">
        <v>1428</v>
      </c>
      <c r="W718" s="499" t="s">
        <v>6057</v>
      </c>
      <c r="X718" s="205" t="s">
        <v>1428</v>
      </c>
      <c r="Y718" s="986" t="s">
        <v>1177</v>
      </c>
      <c r="Z718" s="309"/>
      <c r="AA718" s="309"/>
      <c r="AB718" s="5"/>
      <c r="AC718" s="317">
        <f>OBRA!BW723</f>
        <v>0</v>
      </c>
      <c r="AD718" s="352"/>
    </row>
    <row r="719" spans="1:30" ht="108.75" customHeight="1">
      <c r="A719" s="22" t="s">
        <v>2206</v>
      </c>
      <c r="B719" s="809">
        <f>GRAL!B953</f>
        <v>0</v>
      </c>
      <c r="C719" s="16">
        <f>OBRA!J724</f>
        <v>2023</v>
      </c>
      <c r="D719" s="17" t="str">
        <f>OBRA!M724</f>
        <v>CUENTA CORRIENTE</v>
      </c>
      <c r="E719" s="478" t="s">
        <v>1428</v>
      </c>
      <c r="F719" s="496" t="s">
        <v>6057</v>
      </c>
      <c r="G719" s="495" t="s">
        <v>6057</v>
      </c>
      <c r="H719" s="146"/>
      <c r="I719" s="54" t="str">
        <f>OBRA!W724</f>
        <v xml:space="preserve">DORIA &amp; SAMPIER CONSTRUCTORA, S.A. DE C.V. </v>
      </c>
      <c r="J719" s="55" t="str">
        <f>OBRA!X724</f>
        <v>C. DANIEL RODRIGUEZ VALENZUELA</v>
      </c>
      <c r="K719" s="33" t="str">
        <f>OBRA!N724</f>
        <v>C- OP 021/2023</v>
      </c>
      <c r="L719" s="2" t="str">
        <f>OBRA!O724</f>
        <v>ARRENDAMIENTO</v>
      </c>
      <c r="M71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4" t="s">
        <v>6535</v>
      </c>
      <c r="O719" s="1894" t="s">
        <v>6831</v>
      </c>
      <c r="P719" s="67">
        <f>OBRA!S724</f>
        <v>45204</v>
      </c>
      <c r="Q719" s="79">
        <f>OBRA!R724</f>
        <v>754</v>
      </c>
      <c r="R719" s="79" t="s">
        <v>68</v>
      </c>
      <c r="S719" s="5">
        <f>OBRA!T724</f>
        <v>45208</v>
      </c>
      <c r="T719" s="11">
        <f>OBRA!U724</f>
        <v>45240</v>
      </c>
      <c r="U719" s="207" t="s">
        <v>5621</v>
      </c>
      <c r="V719" s="62" t="s">
        <v>1428</v>
      </c>
      <c r="W719" s="499" t="s">
        <v>6057</v>
      </c>
      <c r="X719" s="205" t="s">
        <v>1428</v>
      </c>
      <c r="Y719" s="986" t="s">
        <v>1177</v>
      </c>
      <c r="Z719" s="309"/>
      <c r="AA719" s="309"/>
      <c r="AB719" s="5"/>
      <c r="AC719" s="317">
        <f>OBRA!BW724</f>
        <v>0</v>
      </c>
      <c r="AD719" s="352"/>
    </row>
    <row r="720" spans="1:30" ht="101.25" customHeight="1">
      <c r="A720" s="22" t="s">
        <v>2206</v>
      </c>
      <c r="B720" s="809">
        <f>GRAL!B954</f>
        <v>0</v>
      </c>
      <c r="C720" s="16">
        <f>OBRA!J725</f>
        <v>2023</v>
      </c>
      <c r="D720" s="17" t="str">
        <f>OBRA!M725</f>
        <v>CUENTA CORRIENTE</v>
      </c>
      <c r="E720" s="478" t="s">
        <v>1428</v>
      </c>
      <c r="F720" s="496" t="s">
        <v>6057</v>
      </c>
      <c r="G720" s="495" t="s">
        <v>6057</v>
      </c>
      <c r="H720" s="146"/>
      <c r="I720" s="54" t="str">
        <f>OBRA!W725</f>
        <v xml:space="preserve">DORIA &amp; SAMPIER CONSTRUCTORA, S.A. DE C.V. </v>
      </c>
      <c r="J720" s="55" t="str">
        <f>OBRA!X725</f>
        <v>C. DANIEL RODRIGUEZ VALENZUELA</v>
      </c>
      <c r="K720" s="33" t="str">
        <f>OBRA!N725</f>
        <v>C- OP 022/2023</v>
      </c>
      <c r="L720" s="2" t="str">
        <f>OBRA!O725</f>
        <v>ARRENDAMIENTO</v>
      </c>
      <c r="M720" s="3" t="str">
        <f>OBRA!P725</f>
        <v>RENTA DE UNA BAILARINA COMPACTADORA WACKER, PARA LA OBRA "REHABILITACIÓN DE REDES HIDROSANITARIAS Y COLECTOR DE CALLE RIVERA DEL LAGO ENTRE CALLE GUAYABITOS Y CALLE CHUECA", EN LA LOCALIDAD DE CHANTEPEC, MUNICIPIO DE JOCOTEPEC, JALISCO.</v>
      </c>
      <c r="N720" s="504" t="s">
        <v>6535</v>
      </c>
      <c r="O720" s="1894" t="s">
        <v>6831</v>
      </c>
      <c r="P720" s="67">
        <f>OBRA!S725</f>
        <v>45204</v>
      </c>
      <c r="Q720" s="79">
        <f>OBRA!R725</f>
        <v>580</v>
      </c>
      <c r="R720" s="79" t="s">
        <v>68</v>
      </c>
      <c r="S720" s="5">
        <f>OBRA!T725</f>
        <v>45208</v>
      </c>
      <c r="T720" s="11">
        <f>OBRA!U725</f>
        <v>45240</v>
      </c>
      <c r="U720" s="207" t="s">
        <v>5621</v>
      </c>
      <c r="V720" s="62" t="s">
        <v>1428</v>
      </c>
      <c r="W720" s="499" t="s">
        <v>6057</v>
      </c>
      <c r="X720" s="205" t="s">
        <v>1428</v>
      </c>
      <c r="Y720" s="986" t="s">
        <v>1177</v>
      </c>
      <c r="Z720" s="309"/>
      <c r="AA720" s="309"/>
      <c r="AB720" s="5"/>
      <c r="AC720" s="317">
        <f>OBRA!BW725</f>
        <v>0</v>
      </c>
      <c r="AD720" s="352"/>
    </row>
    <row r="721" spans="1:30" ht="87.75" customHeight="1">
      <c r="A721" s="22" t="s">
        <v>2206</v>
      </c>
      <c r="B721" s="809">
        <f>GRAL!B955</f>
        <v>0</v>
      </c>
      <c r="C721" s="16">
        <f>OBRA!J726</f>
        <v>2023</v>
      </c>
      <c r="D721" s="17" t="str">
        <f>OBRA!M726</f>
        <v>CUENTA CORRIENTE</v>
      </c>
      <c r="E721" s="478" t="s">
        <v>1428</v>
      </c>
      <c r="F721" s="496" t="s">
        <v>6057</v>
      </c>
      <c r="G721" s="495" t="s">
        <v>6057</v>
      </c>
      <c r="H721" s="146"/>
      <c r="I721" s="54" t="str">
        <f>OBRA!W726</f>
        <v xml:space="preserve">DORIA &amp; SAMPIER CONSTRUCTORA, S.A. DE C.V. </v>
      </c>
      <c r="J721" s="55" t="str">
        <f>OBRA!X726</f>
        <v>C. DANIEL RODRIGUEZ VALENZUELA</v>
      </c>
      <c r="K721" s="33" t="str">
        <f>OBRA!N726</f>
        <v>C- OP 023/2023</v>
      </c>
      <c r="L721" s="2" t="str">
        <f>OBRA!O726</f>
        <v>ARRENDAMIENTO</v>
      </c>
      <c r="M721" s="3" t="str">
        <f>OBRA!P726</f>
        <v>RENTA DE MOTOBOMBA MARCA HONDA, PARA LA OBRA "REHABILITACIÓN DE REDES HIDROSANITARIAS Y COLECTOR DE CALLE RIVERA DEL LAGO ENTRE CALLE GUAYABITOS Y CALLE CHUECA", EN LA LOCALIDAD DE CHANTEPEC, MUNICIPIO DE JOCOTEPEC, JALISCO.</v>
      </c>
      <c r="N721" s="504" t="s">
        <v>6535</v>
      </c>
      <c r="O721" s="1894" t="s">
        <v>6831</v>
      </c>
      <c r="P721" s="67">
        <f>OBRA!S726</f>
        <v>45204</v>
      </c>
      <c r="Q721" s="79">
        <f>OBRA!R726</f>
        <v>580</v>
      </c>
      <c r="R721" s="79" t="s">
        <v>68</v>
      </c>
      <c r="S721" s="5">
        <f>OBRA!T726</f>
        <v>45208</v>
      </c>
      <c r="T721" s="11">
        <f>OBRA!U726</f>
        <v>45240</v>
      </c>
      <c r="U721" s="207" t="s">
        <v>5621</v>
      </c>
      <c r="V721" s="62" t="s">
        <v>1428</v>
      </c>
      <c r="W721" s="499" t="s">
        <v>6057</v>
      </c>
      <c r="X721" s="205" t="s">
        <v>1428</v>
      </c>
      <c r="Y721" s="986" t="s">
        <v>1177</v>
      </c>
      <c r="Z721" s="309"/>
      <c r="AA721" s="309"/>
      <c r="AB721" s="5"/>
      <c r="AC721" s="317">
        <f>OBRA!BW726</f>
        <v>0</v>
      </c>
      <c r="AD721" s="352"/>
    </row>
    <row r="722" spans="1:30" ht="15" hidden="1" customHeight="1">
      <c r="A722" s="22" t="s">
        <v>2206</v>
      </c>
      <c r="B722" s="809">
        <f>GRAL!B956</f>
        <v>0</v>
      </c>
      <c r="C722" s="16">
        <f>OBRA!J727</f>
        <v>2023</v>
      </c>
      <c r="D722" s="17" t="str">
        <f>OBRA!M727</f>
        <v>CUENTA CORRIENTE</v>
      </c>
      <c r="E722" s="1170"/>
      <c r="F722" s="1108"/>
      <c r="G722" s="219"/>
      <c r="H722" s="1108"/>
      <c r="I722" s="54">
        <f>OBRA!W727</f>
        <v>0</v>
      </c>
      <c r="J722" s="55" t="str">
        <f>OBRA!X727</f>
        <v>ARQ. FRANCISCO SALAZAR</v>
      </c>
      <c r="K722" s="19" t="str">
        <f>OBRA!N727</f>
        <v>C.P.S.P. DOP 037/2023</v>
      </c>
      <c r="L722" s="2" t="str">
        <f>OBRA!O727</f>
        <v>CANCELADA</v>
      </c>
      <c r="M722" s="3" t="str">
        <f>OBRA!P727</f>
        <v>-</v>
      </c>
      <c r="N722" s="541"/>
      <c r="O722" s="541"/>
      <c r="P722" s="6">
        <f>OBRA!S727</f>
        <v>0</v>
      </c>
      <c r="Q722" s="4">
        <f>OBRA!R727</f>
        <v>0</v>
      </c>
      <c r="R722" s="4"/>
      <c r="S722" s="5">
        <f>OBRA!T727</f>
        <v>0</v>
      </c>
      <c r="T722" s="11">
        <f>OBRA!U727</f>
        <v>0</v>
      </c>
      <c r="U722" s="692"/>
      <c r="V722" s="203"/>
      <c r="W722" s="508"/>
      <c r="X722" s="509"/>
      <c r="Y722" s="534">
        <f>OBRA!AR727</f>
        <v>0</v>
      </c>
      <c r="Z722" s="309"/>
      <c r="AA722" s="309"/>
      <c r="AB722" s="5"/>
      <c r="AC722" s="317">
        <f>OBRA!BW727</f>
        <v>0</v>
      </c>
      <c r="AD722" s="352"/>
    </row>
    <row r="723" spans="1:30" ht="15" hidden="1" customHeight="1">
      <c r="A723" s="22" t="s">
        <v>2206</v>
      </c>
      <c r="B723" s="809">
        <f>GRAL!B957</f>
        <v>0</v>
      </c>
      <c r="C723" s="16">
        <f>OBRA!J728</f>
        <v>2023</v>
      </c>
      <c r="D723" s="17" t="str">
        <f>OBRA!M728</f>
        <v>CUENTA CORRIENTE</v>
      </c>
      <c r="E723" s="1170"/>
      <c r="F723" s="1108"/>
      <c r="G723" s="219"/>
      <c r="H723" s="1108"/>
      <c r="I723" s="54" t="str">
        <f>OBRA!W728</f>
        <v>-</v>
      </c>
      <c r="J723" s="55" t="str">
        <f>OBRA!X728</f>
        <v>C. DANIEL RODRIGUEZ VALENZUELA</v>
      </c>
      <c r="K723" s="19" t="str">
        <f>OBRA!N728</f>
        <v>DOP/AD/001/2023</v>
      </c>
      <c r="L723" s="2" t="str">
        <f>OBRA!O728</f>
        <v>ADMINISTRACIÓN DIRECTA</v>
      </c>
      <c r="M723" s="3" t="str">
        <f>OBRA!P728</f>
        <v>"CONSTRUCCIÓN DE REDES HIDROSANITARIAS EN CALLE FILÓSOFOS ENTRE CALLE JOSEFA ORTÍZ DE DOMINGUEZ E HIDALGO", EN LA CABECERA MUNICIPAL DE JOCOTEPEC, JALISCO</v>
      </c>
      <c r="N723" s="541"/>
      <c r="O723" s="541"/>
      <c r="P723" s="6">
        <f>OBRA!S728</f>
        <v>44967</v>
      </c>
      <c r="Q723" s="4">
        <f>OBRA!R728</f>
        <v>307647.35999999999</v>
      </c>
      <c r="R723" s="4"/>
      <c r="S723" s="5">
        <f>OBRA!T728</f>
        <v>44968</v>
      </c>
      <c r="T723" s="11">
        <f>OBRA!U728</f>
        <v>44985</v>
      </c>
      <c r="U723" s="692"/>
      <c r="V723" s="203"/>
      <c r="W723" s="508"/>
      <c r="X723" s="509"/>
      <c r="Y723" s="534">
        <f>OBRA!AR728</f>
        <v>0</v>
      </c>
      <c r="Z723" s="309"/>
      <c r="AA723" s="309"/>
      <c r="AB723" s="5"/>
      <c r="AC723" s="317">
        <f>OBRA!BW728</f>
        <v>0</v>
      </c>
      <c r="AD723" s="352"/>
    </row>
    <row r="724" spans="1:30" ht="15" hidden="1" customHeight="1">
      <c r="A724" s="22" t="s">
        <v>2206</v>
      </c>
      <c r="B724" s="809">
        <f>GRAL!B958</f>
        <v>0</v>
      </c>
      <c r="C724" s="16">
        <f>OBRA!J729</f>
        <v>2023</v>
      </c>
      <c r="D724" s="17" t="str">
        <f>OBRA!M729</f>
        <v>REGULARIZACIÓN DE VEHÍCULOS DE PROCEDENCIA EXTRANJERA - RAMO 23/2022</v>
      </c>
      <c r="E724" s="1170"/>
      <c r="F724" s="1108"/>
      <c r="G724" s="219"/>
      <c r="H724" s="1108"/>
      <c r="I724" s="54" t="str">
        <f>OBRA!W729</f>
        <v>-</v>
      </c>
      <c r="J724" s="55" t="str">
        <f>OBRA!X729</f>
        <v>ARQ. JAIME CONDE GOMEZ</v>
      </c>
      <c r="K724" s="19" t="str">
        <f>OBRA!N729</f>
        <v>DOP/AD/002/2023</v>
      </c>
      <c r="L724" s="2" t="str">
        <f>OBRA!O729</f>
        <v>ADMINISTRACIÓN DIRECTA</v>
      </c>
      <c r="M724" s="3" t="str">
        <f>OBRA!P729</f>
        <v>"BACHEO SUPERFICIAL AISLADO EN CALLE INDEPENDENCIA NORTE ENTRE C. MORELOS Y C. DEGOLLADO", EN LA CABECERA MUNICIPAL DE JOCOTEPEC, JALISCO.</v>
      </c>
      <c r="N724" s="541"/>
      <c r="O724" s="541"/>
      <c r="P724" s="6">
        <f>OBRA!S729</f>
        <v>45033</v>
      </c>
      <c r="Q724" s="4">
        <f>OBRA!R729</f>
        <v>27472.5</v>
      </c>
      <c r="R724" s="4"/>
      <c r="S724" s="5">
        <f>OBRA!T729</f>
        <v>45036</v>
      </c>
      <c r="T724" s="11">
        <f>OBRA!U729</f>
        <v>45038</v>
      </c>
      <c r="U724" s="692"/>
      <c r="V724" s="203"/>
      <c r="W724" s="508"/>
      <c r="X724" s="509"/>
      <c r="Y724" s="534">
        <f>OBRA!AR729</f>
        <v>0</v>
      </c>
      <c r="Z724" s="309"/>
      <c r="AA724" s="309"/>
      <c r="AB724" s="5"/>
      <c r="AC724" s="317">
        <f>OBRA!BW729</f>
        <v>0</v>
      </c>
      <c r="AD724" s="352"/>
    </row>
    <row r="725" spans="1:30" ht="15" hidden="1" customHeight="1">
      <c r="A725" s="22" t="s">
        <v>2206</v>
      </c>
      <c r="B725" s="809">
        <f>GRAL!B959</f>
        <v>0</v>
      </c>
      <c r="C725" s="16">
        <f>OBRA!J730</f>
        <v>2023</v>
      </c>
      <c r="D725" s="17" t="str">
        <f>OBRA!M730</f>
        <v>CUENTA CORRIENTE</v>
      </c>
      <c r="E725" s="1170"/>
      <c r="F725" s="1108"/>
      <c r="G725" s="219"/>
      <c r="H725" s="1108"/>
      <c r="I725" s="54" t="str">
        <f>OBRA!W730</f>
        <v>-</v>
      </c>
      <c r="J725" s="55" t="str">
        <f>OBRA!X730</f>
        <v>C. DANIEL RODRIGUEZ VALENZUELA</v>
      </c>
      <c r="K725" s="19" t="str">
        <f>OBRA!N730</f>
        <v>DOP/AD/003/2023</v>
      </c>
      <c r="L725" s="2" t="str">
        <f>OBRA!O730</f>
        <v>ADMINISTRACIÓN DIRECTA</v>
      </c>
      <c r="M725" s="3" t="str">
        <f>OBRA!P730</f>
        <v>REHABILITACIÓN DE REDES HIDROSANITARIAS Y COLECTOR DE CALLE RIVERA DEL LAGO ENTRE CALLE GUAYABITOS Y CALLE CHUECA", EN LA LOCALIDAD DE CHANTEPEC, MUNICIPIO DE JOCOTEPEC, JALISCO.</v>
      </c>
      <c r="N725" s="541"/>
      <c r="O725" s="541"/>
      <c r="P725" s="6">
        <f>OBRA!S730</f>
        <v>45557</v>
      </c>
      <c r="Q725" s="4">
        <f>OBRA!R730</f>
        <v>495788.04</v>
      </c>
      <c r="R725" s="4"/>
      <c r="S725" s="5">
        <f>OBRA!T730</f>
        <v>45208</v>
      </c>
      <c r="T725" s="11">
        <f>OBRA!U730</f>
        <v>45240</v>
      </c>
      <c r="U725" s="692"/>
      <c r="V725" s="203"/>
      <c r="W725" s="508"/>
      <c r="X725" s="509"/>
      <c r="Y725" s="534">
        <f>OBRA!AR730</f>
        <v>0</v>
      </c>
      <c r="Z725" s="309"/>
      <c r="AA725" s="309"/>
      <c r="AB725" s="5"/>
      <c r="AC725" s="317">
        <f>OBRA!BW730</f>
        <v>0</v>
      </c>
      <c r="AD725" s="352"/>
    </row>
    <row r="726" spans="1:30" ht="15" hidden="1" customHeight="1">
      <c r="A726" s="22" t="s">
        <v>2206</v>
      </c>
      <c r="B726" s="809">
        <f>GRAL!B960</f>
        <v>0</v>
      </c>
      <c r="C726" s="16">
        <f>OBRA!J731</f>
        <v>2023</v>
      </c>
      <c r="D726" s="17" t="str">
        <f>OBRA!M731</f>
        <v>CUENTA CORRIENTE</v>
      </c>
      <c r="E726" s="1170"/>
      <c r="F726" s="1108"/>
      <c r="G726" s="219"/>
      <c r="H726" s="1108"/>
      <c r="I726" s="54" t="str">
        <f>OBRA!W731</f>
        <v>-</v>
      </c>
      <c r="J726" s="55" t="str">
        <f>OBRA!X731</f>
        <v>C. DANIEL RODRIGUEZ VALENZUELA</v>
      </c>
      <c r="K726" s="19" t="str">
        <f>OBRA!N731</f>
        <v>DOP/AD/004/2023</v>
      </c>
      <c r="L726" s="2" t="str">
        <f>OBRA!O731</f>
        <v>ADMINISTRACIÓN DIRECTA</v>
      </c>
      <c r="M726" s="3" t="str">
        <f>OBRA!P731</f>
        <v>"IMPERMEABILIZACIÓN DE CUPULAS EN EL TEMPLO DEL SR. DEL MONTE", EN LA CABECERA MUNICIPAL DE JOCOTEPEC, JALISCO.</v>
      </c>
      <c r="N726" s="541"/>
      <c r="O726" s="541"/>
      <c r="P726" s="6">
        <f>OBRA!S731</f>
        <v>45191</v>
      </c>
      <c r="Q726" s="4">
        <f>OBRA!R731</f>
        <v>80000</v>
      </c>
      <c r="R726" s="4"/>
      <c r="S726" s="5">
        <f>OBRA!T731</f>
        <v>45201</v>
      </c>
      <c r="T726" s="11">
        <f>OBRA!U731</f>
        <v>45227</v>
      </c>
      <c r="U726" s="692"/>
      <c r="V726" s="203"/>
      <c r="W726" s="508"/>
      <c r="X726" s="509"/>
      <c r="Y726" s="534">
        <f>OBRA!AR731</f>
        <v>0</v>
      </c>
      <c r="Z726" s="309"/>
      <c r="AA726" s="309"/>
      <c r="AB726" s="5"/>
      <c r="AC726" s="317">
        <f>OBRA!BW731</f>
        <v>0</v>
      </c>
      <c r="AD726" s="352"/>
    </row>
    <row r="727" spans="1:30" ht="15" hidden="1" customHeight="1">
      <c r="A727" s="22" t="s">
        <v>2206</v>
      </c>
      <c r="B727" s="809">
        <f>GRAL!B961</f>
        <v>0</v>
      </c>
      <c r="C727" s="16">
        <f>OBRA!J732</f>
        <v>2023</v>
      </c>
      <c r="D727" s="17" t="str">
        <f>OBRA!M732</f>
        <v>REGULARIZACIÓN DE VEHÍCULOS DE PROCEDENCIA EXTRANJERA - RAMO 23/2023</v>
      </c>
      <c r="E727" s="1170"/>
      <c r="F727" s="1108"/>
      <c r="G727" s="219"/>
      <c r="H727" s="1108"/>
      <c r="I727" s="54" t="str">
        <f>OBRA!W732</f>
        <v>-</v>
      </c>
      <c r="J727" s="55" t="str">
        <f>OBRA!X732</f>
        <v>ING. LUIS RIGOBERTO OLMEDO NAVARRO</v>
      </c>
      <c r="K727" s="19" t="str">
        <f>OBRA!N732</f>
        <v>DOP/AD/005/2023</v>
      </c>
      <c r="L727" s="2" t="str">
        <f>OBRA!O732</f>
        <v>ADMINISTRACIÓN DIRECTA</v>
      </c>
      <c r="M727" s="3" t="str">
        <f>OBRA!P732</f>
        <v>"BACHEO SUPERFICIAL AISLADO DE MEZCLA ASFÁLTICA EN LA CALLE MORELOS ENTRE CALLE NIÑOS HÉROES YCALLE ZARAGOZA EN EL BARRIO LA CALABAZA" DE LA CABECERA MUNICIPAL DE JOCOTEPEC, MUNICIPIO DE JOCOTEPEC, JALISCO.</v>
      </c>
      <c r="N727" s="541"/>
      <c r="O727" s="541"/>
      <c r="P727" s="6">
        <f>OBRA!S732</f>
        <v>45244</v>
      </c>
      <c r="Q727" s="4">
        <f>OBRA!R732</f>
        <v>92407.5</v>
      </c>
      <c r="R727" s="4"/>
      <c r="S727" s="5">
        <f>OBRA!T732</f>
        <v>45264</v>
      </c>
      <c r="T727" s="11">
        <f>OBRA!U732</f>
        <v>45268</v>
      </c>
      <c r="U727" s="692"/>
      <c r="V727" s="203"/>
      <c r="W727" s="508"/>
      <c r="X727" s="509"/>
      <c r="Y727" s="534">
        <f>OBRA!AR732</f>
        <v>0</v>
      </c>
      <c r="Z727" s="309"/>
      <c r="AA727" s="309"/>
      <c r="AB727" s="5"/>
      <c r="AC727" s="317">
        <f>OBRA!BW732</f>
        <v>0</v>
      </c>
      <c r="AD727" s="352"/>
    </row>
    <row r="728" spans="1:30" ht="15" hidden="1" customHeight="1">
      <c r="A728" s="22" t="s">
        <v>2206</v>
      </c>
      <c r="B728" s="809">
        <f>GRAL!B962</f>
        <v>0</v>
      </c>
      <c r="C728" s="16">
        <f>OBRA!J733</f>
        <v>2023</v>
      </c>
      <c r="D728" s="17" t="str">
        <f>OBRA!M733</f>
        <v>CUENTA CORRIENTE</v>
      </c>
      <c r="E728" s="1170"/>
      <c r="F728" s="1108"/>
      <c r="G728" s="219"/>
      <c r="H728" s="1108"/>
      <c r="I728" s="54" t="str">
        <f>OBRA!W733</f>
        <v>-</v>
      </c>
      <c r="J728" s="55" t="str">
        <f>OBRA!X733</f>
        <v>C. DANIEL RODRIGUEZ VALENZUELA</v>
      </c>
      <c r="K728" s="19" t="str">
        <f>OBRA!N733</f>
        <v>DOP/AD/006/2023</v>
      </c>
      <c r="L728" s="2" t="str">
        <f>OBRA!O733</f>
        <v>ADMINISTRACIÓN DIRECTA</v>
      </c>
      <c r="M728" s="3" t="str">
        <f>OBRA!P733</f>
        <v>"EXTENSIÓN DE RED DE AGUA POTABLE DE 4" DE DIAMETRO EN LA CALLE CHUECA" EN LA LOCALIDAD DE CHANTEPEC, MUNICIPIO DE JOCOTEPEC, JALISCO.</v>
      </c>
      <c r="N728" s="541"/>
      <c r="O728" s="541"/>
      <c r="P728" s="6">
        <f>OBRA!S733</f>
        <v>45257</v>
      </c>
      <c r="Q728" s="4">
        <f>OBRA!R733</f>
        <v>280000</v>
      </c>
      <c r="R728" s="4"/>
      <c r="S728" s="5">
        <f>OBRA!T733</f>
        <v>45264</v>
      </c>
      <c r="T728" s="11">
        <f>OBRA!U733</f>
        <v>45288</v>
      </c>
      <c r="U728" s="692"/>
      <c r="V728" s="203"/>
      <c r="W728" s="508"/>
      <c r="X728" s="509"/>
      <c r="Y728" s="534">
        <f>OBRA!AR733</f>
        <v>0</v>
      </c>
      <c r="Z728" s="309"/>
      <c r="AA728" s="309"/>
      <c r="AB728" s="5"/>
      <c r="AC728" s="317">
        <f>OBRA!BW733</f>
        <v>0</v>
      </c>
      <c r="AD728" s="352"/>
    </row>
    <row r="729" spans="1:30" ht="15" hidden="1" customHeight="1">
      <c r="A729" s="22" t="s">
        <v>2206</v>
      </c>
      <c r="B729" s="809">
        <f>GRAL!B963</f>
        <v>0</v>
      </c>
      <c r="C729" s="16">
        <f>OBRA!J734</f>
        <v>2023</v>
      </c>
      <c r="D729" s="17">
        <f>OBRA!M734</f>
        <v>0</v>
      </c>
      <c r="E729" s="1170"/>
      <c r="F729" s="1108"/>
      <c r="G729" s="219"/>
      <c r="H729" s="1108"/>
      <c r="I729" s="54" t="str">
        <f>OBRA!W734</f>
        <v>-</v>
      </c>
      <c r="J729" s="55">
        <f>OBRA!X734</f>
        <v>0</v>
      </c>
      <c r="K729" s="19" t="str">
        <f>OBRA!N734</f>
        <v>DOP/AD/007/2023</v>
      </c>
      <c r="L729" s="2" t="str">
        <f>OBRA!O734</f>
        <v>CANCELADA</v>
      </c>
      <c r="M729" s="3" t="str">
        <f>OBRA!P734</f>
        <v>-</v>
      </c>
      <c r="N729" s="541"/>
      <c r="O729" s="541"/>
      <c r="P729" s="6">
        <f>OBRA!S734</f>
        <v>0</v>
      </c>
      <c r="Q729" s="4">
        <f>OBRA!R734</f>
        <v>0</v>
      </c>
      <c r="R729" s="4"/>
      <c r="S729" s="5">
        <f>OBRA!T734</f>
        <v>0</v>
      </c>
      <c r="T729" s="11">
        <f>OBRA!U734</f>
        <v>0</v>
      </c>
      <c r="U729" s="692"/>
      <c r="V729" s="203"/>
      <c r="W729" s="508"/>
      <c r="X729" s="509"/>
      <c r="Y729" s="534">
        <f>OBRA!AR734</f>
        <v>0</v>
      </c>
      <c r="Z729" s="309"/>
      <c r="AA729" s="309"/>
      <c r="AB729" s="5"/>
      <c r="AC729" s="317">
        <f>OBRA!BW734</f>
        <v>0</v>
      </c>
      <c r="AD729" s="352"/>
    </row>
    <row r="730" spans="1:30" ht="15" hidden="1" customHeight="1">
      <c r="A730" s="22" t="s">
        <v>2206</v>
      </c>
      <c r="B730" s="809">
        <f>GRAL!B964</f>
        <v>0</v>
      </c>
      <c r="C730" s="16">
        <f>OBRA!J735</f>
        <v>2023</v>
      </c>
      <c r="D730" s="17">
        <f>OBRA!M735</f>
        <v>0</v>
      </c>
      <c r="E730" s="1170"/>
      <c r="F730" s="1108"/>
      <c r="G730" s="219"/>
      <c r="H730" s="1108"/>
      <c r="I730" s="54" t="str">
        <f>OBRA!W735</f>
        <v>-</v>
      </c>
      <c r="J730" s="55">
        <f>OBRA!X735</f>
        <v>0</v>
      </c>
      <c r="K730" s="19" t="str">
        <f>OBRA!N735</f>
        <v>DOP/AD/008/2023</v>
      </c>
      <c r="L730" s="2" t="str">
        <f>OBRA!O735</f>
        <v>CANCELADA</v>
      </c>
      <c r="M730" s="3" t="str">
        <f>OBRA!P735</f>
        <v>-</v>
      </c>
      <c r="N730" s="541"/>
      <c r="O730" s="541"/>
      <c r="P730" s="6">
        <f>OBRA!S735</f>
        <v>0</v>
      </c>
      <c r="Q730" s="4">
        <f>OBRA!R735</f>
        <v>0</v>
      </c>
      <c r="R730" s="4"/>
      <c r="S730" s="5">
        <f>OBRA!T735</f>
        <v>0</v>
      </c>
      <c r="T730" s="11">
        <f>OBRA!U735</f>
        <v>0</v>
      </c>
      <c r="U730" s="692"/>
      <c r="V730" s="203"/>
      <c r="W730" s="508"/>
      <c r="X730" s="509"/>
      <c r="Y730" s="534">
        <f>OBRA!AR735</f>
        <v>0</v>
      </c>
      <c r="Z730" s="309"/>
      <c r="AA730" s="309"/>
      <c r="AB730" s="5"/>
      <c r="AC730" s="317">
        <f>OBRA!BW735</f>
        <v>0</v>
      </c>
      <c r="AD730" s="352"/>
    </row>
    <row r="731" spans="1:30" ht="15" hidden="1" customHeight="1">
      <c r="A731" s="22" t="s">
        <v>2206</v>
      </c>
      <c r="B731" s="809">
        <f>GRAL!B965</f>
        <v>0</v>
      </c>
      <c r="C731" s="16">
        <f>OBRA!J736</f>
        <v>2023</v>
      </c>
      <c r="D731" s="17">
        <f>OBRA!M736</f>
        <v>0</v>
      </c>
      <c r="E731" s="1170"/>
      <c r="F731" s="1108"/>
      <c r="G731" s="219"/>
      <c r="H731" s="1108"/>
      <c r="I731" s="54" t="str">
        <f>OBRA!W736</f>
        <v>-</v>
      </c>
      <c r="J731" s="55">
        <f>OBRA!X736</f>
        <v>0</v>
      </c>
      <c r="K731" s="19" t="str">
        <f>OBRA!N736</f>
        <v>DOP/AD/009/2023</v>
      </c>
      <c r="L731" s="2" t="str">
        <f>OBRA!O736</f>
        <v>CANCELADA</v>
      </c>
      <c r="M731" s="3" t="str">
        <f>OBRA!P736</f>
        <v>-</v>
      </c>
      <c r="N731" s="541"/>
      <c r="O731" s="541"/>
      <c r="P731" s="6">
        <f>OBRA!S736</f>
        <v>0</v>
      </c>
      <c r="Q731" s="4">
        <f>OBRA!R736</f>
        <v>0</v>
      </c>
      <c r="R731" s="4"/>
      <c r="S731" s="5">
        <f>OBRA!T736</f>
        <v>0</v>
      </c>
      <c r="T731" s="11">
        <f>OBRA!U736</f>
        <v>0</v>
      </c>
      <c r="U731" s="692"/>
      <c r="V731" s="203"/>
      <c r="W731" s="508"/>
      <c r="X731" s="509"/>
      <c r="Y731" s="534">
        <f>OBRA!AR736</f>
        <v>0</v>
      </c>
      <c r="Z731" s="309"/>
      <c r="AA731" s="309"/>
      <c r="AB731" s="5"/>
      <c r="AC731" s="317">
        <f>OBRA!BW736</f>
        <v>0</v>
      </c>
      <c r="AD731" s="352"/>
    </row>
    <row r="732" spans="1:30" ht="15" hidden="1" customHeight="1">
      <c r="A732" s="22" t="s">
        <v>2206</v>
      </c>
      <c r="B732" s="809">
        <f>GRAL!B966</f>
        <v>0</v>
      </c>
      <c r="C732" s="16">
        <f>OBRA!J737</f>
        <v>2023</v>
      </c>
      <c r="D732" s="17">
        <f>OBRA!M737</f>
        <v>0</v>
      </c>
      <c r="E732" s="1170"/>
      <c r="F732" s="1108"/>
      <c r="G732" s="219"/>
      <c r="H732" s="1108"/>
      <c r="I732" s="54" t="str">
        <f>OBRA!W737</f>
        <v>-</v>
      </c>
      <c r="J732" s="55">
        <f>OBRA!X737</f>
        <v>0</v>
      </c>
      <c r="K732" s="19" t="str">
        <f>OBRA!N737</f>
        <v>DOP/AD/010/2023</v>
      </c>
      <c r="L732" s="2" t="str">
        <f>OBRA!O737</f>
        <v>CANCELADA</v>
      </c>
      <c r="M732" s="3" t="str">
        <f>OBRA!P737</f>
        <v>-</v>
      </c>
      <c r="N732" s="541"/>
      <c r="O732" s="541"/>
      <c r="P732" s="6">
        <f>OBRA!S737</f>
        <v>0</v>
      </c>
      <c r="Q732" s="4">
        <f>OBRA!R737</f>
        <v>0</v>
      </c>
      <c r="R732" s="4"/>
      <c r="S732" s="5">
        <f>OBRA!T737</f>
        <v>0</v>
      </c>
      <c r="T732" s="11">
        <f>OBRA!U737</f>
        <v>0</v>
      </c>
      <c r="U732" s="692"/>
      <c r="V732" s="203"/>
      <c r="W732" s="508"/>
      <c r="X732" s="509"/>
      <c r="Y732" s="534">
        <f>OBRA!AR737</f>
        <v>0</v>
      </c>
      <c r="Z732" s="309"/>
      <c r="AA732" s="309"/>
      <c r="AB732" s="5"/>
      <c r="AC732" s="317">
        <f>OBRA!BW737</f>
        <v>0</v>
      </c>
      <c r="AD732" s="352"/>
    </row>
    <row r="733" spans="1:30" ht="15" hidden="1" customHeight="1">
      <c r="A733" s="22" t="s">
        <v>2206</v>
      </c>
      <c r="B733" s="809">
        <f>GRAL!B967</f>
        <v>0</v>
      </c>
      <c r="C733" s="16">
        <f>OBRA!J738</f>
        <v>2023</v>
      </c>
      <c r="D733" s="17" t="str">
        <f>OBRA!M738</f>
        <v>RAMO 33</v>
      </c>
      <c r="E733" s="1170"/>
      <c r="F733" s="1108"/>
      <c r="G733" s="219"/>
      <c r="H733" s="1108"/>
      <c r="I733" s="54" t="str">
        <f>OBRA!W738</f>
        <v>EDIFICACIONES Y TERRACERIAS CH, S.A. DE C.V.</v>
      </c>
      <c r="J733" s="55" t="str">
        <f>OBRA!X738</f>
        <v>C. DANIEL RODRIGUEZ VALENZUELA</v>
      </c>
      <c r="K733" s="19" t="str">
        <f>OBRA!N738</f>
        <v>GMJ 001C OP/2023</v>
      </c>
      <c r="L733" s="2" t="str">
        <f>OBRA!O738</f>
        <v>ADJUDICACIÓN DIRECTA</v>
      </c>
      <c r="M733" s="3" t="str">
        <f>OBRA!P738</f>
        <v>"CONSTRUCCIÓN DE LÍNEA DE DRENAJE SANITARIO, LÍNEA DE AGUA POTABLE, HUELLA DE CONCRETO Y EMPEDRADO AHOGADO EN CONCRETO EN LA CALLE JOSEFA ORTIZ DE DOMINGUEZ DE CALLE ALDAMA PONIENTE A CALLE FILÓSOFOS", EN LA CABECERA MUNICIPAL DE JOCOTEPEC, JALISCO.</v>
      </c>
      <c r="N733" s="541"/>
      <c r="O733" s="541"/>
      <c r="P733" s="6">
        <f>OBRA!S738</f>
        <v>44974</v>
      </c>
      <c r="Q733" s="4">
        <f>OBRA!R738</f>
        <v>1211066.4099999999</v>
      </c>
      <c r="R733" s="4"/>
      <c r="S733" s="5">
        <f>OBRA!T738</f>
        <v>44977</v>
      </c>
      <c r="T733" s="11">
        <f>OBRA!U738</f>
        <v>45021</v>
      </c>
      <c r="U733" s="692"/>
      <c r="V733" s="203"/>
      <c r="W733" s="508"/>
      <c r="X733" s="509"/>
      <c r="Y733" s="534">
        <f>OBRA!AR738</f>
        <v>242213.28</v>
      </c>
      <c r="Z733" s="309"/>
      <c r="AA733" s="309"/>
      <c r="AB733" s="5"/>
      <c r="AC733" s="317">
        <f>OBRA!BW738</f>
        <v>0</v>
      </c>
      <c r="AD733" s="352"/>
    </row>
    <row r="734" spans="1:30" ht="15" hidden="1" customHeight="1">
      <c r="A734" s="22" t="s">
        <v>2206</v>
      </c>
      <c r="B734" s="809">
        <f>GRAL!B978</f>
        <v>0</v>
      </c>
      <c r="C734" s="16">
        <f>OBRA!J739</f>
        <v>2023</v>
      </c>
      <c r="D734" s="17" t="str">
        <f>OBRA!M739</f>
        <v>RAMO 33</v>
      </c>
      <c r="E734" s="1170"/>
      <c r="F734" s="1108"/>
      <c r="G734" s="219"/>
      <c r="H734" s="1108"/>
      <c r="I734" s="54" t="str">
        <f>OBRA!W739</f>
        <v>ING. SERGIO CABRERA</v>
      </c>
      <c r="J734" s="55" t="str">
        <f>OBRA!X739</f>
        <v>C. DANIEL RODRIGUEZ VALENZUELA</v>
      </c>
      <c r="K734" s="19" t="str">
        <f>OBRA!N739</f>
        <v>GMJ 002C OP/2023</v>
      </c>
      <c r="L734" s="2" t="str">
        <f>OBRA!O739</f>
        <v>ADJUDICACIÓN DIRECTA</v>
      </c>
      <c r="M734" s="3" t="str">
        <f>OBRA!P739</f>
        <v>"CONSTRUCCIÓN DE HUELLAS DE CONCRETO Y EMPEDRADO AHOGADO EN CEMENTO EN LA CALLE JOSEFA ORTIZ DE DOMINGUEZ DE CALLE ALDAMA PONIENTE A CALLE FILÓSOFOS", EN LA CABECERA MUNICIPAL DE JOCOTEPEC, JALISCO.</v>
      </c>
      <c r="N734" s="541"/>
      <c r="O734" s="541"/>
      <c r="P734" s="6">
        <f>OBRA!S739</f>
        <v>45022</v>
      </c>
      <c r="Q734" s="4">
        <f>OBRA!R739</f>
        <v>1810170.95</v>
      </c>
      <c r="R734" s="4"/>
      <c r="S734" s="5">
        <f>OBRA!T739</f>
        <v>45024</v>
      </c>
      <c r="T734" s="11">
        <f>OBRA!U739</f>
        <v>45061</v>
      </c>
      <c r="U734" s="692"/>
      <c r="V734" s="203"/>
      <c r="W734" s="508"/>
      <c r="X734" s="509"/>
      <c r="Y734" s="534">
        <f>OBRA!AR739</f>
        <v>362034.18</v>
      </c>
      <c r="Z734" s="309"/>
      <c r="AA734" s="309"/>
      <c r="AB734" s="5"/>
      <c r="AC734" s="317">
        <f>OBRA!BW739</f>
        <v>0</v>
      </c>
      <c r="AD734" s="352"/>
    </row>
    <row r="735" spans="1:30" ht="15" hidden="1" customHeight="1">
      <c r="A735" s="22" t="s">
        <v>2206</v>
      </c>
      <c r="B735" s="809">
        <f>GRAL!B979</f>
        <v>0</v>
      </c>
      <c r="C735" s="16">
        <f>OBRA!J740</f>
        <v>2023</v>
      </c>
      <c r="D735" s="17" t="str">
        <f>OBRA!M740</f>
        <v>CUENTA CORRIENTE</v>
      </c>
      <c r="E735" s="1170"/>
      <c r="F735" s="1108"/>
      <c r="G735" s="219"/>
      <c r="H735" s="1108"/>
      <c r="I735" s="54" t="str">
        <f>OBRA!W740</f>
        <v>TERRACERÍAS Y PAVIMENTOS DE LA RIBERA, S.A. DE C.V.</v>
      </c>
      <c r="J735" s="55" t="str">
        <f>OBRA!X740</f>
        <v>C. DANIEL RODRIGUEZ VALENZUELA</v>
      </c>
      <c r="K735" s="19" t="str">
        <f>OBRA!N740</f>
        <v>CSS-OP-CC-003/2023</v>
      </c>
      <c r="L735" s="2" t="str">
        <f>OBRA!O740</f>
        <v>CONCURSO SIMPLIFICADO SUMARIO</v>
      </c>
      <c r="M735" s="3" t="str">
        <f>OBRA!P740</f>
        <v>“CONSTRUCCIÓN DE LINEA DE DRENAJE, LINEA DE AGUA POTABLE, HUELLA DE CONCRETO Y EMPEDRADO AHOGADO EN CONCRETO EN LA CALLE JOSEFA ORTIZ DE DOMINGUEZ DE CALLE FILÓSOFOS HASTA EL LIBRAMIENTO”, EN LA CABECERA MUNICIPAL DE JOCOTEPEC, JALISCO.</v>
      </c>
      <c r="N735" s="541"/>
      <c r="O735" s="541"/>
      <c r="P735" s="6">
        <f>OBRA!S740</f>
        <v>44981</v>
      </c>
      <c r="Q735" s="4">
        <f>OBRA!R740</f>
        <v>4378573.75</v>
      </c>
      <c r="R735" s="4"/>
      <c r="S735" s="5">
        <f>OBRA!T740</f>
        <v>44987</v>
      </c>
      <c r="T735" s="11">
        <f>OBRA!U740</f>
        <v>45048</v>
      </c>
      <c r="U735" s="692"/>
      <c r="V735" s="203"/>
      <c r="W735" s="508"/>
      <c r="X735" s="509"/>
      <c r="Y735" s="534">
        <f>OBRA!AR740</f>
        <v>875714.74</v>
      </c>
      <c r="Z735" s="309"/>
      <c r="AA735" s="309"/>
      <c r="AB735" s="5"/>
      <c r="AC735" s="317">
        <f>OBRA!BW740</f>
        <v>0</v>
      </c>
      <c r="AD735" s="352"/>
    </row>
    <row r="736" spans="1:30" ht="15" hidden="1" customHeight="1">
      <c r="A736" s="22" t="s">
        <v>2206</v>
      </c>
      <c r="B736" s="809">
        <f>GRAL!B980</f>
        <v>0</v>
      </c>
      <c r="C736" s="16">
        <f>OBRA!J741</f>
        <v>2023</v>
      </c>
      <c r="D736" s="17" t="str">
        <f>OBRA!M741</f>
        <v>RAMO 33</v>
      </c>
      <c r="E736" s="1170"/>
      <c r="F736" s="1108"/>
      <c r="G736" s="219"/>
      <c r="H736" s="1108"/>
      <c r="I736" s="54" t="str">
        <f>OBRA!W741</f>
        <v>URBANIZADORA Y PAVIMENTADORA MONLE S.A. DE C.V.</v>
      </c>
      <c r="J736" s="55" t="str">
        <f>OBRA!X741</f>
        <v>ING. J. GUADALUPE IBARRA RAMIREZ</v>
      </c>
      <c r="K736" s="19" t="str">
        <f>OBRA!N741</f>
        <v>GMJ 004C OP/2023</v>
      </c>
      <c r="L736" s="2" t="str">
        <f>OBRA!O741</f>
        <v>ADJUDICACIÓN DIRECTA</v>
      </c>
      <c r="M736" s="3" t="str">
        <f>OBRA!P741</f>
        <v>"COMPLEMENTO DE OBRA: EQUIPAMIENTO, ELECTRIFICACIÓN, TREN DE DESCARGA, CASETA DE CLORACIÓN, CERCADO PERIMETRAL Y PUESTA EN MARCHA DEL POZO DE AGUA", EN LA LOCALIDAD DE CHANTEPEC DEL MUNICIPIO DE JOCOTEPEC, JALISCO.</v>
      </c>
      <c r="N736" s="541"/>
      <c r="O736" s="541"/>
      <c r="P736" s="6">
        <f>OBRA!S741</f>
        <v>45036</v>
      </c>
      <c r="Q736" s="4">
        <f>OBRA!R741</f>
        <v>1196296.56</v>
      </c>
      <c r="R736" s="4"/>
      <c r="S736" s="5">
        <f>OBRA!T741</f>
        <v>45048</v>
      </c>
      <c r="T736" s="11">
        <f>OBRA!U741</f>
        <v>45079</v>
      </c>
      <c r="U736" s="692"/>
      <c r="V736" s="203"/>
      <c r="W736" s="508"/>
      <c r="X736" s="509"/>
      <c r="Y736" s="534">
        <f>OBRA!AR741</f>
        <v>584851.71</v>
      </c>
      <c r="Z736" s="309"/>
      <c r="AA736" s="309"/>
      <c r="AB736" s="5"/>
      <c r="AC736" s="317">
        <f>OBRA!BW741</f>
        <v>0</v>
      </c>
      <c r="AD736" s="352"/>
    </row>
    <row r="737" spans="1:30" ht="15" hidden="1" customHeight="1">
      <c r="A737" s="22" t="s">
        <v>2206</v>
      </c>
      <c r="B737" s="809">
        <f>GRAL!B981</f>
        <v>0</v>
      </c>
      <c r="C737" s="16">
        <f>OBRA!J742</f>
        <v>2023</v>
      </c>
      <c r="D737" s="17" t="str">
        <f>OBRA!M742</f>
        <v>RAMO 33</v>
      </c>
      <c r="E737" s="1170"/>
      <c r="F737" s="1108"/>
      <c r="G737" s="219"/>
      <c r="H737" s="1108"/>
      <c r="I737" s="54" t="str">
        <f>OBRA!W742</f>
        <v>CONSTRUCTORA ELÉCTRICA DEL LAGO S.A. DE C.V.</v>
      </c>
      <c r="J737" s="55" t="str">
        <f>OBRA!X742</f>
        <v>ING. J. GUADALUPE IBARRA RAMIREZ</v>
      </c>
      <c r="K737" s="19" t="str">
        <f>OBRA!N742</f>
        <v>GMJ 005C OP/2023</v>
      </c>
      <c r="L737" s="2" t="str">
        <f>OBRA!O742</f>
        <v>ADJUDICACIÓN DIRECTA</v>
      </c>
      <c r="M737" s="3" t="str">
        <f>OBRA!P742</f>
        <v>"COMPLEMENTO DE OBRA: EQUIPAMIENTO, ELECTRIFICACIÓN, TREN DE DESCARGA, CASETA DE CLORACIÓN, CERCADO PERIMETRAL Y PUESTA EN MARCHA DEL POZO DE AGUA", EN LA LOCALIDAD DE CHANTEPEC DEL MUNICIPIO DE JOCOTEPEC, JALISCO.</v>
      </c>
      <c r="N737" s="541"/>
      <c r="O737" s="541"/>
      <c r="P737" s="6">
        <f>OBRA!S742</f>
        <v>45044</v>
      </c>
      <c r="Q737" s="4">
        <f>OBRA!R742</f>
        <v>544139.78</v>
      </c>
      <c r="R737" s="4"/>
      <c r="S737" s="5">
        <f>OBRA!T742</f>
        <v>45054</v>
      </c>
      <c r="T737" s="11">
        <f>OBRA!U742</f>
        <v>45086</v>
      </c>
      <c r="U737" s="692"/>
      <c r="V737" s="203"/>
      <c r="W737" s="508"/>
      <c r="X737" s="509"/>
      <c r="Y737" s="534">
        <f>OBRA!AR742</f>
        <v>272069.87</v>
      </c>
      <c r="Z737" s="309"/>
      <c r="AA737" s="309"/>
      <c r="AB737" s="5"/>
      <c r="AC737" s="317">
        <f>OBRA!BW742</f>
        <v>0</v>
      </c>
      <c r="AD737" s="352"/>
    </row>
    <row r="738" spans="1:30" ht="15" hidden="1" customHeight="1">
      <c r="A738" s="22" t="s">
        <v>2206</v>
      </c>
      <c r="B738" s="809">
        <f>GRAL!B982</f>
        <v>0</v>
      </c>
      <c r="C738" s="16">
        <f>OBRA!J743</f>
        <v>2023</v>
      </c>
      <c r="D738" s="17" t="str">
        <f>OBRA!M743</f>
        <v>CUENTA CORRIENTE</v>
      </c>
      <c r="E738" s="1170"/>
      <c r="F738" s="1108"/>
      <c r="G738" s="219"/>
      <c r="H738" s="1108"/>
      <c r="I738" s="54" t="str">
        <f>OBRA!W743</f>
        <v>ESTRUCTURAS PLANEADAS DE OCCIDENTE, S.A. DE C.V.</v>
      </c>
      <c r="J738" s="55" t="str">
        <f>OBRA!X743</f>
        <v>ARQ. JAIME CONDE GOMEZ</v>
      </c>
      <c r="K738" s="19" t="str">
        <f>OBRA!N743</f>
        <v>GMJ 006C OP/2023</v>
      </c>
      <c r="L738" s="2" t="str">
        <f>OBRA!O743</f>
        <v>ADJUDICACIÓN DIRECTA</v>
      </c>
      <c r="M738"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N738" s="541"/>
      <c r="O738" s="541"/>
      <c r="P738" s="6">
        <f>OBRA!S743</f>
        <v>45042</v>
      </c>
      <c r="Q738" s="4">
        <f>OBRA!R743</f>
        <v>584259.75</v>
      </c>
      <c r="R738" s="4"/>
      <c r="S738" s="5">
        <f>OBRA!T743</f>
        <v>45048</v>
      </c>
      <c r="T738" s="11">
        <f>OBRA!U743</f>
        <v>45168</v>
      </c>
      <c r="U738" s="692"/>
      <c r="V738" s="203"/>
      <c r="W738" s="508"/>
      <c r="X738" s="509"/>
      <c r="Y738" s="534">
        <f>OBRA!AR743</f>
        <v>77410.84</v>
      </c>
      <c r="Z738" s="309"/>
      <c r="AA738" s="309"/>
      <c r="AB738" s="5"/>
      <c r="AC738" s="317">
        <f>OBRA!BW743</f>
        <v>0</v>
      </c>
      <c r="AD738" s="352"/>
    </row>
    <row r="739" spans="1:30" ht="15" hidden="1" customHeight="1">
      <c r="A739" s="22" t="s">
        <v>2206</v>
      </c>
      <c r="B739" s="809">
        <f>GRAL!B983</f>
        <v>0</v>
      </c>
      <c r="C739" s="16">
        <f>OBRA!J744</f>
        <v>2023</v>
      </c>
      <c r="D739" s="17" t="str">
        <f>OBRA!M744</f>
        <v>CUENTA CORRIENTE</v>
      </c>
      <c r="E739" s="1170"/>
      <c r="F739" s="1108"/>
      <c r="G739" s="219"/>
      <c r="H739" s="1108"/>
      <c r="I739" s="54" t="str">
        <f>OBRA!W744</f>
        <v>EDIFICACIONES Y TERRACERIAS CH, S.A. DE C.V.</v>
      </c>
      <c r="J739" s="55" t="str">
        <f>OBRA!X744</f>
        <v>C. DANIEL RODRIGUEZ VALENZUELA</v>
      </c>
      <c r="K739" s="19" t="str">
        <f>OBRA!N744</f>
        <v>GMJ 007C OP/2023</v>
      </c>
      <c r="L739" s="2" t="str">
        <f>OBRA!O744</f>
        <v>ADJUDICACIÓN DIRECTA</v>
      </c>
      <c r="M739" s="3" t="str">
        <f>OBRA!P744</f>
        <v>“CONSTRUCCIÓN DE LÍNEA DE ABASTECIMIENTO DE AGUA POTABLE DE 6” EN CALLE JOSEFA ORTÍZ DE DOMINGUEZ DEL LIBRAMIENTO AL DEPÓSITO DE AGUA”, EN LA CABECERA MUNICIPAL DE JOCOTEPEC, JALISCO.</v>
      </c>
      <c r="N739" s="541"/>
      <c r="O739" s="541"/>
      <c r="P739" s="6">
        <f>OBRA!S744</f>
        <v>45056</v>
      </c>
      <c r="Q739" s="4">
        <f>OBRA!R744</f>
        <v>387303.55</v>
      </c>
      <c r="R739" s="4"/>
      <c r="S739" s="5">
        <f>OBRA!T744</f>
        <v>45061</v>
      </c>
      <c r="T739" s="11">
        <f>OBRA!U744</f>
        <v>45090</v>
      </c>
      <c r="U739" s="692"/>
      <c r="V739" s="203"/>
      <c r="W739" s="508"/>
      <c r="X739" s="509"/>
      <c r="Y739" s="534">
        <f>OBRA!AR744</f>
        <v>77460.7</v>
      </c>
      <c r="Z739" s="309"/>
      <c r="AA739" s="309"/>
      <c r="AB739" s="5"/>
      <c r="AC739" s="317">
        <f>OBRA!BW744</f>
        <v>0</v>
      </c>
      <c r="AD739" s="352"/>
    </row>
    <row r="740" spans="1:30" ht="15" hidden="1" customHeight="1">
      <c r="A740" s="22" t="s">
        <v>2206</v>
      </c>
      <c r="B740" s="809">
        <f>GRAL!B984</f>
        <v>0</v>
      </c>
      <c r="C740" s="16">
        <f>OBRA!J745</f>
        <v>2023</v>
      </c>
      <c r="D740" s="17" t="str">
        <f>OBRA!M745</f>
        <v>CUENTA CORRIENTE</v>
      </c>
      <c r="E740" s="1170"/>
      <c r="F740" s="1108"/>
      <c r="G740" s="219"/>
      <c r="H740" s="1108"/>
      <c r="I740" s="54" t="str">
        <f>OBRA!W745</f>
        <v>ESTRUCTURAS PLANEADAS DE OCCIDENTE, S.A. DE C.V.</v>
      </c>
      <c r="J740" s="55" t="str">
        <f>OBRA!X745</f>
        <v>ING. J. GUADALUPE IBARRA RAMIREZ</v>
      </c>
      <c r="K740" s="19" t="str">
        <f>OBRA!N745</f>
        <v>GMJ 008C OP/2023</v>
      </c>
      <c r="L740" s="2" t="str">
        <f>OBRA!O745</f>
        <v>ADJUDICACIÓN DIRECTA</v>
      </c>
      <c r="M740" s="3" t="str">
        <f>OBRA!P745</f>
        <v>“REPARACIÓN DE TANQUE ALMACENAMIENTO DE AGUA POTABLE ZONA NORTE”, EN LA CABECERA MUNICIPAL DE JOCOTEPEC, JALISCO</v>
      </c>
      <c r="N740" s="541"/>
      <c r="O740" s="541"/>
      <c r="P740" s="6">
        <f>OBRA!S745</f>
        <v>45056</v>
      </c>
      <c r="Q740" s="4">
        <f>OBRA!R745</f>
        <v>374761.47</v>
      </c>
      <c r="R740" s="4"/>
      <c r="S740" s="5">
        <f>OBRA!T745</f>
        <v>45061</v>
      </c>
      <c r="T740" s="11">
        <f>OBRA!U745</f>
        <v>45086</v>
      </c>
      <c r="U740" s="692"/>
      <c r="V740" s="203"/>
      <c r="W740" s="508"/>
      <c r="X740" s="509"/>
      <c r="Y740" s="534">
        <f>OBRA!AR745</f>
        <v>86551.25</v>
      </c>
      <c r="Z740" s="309"/>
      <c r="AA740" s="309"/>
      <c r="AB740" s="5"/>
      <c r="AC740" s="317">
        <f>OBRA!BW745</f>
        <v>0</v>
      </c>
      <c r="AD740" s="352"/>
    </row>
    <row r="741" spans="1:30" ht="15" hidden="1" customHeight="1">
      <c r="A741" s="22" t="s">
        <v>2206</v>
      </c>
      <c r="B741" s="809">
        <f>GRAL!B985</f>
        <v>0</v>
      </c>
      <c r="C741" s="16">
        <f>OBRA!J746</f>
        <v>2023</v>
      </c>
      <c r="D741" s="17" t="str">
        <f>OBRA!M746</f>
        <v>CUENTA CORRIENTE</v>
      </c>
      <c r="E741" s="1170"/>
      <c r="F741" s="1108"/>
      <c r="G741" s="219"/>
      <c r="H741" s="1108"/>
      <c r="I741" s="54" t="str">
        <f>OBRA!W746</f>
        <v>EDIFICACIONES Y TERRACERIAS CH, S.A. DE C.V.</v>
      </c>
      <c r="J741" s="55" t="str">
        <f>OBRA!X746</f>
        <v>C. DANIEL RODRIGUEZ VALENZUELA</v>
      </c>
      <c r="K741" s="19" t="str">
        <f>OBRA!N746</f>
        <v>GMJ 009C OP/2023</v>
      </c>
      <c r="L741" s="2" t="str">
        <f>OBRA!O746</f>
        <v>ADJUDICACIÓN DIRECTA</v>
      </c>
      <c r="M741" s="3" t="str">
        <f>OBRA!P746</f>
        <v>“CONSTRUCCIÓN DE LÍNEA DE ABASTECIMIENTO DE AGUA POTABLE DE 6” EN CALLE JOSEFA ORTÍZ DE DOMINGUEZ DEL LIBRAMIENTO A CALLE FILÓSOFOS”, EN LA CABECERA MUNICIPAL DE JOCOTEPEC, JALISCO</v>
      </c>
      <c r="N741" s="541"/>
      <c r="O741" s="541"/>
      <c r="P741" s="6">
        <f>OBRA!S746</f>
        <v>45056</v>
      </c>
      <c r="Q741" s="4">
        <f>OBRA!R746</f>
        <v>835320.31999999995</v>
      </c>
      <c r="R741" s="4"/>
      <c r="S741" s="5">
        <f>OBRA!T746</f>
        <v>45061</v>
      </c>
      <c r="T741" s="11">
        <f>OBRA!U746</f>
        <v>45090</v>
      </c>
      <c r="U741" s="692"/>
      <c r="V741" s="203"/>
      <c r="W741" s="508"/>
      <c r="X741" s="509"/>
      <c r="Y741" s="534">
        <f>OBRA!AR746</f>
        <v>80363.960000000006</v>
      </c>
      <c r="Z741" s="309"/>
      <c r="AA741" s="309"/>
      <c r="AB741" s="5"/>
      <c r="AC741" s="317">
        <f>OBRA!BW746</f>
        <v>0</v>
      </c>
      <c r="AD741" s="352"/>
    </row>
    <row r="742" spans="1:30" ht="15" hidden="1" customHeight="1">
      <c r="A742" s="22" t="s">
        <v>2206</v>
      </c>
      <c r="B742" s="809">
        <f>GRAL!B986</f>
        <v>0</v>
      </c>
      <c r="C742" s="16">
        <f>OBRA!J747</f>
        <v>2023</v>
      </c>
      <c r="D742" s="17" t="str">
        <f>OBRA!M747</f>
        <v>CUENTA CORRIENTE</v>
      </c>
      <c r="E742" s="1170"/>
      <c r="F742" s="1108"/>
      <c r="G742" s="219"/>
      <c r="H742" s="1108"/>
      <c r="I742" s="54" t="str">
        <f>OBRA!W747</f>
        <v>ESTRUCTURAS PLANEADAS DE OCCIDENTE, S.A. DE C.V.</v>
      </c>
      <c r="J742" s="55" t="str">
        <f>OBRA!X747</f>
        <v>ING. J. GUADALUPE IBARRA RAMIREZ</v>
      </c>
      <c r="K742" s="19" t="str">
        <f>OBRA!N747</f>
        <v>GMJ 010C OP/2023</v>
      </c>
      <c r="L742" s="2" t="str">
        <f>OBRA!O747</f>
        <v>ADJUDICACIÓN DIRECTA</v>
      </c>
      <c r="M742" s="3" t="str">
        <f>OBRA!P747</f>
        <v>“REPARACIÓN DE TANQUE ALMACENAMIENTO DE AGUA POTABLE”, EN LA LOCALIDAD DE SAN CRISTÓBAL ZAPOTITLÁN DEL MUNICIPIO DE JOCOTEPEC, JALISCO</v>
      </c>
      <c r="N742" s="541"/>
      <c r="O742" s="541"/>
      <c r="P742" s="6">
        <f>OBRA!S747</f>
        <v>45059</v>
      </c>
      <c r="Q742" s="4">
        <f>OBRA!R747</f>
        <v>168796.66</v>
      </c>
      <c r="R742" s="4"/>
      <c r="S742" s="5">
        <f>OBRA!T747</f>
        <v>45075</v>
      </c>
      <c r="T742" s="11">
        <f>OBRA!U747</f>
        <v>45094</v>
      </c>
      <c r="U742" s="692"/>
      <c r="V742" s="203"/>
      <c r="W742" s="508"/>
      <c r="X742" s="509"/>
      <c r="Y742" s="534">
        <f>OBRA!AR747</f>
        <v>42295.46</v>
      </c>
      <c r="Z742" s="309"/>
      <c r="AA742" s="309"/>
      <c r="AB742" s="5"/>
      <c r="AC742" s="317">
        <f>OBRA!BW747</f>
        <v>0</v>
      </c>
      <c r="AD742" s="352"/>
    </row>
    <row r="743" spans="1:30" ht="15" hidden="1" customHeight="1">
      <c r="A743" s="22" t="s">
        <v>2206</v>
      </c>
      <c r="B743" s="809">
        <f>GRAL!B987</f>
        <v>0</v>
      </c>
      <c r="C743" s="16">
        <f>OBRA!J748</f>
        <v>2023</v>
      </c>
      <c r="D743" s="17" t="str">
        <f>OBRA!M748</f>
        <v>CUENTA CORRIENTE</v>
      </c>
      <c r="E743" s="1170"/>
      <c r="F743" s="1108"/>
      <c r="G743" s="219"/>
      <c r="H743" s="1108"/>
      <c r="I743" s="54" t="str">
        <f>OBRA!W748</f>
        <v>MANUEL PALOS VACA</v>
      </c>
      <c r="J743" s="55" t="str">
        <f>OBRA!X748</f>
        <v>C. DANIEL RODRIGUEZ VALENZUELA</v>
      </c>
      <c r="K743" s="19" t="str">
        <f>OBRA!N748</f>
        <v>GMJ 011C OP/2023</v>
      </c>
      <c r="L743" s="2" t="str">
        <f>OBRA!O748</f>
        <v>ADJUDICACIÓN DIRECTA</v>
      </c>
      <c r="M743" s="3" t="str">
        <f>OBRA!P748</f>
        <v>“CONSTRUCCIÓN DE REDES HIDROSANITARIAS EN CALLE FILÓSOFOS ENTRE CALLE HIDALGO NORTE Y CALLE ALLENDE”, EN LA CABECERA MUNICIPAL DE JOCOTEPEC, JALISCO</v>
      </c>
      <c r="N743" s="541"/>
      <c r="O743" s="541"/>
      <c r="P743" s="6">
        <f>OBRA!S748</f>
        <v>45141</v>
      </c>
      <c r="Q743" s="4">
        <f>OBRA!R748</f>
        <v>254339.78</v>
      </c>
      <c r="R743" s="4"/>
      <c r="S743" s="5">
        <f>OBRA!T748</f>
        <v>45187</v>
      </c>
      <c r="T743" s="11">
        <f>OBRA!U748</f>
        <v>45219</v>
      </c>
      <c r="U743" s="692"/>
      <c r="V743" s="203"/>
      <c r="W743" s="508"/>
      <c r="X743" s="509"/>
      <c r="Y743" s="534">
        <f>OBRA!AR748</f>
        <v>135867.75</v>
      </c>
      <c r="Z743" s="309"/>
      <c r="AA743" s="309"/>
      <c r="AB743" s="5"/>
      <c r="AC743" s="317">
        <f>OBRA!BW748</f>
        <v>0</v>
      </c>
      <c r="AD743" s="352"/>
    </row>
    <row r="744" spans="1:30" ht="15" hidden="1" customHeight="1">
      <c r="A744" s="22" t="s">
        <v>2206</v>
      </c>
      <c r="B744" s="809">
        <f>GRAL!B988</f>
        <v>0</v>
      </c>
      <c r="C744" s="16">
        <f>OBRA!J749</f>
        <v>2023</v>
      </c>
      <c r="D744" s="17" t="str">
        <f>OBRA!M749</f>
        <v>RAMO 33</v>
      </c>
      <c r="E744" s="1170"/>
      <c r="F744" s="1108"/>
      <c r="G744" s="219"/>
      <c r="H744" s="1108"/>
      <c r="I744" s="54" t="str">
        <f>OBRA!W749</f>
        <v>MANUEL PALOS VACA</v>
      </c>
      <c r="J744" s="55" t="str">
        <f>OBRA!X749</f>
        <v>C. DANIEL RODRIGUEZ VALENZUELA</v>
      </c>
      <c r="K744" s="19" t="str">
        <f>OBRA!N749</f>
        <v>GMJ 012C OP/2023</v>
      </c>
      <c r="L744" s="2" t="str">
        <f>OBRA!O749</f>
        <v>ADJUDICACIÓN DIRECTA</v>
      </c>
      <c r="M744" s="3" t="str">
        <f>OBRA!P749</f>
        <v>“CONSTRUCCIÓN DE REDES HIDROSANITARIAS EN CALLE FILÓSOFOS ENTRE CALLE INDEPENDENCIA Y CALLE JOSEFA ORTÍZ DE DOMÍNGUEZ”, EN LA CABECERA MUNICIPAL DE JOCOTEPEC, JALISCO</v>
      </c>
      <c r="N744" s="541"/>
      <c r="O744" s="541"/>
      <c r="P744" s="6">
        <f>OBRA!S749</f>
        <v>45141</v>
      </c>
      <c r="Q744" s="4">
        <f>OBRA!R749</f>
        <v>553159.56000000006</v>
      </c>
      <c r="R744" s="4"/>
      <c r="S744" s="5">
        <f>OBRA!T749</f>
        <v>45148</v>
      </c>
      <c r="T744" s="11">
        <f>OBRA!U749</f>
        <v>45170</v>
      </c>
      <c r="U744" s="692"/>
      <c r="V744" s="203"/>
      <c r="W744" s="508"/>
      <c r="X744" s="509"/>
      <c r="Y744" s="534">
        <f>OBRA!AR749</f>
        <v>292025.84999999998</v>
      </c>
      <c r="Z744" s="309"/>
      <c r="AA744" s="309"/>
      <c r="AB744" s="5"/>
      <c r="AC744" s="317">
        <f>OBRA!BW749</f>
        <v>0</v>
      </c>
      <c r="AD744" s="352"/>
    </row>
    <row r="745" spans="1:30" ht="15" hidden="1" customHeight="1">
      <c r="A745" s="22" t="s">
        <v>2206</v>
      </c>
      <c r="B745" s="809">
        <f>GRAL!B989</f>
        <v>0</v>
      </c>
      <c r="C745" s="16">
        <f>OBRA!J750</f>
        <v>2023</v>
      </c>
      <c r="D745" s="17" t="str">
        <f>OBRA!M750</f>
        <v>RAMO 33</v>
      </c>
      <c r="E745" s="1170"/>
      <c r="F745" s="1108"/>
      <c r="G745" s="219"/>
      <c r="H745" s="1108"/>
      <c r="I745" s="54" t="str">
        <f>OBRA!W750</f>
        <v>EDIFICACIONES Y TERRACERIAS CH, S.A. DE C.V.</v>
      </c>
      <c r="J745" s="55" t="str">
        <f>OBRA!X750</f>
        <v>C. DANIEL RODRIGUEZ VALENZUELA</v>
      </c>
      <c r="K745" s="19" t="str">
        <f>OBRA!N750</f>
        <v>GMJ 013C OP/2023</v>
      </c>
      <c r="L745" s="2" t="str">
        <f>OBRA!O750</f>
        <v>ADJUDICACIÓN DIRECTA</v>
      </c>
      <c r="M745" s="3" t="str">
        <f>OBRA!P750</f>
        <v>“CONSTRUCCIÓN DE RED DE DRENAJE SANITARIO Y RED DE AGUA POTABLE EN CALLE PLAYAS DE LA LAGUNA”, EN LA LOCALIDAD DE CHANTEPEC DEL MUNICIPIO DE JOCOTEPEC, JALISCO</v>
      </c>
      <c r="N745" s="541"/>
      <c r="O745" s="541"/>
      <c r="P745" s="6">
        <f>OBRA!S750</f>
        <v>45105</v>
      </c>
      <c r="Q745" s="4">
        <f>OBRA!R750</f>
        <v>724743.66</v>
      </c>
      <c r="R745" s="4"/>
      <c r="S745" s="5">
        <f>OBRA!T750</f>
        <v>45110</v>
      </c>
      <c r="T745" s="11">
        <f>OBRA!U750</f>
        <v>45141</v>
      </c>
      <c r="U745" s="692"/>
      <c r="V745" s="203"/>
      <c r="W745" s="508"/>
      <c r="X745" s="509"/>
      <c r="Y745" s="534">
        <f>OBRA!AR750</f>
        <v>362371.81</v>
      </c>
      <c r="Z745" s="309"/>
      <c r="AA745" s="309"/>
      <c r="AB745" s="5"/>
      <c r="AC745" s="317">
        <f>OBRA!BW750</f>
        <v>0</v>
      </c>
      <c r="AD745" s="352"/>
    </row>
    <row r="746" spans="1:30" ht="15" hidden="1" customHeight="1">
      <c r="A746" s="22" t="s">
        <v>2206</v>
      </c>
      <c r="B746" s="809">
        <f>GRAL!B990</f>
        <v>0</v>
      </c>
      <c r="C746" s="16">
        <f>OBRA!J751</f>
        <v>2023</v>
      </c>
      <c r="D746" s="17" t="str">
        <f>OBRA!M751</f>
        <v>RAMO 33</v>
      </c>
      <c r="E746" s="1170"/>
      <c r="F746" s="1108"/>
      <c r="G746" s="219"/>
      <c r="H746" s="1108"/>
      <c r="I746" s="54" t="str">
        <f>OBRA!W751</f>
        <v>EDIFICACIONES Y TERRACERIAS CH, S.A. DE C.V.</v>
      </c>
      <c r="J746" s="55" t="str">
        <f>OBRA!X751</f>
        <v>C. DANIEL RODRIGUEZ VALENZUELA</v>
      </c>
      <c r="K746" s="19" t="str">
        <f>OBRA!N751</f>
        <v>GMJ 014C OP/2023</v>
      </c>
      <c r="L746" s="2" t="str">
        <f>OBRA!O751</f>
        <v>ADJUDICACIÓN DIRECTA</v>
      </c>
      <c r="M746" s="3" t="str">
        <f>OBRA!P751</f>
        <v>“CONSTRUCCIÓN DE RED DE DRENAJE SANITARIO Y RED DE AGUA POTABLE EN CALLE PLAYA AZUL”, EN LA LOCALIDAD DE CHANTEPEC DEL MUNICIPIO DE JOCOTEPEC, JALISCO</v>
      </c>
      <c r="N746" s="541"/>
      <c r="O746" s="541"/>
      <c r="P746" s="6">
        <f>OBRA!S751</f>
        <v>45105</v>
      </c>
      <c r="Q746" s="4">
        <f>OBRA!R751</f>
        <v>543995.47</v>
      </c>
      <c r="R746" s="4"/>
      <c r="S746" s="5">
        <f>OBRA!T751</f>
        <v>45110</v>
      </c>
      <c r="T746" s="11">
        <f>OBRA!U751</f>
        <v>45141</v>
      </c>
      <c r="U746" s="692"/>
      <c r="V746" s="203"/>
      <c r="W746" s="508"/>
      <c r="X746" s="509"/>
      <c r="Y746" s="534">
        <f>OBRA!AR751</f>
        <v>163198.62</v>
      </c>
      <c r="Z746" s="309"/>
      <c r="AA746" s="309"/>
      <c r="AB746" s="5"/>
      <c r="AC746" s="317">
        <f>OBRA!BW751</f>
        <v>0</v>
      </c>
      <c r="AD746" s="352"/>
    </row>
    <row r="747" spans="1:30" ht="15" hidden="1" customHeight="1">
      <c r="A747" s="22" t="s">
        <v>2206</v>
      </c>
      <c r="B747" s="809">
        <f>GRAL!B991</f>
        <v>0</v>
      </c>
      <c r="C747" s="16">
        <f>OBRA!J752</f>
        <v>2023</v>
      </c>
      <c r="D747" s="17" t="str">
        <f>OBRA!M752</f>
        <v>CUENTA CORRIENTE</v>
      </c>
      <c r="E747" s="1170"/>
      <c r="F747" s="1108"/>
      <c r="G747" s="219"/>
      <c r="H747" s="1108"/>
      <c r="I747" s="54" t="str">
        <f>OBRA!W752</f>
        <v>ALSERCON SA DE CV</v>
      </c>
      <c r="J747" s="55" t="str">
        <f>OBRA!X752</f>
        <v>C. DANIEL RODRIGUEZ VALENZUELA</v>
      </c>
      <c r="K747" s="19" t="str">
        <f>OBRA!N752</f>
        <v>GMJ 015C OP/2023</v>
      </c>
      <c r="L747" s="2" t="str">
        <f>OBRA!O752</f>
        <v>ADJUDICACIÓN DIRECTA</v>
      </c>
      <c r="M747" s="3" t="str">
        <f>OBRA!P752</f>
        <v>“TERMINACIÓN DE DEPÓSITO DE AGUA, LÍNEA DE LLENADO Y DISTRIBUCIÓN DE AGUA POTABLE EN CUARTEL DE LA GUARDIA NACIONAL (OBRA CIVIL)”, EN LA LOCALIDAD DE POTRERILLOS DEL MUNICIPIO DE JOCOTEPEC, JALISCO</v>
      </c>
      <c r="N747" s="541"/>
      <c r="O747" s="541"/>
      <c r="P747" s="6">
        <f>OBRA!S752</f>
        <v>45105</v>
      </c>
      <c r="Q747" s="4">
        <f>OBRA!R752</f>
        <v>703136.32</v>
      </c>
      <c r="R747" s="4"/>
      <c r="S747" s="5">
        <f>OBRA!T752</f>
        <v>45113</v>
      </c>
      <c r="T747" s="11">
        <f>OBRA!U752</f>
        <v>45168</v>
      </c>
      <c r="U747" s="692"/>
      <c r="V747" s="203"/>
      <c r="W747" s="508"/>
      <c r="X747" s="509"/>
      <c r="Y747" s="534">
        <f>OBRA!AR752</f>
        <v>368380.80000000005</v>
      </c>
      <c r="Z747" s="309"/>
      <c r="AA747" s="309"/>
      <c r="AB747" s="5"/>
      <c r="AC747" s="317">
        <f>OBRA!BW752</f>
        <v>0</v>
      </c>
      <c r="AD747" s="352"/>
    </row>
    <row r="748" spans="1:30" ht="15" hidden="1" customHeight="1">
      <c r="A748" s="22" t="s">
        <v>2206</v>
      </c>
      <c r="B748" s="809">
        <f>GRAL!B992</f>
        <v>0</v>
      </c>
      <c r="C748" s="16">
        <f>OBRA!J753</f>
        <v>2023</v>
      </c>
      <c r="D748" s="17" t="str">
        <f>OBRA!M753</f>
        <v>CUENTA CORRIENTE</v>
      </c>
      <c r="E748" s="1170"/>
      <c r="F748" s="1108"/>
      <c r="G748" s="219"/>
      <c r="H748" s="1108"/>
      <c r="I748" s="54" t="str">
        <f>OBRA!W753</f>
        <v>C. ANA LUZ HIDALGO VELA</v>
      </c>
      <c r="J748" s="55" t="str">
        <f>OBRA!X753</f>
        <v>ARQ. JAIME CONDE GOMEZ</v>
      </c>
      <c r="K748" s="19" t="str">
        <f>OBRA!N753</f>
        <v>GMJ 016C OP/2023</v>
      </c>
      <c r="L748" s="2" t="str">
        <f>OBRA!O753</f>
        <v>ADJUDICACIÓN DIRECTA</v>
      </c>
      <c r="M748" s="3" t="str">
        <f>OBRA!P753</f>
        <v>“INTALACIÓN DE RIELERIA PARA EL PROCESO DE MATANZA EN RASTRO MUNICIPAL”, EN LA CABECERA MUNICIPAL DE JOCOTEPEC, JALISCO</v>
      </c>
      <c r="N748" s="541"/>
      <c r="O748" s="541"/>
      <c r="P748" s="6">
        <f>OBRA!S753</f>
        <v>45134</v>
      </c>
      <c r="Q748" s="4">
        <f>OBRA!R753</f>
        <v>821212.44</v>
      </c>
      <c r="R748" s="4"/>
      <c r="S748" s="5">
        <f>OBRA!T753</f>
        <v>45145</v>
      </c>
      <c r="T748" s="11">
        <f>OBRA!U753</f>
        <v>45169</v>
      </c>
      <c r="U748" s="692"/>
      <c r="V748" s="203"/>
      <c r="W748" s="508"/>
      <c r="X748" s="509"/>
      <c r="Y748" s="534">
        <f>OBRA!AR753</f>
        <v>574838.70000000007</v>
      </c>
      <c r="Z748" s="309"/>
      <c r="AA748" s="309"/>
      <c r="AB748" s="5"/>
      <c r="AC748" s="317">
        <f>OBRA!BW753</f>
        <v>0</v>
      </c>
      <c r="AD748" s="352"/>
    </row>
    <row r="749" spans="1:30" ht="15" hidden="1" customHeight="1">
      <c r="A749" s="22" t="s">
        <v>2206</v>
      </c>
      <c r="B749" s="809">
        <f>GRAL!B993</f>
        <v>0</v>
      </c>
      <c r="C749" s="16">
        <f>OBRA!J754</f>
        <v>2023</v>
      </c>
      <c r="D749" s="17" t="str">
        <f>OBRA!M754</f>
        <v>FOCOCI</v>
      </c>
      <c r="E749" s="1170"/>
      <c r="F749" s="1108"/>
      <c r="G749" s="219"/>
      <c r="H749" s="1108"/>
      <c r="I749" s="54" t="str">
        <f>OBRA!W754</f>
        <v>C. SERGIO CABRERA</v>
      </c>
      <c r="J749" s="55" t="str">
        <f>OBRA!X754</f>
        <v>C. DANIEL RODRIGUEZ VALENZUELA</v>
      </c>
      <c r="K749" s="19" t="str">
        <f>OBRA!N754</f>
        <v>CSS-OP-CC-017/2023</v>
      </c>
      <c r="L749" s="2" t="str">
        <f>OBRA!O754</f>
        <v>CONCURSO SIMPLIFICADO SUMARIO</v>
      </c>
      <c r="M749" s="3" t="str">
        <f>OBRA!P754</f>
        <v>“PAVIMENTACIÓN CON EMPEDRADO ZAMPEADO, EN CALLE LA PAZ EN LA DELEGACIÓN DE SAN JUAN COSALÁ, MUNICIPIO DE JOCOTEPEC, JALISCO”</v>
      </c>
      <c r="N749" s="541"/>
      <c r="O749" s="541"/>
      <c r="P749" s="6">
        <f>OBRA!S754</f>
        <v>45152</v>
      </c>
      <c r="Q749" s="4">
        <f>OBRA!R754</f>
        <v>4998360.84</v>
      </c>
      <c r="R749" s="4"/>
      <c r="S749" s="5">
        <f>OBRA!T754</f>
        <v>45155</v>
      </c>
      <c r="T749" s="11">
        <f>OBRA!U754</f>
        <v>45274</v>
      </c>
      <c r="U749" s="692"/>
      <c r="V749" s="203"/>
      <c r="W749" s="508"/>
      <c r="X749" s="509"/>
      <c r="Y749" s="534">
        <f>OBRA!AR754</f>
        <v>2499180.41</v>
      </c>
      <c r="Z749" s="309"/>
      <c r="AA749" s="309"/>
      <c r="AB749" s="5"/>
      <c r="AC749" s="317">
        <f>OBRA!BW754</f>
        <v>0</v>
      </c>
      <c r="AD749" s="352"/>
    </row>
    <row r="750" spans="1:30" ht="15" hidden="1" customHeight="1">
      <c r="A750" s="22" t="s">
        <v>2206</v>
      </c>
      <c r="B750" s="809">
        <f>GRAL!B994</f>
        <v>0</v>
      </c>
      <c r="C750" s="16">
        <f>OBRA!J755</f>
        <v>2023</v>
      </c>
      <c r="D750" s="17" t="str">
        <f>OBRA!M755</f>
        <v>RAMO 33</v>
      </c>
      <c r="E750" s="1170"/>
      <c r="F750" s="1108"/>
      <c r="G750" s="219"/>
      <c r="H750" s="1108"/>
      <c r="I750" s="54" t="str">
        <f>OBRA!W755</f>
        <v>ALSERCON SA DE CV</v>
      </c>
      <c r="J750" s="55" t="str">
        <f>OBRA!X755</f>
        <v>C. DANIEL RODRIGUEZ VALENZUELA</v>
      </c>
      <c r="K750" s="19" t="str">
        <f>OBRA!N755</f>
        <v>CSS-OP-CC-018/2023</v>
      </c>
      <c r="L750" s="2" t="str">
        <f>OBRA!O755</f>
        <v>CONCURSO SIMPLIFICADO SUMARIO</v>
      </c>
      <c r="M750" s="3" t="str">
        <f>OBRA!P755</f>
        <v>“CONSTRUCCIÓN DE SUPERFICIE DE RODAMIENTO EN CALLE PLAYAS DE LA LAGUNA”, EN LA LOCALIDAD DE CHANTEPEC, MUNICIPIO DE JOCOTEPEC, JALISCO</v>
      </c>
      <c r="N750" s="541"/>
      <c r="O750" s="541"/>
      <c r="P750" s="6">
        <f>OBRA!S755</f>
        <v>45168</v>
      </c>
      <c r="Q750" s="4">
        <f>OBRA!R755</f>
        <v>2808816.17</v>
      </c>
      <c r="R750" s="4"/>
      <c r="S750" s="5">
        <f>OBRA!T755</f>
        <v>45173</v>
      </c>
      <c r="T750" s="11">
        <f>OBRA!U755</f>
        <v>45237</v>
      </c>
      <c r="U750" s="692"/>
      <c r="V750" s="203"/>
      <c r="W750" s="508"/>
      <c r="X750" s="509"/>
      <c r="Y750" s="534">
        <f>OBRA!AR755</f>
        <v>821212.14</v>
      </c>
      <c r="Z750" s="309"/>
      <c r="AA750" s="309"/>
      <c r="AB750" s="5"/>
      <c r="AC750" s="317">
        <f>OBRA!BW755</f>
        <v>0</v>
      </c>
      <c r="AD750" s="352"/>
    </row>
    <row r="751" spans="1:30" ht="15" hidden="1" customHeight="1">
      <c r="A751" s="22" t="s">
        <v>2206</v>
      </c>
      <c r="B751" s="809">
        <f>GRAL!B995</f>
        <v>0</v>
      </c>
      <c r="C751" s="16">
        <f>OBRA!J756</f>
        <v>2023</v>
      </c>
      <c r="D751" s="17" t="str">
        <f>OBRA!M756</f>
        <v>RAMO 33</v>
      </c>
      <c r="E751" s="1170"/>
      <c r="F751" s="1108"/>
      <c r="G751" s="219"/>
      <c r="H751" s="1108"/>
      <c r="I751" s="54" t="str">
        <f>OBRA!W756</f>
        <v>C. REFUGIO GUTIÉRREZ NIEVES</v>
      </c>
      <c r="J751" s="55" t="str">
        <f>OBRA!X756</f>
        <v>C. DANIEL RODRIGUEZ VALENZUELA</v>
      </c>
      <c r="K751" s="19" t="str">
        <f>OBRA!N756</f>
        <v>GMJ 019C OP/2023</v>
      </c>
      <c r="L751" s="2" t="str">
        <f>OBRA!O756</f>
        <v>ADJUDICACIÓN DIRECTA</v>
      </c>
      <c r="M751" s="3" t="str">
        <f>OBRA!P756</f>
        <v>“CONSTRUCCIÓN DE SUPERFICIE DE RODAMIENTO EN CALLE PLAYA AZUL”, EN LA LOCALIDAD DE CHANTEPEC, MUNICIPIO DE JOCOTEPEC, JALISCO</v>
      </c>
      <c r="N751" s="541"/>
      <c r="O751" s="541"/>
      <c r="P751" s="6">
        <f>OBRA!S756</f>
        <v>45168</v>
      </c>
      <c r="Q751" s="4">
        <f>OBRA!R756</f>
        <v>2049615.46</v>
      </c>
      <c r="R751" s="4"/>
      <c r="S751" s="5">
        <f>OBRA!T756</f>
        <v>45180</v>
      </c>
      <c r="T751" s="11">
        <f>OBRA!U756</f>
        <v>45230</v>
      </c>
      <c r="U751" s="692"/>
      <c r="V751" s="203"/>
      <c r="W751" s="508"/>
      <c r="X751" s="509"/>
      <c r="Y751" s="534">
        <f>OBRA!AR756</f>
        <v>1025796.7799999999</v>
      </c>
      <c r="Z751" s="309"/>
      <c r="AA751" s="309"/>
      <c r="AB751" s="5"/>
      <c r="AC751" s="317">
        <f>OBRA!BW756</f>
        <v>0</v>
      </c>
      <c r="AD751" s="352"/>
    </row>
    <row r="752" spans="1:30" ht="15" hidden="1" customHeight="1">
      <c r="A752" s="22" t="s">
        <v>2206</v>
      </c>
      <c r="B752" s="809">
        <f>GRAL!B996</f>
        <v>0</v>
      </c>
      <c r="C752" s="16">
        <f>OBRA!J757</f>
        <v>2023</v>
      </c>
      <c r="D752" s="17" t="str">
        <f>OBRA!M757</f>
        <v>CUENTA CORRIENTE</v>
      </c>
      <c r="E752" s="1170"/>
      <c r="F752" s="1108"/>
      <c r="G752" s="219"/>
      <c r="H752" s="1108"/>
      <c r="I752" s="54" t="str">
        <f>OBRA!W757</f>
        <v xml:space="preserve">DORIA &amp; SAMPIER CONSTRUCTORA, S.A. DE C.V. </v>
      </c>
      <c r="J752" s="55" t="str">
        <f>OBRA!X757</f>
        <v>ARQ. JAIME CONDE GOMEZ</v>
      </c>
      <c r="K752" s="19" t="str">
        <f>OBRA!N757</f>
        <v>GMJ 020C OP/2023</v>
      </c>
      <c r="L752" s="2" t="str">
        <f>OBRA!O757</f>
        <v>ADJUDICACIÓN DIRECTA</v>
      </c>
      <c r="M752" s="3" t="str">
        <f>OBRA!P757</f>
        <v>“REHABILITACIÓN DE PLAZA PRINCIPAL”, EN LA LOCALIDAD DE HUEJOTITÁN, MUNICIPIO DE JOCOTEPEC, JALISCO</v>
      </c>
      <c r="N752" s="541"/>
      <c r="O752" s="541"/>
      <c r="P752" s="6">
        <f>OBRA!S757</f>
        <v>45166</v>
      </c>
      <c r="Q752" s="4">
        <f>OBRA!R757</f>
        <v>304838.93</v>
      </c>
      <c r="R752" s="4"/>
      <c r="S752" s="5">
        <f>OBRA!T757</f>
        <v>45168</v>
      </c>
      <c r="T752" s="11">
        <f>OBRA!U757</f>
        <v>45199</v>
      </c>
      <c r="U752" s="692"/>
      <c r="V752" s="203"/>
      <c r="W752" s="508"/>
      <c r="X752" s="509"/>
      <c r="Y752" s="534">
        <f>OBRA!AR757</f>
        <v>0</v>
      </c>
      <c r="Z752" s="309"/>
      <c r="AA752" s="309"/>
      <c r="AB752" s="5"/>
      <c r="AC752" s="317">
        <f>OBRA!BW757</f>
        <v>0</v>
      </c>
      <c r="AD752" s="352"/>
    </row>
    <row r="753" spans="1:30" ht="15" hidden="1" customHeight="1">
      <c r="A753" s="22" t="s">
        <v>2206</v>
      </c>
      <c r="B753" s="809">
        <f>GRAL!B997</f>
        <v>0</v>
      </c>
      <c r="C753" s="16">
        <f>OBRA!J758</f>
        <v>2023</v>
      </c>
      <c r="D753" s="17" t="str">
        <f>OBRA!M758</f>
        <v>RAMO 33</v>
      </c>
      <c r="E753" s="1170"/>
      <c r="F753" s="1108"/>
      <c r="G753" s="219"/>
      <c r="H753" s="1108"/>
      <c r="I753" s="54" t="str">
        <f>OBRA!W758</f>
        <v>ING. SERGIO CABRERA</v>
      </c>
      <c r="J753" s="55" t="str">
        <f>OBRA!X758</f>
        <v>C. DANIEL RODRIGUEZ VALENZUELA</v>
      </c>
      <c r="K753" s="19" t="str">
        <f>OBRA!N758</f>
        <v>GMJ 021 C-OP/2023</v>
      </c>
      <c r="L753" s="2" t="str">
        <f>OBRA!O758</f>
        <v>ADJUDICACIÓN DIRECTA</v>
      </c>
      <c r="M753" s="3" t="str">
        <f>OBRA!P758</f>
        <v>"CONSTRUCCIÓN DE BANQUETAS E IMAGEN URBANA EN CALLE LA PAZ DE CALLE HIDALGO A CALLE ROTARIO Y CALLE ROTARIO DE CALLE LA PAZ A CARRETERA JOCOTEPEC-CHAPALA", EN LA LOCALIDAD DE SAN JUAN COSALÁ, MUNICIPIO DE JOCOTEPEC, JALISCO.</v>
      </c>
      <c r="N753" s="541"/>
      <c r="O753" s="541"/>
      <c r="P753" s="6">
        <f>OBRA!S758</f>
        <v>45203</v>
      </c>
      <c r="Q753" s="4">
        <f>OBRA!R758</f>
        <v>853249.52</v>
      </c>
      <c r="R753" s="4"/>
      <c r="S753" s="5">
        <f>OBRA!T758</f>
        <v>45209</v>
      </c>
      <c r="T753" s="11">
        <f>OBRA!U758</f>
        <v>45222</v>
      </c>
      <c r="U753" s="692"/>
      <c r="V753" s="203"/>
      <c r="W753" s="508"/>
      <c r="X753" s="509"/>
      <c r="Y753" s="534">
        <f>OBRA!AR758</f>
        <v>442426.98</v>
      </c>
      <c r="Z753" s="309"/>
      <c r="AA753" s="309"/>
      <c r="AB753" s="5"/>
      <c r="AC753" s="317">
        <f>OBRA!BW758</f>
        <v>0</v>
      </c>
      <c r="AD753" s="352"/>
    </row>
    <row r="754" spans="1:30" ht="15" hidden="1" customHeight="1">
      <c r="A754" s="22" t="s">
        <v>2206</v>
      </c>
      <c r="B754" s="809">
        <f>GRAL!B998</f>
        <v>0</v>
      </c>
      <c r="C754" s="16">
        <f>OBRA!J759</f>
        <v>2023</v>
      </c>
      <c r="D754" s="17" t="str">
        <f>OBRA!M759</f>
        <v>CUENTA CORRIENTE</v>
      </c>
      <c r="E754" s="1170"/>
      <c r="F754" s="1108"/>
      <c r="G754" s="219"/>
      <c r="H754" s="1108"/>
      <c r="I754" s="54" t="str">
        <f>OBRA!W759</f>
        <v>SOLEC ENERGY, S.A. DE C.V.</v>
      </c>
      <c r="J754" s="55" t="str">
        <f>OBRA!X759</f>
        <v>C. DANIEL RODRIGUEZ VALENZUELA</v>
      </c>
      <c r="K754" s="19" t="str">
        <f>OBRA!N759</f>
        <v>GMJ 022 OP/2023</v>
      </c>
      <c r="L754" s="2" t="str">
        <f>OBRA!O759</f>
        <v>CANCELADA</v>
      </c>
      <c r="M754" s="3" t="str">
        <f>OBRA!P759</f>
        <v>"ELECTRIFICACIÓN DE POZO CAMICHINES UBICADO EN CALLE FRANCISCO VILLA", EN LA CABECERA MUNICIPAL DE JOCOTEPEC, JALISCO.</v>
      </c>
      <c r="N754" s="541"/>
      <c r="O754" s="541"/>
      <c r="P754" s="6">
        <f>OBRA!S759</f>
        <v>45212</v>
      </c>
      <c r="Q754" s="4">
        <f>OBRA!R759</f>
        <v>247646.07999999999</v>
      </c>
      <c r="R754" s="4"/>
      <c r="S754" s="5">
        <f>OBRA!T759</f>
        <v>45215</v>
      </c>
      <c r="T754" s="11">
        <f>OBRA!U759</f>
        <v>45258</v>
      </c>
      <c r="U754" s="692"/>
      <c r="V754" s="203"/>
      <c r="W754" s="508"/>
      <c r="X754" s="509"/>
      <c r="Y754" s="534">
        <f>OBRA!AR759</f>
        <v>0</v>
      </c>
      <c r="Z754" s="309"/>
      <c r="AA754" s="309"/>
      <c r="AB754" s="5"/>
      <c r="AC754" s="317">
        <f>OBRA!BW759</f>
        <v>0</v>
      </c>
      <c r="AD754" s="352"/>
    </row>
    <row r="755" spans="1:30" ht="15" hidden="1" customHeight="1">
      <c r="A755" s="22" t="s">
        <v>2206</v>
      </c>
      <c r="B755" s="809">
        <f>GRAL!B999</f>
        <v>0</v>
      </c>
      <c r="C755" s="16">
        <f>OBRA!J760</f>
        <v>2023</v>
      </c>
      <c r="D755" s="17" t="str">
        <f>OBRA!M760</f>
        <v>CUENTA CORRIENTE</v>
      </c>
      <c r="E755" s="1170"/>
      <c r="F755" s="1108"/>
      <c r="G755" s="219"/>
      <c r="H755" s="1108"/>
      <c r="I755" s="54" t="str">
        <f>OBRA!W760</f>
        <v>SOLEC ENERGY, S.A. DE C.V.</v>
      </c>
      <c r="J755" s="55" t="str">
        <f>OBRA!X760</f>
        <v>C. DANIEL RODRIGUEZ VALENZUELA</v>
      </c>
      <c r="K755" s="19" t="str">
        <f>OBRA!N760</f>
        <v>GMJ 023 C-OP/2023</v>
      </c>
      <c r="L755" s="2" t="str">
        <f>OBRA!O760</f>
        <v>ADJUDICACIÓN DIRECTA</v>
      </c>
      <c r="M755" s="3" t="str">
        <f>OBRA!P760</f>
        <v>"ELECTRIFICACIÓN DE POZO EN PRIVADA GUADALUPE VICTORIA", EN LA LOCALIDAD DE SAN JUAN COSALÁ, MUNICIPIO DE JOCOTEPEC, JALISCO.</v>
      </c>
      <c r="N755" s="541"/>
      <c r="O755" s="541"/>
      <c r="P755" s="6">
        <f>OBRA!S760</f>
        <v>45212</v>
      </c>
      <c r="Q755" s="4">
        <f>OBRA!R760</f>
        <v>330252</v>
      </c>
      <c r="R755" s="4"/>
      <c r="S755" s="5">
        <f>OBRA!T760</f>
        <v>45222</v>
      </c>
      <c r="T755" s="11">
        <f>OBRA!U760</f>
        <v>45282</v>
      </c>
      <c r="U755" s="692"/>
      <c r="V755" s="203"/>
      <c r="W755" s="508"/>
      <c r="X755" s="509"/>
      <c r="Y755" s="534">
        <f>OBRA!AR760</f>
        <v>66050.399999999994</v>
      </c>
      <c r="Z755" s="309"/>
      <c r="AA755" s="309"/>
      <c r="AB755" s="5"/>
      <c r="AC755" s="317">
        <f>OBRA!BW760</f>
        <v>0</v>
      </c>
      <c r="AD755" s="352"/>
    </row>
    <row r="756" spans="1:30" ht="15" hidden="1" customHeight="1">
      <c r="A756" s="22" t="s">
        <v>2206</v>
      </c>
      <c r="B756" s="809">
        <f>GRAL!B1000</f>
        <v>0</v>
      </c>
      <c r="C756" s="16">
        <f>OBRA!J761</f>
        <v>2023</v>
      </c>
      <c r="D756" s="17" t="str">
        <f>OBRA!M761</f>
        <v>CUENTA CORRIENTE</v>
      </c>
      <c r="E756" s="1170"/>
      <c r="F756" s="1108"/>
      <c r="G756" s="219"/>
      <c r="H756" s="1108"/>
      <c r="I756" s="54" t="str">
        <f>OBRA!W761</f>
        <v>OCTAVA CUATRO VISITAS, S.A. DE C.V.</v>
      </c>
      <c r="J756" s="55" t="str">
        <f>OBRA!X761</f>
        <v>ING. J. GUADALUPE IBARRA RAMIREZ</v>
      </c>
      <c r="K756" s="19" t="str">
        <f>OBRA!N761</f>
        <v>CSS-OP-CC-024/2023</v>
      </c>
      <c r="L756" s="2" t="str">
        <f>OBRA!O761</f>
        <v>CONCURSO SIMPLIFICADO SUMARIO</v>
      </c>
      <c r="M756" s="3" t="str">
        <f>OBRA!P761</f>
        <v>"CONSTRUCCIÓN DE 29 LOCALES COMERCIALES EN PLAZOLETA", EN LA LOCALIDAD DE CHANTEPEC, MUNICIPIO DE JOCOTEPEC, JALISCO.</v>
      </c>
      <c r="N756" s="541"/>
      <c r="O756" s="541"/>
      <c r="P756" s="6">
        <f>OBRA!S761</f>
        <v>45245</v>
      </c>
      <c r="Q756" s="4">
        <f>OBRA!R761</f>
        <v>5281923.58</v>
      </c>
      <c r="R756" s="4"/>
      <c r="S756" s="5">
        <f>OBRA!T761</f>
        <v>45251</v>
      </c>
      <c r="T756" s="11">
        <f>OBRA!U761</f>
        <v>45370</v>
      </c>
      <c r="U756" s="692"/>
      <c r="V756" s="203"/>
      <c r="W756" s="508"/>
      <c r="X756" s="509"/>
      <c r="Y756" s="534">
        <f>OBRA!AR761</f>
        <v>2692964.7399999998</v>
      </c>
      <c r="Z756" s="309"/>
      <c r="AA756" s="309"/>
      <c r="AB756" s="5"/>
      <c r="AC756" s="317">
        <f>OBRA!BW761</f>
        <v>0</v>
      </c>
      <c r="AD756" s="352"/>
    </row>
    <row r="757" spans="1:30" ht="15" hidden="1" customHeight="1">
      <c r="A757" s="22" t="s">
        <v>2206</v>
      </c>
      <c r="B757" s="809">
        <f>GRAL!B1001</f>
        <v>0</v>
      </c>
      <c r="C757" s="16">
        <f>OBRA!J762</f>
        <v>2023</v>
      </c>
      <c r="D757" s="17" t="str">
        <f>OBRA!M762</f>
        <v>CUENTA CORRIENTE</v>
      </c>
      <c r="E757" s="1170"/>
      <c r="F757" s="1108"/>
      <c r="G757" s="219"/>
      <c r="H757" s="1108"/>
      <c r="I757" s="54" t="str">
        <f>OBRA!W762</f>
        <v xml:space="preserve">DORIA &amp; SAMPIER CONSTRUCTORA, S.A. DE C.V. </v>
      </c>
      <c r="J757" s="55" t="str">
        <f>OBRA!X762</f>
        <v>ARQ. JAIME CONDE GOMEZ</v>
      </c>
      <c r="K757" s="19" t="str">
        <f>OBRA!N762</f>
        <v>GMJ 025C OP/2023</v>
      </c>
      <c r="L757" s="2" t="str">
        <f>OBRA!O762</f>
        <v>ADJUDICACIÓN DIRECTA</v>
      </c>
      <c r="M757" s="3" t="str">
        <f>OBRA!P762</f>
        <v>"REHABILITACIÓN DE PLAZA PRINCIPAL (3RA ETAPA)", EN LA LOCALIDAD DE HUEJOTITÁN, MUNICIPIO DE JOCOTEPEC, JALISCO.</v>
      </c>
      <c r="N757" s="541"/>
      <c r="O757" s="541"/>
      <c r="P757" s="6">
        <f>OBRA!S762</f>
        <v>45247</v>
      </c>
      <c r="Q757" s="4">
        <f>OBRA!R762</f>
        <v>441962.08</v>
      </c>
      <c r="R757" s="4"/>
      <c r="S757" s="5">
        <f>OBRA!T762</f>
        <v>45245</v>
      </c>
      <c r="T757" s="11">
        <f>OBRA!U762</f>
        <v>45290</v>
      </c>
      <c r="U757" s="692"/>
      <c r="V757" s="203"/>
      <c r="W757" s="508"/>
      <c r="X757" s="509"/>
      <c r="Y757" s="534">
        <f>OBRA!AR762</f>
        <v>88392.4</v>
      </c>
      <c r="Z757" s="309"/>
      <c r="AA757" s="309"/>
      <c r="AB757" s="5"/>
      <c r="AC757" s="317">
        <f>OBRA!BW762</f>
        <v>0</v>
      </c>
      <c r="AD757" s="352"/>
    </row>
    <row r="758" spans="1:30" ht="15" hidden="1" customHeight="1">
      <c r="A758" s="22" t="s">
        <v>2206</v>
      </c>
      <c r="B758" s="809">
        <f>GRAL!B1002</f>
        <v>0</v>
      </c>
      <c r="C758" s="16">
        <f>OBRA!J763</f>
        <v>2023</v>
      </c>
      <c r="D758" s="17" t="str">
        <f>OBRA!M763</f>
        <v>CTA-CTE / RAMO 33</v>
      </c>
      <c r="E758" s="1170"/>
      <c r="F758" s="1108"/>
      <c r="G758" s="219"/>
      <c r="H758" s="1108"/>
      <c r="I758" s="54" t="str">
        <f>OBRA!W763</f>
        <v>EDIFICACIONES Y TERRACERIAS CH, S.A. DE C.V.</v>
      </c>
      <c r="J758" s="55" t="str">
        <f>OBRA!X763</f>
        <v>C. DANIEL RODRIGUEZ VALENZUELA</v>
      </c>
      <c r="K758" s="19" t="str">
        <f>OBRA!N763</f>
        <v>FAIS-RAMO33/CC-OP-CSS-026/2023</v>
      </c>
      <c r="L758" s="2" t="str">
        <f>OBRA!O763</f>
        <v>CONCURSO SIMPLIFICADO SUMARIO CON RECURSOS CONCURRIDOS</v>
      </c>
      <c r="M758" s="3" t="str">
        <f>OBRA!P763</f>
        <v>"CONSTRUCCIÓN DE UN CARCAMO DE BOMBEO EN LA ZONA DEL MALECÓN, CERCA DE LA PLANTA DE TRATAMIENTO DE AGUAS RESIDUALES, POR CALLE RIVERA DEL LAGO, ESQUINA CON CALLE JOSÉ SANTANA", EN LA CABECERA MUNICIPAL DE JOCOTEPEC, JALISCO.</v>
      </c>
      <c r="N758" s="541"/>
      <c r="O758" s="541"/>
      <c r="P758" s="6">
        <f>OBRA!S763</f>
        <v>45268</v>
      </c>
      <c r="Q758" s="4">
        <f>OBRA!R763</f>
        <v>2969939.23</v>
      </c>
      <c r="R758" s="4"/>
      <c r="S758" s="5">
        <f>OBRA!T763</f>
        <v>45271</v>
      </c>
      <c r="T758" s="11">
        <f>OBRA!U763</f>
        <v>45290</v>
      </c>
      <c r="U758" s="692"/>
      <c r="V758" s="203"/>
      <c r="W758" s="508"/>
      <c r="X758" s="509"/>
      <c r="Y758" s="534">
        <f>OBRA!AR763</f>
        <v>1167007.25</v>
      </c>
      <c r="Z758" s="309"/>
      <c r="AA758" s="309"/>
      <c r="AB758" s="5"/>
      <c r="AC758" s="317">
        <f>OBRA!BW763</f>
        <v>0</v>
      </c>
      <c r="AD758" s="352"/>
    </row>
    <row r="759" spans="1:30" ht="15" hidden="1" customHeight="1">
      <c r="A759" s="22" t="s">
        <v>2206</v>
      </c>
      <c r="B759" s="809">
        <f>GRAL!B1003</f>
        <v>0</v>
      </c>
      <c r="C759" s="16">
        <f>OBRA!J764</f>
        <v>2023</v>
      </c>
      <c r="D759" s="17" t="str">
        <f>OBRA!M764</f>
        <v>CUENTA CORRIENTE</v>
      </c>
      <c r="E759" s="1170"/>
      <c r="F759" s="1108"/>
      <c r="G759" s="219"/>
      <c r="H759" s="1108"/>
      <c r="I759" s="54" t="str">
        <f>OBRA!W764</f>
        <v xml:space="preserve">DESARROLLADORA FARAR, S.A. DE C.V. </v>
      </c>
      <c r="J759" s="55" t="str">
        <f>OBRA!X764</f>
        <v>ING. J. GUADALUPE IBARRA RAMIREZ</v>
      </c>
      <c r="K759" s="19" t="str">
        <f>OBRA!N764</f>
        <v>GMJ 027C OP/2023</v>
      </c>
      <c r="L759" s="2" t="str">
        <f>OBRA!O764</f>
        <v>ADJUDICACIÓN DIRECTA</v>
      </c>
      <c r="M759" s="3" t="str">
        <f>OBRA!P764</f>
        <v>"CONSTRUCCIÓN DE CALLE, ESTACIONAMIENTO, MACHUELOS Y CANCHA DE UNIDAD DEPORTIVA", EN LA LOCALIDAD DE CHANTEPEC, MUNICIPIO DE JOCOTEPEC.</v>
      </c>
      <c r="N759" s="541"/>
      <c r="O759" s="541"/>
      <c r="P759" s="6">
        <f>OBRA!S764</f>
        <v>45258</v>
      </c>
      <c r="Q759" s="4">
        <f>OBRA!R764</f>
        <v>1515153.08</v>
      </c>
      <c r="R759" s="4"/>
      <c r="S759" s="5">
        <f>OBRA!T764</f>
        <v>45264</v>
      </c>
      <c r="T759" s="11">
        <f>OBRA!U764</f>
        <v>45374</v>
      </c>
      <c r="U759" s="692"/>
      <c r="V759" s="203"/>
      <c r="W759" s="508"/>
      <c r="X759" s="509"/>
      <c r="Y759" s="534">
        <f>OBRA!AR764</f>
        <v>3051302.18</v>
      </c>
      <c r="Z759" s="309"/>
      <c r="AA759" s="309"/>
      <c r="AB759" s="5"/>
      <c r="AC759" s="317">
        <f>OBRA!BW764</f>
        <v>0</v>
      </c>
      <c r="AD759" s="352"/>
    </row>
    <row r="760" spans="1:30" ht="15" hidden="1" customHeight="1">
      <c r="A760" s="22" t="s">
        <v>2206</v>
      </c>
      <c r="B760" s="809">
        <f>GRAL!B1004</f>
        <v>0</v>
      </c>
      <c r="C760" s="16">
        <f>OBRA!J765</f>
        <v>2023</v>
      </c>
      <c r="D760" s="17" t="str">
        <f>OBRA!M765</f>
        <v>CUENTA CORRIENTE</v>
      </c>
      <c r="E760" s="1170"/>
      <c r="F760" s="1108"/>
      <c r="G760" s="219"/>
      <c r="H760" s="1108"/>
      <c r="I760" s="54" t="str">
        <f>OBRA!W765</f>
        <v>ACROX CONSTRUCCIONES, S.A. DE C.V.</v>
      </c>
      <c r="J760" s="55" t="str">
        <f>OBRA!X765</f>
        <v>ING. J. GUADALUPE IBARRA RAMIREZ</v>
      </c>
      <c r="K760" s="19" t="str">
        <f>OBRA!N765</f>
        <v>GMJ 028C OP/2023</v>
      </c>
      <c r="L760" s="2" t="str">
        <f>OBRA!O765</f>
        <v>ADJUDICACIÓN DIRECTA</v>
      </c>
      <c r="M760" s="3" t="str">
        <f>OBRA!P765</f>
        <v>"CONSTRUCCIÓN DE BAÑOS, VESTIDORES, LOCALES COMERCIALES, DRENAJE SANITARIO Y PLUVIALES EN UNIDAD DEPORTIVA", EN LA LOCALIDAD DE CHANTEPEC, MUNICIPIO DE JOCOTEPEC, JALISCO.</v>
      </c>
      <c r="N760" s="541"/>
      <c r="O760" s="541"/>
      <c r="P760" s="6">
        <f>OBRA!S765</f>
        <v>45258</v>
      </c>
      <c r="Q760" s="4">
        <f>OBRA!R765</f>
        <v>1777367.51</v>
      </c>
      <c r="R760" s="4"/>
      <c r="S760" s="5">
        <f>OBRA!T765</f>
        <v>45264</v>
      </c>
      <c r="T760" s="11">
        <f>OBRA!U765</f>
        <v>45374</v>
      </c>
      <c r="U760" s="692"/>
      <c r="V760" s="203"/>
      <c r="W760" s="508"/>
      <c r="X760" s="509"/>
      <c r="Y760" s="534">
        <f>OBRA!AR765</f>
        <v>915633.23</v>
      </c>
      <c r="Z760" s="309"/>
      <c r="AA760" s="309"/>
      <c r="AB760" s="5"/>
      <c r="AC760" s="317">
        <f>OBRA!BW765</f>
        <v>0</v>
      </c>
      <c r="AD760" s="352"/>
    </row>
    <row r="761" spans="1:30" ht="15" hidden="1" customHeight="1">
      <c r="A761" s="22" t="s">
        <v>2206</v>
      </c>
      <c r="B761" s="809">
        <f>GRAL!B1005</f>
        <v>0</v>
      </c>
      <c r="C761" s="16">
        <f>OBRA!J766</f>
        <v>2023</v>
      </c>
      <c r="D761" s="17" t="str">
        <f>OBRA!M766</f>
        <v>RAMO 33</v>
      </c>
      <c r="E761" s="1170"/>
      <c r="F761" s="1108"/>
      <c r="G761" s="219"/>
      <c r="H761" s="1108"/>
      <c r="I761" s="54" t="str">
        <f>OBRA!W766</f>
        <v>TERRACERÍAS Y PAVIMENTOS DE LA RIBERA, S.A. DE C.V.</v>
      </c>
      <c r="J761" s="55" t="str">
        <f>OBRA!X766</f>
        <v>C. DANIEL RODRIGUEZ VALENZUELA</v>
      </c>
      <c r="K761" s="19" t="str">
        <f>OBRA!N766</f>
        <v>GMJ 029C OP/2023</v>
      </c>
      <c r="L761" s="2" t="str">
        <f>OBRA!O766</f>
        <v>ADJUDICACIÓN DIRECTA</v>
      </c>
      <c r="M761" s="3" t="str">
        <f>OBRA!P766</f>
        <v>"CONSTRUCCIÓN DE LÍNEA DE COLECTOR SANITARIO DE PVC DE 18 PULGADAS A NUEVO CARCAMO DE BOMBEO Y LÍNEA DE BOMBEO DE ACERO DE 8 PULGADAS DE NUEVO CARCAMO A PLANTA DE TRATAMIENTO", EN LA CABECERA MUNICIPAL DE JOCOTEPEC, JALISCO.</v>
      </c>
      <c r="N761" s="541"/>
      <c r="O761" s="541"/>
      <c r="P761" s="6">
        <f>OBRA!S766</f>
        <v>45257</v>
      </c>
      <c r="Q761" s="4">
        <f>OBRA!R766</f>
        <v>521271.1</v>
      </c>
      <c r="R761" s="4"/>
      <c r="S761" s="5">
        <f>OBRA!T766</f>
        <v>45258</v>
      </c>
      <c r="T761" s="11">
        <f>OBRA!U766</f>
        <v>45276</v>
      </c>
      <c r="U761" s="692"/>
      <c r="V761" s="203"/>
      <c r="W761" s="508"/>
      <c r="X761" s="509"/>
      <c r="Y761" s="534">
        <f>OBRA!AR766</f>
        <v>168143.53</v>
      </c>
      <c r="Z761" s="309"/>
      <c r="AA761" s="309"/>
      <c r="AB761" s="5"/>
      <c r="AC761" s="317">
        <f>OBRA!BW766</f>
        <v>0</v>
      </c>
      <c r="AD761" s="352"/>
    </row>
    <row r="762" spans="1:30" ht="15" hidden="1" customHeight="1">
      <c r="A762" s="22" t="s">
        <v>2206</v>
      </c>
      <c r="B762" s="809">
        <f>GRAL!B1006</f>
        <v>0</v>
      </c>
      <c r="C762" s="16">
        <f>OBRA!J767</f>
        <v>2023</v>
      </c>
      <c r="D762" s="17" t="str">
        <f>OBRA!M767</f>
        <v xml:space="preserve">FORTAMUN </v>
      </c>
      <c r="E762" s="1170"/>
      <c r="F762" s="1108"/>
      <c r="G762" s="219"/>
      <c r="H762" s="1108"/>
      <c r="I762" s="54" t="str">
        <f>OBRA!W767</f>
        <v>ESTRUCTURAS PLANEADAS DE OCCIDENTE, S.A. DE C.V.</v>
      </c>
      <c r="J762" s="55" t="str">
        <f>OBRA!X767</f>
        <v>C. DANIEL RODRIGUEZ VALENZUELA</v>
      </c>
      <c r="K762" s="19" t="str">
        <f>OBRA!N767</f>
        <v>GMJ 030C OP/2023</v>
      </c>
      <c r="L762" s="2" t="str">
        <f>OBRA!O767</f>
        <v>ADJUDICACIÓN DIRECTA</v>
      </c>
      <c r="M762" s="3" t="str">
        <f>OBRA!P767</f>
        <v>"CONSTRUCCIÓN DE LÍNEA DE ABASTECIMIENTO DEL POZO DE AGUA POTABLE EN PRIV. GUADALUPE VICTORIA A RED PRINCIPAL EN C. ZARAGOZA", EN LA LOCALIDAD DE SAN JUAN COSALÁ, MUNICIPIO DE JOCOTEPEC, JALISCO.</v>
      </c>
      <c r="N762" s="541"/>
      <c r="O762" s="541"/>
      <c r="P762" s="6">
        <f>OBRA!S767</f>
        <v>45269</v>
      </c>
      <c r="Q762" s="4">
        <f>OBRA!R767</f>
        <v>810268.98</v>
      </c>
      <c r="R762" s="4"/>
      <c r="S762" s="5">
        <f>OBRA!T767</f>
        <v>45271</v>
      </c>
      <c r="T762" s="11">
        <f>OBRA!U767</f>
        <v>45290</v>
      </c>
      <c r="U762" s="692"/>
      <c r="V762" s="203"/>
      <c r="W762" s="508"/>
      <c r="X762" s="509"/>
      <c r="Y762" s="534">
        <f>OBRA!AR767</f>
        <v>179958.37</v>
      </c>
      <c r="Z762" s="309"/>
      <c r="AA762" s="309"/>
      <c r="AB762" s="5"/>
      <c r="AC762" s="317">
        <f>OBRA!BW767</f>
        <v>0</v>
      </c>
      <c r="AD762" s="352"/>
    </row>
    <row r="763" spans="1:30" ht="15" hidden="1" customHeight="1">
      <c r="A763" s="22" t="s">
        <v>2206</v>
      </c>
      <c r="B763" s="809">
        <f>GRAL!B1007</f>
        <v>0</v>
      </c>
      <c r="C763" s="16">
        <f>OBRA!J768</f>
        <v>2023</v>
      </c>
      <c r="D763" s="17">
        <f>OBRA!M768</f>
        <v>0</v>
      </c>
      <c r="E763" s="1170"/>
      <c r="F763" s="1108"/>
      <c r="G763" s="219"/>
      <c r="H763" s="1108"/>
      <c r="I763" s="54">
        <f>OBRA!W768</f>
        <v>0</v>
      </c>
      <c r="J763" s="55">
        <f>OBRA!X768</f>
        <v>0</v>
      </c>
      <c r="K763" s="19" t="str">
        <f>OBRA!N768</f>
        <v>GMJ 031C OP/2023</v>
      </c>
      <c r="L763" s="2" t="str">
        <f>OBRA!O768</f>
        <v>CANCELADA</v>
      </c>
      <c r="M763" s="3">
        <f>OBRA!P768</f>
        <v>0</v>
      </c>
      <c r="N763" s="541"/>
      <c r="O763" s="541"/>
      <c r="P763" s="6">
        <f>OBRA!S768</f>
        <v>0</v>
      </c>
      <c r="Q763" s="4">
        <f>OBRA!R768</f>
        <v>0</v>
      </c>
      <c r="R763" s="4"/>
      <c r="S763" s="5">
        <f>OBRA!T768</f>
        <v>0</v>
      </c>
      <c r="T763" s="11">
        <f>OBRA!U768</f>
        <v>0</v>
      </c>
      <c r="U763" s="692"/>
      <c r="V763" s="203"/>
      <c r="W763" s="508"/>
      <c r="X763" s="509"/>
      <c r="Y763" s="534">
        <f>OBRA!AR768</f>
        <v>0</v>
      </c>
      <c r="Z763" s="309"/>
      <c r="AA763" s="309"/>
      <c r="AB763" s="5"/>
      <c r="AC763" s="317">
        <f>OBRA!BW768</f>
        <v>0</v>
      </c>
      <c r="AD763" s="352"/>
    </row>
    <row r="764" spans="1:30" ht="15" hidden="1" customHeight="1">
      <c r="A764" s="22" t="s">
        <v>2206</v>
      </c>
      <c r="B764" s="809">
        <f>GRAL!B1008</f>
        <v>0</v>
      </c>
      <c r="C764" s="16">
        <f>OBRA!J769</f>
        <v>2023</v>
      </c>
      <c r="D764" s="17" t="str">
        <f>OBRA!M769</f>
        <v xml:space="preserve">FORTAMUN </v>
      </c>
      <c r="E764" s="1170"/>
      <c r="F764" s="1108"/>
      <c r="G764" s="219"/>
      <c r="H764" s="1108"/>
      <c r="I764" s="54" t="str">
        <f>OBRA!W769</f>
        <v>URBANIZADORA Y PAVIMENTADORA MONLE, S.A. DE C.V.</v>
      </c>
      <c r="J764" s="55" t="str">
        <f>OBRA!X769</f>
        <v>C. DANIEL RODRIGUEZ VALENZUELA</v>
      </c>
      <c r="K764" s="19" t="str">
        <f>OBRA!N769</f>
        <v>GMJ 032C OP/2023</v>
      </c>
      <c r="L764" s="2" t="str">
        <f>OBRA!O769</f>
        <v>ADJUDICACIÓN DIRECTA</v>
      </c>
      <c r="M764" s="3" t="str">
        <f>OBRA!P769</f>
        <v>"REHABILITACIÓN DE LA UNIDAD DEPORTIVA DONATO GUERRA SUR", EN LA CABECERA MUNICIPAL DE JOCOTEPEC, JALISCO.</v>
      </c>
      <c r="N764" s="541"/>
      <c r="O764" s="541"/>
      <c r="P764" s="6">
        <f>OBRA!S769</f>
        <v>45275</v>
      </c>
      <c r="Q764" s="4">
        <f>OBRA!R769</f>
        <v>1060774.83</v>
      </c>
      <c r="R764" s="4"/>
      <c r="S764" s="5">
        <f>OBRA!T769</f>
        <v>45278</v>
      </c>
      <c r="T764" s="11">
        <f>OBRA!U769</f>
        <v>45322</v>
      </c>
      <c r="U764" s="692"/>
      <c r="V764" s="203"/>
      <c r="W764" s="508"/>
      <c r="X764" s="509"/>
      <c r="Y764" s="534">
        <f>OBRA!AR769</f>
        <v>212154.96</v>
      </c>
      <c r="Z764" s="309"/>
      <c r="AA764" s="309"/>
      <c r="AB764" s="5"/>
      <c r="AC764" s="317">
        <f>OBRA!BW769</f>
        <v>0</v>
      </c>
      <c r="AD764" s="352"/>
    </row>
    <row r="765" spans="1:30" ht="15" hidden="1" customHeight="1">
      <c r="A765" s="22" t="s">
        <v>2206</v>
      </c>
      <c r="B765" s="809">
        <f>GRAL!B1009</f>
        <v>0</v>
      </c>
      <c r="C765" s="16">
        <f>OBRA!J770</f>
        <v>2024</v>
      </c>
      <c r="D765" s="17" t="str">
        <f>OBRA!M770</f>
        <v>RAMO 23</v>
      </c>
      <c r="E765" s="1170"/>
      <c r="F765" s="1108"/>
      <c r="G765" s="219"/>
      <c r="H765" s="1108"/>
      <c r="I765" s="54">
        <f>OBRA!W770</f>
        <v>0</v>
      </c>
      <c r="J765" s="55">
        <f>OBRA!X770</f>
        <v>0</v>
      </c>
      <c r="K765" s="19" t="str">
        <f>OBRA!N770</f>
        <v>-</v>
      </c>
      <c r="L765" s="2" t="str">
        <f>OBRA!O770</f>
        <v>CONVENIO</v>
      </c>
      <c r="M765" s="3" t="str">
        <f>OBRA!P770</f>
        <v>PAVIMENTACIÓN EN EL MUNICIPIO DE JOCOTEPEC</v>
      </c>
      <c r="N765" s="541"/>
      <c r="O765" s="541"/>
      <c r="P765" s="6" t="str">
        <f>OBRA!S770</f>
        <v>-</v>
      </c>
      <c r="Q765" s="4">
        <f>OBRA!R770</f>
        <v>0</v>
      </c>
      <c r="R765" s="4"/>
      <c r="S765" s="5">
        <f>OBRA!T770</f>
        <v>0</v>
      </c>
      <c r="T765" s="11">
        <f>OBRA!U770</f>
        <v>0</v>
      </c>
      <c r="U765" s="692"/>
      <c r="V765" s="203"/>
      <c r="W765" s="508"/>
      <c r="X765" s="509"/>
      <c r="Y765" s="534">
        <f>OBRA!AR770</f>
        <v>0</v>
      </c>
      <c r="Z765" s="309"/>
      <c r="AA765" s="309"/>
      <c r="AB765" s="5"/>
      <c r="AC765" s="317">
        <f>OBRA!BW770</f>
        <v>0</v>
      </c>
      <c r="AD765" s="352"/>
    </row>
    <row r="766" spans="1:30" ht="90" customHeight="1">
      <c r="A766" s="22" t="s">
        <v>2206</v>
      </c>
      <c r="B766" s="809">
        <f>GRAL!B1010</f>
        <v>0</v>
      </c>
      <c r="C766" s="16">
        <f>OBRA!J771</f>
        <v>2024</v>
      </c>
      <c r="D766" s="17" t="str">
        <f>OBRA!M771</f>
        <v>CUENTA CORRIENTE</v>
      </c>
      <c r="E766" s="478" t="s">
        <v>1428</v>
      </c>
      <c r="F766" s="496" t="s">
        <v>6167</v>
      </c>
      <c r="G766" s="495" t="s">
        <v>6167</v>
      </c>
      <c r="H766" s="146"/>
      <c r="I766" s="54" t="str">
        <f>OBRA!W771</f>
        <v>SOLUCIONES INTEGRALES A POZOS, S.A. DE C.V.</v>
      </c>
      <c r="J766" s="55" t="str">
        <f>OBRA!X771</f>
        <v>C. IMELDA KARINA PÉREZ GONZÁLEZ</v>
      </c>
      <c r="K766" s="33" t="str">
        <f>OBRA!N771</f>
        <v>CPSP DOP 001/2024</v>
      </c>
      <c r="L766" s="2" t="str">
        <f>OBRA!O771</f>
        <v>SERVICIOS</v>
      </c>
      <c r="M766" s="3" t="str">
        <f>OBRA!P771</f>
        <v>CONTRATACIÓN DE SERVICIOS PARA REALIZACIÓN DE: UN VIDEO INSPECCIÓN INTERIOR PARA CONOCERSU ESTATUS Y ESTRUCTURA DEL POZO UBICADO EN EL ATRIO DE LA PARROQUÍA DEL SR. DEL MONTE, EN LA CABECERA MUNICIPAL DE JOCOTEPEC, JALISCO.</v>
      </c>
      <c r="N766" s="504" t="s">
        <v>6750</v>
      </c>
      <c r="O766" s="1894" t="s">
        <v>6827</v>
      </c>
      <c r="P766" s="67">
        <f>OBRA!S771</f>
        <v>45293</v>
      </c>
      <c r="Q766" s="79">
        <f>OBRA!R771</f>
        <v>9222</v>
      </c>
      <c r="R766" s="79" t="s">
        <v>68</v>
      </c>
      <c r="S766" s="5">
        <f>OBRA!T771</f>
        <v>45294</v>
      </c>
      <c r="T766" s="11">
        <f>OBRA!U771</f>
        <v>45295</v>
      </c>
      <c r="U766" s="207" t="s">
        <v>5621</v>
      </c>
      <c r="V766" s="62" t="s">
        <v>1428</v>
      </c>
      <c r="W766" s="499" t="s">
        <v>6167</v>
      </c>
      <c r="X766" s="597" t="s">
        <v>6167</v>
      </c>
      <c r="Y766" s="986" t="s">
        <v>1177</v>
      </c>
      <c r="Z766" s="309"/>
      <c r="AA766" s="309"/>
      <c r="AB766" s="5"/>
      <c r="AC766" s="317">
        <f>OBRA!BW771</f>
        <v>0</v>
      </c>
      <c r="AD766" s="352"/>
    </row>
    <row r="767" spans="1:30" ht="91.5" customHeight="1">
      <c r="A767" s="22" t="s">
        <v>2206</v>
      </c>
      <c r="B767" s="809">
        <f>GRAL!B1011</f>
        <v>0</v>
      </c>
      <c r="C767" s="16">
        <f>OBRA!J772</f>
        <v>2024</v>
      </c>
      <c r="D767" s="17" t="str">
        <f>OBRA!M772</f>
        <v>CUENTA CORRIENTE</v>
      </c>
      <c r="E767" s="478" t="s">
        <v>1428</v>
      </c>
      <c r="F767" s="496"/>
      <c r="G767" s="495" t="s">
        <v>6048</v>
      </c>
      <c r="H767" s="146"/>
      <c r="I767" s="54" t="str">
        <f>OBRA!W772</f>
        <v xml:space="preserve">CICLOS GIP SC </v>
      </c>
      <c r="J767" s="55" t="str">
        <f>OBRA!X772</f>
        <v>C. IMELDA KARINA PÉREZ GONZÁLEZ</v>
      </c>
      <c r="K767" s="33" t="str">
        <f>OBRA!N772</f>
        <v>CPSP DOP 002/2024</v>
      </c>
      <c r="L767" s="2" t="str">
        <f>OBRA!O772</f>
        <v>SERVICIOS</v>
      </c>
      <c r="M767" s="1175"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4" t="s">
        <v>6750</v>
      </c>
      <c r="O767" s="1894" t="s">
        <v>6838</v>
      </c>
      <c r="P767" s="67">
        <f>OBRA!S772</f>
        <v>45293</v>
      </c>
      <c r="Q767" s="79">
        <f>OBRA!R772</f>
        <v>23200</v>
      </c>
      <c r="R767" s="79" t="s">
        <v>68</v>
      </c>
      <c r="S767" s="5">
        <f>OBRA!T772</f>
        <v>45293</v>
      </c>
      <c r="T767" s="11">
        <f>OBRA!U772</f>
        <v>45294</v>
      </c>
      <c r="U767" s="207" t="s">
        <v>5621</v>
      </c>
      <c r="V767" s="62" t="s">
        <v>1428</v>
      </c>
      <c r="W767" s="499" t="s">
        <v>6048</v>
      </c>
      <c r="X767" s="597" t="s">
        <v>6048</v>
      </c>
      <c r="Y767" s="986" t="s">
        <v>1177</v>
      </c>
      <c r="Z767" s="309"/>
      <c r="AA767" s="309"/>
      <c r="AB767" s="5"/>
      <c r="AC767" s="317">
        <f>OBRA!BW772</f>
        <v>0</v>
      </c>
      <c r="AD767" s="352"/>
    </row>
    <row r="768" spans="1:30" ht="87" customHeight="1">
      <c r="A768" s="22" t="s">
        <v>2206</v>
      </c>
      <c r="B768" s="809">
        <f>GRAL!B1012</f>
        <v>0</v>
      </c>
      <c r="C768" s="16">
        <f>OBRA!J773</f>
        <v>2024</v>
      </c>
      <c r="D768" s="17" t="str">
        <f>OBRA!M773</f>
        <v>CUENTA CORRIENTE</v>
      </c>
      <c r="E768" s="478" t="s">
        <v>1428</v>
      </c>
      <c r="F768" s="146"/>
      <c r="G768" s="2"/>
      <c r="H768" s="146"/>
      <c r="I768" s="54" t="str">
        <f>OBRA!W773</f>
        <v>SOLEC ENERGY, S.A. DE C.V.</v>
      </c>
      <c r="J768" s="55" t="str">
        <f>OBRA!X773</f>
        <v>C. IMELDA KARINA PÉREZ GONZÁLEZ</v>
      </c>
      <c r="K768" s="33" t="str">
        <f>OBRA!N773</f>
        <v>CPSP DOP 003/2024</v>
      </c>
      <c r="L768" s="2" t="str">
        <f>OBRA!O773</f>
        <v>SERVICIOS</v>
      </c>
      <c r="M768" s="3" t="str">
        <f>OBRA!P773</f>
        <v>CONTRATACIÓN DE SERVICIOS PROFESIONALES: PARA REUBICACIÓN Y LEVANTAMIENTO DE LA BAJA TENSIÓN EN CALLE PLAYAS DEL SOL, EN LA LOCALIDAD DE CHANTEPEC, MUNICIPIO DE JOCOTEPEC, JALISCO</v>
      </c>
      <c r="N768" s="504" t="s">
        <v>6750</v>
      </c>
      <c r="O768" s="1894"/>
      <c r="P768" s="67">
        <f>OBRA!S773</f>
        <v>45308</v>
      </c>
      <c r="Q768" s="79">
        <f>OBRA!R773</f>
        <v>33325.64</v>
      </c>
      <c r="R768" s="79" t="s">
        <v>68</v>
      </c>
      <c r="S768" s="5">
        <f>OBRA!T773</f>
        <v>45309</v>
      </c>
      <c r="T768" s="11">
        <f>OBRA!U773</f>
        <v>45315</v>
      </c>
      <c r="U768" s="207" t="s">
        <v>5621</v>
      </c>
      <c r="V768" s="62" t="s">
        <v>1428</v>
      </c>
      <c r="W768" s="201"/>
      <c r="X768" s="205"/>
      <c r="Y768" s="986" t="s">
        <v>1177</v>
      </c>
      <c r="Z768" s="309"/>
      <c r="AA768" s="309"/>
      <c r="AB768" s="5"/>
      <c r="AC768" s="317">
        <f>OBRA!BW773</f>
        <v>0</v>
      </c>
      <c r="AD768" s="352"/>
    </row>
    <row r="769" spans="1:30" ht="113.25" customHeight="1">
      <c r="A769" s="22" t="s">
        <v>2206</v>
      </c>
      <c r="B769" s="809">
        <f>GRAL!B1013</f>
        <v>0</v>
      </c>
      <c r="C769" s="16">
        <f>OBRA!J774</f>
        <v>2024</v>
      </c>
      <c r="D769" s="17" t="str">
        <f>OBRA!M774</f>
        <v>CUENTA CORRIENTE</v>
      </c>
      <c r="E769" s="478" t="s">
        <v>1428</v>
      </c>
      <c r="F769" s="496" t="s">
        <v>6167</v>
      </c>
      <c r="G769" s="495" t="s">
        <v>6167</v>
      </c>
      <c r="H769" s="146"/>
      <c r="I769" s="54" t="str">
        <f>OBRA!W774</f>
        <v>ING. MARCO ANTONIO PAREDES RODRÍGUEZ</v>
      </c>
      <c r="J769" s="55" t="str">
        <f>OBRA!X774</f>
        <v>C. IMELDA KARINA PÉREZ GONZÁLEZ</v>
      </c>
      <c r="K769" s="33" t="str">
        <f>OBRA!N774</f>
        <v>CPSP DOP 004/2024</v>
      </c>
      <c r="L769" s="2" t="str">
        <f>OBRA!O774</f>
        <v>SERVICIOS</v>
      </c>
      <c r="M769" s="1175"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4" t="s">
        <v>6750</v>
      </c>
      <c r="O769" s="1894" t="s">
        <v>6827</v>
      </c>
      <c r="P769" s="67">
        <f>OBRA!S774</f>
        <v>45296</v>
      </c>
      <c r="Q769" s="79">
        <f>OBRA!R774</f>
        <v>25520</v>
      </c>
      <c r="R769" s="79" t="s">
        <v>68</v>
      </c>
      <c r="S769" s="5">
        <f>OBRA!T774</f>
        <v>45299</v>
      </c>
      <c r="T769" s="11">
        <f>OBRA!U774</f>
        <v>45300</v>
      </c>
      <c r="U769" s="207" t="s">
        <v>5621</v>
      </c>
      <c r="V769" s="62" t="s">
        <v>1428</v>
      </c>
      <c r="W769" s="499" t="s">
        <v>6167</v>
      </c>
      <c r="X769" s="597" t="s">
        <v>6167</v>
      </c>
      <c r="Y769" s="986" t="s">
        <v>1177</v>
      </c>
      <c r="Z769" s="309"/>
      <c r="AA769" s="309"/>
      <c r="AB769" s="5"/>
      <c r="AC769" s="317">
        <f>OBRA!BW774</f>
        <v>0</v>
      </c>
      <c r="AD769" s="352"/>
    </row>
    <row r="770" spans="1:30" ht="110.25" customHeight="1">
      <c r="A770" s="22" t="s">
        <v>2206</v>
      </c>
      <c r="B770" s="809">
        <f>GRAL!B1014</f>
        <v>0</v>
      </c>
      <c r="C770" s="16">
        <f>OBRA!J775</f>
        <v>2024</v>
      </c>
      <c r="D770" s="17" t="str">
        <f>OBRA!M775</f>
        <v>CUENTA CORRIENTE</v>
      </c>
      <c r="E770" s="478" t="s">
        <v>1428</v>
      </c>
      <c r="F770" s="146"/>
      <c r="G770" s="2"/>
      <c r="H770" s="146"/>
      <c r="I770" s="54" t="str">
        <f>OBRA!W775</f>
        <v xml:space="preserve">CICLOS GIP SC </v>
      </c>
      <c r="J770" s="55" t="str">
        <f>OBRA!X775</f>
        <v>C. IMELDA KARINA PÉREZ GONZÁLEZ</v>
      </c>
      <c r="K770" s="33" t="str">
        <f>OBRA!N775</f>
        <v>CPSP DOP 005/2024</v>
      </c>
      <c r="L770" s="2" t="str">
        <f>OBRA!O775</f>
        <v>SERVICIOS</v>
      </c>
      <c r="M770" s="1175"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4" t="s">
        <v>6750</v>
      </c>
      <c r="O770" s="1894"/>
      <c r="P770" s="67">
        <f>OBRA!S775</f>
        <v>45348</v>
      </c>
      <c r="Q770" s="79">
        <f>OBRA!R775</f>
        <v>69600</v>
      </c>
      <c r="R770" s="79" t="s">
        <v>6723</v>
      </c>
      <c r="S770" s="5">
        <f>OBRA!T775</f>
        <v>45349</v>
      </c>
      <c r="T770" s="11">
        <f>OBRA!U775</f>
        <v>45352</v>
      </c>
      <c r="U770" s="207" t="s">
        <v>5621</v>
      </c>
      <c r="V770" s="62" t="s">
        <v>1428</v>
      </c>
      <c r="W770" s="201"/>
      <c r="X770" s="205"/>
      <c r="Y770" s="986" t="s">
        <v>1177</v>
      </c>
      <c r="Z770" s="309"/>
      <c r="AA770" s="309"/>
      <c r="AB770" s="5"/>
      <c r="AC770" s="317">
        <f>OBRA!BW775</f>
        <v>0</v>
      </c>
      <c r="AD770" s="352"/>
    </row>
    <row r="771" spans="1:30" ht="93" customHeight="1">
      <c r="A771" s="22" t="s">
        <v>2206</v>
      </c>
      <c r="B771" s="809">
        <f>GRAL!B1015</f>
        <v>0</v>
      </c>
      <c r="C771" s="16">
        <f>OBRA!J776</f>
        <v>2024</v>
      </c>
      <c r="D771" s="17" t="str">
        <f>OBRA!M776</f>
        <v>CUENTA CORRIENTE</v>
      </c>
      <c r="E771" s="478" t="s">
        <v>1428</v>
      </c>
      <c r="F771" s="496" t="s">
        <v>6167</v>
      </c>
      <c r="G771" s="495" t="s">
        <v>6167</v>
      </c>
      <c r="H771" s="146"/>
      <c r="I771" s="54" t="str">
        <f>OBRA!W776</f>
        <v>SOLEC ENERGY, S.A. DE C.V.</v>
      </c>
      <c r="J771" s="55" t="str">
        <f>OBRA!X776</f>
        <v>C. IMELDA KARINA PÉREZ GONZÁLEZ</v>
      </c>
      <c r="K771" s="33" t="str">
        <f>OBRA!N776</f>
        <v>CPSP DOP 006/2024</v>
      </c>
      <c r="L771" s="2" t="str">
        <f>OBRA!O776</f>
        <v>SERVICIOS</v>
      </c>
      <c r="M771" s="3" t="str">
        <f>OBRA!P776</f>
        <v>CONTRATACIÓN DE SERVICIOS PROFESIONALES PARA REUBICACIÓN DE ACOMETIDA AÉREA DE CFE DE LOS LOCALES DE LOS PORTALES Y MOVIMIENTO DE FIBRA ÓPTICA EN LA CALLE MIGUEL ARANA, MUNICIPIO DE JOCOTEPEC, JALISCO.</v>
      </c>
      <c r="N771" s="504" t="s">
        <v>6750</v>
      </c>
      <c r="O771" s="1894" t="s">
        <v>6827</v>
      </c>
      <c r="P771" s="67">
        <f>OBRA!S776</f>
        <v>45362</v>
      </c>
      <c r="Q771" s="79">
        <f>OBRA!R776</f>
        <v>9048</v>
      </c>
      <c r="R771" s="79" t="s">
        <v>68</v>
      </c>
      <c r="S771" s="5">
        <f>OBRA!T776</f>
        <v>45363</v>
      </c>
      <c r="T771" s="11">
        <f>OBRA!U776</f>
        <v>45365</v>
      </c>
      <c r="U771" s="207" t="s">
        <v>5621</v>
      </c>
      <c r="V771" s="62" t="s">
        <v>1428</v>
      </c>
      <c r="W771" s="499" t="s">
        <v>6167</v>
      </c>
      <c r="X771" s="597" t="s">
        <v>6167</v>
      </c>
      <c r="Y771" s="986" t="s">
        <v>1177</v>
      </c>
      <c r="Z771" s="309"/>
      <c r="AA771" s="309"/>
      <c r="AB771" s="5"/>
      <c r="AC771" s="317">
        <f>OBRA!BW776</f>
        <v>0</v>
      </c>
      <c r="AD771" s="352"/>
    </row>
    <row r="772" spans="1:30" ht="213" customHeight="1">
      <c r="A772" s="22" t="s">
        <v>2206</v>
      </c>
      <c r="B772" s="809">
        <f>GRAL!B1016</f>
        <v>0</v>
      </c>
      <c r="C772" s="16">
        <f>OBRA!J777</f>
        <v>2024</v>
      </c>
      <c r="D772" s="17" t="str">
        <f>OBRA!M777</f>
        <v>CUENTA CORRIENTE</v>
      </c>
      <c r="E772" s="478" t="s">
        <v>1428</v>
      </c>
      <c r="F772" s="146"/>
      <c r="G772" s="2"/>
      <c r="H772" s="146"/>
      <c r="I772" s="54" t="str">
        <f>OBRA!W777</f>
        <v>C. ROBERTO GARCÍA NAVARRO</v>
      </c>
      <c r="J772" s="55" t="str">
        <f>OBRA!X777</f>
        <v>C. IMELDA KARINA PÉREZ GONZÁLEZ</v>
      </c>
      <c r="K772" s="33" t="str">
        <f>OBRA!N777</f>
        <v>CPSP DOP 007/2024</v>
      </c>
      <c r="L772" s="2" t="str">
        <f>OBRA!O777</f>
        <v>SERVICIOS</v>
      </c>
      <c r="M772" s="1175"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4" t="s">
        <v>6750</v>
      </c>
      <c r="O772" s="1894"/>
      <c r="P772" s="67">
        <f>OBRA!S777</f>
        <v>45363</v>
      </c>
      <c r="Q772" s="79">
        <f>OBRA!R777</f>
        <v>5800</v>
      </c>
      <c r="R772" s="79" t="s">
        <v>6724</v>
      </c>
      <c r="S772" s="5">
        <f>OBRA!T777</f>
        <v>45365</v>
      </c>
      <c r="T772" s="11">
        <f>OBRA!U777</f>
        <v>45365</v>
      </c>
      <c r="U772" s="207" t="s">
        <v>5621</v>
      </c>
      <c r="V772" s="62" t="s">
        <v>1428</v>
      </c>
      <c r="W772" s="201"/>
      <c r="X772" s="205"/>
      <c r="Y772" s="986" t="s">
        <v>1177</v>
      </c>
      <c r="Z772" s="309"/>
      <c r="AA772" s="309"/>
      <c r="AB772" s="5"/>
      <c r="AC772" s="317">
        <f>OBRA!BW777</f>
        <v>0</v>
      </c>
      <c r="AD772" s="352"/>
    </row>
    <row r="773" spans="1:30" ht="133.5" customHeight="1">
      <c r="A773" s="22" t="s">
        <v>2206</v>
      </c>
      <c r="B773" s="809">
        <f>GRAL!B1017</f>
        <v>0</v>
      </c>
      <c r="C773" s="16">
        <f>OBRA!J778</f>
        <v>2024</v>
      </c>
      <c r="D773" s="17" t="str">
        <f>OBRA!M778</f>
        <v>CUENTA CORRIENTE</v>
      </c>
      <c r="E773" s="478" t="s">
        <v>1428</v>
      </c>
      <c r="F773" s="146"/>
      <c r="G773" s="2"/>
      <c r="H773" s="146"/>
      <c r="I773" s="54" t="str">
        <f>OBRA!W778</f>
        <v>ING. MARCO ANTONIO PAREDES RODRÍGUEZ</v>
      </c>
      <c r="J773" s="55" t="str">
        <f>OBRA!X778</f>
        <v>C. IMELDA KARINA PÉREZ GONZÁLEZ</v>
      </c>
      <c r="K773" s="33" t="str">
        <f>OBRA!N778</f>
        <v>CPSP DOP 008/2024</v>
      </c>
      <c r="L773" s="2" t="str">
        <f>OBRA!O778</f>
        <v>SERVICIOS</v>
      </c>
      <c r="M773" s="1175"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4" t="s">
        <v>6750</v>
      </c>
      <c r="O773" s="1894"/>
      <c r="P773" s="67">
        <f>OBRA!S778</f>
        <v>45362</v>
      </c>
      <c r="Q773" s="79">
        <f>OBRA!R778</f>
        <v>77546</v>
      </c>
      <c r="R773" s="79" t="s">
        <v>6723</v>
      </c>
      <c r="S773" s="5">
        <f>OBRA!T778</f>
        <v>45363</v>
      </c>
      <c r="T773" s="11">
        <f>OBRA!U778</f>
        <v>45364</v>
      </c>
      <c r="U773" s="207" t="s">
        <v>5621</v>
      </c>
      <c r="V773" s="62" t="s">
        <v>1428</v>
      </c>
      <c r="W773" s="201"/>
      <c r="X773" s="205"/>
      <c r="Y773" s="986" t="s">
        <v>1177</v>
      </c>
      <c r="Z773" s="309"/>
      <c r="AA773" s="309"/>
      <c r="AB773" s="5"/>
      <c r="AC773" s="317">
        <f>OBRA!BW778</f>
        <v>0</v>
      </c>
      <c r="AD773" s="352"/>
    </row>
    <row r="774" spans="1:30" ht="128.25" customHeight="1">
      <c r="A774" s="22" t="s">
        <v>2206</v>
      </c>
      <c r="B774" s="809">
        <f>GRAL!B1018</f>
        <v>0</v>
      </c>
      <c r="C774" s="16">
        <f>OBRA!J779</f>
        <v>2024</v>
      </c>
      <c r="D774" s="17" t="str">
        <f>OBRA!M779</f>
        <v>CUENTA CORRIENTE</v>
      </c>
      <c r="E774" s="478" t="s">
        <v>1428</v>
      </c>
      <c r="F774" s="146"/>
      <c r="G774" s="2"/>
      <c r="H774" s="146"/>
      <c r="I774" s="54" t="str">
        <f>OBRA!W779</f>
        <v>ING. SERGIO CABRERA</v>
      </c>
      <c r="J774" s="55" t="str">
        <f>OBRA!X779</f>
        <v>C. IMELDA KARINA PÉREZ GONZÁLEZ</v>
      </c>
      <c r="K774" s="33" t="str">
        <f>OBRA!N779</f>
        <v>CPSP DOP 009/2024</v>
      </c>
      <c r="L774" s="2" t="str">
        <f>OBRA!O779</f>
        <v>SERVICIOS</v>
      </c>
      <c r="M774"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4" t="s">
        <v>6750</v>
      </c>
      <c r="O774" s="1894"/>
      <c r="P774" s="67">
        <f>OBRA!S779</f>
        <v>45369</v>
      </c>
      <c r="Q774" s="79">
        <f>OBRA!R779</f>
        <v>61479.999999999993</v>
      </c>
      <c r="R774" s="79" t="s">
        <v>68</v>
      </c>
      <c r="S774" s="5">
        <f>OBRA!T779</f>
        <v>45370</v>
      </c>
      <c r="T774" s="11">
        <f>OBRA!U779</f>
        <v>45372</v>
      </c>
      <c r="U774" s="207" t="s">
        <v>5621</v>
      </c>
      <c r="V774" s="62" t="s">
        <v>1428</v>
      </c>
      <c r="W774" s="201"/>
      <c r="X774" s="205"/>
      <c r="Y774" s="986" t="s">
        <v>1177</v>
      </c>
      <c r="Z774" s="309"/>
      <c r="AA774" s="309"/>
      <c r="AB774" s="5"/>
      <c r="AC774" s="317">
        <f>OBRA!BW779</f>
        <v>0</v>
      </c>
      <c r="AD774" s="352"/>
    </row>
    <row r="775" spans="1:30" ht="103.5" customHeight="1">
      <c r="A775" s="22" t="s">
        <v>2206</v>
      </c>
      <c r="B775" s="809">
        <f>GRAL!B1019</f>
        <v>0</v>
      </c>
      <c r="C775" s="16">
        <f>OBRA!J780</f>
        <v>2024</v>
      </c>
      <c r="D775" s="17" t="str">
        <f>OBRA!M780</f>
        <v>CUENTA CORRIENTE</v>
      </c>
      <c r="E775" s="478" t="s">
        <v>1428</v>
      </c>
      <c r="F775" s="496" t="s">
        <v>5872</v>
      </c>
      <c r="G775" s="2"/>
      <c r="H775" s="146"/>
      <c r="I775" s="54" t="str">
        <f>OBRA!W780</f>
        <v>C. JUAN CARLOS CHAIRES SALCEDO</v>
      </c>
      <c r="J775" s="55" t="str">
        <f>OBRA!X780</f>
        <v>C. IMELDA KARINA PÉREZ GONZÁLEZ</v>
      </c>
      <c r="K775" s="33" t="str">
        <f>OBRA!N780</f>
        <v>CPSP DOP 010/2024</v>
      </c>
      <c r="L775" s="2" t="str">
        <f>OBRA!O780</f>
        <v>SERVICIOS</v>
      </c>
      <c r="M775" s="3" t="str">
        <f>OBRA!P780</f>
        <v>CONTRATACIÓN DE SERVICIOS PROFEFESIONALES PARA: ALIMENTACIÓN ELÉCTRICA DE BASE 7-200 A PASTILLA GENERAL DEL POZO DE AGUA POTABLE UBICADO EN PRIV. GUADALUPE VICTORIA, EN LA LOCALIDAD DE SAN JUAN COSALÁ,  MUNICIPIO DE JOCOTEPEC, JALISCO.</v>
      </c>
      <c r="N775" s="504" t="s">
        <v>6750</v>
      </c>
      <c r="O775" s="1894" t="s">
        <v>6839</v>
      </c>
      <c r="P775" s="67">
        <f>OBRA!S780</f>
        <v>45370</v>
      </c>
      <c r="Q775" s="79">
        <f>OBRA!R780</f>
        <v>47923.079999999994</v>
      </c>
      <c r="R775" s="79" t="s">
        <v>68</v>
      </c>
      <c r="S775" s="5">
        <f>OBRA!T780</f>
        <v>45372</v>
      </c>
      <c r="T775" s="11">
        <f>OBRA!U780</f>
        <v>45376</v>
      </c>
      <c r="U775" s="207" t="s">
        <v>5621</v>
      </c>
      <c r="V775" s="62" t="s">
        <v>1428</v>
      </c>
      <c r="W775" s="499" t="s">
        <v>5872</v>
      </c>
      <c r="X775" s="597" t="s">
        <v>5872</v>
      </c>
      <c r="Y775" s="986" t="s">
        <v>1177</v>
      </c>
      <c r="Z775" s="309"/>
      <c r="AA775" s="309"/>
      <c r="AB775" s="5"/>
      <c r="AC775" s="317">
        <f>OBRA!BW780</f>
        <v>0</v>
      </c>
      <c r="AD775" s="352"/>
    </row>
    <row r="776" spans="1:30" ht="255" customHeight="1">
      <c r="A776" s="22" t="s">
        <v>2206</v>
      </c>
      <c r="B776" s="809">
        <f>GRAL!B1020</f>
        <v>0</v>
      </c>
      <c r="C776" s="16">
        <f>OBRA!J781</f>
        <v>2024</v>
      </c>
      <c r="D776" s="17" t="str">
        <f>OBRA!M781</f>
        <v>CUENTA CORRIENTE</v>
      </c>
      <c r="E776" s="478" t="s">
        <v>1428</v>
      </c>
      <c r="F776" s="146"/>
      <c r="G776" s="2"/>
      <c r="H776" s="146"/>
      <c r="I776" s="54" t="str">
        <f>OBRA!W781</f>
        <v>ING. MARCO ANTONIO PAREDES RODRÍGUEZ</v>
      </c>
      <c r="J776" s="55" t="str">
        <f>OBRA!X781</f>
        <v>C. IMELDA KARINA PÉREZ GONZÁLEZ</v>
      </c>
      <c r="K776" s="33" t="str">
        <f>OBRA!N781</f>
        <v>CPSP DOP 011/2024</v>
      </c>
      <c r="L776" s="2" t="str">
        <f>OBRA!O781</f>
        <v>SERVICIOS</v>
      </c>
      <c r="M776"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4" t="s">
        <v>6751</v>
      </c>
      <c r="O776" s="1894"/>
      <c r="P776" s="67">
        <f>OBRA!S781</f>
        <v>45383</v>
      </c>
      <c r="Q776" s="79">
        <f>OBRA!R781</f>
        <v>97208</v>
      </c>
      <c r="R776" s="79" t="s">
        <v>6723</v>
      </c>
      <c r="S776" s="5">
        <f>OBRA!T781</f>
        <v>45384</v>
      </c>
      <c r="T776" s="11">
        <f>OBRA!U781</f>
        <v>45386</v>
      </c>
      <c r="U776" s="207" t="s">
        <v>5621</v>
      </c>
      <c r="V776" s="62" t="s">
        <v>1428</v>
      </c>
      <c r="W776" s="201"/>
      <c r="X776" s="205"/>
      <c r="Y776" s="986" t="s">
        <v>1177</v>
      </c>
      <c r="Z776" s="309"/>
      <c r="AA776" s="309"/>
      <c r="AB776" s="5"/>
      <c r="AC776" s="317">
        <f>OBRA!BW781</f>
        <v>0</v>
      </c>
      <c r="AD776" s="352"/>
    </row>
    <row r="777" spans="1:30" ht="73.5" customHeight="1">
      <c r="A777" s="22" t="s">
        <v>2206</v>
      </c>
      <c r="B777" s="809">
        <f>GRAL!B1021</f>
        <v>0</v>
      </c>
      <c r="C777" s="16">
        <f>OBRA!J782</f>
        <v>2024</v>
      </c>
      <c r="D777" s="17" t="str">
        <f>OBRA!M782</f>
        <v>CUENTA CORRIENTE</v>
      </c>
      <c r="E777" s="478" t="s">
        <v>1428</v>
      </c>
      <c r="F777" s="496" t="s">
        <v>6167</v>
      </c>
      <c r="G777" s="495" t="s">
        <v>6167</v>
      </c>
      <c r="H777" s="146"/>
      <c r="I777" s="54" t="str">
        <f>OBRA!W782</f>
        <v>PERFORACIONES TEPATITLÁN, S.A. DE C.V.</v>
      </c>
      <c r="J777" s="55" t="str">
        <f>OBRA!X782</f>
        <v>C. IMELDA KARINA PÉREZ GONZÁLEZ</v>
      </c>
      <c r="K777" s="33" t="str">
        <f>OBRA!N782</f>
        <v>CPSP DOP 012/2024</v>
      </c>
      <c r="L777" s="2" t="str">
        <f>OBRA!O782</f>
        <v>SERVICIOS</v>
      </c>
      <c r="M777" s="3" t="str">
        <f>OBRA!P782</f>
        <v>"AFORO DE POZO PROFUNDO UBICADO EN CALLE MIGUEL ARANA CRUCE CON CALLE ALLENDE (ZONA CENTRO)", EN LA CABECERA MUNICIPAL DE JOCOTEPEC, JALISCO.</v>
      </c>
      <c r="N777" s="504" t="s">
        <v>6751</v>
      </c>
      <c r="O777" s="1894" t="s">
        <v>6827</v>
      </c>
      <c r="P777" s="67">
        <f>OBRA!S782</f>
        <v>45400</v>
      </c>
      <c r="Q777" s="79">
        <f>OBRA!R782</f>
        <v>174092.79999999999</v>
      </c>
      <c r="R777" s="79" t="s">
        <v>68</v>
      </c>
      <c r="S777" s="5">
        <f>OBRA!T782</f>
        <v>45404</v>
      </c>
      <c r="T777" s="11">
        <f>OBRA!U782</f>
        <v>45408</v>
      </c>
      <c r="U777" s="207" t="s">
        <v>5621</v>
      </c>
      <c r="V777" s="62" t="s">
        <v>1428</v>
      </c>
      <c r="W777" s="499" t="s">
        <v>6167</v>
      </c>
      <c r="X777" s="597" t="s">
        <v>6167</v>
      </c>
      <c r="Y777" s="986" t="s">
        <v>1177</v>
      </c>
      <c r="Z777" s="309"/>
      <c r="AA777" s="309"/>
      <c r="AB777" s="5"/>
      <c r="AC777" s="317">
        <f>OBRA!BW782</f>
        <v>0</v>
      </c>
      <c r="AD777" s="352"/>
    </row>
    <row r="778" spans="1:30" ht="138" customHeight="1">
      <c r="A778" s="22" t="s">
        <v>2206</v>
      </c>
      <c r="B778" s="809">
        <f>GRAL!B1022</f>
        <v>0</v>
      </c>
      <c r="C778" s="16">
        <f>OBRA!J783</f>
        <v>2024</v>
      </c>
      <c r="D778" s="17" t="str">
        <f>OBRA!M783</f>
        <v>CUENTA CORRIENTE</v>
      </c>
      <c r="E778" s="478" t="s">
        <v>1428</v>
      </c>
      <c r="F778" s="496" t="s">
        <v>6508</v>
      </c>
      <c r="G778" s="2"/>
      <c r="H778" s="146"/>
      <c r="I778" s="54" t="str">
        <f>OBRA!W783</f>
        <v xml:space="preserve">DORIA &amp; SAMPIER CONSTRUCTORA, S.A. DE C.V. </v>
      </c>
      <c r="J778" s="55" t="str">
        <f>OBRA!X783</f>
        <v>C. IMELDA KARINA PÉREZ GONZÁLEZ</v>
      </c>
      <c r="K778" s="33" t="str">
        <f>OBRA!N783</f>
        <v>CPSP DOP 013/2024</v>
      </c>
      <c r="L778" s="2" t="str">
        <f>OBRA!O783</f>
        <v>SERVICIOS</v>
      </c>
      <c r="M778" s="1175"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4" t="s">
        <v>6751</v>
      </c>
      <c r="O778" s="1894" t="s">
        <v>6840</v>
      </c>
      <c r="P778" s="67">
        <f>OBRA!S783</f>
        <v>45399</v>
      </c>
      <c r="Q778" s="79">
        <f>OBRA!R783</f>
        <v>6380</v>
      </c>
      <c r="R778" s="79" t="s">
        <v>6724</v>
      </c>
      <c r="S778" s="5">
        <f>OBRA!T783</f>
        <v>45400</v>
      </c>
      <c r="T778" s="11">
        <f>OBRA!U783</f>
        <v>45401</v>
      </c>
      <c r="U778" s="207" t="s">
        <v>5621</v>
      </c>
      <c r="V778" s="62" t="s">
        <v>1428</v>
      </c>
      <c r="W778" s="499" t="s">
        <v>6508</v>
      </c>
      <c r="X778" s="205"/>
      <c r="Y778" s="986" t="s">
        <v>1177</v>
      </c>
      <c r="Z778" s="309"/>
      <c r="AA778" s="309"/>
      <c r="AB778" s="5"/>
      <c r="AC778" s="317">
        <f>OBRA!BW783</f>
        <v>0</v>
      </c>
      <c r="AD778" s="352"/>
    </row>
    <row r="779" spans="1:30" ht="189.75" customHeight="1">
      <c r="A779" s="22" t="s">
        <v>2206</v>
      </c>
      <c r="B779" s="809">
        <f>GRAL!B1023</f>
        <v>0</v>
      </c>
      <c r="C779" s="16">
        <f>OBRA!J784</f>
        <v>2024</v>
      </c>
      <c r="D779" s="17" t="str">
        <f>OBRA!M784</f>
        <v>CUENTA CORRIENTE</v>
      </c>
      <c r="E779" s="478" t="s">
        <v>1428</v>
      </c>
      <c r="F779" s="496" t="s">
        <v>6508</v>
      </c>
      <c r="G779" s="2"/>
      <c r="H779" s="146"/>
      <c r="I779" s="54" t="str">
        <f>OBRA!W784</f>
        <v xml:space="preserve">CICLOS GIP SC </v>
      </c>
      <c r="J779" s="55" t="str">
        <f>OBRA!X784</f>
        <v>C. IMELDA KARINA PÉREZ GONZÁLEZ</v>
      </c>
      <c r="K779" s="33" t="str">
        <f>OBRA!N784</f>
        <v>CPSP DOP 014/2024</v>
      </c>
      <c r="L779" s="2" t="str">
        <f>OBRA!O784</f>
        <v>SERVICIOS</v>
      </c>
      <c r="M779" s="1175"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4" t="s">
        <v>6751</v>
      </c>
      <c r="O779" s="1894" t="s">
        <v>6840</v>
      </c>
      <c r="P779" s="67">
        <f>OBRA!S784</f>
        <v>45397</v>
      </c>
      <c r="Q779" s="79">
        <f>OBRA!R784</f>
        <v>23200</v>
      </c>
      <c r="R779" s="79" t="s">
        <v>6724</v>
      </c>
      <c r="S779" s="5">
        <f>OBRA!T784</f>
        <v>45398</v>
      </c>
      <c r="T779" s="11">
        <f>OBRA!U784</f>
        <v>45401</v>
      </c>
      <c r="U779" s="207" t="s">
        <v>5621</v>
      </c>
      <c r="V779" s="62" t="s">
        <v>1428</v>
      </c>
      <c r="W779" s="499" t="s">
        <v>6508</v>
      </c>
      <c r="X779" s="205"/>
      <c r="Y779" s="986" t="s">
        <v>1177</v>
      </c>
      <c r="Z779" s="309"/>
      <c r="AA779" s="309"/>
      <c r="AB779" s="5"/>
      <c r="AC779" s="317">
        <f>OBRA!BW784</f>
        <v>0</v>
      </c>
      <c r="AD779" s="352"/>
    </row>
    <row r="780" spans="1:30" ht="132" customHeight="1">
      <c r="A780" s="22" t="s">
        <v>2206</v>
      </c>
      <c r="B780" s="809">
        <f>GRAL!B1024</f>
        <v>0</v>
      </c>
      <c r="C780" s="16">
        <f>OBRA!J785</f>
        <v>2024</v>
      </c>
      <c r="D780" s="17" t="str">
        <f>OBRA!M785</f>
        <v>CUENTA CORRIENTE</v>
      </c>
      <c r="E780" s="478" t="s">
        <v>1428</v>
      </c>
      <c r="F780" s="146"/>
      <c r="G780" s="2"/>
      <c r="H780" s="146"/>
      <c r="I780" s="54" t="str">
        <f>OBRA!W785</f>
        <v xml:space="preserve">DORIA &amp; SAMPIER CONSTRUCTORA, S.A. DE C.V. </v>
      </c>
      <c r="J780" s="55" t="str">
        <f>OBRA!X785</f>
        <v>C. IMELDA KARINA PÉREZ GONZÁLEZ</v>
      </c>
      <c r="K780" s="33" t="str">
        <f>OBRA!N785</f>
        <v>CPSP DOP 015/2024</v>
      </c>
      <c r="L780" s="2" t="str">
        <f>OBRA!O785</f>
        <v>SERVICIOS</v>
      </c>
      <c r="M780" s="1175"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4" t="s">
        <v>6751</v>
      </c>
      <c r="O780" s="1894"/>
      <c r="P780" s="67">
        <f>OBRA!S785</f>
        <v>45401</v>
      </c>
      <c r="Q780" s="79">
        <f>OBRA!R785</f>
        <v>6380</v>
      </c>
      <c r="R780" s="79" t="s">
        <v>6724</v>
      </c>
      <c r="S780" s="5">
        <f>OBRA!T785</f>
        <v>45405</v>
      </c>
      <c r="T780" s="11">
        <f>OBRA!U785</f>
        <v>45406</v>
      </c>
      <c r="U780" s="207" t="s">
        <v>5621</v>
      </c>
      <c r="V780" s="62" t="s">
        <v>1428</v>
      </c>
      <c r="W780" s="201"/>
      <c r="X780" s="205"/>
      <c r="Y780" s="986" t="s">
        <v>1177</v>
      </c>
      <c r="Z780" s="309"/>
      <c r="AA780" s="309"/>
      <c r="AB780" s="5"/>
      <c r="AC780" s="317">
        <f>OBRA!BW785</f>
        <v>0</v>
      </c>
      <c r="AD780" s="352"/>
    </row>
    <row r="781" spans="1:30" ht="68.25" customHeight="1">
      <c r="A781" s="22" t="s">
        <v>2206</v>
      </c>
      <c r="B781" s="809">
        <f>GRAL!B1025</f>
        <v>0</v>
      </c>
      <c r="C781" s="16">
        <f>OBRA!J786</f>
        <v>2024</v>
      </c>
      <c r="D781" s="17" t="str">
        <f>OBRA!M786</f>
        <v>CUENTA CORRIENTE</v>
      </c>
      <c r="E781" s="478" t="s">
        <v>1428</v>
      </c>
      <c r="F781" s="496" t="s">
        <v>6508</v>
      </c>
      <c r="G781" s="2"/>
      <c r="H781" s="146"/>
      <c r="I781" s="54" t="str">
        <f>OBRA!W786</f>
        <v xml:space="preserve">CICLOS GIP SC </v>
      </c>
      <c r="J781" s="55" t="str">
        <f>OBRA!X786</f>
        <v>C. IMELDA KARINA PÉREZ GONZÁLEZ</v>
      </c>
      <c r="K781" s="33" t="str">
        <f>OBRA!N786</f>
        <v>CPSP DOP 016/2024</v>
      </c>
      <c r="L781" s="2" t="str">
        <f>OBRA!O786</f>
        <v>SERVICIOS</v>
      </c>
      <c r="M781" s="3" t="str">
        <f>OBRA!P786</f>
        <v>CONTRATACIÓN PARA REALIZAR: EL REGISTRO ELÉCTRICO EN POZO NUEVO DE AGUA POTABLE UBICADO EN CALLE MORELOS, EN LA CABECERA MUNICIPAL DE JOCTEPEC, JALISCO.</v>
      </c>
      <c r="N781" s="504" t="s">
        <v>6751</v>
      </c>
      <c r="O781" s="1894" t="s">
        <v>6840</v>
      </c>
      <c r="P781" s="67">
        <f>OBRA!S786</f>
        <v>45450</v>
      </c>
      <c r="Q781" s="79">
        <f>OBRA!R786</f>
        <v>19720</v>
      </c>
      <c r="R781" s="79" t="s">
        <v>68</v>
      </c>
      <c r="S781" s="5">
        <f>OBRA!T786</f>
        <v>45453</v>
      </c>
      <c r="T781" s="11">
        <f>OBRA!U786</f>
        <v>45453</v>
      </c>
      <c r="U781" s="207" t="s">
        <v>5621</v>
      </c>
      <c r="V781" s="62" t="s">
        <v>1428</v>
      </c>
      <c r="W781" s="499" t="s">
        <v>6508</v>
      </c>
      <c r="X781" s="205"/>
      <c r="Y781" s="986" t="s">
        <v>1177</v>
      </c>
      <c r="Z781" s="309"/>
      <c r="AA781" s="309"/>
      <c r="AB781" s="5"/>
      <c r="AC781" s="317">
        <f>OBRA!BW786</f>
        <v>0</v>
      </c>
      <c r="AD781" s="352"/>
    </row>
    <row r="782" spans="1:30" ht="290.25" customHeight="1">
      <c r="A782" s="22" t="s">
        <v>2206</v>
      </c>
      <c r="B782" s="809">
        <f>GRAL!B1026</f>
        <v>0</v>
      </c>
      <c r="C782" s="16">
        <f>OBRA!J787</f>
        <v>2024</v>
      </c>
      <c r="D782" s="17" t="str">
        <f>OBRA!M787</f>
        <v>CUENTA CORRIENTE</v>
      </c>
      <c r="E782" s="478" t="s">
        <v>1428</v>
      </c>
      <c r="F782" s="146"/>
      <c r="G782" s="2"/>
      <c r="H782" s="146"/>
      <c r="I782" s="54" t="str">
        <f>OBRA!W787</f>
        <v>ECCOC DE GUADALAJARA, S.A. DE C.V.</v>
      </c>
      <c r="J782" s="55" t="str">
        <f>OBRA!X787</f>
        <v>C. IMELDA KARINA PÉREZ GONZÁLEZ</v>
      </c>
      <c r="K782" s="33" t="str">
        <f>OBRA!N787</f>
        <v>CPSP DOP 017/2024</v>
      </c>
      <c r="L782" s="2" t="str">
        <f>OBRA!O787</f>
        <v>SERVICIOS</v>
      </c>
      <c r="M782" s="1175"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4" t="s">
        <v>6751</v>
      </c>
      <c r="O782" s="1894"/>
      <c r="P782" s="67">
        <f>OBRA!S787</f>
        <v>45456</v>
      </c>
      <c r="Q782" s="79">
        <f>OBRA!R787</f>
        <v>85747.199999999997</v>
      </c>
      <c r="R782" s="79" t="s">
        <v>6723</v>
      </c>
      <c r="S782" s="5">
        <f>OBRA!T787</f>
        <v>45460</v>
      </c>
      <c r="T782" s="11">
        <f>OBRA!U787</f>
        <v>45471</v>
      </c>
      <c r="U782" s="207" t="s">
        <v>5621</v>
      </c>
      <c r="V782" s="62" t="s">
        <v>1428</v>
      </c>
      <c r="W782" s="201"/>
      <c r="X782" s="205"/>
      <c r="Y782" s="986" t="s">
        <v>1177</v>
      </c>
      <c r="Z782" s="309"/>
      <c r="AA782" s="309"/>
      <c r="AB782" s="5"/>
      <c r="AC782" s="317">
        <f>OBRA!BW787</f>
        <v>0</v>
      </c>
      <c r="AD782" s="352"/>
    </row>
    <row r="783" spans="1:30" ht="120.75" customHeight="1">
      <c r="A783" s="22" t="s">
        <v>2206</v>
      </c>
      <c r="B783" s="809">
        <f>GRAL!B1027</f>
        <v>0</v>
      </c>
      <c r="C783" s="16">
        <f>OBRA!J788</f>
        <v>2024</v>
      </c>
      <c r="D783" s="17" t="str">
        <f>OBRA!M788</f>
        <v>CUENTA CORRIENTE</v>
      </c>
      <c r="E783" s="478" t="s">
        <v>1428</v>
      </c>
      <c r="F783" s="146"/>
      <c r="G783" s="2"/>
      <c r="H783" s="146"/>
      <c r="I783" s="54" t="str">
        <f>OBRA!W788</f>
        <v>ING. MARCO ANTONIO PAREDES RODRÍGUEZ</v>
      </c>
      <c r="J783" s="55" t="str">
        <f>OBRA!X788</f>
        <v>ING. LUIS RIGOBERTO OLMEDO NAVARRO</v>
      </c>
      <c r="K783" s="33" t="str">
        <f>OBRA!N788</f>
        <v>CPSP DOP 018/2024</v>
      </c>
      <c r="L783" s="2" t="str">
        <f>OBRA!O788</f>
        <v>SERVICIOS</v>
      </c>
      <c r="M783" s="1175"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4" t="s">
        <v>6751</v>
      </c>
      <c r="O783" s="1894" t="s">
        <v>6841</v>
      </c>
      <c r="P783" s="67">
        <f>OBRA!S788</f>
        <v>45443</v>
      </c>
      <c r="Q783" s="79">
        <f>OBRA!R788</f>
        <v>39770</v>
      </c>
      <c r="R783" s="79" t="s">
        <v>6723</v>
      </c>
      <c r="S783" s="5">
        <f>OBRA!T788</f>
        <v>45444</v>
      </c>
      <c r="T783" s="11">
        <f>OBRA!U788</f>
        <v>45451</v>
      </c>
      <c r="U783" s="207" t="s">
        <v>5621</v>
      </c>
      <c r="V783" s="62" t="s">
        <v>1428</v>
      </c>
      <c r="W783" s="201"/>
      <c r="X783" s="205"/>
      <c r="Y783" s="986" t="s">
        <v>1177</v>
      </c>
      <c r="Z783" s="309"/>
      <c r="AA783" s="309"/>
      <c r="AB783" s="5"/>
      <c r="AC783" s="317">
        <f>OBRA!BW788</f>
        <v>0</v>
      </c>
      <c r="AD783" s="352"/>
    </row>
    <row r="784" spans="1:30" ht="102.75" customHeight="1">
      <c r="A784" s="22" t="s">
        <v>2206</v>
      </c>
      <c r="B784" s="809">
        <f>GRAL!B1028</f>
        <v>0</v>
      </c>
      <c r="C784" s="16">
        <f>OBRA!J789</f>
        <v>2024</v>
      </c>
      <c r="D784" s="17" t="str">
        <f>OBRA!M789</f>
        <v>CUENTA CORRIENTE</v>
      </c>
      <c r="E784" s="478" t="s">
        <v>1428</v>
      </c>
      <c r="F784" s="146"/>
      <c r="G784" s="2"/>
      <c r="H784" s="146"/>
      <c r="I784" s="54" t="str">
        <f>OBRA!W789</f>
        <v>ING. MARCO ANTONIO PAREDES RODRÍGUEZ</v>
      </c>
      <c r="J784" s="55" t="str">
        <f>OBRA!X789</f>
        <v>ING. LUIS RIGOBERTO OLMEDO NAVARRO</v>
      </c>
      <c r="K784" s="33" t="str">
        <f>OBRA!N789</f>
        <v>CPSP DOP 019/2024</v>
      </c>
      <c r="L784" s="2" t="str">
        <f>OBRA!O789</f>
        <v>SERVICIOS</v>
      </c>
      <c r="M784" s="1175"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4" t="s">
        <v>6751</v>
      </c>
      <c r="O784" s="1894" t="s">
        <v>6841</v>
      </c>
      <c r="P784" s="67">
        <f>OBRA!S789</f>
        <v>45450</v>
      </c>
      <c r="Q784" s="79">
        <f>OBRA!R789</f>
        <v>46080</v>
      </c>
      <c r="R784" s="79" t="s">
        <v>6723</v>
      </c>
      <c r="S784" s="5">
        <f>OBRA!T789</f>
        <v>45452</v>
      </c>
      <c r="T784" s="11">
        <f>OBRA!U789</f>
        <v>45463</v>
      </c>
      <c r="U784" s="207" t="s">
        <v>5621</v>
      </c>
      <c r="V784" s="62" t="s">
        <v>1428</v>
      </c>
      <c r="W784" s="201"/>
      <c r="X784" s="205"/>
      <c r="Y784" s="986" t="s">
        <v>1177</v>
      </c>
      <c r="Z784" s="309"/>
      <c r="AA784" s="309"/>
      <c r="AB784" s="5"/>
      <c r="AC784" s="317">
        <f>OBRA!BW789</f>
        <v>0</v>
      </c>
      <c r="AD784" s="352"/>
    </row>
    <row r="785" spans="1:30" ht="115.5" customHeight="1">
      <c r="A785" s="22" t="s">
        <v>2206</v>
      </c>
      <c r="B785" s="809">
        <f>GRAL!B1029</f>
        <v>0</v>
      </c>
      <c r="C785" s="16">
        <f>OBRA!J790</f>
        <v>2024</v>
      </c>
      <c r="D785" s="17" t="str">
        <f>OBRA!M790</f>
        <v>CUENTA CORRIENTE</v>
      </c>
      <c r="E785" s="478" t="s">
        <v>1428</v>
      </c>
      <c r="F785" s="146"/>
      <c r="G785" s="2"/>
      <c r="H785" s="146"/>
      <c r="I785" s="54" t="str">
        <f>OBRA!W790</f>
        <v>PEDRO MORALES HERNÁNDEZ</v>
      </c>
      <c r="J785" s="55" t="str">
        <f>OBRA!X790</f>
        <v>C. DANIEL RODRIGUEZ VALENZUELA</v>
      </c>
      <c r="K785" s="33" t="str">
        <f>OBRA!N790</f>
        <v>CPSP DOP 020/2024</v>
      </c>
      <c r="L785" s="2" t="str">
        <f>OBRA!O790</f>
        <v>SERVICIOS</v>
      </c>
      <c r="M785" s="1175"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4" t="s">
        <v>6751</v>
      </c>
      <c r="O785" s="1894"/>
      <c r="P785" s="67">
        <f>OBRA!S790</f>
        <v>45469</v>
      </c>
      <c r="Q785" s="79">
        <f>OBRA!R790</f>
        <v>30159.999999999996</v>
      </c>
      <c r="R785" s="79" t="s">
        <v>6723</v>
      </c>
      <c r="S785" s="5">
        <f>OBRA!T790</f>
        <v>45470</v>
      </c>
      <c r="T785" s="11">
        <f>OBRA!U790</f>
        <v>45474</v>
      </c>
      <c r="U785" s="207" t="s">
        <v>5621</v>
      </c>
      <c r="V785" s="62" t="s">
        <v>1428</v>
      </c>
      <c r="W785" s="201"/>
      <c r="X785" s="205"/>
      <c r="Y785" s="986" t="s">
        <v>1177</v>
      </c>
      <c r="Z785" s="309"/>
      <c r="AA785" s="309"/>
      <c r="AB785" s="5"/>
      <c r="AC785" s="317">
        <f>OBRA!BW790</f>
        <v>0</v>
      </c>
      <c r="AD785" s="352"/>
    </row>
    <row r="786" spans="1:30" ht="94.5" customHeight="1">
      <c r="A786" s="22" t="s">
        <v>2206</v>
      </c>
      <c r="B786" s="809">
        <f>GRAL!B1030</f>
        <v>0</v>
      </c>
      <c r="C786" s="16">
        <f>OBRA!J791</f>
        <v>2024</v>
      </c>
      <c r="D786" s="17" t="str">
        <f>OBRA!M791</f>
        <v>CUENTA CORRIENTE</v>
      </c>
      <c r="E786" s="478" t="s">
        <v>1428</v>
      </c>
      <c r="F786" s="146"/>
      <c r="G786" s="2"/>
      <c r="H786" s="146"/>
      <c r="I786" s="54" t="str">
        <f>OBRA!W791</f>
        <v>ING. MARCO ANTONIO PAREDES RODRÍGUEZ</v>
      </c>
      <c r="J786" s="55" t="str">
        <f>OBRA!X791</f>
        <v>ING. LUIS RIGOBERTO OLMEDO NAVARRO</v>
      </c>
      <c r="K786" s="33" t="str">
        <f>OBRA!N791</f>
        <v>CPSP DOP 021/2024</v>
      </c>
      <c r="L786" s="2" t="str">
        <f>OBRA!O791</f>
        <v>SERVICIOS</v>
      </c>
      <c r="M786" s="1175"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4" t="s">
        <v>6752</v>
      </c>
      <c r="O786" s="1894" t="s">
        <v>6841</v>
      </c>
      <c r="P786" s="67">
        <f>OBRA!S791</f>
        <v>45463</v>
      </c>
      <c r="Q786" s="79">
        <f>OBRA!R791</f>
        <v>31180.799999999999</v>
      </c>
      <c r="R786" s="79" t="s">
        <v>6723</v>
      </c>
      <c r="S786" s="5">
        <f>OBRA!T791</f>
        <v>45464</v>
      </c>
      <c r="T786" s="11">
        <f>OBRA!U791</f>
        <v>45470</v>
      </c>
      <c r="U786" s="207" t="s">
        <v>5621</v>
      </c>
      <c r="V786" s="62" t="s">
        <v>1428</v>
      </c>
      <c r="W786" s="201"/>
      <c r="X786" s="205"/>
      <c r="Y786" s="986" t="s">
        <v>1177</v>
      </c>
      <c r="Z786" s="309"/>
      <c r="AA786" s="309"/>
      <c r="AB786" s="5"/>
      <c r="AC786" s="317">
        <f>OBRA!BW791</f>
        <v>0</v>
      </c>
      <c r="AD786" s="352"/>
    </row>
    <row r="787" spans="1:30" ht="143.25" customHeight="1">
      <c r="A787" s="22" t="s">
        <v>2206</v>
      </c>
      <c r="B787" s="809">
        <f>GRAL!B1031</f>
        <v>0</v>
      </c>
      <c r="C787" s="16">
        <f>OBRA!J792</f>
        <v>2024</v>
      </c>
      <c r="D787" s="17" t="str">
        <f>OBRA!M792</f>
        <v>CUENTA CORRIENTE</v>
      </c>
      <c r="E787" s="478" t="s">
        <v>1428</v>
      </c>
      <c r="F787" s="146"/>
      <c r="G787" s="2"/>
      <c r="H787" s="146"/>
      <c r="I787" s="54" t="str">
        <f>OBRA!W792</f>
        <v>C. CESAR EDUARDO LOMELÍ VALDÉZ</v>
      </c>
      <c r="J787" s="55" t="str">
        <f>OBRA!X792</f>
        <v>ARQ. JAIME CONDE GOMEZ</v>
      </c>
      <c r="K787" s="33" t="str">
        <f>OBRA!N792</f>
        <v>CPSP DOP 022/2024</v>
      </c>
      <c r="L787" s="2" t="str">
        <f>OBRA!O792</f>
        <v>SERVICIOS</v>
      </c>
      <c r="M787" s="1175"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4" t="s">
        <v>6752</v>
      </c>
      <c r="O787" s="1894"/>
      <c r="P787" s="67">
        <f>OBRA!S792</f>
        <v>45502</v>
      </c>
      <c r="Q787" s="79">
        <f>OBRA!R792</f>
        <v>205842</v>
      </c>
      <c r="R787" s="79" t="s">
        <v>68</v>
      </c>
      <c r="S787" s="5">
        <f>OBRA!T792</f>
        <v>45503</v>
      </c>
      <c r="T787" s="11">
        <f>OBRA!U792</f>
        <v>45517</v>
      </c>
      <c r="U787" s="207" t="s">
        <v>5621</v>
      </c>
      <c r="V787" s="62" t="s">
        <v>1428</v>
      </c>
      <c r="W787" s="201"/>
      <c r="X787" s="205"/>
      <c r="Y787" s="986" t="s">
        <v>1177</v>
      </c>
      <c r="Z787" s="309"/>
      <c r="AA787" s="309"/>
      <c r="AB787" s="5"/>
      <c r="AC787" s="317">
        <f>OBRA!BW792</f>
        <v>0</v>
      </c>
      <c r="AD787" s="352"/>
    </row>
    <row r="788" spans="1:30" ht="114" customHeight="1">
      <c r="A788" s="22" t="s">
        <v>2206</v>
      </c>
      <c r="B788" s="809">
        <f>GRAL!B1032</f>
        <v>0</v>
      </c>
      <c r="C788" s="16">
        <f>OBRA!J793</f>
        <v>2024</v>
      </c>
      <c r="D788" s="17" t="str">
        <f>OBRA!M793</f>
        <v>CUENTA CORRIENTE</v>
      </c>
      <c r="E788" s="478" t="s">
        <v>1428</v>
      </c>
      <c r="F788" s="496" t="s">
        <v>4587</v>
      </c>
      <c r="G788" s="495" t="s">
        <v>4587</v>
      </c>
      <c r="H788" s="146"/>
      <c r="I788" s="54" t="str">
        <f>OBRA!W793</f>
        <v>C. CESAR EDUARDO LOMELÍ VALDÉZ</v>
      </c>
      <c r="J788" s="55" t="str">
        <f>OBRA!X793</f>
        <v>C. IMELDA KARINA PÉREZ GONZÁLEZ</v>
      </c>
      <c r="K788" s="33" t="str">
        <f>OBRA!N793</f>
        <v>CPSP DOP 023/2024</v>
      </c>
      <c r="L788" s="2" t="str">
        <f>OBRA!O793</f>
        <v>SERVICIOS</v>
      </c>
      <c r="M788" s="3" t="str">
        <f>OBRA!P793</f>
        <v>CONTRATACIÓN DEL SERVICIO PARA LOS TRÁMITES DE GESTORÍA PARA EL AUMENTO DE CARGA DEL POZO DE AGUA POTABLE UBICASO EN PRIV. JUAN PABLO II, EN LA LOCALIDAD DE SAN JUAN COSALÁ, MUNICIPIO DE JOCOTEPEC, JALISCO.</v>
      </c>
      <c r="N788" s="504" t="s">
        <v>6752</v>
      </c>
      <c r="O788" s="1894" t="s">
        <v>6842</v>
      </c>
      <c r="P788" s="67">
        <f>OBRA!S793</f>
        <v>45520</v>
      </c>
      <c r="Q788" s="79">
        <f>OBRA!R793</f>
        <v>28419.999999999996</v>
      </c>
      <c r="R788" s="79" t="s">
        <v>68</v>
      </c>
      <c r="S788" s="5">
        <f>OBRA!T793</f>
        <v>45524</v>
      </c>
      <c r="T788" s="11">
        <f>OBRA!U793</f>
        <v>45530</v>
      </c>
      <c r="U788" s="207" t="s">
        <v>5621</v>
      </c>
      <c r="V788" s="62" t="s">
        <v>1428</v>
      </c>
      <c r="W788" s="499" t="s">
        <v>4587</v>
      </c>
      <c r="X788" s="597" t="s">
        <v>4587</v>
      </c>
      <c r="Y788" s="986" t="s">
        <v>1177</v>
      </c>
      <c r="Z788" s="309"/>
      <c r="AA788" s="309"/>
      <c r="AB788" s="5"/>
      <c r="AC788" s="317">
        <f>OBRA!BW793</f>
        <v>0</v>
      </c>
      <c r="AD788" s="352"/>
    </row>
    <row r="789" spans="1:30" ht="66.75" customHeight="1">
      <c r="A789" s="22" t="s">
        <v>2206</v>
      </c>
      <c r="B789" s="809">
        <f>GRAL!B1033</f>
        <v>0</v>
      </c>
      <c r="C789" s="16">
        <f>OBRA!J794</f>
        <v>2024</v>
      </c>
      <c r="D789" s="17" t="str">
        <f>OBRA!M794</f>
        <v>CUENTA CORRIENTE</v>
      </c>
      <c r="E789" s="478" t="s">
        <v>1428</v>
      </c>
      <c r="F789" s="146"/>
      <c r="G789" s="495" t="s">
        <v>6502</v>
      </c>
      <c r="H789" s="146"/>
      <c r="I789" s="54" t="str">
        <f>OBRA!W794</f>
        <v>ECCOC DE GUADALAJARA, S.A. DE C.V.</v>
      </c>
      <c r="J789" s="55" t="str">
        <f>OBRA!X794</f>
        <v>C. IMELDA KARINA PÉREZ GONZÁLEZ</v>
      </c>
      <c r="K789" s="33" t="str">
        <f>OBRA!N794</f>
        <v>CPSP DOP 024/2024</v>
      </c>
      <c r="L789" s="2" t="str">
        <f>OBRA!O794</f>
        <v>SERVICIOS</v>
      </c>
      <c r="M789" s="3" t="str">
        <f>OBRA!P794</f>
        <v>CONTRATACIÓN DE SERVICIO PARA REALIZAR ESTUDIO DE MATERIALES PARA LA BASE HIDRÁULICA EN CALLE MATAMOROS SUR, EN LA CABECERA MUNICIPAL DE JOCOTEPEC, JALISCO.</v>
      </c>
      <c r="N789" s="504" t="s">
        <v>6752</v>
      </c>
      <c r="O789" s="1894" t="s">
        <v>6843</v>
      </c>
      <c r="P789" s="67">
        <f>OBRA!S794</f>
        <v>45520</v>
      </c>
      <c r="Q789" s="79">
        <f>OBRA!R794</f>
        <v>13919.999999999998</v>
      </c>
      <c r="R789" s="79" t="s">
        <v>68</v>
      </c>
      <c r="S789" s="5">
        <f>OBRA!T794</f>
        <v>45523</v>
      </c>
      <c r="T789" s="11">
        <f>OBRA!U794</f>
        <v>45524</v>
      </c>
      <c r="U789" s="207" t="s">
        <v>5621</v>
      </c>
      <c r="V789" s="62" t="s">
        <v>1428</v>
      </c>
      <c r="W789" s="201"/>
      <c r="X789" s="205" t="s">
        <v>1428</v>
      </c>
      <c r="Y789" s="986" t="s">
        <v>1177</v>
      </c>
      <c r="Z789" s="309"/>
      <c r="AA789" s="309"/>
      <c r="AB789" s="5"/>
      <c r="AC789" s="317">
        <f>OBRA!BW794</f>
        <v>0</v>
      </c>
      <c r="AD789" s="352"/>
    </row>
    <row r="790" spans="1:30" ht="130.5" customHeight="1">
      <c r="A790" s="22" t="s">
        <v>2206</v>
      </c>
      <c r="B790" s="809">
        <f>GRAL!B1034</f>
        <v>0</v>
      </c>
      <c r="C790" s="16">
        <f>OBRA!J795</f>
        <v>2024</v>
      </c>
      <c r="D790" s="17" t="str">
        <f>OBRA!M795</f>
        <v>CUENTA CORRIENTE</v>
      </c>
      <c r="E790" s="478" t="s">
        <v>1428</v>
      </c>
      <c r="F790" s="146"/>
      <c r="G790" s="2"/>
      <c r="H790" s="146"/>
      <c r="I790" s="54" t="str">
        <f>OBRA!W795</f>
        <v>ING. MARCO ANTONIO PAREDES RODRÍGUEZ</v>
      </c>
      <c r="J790" s="55" t="str">
        <f>OBRA!X795</f>
        <v>C. IMELDA KARINA PÉREZ GONZÁLEZ</v>
      </c>
      <c r="K790" s="33" t="str">
        <f>OBRA!N795</f>
        <v>CPSP DOP 025/2024</v>
      </c>
      <c r="L790" s="2" t="str">
        <f>OBRA!O795</f>
        <v>SERVICIOS</v>
      </c>
      <c r="M790"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4" t="s">
        <v>6752</v>
      </c>
      <c r="O790" s="1894" t="s">
        <v>6841</v>
      </c>
      <c r="P790" s="67">
        <f>OBRA!S795</f>
        <v>45533</v>
      </c>
      <c r="Q790" s="79">
        <f>OBRA!R795</f>
        <v>32479.999999999996</v>
      </c>
      <c r="R790" s="79" t="s">
        <v>68</v>
      </c>
      <c r="S790" s="5">
        <f>OBRA!T795</f>
        <v>45537</v>
      </c>
      <c r="T790" s="11">
        <f>OBRA!U795</f>
        <v>45538</v>
      </c>
      <c r="U790" s="207" t="s">
        <v>5621</v>
      </c>
      <c r="V790" s="62" t="s">
        <v>1428</v>
      </c>
      <c r="W790" s="201"/>
      <c r="X790" s="205"/>
      <c r="Y790" s="986" t="s">
        <v>1177</v>
      </c>
      <c r="Z790" s="309"/>
      <c r="AA790" s="309"/>
      <c r="AB790" s="5"/>
      <c r="AC790" s="317">
        <f>OBRA!BW795</f>
        <v>0</v>
      </c>
      <c r="AD790" s="352"/>
    </row>
    <row r="791" spans="1:30" ht="135" customHeight="1">
      <c r="A791" s="22" t="s">
        <v>2206</v>
      </c>
      <c r="B791" s="809">
        <f>GRAL!B1035</f>
        <v>0</v>
      </c>
      <c r="C791" s="16">
        <f>OBRA!J796</f>
        <v>2024</v>
      </c>
      <c r="D791" s="17" t="str">
        <f>OBRA!M796</f>
        <v>CUENTA CORRIENTE</v>
      </c>
      <c r="E791" s="478" t="s">
        <v>1428</v>
      </c>
      <c r="F791" s="496" t="s">
        <v>6167</v>
      </c>
      <c r="G791" s="495" t="s">
        <v>6167</v>
      </c>
      <c r="H791" s="146"/>
      <c r="I791" s="54" t="str">
        <f>OBRA!W796</f>
        <v>ING. MARCO ANTONIO PAREDES RODRÍGUEZ</v>
      </c>
      <c r="J791" s="55" t="str">
        <f>OBRA!X796</f>
        <v>C. IMELDA KARINA PÉREZ GONZÁLEZ</v>
      </c>
      <c r="K791" s="33" t="str">
        <f>OBRA!N796</f>
        <v>CPSP DOP 026/2024</v>
      </c>
      <c r="L791" s="2" t="str">
        <f>OBRA!O796</f>
        <v>SERVICIOS</v>
      </c>
      <c r="M791"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4" t="s">
        <v>6752</v>
      </c>
      <c r="O791" s="1894" t="s">
        <v>6827</v>
      </c>
      <c r="P791" s="67">
        <f>OBRA!S796</f>
        <v>45533</v>
      </c>
      <c r="Q791" s="79">
        <f>OBRA!R796</f>
        <v>30125.199999999997</v>
      </c>
      <c r="R791" s="79" t="s">
        <v>68</v>
      </c>
      <c r="S791" s="5">
        <f>OBRA!T796</f>
        <v>45539</v>
      </c>
      <c r="T791" s="11">
        <f>OBRA!U796</f>
        <v>45540</v>
      </c>
      <c r="U791" s="207" t="s">
        <v>5621</v>
      </c>
      <c r="V791" s="62" t="s">
        <v>1428</v>
      </c>
      <c r="W791" s="499" t="s">
        <v>6167</v>
      </c>
      <c r="X791" s="597" t="s">
        <v>6167</v>
      </c>
      <c r="Y791" s="986" t="s">
        <v>1177</v>
      </c>
      <c r="Z791" s="309"/>
      <c r="AA791" s="309"/>
      <c r="AB791" s="5"/>
      <c r="AC791" s="317">
        <f>OBRA!BW796</f>
        <v>0</v>
      </c>
      <c r="AD791" s="352"/>
    </row>
    <row r="792" spans="1:30" ht="76.5" customHeight="1">
      <c r="A792" s="22" t="s">
        <v>2206</v>
      </c>
      <c r="B792" s="809">
        <f>GRAL!B1037</f>
        <v>0</v>
      </c>
      <c r="C792" s="16">
        <f>OBRA!J797</f>
        <v>2024</v>
      </c>
      <c r="D792" s="17" t="str">
        <f>OBRA!M797</f>
        <v>CUENTA CORRIENTE</v>
      </c>
      <c r="E792" s="478" t="s">
        <v>1428</v>
      </c>
      <c r="F792" s="146"/>
      <c r="G792" s="2"/>
      <c r="H792" s="146"/>
      <c r="I792" s="54" t="str">
        <f>OBRA!W797</f>
        <v>ING. SERGIO CABRERA</v>
      </c>
      <c r="J792" s="55" t="str">
        <f>OBRA!X797</f>
        <v>ING. LUIS RIGOBERTO OLMEDO NAVARRO</v>
      </c>
      <c r="K792" s="33" t="str">
        <f>OBRA!N797</f>
        <v>C- OP 001/2024</v>
      </c>
      <c r="L792" s="2" t="str">
        <f>OBRA!O797</f>
        <v>ARRENDAMIENTO</v>
      </c>
      <c r="M792" s="3" t="str">
        <f>OBRA!P797</f>
        <v>RENTA DE UNA EXCAVADORA SOBRE ORUGAS CATERPILLAR 336E Y CAMIÓN DE VOLTEO DE 14M3, PARA LA LIMPIEZA A LA ORILLA DE LA PLAYA EN LA ZONA DEL MALECÓN DE SAN JUAN COSALÁ, MUNICIPIO DE JOCOTEPEC, JALISCO.</v>
      </c>
      <c r="N792" s="504" t="s">
        <v>6753</v>
      </c>
      <c r="O792" s="1894" t="s">
        <v>6835</v>
      </c>
      <c r="P792" s="67">
        <f>OBRA!S797</f>
        <v>45341</v>
      </c>
      <c r="Q792" s="79">
        <f>OBRA!R797</f>
        <v>3943.9999999999995</v>
      </c>
      <c r="R792" s="79" t="s">
        <v>2294</v>
      </c>
      <c r="S792" s="5">
        <f>OBRA!T797</f>
        <v>45343</v>
      </c>
      <c r="T792" s="11">
        <f>OBRA!U797</f>
        <v>45349</v>
      </c>
      <c r="U792" s="207" t="s">
        <v>5621</v>
      </c>
      <c r="V792" s="62" t="s">
        <v>1428</v>
      </c>
      <c r="W792" s="201"/>
      <c r="X792" s="205"/>
      <c r="Y792" s="986" t="s">
        <v>1177</v>
      </c>
      <c r="Z792" s="309"/>
      <c r="AA792" s="309"/>
      <c r="AB792" s="5"/>
      <c r="AC792" s="317">
        <f>OBRA!BW797</f>
        <v>0</v>
      </c>
      <c r="AD792" s="352"/>
    </row>
    <row r="793" spans="1:30" ht="93" customHeight="1">
      <c r="A793" s="22" t="s">
        <v>2206</v>
      </c>
      <c r="B793" s="809">
        <f>GRAL!B1038</f>
        <v>0</v>
      </c>
      <c r="C793" s="16">
        <f>OBRA!J798</f>
        <v>2024</v>
      </c>
      <c r="D793" s="17" t="str">
        <f>OBRA!M798</f>
        <v>CUENTA CORRIENTE</v>
      </c>
      <c r="E793" s="478" t="s">
        <v>1428</v>
      </c>
      <c r="F793" s="146"/>
      <c r="G793" s="2"/>
      <c r="H793" s="146"/>
      <c r="I793" s="54" t="str">
        <f>OBRA!W798</f>
        <v>ING. SERGIO CABRERA</v>
      </c>
      <c r="J793" s="55" t="str">
        <f>OBRA!X798</f>
        <v>C. IMELDA KARINA PÉREZ GONZÁLEZ</v>
      </c>
      <c r="K793" s="33" t="str">
        <f>OBRA!N798</f>
        <v>C- OP 002/2024</v>
      </c>
      <c r="L793" s="2" t="str">
        <f>OBRA!O798</f>
        <v>ARRENDAMIENTO</v>
      </c>
      <c r="M793" s="3" t="str">
        <f>OBRA!P798</f>
        <v>RENTA DE UNA MOTOCONFORMADORA CATERPILLAR 160 Y UNA PIPA DE 10,000 LITROS MARCA INTERNATIONAL, PARA LA CONFORMACIÓN DE BASE EN CALLE COLÓN SUR, EN LA CABECERA MUNICIPAL DE JOCOTEPEC, JALISCO.</v>
      </c>
      <c r="N793" s="504" t="s">
        <v>6753</v>
      </c>
      <c r="O793" s="1894" t="s">
        <v>6835</v>
      </c>
      <c r="P793" s="67">
        <f>OBRA!S798</f>
        <v>45345</v>
      </c>
      <c r="Q793" s="79">
        <f>OBRA!R798</f>
        <v>2204</v>
      </c>
      <c r="R793" s="79" t="s">
        <v>2294</v>
      </c>
      <c r="S793" s="5">
        <f>OBRA!T798</f>
        <v>45348</v>
      </c>
      <c r="T793" s="11">
        <f>OBRA!U798</f>
        <v>45350</v>
      </c>
      <c r="U793" s="207" t="s">
        <v>5621</v>
      </c>
      <c r="V793" s="62" t="s">
        <v>1428</v>
      </c>
      <c r="W793" s="201"/>
      <c r="X793" s="205"/>
      <c r="Y793" s="986" t="s">
        <v>1177</v>
      </c>
      <c r="Z793" s="309"/>
      <c r="AA793" s="309"/>
      <c r="AB793" s="5"/>
      <c r="AC793" s="317">
        <f>OBRA!BW798</f>
        <v>0</v>
      </c>
      <c r="AD793" s="352"/>
    </row>
    <row r="794" spans="1:30" ht="93.75" customHeight="1">
      <c r="A794" s="22" t="s">
        <v>2206</v>
      </c>
      <c r="B794" s="809">
        <f>GRAL!B1039</f>
        <v>0</v>
      </c>
      <c r="C794" s="16">
        <f>OBRA!J799</f>
        <v>2024</v>
      </c>
      <c r="D794" s="17" t="str">
        <f>OBRA!M799</f>
        <v>CUENTA CORRIENTE</v>
      </c>
      <c r="E794" s="478" t="s">
        <v>1428</v>
      </c>
      <c r="F794" s="146"/>
      <c r="G794" s="2"/>
      <c r="H794" s="146"/>
      <c r="I794" s="54" t="str">
        <f>OBRA!W799</f>
        <v xml:space="preserve">DORIA &amp; SAMPIER CONSTRUCTORA, S.A. DE C.V. </v>
      </c>
      <c r="J794" s="55" t="str">
        <f>OBRA!X799</f>
        <v>C. IMELDA KARINA PÉREZ GONZÁLEZ</v>
      </c>
      <c r="K794" s="33" t="str">
        <f>OBRA!N799</f>
        <v>C- OP 003/2024</v>
      </c>
      <c r="L794" s="2" t="str">
        <f>OBRA!O799</f>
        <v>ARRENDAMIENTO</v>
      </c>
      <c r="M794" s="3" t="str">
        <f>OBRA!P799</f>
        <v>RENTA DE UNA RETROEXCAVADORA CARTEPILLAR 416E, PARA RECONEXIÓN DE DESCARGA DOMICILIARÍA EN TELESECUNDARÍA ENTRE CALLE ZARAGOZA Y VICENTE GUERRERO", EN LA LOCALIDAD DE ZAPOTITÁN DE HIDALGO, DEL MUNICIPIO DE JOCOTEPEC, JALISCO.</v>
      </c>
      <c r="N794" s="504" t="s">
        <v>6753</v>
      </c>
      <c r="O794" s="1894" t="s">
        <v>6835</v>
      </c>
      <c r="P794" s="67">
        <f>OBRA!S799</f>
        <v>45345</v>
      </c>
      <c r="Q794" s="79">
        <f>OBRA!R799</f>
        <v>696</v>
      </c>
      <c r="R794" s="79" t="s">
        <v>2294</v>
      </c>
      <c r="S794" s="5">
        <f>OBRA!T799</f>
        <v>45348</v>
      </c>
      <c r="T794" s="11">
        <f>OBRA!U799</f>
        <v>45353</v>
      </c>
      <c r="U794" s="207" t="s">
        <v>5621</v>
      </c>
      <c r="V794" s="62" t="s">
        <v>1428</v>
      </c>
      <c r="W794" s="201"/>
      <c r="X794" s="205"/>
      <c r="Y794" s="986" t="s">
        <v>1177</v>
      </c>
      <c r="Z794" s="309"/>
      <c r="AA794" s="309"/>
      <c r="AB794" s="5"/>
      <c r="AC794" s="317">
        <f>OBRA!BW799</f>
        <v>0</v>
      </c>
      <c r="AD794" s="352"/>
    </row>
    <row r="795" spans="1:30" ht="83.25" customHeight="1">
      <c r="A795" s="22" t="s">
        <v>2206</v>
      </c>
      <c r="B795" s="809">
        <f>GRAL!B1040</f>
        <v>0</v>
      </c>
      <c r="C795" s="16">
        <f>OBRA!J800</f>
        <v>2024</v>
      </c>
      <c r="D795" s="17" t="str">
        <f>OBRA!M800</f>
        <v>CUENTA CORRIENTE</v>
      </c>
      <c r="E795" s="478" t="s">
        <v>1428</v>
      </c>
      <c r="F795" s="146"/>
      <c r="G795" s="2"/>
      <c r="H795" s="146"/>
      <c r="I795" s="54" t="str">
        <f>OBRA!W800</f>
        <v>C. URIEL PALOS VACA</v>
      </c>
      <c r="J795" s="55" t="str">
        <f>OBRA!X800</f>
        <v>C. IMELDA KARINA PÉREZ GONZÁLEZ</v>
      </c>
      <c r="K795" s="33" t="str">
        <f>OBRA!N800</f>
        <v>C- OP 004/2024</v>
      </c>
      <c r="L795" s="2" t="str">
        <f>OBRA!O800</f>
        <v>ARRENDAMIENTO</v>
      </c>
      <c r="M795" s="3" t="str">
        <f>OBRA!P800</f>
        <v>RENTA DE UNA EXCAVADORA JOHN DEER 200B, RETROEXCAVADORA JCV 214E, 4 CAMIONES DE VOLTEO FREIGHLINER DE 14 M3, PARA LA LIMPIEZA DE LA PLAYA EN LA ZONA DEL EMBARCADERO DEL MALECÓN DE JOCOTEPEC, JALISCO.</v>
      </c>
      <c r="N795" s="504" t="s">
        <v>6753</v>
      </c>
      <c r="O795" s="1894" t="s">
        <v>6835</v>
      </c>
      <c r="P795" s="67">
        <f>OBRA!S800</f>
        <v>45363</v>
      </c>
      <c r="Q795" s="79">
        <f>OBRA!R800</f>
        <v>4292</v>
      </c>
      <c r="R795" s="79" t="s">
        <v>6725</v>
      </c>
      <c r="S795" s="5">
        <f>OBRA!T800</f>
        <v>45365</v>
      </c>
      <c r="T795" s="11">
        <f>OBRA!U800</f>
        <v>45372</v>
      </c>
      <c r="U795" s="207" t="s">
        <v>5621</v>
      </c>
      <c r="V795" s="62" t="s">
        <v>1428</v>
      </c>
      <c r="W795" s="201"/>
      <c r="X795" s="205"/>
      <c r="Y795" s="986" t="s">
        <v>1177</v>
      </c>
      <c r="Z795" s="309"/>
      <c r="AA795" s="309"/>
      <c r="AB795" s="5"/>
      <c r="AC795" s="317">
        <f>OBRA!BW800</f>
        <v>0</v>
      </c>
      <c r="AD795" s="352"/>
    </row>
    <row r="796" spans="1:30" ht="80.25" customHeight="1">
      <c r="A796" s="22" t="s">
        <v>2206</v>
      </c>
      <c r="B796" s="809">
        <f>GRAL!B1041</f>
        <v>0</v>
      </c>
      <c r="C796" s="16">
        <f>OBRA!J801</f>
        <v>2024</v>
      </c>
      <c r="D796" s="17" t="str">
        <f>OBRA!M801</f>
        <v>CUENTA CORRIENTE</v>
      </c>
      <c r="E796" s="478" t="s">
        <v>1428</v>
      </c>
      <c r="F796" s="146"/>
      <c r="G796" s="2"/>
      <c r="H796" s="146"/>
      <c r="I796" s="54" t="str">
        <f>OBRA!W801</f>
        <v>ING. SERGIO CABRERA</v>
      </c>
      <c r="J796" s="55" t="str">
        <f>OBRA!X801</f>
        <v>C. IMELDA KARINA PÉREZ GONZÁLEZ</v>
      </c>
      <c r="K796" s="33" t="str">
        <f>OBRA!N801</f>
        <v>C- OP 005/2024</v>
      </c>
      <c r="L796" s="2" t="str">
        <f>OBRA!O801</f>
        <v>ARRENDAMIENTO</v>
      </c>
      <c r="M796" s="3" t="str">
        <f>OBRA!P801</f>
        <v>RENTA DE UNA EXCAVADORA SOBRE ORUGAS CATERPILLAR 336E Y CAMIÓN DE VOLTEO DE 14M3, PARA LA LIMPIEZA A LA ORILLA DE LA PLAYA EN LA ZONA DEL MALECÓN DE SAN CRISTÓBAL ZAPOTITLÁN, MUNICIPIO DE JOCOTEPEC, JALISCO</v>
      </c>
      <c r="N796" s="504" t="s">
        <v>6753</v>
      </c>
      <c r="O796" s="1894" t="s">
        <v>6835</v>
      </c>
      <c r="P796" s="67">
        <f>OBRA!S801</f>
        <v>45362</v>
      </c>
      <c r="Q796" s="79">
        <f>OBRA!R801</f>
        <v>3711.9999999999995</v>
      </c>
      <c r="R796" s="79" t="s">
        <v>2294</v>
      </c>
      <c r="S796" s="5">
        <f>OBRA!T801</f>
        <v>45363</v>
      </c>
      <c r="T796" s="11">
        <f>OBRA!U801</f>
        <v>45367</v>
      </c>
      <c r="U796" s="207" t="s">
        <v>5621</v>
      </c>
      <c r="V796" s="62" t="s">
        <v>1428</v>
      </c>
      <c r="W796" s="201"/>
      <c r="X796" s="205"/>
      <c r="Y796" s="986" t="s">
        <v>1177</v>
      </c>
      <c r="Z796" s="309"/>
      <c r="AA796" s="309"/>
      <c r="AB796" s="5"/>
      <c r="AC796" s="317">
        <f>OBRA!BW801</f>
        <v>0</v>
      </c>
      <c r="AD796" s="352"/>
    </row>
    <row r="797" spans="1:30" ht="76.5" customHeight="1">
      <c r="A797" s="22" t="s">
        <v>2206</v>
      </c>
      <c r="B797" s="809">
        <f>GRAL!B1042</f>
        <v>0</v>
      </c>
      <c r="C797" s="16">
        <f>OBRA!J802</f>
        <v>2024</v>
      </c>
      <c r="D797" s="17" t="str">
        <f>OBRA!M802</f>
        <v>CUENTA CORRIENTE</v>
      </c>
      <c r="E797" s="478" t="s">
        <v>1428</v>
      </c>
      <c r="F797" s="146"/>
      <c r="G797" s="2"/>
      <c r="H797" s="146"/>
      <c r="I797" s="54" t="str">
        <f>OBRA!W802</f>
        <v>ING. SERGIO CABRERA</v>
      </c>
      <c r="J797" s="55" t="str">
        <f>OBRA!X802</f>
        <v>C. IMELDA KARINA PÉREZ GONZÁLEZ</v>
      </c>
      <c r="K797" s="33" t="str">
        <f>OBRA!N802</f>
        <v>C- OP 006/2024</v>
      </c>
      <c r="L797" s="2" t="str">
        <f>OBRA!O802</f>
        <v>ARRENDAMIENTO</v>
      </c>
      <c r="M797" s="3" t="str">
        <f>OBRA!P802</f>
        <v>RENTA DE CAMIÓN TIPO PIPA MARCA DINA, PLACAS JU-79-346, CON CAPACIDAD DE 10,000 LITROS, PARA EL TRASLADO DE AGUA POTABLE EN EL MUNICIPIO DE JOCOTEPEC, JALISCO.</v>
      </c>
      <c r="N797" s="504" t="s">
        <v>6753</v>
      </c>
      <c r="O797" s="1894" t="s">
        <v>6836</v>
      </c>
      <c r="P797" s="67">
        <f>OBRA!S802</f>
        <v>45352</v>
      </c>
      <c r="Q797" s="79">
        <f>OBRA!R802</f>
        <v>1971.9999999999998</v>
      </c>
      <c r="R797" s="79" t="s">
        <v>5591</v>
      </c>
      <c r="S797" s="5">
        <f>OBRA!T802</f>
        <v>45352</v>
      </c>
      <c r="T797" s="11">
        <f>OBRA!U802</f>
        <v>45381</v>
      </c>
      <c r="U797" s="207" t="s">
        <v>5621</v>
      </c>
      <c r="V797" s="62" t="s">
        <v>1428</v>
      </c>
      <c r="W797" s="201"/>
      <c r="X797" s="205"/>
      <c r="Y797" s="986" t="s">
        <v>1177</v>
      </c>
      <c r="Z797" s="309"/>
      <c r="AA797" s="309"/>
      <c r="AB797" s="5"/>
      <c r="AC797" s="317">
        <f>OBRA!BW802</f>
        <v>0</v>
      </c>
      <c r="AD797" s="352"/>
    </row>
    <row r="798" spans="1:30" ht="63" customHeight="1">
      <c r="A798" s="22" t="s">
        <v>2206</v>
      </c>
      <c r="B798" s="809">
        <f>GRAL!B1043</f>
        <v>0</v>
      </c>
      <c r="C798" s="16">
        <f>OBRA!J803</f>
        <v>2024</v>
      </c>
      <c r="D798" s="17" t="str">
        <f>OBRA!M803</f>
        <v>CUENTA CORRIENTE</v>
      </c>
      <c r="E798" s="478" t="s">
        <v>1428</v>
      </c>
      <c r="F798" s="146"/>
      <c r="G798" s="2"/>
      <c r="H798" s="146"/>
      <c r="I798" s="54" t="str">
        <f>OBRA!W803</f>
        <v>ING. SERGIO CABRERA</v>
      </c>
      <c r="J798" s="55" t="str">
        <f>OBRA!X803</f>
        <v>C. IMELDA KARINA PÉREZ GONZÁLEZ</v>
      </c>
      <c r="K798" s="33" t="str">
        <f>OBRA!N803</f>
        <v>C- OP 007/2024</v>
      </c>
      <c r="L798" s="2" t="str">
        <f>OBRA!O803</f>
        <v>ARRENDAMIENTO</v>
      </c>
      <c r="M798" s="3" t="str">
        <f>OBRA!P803</f>
        <v>RENTA DE UNA RETROEXCAVADORA CATERPILLAR 420E Y CAMIÓN VOLTEO DE 14 M3, PARA LA LIMPIEZA EN ZONAS DE LA CABECERA MUNICIPAL DE JOCOTEPEC, JALISCO.</v>
      </c>
      <c r="N798" s="504" t="s">
        <v>6753</v>
      </c>
      <c r="O798" s="1894" t="s">
        <v>6835</v>
      </c>
      <c r="P798" s="67">
        <f>OBRA!S803</f>
        <v>45378</v>
      </c>
      <c r="Q798" s="79">
        <f>OBRA!R803</f>
        <v>1508</v>
      </c>
      <c r="R798" s="79" t="s">
        <v>2294</v>
      </c>
      <c r="S798" s="5">
        <f>OBRA!T803</f>
        <v>45383</v>
      </c>
      <c r="T798" s="11">
        <f>OBRA!U803</f>
        <v>45412</v>
      </c>
      <c r="U798" s="207" t="s">
        <v>5621</v>
      </c>
      <c r="V798" s="62" t="s">
        <v>1428</v>
      </c>
      <c r="W798" s="201"/>
      <c r="X798" s="205"/>
      <c r="Y798" s="986" t="s">
        <v>1177</v>
      </c>
      <c r="Z798" s="309"/>
      <c r="AA798" s="309"/>
      <c r="AB798" s="5"/>
      <c r="AC798" s="317">
        <f>OBRA!BW803</f>
        <v>0</v>
      </c>
      <c r="AD798" s="352"/>
    </row>
    <row r="799" spans="1:30" ht="71.25" customHeight="1">
      <c r="A799" s="22" t="s">
        <v>2206</v>
      </c>
      <c r="B799" s="809">
        <f>GRAL!B1044</f>
        <v>0</v>
      </c>
      <c r="C799" s="16">
        <f>OBRA!J804</f>
        <v>2024</v>
      </c>
      <c r="D799" s="17" t="str">
        <f>OBRA!M804</f>
        <v>CUENTA CORRIENTE</v>
      </c>
      <c r="E799" s="478" t="s">
        <v>1428</v>
      </c>
      <c r="F799" s="146"/>
      <c r="G799" s="2"/>
      <c r="H799" s="146"/>
      <c r="I799" s="54" t="str">
        <f>OBRA!W804</f>
        <v xml:space="preserve">DORIA &amp; SAMPIER CONSTRUCTORA, S.A. DE C.V. </v>
      </c>
      <c r="J799" s="55" t="str">
        <f>OBRA!X804</f>
        <v>C. IMELDA KARINA PÉREZ GONZÁLEZ</v>
      </c>
      <c r="K799" s="33" t="str">
        <f>OBRA!N804</f>
        <v>C- OP 008/2024</v>
      </c>
      <c r="L799" s="2" t="str">
        <f>OBRA!O804</f>
        <v>ARRENDAMIENTO</v>
      </c>
      <c r="M799" s="3" t="str">
        <f>OBRA!P804</f>
        <v>RENTA DE CAMIÓN TIPO PIPA MARCA KENWORT T800, PLACAS JY-06-625, CON CAPACIDAD DE 20,000 LITROS, PARA EL TRASLADO DE AGUA POTABLE EN EL MUNICIPIO DE JOCOTEPEC, JALISCO.</v>
      </c>
      <c r="N799" s="504" t="s">
        <v>6753</v>
      </c>
      <c r="O799" s="1894" t="s">
        <v>6836</v>
      </c>
      <c r="P799" s="67">
        <f>OBRA!S804</f>
        <v>45394</v>
      </c>
      <c r="Q799" s="79">
        <f>OBRA!R804</f>
        <v>4640</v>
      </c>
      <c r="R799" s="79" t="s">
        <v>5591</v>
      </c>
      <c r="S799" s="5">
        <f>OBRA!T804</f>
        <v>45397</v>
      </c>
      <c r="T799" s="11">
        <f>OBRA!U804</f>
        <v>45401</v>
      </c>
      <c r="U799" s="207" t="s">
        <v>5621</v>
      </c>
      <c r="V799" s="62" t="s">
        <v>1428</v>
      </c>
      <c r="W799" s="201"/>
      <c r="X799" s="205"/>
      <c r="Y799" s="986" t="s">
        <v>1177</v>
      </c>
      <c r="Z799" s="309"/>
      <c r="AA799" s="309"/>
      <c r="AB799" s="5"/>
      <c r="AC799" s="317">
        <f>OBRA!BW804</f>
        <v>0</v>
      </c>
      <c r="AD799" s="352"/>
    </row>
    <row r="800" spans="1:30" ht="115.5" customHeight="1">
      <c r="A800" s="22" t="s">
        <v>2206</v>
      </c>
      <c r="B800" s="809">
        <f>GRAL!B1045</f>
        <v>0</v>
      </c>
      <c r="C800" s="16">
        <f>OBRA!J805</f>
        <v>2024</v>
      </c>
      <c r="D800" s="17" t="str">
        <f>OBRA!M805</f>
        <v>CUENTA CORRIENTE</v>
      </c>
      <c r="E800" s="478" t="s">
        <v>1428</v>
      </c>
      <c r="F800" s="146"/>
      <c r="G800" s="2"/>
      <c r="H800" s="146"/>
      <c r="I800" s="54" t="str">
        <f>OBRA!W805</f>
        <v>INFRAESTRUCTURA GUSEV, S.A. DE C.V.</v>
      </c>
      <c r="J800" s="55" t="str">
        <f>OBRA!X805</f>
        <v>C. DANIEL RODRIGUEZ VALENZUELA</v>
      </c>
      <c r="K800" s="33" t="str">
        <f>OBRA!N805</f>
        <v>C- OP 009/2024</v>
      </c>
      <c r="L800" s="2" t="str">
        <f>OBRA!O805</f>
        <v>ARRENDAMIENTO</v>
      </c>
      <c r="M800"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4" t="s">
        <v>6753</v>
      </c>
      <c r="O800" s="1894" t="s">
        <v>6835</v>
      </c>
      <c r="P800" s="67">
        <f>OBRA!S805</f>
        <v>45352</v>
      </c>
      <c r="Q800" s="79">
        <f>OBRA!R805</f>
        <v>788.8</v>
      </c>
      <c r="R800" s="79" t="s">
        <v>2294</v>
      </c>
      <c r="S800" s="5">
        <f>OBRA!T805</f>
        <v>45352</v>
      </c>
      <c r="T800" s="11">
        <f>OBRA!U805</f>
        <v>45443</v>
      </c>
      <c r="U800" s="207" t="s">
        <v>5621</v>
      </c>
      <c r="V800" s="62" t="s">
        <v>1428</v>
      </c>
      <c r="W800" s="201"/>
      <c r="X800" s="205"/>
      <c r="Y800" s="986" t="s">
        <v>1177</v>
      </c>
      <c r="Z800" s="309"/>
      <c r="AA800" s="309"/>
      <c r="AB800" s="5"/>
      <c r="AC800" s="317">
        <f>OBRA!BW805</f>
        <v>0</v>
      </c>
      <c r="AD800" s="352"/>
    </row>
    <row r="801" spans="1:30" ht="103.5" customHeight="1">
      <c r="A801" s="22" t="s">
        <v>2206</v>
      </c>
      <c r="B801" s="809">
        <f>GRAL!B1046</f>
        <v>0</v>
      </c>
      <c r="C801" s="16">
        <f>OBRA!J806</f>
        <v>2024</v>
      </c>
      <c r="D801" s="17" t="str">
        <f>OBRA!M806</f>
        <v>CUENTA CORRIENTE</v>
      </c>
      <c r="E801" s="478" t="s">
        <v>1428</v>
      </c>
      <c r="F801" s="146"/>
      <c r="G801" s="2"/>
      <c r="H801" s="146"/>
      <c r="I801" s="54" t="str">
        <f>OBRA!W806</f>
        <v xml:space="preserve">DORIA &amp; SAMPIER CONSTRUCTORA, S.A. DE C.V. </v>
      </c>
      <c r="J801" s="55" t="str">
        <f>OBRA!X806</f>
        <v>ING. J. GUADALUPE IBARRA RAMIREZ</v>
      </c>
      <c r="K801" s="33" t="str">
        <f>OBRA!N806</f>
        <v>C- OP 010/2024</v>
      </c>
      <c r="L801" s="2" t="str">
        <f>OBRA!O806</f>
        <v>ARRENDAMIENTO</v>
      </c>
      <c r="M801" s="3" t="str">
        <f>OBRA!P806</f>
        <v>RENTA DE CAMIÓN VOLTEO CON CAPACIDAD DE 7 M3, PARA EL RETIRO DE MATERIAL POR LOS TRABAJOS DE INSTALACIÓN Y ACONDICIONAMIENTO DE DRENAJE SANITARIO EN CALLE ZARAGOZA EN JDN NIÑOS HÉROES", EN LA CABECERA MUNICIPAL DE JOCOTEPEC, JALISCO.</v>
      </c>
      <c r="N801" s="504" t="s">
        <v>6753</v>
      </c>
      <c r="O801" s="1894" t="s">
        <v>6835</v>
      </c>
      <c r="P801" s="67">
        <f>OBRA!S806</f>
        <v>45420</v>
      </c>
      <c r="Q801" s="79">
        <f>OBRA!R806</f>
        <v>1482.4799999999998</v>
      </c>
      <c r="R801" s="79" t="s">
        <v>2462</v>
      </c>
      <c r="S801" s="5">
        <f>OBRA!T806</f>
        <v>45422</v>
      </c>
      <c r="T801" s="11">
        <f>OBRA!U806</f>
        <v>45423</v>
      </c>
      <c r="U801" s="207" t="s">
        <v>5621</v>
      </c>
      <c r="V801" s="62" t="s">
        <v>1428</v>
      </c>
      <c r="W801" s="201"/>
      <c r="X801" s="205"/>
      <c r="Y801" s="986" t="s">
        <v>1177</v>
      </c>
      <c r="Z801" s="309"/>
      <c r="AA801" s="309"/>
      <c r="AB801" s="5"/>
      <c r="AC801" s="317">
        <f>OBRA!BW806</f>
        <v>0</v>
      </c>
      <c r="AD801" s="352"/>
    </row>
    <row r="802" spans="1:30" ht="79.5" customHeight="1">
      <c r="A802" s="22" t="s">
        <v>2206</v>
      </c>
      <c r="B802" s="809">
        <f>GRAL!B1047</f>
        <v>0</v>
      </c>
      <c r="C802" s="16">
        <f>OBRA!J807</f>
        <v>2024</v>
      </c>
      <c r="D802" s="17" t="str">
        <f>OBRA!M807</f>
        <v>CUENTA CORRIENTE</v>
      </c>
      <c r="E802" s="478" t="s">
        <v>1428</v>
      </c>
      <c r="F802" s="146"/>
      <c r="G802" s="2"/>
      <c r="H802" s="146"/>
      <c r="I802" s="54" t="str">
        <f>OBRA!W807</f>
        <v xml:space="preserve">DORIA &amp; SAMPIER CONSTRUCTORA, S.A. DE C.V. </v>
      </c>
      <c r="J802" s="55" t="str">
        <f>OBRA!X807</f>
        <v>C. IMELDA KARINA PÉREZ GONZÁLEZ</v>
      </c>
      <c r="K802" s="33" t="str">
        <f>OBRA!N807</f>
        <v>C- OP 011/2024</v>
      </c>
      <c r="L802" s="2" t="str">
        <f>OBRA!O807</f>
        <v>ARRENDAMIENTO</v>
      </c>
      <c r="M802" s="3" t="str">
        <f>OBRA!P807</f>
        <v>RENTA DE CAMIÓN TIPO PIPA MARCA INTERNATIONAL, PLACAS JU-51-888, CON CAPACIDAD DE 20,000 LITROS, PARA EL TRASLADO DE AGUA POTABLE EN EL MUNICIPIO DE JOCOTEPEC, JALISCO.</v>
      </c>
      <c r="N802" s="504" t="s">
        <v>6754</v>
      </c>
      <c r="O802" s="1894" t="s">
        <v>6836</v>
      </c>
      <c r="P802" s="67">
        <f>OBRA!S807</f>
        <v>45425</v>
      </c>
      <c r="Q802" s="79">
        <f>OBRA!R807</f>
        <v>4640</v>
      </c>
      <c r="R802" s="79" t="s">
        <v>5591</v>
      </c>
      <c r="S802" s="5">
        <f>OBRA!T807</f>
        <v>45425</v>
      </c>
      <c r="T802" s="11">
        <f>OBRA!U807</f>
        <v>45430</v>
      </c>
      <c r="U802" s="207" t="s">
        <v>5621</v>
      </c>
      <c r="V802" s="62" t="s">
        <v>1428</v>
      </c>
      <c r="W802" s="201"/>
      <c r="X802" s="205"/>
      <c r="Y802" s="986" t="s">
        <v>1177</v>
      </c>
      <c r="Z802" s="309"/>
      <c r="AA802" s="309"/>
      <c r="AB802" s="5"/>
      <c r="AC802" s="317">
        <f>OBRA!BW807</f>
        <v>0</v>
      </c>
      <c r="AD802" s="352"/>
    </row>
    <row r="803" spans="1:30" ht="88.5" customHeight="1">
      <c r="A803" s="22" t="s">
        <v>2206</v>
      </c>
      <c r="B803" s="809">
        <f>GRAL!B1048</f>
        <v>0</v>
      </c>
      <c r="C803" s="16">
        <f>OBRA!J808</f>
        <v>2024</v>
      </c>
      <c r="D803" s="17" t="str">
        <f>OBRA!M808</f>
        <v>CUENTA CORRIENTE</v>
      </c>
      <c r="E803" s="478" t="s">
        <v>1428</v>
      </c>
      <c r="F803" s="146"/>
      <c r="G803" s="2"/>
      <c r="H803" s="146"/>
      <c r="I803" s="54" t="str">
        <f>OBRA!W808</f>
        <v>INFRAESTRUCTURA GUSEV, S.A. DE C.V.</v>
      </c>
      <c r="J803" s="55" t="str">
        <f>OBRA!X808</f>
        <v>C. DANIEL RODRIGUEZ VALENZUELA</v>
      </c>
      <c r="K803" s="33" t="str">
        <f>OBRA!N808</f>
        <v>C- OP 012/2024</v>
      </c>
      <c r="L803" s="2" t="str">
        <f>OBRA!O808</f>
        <v>ARRENDAMIENTO</v>
      </c>
      <c r="M803" s="3" t="str">
        <f>OBRA!P808</f>
        <v>RENTA DE UNA EXCAVADORA CAT SERIE 416E, PARA LOS TRABAJOS DE CONSTRUCCIÓN DE BASE Y LETRAS MONUMENTALES "HUEJOTITÁN" EN INGRESO A LA POBLACIÓN, EN LA LOCALIDAD DE HUEJOTITÁN, DEL MUNICIPIO DE JOCOTEPEC, JALISCO.</v>
      </c>
      <c r="N803" s="504" t="s">
        <v>6754</v>
      </c>
      <c r="O803" s="1894" t="s">
        <v>6835</v>
      </c>
      <c r="P803" s="67">
        <f>OBRA!S808</f>
        <v>45372</v>
      </c>
      <c r="Q803" s="79">
        <f>OBRA!R808</f>
        <v>788.8</v>
      </c>
      <c r="R803" s="79" t="s">
        <v>2294</v>
      </c>
      <c r="S803" s="5">
        <f>OBRA!T808</f>
        <v>45372</v>
      </c>
      <c r="T803" s="11">
        <f>OBRA!U808</f>
        <v>45411</v>
      </c>
      <c r="U803" s="207" t="s">
        <v>5621</v>
      </c>
      <c r="V803" s="62" t="s">
        <v>1428</v>
      </c>
      <c r="W803" s="201"/>
      <c r="X803" s="205"/>
      <c r="Y803" s="986" t="s">
        <v>1177</v>
      </c>
      <c r="Z803" s="309"/>
      <c r="AA803" s="309"/>
      <c r="AB803" s="5"/>
      <c r="AC803" s="317">
        <f>OBRA!BW808</f>
        <v>0</v>
      </c>
      <c r="AD803" s="352"/>
    </row>
    <row r="804" spans="1:30" ht="126.75" customHeight="1">
      <c r="A804" s="22" t="s">
        <v>2206</v>
      </c>
      <c r="B804" s="809">
        <f>GRAL!B1049</f>
        <v>0</v>
      </c>
      <c r="C804" s="16">
        <f>OBRA!J809</f>
        <v>2024</v>
      </c>
      <c r="D804" s="17" t="str">
        <f>OBRA!M809</f>
        <v>CUENTA CORRIENTE</v>
      </c>
      <c r="E804" s="478" t="s">
        <v>1428</v>
      </c>
      <c r="F804" s="496" t="s">
        <v>6501</v>
      </c>
      <c r="G804" s="2"/>
      <c r="H804" s="146"/>
      <c r="I804" s="54" t="str">
        <f>OBRA!W809</f>
        <v>INFRAESTRUCTURA GUSEV, S.A. DE C.V.</v>
      </c>
      <c r="J804" s="55" t="str">
        <f>OBRA!X809</f>
        <v>C. DANIEL RODRIGUEZ VALENZUELA</v>
      </c>
      <c r="K804" s="33" t="str">
        <f>OBRA!N809</f>
        <v>C- OP 013/2024</v>
      </c>
      <c r="L804" s="2" t="str">
        <f>OBRA!O809</f>
        <v>ARRENDAMIENTO</v>
      </c>
      <c r="M804"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4" t="s">
        <v>6754</v>
      </c>
      <c r="O804" s="1894" t="s">
        <v>6844</v>
      </c>
      <c r="P804" s="67">
        <f>OBRA!S809</f>
        <v>45432</v>
      </c>
      <c r="Q804" s="79">
        <f>OBRA!R809</f>
        <v>4605.2</v>
      </c>
      <c r="R804" s="79" t="s">
        <v>2294</v>
      </c>
      <c r="S804" s="5">
        <f>OBRA!T809</f>
        <v>45434</v>
      </c>
      <c r="T804" s="11">
        <f>OBRA!U809</f>
        <v>45478</v>
      </c>
      <c r="U804" s="207" t="s">
        <v>5621</v>
      </c>
      <c r="V804" s="62" t="s">
        <v>1428</v>
      </c>
      <c r="W804" s="499" t="s">
        <v>6501</v>
      </c>
      <c r="X804" s="205" t="s">
        <v>1428</v>
      </c>
      <c r="Y804" s="986" t="s">
        <v>1177</v>
      </c>
      <c r="Z804" s="309"/>
      <c r="AA804" s="309"/>
      <c r="AB804" s="5"/>
      <c r="AC804" s="317">
        <f>OBRA!BW809</f>
        <v>0</v>
      </c>
      <c r="AD804" s="352"/>
    </row>
    <row r="805" spans="1:30" ht="80.25" customHeight="1">
      <c r="A805" s="22" t="s">
        <v>2206</v>
      </c>
      <c r="B805" s="809">
        <f>GRAL!B1050</f>
        <v>0</v>
      </c>
      <c r="C805" s="16">
        <f>OBRA!J810</f>
        <v>2024</v>
      </c>
      <c r="D805" s="17" t="str">
        <f>OBRA!M810</f>
        <v>CUENTA CORRIENTE</v>
      </c>
      <c r="E805" s="478" t="s">
        <v>1428</v>
      </c>
      <c r="F805" s="146"/>
      <c r="G805" s="2"/>
      <c r="H805" s="146"/>
      <c r="I805" s="54" t="str">
        <f>OBRA!W810</f>
        <v xml:space="preserve">DORIA &amp; SAMPIER CONSTRUCTORA, S.A. DE C.V. </v>
      </c>
      <c r="J805" s="55" t="str">
        <f>OBRA!X810</f>
        <v>C. IMELDA KARINA PÉREZ GONZÁLEZ</v>
      </c>
      <c r="K805" s="33" t="str">
        <f>OBRA!N810</f>
        <v>C- OP 014/2024</v>
      </c>
      <c r="L805" s="2" t="str">
        <f>OBRA!O810</f>
        <v>ARRENDAMIENTO</v>
      </c>
      <c r="M805" s="3" t="str">
        <f>OBRA!P810</f>
        <v>RENTA DE CAMIÓN TIPO PIPA MARCA INTERNATIONAL, MODELO 2014 CON CAPACIDAD DE 10,000 LITROS, PARA EL TRASLADO DE AGUA POTABLE EN EL MUNICIPIO DE JOCOTEPEC, JALISCO.</v>
      </c>
      <c r="N805" s="504" t="s">
        <v>6754</v>
      </c>
      <c r="O805" s="1894" t="s">
        <v>6836</v>
      </c>
      <c r="P805" s="67">
        <f>OBRA!S810</f>
        <v>45380</v>
      </c>
      <c r="Q805" s="79">
        <f>OBRA!R810</f>
        <v>90828</v>
      </c>
      <c r="R805" s="79" t="s">
        <v>3954</v>
      </c>
      <c r="S805" s="5">
        <f>OBRA!T810</f>
        <v>45383</v>
      </c>
      <c r="T805" s="11">
        <f>OBRA!U810</f>
        <v>45412</v>
      </c>
      <c r="U805" s="207" t="s">
        <v>5621</v>
      </c>
      <c r="V805" s="62" t="s">
        <v>1428</v>
      </c>
      <c r="W805" s="201"/>
      <c r="X805" s="205"/>
      <c r="Y805" s="986" t="s">
        <v>1177</v>
      </c>
      <c r="Z805" s="309"/>
      <c r="AA805" s="309"/>
      <c r="AB805" s="5"/>
      <c r="AC805" s="317">
        <f>OBRA!BW810</f>
        <v>0</v>
      </c>
      <c r="AD805" s="352"/>
    </row>
    <row r="806" spans="1:30" ht="68.25" customHeight="1">
      <c r="A806" s="22" t="s">
        <v>2206</v>
      </c>
      <c r="B806" s="809">
        <f>GRAL!B1051</f>
        <v>0</v>
      </c>
      <c r="C806" s="16">
        <f>OBRA!J811</f>
        <v>2024</v>
      </c>
      <c r="D806" s="17" t="str">
        <f>OBRA!M811</f>
        <v>CUENTA CORRIENTE</v>
      </c>
      <c r="E806" s="478" t="s">
        <v>1428</v>
      </c>
      <c r="F806" s="146"/>
      <c r="G806" s="2"/>
      <c r="H806" s="146"/>
      <c r="I806" s="54" t="str">
        <f>OBRA!W811</f>
        <v xml:space="preserve">DORIA &amp; SAMPIER CONSTRUCTORA, S.A. DE C.V. </v>
      </c>
      <c r="J806" s="55" t="str">
        <f>OBRA!X811</f>
        <v>C. IMELDA KARINA PÉREZ GONZÁLEZ</v>
      </c>
      <c r="K806" s="33" t="str">
        <f>OBRA!N811</f>
        <v>C- OP 015/2024</v>
      </c>
      <c r="L806" s="2" t="str">
        <f>OBRA!O811</f>
        <v>ARRENDAMIENTO</v>
      </c>
      <c r="M806" s="3" t="str">
        <f>OBRA!P811</f>
        <v>RENTA DE CAMIÓN TIPO PIPA MARCA FREIGHTLINER, CON CAPACIDAD DE 10,000 LITROS, PARA EL TRASLADO DE AGUA POTABLE EN EL MUNICIPIO DE JOCOTEPEC, JALISCO.</v>
      </c>
      <c r="N806" s="504" t="s">
        <v>6754</v>
      </c>
      <c r="O806" s="1894" t="s">
        <v>6836</v>
      </c>
      <c r="P806" s="67">
        <f>OBRA!S811</f>
        <v>45412</v>
      </c>
      <c r="Q806" s="79">
        <f>OBRA!R811</f>
        <v>90828</v>
      </c>
      <c r="R806" s="79" t="s">
        <v>3954</v>
      </c>
      <c r="S806" s="5">
        <f>OBRA!T811</f>
        <v>45413</v>
      </c>
      <c r="T806" s="11">
        <f>OBRA!U811</f>
        <v>45443</v>
      </c>
      <c r="U806" s="207" t="s">
        <v>5621</v>
      </c>
      <c r="V806" s="62" t="s">
        <v>1428</v>
      </c>
      <c r="W806" s="201"/>
      <c r="X806" s="205"/>
      <c r="Y806" s="986" t="s">
        <v>1177</v>
      </c>
      <c r="Z806" s="309"/>
      <c r="AA806" s="309"/>
      <c r="AB806" s="5"/>
      <c r="AC806" s="317">
        <f>OBRA!BW811</f>
        <v>0</v>
      </c>
      <c r="AD806" s="352"/>
    </row>
    <row r="807" spans="1:30" ht="66.75" customHeight="1">
      <c r="A807" s="22" t="s">
        <v>2206</v>
      </c>
      <c r="B807" s="809">
        <f>GRAL!B1052</f>
        <v>0</v>
      </c>
      <c r="C807" s="16">
        <f>OBRA!J812</f>
        <v>2024</v>
      </c>
      <c r="D807" s="17" t="str">
        <f>OBRA!M812</f>
        <v>CUENTA CORRIENTE</v>
      </c>
      <c r="E807" s="478" t="s">
        <v>1428</v>
      </c>
      <c r="F807" s="146"/>
      <c r="G807" s="2"/>
      <c r="H807" s="146"/>
      <c r="I807" s="54" t="str">
        <f>OBRA!W812</f>
        <v>TERRACERÍAS Y PAVIMENTOS DE LA RIBERA, S.A. DE C.V.</v>
      </c>
      <c r="J807" s="55" t="str">
        <f>OBRA!X812</f>
        <v>C. IMELDA KARINA PÉREZ GONZÁLEZ</v>
      </c>
      <c r="K807" s="33" t="str">
        <f>OBRA!N812</f>
        <v>C- OP 016/2024</v>
      </c>
      <c r="L807" s="2" t="str">
        <f>OBRA!O812</f>
        <v>ARRENDAMIENTO</v>
      </c>
      <c r="M807" s="3" t="str">
        <f>OBRA!P812</f>
        <v>RENTA DE CAMIÓN TIPO PIPA MARCA KENWORT CON CAPACIDAD DE 10,000 LITROS, PARA EL TRASLADO DE AGUA POTABLE EN EL MUNICIPIO DE JOCOTEPEC, JALISCO.</v>
      </c>
      <c r="N807" s="504" t="s">
        <v>6754</v>
      </c>
      <c r="O807" s="1894" t="s">
        <v>6836</v>
      </c>
      <c r="P807" s="67">
        <f>OBRA!S812</f>
        <v>45443</v>
      </c>
      <c r="Q807" s="79">
        <f>OBRA!R812</f>
        <v>3711.9999999999995</v>
      </c>
      <c r="R807" s="79" t="s">
        <v>5591</v>
      </c>
      <c r="S807" s="5">
        <f>OBRA!T812</f>
        <v>45446</v>
      </c>
      <c r="T807" s="11">
        <f>OBRA!U812</f>
        <v>45453</v>
      </c>
      <c r="U807" s="207" t="s">
        <v>5621</v>
      </c>
      <c r="V807" s="62" t="s">
        <v>1428</v>
      </c>
      <c r="W807" s="201"/>
      <c r="X807" s="205"/>
      <c r="Y807" s="986" t="s">
        <v>1177</v>
      </c>
      <c r="Z807" s="309"/>
      <c r="AA807" s="309"/>
      <c r="AB807" s="5"/>
      <c r="AC807" s="317">
        <f>OBRA!BW812</f>
        <v>0</v>
      </c>
      <c r="AD807" s="352"/>
    </row>
    <row r="808" spans="1:30" ht="78.75" customHeight="1">
      <c r="A808" s="22" t="s">
        <v>2206</v>
      </c>
      <c r="B808" s="809">
        <f>GRAL!B1053</f>
        <v>0</v>
      </c>
      <c r="C808" s="16">
        <f>OBRA!J813</f>
        <v>2024</v>
      </c>
      <c r="D808" s="17" t="str">
        <f>OBRA!M813</f>
        <v>CUENTA CORRIENTE</v>
      </c>
      <c r="E808" s="478" t="s">
        <v>1428</v>
      </c>
      <c r="F808" s="496" t="s">
        <v>6501</v>
      </c>
      <c r="G808" s="2"/>
      <c r="H808" s="146"/>
      <c r="I808" s="54" t="str">
        <f>OBRA!W813</f>
        <v>INFRAESTRUCTURA GUSEV, S.A. DE C.V.</v>
      </c>
      <c r="J808" s="55" t="str">
        <f>OBRA!X813</f>
        <v>ING. J. GUADALUPE IBARRA RAMIREZ</v>
      </c>
      <c r="K808" s="33" t="str">
        <f>OBRA!N813</f>
        <v>C- OP 017/2024</v>
      </c>
      <c r="L808" s="2" t="str">
        <f>OBRA!O813</f>
        <v>ARRENDAMIENTO</v>
      </c>
      <c r="M808" s="3" t="str">
        <f>OBRA!P813</f>
        <v>RENTA DE RETROEXCAVADORA CAT SERIE 416E, PARA TRABAJOS DE DEMOLICIÓN Y ADECUACIONES PARA LOS EQUIPOS DE PERFORACIÓN DE POZO PROFUNDO, EN LA CABECERA MUNICIPAL DE JOCOTEPEC, JALISCO.</v>
      </c>
      <c r="N808" s="504" t="s">
        <v>6754</v>
      </c>
      <c r="O808" s="1894" t="s">
        <v>6844</v>
      </c>
      <c r="P808" s="67">
        <f>OBRA!S813</f>
        <v>45372</v>
      </c>
      <c r="Q808" s="79">
        <f>OBRA!R813</f>
        <v>696</v>
      </c>
      <c r="R808" s="79" t="s">
        <v>2294</v>
      </c>
      <c r="S808" s="5">
        <f>OBRA!T813</f>
        <v>45358</v>
      </c>
      <c r="T808" s="11">
        <f>OBRA!U813</f>
        <v>45363</v>
      </c>
      <c r="U808" s="207" t="s">
        <v>5621</v>
      </c>
      <c r="V808" s="62" t="s">
        <v>1428</v>
      </c>
      <c r="W808" s="499" t="s">
        <v>6501</v>
      </c>
      <c r="X808" s="205" t="s">
        <v>1428</v>
      </c>
      <c r="Y808" s="986" t="s">
        <v>1177</v>
      </c>
      <c r="Z808" s="309"/>
      <c r="AA808" s="309"/>
      <c r="AB808" s="5"/>
      <c r="AC808" s="317">
        <f>OBRA!BW813</f>
        <v>0</v>
      </c>
      <c r="AD808" s="352"/>
    </row>
    <row r="809" spans="1:30" ht="146.25" customHeight="1">
      <c r="A809" s="22" t="s">
        <v>2206</v>
      </c>
      <c r="B809" s="809">
        <f>GRAL!B1054</f>
        <v>0</v>
      </c>
      <c r="C809" s="16">
        <f>OBRA!J814</f>
        <v>2024</v>
      </c>
      <c r="D809" s="17" t="str">
        <f>OBRA!M814</f>
        <v>CUENTA CORRIENTE</v>
      </c>
      <c r="E809" s="478" t="s">
        <v>1428</v>
      </c>
      <c r="F809" s="496" t="s">
        <v>6500</v>
      </c>
      <c r="G809" s="495" t="s">
        <v>6500</v>
      </c>
      <c r="H809" s="146"/>
      <c r="I809" s="54" t="str">
        <f>OBRA!W814</f>
        <v>INFRAESTRUCTURA GUSEV, S.A. DE C.V.</v>
      </c>
      <c r="J809" s="55" t="str">
        <f>OBRA!X814</f>
        <v>C. DANIEL RODRIGUEZ VALENZUELA</v>
      </c>
      <c r="K809" s="33" t="str">
        <f>OBRA!N814</f>
        <v>C- OP 018/2024</v>
      </c>
      <c r="L809" s="2" t="str">
        <f>OBRA!O814</f>
        <v>ARRENDAMIENTO</v>
      </c>
      <c r="M809"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4" t="s">
        <v>6754</v>
      </c>
      <c r="O809" s="1894" t="s">
        <v>6845</v>
      </c>
      <c r="P809" s="67">
        <f>OBRA!S814</f>
        <v>45415</v>
      </c>
      <c r="Q809" s="79">
        <f>OBRA!R814</f>
        <v>3329.2</v>
      </c>
      <c r="R809" s="79" t="s">
        <v>2294</v>
      </c>
      <c r="S809" s="5">
        <f>OBRA!T814</f>
        <v>45418</v>
      </c>
      <c r="T809" s="11">
        <f>OBRA!U814</f>
        <v>45437</v>
      </c>
      <c r="U809" s="207" t="s">
        <v>5621</v>
      </c>
      <c r="V809" s="62" t="s">
        <v>1428</v>
      </c>
      <c r="W809" s="499" t="s">
        <v>6500</v>
      </c>
      <c r="X809" s="205" t="s">
        <v>1428</v>
      </c>
      <c r="Y809" s="986" t="s">
        <v>1177</v>
      </c>
      <c r="Z809" s="309"/>
      <c r="AA809" s="309"/>
      <c r="AB809" s="5"/>
      <c r="AC809" s="317">
        <f>OBRA!BW814</f>
        <v>0</v>
      </c>
      <c r="AD809" s="352"/>
    </row>
    <row r="810" spans="1:30" ht="15" hidden="1" customHeight="1">
      <c r="A810" s="22" t="s">
        <v>2206</v>
      </c>
      <c r="B810" s="809">
        <f>GRAL!B1055</f>
        <v>0</v>
      </c>
      <c r="C810" s="16">
        <f>OBRA!J815</f>
        <v>2024</v>
      </c>
      <c r="D810" s="17" t="str">
        <f>OBRA!M815</f>
        <v>CUENTA CORRIENTE</v>
      </c>
      <c r="E810" s="478" t="s">
        <v>1428</v>
      </c>
      <c r="F810" s="1108"/>
      <c r="G810" s="219"/>
      <c r="H810" s="1108"/>
      <c r="I810" s="54">
        <f>OBRA!W815</f>
        <v>0</v>
      </c>
      <c r="J810" s="55" t="str">
        <f>OBRA!X815</f>
        <v>C. IMELDA KARINA PÉREZ GONZÁLEZ</v>
      </c>
      <c r="K810" s="33" t="str">
        <f>OBRA!N815</f>
        <v>C- OP 019/2024</v>
      </c>
      <c r="L810" s="2" t="str">
        <f>OBRA!O815</f>
        <v>CANCELADA</v>
      </c>
      <c r="M810" s="3">
        <f>OBRA!P815</f>
        <v>0</v>
      </c>
      <c r="N810" s="529"/>
      <c r="O810" s="529"/>
      <c r="P810" s="6" t="str">
        <f>OBRA!S815</f>
        <v>-</v>
      </c>
      <c r="Q810" s="4">
        <f>OBRA!R815</f>
        <v>0</v>
      </c>
      <c r="R810" s="79"/>
      <c r="S810" s="5">
        <f>OBRA!T815</f>
        <v>0</v>
      </c>
      <c r="T810" s="11">
        <f>OBRA!U815</f>
        <v>0</v>
      </c>
      <c r="U810" s="207" t="s">
        <v>5621</v>
      </c>
      <c r="V810" s="377" t="s">
        <v>1428</v>
      </c>
      <c r="W810" s="508"/>
      <c r="X810" s="509"/>
      <c r="Y810" s="986" t="s">
        <v>1177</v>
      </c>
      <c r="Z810" s="309"/>
      <c r="AA810" s="309"/>
      <c r="AB810" s="5"/>
      <c r="AC810" s="317">
        <f>OBRA!BW815</f>
        <v>0</v>
      </c>
      <c r="AD810" s="352"/>
    </row>
    <row r="811" spans="1:30" ht="171.75" customHeight="1">
      <c r="A811" s="22" t="s">
        <v>2206</v>
      </c>
      <c r="B811" s="809">
        <f>GRAL!B1056</f>
        <v>0</v>
      </c>
      <c r="C811" s="16">
        <f>OBRA!J816</f>
        <v>2024</v>
      </c>
      <c r="D811" s="17" t="str">
        <f>OBRA!M816</f>
        <v>CUENTA CORRIENTE</v>
      </c>
      <c r="E811" s="478" t="s">
        <v>1428</v>
      </c>
      <c r="F811" s="496" t="s">
        <v>6500</v>
      </c>
      <c r="G811" s="495" t="s">
        <v>6500</v>
      </c>
      <c r="H811" s="146"/>
      <c r="I811" s="54" t="str">
        <f>OBRA!W816</f>
        <v>GURPO CONSTRUCTOR GASPEC, S.A. DE C.V.</v>
      </c>
      <c r="J811" s="55" t="str">
        <f>OBRA!X816</f>
        <v>C. DANIEL RODRIGUEZ VALENZUELA</v>
      </c>
      <c r="K811" s="33" t="str">
        <f>OBRA!N816</f>
        <v>C- OP 020/2024</v>
      </c>
      <c r="L811" s="2" t="str">
        <f>OBRA!O816</f>
        <v>ARRENDAMIENTO</v>
      </c>
      <c r="M811"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4" t="s">
        <v>6754</v>
      </c>
      <c r="O811" s="1894" t="s">
        <v>6845</v>
      </c>
      <c r="P811" s="67">
        <f>OBRA!S816</f>
        <v>45468</v>
      </c>
      <c r="Q811" s="79">
        <f>OBRA!R816</f>
        <v>2888.3999999999996</v>
      </c>
      <c r="R811" s="79" t="s">
        <v>2294</v>
      </c>
      <c r="S811" s="5">
        <f>OBRA!T816</f>
        <v>45469</v>
      </c>
      <c r="T811" s="11">
        <f>OBRA!U816</f>
        <v>45499</v>
      </c>
      <c r="U811" s="207" t="s">
        <v>5621</v>
      </c>
      <c r="V811" s="62" t="s">
        <v>1428</v>
      </c>
      <c r="W811" s="499" t="s">
        <v>6500</v>
      </c>
      <c r="X811" s="205" t="s">
        <v>1428</v>
      </c>
      <c r="Y811" s="986" t="s">
        <v>1177</v>
      </c>
      <c r="Z811" s="309"/>
      <c r="AA811" s="309"/>
      <c r="AB811" s="5"/>
      <c r="AC811" s="317">
        <f>OBRA!BW816</f>
        <v>0</v>
      </c>
      <c r="AD811" s="352"/>
    </row>
    <row r="812" spans="1:30" ht="121.5" customHeight="1">
      <c r="A812" s="22" t="s">
        <v>2206</v>
      </c>
      <c r="B812" s="809">
        <f>GRAL!B1057</f>
        <v>0</v>
      </c>
      <c r="C812" s="16">
        <f>OBRA!J817</f>
        <v>2024</v>
      </c>
      <c r="D812" s="17" t="str">
        <f>OBRA!M817</f>
        <v>CUENTA CORRIENTE</v>
      </c>
      <c r="E812" s="478" t="s">
        <v>1428</v>
      </c>
      <c r="F812" s="146"/>
      <c r="G812" s="2"/>
      <c r="H812" s="146"/>
      <c r="I812" s="54" t="str">
        <f>OBRA!W817</f>
        <v>DZ SERVICIOS CONSTRUCTIVOS E INFRAESTRUCTURA, S.A.S. DE C.V.</v>
      </c>
      <c r="J812" s="55" t="str">
        <f>OBRA!X817</f>
        <v>ARQ. JAIME CONDE GOMEZ</v>
      </c>
      <c r="K812" s="33" t="str">
        <f>OBRA!N817</f>
        <v>C- OP 021/2024</v>
      </c>
      <c r="L812" s="2" t="str">
        <f>OBRA!O817</f>
        <v>ARRENDAMIENTO</v>
      </c>
      <c r="M812"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4" t="s">
        <v>6755</v>
      </c>
      <c r="O812" s="1894" t="s">
        <v>6835</v>
      </c>
      <c r="P812" s="67">
        <f>OBRA!S817</f>
        <v>45397</v>
      </c>
      <c r="Q812" s="79">
        <f>OBRA!R817</f>
        <v>1252.8</v>
      </c>
      <c r="R812" s="79" t="s">
        <v>5591</v>
      </c>
      <c r="S812" s="5">
        <f>OBRA!T817</f>
        <v>45399</v>
      </c>
      <c r="T812" s="11">
        <f>OBRA!U817</f>
        <v>45434</v>
      </c>
      <c r="U812" s="207" t="s">
        <v>5621</v>
      </c>
      <c r="V812" s="62" t="s">
        <v>1428</v>
      </c>
      <c r="W812" s="201"/>
      <c r="X812" s="205"/>
      <c r="Y812" s="986" t="s">
        <v>1177</v>
      </c>
      <c r="Z812" s="309"/>
      <c r="AA812" s="309"/>
      <c r="AB812" s="5"/>
      <c r="AC812" s="317">
        <f>OBRA!BW817</f>
        <v>0</v>
      </c>
      <c r="AD812" s="352"/>
    </row>
    <row r="813" spans="1:30" ht="15" hidden="1" customHeight="1">
      <c r="A813" s="22" t="s">
        <v>2206</v>
      </c>
      <c r="B813" s="809">
        <f>GRAL!B1058</f>
        <v>0</v>
      </c>
      <c r="C813" s="16">
        <f>OBRA!J818</f>
        <v>2024</v>
      </c>
      <c r="D813" s="17" t="str">
        <f>OBRA!M818</f>
        <v>CUENTA CORRIENTE</v>
      </c>
      <c r="E813" s="478" t="s">
        <v>1428</v>
      </c>
      <c r="F813" s="1108"/>
      <c r="G813" s="219"/>
      <c r="H813" s="1108"/>
      <c r="I813" s="54">
        <f>OBRA!W818</f>
        <v>0</v>
      </c>
      <c r="J813" s="55" t="str">
        <f>OBRA!X818</f>
        <v>C. IMELDA KARINA PÉREZ GONZÁLEZ</v>
      </c>
      <c r="K813" s="33" t="str">
        <f>OBRA!N818</f>
        <v>C- OP 022/2024</v>
      </c>
      <c r="L813" s="2" t="str">
        <f>OBRA!O818</f>
        <v>CANCELADA</v>
      </c>
      <c r="M813" s="3">
        <f>OBRA!P818</f>
        <v>0</v>
      </c>
      <c r="N813" s="529"/>
      <c r="O813" s="529"/>
      <c r="P813" s="6" t="str">
        <f>OBRA!S818</f>
        <v>-</v>
      </c>
      <c r="Q813" s="4">
        <f>OBRA!R818</f>
        <v>0</v>
      </c>
      <c r="R813" s="79"/>
      <c r="S813" s="5">
        <f>OBRA!T818</f>
        <v>0</v>
      </c>
      <c r="T813" s="11">
        <f>OBRA!U818</f>
        <v>0</v>
      </c>
      <c r="U813" s="207" t="s">
        <v>5621</v>
      </c>
      <c r="V813" s="377" t="s">
        <v>1428</v>
      </c>
      <c r="W813" s="508"/>
      <c r="X813" s="509"/>
      <c r="Y813" s="986" t="s">
        <v>1177</v>
      </c>
      <c r="Z813" s="309"/>
      <c r="AA813" s="309"/>
      <c r="AB813" s="5"/>
      <c r="AC813" s="317">
        <f>OBRA!BW818</f>
        <v>0</v>
      </c>
      <c r="AD813" s="352"/>
    </row>
    <row r="814" spans="1:30" ht="139.5" customHeight="1">
      <c r="A814" s="22" t="s">
        <v>2206</v>
      </c>
      <c r="B814" s="809">
        <f>GRAL!B1059</f>
        <v>0</v>
      </c>
      <c r="C814" s="16">
        <f>OBRA!J819</f>
        <v>2024</v>
      </c>
      <c r="D814" s="17" t="str">
        <f>OBRA!M819</f>
        <v>CUENTA CORRIENTE</v>
      </c>
      <c r="E814" s="478" t="s">
        <v>1428</v>
      </c>
      <c r="F814" s="496" t="s">
        <v>6774</v>
      </c>
      <c r="G814" s="495" t="s">
        <v>6774</v>
      </c>
      <c r="H814" s="146"/>
      <c r="I814" s="54" t="str">
        <f>OBRA!W819</f>
        <v>TERRACERÍAS Y PAVIMENTOS DE LA RIBERA, S.A. DE C.V.</v>
      </c>
      <c r="J814" s="55" t="str">
        <f>OBRA!X819</f>
        <v>ING. LUIS RIGOBERTO OLMEDO NAVARRO</v>
      </c>
      <c r="K814" s="33" t="str">
        <f>OBRA!N819</f>
        <v>C- OP 023/2024</v>
      </c>
      <c r="L814" s="2" t="str">
        <f>OBRA!O819</f>
        <v>ARRENDAMIENTO</v>
      </c>
      <c r="M814"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4" t="s">
        <v>6755</v>
      </c>
      <c r="O814" s="1894" t="s">
        <v>6846</v>
      </c>
      <c r="P814" s="67">
        <f>OBRA!S819</f>
        <v>45491</v>
      </c>
      <c r="Q814" s="79">
        <f>OBRA!R819</f>
        <v>1400.0039999999999</v>
      </c>
      <c r="R814" s="79" t="s">
        <v>2294</v>
      </c>
      <c r="S814" s="5">
        <f>OBRA!T819</f>
        <v>45495</v>
      </c>
      <c r="T814" s="11">
        <f>OBRA!U819</f>
        <v>45504</v>
      </c>
      <c r="U814" s="207" t="s">
        <v>5621</v>
      </c>
      <c r="V814" s="62" t="s">
        <v>1428</v>
      </c>
      <c r="W814" s="201"/>
      <c r="X814" s="205"/>
      <c r="Y814" s="986" t="s">
        <v>1177</v>
      </c>
      <c r="Z814" s="309"/>
      <c r="AA814" s="309"/>
      <c r="AB814" s="5"/>
      <c r="AC814" s="317">
        <f>OBRA!BW819</f>
        <v>0</v>
      </c>
      <c r="AD814" s="352"/>
    </row>
    <row r="815" spans="1:30" ht="142.5" customHeight="1">
      <c r="A815" s="22" t="s">
        <v>2206</v>
      </c>
      <c r="B815" s="809">
        <f>GRAL!B1060</f>
        <v>0</v>
      </c>
      <c r="C815" s="16">
        <f>OBRA!J820</f>
        <v>2024</v>
      </c>
      <c r="D815" s="17" t="str">
        <f>OBRA!M820</f>
        <v>CUENTA CORRIENTE</v>
      </c>
      <c r="E815" s="478" t="s">
        <v>1428</v>
      </c>
      <c r="F815" s="496" t="s">
        <v>5878</v>
      </c>
      <c r="G815" s="495" t="s">
        <v>5878</v>
      </c>
      <c r="H815" s="146"/>
      <c r="I815" s="54" t="str">
        <f>OBRA!W820</f>
        <v>ING. SERGIO CABRERA</v>
      </c>
      <c r="J815" s="55" t="str">
        <f>OBRA!X820</f>
        <v>C. DANIEL RODRIGUEZ VALENZUELA</v>
      </c>
      <c r="K815" s="33" t="str">
        <f>OBRA!N820</f>
        <v>C- OP 024/2024</v>
      </c>
      <c r="L815" s="2" t="str">
        <f>OBRA!O820</f>
        <v>ARRENDAMIENTO</v>
      </c>
      <c r="M815"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4" t="s">
        <v>6755</v>
      </c>
      <c r="O815" s="1894" t="s">
        <v>6847</v>
      </c>
      <c r="P815" s="67">
        <f>OBRA!S820</f>
        <v>45531</v>
      </c>
      <c r="Q815" s="79">
        <f>OBRA!R820</f>
        <v>9512</v>
      </c>
      <c r="R815" s="79" t="s">
        <v>6726</v>
      </c>
      <c r="S815" s="5">
        <f>OBRA!T820</f>
        <v>45533</v>
      </c>
      <c r="T815" s="11">
        <f>OBRA!U820</f>
        <v>45537</v>
      </c>
      <c r="U815" s="207" t="s">
        <v>5621</v>
      </c>
      <c r="V815" s="62" t="s">
        <v>1428</v>
      </c>
      <c r="W815" s="499" t="s">
        <v>5878</v>
      </c>
      <c r="X815" s="597" t="s">
        <v>5878</v>
      </c>
      <c r="Y815" s="986" t="s">
        <v>1177</v>
      </c>
      <c r="Z815" s="309"/>
      <c r="AA815" s="309"/>
      <c r="AB815" s="5"/>
      <c r="AC815" s="317">
        <f>OBRA!BW820</f>
        <v>0</v>
      </c>
      <c r="AD815" s="352"/>
    </row>
    <row r="816" spans="1:30" ht="153.75" customHeight="1">
      <c r="A816" s="22" t="s">
        <v>2206</v>
      </c>
      <c r="B816" s="809">
        <f>GRAL!B1061</f>
        <v>0</v>
      </c>
      <c r="C816" s="16">
        <f>OBRA!J821</f>
        <v>2024</v>
      </c>
      <c r="D816" s="17" t="str">
        <f>OBRA!M821</f>
        <v>CUENTA CORRIENTE</v>
      </c>
      <c r="E816" s="478" t="s">
        <v>1428</v>
      </c>
      <c r="F816" s="146"/>
      <c r="G816" s="495" t="s">
        <v>6502</v>
      </c>
      <c r="H816" s="146"/>
      <c r="I816" s="54" t="str">
        <f>OBRA!W821</f>
        <v>GURPO CONSTRUCTOR GASPEC, S.A. DE C.V.</v>
      </c>
      <c r="J816" s="55" t="str">
        <f>OBRA!X821</f>
        <v>C. DANIEL RODRIGUEZ VALENZUELA</v>
      </c>
      <c r="K816" s="33" t="str">
        <f>OBRA!N821</f>
        <v>C- OP 025/2024</v>
      </c>
      <c r="L816" s="2" t="str">
        <f>OBRA!O821</f>
        <v>ARRENDAMIENTO</v>
      </c>
      <c r="M816"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4" t="s">
        <v>6755</v>
      </c>
      <c r="O816" s="1894" t="s">
        <v>6843</v>
      </c>
      <c r="P816" s="67">
        <f>OBRA!S821</f>
        <v>45474</v>
      </c>
      <c r="Q816" s="79">
        <f>OBRA!R821</f>
        <v>4452.1611999999996</v>
      </c>
      <c r="R816" s="79" t="s">
        <v>2294</v>
      </c>
      <c r="S816" s="5">
        <f>OBRA!T821</f>
        <v>45488</v>
      </c>
      <c r="T816" s="11">
        <f>OBRA!U821</f>
        <v>45545</v>
      </c>
      <c r="U816" s="207" t="s">
        <v>5621</v>
      </c>
      <c r="V816" s="62" t="s">
        <v>1428</v>
      </c>
      <c r="W816" s="201"/>
      <c r="X816" s="205" t="s">
        <v>1428</v>
      </c>
      <c r="Y816" s="986" t="s">
        <v>1177</v>
      </c>
      <c r="Z816" s="309"/>
      <c r="AA816" s="309"/>
      <c r="AB816" s="5"/>
      <c r="AC816" s="317">
        <f>OBRA!BW821</f>
        <v>0</v>
      </c>
      <c r="AD816" s="352"/>
    </row>
    <row r="817" spans="1:30" ht="147" customHeight="1">
      <c r="A817" s="22" t="s">
        <v>2206</v>
      </c>
      <c r="B817" s="809">
        <f>GRAL!B1062</f>
        <v>0</v>
      </c>
      <c r="C817" s="16">
        <f>OBRA!J822</f>
        <v>2024</v>
      </c>
      <c r="D817" s="17" t="str">
        <f>OBRA!M822</f>
        <v>CUENTA CORRIENTE</v>
      </c>
      <c r="E817" s="478" t="s">
        <v>1428</v>
      </c>
      <c r="F817" s="146"/>
      <c r="G817" s="495" t="s">
        <v>6502</v>
      </c>
      <c r="H817" s="146"/>
      <c r="I817" s="54" t="str">
        <f>OBRA!W822</f>
        <v>GURPO CONSTRUCTOR GASPEC, S.A. DE C.V.</v>
      </c>
      <c r="J817" s="55" t="str">
        <f>OBRA!X822</f>
        <v>C. DANIEL RODRIGUEZ VALENZUELA</v>
      </c>
      <c r="K817" s="33" t="str">
        <f>OBRA!N822</f>
        <v>C- OP 026/2024</v>
      </c>
      <c r="L817" s="2" t="str">
        <f>OBRA!O822</f>
        <v>ARRENDAMIENTO</v>
      </c>
      <c r="M817"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4" t="s">
        <v>6755</v>
      </c>
      <c r="O817" s="1894" t="s">
        <v>6843</v>
      </c>
      <c r="P817" s="67">
        <f>OBRA!S822</f>
        <v>45474</v>
      </c>
      <c r="Q817" s="79">
        <f>OBRA!R822</f>
        <v>4452.1611999999996</v>
      </c>
      <c r="R817" s="79" t="s">
        <v>2294</v>
      </c>
      <c r="S817" s="5">
        <f>OBRA!T822</f>
        <v>45488</v>
      </c>
      <c r="T817" s="11">
        <f>OBRA!U822</f>
        <v>45545</v>
      </c>
      <c r="U817" s="207" t="s">
        <v>5621</v>
      </c>
      <c r="V817" s="62" t="s">
        <v>1428</v>
      </c>
      <c r="W817" s="201"/>
      <c r="X817" s="205" t="s">
        <v>1428</v>
      </c>
      <c r="Y817" s="986" t="s">
        <v>1177</v>
      </c>
      <c r="Z817" s="309"/>
      <c r="AA817" s="309"/>
      <c r="AB817" s="5"/>
      <c r="AC817" s="317">
        <f>OBRA!BW822</f>
        <v>0</v>
      </c>
      <c r="AD817" s="352"/>
    </row>
    <row r="818" spans="1:30" ht="108.75" customHeight="1">
      <c r="A818" s="22" t="s">
        <v>2206</v>
      </c>
      <c r="B818" s="809">
        <f>GRAL!B1063</f>
        <v>0</v>
      </c>
      <c r="C818" s="16">
        <f>OBRA!J823</f>
        <v>2024</v>
      </c>
      <c r="D818" s="17" t="str">
        <f>OBRA!M823</f>
        <v>CUENTA CORRIENTE</v>
      </c>
      <c r="E818" s="478" t="s">
        <v>1428</v>
      </c>
      <c r="F818" s="146"/>
      <c r="G818" s="495" t="s">
        <v>6502</v>
      </c>
      <c r="H818" s="146"/>
      <c r="I818" s="54" t="str">
        <f>OBRA!W823</f>
        <v>ING. SERGIO CABRERA</v>
      </c>
      <c r="J818" s="55" t="str">
        <f>OBRA!X823</f>
        <v>C. DANIEL RODRIGUEZ VALENZUELA</v>
      </c>
      <c r="K818" s="33" t="str">
        <f>OBRA!N823</f>
        <v>C- OP 027/2024</v>
      </c>
      <c r="L818" s="2" t="str">
        <f>OBRA!O823</f>
        <v>ARRENDAMIENTO</v>
      </c>
      <c r="M818" s="3" t="str">
        <f>OBRA!P823</f>
        <v>RENTA DE UNA RETROEXCAVADORA 420E, UN CAMIÓN VOLTEO DE 14 M3 Y JORNAL DE LIMPIEZA, PARA LOS TRABAJOS DE LIMPIEZA EN LA CALLE DEGOLLADO DE CALLE MATAMOROS A CALLE NICOLÁS BRAVO, EN LA CABECERA MUNICIPAL DE JOCOTEPEC, JALISCO.</v>
      </c>
      <c r="N818" s="504" t="s">
        <v>6755</v>
      </c>
      <c r="O818" s="1894" t="s">
        <v>6843</v>
      </c>
      <c r="P818" s="67">
        <f>OBRA!S823</f>
        <v>45541</v>
      </c>
      <c r="Q818" s="79">
        <f>OBRA!R823</f>
        <v>2204</v>
      </c>
      <c r="R818" s="79" t="s">
        <v>6726</v>
      </c>
      <c r="S818" s="5">
        <f>OBRA!T823</f>
        <v>45544</v>
      </c>
      <c r="T818" s="11">
        <f>OBRA!U823</f>
        <v>45548</v>
      </c>
      <c r="U818" s="207" t="s">
        <v>5621</v>
      </c>
      <c r="V818" s="62" t="s">
        <v>1428</v>
      </c>
      <c r="W818" s="201"/>
      <c r="X818" s="205" t="s">
        <v>1428</v>
      </c>
      <c r="Y818" s="986" t="s">
        <v>1177</v>
      </c>
      <c r="Z818" s="309"/>
      <c r="AA818" s="309"/>
      <c r="AB818" s="5"/>
      <c r="AC818" s="317">
        <f>OBRA!BW823</f>
        <v>0</v>
      </c>
      <c r="AD818" s="352"/>
    </row>
    <row r="819" spans="1:30" ht="15" hidden="1" customHeight="1">
      <c r="A819" s="22" t="s">
        <v>2206</v>
      </c>
      <c r="B819" s="809">
        <f>GRAL!B1064</f>
        <v>0</v>
      </c>
      <c r="C819" s="16">
        <f>OBRA!J824</f>
        <v>2024</v>
      </c>
      <c r="D819" s="17" t="str">
        <f>OBRA!M824</f>
        <v>REGULARIZACIÓN DE VEHÍCULOS DE PROCEDENCIA EXTRANJERA - RAMO 23/2024</v>
      </c>
      <c r="E819" s="1170"/>
      <c r="F819" s="1108"/>
      <c r="G819" s="219"/>
      <c r="H819" s="1108"/>
      <c r="I819" s="54" t="str">
        <f>OBRA!W824</f>
        <v>-</v>
      </c>
      <c r="J819" s="55" t="str">
        <f>OBRA!X824</f>
        <v>ING. LUIS RIGOBERTO OLMEDO NAVARRO</v>
      </c>
      <c r="K819" s="19" t="str">
        <f>OBRA!N824</f>
        <v>DOP/AD/001/2024</v>
      </c>
      <c r="L819" s="2" t="str">
        <f>OBRA!O824</f>
        <v>ADMINISTRACIÓN DIRECTA</v>
      </c>
      <c r="M819" s="3" t="str">
        <f>OBRA!P824</f>
        <v>"BACHEO SUPERFICIAL AISLADO CON MEZCLA ASFÁLTICA EN LA CALLE NIÑÓS HÉROES ENTRE CALLE DEGOLLADO Y CALLE ITURBIDE EN EL BARRIO LA CALABAZA DE LA CABECERA MUNICIPAL DE JOCOTEPEC, JALISCO, MUNICIPIO DE JOCOTEPEC, JALISCO</v>
      </c>
      <c r="N819" s="541"/>
      <c r="O819" s="541"/>
      <c r="P819" s="6" t="str">
        <f>OBRA!S824</f>
        <v>-</v>
      </c>
      <c r="Q819" s="4">
        <f>OBRA!R824</f>
        <v>89910</v>
      </c>
      <c r="R819" s="4"/>
      <c r="S819" s="5">
        <f>OBRA!T824</f>
        <v>45392</v>
      </c>
      <c r="T819" s="11">
        <f>OBRA!U824</f>
        <v>45394</v>
      </c>
      <c r="U819" s="692"/>
      <c r="V819" s="203"/>
      <c r="W819" s="508"/>
      <c r="X819" s="509"/>
      <c r="Y819" s="534">
        <f>OBRA!AR824</f>
        <v>0</v>
      </c>
      <c r="Z819" s="309"/>
      <c r="AA819" s="309"/>
      <c r="AB819" s="5"/>
      <c r="AC819" s="317">
        <f>OBRA!BW824</f>
        <v>0</v>
      </c>
      <c r="AD819" s="352"/>
    </row>
    <row r="820" spans="1:30" ht="15" hidden="1" customHeight="1">
      <c r="A820" s="22" t="s">
        <v>2206</v>
      </c>
      <c r="B820" s="809">
        <f>GRAL!B1065</f>
        <v>0</v>
      </c>
      <c r="C820" s="16">
        <f>OBRA!J825</f>
        <v>2024</v>
      </c>
      <c r="D820" s="17" t="str">
        <f>OBRA!M825</f>
        <v>RAMO 33</v>
      </c>
      <c r="E820" s="1170"/>
      <c r="F820" s="1108"/>
      <c r="G820" s="219"/>
      <c r="H820" s="1108"/>
      <c r="I820" s="54" t="str">
        <f>OBRA!W825</f>
        <v>-</v>
      </c>
      <c r="J820" s="55" t="str">
        <f>OBRA!X825</f>
        <v>C. DANIEL RODRIGUEZ VALENZUELA</v>
      </c>
      <c r="K820" s="19" t="str">
        <f>OBRA!N825</f>
        <v>DOP/AD/002/2024</v>
      </c>
      <c r="L820" s="2" t="str">
        <f>OBRA!O825</f>
        <v>ADMINISTRACIÓN DIRECTA</v>
      </c>
      <c r="M820" s="3" t="str">
        <f>OBRA!P825</f>
        <v>"CONSTRUCCIÓN DE DRENAJE EN CARRETERA JOCOTEPEC-CHAPALA DE CALLE XOCHITL A CALLE PLAYAS DEL SOL", EN LA LOCALIDAD DE CHANTEPEC, MUNICIPIO DE JOCOTEPEC, JALISCO.</v>
      </c>
      <c r="N820" s="541"/>
      <c r="O820" s="541"/>
      <c r="P820" s="6">
        <f>OBRA!S825</f>
        <v>45414</v>
      </c>
      <c r="Q820" s="4">
        <f>OBRA!R825</f>
        <v>448614.85</v>
      </c>
      <c r="R820" s="4"/>
      <c r="S820" s="5">
        <f>OBRA!T825</f>
        <v>45418</v>
      </c>
      <c r="T820" s="11">
        <f>OBRA!U825</f>
        <v>45437</v>
      </c>
      <c r="U820" s="692"/>
      <c r="V820" s="203"/>
      <c r="W820" s="508"/>
      <c r="X820" s="509"/>
      <c r="Y820" s="534">
        <f>OBRA!AR825</f>
        <v>0</v>
      </c>
      <c r="Z820" s="309"/>
      <c r="AA820" s="309"/>
      <c r="AB820" s="5"/>
      <c r="AC820" s="317">
        <f>OBRA!BW825</f>
        <v>0</v>
      </c>
      <c r="AD820" s="352"/>
    </row>
    <row r="821" spans="1:30" ht="15" hidden="1" customHeight="1">
      <c r="A821" s="22" t="s">
        <v>2206</v>
      </c>
      <c r="B821" s="809">
        <f>GRAL!B1066</f>
        <v>0</v>
      </c>
      <c r="C821" s="16">
        <f>OBRA!J826</f>
        <v>2024</v>
      </c>
      <c r="D821" s="17" t="str">
        <f>OBRA!M826</f>
        <v>CUENTA CORRIENTE</v>
      </c>
      <c r="E821" s="1170"/>
      <c r="F821" s="1108"/>
      <c r="G821" s="219"/>
      <c r="H821" s="1108"/>
      <c r="I821" s="54" t="str">
        <f>OBRA!W826</f>
        <v>-</v>
      </c>
      <c r="J821" s="55" t="str">
        <f>OBRA!X826</f>
        <v>C. DANIEL RODRIGUEZ VALENZUELA</v>
      </c>
      <c r="K821" s="19" t="str">
        <f>OBRA!N826</f>
        <v>DOP/AD/003/2024</v>
      </c>
      <c r="L821" s="2" t="str">
        <f>OBRA!O826</f>
        <v>ADMINISTRACIÓN DIRECTA</v>
      </c>
      <c r="M821" s="3" t="str">
        <f>OBRA!P826</f>
        <v xml:space="preserve">"DELIMITACIÓN PERIMETRAL, CASETA DE CONTROL U CLORACIÓN DEL POZO DE AGUA", EN LA LOCALIDAD DE SAN PEDRO TESITÁN </v>
      </c>
      <c r="N821" s="541"/>
      <c r="O821" s="541"/>
      <c r="P821" s="6">
        <f>OBRA!S826</f>
        <v>45432</v>
      </c>
      <c r="Q821" s="4">
        <f>OBRA!R826</f>
        <v>831839.5</v>
      </c>
      <c r="R821" s="4"/>
      <c r="S821" s="5">
        <f>OBRA!T826</f>
        <v>45434</v>
      </c>
      <c r="T821" s="11">
        <f>OBRA!U826</f>
        <v>45478</v>
      </c>
      <c r="U821" s="692"/>
      <c r="V821" s="203"/>
      <c r="W821" s="508"/>
      <c r="X821" s="509"/>
      <c r="Y821" s="534">
        <f>OBRA!AR826</f>
        <v>0</v>
      </c>
      <c r="Z821" s="309"/>
      <c r="AA821" s="309"/>
      <c r="AB821" s="5"/>
      <c r="AC821" s="317">
        <f>OBRA!BW826</f>
        <v>0</v>
      </c>
      <c r="AD821" s="352"/>
    </row>
    <row r="822" spans="1:30" ht="15" hidden="1" customHeight="1">
      <c r="A822" s="22" t="s">
        <v>2206</v>
      </c>
      <c r="B822" s="809">
        <f>GRAL!B1067</f>
        <v>0</v>
      </c>
      <c r="C822" s="16">
        <f>OBRA!J827</f>
        <v>2024</v>
      </c>
      <c r="D822" s="17" t="str">
        <f>OBRA!M827</f>
        <v>RAMO 33</v>
      </c>
      <c r="E822" s="1170"/>
      <c r="F822" s="1108"/>
      <c r="G822" s="219"/>
      <c r="H822" s="1108"/>
      <c r="I822" s="54" t="str">
        <f>OBRA!W827</f>
        <v>-</v>
      </c>
      <c r="J822" s="55" t="str">
        <f>OBRA!X827</f>
        <v>C. DANIEL RODRIGUEZ VALENZUELA</v>
      </c>
      <c r="K822" s="19" t="str">
        <f>OBRA!N827</f>
        <v>DOP/AD/004/2024</v>
      </c>
      <c r="L822" s="2" t="str">
        <f>OBRA!O827</f>
        <v>ADMINISTRACIÓN DIRECTA</v>
      </c>
      <c r="M822" s="3" t="str">
        <f>OBRA!P827</f>
        <v>"REHABILITACIÓN DE SUPERFICIE DE RODAMIENTO Y CONSTRUCCIÓN DE BOCA DE TORMENTA EN CALLE MATAMOROS", EN LA CABECERA MUNICIPAL DE JOCOTEPEC, JALISCO.</v>
      </c>
      <c r="N822" s="541"/>
      <c r="O822" s="541"/>
      <c r="P822" s="6">
        <f>OBRA!S827</f>
        <v>45474</v>
      </c>
      <c r="Q822" s="4">
        <f>OBRA!R827</f>
        <v>1572787.58</v>
      </c>
      <c r="R822" s="4"/>
      <c r="S822" s="5">
        <f>OBRA!T827</f>
        <v>45488</v>
      </c>
      <c r="T822" s="11">
        <f>OBRA!U827</f>
        <v>45545</v>
      </c>
      <c r="U822" s="692"/>
      <c r="V822" s="203"/>
      <c r="W822" s="508"/>
      <c r="X822" s="509"/>
      <c r="Y822" s="534">
        <f>OBRA!AR827</f>
        <v>0</v>
      </c>
      <c r="Z822" s="309"/>
      <c r="AA822" s="309"/>
      <c r="AB822" s="5"/>
      <c r="AC822" s="317">
        <f>OBRA!BW827</f>
        <v>0</v>
      </c>
      <c r="AD822" s="352"/>
    </row>
    <row r="823" spans="1:30" ht="15" hidden="1" customHeight="1">
      <c r="A823" s="22" t="s">
        <v>2206</v>
      </c>
      <c r="B823" s="809">
        <f>GRAL!B1068</f>
        <v>0</v>
      </c>
      <c r="C823" s="16">
        <f>OBRA!J828</f>
        <v>2024</v>
      </c>
      <c r="D823" s="17" t="str">
        <f>OBRA!M828</f>
        <v>CUENTA CORRIENTE</v>
      </c>
      <c r="E823" s="1170"/>
      <c r="F823" s="1108"/>
      <c r="G823" s="219"/>
      <c r="H823" s="1108"/>
      <c r="I823" s="54" t="str">
        <f>OBRA!W828</f>
        <v>-</v>
      </c>
      <c r="J823" s="55" t="str">
        <f>OBRA!X828</f>
        <v>ARQ. JOSÉ ANTONIO CASILLAS MEDINA</v>
      </c>
      <c r="K823" s="19" t="str">
        <f>OBRA!N828</f>
        <v>DOP/AD/005/2024</v>
      </c>
      <c r="L823" s="2" t="str">
        <f>OBRA!O828</f>
        <v>ADMINISTRACIÓN DIRECTA</v>
      </c>
      <c r="M823" s="3" t="str">
        <f>OBRA!P828</f>
        <v>"REHABILITACIÓN DE SUPERFICIE DE RODAMIENTO Y CONSTRUCCIÓN DE BOCA DE TORMENTA EN CALLE MATAMOROS", EN LA CABECERA MUNICIPAL DE JOCOTEPEC, JALISCO.</v>
      </c>
      <c r="N823" s="541"/>
      <c r="O823" s="541"/>
      <c r="P823" s="6">
        <f>OBRA!S828</f>
        <v>45492</v>
      </c>
      <c r="Q823" s="4">
        <f>OBRA!R828</f>
        <v>600000</v>
      </c>
      <c r="R823" s="4"/>
      <c r="S823" s="5">
        <f>OBRA!T828</f>
        <v>45496</v>
      </c>
      <c r="T823" s="11">
        <f>OBRA!U828</f>
        <v>45549</v>
      </c>
      <c r="U823" s="692"/>
      <c r="V823" s="203"/>
      <c r="W823" s="508"/>
      <c r="X823" s="509"/>
      <c r="Y823" s="534">
        <f>OBRA!AR828</f>
        <v>0</v>
      </c>
      <c r="Z823" s="309"/>
      <c r="AA823" s="309"/>
      <c r="AB823" s="5"/>
      <c r="AC823" s="317">
        <f>OBRA!BW828</f>
        <v>0</v>
      </c>
      <c r="AD823" s="352"/>
    </row>
    <row r="824" spans="1:30" ht="15" hidden="1" customHeight="1">
      <c r="A824" s="22" t="s">
        <v>2206</v>
      </c>
      <c r="B824" s="809">
        <f>GRAL!B1069</f>
        <v>0</v>
      </c>
      <c r="C824" s="16">
        <f>OBRA!J829</f>
        <v>2024</v>
      </c>
      <c r="D824" s="17" t="str">
        <f>OBRA!M829</f>
        <v>RAMO 33</v>
      </c>
      <c r="E824" s="1170"/>
      <c r="F824" s="1108"/>
      <c r="G824" s="219"/>
      <c r="H824" s="1108"/>
      <c r="I824" s="54" t="str">
        <f>OBRA!W829</f>
        <v>-</v>
      </c>
      <c r="J824" s="55" t="str">
        <f>OBRA!X829</f>
        <v>ARQ. EDGAR RUBÉN SAUCEDO AGUILAR</v>
      </c>
      <c r="K824" s="19" t="str">
        <f>OBRA!N829</f>
        <v>DOP/AD/001/2024</v>
      </c>
      <c r="L824" s="2" t="str">
        <f>OBRA!O829</f>
        <v>ADMINISTRACIÓN DIRECTA</v>
      </c>
      <c r="M824" s="3" t="str">
        <f>OBRA!P829</f>
        <v>REHABILITACIÓN DE REDES HIDROSANITARIAS Y SUPERFICIE DE RODAMIENTO EN C. MATAMOROS ENTRE DEGOLLADO Y ALDAMA", EN LA CABECERA MUNICIPAL DE JOCOTEPEC, JALISCO.</v>
      </c>
      <c r="N824" s="541"/>
      <c r="O824" s="541"/>
      <c r="P824" s="6">
        <f>OBRA!S829</f>
        <v>45616</v>
      </c>
      <c r="Q824" s="4">
        <f>OBRA!R829</f>
        <v>1057005.33</v>
      </c>
      <c r="R824" s="4"/>
      <c r="S824" s="5">
        <f>OBRA!T829</f>
        <v>45617</v>
      </c>
      <c r="T824" s="11">
        <f>OBRA!U829</f>
        <v>45645</v>
      </c>
      <c r="U824" s="692"/>
      <c r="V824" s="203"/>
      <c r="W824" s="508"/>
      <c r="X824" s="509"/>
      <c r="Y824" s="534">
        <f>OBRA!AR829</f>
        <v>0</v>
      </c>
      <c r="Z824" s="309"/>
      <c r="AA824" s="309"/>
      <c r="AB824" s="5"/>
      <c r="AC824" s="317">
        <f>OBRA!BW829</f>
        <v>0</v>
      </c>
      <c r="AD824" s="352"/>
    </row>
    <row r="825" spans="1:30" ht="15" hidden="1" customHeight="1">
      <c r="A825" s="22" t="s">
        <v>2206</v>
      </c>
      <c r="B825" s="809">
        <f>GRAL!B1070</f>
        <v>0</v>
      </c>
      <c r="C825" s="16">
        <f>OBRA!J830</f>
        <v>2024</v>
      </c>
      <c r="D825" s="17" t="str">
        <f>OBRA!M830</f>
        <v>RAMO 33</v>
      </c>
      <c r="E825" s="1170"/>
      <c r="F825" s="1108"/>
      <c r="G825" s="219"/>
      <c r="H825" s="1108"/>
      <c r="I825" s="54" t="str">
        <f>OBRA!W830</f>
        <v>-</v>
      </c>
      <c r="J825" s="55" t="str">
        <f>OBRA!X830</f>
        <v>ARQ. JOSÉ ANTONIO CASILLAS MEDINA</v>
      </c>
      <c r="K825" s="19" t="str">
        <f>OBRA!N830</f>
        <v>DOP/AD/002/2024</v>
      </c>
      <c r="L825" s="2" t="str">
        <f>OBRA!O830</f>
        <v>ADMINISTRACIÓN DIRECTA</v>
      </c>
      <c r="M825" s="3" t="str">
        <f>OBRA!P830</f>
        <v>"CONSTRUCCIÓN DE SUPERFICIE DE RODAMIENTO EN CALLE JOSÉ SANTANA DE C. RIVERA DEL LAGO A 30 ML HACIA COLÓN", EN LA CABECERA MUNICIPAL DE JOCOTEPEC, JALISCO.</v>
      </c>
      <c r="N825" s="541"/>
      <c r="O825" s="541"/>
      <c r="P825" s="6">
        <f>OBRA!S830</f>
        <v>45616</v>
      </c>
      <c r="Q825" s="4">
        <f>OBRA!R830</f>
        <v>722232.67</v>
      </c>
      <c r="R825" s="4"/>
      <c r="S825" s="5">
        <f>OBRA!T830</f>
        <v>45618</v>
      </c>
      <c r="T825" s="11">
        <f>OBRA!U830</f>
        <v>45645</v>
      </c>
      <c r="U825" s="692"/>
      <c r="V825" s="203"/>
      <c r="W825" s="508"/>
      <c r="X825" s="509"/>
      <c r="Y825" s="534">
        <f>OBRA!AR830</f>
        <v>0</v>
      </c>
      <c r="Z825" s="309"/>
      <c r="AA825" s="309"/>
      <c r="AB825" s="5"/>
      <c r="AC825" s="317">
        <f>OBRA!BW830</f>
        <v>0</v>
      </c>
      <c r="AD825" s="352"/>
    </row>
    <row r="826" spans="1:30" ht="15" hidden="1" customHeight="1">
      <c r="A826" s="22" t="s">
        <v>2206</v>
      </c>
      <c r="B826" s="809">
        <f>GRAL!B1071</f>
        <v>0</v>
      </c>
      <c r="C826" s="16">
        <f>OBRA!J831</f>
        <v>2024</v>
      </c>
      <c r="D826" s="17">
        <f>OBRA!M831</f>
        <v>0</v>
      </c>
      <c r="E826" s="1170"/>
      <c r="F826" s="1108"/>
      <c r="G826" s="219"/>
      <c r="H826" s="1108"/>
      <c r="I826" s="54" t="str">
        <f>OBRA!W831</f>
        <v>-</v>
      </c>
      <c r="J826" s="55">
        <f>OBRA!X831</f>
        <v>0</v>
      </c>
      <c r="K826" s="19" t="str">
        <f>OBRA!N831</f>
        <v>DOP/AD/003/2024</v>
      </c>
      <c r="L826" s="2" t="str">
        <f>OBRA!O831</f>
        <v>ADMINISTRACIÓN DIRECTA</v>
      </c>
      <c r="M826" s="3">
        <f>OBRA!P831</f>
        <v>0</v>
      </c>
      <c r="N826" s="541"/>
      <c r="O826" s="541"/>
      <c r="P826" s="6" t="str">
        <f>OBRA!S831</f>
        <v>-</v>
      </c>
      <c r="Q826" s="4">
        <f>OBRA!R831</f>
        <v>0</v>
      </c>
      <c r="R826" s="4"/>
      <c r="S826" s="5">
        <f>OBRA!T831</f>
        <v>0</v>
      </c>
      <c r="T826" s="11">
        <f>OBRA!U831</f>
        <v>0</v>
      </c>
      <c r="U826" s="692"/>
      <c r="V826" s="203"/>
      <c r="W826" s="508"/>
      <c r="X826" s="509"/>
      <c r="Y826" s="534">
        <f>OBRA!AR831</f>
        <v>0</v>
      </c>
      <c r="Z826" s="309"/>
      <c r="AA826" s="309"/>
      <c r="AB826" s="5"/>
      <c r="AC826" s="317">
        <f>OBRA!BW831</f>
        <v>0</v>
      </c>
      <c r="AD826" s="352"/>
    </row>
    <row r="827" spans="1:30" ht="15" hidden="1" customHeight="1">
      <c r="A827" s="22" t="s">
        <v>2206</v>
      </c>
      <c r="B827" s="809">
        <f>GRAL!B1072</f>
        <v>0</v>
      </c>
      <c r="C827" s="16">
        <f>OBRA!J832</f>
        <v>2024</v>
      </c>
      <c r="D827" s="17">
        <f>OBRA!M832</f>
        <v>0</v>
      </c>
      <c r="E827" s="1170"/>
      <c r="F827" s="1108"/>
      <c r="G827" s="219"/>
      <c r="H827" s="1108"/>
      <c r="I827" s="54" t="str">
        <f>OBRA!W832</f>
        <v>-</v>
      </c>
      <c r="J827" s="55">
        <f>OBRA!X832</f>
        <v>0</v>
      </c>
      <c r="K827" s="19" t="str">
        <f>OBRA!N832</f>
        <v>DOP/AD/004/2024</v>
      </c>
      <c r="L827" s="2" t="str">
        <f>OBRA!O832</f>
        <v>ADMINISTRACIÓN DIRECTA</v>
      </c>
      <c r="M827" s="3">
        <f>OBRA!P832</f>
        <v>0</v>
      </c>
      <c r="N827" s="541"/>
      <c r="O827" s="541"/>
      <c r="P827" s="6" t="str">
        <f>OBRA!S832</f>
        <v>-</v>
      </c>
      <c r="Q827" s="4">
        <f>OBRA!R832</f>
        <v>0</v>
      </c>
      <c r="R827" s="4"/>
      <c r="S827" s="5">
        <f>OBRA!T832</f>
        <v>0</v>
      </c>
      <c r="T827" s="11">
        <f>OBRA!U832</f>
        <v>0</v>
      </c>
      <c r="U827" s="692"/>
      <c r="V827" s="203"/>
      <c r="W827" s="508"/>
      <c r="X827" s="509"/>
      <c r="Y827" s="534">
        <f>OBRA!AR832</f>
        <v>0</v>
      </c>
      <c r="Z827" s="309"/>
      <c r="AA827" s="309"/>
      <c r="AB827" s="5"/>
      <c r="AC827" s="317">
        <f>OBRA!BW832</f>
        <v>0</v>
      </c>
      <c r="AD827" s="352"/>
    </row>
    <row r="828" spans="1:30" ht="15" hidden="1" customHeight="1">
      <c r="A828" s="22" t="s">
        <v>2206</v>
      </c>
      <c r="B828" s="809">
        <f>GRAL!B1073</f>
        <v>0</v>
      </c>
      <c r="C828" s="16">
        <f>OBRA!J833</f>
        <v>2024</v>
      </c>
      <c r="D828" s="17">
        <f>OBRA!M833</f>
        <v>0</v>
      </c>
      <c r="E828" s="1170"/>
      <c r="F828" s="1108"/>
      <c r="G828" s="219"/>
      <c r="H828" s="1108"/>
      <c r="I828" s="54" t="str">
        <f>OBRA!W833</f>
        <v>-</v>
      </c>
      <c r="J828" s="55">
        <f>OBRA!X833</f>
        <v>0</v>
      </c>
      <c r="K828" s="19" t="str">
        <f>OBRA!N833</f>
        <v>DOP/AD/005/2024</v>
      </c>
      <c r="L828" s="2" t="str">
        <f>OBRA!O833</f>
        <v>ADMINISTRACIÓN DIRECTA</v>
      </c>
      <c r="M828" s="3">
        <f>OBRA!P833</f>
        <v>0</v>
      </c>
      <c r="N828" s="541"/>
      <c r="O828" s="541"/>
      <c r="P828" s="6" t="str">
        <f>OBRA!S833</f>
        <v>-</v>
      </c>
      <c r="Q828" s="4">
        <f>OBRA!R833</f>
        <v>0</v>
      </c>
      <c r="R828" s="4"/>
      <c r="S828" s="5">
        <f>OBRA!T833</f>
        <v>0</v>
      </c>
      <c r="T828" s="11">
        <f>OBRA!U833</f>
        <v>0</v>
      </c>
      <c r="U828" s="692"/>
      <c r="V828" s="203"/>
      <c r="W828" s="508"/>
      <c r="X828" s="509"/>
      <c r="Y828" s="534">
        <f>OBRA!AR833</f>
        <v>0</v>
      </c>
      <c r="Z828" s="309"/>
      <c r="AA828" s="309"/>
      <c r="AB828" s="5"/>
      <c r="AC828" s="317">
        <f>OBRA!BW833</f>
        <v>0</v>
      </c>
      <c r="AD828" s="352"/>
    </row>
    <row r="829" spans="1:30" ht="15" hidden="1" customHeight="1">
      <c r="A829" s="22" t="s">
        <v>2206</v>
      </c>
      <c r="B829" s="809">
        <f>GRAL!B1074</f>
        <v>0</v>
      </c>
      <c r="C829" s="16">
        <f>OBRA!J834</f>
        <v>2024</v>
      </c>
      <c r="D829" s="17" t="str">
        <f>OBRA!M834</f>
        <v>CUENTA CORRIENTE</v>
      </c>
      <c r="E829" s="1170"/>
      <c r="F829" s="1108"/>
      <c r="G829" s="219"/>
      <c r="H829" s="1108"/>
      <c r="I829" s="54" t="str">
        <f>OBRA!W834</f>
        <v>C. EDURADO VENTURA PADILLA</v>
      </c>
      <c r="J829" s="55" t="str">
        <f>OBRA!X834</f>
        <v>ING. DANIEL RODRIGUEZ VALENZUELA</v>
      </c>
      <c r="K829" s="19" t="str">
        <f>OBRA!N834</f>
        <v>GMJ 001C- OP/2024</v>
      </c>
      <c r="L829" s="2" t="str">
        <f>OBRA!O834</f>
        <v>ADJUDICACIÓN DIRECTA</v>
      </c>
      <c r="M829" s="3" t="str">
        <f>OBRA!P834</f>
        <v>"EQUIPAMIENTO DE POZO PROFUNDO EN PRIVADA GUADALUPE VICTORIA, EN LA LOCALIDAD DE SAN JUAN COSALÁ, MUNICIPIO DE JOCOTEPEC, JALISCO.</v>
      </c>
      <c r="N829" s="541"/>
      <c r="O829" s="541"/>
      <c r="P829" s="6">
        <f>OBRA!S834</f>
        <v>45322</v>
      </c>
      <c r="Q829" s="4">
        <f>OBRA!R834</f>
        <v>653611.4</v>
      </c>
      <c r="R829" s="4"/>
      <c r="S829" s="5">
        <f>OBRA!T834</f>
        <v>45331</v>
      </c>
      <c r="T829" s="11">
        <f>OBRA!U834</f>
        <v>45320</v>
      </c>
      <c r="U829" s="692"/>
      <c r="V829" s="203"/>
      <c r="W829" s="508"/>
      <c r="X829" s="509"/>
      <c r="Y829" s="534">
        <f>OBRA!AR834</f>
        <v>448824.74000000005</v>
      </c>
      <c r="Z829" s="309"/>
      <c r="AA829" s="309"/>
      <c r="AB829" s="5"/>
      <c r="AC829" s="317">
        <f>OBRA!BW834</f>
        <v>0</v>
      </c>
      <c r="AD829" s="352"/>
    </row>
    <row r="830" spans="1:30" ht="15" hidden="1" customHeight="1">
      <c r="A830" s="22" t="s">
        <v>2206</v>
      </c>
      <c r="B830" s="809">
        <f>GRAL!B1075</f>
        <v>0</v>
      </c>
      <c r="C830" s="16">
        <f>OBRA!J835</f>
        <v>2024</v>
      </c>
      <c r="D830" s="17" t="str">
        <f>OBRA!M835</f>
        <v>CUENTA CORRIENTE</v>
      </c>
      <c r="E830" s="1170"/>
      <c r="F830" s="1108"/>
      <c r="G830" s="219"/>
      <c r="H830" s="1108"/>
      <c r="I830" s="54" t="str">
        <f>OBRA!W835</f>
        <v>ESTRUCTURAS PLANEADAS DE OCCIDENTE, S.A. DE C.V.</v>
      </c>
      <c r="J830" s="55" t="str">
        <f>OBRA!X835</f>
        <v>ING. DANIEL RODRIGUEZ VALENZUELA</v>
      </c>
      <c r="K830" s="19" t="str">
        <f>OBRA!N835</f>
        <v>GMJ 002C- OP/2024</v>
      </c>
      <c r="L830" s="2" t="str">
        <f>OBRA!O835</f>
        <v>ADJUDICACIÓN DIRECTA</v>
      </c>
      <c r="M830" s="3" t="str">
        <f>OBRA!P835</f>
        <v>"CASETA DE CONTROL Y CLORACIÒN, ENMALLADO, DELIMITACIÒN DE PREDIO EN POZO EN PRIVADA GUADALUPE VICTORIA", EN LA LOCALIDAD DE SAN JUAN COSALÁ, MUNICIPIO DE JOCOTEPEC, JALISCO.</v>
      </c>
      <c r="N830" s="541"/>
      <c r="O830" s="541"/>
      <c r="P830" s="6">
        <f>OBRA!S835</f>
        <v>45335</v>
      </c>
      <c r="Q830" s="4">
        <f>OBRA!R835</f>
        <v>388619.27</v>
      </c>
      <c r="R830" s="4"/>
      <c r="S830" s="5">
        <f>OBRA!T835</f>
        <v>45336</v>
      </c>
      <c r="T830" s="11">
        <f>OBRA!U835</f>
        <v>45351</v>
      </c>
      <c r="U830" s="692"/>
      <c r="V830" s="203"/>
      <c r="W830" s="508"/>
      <c r="X830" s="509"/>
      <c r="Y830" s="534">
        <f>OBRA!AR835</f>
        <v>77635.87</v>
      </c>
      <c r="Z830" s="309"/>
      <c r="AA830" s="309"/>
      <c r="AB830" s="5"/>
      <c r="AC830" s="317">
        <f>OBRA!BW835</f>
        <v>0</v>
      </c>
      <c r="AD830" s="352"/>
    </row>
    <row r="831" spans="1:30" ht="15" hidden="1" customHeight="1">
      <c r="A831" s="22" t="s">
        <v>2206</v>
      </c>
      <c r="B831" s="809">
        <f>GRAL!B1076</f>
        <v>0</v>
      </c>
      <c r="C831" s="16">
        <f>OBRA!J836</f>
        <v>2024</v>
      </c>
      <c r="D831" s="17" t="str">
        <f>OBRA!M836</f>
        <v>CUENTA CORRIENTE</v>
      </c>
      <c r="E831" s="1170"/>
      <c r="F831" s="1108"/>
      <c r="G831" s="219"/>
      <c r="H831" s="1108"/>
      <c r="I831" s="54" t="str">
        <f>OBRA!W836</f>
        <v>ING. SERGIO CABRERA</v>
      </c>
      <c r="J831" s="55" t="str">
        <f>OBRA!X836</f>
        <v>ING. DANIEL RODRIGUEZ VALENZUELA</v>
      </c>
      <c r="K831" s="19" t="str">
        <f>OBRA!N836</f>
        <v>GMJ 003C- OP/2024</v>
      </c>
      <c r="L831" s="2" t="str">
        <f>OBRA!O836</f>
        <v>ADJUDICACIÓN DIRECTA</v>
      </c>
      <c r="M831" s="3" t="str">
        <f>OBRA!P836</f>
        <v>"CONSTRUCCIÒN DE BANQUETAS Y SUPERFICIE DE RODAMIENTO EN C. MATAMOROS ENTRTE CARRETERA JOCOTEPEC-CHAPALA Y C. LA PAZ", EN LA LOCALIDAD DE SAN JUAN COSALÁ, MUNICIPIO DE JOCOTEPEC, JALISCO.</v>
      </c>
      <c r="N831" s="541"/>
      <c r="O831" s="541"/>
      <c r="P831" s="6">
        <f>OBRA!S836</f>
        <v>45331</v>
      </c>
      <c r="Q831" s="4">
        <f>OBRA!R836</f>
        <v>132689.01999999999</v>
      </c>
      <c r="R831" s="4"/>
      <c r="S831" s="5">
        <f>OBRA!T836</f>
        <v>45332</v>
      </c>
      <c r="T831" s="11">
        <f>OBRA!U836</f>
        <v>45344</v>
      </c>
      <c r="U831" s="692"/>
      <c r="V831" s="203"/>
      <c r="W831" s="508"/>
      <c r="X831" s="509"/>
      <c r="Y831" s="534">
        <f>OBRA!AR836</f>
        <v>24939.96</v>
      </c>
      <c r="Z831" s="309"/>
      <c r="AA831" s="309"/>
      <c r="AB831" s="5"/>
      <c r="AC831" s="317">
        <f>OBRA!BW836</f>
        <v>0</v>
      </c>
      <c r="AD831" s="352"/>
    </row>
    <row r="832" spans="1:30" ht="15" hidden="1" customHeight="1">
      <c r="A832" s="22" t="s">
        <v>2206</v>
      </c>
      <c r="B832" s="809">
        <f>GRAL!B1077</f>
        <v>0</v>
      </c>
      <c r="C832" s="16">
        <f>OBRA!J837</f>
        <v>2024</v>
      </c>
      <c r="D832" s="17" t="str">
        <f>OBRA!M837</f>
        <v>CUENTA CORRIENTE</v>
      </c>
      <c r="E832" s="1170"/>
      <c r="F832" s="1108"/>
      <c r="G832" s="219"/>
      <c r="H832" s="1108"/>
      <c r="I832" s="54" t="str">
        <f>OBRA!W837</f>
        <v>RAMPER DRILLINGS S.A. DE C.V.</v>
      </c>
      <c r="J832" s="55" t="str">
        <f>OBRA!X837</f>
        <v>ARQ. JAIME CONDE GOMEZ</v>
      </c>
      <c r="K832" s="19" t="str">
        <f>OBRA!N837</f>
        <v>CSS-OP-CC-004/2024</v>
      </c>
      <c r="L832" s="2" t="str">
        <f>OBRA!O837</f>
        <v>CONCURSO SIMPLIFICADO SUMARIO</v>
      </c>
      <c r="M832" s="3" t="str">
        <f>OBRA!P837</f>
        <v>"PERFORACIÓN DE UN POZO PROFUNDO PARA LA EXTRACIÓN DE AGUA POTABLE A 250 ML", EN LA LOCALIDAD DE SAN PEDRO TESISTÁN, MUNICIPIO DE JOCOTEPEC, JALISCO.</v>
      </c>
      <c r="N832" s="541"/>
      <c r="O832" s="541"/>
      <c r="P832" s="6">
        <f>OBRA!S837</f>
        <v>45338</v>
      </c>
      <c r="Q832" s="4">
        <f>OBRA!R837</f>
        <v>4461580.4000000004</v>
      </c>
      <c r="R832" s="4"/>
      <c r="S832" s="5">
        <f>OBRA!T837</f>
        <v>45343</v>
      </c>
      <c r="T832" s="11">
        <f>OBRA!U837</f>
        <v>45402</v>
      </c>
      <c r="U832" s="692"/>
      <c r="V832" s="203"/>
      <c r="W832" s="508"/>
      <c r="X832" s="509"/>
      <c r="Y832" s="534">
        <f>OBRA!AR837</f>
        <v>2248345.2600000002</v>
      </c>
      <c r="Z832" s="309"/>
      <c r="AA832" s="309"/>
      <c r="AB832" s="5"/>
      <c r="AC832" s="317">
        <f>OBRA!BW837</f>
        <v>0</v>
      </c>
      <c r="AD832" s="352"/>
    </row>
    <row r="833" spans="1:30" ht="15" hidden="1" customHeight="1">
      <c r="A833" s="22" t="s">
        <v>2206</v>
      </c>
      <c r="B833" s="809">
        <f>GRAL!B1078</f>
        <v>0</v>
      </c>
      <c r="C833" s="16">
        <f>OBRA!J838</f>
        <v>2024</v>
      </c>
      <c r="D833" s="17" t="str">
        <f>OBRA!M838</f>
        <v>CUENTA CORRIENTE</v>
      </c>
      <c r="E833" s="1170"/>
      <c r="F833" s="1108"/>
      <c r="G833" s="219"/>
      <c r="H833" s="1108"/>
      <c r="I833" s="54" t="str">
        <f>OBRA!W838</f>
        <v>C. SERGIO CABRERA</v>
      </c>
      <c r="J833" s="55" t="str">
        <f>OBRA!X838</f>
        <v>ING. DALIA JUDITH VARGAS HOYOS</v>
      </c>
      <c r="K833" s="19" t="str">
        <f>OBRA!N838</f>
        <v>GMJ 005C- OP/2024</v>
      </c>
      <c r="L833" s="2" t="str">
        <f>OBRA!O838</f>
        <v>ADJUDICACIÓN DIRECTA</v>
      </c>
      <c r="M833" s="3" t="str">
        <f>OBRA!P838</f>
        <v>"REHABILITACIÓN DE LÍNEAS HIDROSANITARIAS EN CALLE RAMÓN CORONA ENTRE CARRETERA JIQUILPAN-GUADALAJARA Y CALLE PINO SUAREZ", EN LA LOCALIDAD DE SAN PEDRO TESISTÁN, MUNICIPIO DE JOCOTEPEC, JALISCO.</v>
      </c>
      <c r="N833" s="541"/>
      <c r="O833" s="541"/>
      <c r="P833" s="6">
        <f>OBRA!S838</f>
        <v>45356</v>
      </c>
      <c r="Q833" s="4">
        <f>OBRA!R838</f>
        <v>1863104.13</v>
      </c>
      <c r="R833" s="4"/>
      <c r="S833" s="5">
        <f>OBRA!T838</f>
        <v>45362</v>
      </c>
      <c r="T833" s="11">
        <f>OBRA!U838</f>
        <v>45376</v>
      </c>
      <c r="U833" s="692"/>
      <c r="V833" s="203"/>
      <c r="W833" s="508"/>
      <c r="X833" s="509"/>
      <c r="Y833" s="534">
        <f>OBRA!AR838</f>
        <v>0</v>
      </c>
      <c r="Z833" s="309"/>
      <c r="AA833" s="309"/>
      <c r="AB833" s="5"/>
      <c r="AC833" s="317">
        <f>OBRA!BW838</f>
        <v>0</v>
      </c>
      <c r="AD833" s="352"/>
    </row>
    <row r="834" spans="1:30" ht="15" hidden="1" customHeight="1">
      <c r="A834" s="22" t="s">
        <v>2206</v>
      </c>
      <c r="B834" s="809">
        <f>GRAL!B1079</f>
        <v>0</v>
      </c>
      <c r="C834" s="16">
        <f>OBRA!J839</f>
        <v>2024</v>
      </c>
      <c r="D834" s="17" t="str">
        <f>OBRA!M839</f>
        <v>CUENTA CORRIENTE</v>
      </c>
      <c r="E834" s="1170"/>
      <c r="F834" s="1108"/>
      <c r="G834" s="219"/>
      <c r="H834" s="1108"/>
      <c r="I834" s="54" t="str">
        <f>OBRA!W839</f>
        <v>C. SERGIO CABRERA</v>
      </c>
      <c r="J834" s="55" t="str">
        <f>OBRA!X839</f>
        <v>ING. DALIA JUDITH VARGAS HOYOS</v>
      </c>
      <c r="K834" s="19" t="str">
        <f>OBRA!N839</f>
        <v>GMJ 006C- OP/2024</v>
      </c>
      <c r="L834" s="2" t="str">
        <f>OBRA!O839</f>
        <v>ADJUDICACIÓN DIRECTA</v>
      </c>
      <c r="M834" s="3" t="str">
        <f>OBRA!P839</f>
        <v>"REHABILITACIÓN DE SUPERFICIE DE RODAMIENTO EN CALLE RAMÓN CORONA ENTRE CARRETERA JIQUILPAN-GUADALAJARA Y CALLE PINO SUAREZ", EN LA LOCALIDAD DE SAN PEDRO TESISTÁN, MUNICIPIO DE JOCOTEPEC, JALISCO.</v>
      </c>
      <c r="N834" s="541"/>
      <c r="O834" s="541"/>
      <c r="P834" s="6">
        <f>OBRA!S839</f>
        <v>45355</v>
      </c>
      <c r="Q834" s="4">
        <f>OBRA!R839</f>
        <v>1911380.28</v>
      </c>
      <c r="R834" s="4"/>
      <c r="S834" s="5">
        <f>OBRA!T839</f>
        <v>45355</v>
      </c>
      <c r="T834" s="11">
        <f>OBRA!U839</f>
        <v>45369</v>
      </c>
      <c r="U834" s="692"/>
      <c r="V834" s="203"/>
      <c r="W834" s="508"/>
      <c r="X834" s="509"/>
      <c r="Y834" s="534">
        <f>OBRA!AR839</f>
        <v>0</v>
      </c>
      <c r="Z834" s="309"/>
      <c r="AA834" s="309"/>
      <c r="AB834" s="5"/>
      <c r="AC834" s="317">
        <f>OBRA!BW839</f>
        <v>0</v>
      </c>
      <c r="AD834" s="352"/>
    </row>
    <row r="835" spans="1:30" ht="15" hidden="1" customHeight="1">
      <c r="A835" s="22" t="s">
        <v>2206</v>
      </c>
      <c r="B835" s="809">
        <f>GRAL!B1080</f>
        <v>0</v>
      </c>
      <c r="C835" s="16">
        <f>OBRA!J840</f>
        <v>2024</v>
      </c>
      <c r="D835" s="17" t="str">
        <f>OBRA!M840</f>
        <v>CUENTA CORRIENTE</v>
      </c>
      <c r="E835" s="1170"/>
      <c r="F835" s="1108"/>
      <c r="G835" s="219"/>
      <c r="H835" s="1108"/>
      <c r="I835" s="54" t="str">
        <f>OBRA!W840</f>
        <v>TERRACERÍAS Y PAVIMENTOS DE LA RIBERA, S.A. DE C.V.</v>
      </c>
      <c r="J835" s="55" t="str">
        <f>OBRA!X840</f>
        <v>ING. DALIA JUDITH VARGAS HOYOS</v>
      </c>
      <c r="K835" s="19" t="str">
        <f>OBRA!N840</f>
        <v>GMJ 007C- OP/2024</v>
      </c>
      <c r="L835" s="2" t="str">
        <f>OBRA!O840</f>
        <v>ADJUDICACIÓN DIRECTA</v>
      </c>
      <c r="M835" s="3" t="str">
        <f>OBRA!P840</f>
        <v>"REHABILITACIÓN DE BANQUETAS E IMAGEN URBANA EN CALLE RAMÓN CORONA ENTRE CARRETERA JIQUILPAN-GUADALAJARA Y CALLE PINO SUAREZ", EN LA LOCALIDAD DE SAN PEDRO TESISTÁN, MUNICIPIO DE JOCOTEPEC, JALISCO.</v>
      </c>
      <c r="N835" s="541"/>
      <c r="O835" s="541"/>
      <c r="P835" s="6">
        <f>OBRA!S840</f>
        <v>45356</v>
      </c>
      <c r="Q835" s="4">
        <f>OBRA!R840</f>
        <v>431465.57</v>
      </c>
      <c r="R835" s="4"/>
      <c r="S835" s="5">
        <f>OBRA!T840</f>
        <v>45374</v>
      </c>
      <c r="T835" s="11">
        <f>OBRA!U840</f>
        <v>45379</v>
      </c>
      <c r="U835" s="692"/>
      <c r="V835" s="203"/>
      <c r="W835" s="508"/>
      <c r="X835" s="509"/>
      <c r="Y835" s="534">
        <f>OBRA!AR840</f>
        <v>86293.1</v>
      </c>
      <c r="Z835" s="309"/>
      <c r="AA835" s="309"/>
      <c r="AB835" s="5"/>
      <c r="AC835" s="317">
        <f>OBRA!BW840</f>
        <v>0</v>
      </c>
      <c r="AD835" s="352"/>
    </row>
    <row r="836" spans="1:30" ht="15" hidden="1" customHeight="1">
      <c r="A836" s="22" t="s">
        <v>2206</v>
      </c>
      <c r="B836" s="809">
        <f>GRAL!B1081</f>
        <v>0</v>
      </c>
      <c r="C836" s="16">
        <f>OBRA!J841</f>
        <v>2024</v>
      </c>
      <c r="D836" s="17" t="str">
        <f>OBRA!M841</f>
        <v>CUENTA CORRIENTE</v>
      </c>
      <c r="E836" s="1170"/>
      <c r="F836" s="1108"/>
      <c r="G836" s="219"/>
      <c r="H836" s="1108"/>
      <c r="I836" s="54" t="str">
        <f>OBRA!W841</f>
        <v xml:space="preserve">EDIFICACIONES GRADINA, S.A. DE C.V. </v>
      </c>
      <c r="J836" s="55" t="str">
        <f>OBRA!X841</f>
        <v>ING. J. GUADALUPE IBARRA RAMIREZ</v>
      </c>
      <c r="K836" s="19" t="str">
        <f>OBRA!N841</f>
        <v>CSS-OP-CC-008/2024</v>
      </c>
      <c r="L836" s="2" t="str">
        <f>OBRA!O841</f>
        <v>CONCURSO SIMPLIFICADO SUMARIO</v>
      </c>
      <c r="M836" s="3" t="str">
        <f>OBRA!P841</f>
        <v>"PERFORACIÓN DE UN POZO PROFUNDO EN CALLE MIGUEL ARANA CRUCE CON ALLENDE (ZONA CENTRO)", EN LA CABECERA MUNICIPAL DE JOCOTEPEC, JALISCO.</v>
      </c>
      <c r="N836" s="541"/>
      <c r="O836" s="541"/>
      <c r="P836" s="6">
        <f>OBRA!S841</f>
        <v>45350</v>
      </c>
      <c r="Q836" s="4">
        <f>OBRA!R841</f>
        <v>7514599.0899999999</v>
      </c>
      <c r="R836" s="4"/>
      <c r="S836" s="5">
        <f>OBRA!T841</f>
        <v>45351</v>
      </c>
      <c r="T836" s="11">
        <f>OBRA!U841</f>
        <v>45427</v>
      </c>
      <c r="U836" s="692"/>
      <c r="V836" s="203"/>
      <c r="W836" s="508"/>
      <c r="X836" s="509"/>
      <c r="Y836" s="534">
        <f>OBRA!AR841</f>
        <v>3747299.53</v>
      </c>
      <c r="Z836" s="309"/>
      <c r="AA836" s="309"/>
      <c r="AB836" s="5"/>
      <c r="AC836" s="317">
        <f>OBRA!BW841</f>
        <v>0</v>
      </c>
      <c r="AD836" s="352"/>
    </row>
    <row r="837" spans="1:30" ht="15" hidden="1" customHeight="1">
      <c r="A837" s="22" t="s">
        <v>2206</v>
      </c>
      <c r="B837" s="809">
        <f>GRAL!B1082</f>
        <v>0</v>
      </c>
      <c r="C837" s="16">
        <f>OBRA!J842</f>
        <v>2024</v>
      </c>
      <c r="D837" s="17" t="str">
        <f>OBRA!M842</f>
        <v>CUENTA CORRIENTE</v>
      </c>
      <c r="E837" s="1170"/>
      <c r="F837" s="1108"/>
      <c r="G837" s="219"/>
      <c r="H837" s="1108"/>
      <c r="I837" s="54" t="str">
        <f>OBRA!W842</f>
        <v>SOLEC ENERGY, S.A. DE C.V.</v>
      </c>
      <c r="J837" s="55" t="str">
        <f>OBRA!X842</f>
        <v>ING. LUIS RIGOBERTO OLMEDO NAVARRO</v>
      </c>
      <c r="K837" s="19" t="str">
        <f>OBRA!N842</f>
        <v>GMJ 009C- OP/2024</v>
      </c>
      <c r="L837" s="2" t="str">
        <f>OBRA!O842</f>
        <v>ADJUDICACIÓN DIRECTA</v>
      </c>
      <c r="M837" s="3" t="str">
        <f>OBRA!P842</f>
        <v>"ELECTRIFICACIÓN DE NUEVO CÁRCAMO DE BOMBEO UBICADO EN LA CALLE RIVERA DEL LAGO ESQUINA CON JOSÉ SANTANA", EN LA CABECERA MUNICIPAL DE JOCOTEPEC, JALISCO.</v>
      </c>
      <c r="N837" s="541"/>
      <c r="O837" s="541"/>
      <c r="P837" s="6">
        <f>OBRA!S842</f>
        <v>45363</v>
      </c>
      <c r="Q837" s="4">
        <f>OBRA!R842</f>
        <v>948599.13</v>
      </c>
      <c r="R837" s="4"/>
      <c r="S837" s="5">
        <f>OBRA!T842</f>
        <v>45384</v>
      </c>
      <c r="T837" s="11">
        <f>OBRA!U842</f>
        <v>45467</v>
      </c>
      <c r="U837" s="692"/>
      <c r="V837" s="203"/>
      <c r="W837" s="508"/>
      <c r="X837" s="509"/>
      <c r="Y837" s="534">
        <f>OBRA!AR842</f>
        <v>379439.65</v>
      </c>
      <c r="Z837" s="309"/>
      <c r="AA837" s="309"/>
      <c r="AB837" s="5"/>
      <c r="AC837" s="317">
        <f>OBRA!BW842</f>
        <v>0</v>
      </c>
      <c r="AD837" s="352"/>
    </row>
    <row r="838" spans="1:30" ht="15" hidden="1" customHeight="1">
      <c r="A838" s="22" t="s">
        <v>2206</v>
      </c>
      <c r="B838" s="809">
        <f>GRAL!B1083</f>
        <v>0</v>
      </c>
      <c r="C838" s="16">
        <f>OBRA!J843</f>
        <v>2024</v>
      </c>
      <c r="D838" s="17" t="str">
        <f>OBRA!M843</f>
        <v>RAMO 33</v>
      </c>
      <c r="E838" s="1170"/>
      <c r="F838" s="1108"/>
      <c r="G838" s="219"/>
      <c r="H838" s="1108"/>
      <c r="I838" s="54" t="str">
        <f>OBRA!W843</f>
        <v>ALSERCON SA DE CV</v>
      </c>
      <c r="J838" s="55" t="str">
        <f>OBRA!X843</f>
        <v>ARQ. JAIME CONDE GOMEZ</v>
      </c>
      <c r="K838" s="19" t="str">
        <f>OBRA!N843</f>
        <v>GMJ 010C- OP/2024</v>
      </c>
      <c r="L838" s="2" t="str">
        <f>OBRA!O843</f>
        <v>ADJUDICACIÓN DIRECTA</v>
      </c>
      <c r="M838" s="3" t="str">
        <f>OBRA!P843</f>
        <v>"CONSTRUCCIÓN DE PUENTE PEATONAL EN CALLE LIBERTAD", EN LA LOCALIDAD DE ZAPOTITÁN DE HIDALGO, MUNICIPIO DE JOCOTEPEC, JALISCO.</v>
      </c>
      <c r="N838" s="541"/>
      <c r="O838" s="541"/>
      <c r="P838" s="6">
        <f>OBRA!S843</f>
        <v>45364</v>
      </c>
      <c r="Q838" s="4">
        <f>OBRA!R843</f>
        <v>568143.82999999996</v>
      </c>
      <c r="R838" s="4"/>
      <c r="S838" s="5">
        <f>OBRA!T843</f>
        <v>45376</v>
      </c>
      <c r="T838" s="11">
        <f>OBRA!U843</f>
        <v>45413</v>
      </c>
      <c r="U838" s="692"/>
      <c r="V838" s="203"/>
      <c r="W838" s="508"/>
      <c r="X838" s="509"/>
      <c r="Y838" s="534">
        <f>OBRA!AR843</f>
        <v>284071.90999999997</v>
      </c>
      <c r="Z838" s="309"/>
      <c r="AA838" s="309"/>
      <c r="AB838" s="5"/>
      <c r="AC838" s="317">
        <f>OBRA!BW843</f>
        <v>0</v>
      </c>
      <c r="AD838" s="352"/>
    </row>
    <row r="839" spans="1:30" ht="15" hidden="1" customHeight="1">
      <c r="A839" s="22" t="s">
        <v>2206</v>
      </c>
      <c r="B839" s="809">
        <f>GRAL!B1084</f>
        <v>0</v>
      </c>
      <c r="C839" s="16">
        <f>OBRA!J844</f>
        <v>2024</v>
      </c>
      <c r="D839" s="17" t="str">
        <f>OBRA!M844</f>
        <v>RAMO 33</v>
      </c>
      <c r="E839" s="1170"/>
      <c r="F839" s="1108"/>
      <c r="G839" s="219"/>
      <c r="H839" s="1108"/>
      <c r="I839" s="54" t="str">
        <f>OBRA!W844</f>
        <v>TERRACERÍAS Y PAVIMENTOS DE LA RIBERA, S.A. DE C.V.</v>
      </c>
      <c r="J839" s="55" t="str">
        <f>OBRA!X844</f>
        <v>C. DANIEL RODRIGUEZ VALENZUELA</v>
      </c>
      <c r="K839" s="19" t="str">
        <f>OBRA!N844</f>
        <v>CSS-OP-FAIS/RAMO 33-011/2024</v>
      </c>
      <c r="L839" s="2" t="str">
        <f>OBRA!O844</f>
        <v>CONCURSO SIMPLIFICADO SUMARIO</v>
      </c>
      <c r="M839" s="3" t="str">
        <f>OBRA!P844</f>
        <v>"CONSTRUCCIÓN DE LÍNEA DE COLECTOR  DE 18", EN LA CABECERA MUNICIPAL DE JOCOTEPEC, JALISCO.</v>
      </c>
      <c r="N839" s="541"/>
      <c r="O839" s="541"/>
      <c r="P839" s="6">
        <f>OBRA!S844</f>
        <v>45394</v>
      </c>
      <c r="Q839" s="4">
        <f>OBRA!R844</f>
        <v>5799082.5300000003</v>
      </c>
      <c r="R839" s="4"/>
      <c r="S839" s="5">
        <f>OBRA!T844</f>
        <v>45397</v>
      </c>
      <c r="T839" s="11">
        <f>OBRA!U844</f>
        <v>45458</v>
      </c>
      <c r="U839" s="692"/>
      <c r="V839" s="203"/>
      <c r="W839" s="508"/>
      <c r="X839" s="509"/>
      <c r="Y839" s="534">
        <f>OBRA!AR844</f>
        <v>1739724.76</v>
      </c>
      <c r="Z839" s="309"/>
      <c r="AA839" s="309"/>
      <c r="AB839" s="5"/>
      <c r="AC839" s="317">
        <f>OBRA!BW844</f>
        <v>0</v>
      </c>
      <c r="AD839" s="352"/>
    </row>
    <row r="840" spans="1:30" ht="15" hidden="1" customHeight="1">
      <c r="A840" s="22" t="s">
        <v>2206</v>
      </c>
      <c r="B840" s="809">
        <f>GRAL!B1085</f>
        <v>0</v>
      </c>
      <c r="C840" s="16">
        <f>OBRA!J845</f>
        <v>2024</v>
      </c>
      <c r="D840" s="17" t="str">
        <f>OBRA!M845</f>
        <v>CUENTA CORRIENTE</v>
      </c>
      <c r="E840" s="1170"/>
      <c r="F840" s="1108"/>
      <c r="G840" s="219"/>
      <c r="H840" s="1108"/>
      <c r="I840" s="54" t="str">
        <f>OBRA!W845</f>
        <v>VICTOR SAUL RAMOS MORALES</v>
      </c>
      <c r="J840" s="55" t="str">
        <f>OBRA!X845</f>
        <v>ING. LUIS RIGOBERTO OLMEDO NAVARRO</v>
      </c>
      <c r="K840" s="19" t="str">
        <f>OBRA!N845</f>
        <v>CSS-OP-CC-012/2024</v>
      </c>
      <c r="L840" s="2" t="str">
        <f>OBRA!O845</f>
        <v>CONCURSO SIMPLIFICADO SUMARIO</v>
      </c>
      <c r="M840" s="3" t="str">
        <f>OBRA!P845</f>
        <v>"PERFORACIÓN DE UN POZO PROFUNDO A 250 ML EN CALLE MORELOS CRUCE CON C. GONZÁLEZ ORTEGA", EN LA CABECERA MUNICIPAL DE JOCOTEPEC, JALISCO</v>
      </c>
      <c r="N840" s="541"/>
      <c r="O840" s="541"/>
      <c r="P840" s="6">
        <f>OBRA!S845</f>
        <v>45394</v>
      </c>
      <c r="Q840" s="4">
        <f>OBRA!R845</f>
        <v>4428068</v>
      </c>
      <c r="R840" s="4"/>
      <c r="S840" s="5">
        <f>OBRA!T845</f>
        <v>45414</v>
      </c>
      <c r="T840" s="11">
        <f>OBRA!U845</f>
        <v>45458</v>
      </c>
      <c r="U840" s="692"/>
      <c r="V840" s="203"/>
      <c r="W840" s="508"/>
      <c r="X840" s="509"/>
      <c r="Y840" s="534">
        <f>OBRA!AR845</f>
        <v>2329376.9900000002</v>
      </c>
      <c r="Z840" s="309"/>
      <c r="AA840" s="309"/>
      <c r="AB840" s="5"/>
      <c r="AC840" s="317" t="str">
        <f>OBRA!BW845</f>
        <v>TERMINO</v>
      </c>
      <c r="AD840" s="352"/>
    </row>
    <row r="841" spans="1:30" ht="15" hidden="1" customHeight="1">
      <c r="A841" s="22" t="s">
        <v>2206</v>
      </c>
      <c r="B841" s="809">
        <f>GRAL!B1086</f>
        <v>0</v>
      </c>
      <c r="C841" s="16">
        <f>OBRA!J846</f>
        <v>2024</v>
      </c>
      <c r="D841" s="17" t="str">
        <f>OBRA!M846</f>
        <v>RAMO 33</v>
      </c>
      <c r="E841" s="1170"/>
      <c r="F841" s="1108"/>
      <c r="G841" s="219"/>
      <c r="H841" s="1108"/>
      <c r="I841" s="54" t="str">
        <f>OBRA!W846</f>
        <v>ALSERCON SA DE CV</v>
      </c>
      <c r="J841" s="55" t="str">
        <f>OBRA!X846</f>
        <v>ARQ. JAIME CONDE GOMEZ</v>
      </c>
      <c r="K841" s="19" t="str">
        <f>OBRA!N846</f>
        <v>GMJ 013C- OP/2024</v>
      </c>
      <c r="L841" s="2" t="str">
        <f>OBRA!O846</f>
        <v>ADJUDICACIÓN DIRECTA</v>
      </c>
      <c r="M841" s="3" t="str">
        <f>OBRA!P846</f>
        <v>"CONSTRUCCIÓN DE PUENTE PEATONAL EN CALLE GALEANA", EN LA DELEGACIÓN DE ZAPOTITÁN DE HIDALGO, DEL MUNICIPIO DE JOCOTEPEC, JALISCO.</v>
      </c>
      <c r="N841" s="541"/>
      <c r="O841" s="541"/>
      <c r="P841" s="6">
        <f>OBRA!S846</f>
        <v>45400</v>
      </c>
      <c r="Q841" s="4">
        <f>OBRA!R846</f>
        <v>979189.38</v>
      </c>
      <c r="R841" s="4"/>
      <c r="S841" s="5">
        <f>OBRA!T846</f>
        <v>45418</v>
      </c>
      <c r="T841" s="11">
        <f>OBRA!U846</f>
        <v>45443</v>
      </c>
      <c r="U841" s="692"/>
      <c r="V841" s="203"/>
      <c r="W841" s="508"/>
      <c r="X841" s="509"/>
      <c r="Y841" s="534">
        <f>OBRA!AR846</f>
        <v>489594.69</v>
      </c>
      <c r="Z841" s="309"/>
      <c r="AA841" s="309"/>
      <c r="AB841" s="5"/>
      <c r="AC841" s="317">
        <f>OBRA!BW846</f>
        <v>0</v>
      </c>
      <c r="AD841" s="352"/>
    </row>
    <row r="842" spans="1:30" ht="15" hidden="1" customHeight="1">
      <c r="A842" s="22" t="s">
        <v>2206</v>
      </c>
      <c r="B842" s="809">
        <f>GRAL!B1087</f>
        <v>0</v>
      </c>
      <c r="C842" s="16">
        <f>OBRA!J847</f>
        <v>2024</v>
      </c>
      <c r="D842" s="17" t="str">
        <f>OBRA!M847</f>
        <v>CUENTA CORRIENTE</v>
      </c>
      <c r="E842" s="1170"/>
      <c r="F842" s="1108"/>
      <c r="G842" s="219"/>
      <c r="H842" s="1108"/>
      <c r="I842" s="54" t="str">
        <f>OBRA!W847</f>
        <v>ING. MARCO ANTONIO PAREDES RODRÍGUEZ</v>
      </c>
      <c r="J842" s="55" t="str">
        <f>OBRA!X847</f>
        <v>ING. J. GUADALUPE IBARRA RAMIREZ</v>
      </c>
      <c r="K842" s="19" t="str">
        <f>OBRA!N847</f>
        <v>GMJ 014C- OP/2024</v>
      </c>
      <c r="L842" s="2" t="str">
        <f>OBRA!O847</f>
        <v>ADJUDICACIÓN DIRECTA</v>
      </c>
      <c r="M842" s="3" t="str">
        <f>OBRA!P847</f>
        <v>"EQUIPAMIENTO DE NUEVO POZO PROFUNDO DE AGUA POTABLE EN CALLE MIGUEL ARANA CRUCE CON CALLE ALLENDE (ZONA CENTRO) Y ADECUACIÓN DE GARZA EN POZO ACTUAL UBICADO EN EL ATRIO", EN LA CABECERA MUNICIPAL DE JOCOTEPEC, JALISCO.</v>
      </c>
      <c r="N842" s="541"/>
      <c r="O842" s="541"/>
      <c r="P842" s="6">
        <f>OBRA!S847</f>
        <v>45419</v>
      </c>
      <c r="Q842" s="4">
        <f>OBRA!R847</f>
        <v>802898.64</v>
      </c>
      <c r="R842" s="4"/>
      <c r="S842" s="5">
        <f>OBRA!T847</f>
        <v>45420</v>
      </c>
      <c r="T842" s="11">
        <f>OBRA!U847</f>
        <v>45442</v>
      </c>
      <c r="U842" s="692"/>
      <c r="V842" s="203"/>
      <c r="W842" s="508"/>
      <c r="X842" s="509"/>
      <c r="Y842" s="534">
        <f>OBRA!AR847</f>
        <v>321159.45</v>
      </c>
      <c r="Z842" s="309"/>
      <c r="AA842" s="309"/>
      <c r="AB842" s="5"/>
      <c r="AC842" s="317">
        <f>OBRA!BW847</f>
        <v>0</v>
      </c>
      <c r="AD842" s="352"/>
    </row>
    <row r="843" spans="1:30" ht="15" hidden="1" customHeight="1">
      <c r="A843" s="22" t="s">
        <v>2206</v>
      </c>
      <c r="B843" s="809">
        <f>GRAL!B1088</f>
        <v>0</v>
      </c>
      <c r="C843" s="16">
        <f>OBRA!J848</f>
        <v>2024</v>
      </c>
      <c r="D843" s="17" t="str">
        <f>OBRA!M848</f>
        <v>RAMO 33</v>
      </c>
      <c r="E843" s="1170"/>
      <c r="F843" s="1108"/>
      <c r="G843" s="219"/>
      <c r="H843" s="1108"/>
      <c r="I843" s="54" t="str">
        <f>OBRA!W848</f>
        <v>SOLEC ENERGY, S.A. DE C.V.</v>
      </c>
      <c r="J843" s="55" t="str">
        <f>OBRA!X848</f>
        <v>ING. J. GUADALUPE IBARRA RAMIREZ</v>
      </c>
      <c r="K843" s="19" t="str">
        <f>OBRA!N848</f>
        <v>GMJ 015C- OP/2024</v>
      </c>
      <c r="L843" s="2" t="str">
        <f>OBRA!O848</f>
        <v>ADJUDICACIÓN DIRECTA</v>
      </c>
      <c r="M843" s="3" t="str">
        <f>OBRA!P848</f>
        <v>"ELECTRIFICACIÓN DE NUEVO POZO PROFUNDO DE AGUA POTABLE ENTUBADA EN JOCOTEPEC CENTRO, INCLUYE CONSTRUCCIÓN Y ELECTRIFICACIÓN DE CASETA DE CONTROL ELÉCTRICO EN POZO ACTUAL UBICADO EN EL ATRIO", EN LA CABECERA MUNICIPAL DE JOCOTEPEC, JALISCO</v>
      </c>
      <c r="N843" s="541"/>
      <c r="O843" s="541"/>
      <c r="P843" s="6">
        <f>OBRA!S848</f>
        <v>45419</v>
      </c>
      <c r="Q843" s="4">
        <f>OBRA!R848</f>
        <v>944743.84</v>
      </c>
      <c r="R843" s="4"/>
      <c r="S843" s="5">
        <f>OBRA!T848</f>
        <v>45423</v>
      </c>
      <c r="T843" s="11">
        <f>OBRA!U848</f>
        <v>45443</v>
      </c>
      <c r="U843" s="692"/>
      <c r="V843" s="203"/>
      <c r="W843" s="508"/>
      <c r="X843" s="509"/>
      <c r="Y843" s="534">
        <f>OBRA!AR848</f>
        <v>189900.22</v>
      </c>
      <c r="Z843" s="309"/>
      <c r="AA843" s="309"/>
      <c r="AB843" s="5"/>
      <c r="AC843" s="317">
        <f>OBRA!BW848</f>
        <v>0</v>
      </c>
      <c r="AD843" s="352"/>
    </row>
    <row r="844" spans="1:30" ht="15" hidden="1" customHeight="1">
      <c r="A844" s="22" t="s">
        <v>2206</v>
      </c>
      <c r="B844" s="809">
        <f>GRAL!B1089</f>
        <v>0</v>
      </c>
      <c r="C844" s="16">
        <f>OBRA!J849</f>
        <v>2024</v>
      </c>
      <c r="D844" s="17" t="str">
        <f>OBRA!M849</f>
        <v>CUENTA CORRIENTE</v>
      </c>
      <c r="E844" s="1170"/>
      <c r="F844" s="1108"/>
      <c r="G844" s="219"/>
      <c r="H844" s="1108"/>
      <c r="I844" s="54" t="str">
        <f>OBRA!W849</f>
        <v>SOLEC ENERGY, S.A. DE C.V.</v>
      </c>
      <c r="J844" s="55" t="str">
        <f>OBRA!X849</f>
        <v>ING. LUIS RIGOBERTO OLMEDO NAVARRO</v>
      </c>
      <c r="K844" s="19" t="str">
        <f>OBRA!N849</f>
        <v>GMJ 016C- OP/2024</v>
      </c>
      <c r="L844" s="2" t="str">
        <f>OBRA!O849</f>
        <v>ADJUDICACIÓN DIRECTA</v>
      </c>
      <c r="M844" s="3" t="str">
        <f>OBRA!P849</f>
        <v>"SUMINISTRO E INSTALACIÓN DE POSTES PARA ALUMBRADO DE CAMPO DE FUTBOL EN LA UNIDAD DEPORTIVA SUR DONATO GUERRA", EN LA CABECERA MUNICIPAL DE JOCOTEPEC, JALISCO.</v>
      </c>
      <c r="N844" s="541"/>
      <c r="O844" s="541"/>
      <c r="P844" s="6">
        <f>OBRA!S849</f>
        <v>45446</v>
      </c>
      <c r="Q844" s="4">
        <f>OBRA!R849</f>
        <v>152167.64000000001</v>
      </c>
      <c r="R844" s="4"/>
      <c r="S844" s="5">
        <f>OBRA!T849</f>
        <v>45432</v>
      </c>
      <c r="T844" s="11">
        <f>OBRA!U849</f>
        <v>45440</v>
      </c>
      <c r="U844" s="692"/>
      <c r="V844" s="203"/>
      <c r="W844" s="508"/>
      <c r="X844" s="509"/>
      <c r="Y844" s="534">
        <f>OBRA!AR849</f>
        <v>30433.52</v>
      </c>
      <c r="Z844" s="309"/>
      <c r="AA844" s="309"/>
      <c r="AB844" s="5"/>
      <c r="AC844" s="317">
        <f>OBRA!BW849</f>
        <v>0</v>
      </c>
      <c r="AD844" s="352"/>
    </row>
    <row r="845" spans="1:30" ht="15" hidden="1" customHeight="1">
      <c r="A845" s="22" t="s">
        <v>2206</v>
      </c>
      <c r="B845" s="809">
        <f>GRAL!B1090</f>
        <v>0</v>
      </c>
      <c r="C845" s="16">
        <f>OBRA!J850</f>
        <v>2024</v>
      </c>
      <c r="D845" s="17" t="str">
        <f>OBRA!M850</f>
        <v>CUENTA CORRIENTE</v>
      </c>
      <c r="E845" s="1170"/>
      <c r="F845" s="1108"/>
      <c r="G845" s="219"/>
      <c r="H845" s="1108"/>
      <c r="I845" s="54" t="str">
        <f>OBRA!W850</f>
        <v xml:space="preserve">DORIA &amp; SAMPIER CONSTRUCTORA, S.A. DE C.V. </v>
      </c>
      <c r="J845" s="55" t="str">
        <f>OBRA!X850</f>
        <v>ING. J. GUADALUPE IBARRA RAMIREZ</v>
      </c>
      <c r="K845" s="19" t="str">
        <f>OBRA!N850</f>
        <v>GMJ 017C- OP/2024</v>
      </c>
      <c r="L845" s="2" t="str">
        <f>OBRA!O850</f>
        <v>ADJUDICACIÓN DIRECTA</v>
      </c>
      <c r="M845" s="3" t="str">
        <f>OBRA!P850</f>
        <v>"TRABAJOS PRELIMINARES DE DELIMITACIÓN, DESPALME Y CONFORMACIÓN DE PLATAFORMA, REHABILITACIÓN DE CAMINO DE ACCESO Y EXCAVACIÓN DE FOSA Y CANAL PREVIA CANCELACIÓN DE VERTEDERO MUNICIPAL", EN LA CABECERA MUNICIPAL DE JOCOTEPEC, JALISCO.</v>
      </c>
      <c r="N845" s="541"/>
      <c r="O845" s="541"/>
      <c r="P845" s="6">
        <f>OBRA!S850</f>
        <v>45450</v>
      </c>
      <c r="Q845" s="4">
        <f>OBRA!R850</f>
        <v>687485.47</v>
      </c>
      <c r="R845" s="4"/>
      <c r="S845" s="5">
        <f>OBRA!T850</f>
        <v>45453</v>
      </c>
      <c r="T845" s="11">
        <f>OBRA!U850</f>
        <v>45471</v>
      </c>
      <c r="U845" s="692"/>
      <c r="V845" s="203"/>
      <c r="W845" s="508"/>
      <c r="X845" s="509"/>
      <c r="Y845" s="534">
        <f>OBRA!AR850</f>
        <v>137497.07999999999</v>
      </c>
      <c r="Z845" s="309"/>
      <c r="AA845" s="309"/>
      <c r="AB845" s="5"/>
      <c r="AC845" s="317">
        <f>OBRA!BW850</f>
        <v>0</v>
      </c>
      <c r="AD845" s="352"/>
    </row>
    <row r="846" spans="1:30" ht="15" hidden="1" customHeight="1">
      <c r="A846" s="22" t="s">
        <v>2206</v>
      </c>
      <c r="B846" s="809">
        <f>GRAL!B1091</f>
        <v>0</v>
      </c>
      <c r="C846" s="16">
        <f>OBRA!J851</f>
        <v>2024</v>
      </c>
      <c r="D846" s="17" t="str">
        <f>OBRA!M851</f>
        <v xml:space="preserve">FORTAMUN </v>
      </c>
      <c r="E846" s="1170"/>
      <c r="F846" s="1108"/>
      <c r="G846" s="219"/>
      <c r="H846" s="1108"/>
      <c r="I846" s="54" t="str">
        <f>OBRA!W851</f>
        <v>INFRAESTRUCTURA GUSEV, S.A. DE C.V.</v>
      </c>
      <c r="J846" s="55" t="str">
        <f>OBRA!X851</f>
        <v>C. DANIEL RODRIGUEZ VALENZUELA</v>
      </c>
      <c r="K846" s="19" t="str">
        <f>OBRA!N851</f>
        <v>GMJ 018C- OP/2024</v>
      </c>
      <c r="L846" s="2" t="str">
        <f>OBRA!O851</f>
        <v>ADJUDICACIÓN DIRECTA</v>
      </c>
      <c r="M846" s="3" t="str">
        <f>OBRA!P851</f>
        <v>"CONSTRUCCIÓN DE LÍNEA DE ABASTECIMIENTO DE 6" DEL POZO DE AGUA POTABLE NUEVO A RED PRINCIPAL EN ZONA ORIENTE DE LA POBLACIÓN", EN LA LOCALIDAD DE SAN PEDRO TESISTÁN, MUNICIPIO DE JOCOTEPEC, JALISCO.</v>
      </c>
      <c r="N846" s="541"/>
      <c r="O846" s="541"/>
      <c r="P846" s="6">
        <f>OBRA!S851</f>
        <v>45448</v>
      </c>
      <c r="Q846" s="4">
        <f>OBRA!R851</f>
        <v>1298701.05</v>
      </c>
      <c r="R846" s="4"/>
      <c r="S846" s="5">
        <f>OBRA!T851</f>
        <v>45450</v>
      </c>
      <c r="T846" s="11">
        <f>OBRA!U851</f>
        <v>45464</v>
      </c>
      <c r="U846" s="692"/>
      <c r="V846" s="203"/>
      <c r="W846" s="508"/>
      <c r="X846" s="509"/>
      <c r="Y846" s="534">
        <f>OBRA!AR851</f>
        <v>267682.66000000003</v>
      </c>
      <c r="Z846" s="309"/>
      <c r="AA846" s="309"/>
      <c r="AB846" s="5"/>
      <c r="AC846" s="317">
        <f>OBRA!BW851</f>
        <v>0</v>
      </c>
      <c r="AD846" s="352"/>
    </row>
    <row r="847" spans="1:30" ht="15" hidden="1" customHeight="1">
      <c r="A847" s="22" t="s">
        <v>2206</v>
      </c>
      <c r="B847" s="809">
        <f>GRAL!B1092</f>
        <v>0</v>
      </c>
      <c r="C847" s="16">
        <f>OBRA!J852</f>
        <v>2024</v>
      </c>
      <c r="D847" s="17" t="str">
        <f>OBRA!M852</f>
        <v xml:space="preserve">FORTAMUN </v>
      </c>
      <c r="E847" s="1170"/>
      <c r="F847" s="1108"/>
      <c r="G847" s="219"/>
      <c r="H847" s="1108"/>
      <c r="I847" s="54" t="str">
        <f>OBRA!W852</f>
        <v>SOLEC ENERGY, S.A. DE C.V.</v>
      </c>
      <c r="J847" s="55" t="str">
        <f>OBRA!X852</f>
        <v>ING. LUIS RIGOBERTO OLMEDO NAVARRO</v>
      </c>
      <c r="K847" s="19" t="str">
        <f>OBRA!N852</f>
        <v>GMJ 019C- OP/2024</v>
      </c>
      <c r="L847" s="2" t="str">
        <f>OBRA!O852</f>
        <v>ADJUDICACIÓN DIRECTA</v>
      </c>
      <c r="M847" s="3" t="str">
        <f>OBRA!P852</f>
        <v>"AMPLIACIÓN DE ALUMBRADO PÚBLICO EN CALLE JOSEFA ORTÍZ DE DOMINGUEZ ENTRE CALLE CIENTÍFICOS Y LIBRAMIENTO", EN LA CABECERA MUNICIPAL DE JOCOTEPEC, JALISCO.</v>
      </c>
      <c r="N847" s="541"/>
      <c r="O847" s="541"/>
      <c r="P847" s="6">
        <f>OBRA!S852</f>
        <v>45470</v>
      </c>
      <c r="Q847" s="4">
        <f>OBRA!R852</f>
        <v>204310.14</v>
      </c>
      <c r="R847" s="4"/>
      <c r="S847" s="5">
        <f>OBRA!T852</f>
        <v>45477</v>
      </c>
      <c r="T847" s="11">
        <f>OBRA!U852</f>
        <v>45491</v>
      </c>
      <c r="U847" s="692"/>
      <c r="V847" s="203"/>
      <c r="W847" s="508"/>
      <c r="X847" s="509"/>
      <c r="Y847" s="534">
        <f>OBRA!AR852</f>
        <v>40862.019999999997</v>
      </c>
      <c r="Z847" s="309"/>
      <c r="AA847" s="309"/>
      <c r="AB847" s="5"/>
      <c r="AC847" s="317">
        <f>OBRA!BW852</f>
        <v>0</v>
      </c>
      <c r="AD847" s="352"/>
    </row>
    <row r="848" spans="1:30" ht="15" hidden="1" customHeight="1">
      <c r="A848" s="22" t="s">
        <v>2206</v>
      </c>
      <c r="B848" s="809">
        <f>GRAL!B1093</f>
        <v>0</v>
      </c>
      <c r="C848" s="16">
        <f>OBRA!J853</f>
        <v>2024</v>
      </c>
      <c r="D848" s="17" t="str">
        <f>OBRA!M853</f>
        <v xml:space="preserve">FORTAMUN </v>
      </c>
      <c r="E848" s="1170"/>
      <c r="F848" s="1108"/>
      <c r="G848" s="219"/>
      <c r="H848" s="1108"/>
      <c r="I848" s="54" t="str">
        <f>OBRA!W853</f>
        <v>INFRAESTRUCTURA GUSEV, S.A. DE C.V.</v>
      </c>
      <c r="J848" s="55" t="str">
        <f>OBRA!X853</f>
        <v>C. DANIEL RODRIGUEZ VALENZUELA</v>
      </c>
      <c r="K848" s="19" t="str">
        <f>OBRA!N853</f>
        <v>GMJ 020C- OP/2024</v>
      </c>
      <c r="L848" s="2" t="str">
        <f>OBRA!O853</f>
        <v>ADJUDICACIÓN DIRECTA</v>
      </c>
      <c r="M848" s="3" t="str">
        <f>OBRA!P853</f>
        <v>"REMODELACIÓN DE LAS INSTALACIONES DE LA COMANDANCIA MUNICIPAL", EN LA CABECERA MUNICIPAL", EN LA CABECERA MUNICIPAL DE JOCOTEPEC, JALISCO.</v>
      </c>
      <c r="N848" s="541"/>
      <c r="O848" s="541"/>
      <c r="P848" s="6">
        <f>OBRA!S853</f>
        <v>45468</v>
      </c>
      <c r="Q848" s="4">
        <f>OBRA!R853</f>
        <v>1801948.36</v>
      </c>
      <c r="R848" s="4"/>
      <c r="S848" s="5">
        <f>OBRA!T853</f>
        <v>45470</v>
      </c>
      <c r="T848" s="11">
        <f>OBRA!U853</f>
        <v>45548</v>
      </c>
      <c r="U848" s="692"/>
      <c r="V848" s="203"/>
      <c r="W848" s="508"/>
      <c r="X848" s="509"/>
      <c r="Y848" s="534">
        <f>OBRA!AR853</f>
        <v>914441.15999999992</v>
      </c>
      <c r="Z848" s="309"/>
      <c r="AA848" s="309"/>
      <c r="AB848" s="5"/>
      <c r="AC848" s="317">
        <f>OBRA!BW853</f>
        <v>0</v>
      </c>
      <c r="AD848" s="352"/>
    </row>
    <row r="849" spans="1:30" ht="15" hidden="1" customHeight="1">
      <c r="A849" s="22" t="s">
        <v>2206</v>
      </c>
      <c r="B849" s="809">
        <f>GRAL!B1094</f>
        <v>0</v>
      </c>
      <c r="C849" s="16">
        <f>OBRA!J854</f>
        <v>2024</v>
      </c>
      <c r="D849" s="17" t="str">
        <f>OBRA!M854</f>
        <v xml:space="preserve">FORTAMUN </v>
      </c>
      <c r="E849" s="1170"/>
      <c r="F849" s="1108"/>
      <c r="G849" s="219"/>
      <c r="H849" s="1108"/>
      <c r="I849" s="54" t="str">
        <f>OBRA!W854</f>
        <v>SERGIO CABRERA</v>
      </c>
      <c r="J849" s="55" t="str">
        <f>OBRA!X854</f>
        <v>C. DANIEL RODRIGUEZ VALENZUELA</v>
      </c>
      <c r="K849" s="19" t="str">
        <f>OBRA!N854</f>
        <v>GMJ 021C- OP/2024</v>
      </c>
      <c r="L849" s="2" t="str">
        <f>OBRA!O854</f>
        <v>ADJUDICACIÓN DIRECTA</v>
      </c>
      <c r="M849" s="3" t="str">
        <f>OBRA!P854</f>
        <v>"REHABILITACIÓN DE LÍNEA DE DRENAJE DE 12" EN CALLE RIVERA DEL LAGO ENTRE ANDADOR XOCHITL Y CARRETERA JOCOTEPEC, CHAPALA", EN LA LOCALIDAD DE NEXTIPAC, MUNICIPIO DE JOCOTEPEC, JALISCO.</v>
      </c>
      <c r="N849" s="541"/>
      <c r="O849" s="541"/>
      <c r="P849" s="6">
        <f>OBRA!S854</f>
        <v>45470</v>
      </c>
      <c r="Q849" s="4">
        <f>OBRA!R854</f>
        <v>424277.78</v>
      </c>
      <c r="R849" s="4"/>
      <c r="S849" s="5">
        <f>OBRA!T854</f>
        <v>45471</v>
      </c>
      <c r="T849" s="11">
        <f>OBRA!U854</f>
        <v>45476</v>
      </c>
      <c r="U849" s="692"/>
      <c r="V849" s="203"/>
      <c r="W849" s="508"/>
      <c r="X849" s="509"/>
      <c r="Y849" s="534">
        <f>OBRA!AR854</f>
        <v>84855.54</v>
      </c>
      <c r="Z849" s="309"/>
      <c r="AA849" s="309"/>
      <c r="AB849" s="5"/>
      <c r="AC849" s="317">
        <f>OBRA!BW854</f>
        <v>0</v>
      </c>
      <c r="AD849" s="352"/>
    </row>
    <row r="850" spans="1:30" ht="15" hidden="1" customHeight="1">
      <c r="A850" s="22" t="s">
        <v>2206</v>
      </c>
      <c r="B850" s="809">
        <f>GRAL!B1095</f>
        <v>0</v>
      </c>
      <c r="C850" s="16">
        <f>OBRA!J855</f>
        <v>2024</v>
      </c>
      <c r="D850" s="17" t="str">
        <f>OBRA!M855</f>
        <v xml:space="preserve">FORTAMUN </v>
      </c>
      <c r="E850" s="1170"/>
      <c r="F850" s="1108"/>
      <c r="G850" s="219"/>
      <c r="H850" s="1108"/>
      <c r="I850" s="54" t="str">
        <f>OBRA!W855</f>
        <v>SERGIO CABRERA</v>
      </c>
      <c r="J850" s="55" t="str">
        <f>OBRA!X855</f>
        <v>C. DANIEL RODRIGUEZ VALENZUELA</v>
      </c>
      <c r="K850" s="19" t="str">
        <f>OBRA!N855</f>
        <v>GMJ 022C- OP/2024</v>
      </c>
      <c r="L850" s="2" t="str">
        <f>OBRA!O855</f>
        <v>ADJUDICACIÓN DIRECTA</v>
      </c>
      <c r="M850" s="3" t="str">
        <f>OBRA!P855</f>
        <v>"REHABILITACIÓN DE LÍNEA DE AGUA POTABLE DE 3" EN CALLE RIVERA DEL LAGO ENTRE ANDADOR XOCHITL Y CARRETERA JOCOTEPEC, CHAPALA", EN LA LOCALIDAD DE NEXTIPAC, MUNICIPIO DE JOCOTPEC, JALISCO.</v>
      </c>
      <c r="N850" s="541"/>
      <c r="O850" s="541"/>
      <c r="P850" s="6">
        <f>OBRA!S855</f>
        <v>45470</v>
      </c>
      <c r="Q850" s="4">
        <f>OBRA!R855</f>
        <v>238287.78</v>
      </c>
      <c r="R850" s="4"/>
      <c r="S850" s="5">
        <f>OBRA!T855</f>
        <v>45477</v>
      </c>
      <c r="T850" s="11">
        <f>OBRA!U855</f>
        <v>45483</v>
      </c>
      <c r="U850" s="692"/>
      <c r="V850" s="203"/>
      <c r="W850" s="508"/>
      <c r="X850" s="509"/>
      <c r="Y850" s="534">
        <f>OBRA!AR855</f>
        <v>47657.54</v>
      </c>
      <c r="Z850" s="309"/>
      <c r="AA850" s="309"/>
      <c r="AB850" s="5"/>
      <c r="AC850" s="317">
        <f>OBRA!BW855</f>
        <v>0</v>
      </c>
      <c r="AD850" s="352"/>
    </row>
    <row r="851" spans="1:30" ht="15" hidden="1" customHeight="1">
      <c r="A851" s="22" t="s">
        <v>2206</v>
      </c>
      <c r="B851" s="809">
        <f>GRAL!B1096</f>
        <v>0</v>
      </c>
      <c r="C851" s="16">
        <f>OBRA!J856</f>
        <v>2024</v>
      </c>
      <c r="D851" s="17" t="str">
        <f>OBRA!M856</f>
        <v xml:space="preserve">FORTAMUN </v>
      </c>
      <c r="E851" s="1170"/>
      <c r="F851" s="1108"/>
      <c r="G851" s="219"/>
      <c r="H851" s="1108"/>
      <c r="I851" s="54" t="str">
        <f>OBRA!W856</f>
        <v>SERGIO CABRERA</v>
      </c>
      <c r="J851" s="55" t="str">
        <f>OBRA!X856</f>
        <v>C. DANIEL RODRIGUEZ VALENZUELA</v>
      </c>
      <c r="K851" s="19" t="str">
        <f>OBRA!N856</f>
        <v>GMJ 023C- OP/2024</v>
      </c>
      <c r="L851" s="2" t="str">
        <f>OBRA!O856</f>
        <v>ADJUDICACIÓN DIRECTA</v>
      </c>
      <c r="M851" s="3" t="str">
        <f>OBRA!P856</f>
        <v>"REHABILITACIÓN DE SUPERFICIE DE RODAMIENTO EN CALLE RIVERA DEL LAGO ENTRE ANDADOR XOCHITL Y CARRETERA JOCOTEPEC, CHAPALA", EN LA LOCALIDAD DE NEXTIPAC, MUNICIPIO DE JOCOTEPEC, JALISCO.</v>
      </c>
      <c r="N851" s="541"/>
      <c r="O851" s="541"/>
      <c r="P851" s="6">
        <f>OBRA!S856</f>
        <v>45470</v>
      </c>
      <c r="Q851" s="4">
        <f>OBRA!R856</f>
        <v>974176.38</v>
      </c>
      <c r="R851" s="4"/>
      <c r="S851" s="5">
        <f>OBRA!T856</f>
        <v>45484</v>
      </c>
      <c r="T851" s="11">
        <f>OBRA!U856</f>
        <v>45497</v>
      </c>
      <c r="U851" s="692"/>
      <c r="V851" s="203"/>
      <c r="W851" s="508"/>
      <c r="X851" s="509"/>
      <c r="Y851" s="534">
        <f>OBRA!AR856</f>
        <v>224465.23</v>
      </c>
      <c r="Z851" s="309"/>
      <c r="AA851" s="309"/>
      <c r="AB851" s="5"/>
      <c r="AC851" s="317">
        <f>OBRA!BW856</f>
        <v>0</v>
      </c>
      <c r="AD851" s="352"/>
    </row>
    <row r="852" spans="1:30" ht="15" hidden="1" customHeight="1">
      <c r="A852" s="22" t="s">
        <v>2206</v>
      </c>
      <c r="B852" s="809">
        <f>GRAL!B1097</f>
        <v>0</v>
      </c>
      <c r="C852" s="16">
        <f>OBRA!J857</f>
        <v>2024</v>
      </c>
      <c r="D852" s="17" t="str">
        <f>OBRA!M857</f>
        <v>CUENTA CORRIENTE</v>
      </c>
      <c r="E852" s="1170"/>
      <c r="F852" s="1108"/>
      <c r="G852" s="219"/>
      <c r="H852" s="1108"/>
      <c r="I852" s="54" t="str">
        <f>OBRA!W857</f>
        <v>ING. MARCO ANTONIO PAREDES RODRÍGUEZ</v>
      </c>
      <c r="J852" s="55" t="str">
        <f>OBRA!X857</f>
        <v>ING. LUIS RIGOBERTO OLMEDO NAVARRO</v>
      </c>
      <c r="K852" s="19" t="str">
        <f>OBRA!N857</f>
        <v>GMJ 024C- OP/2024</v>
      </c>
      <c r="L852" s="2" t="str">
        <f>OBRA!O857</f>
        <v>ADJUDICACIÓN DIRECTA</v>
      </c>
      <c r="M852" s="3" t="str">
        <f>OBRA!P857</f>
        <v>"EQUIPAMIENTO DE POZO PROFUNDO DE AGUA POTABLE" EN LA LOCALIDAD DE SAN PEDRO TESISTÁN MUNICIPIO DE JOCOTEPEC, JALISCO.</v>
      </c>
      <c r="N852" s="541"/>
      <c r="O852" s="541"/>
      <c r="P852" s="6">
        <f>OBRA!S857</f>
        <v>45485</v>
      </c>
      <c r="Q852" s="4">
        <f>OBRA!R857</f>
        <v>375226.36</v>
      </c>
      <c r="R852" s="4"/>
      <c r="S852" s="5">
        <f>OBRA!T857</f>
        <v>45495</v>
      </c>
      <c r="T852" s="11">
        <f>OBRA!U857</f>
        <v>45513</v>
      </c>
      <c r="U852" s="692"/>
      <c r="V852" s="203"/>
      <c r="W852" s="508"/>
      <c r="X852" s="509"/>
      <c r="Y852" s="534">
        <f>OBRA!AR857</f>
        <v>150090.53</v>
      </c>
      <c r="Z852" s="309"/>
      <c r="AA852" s="309"/>
      <c r="AB852" s="5"/>
      <c r="AC852" s="317">
        <f>OBRA!BW857</f>
        <v>0</v>
      </c>
      <c r="AD852" s="352"/>
    </row>
    <row r="853" spans="1:30" ht="15" hidden="1" customHeight="1">
      <c r="A853" s="22" t="s">
        <v>2206</v>
      </c>
      <c r="B853" s="809">
        <f>GRAL!B1098</f>
        <v>0</v>
      </c>
      <c r="C853" s="16">
        <f>OBRA!J858</f>
        <v>2024</v>
      </c>
      <c r="D853" s="17" t="str">
        <f>OBRA!M858</f>
        <v>CUENTA CORRIENTE</v>
      </c>
      <c r="E853" s="1170"/>
      <c r="F853" s="1108"/>
      <c r="G853" s="219"/>
      <c r="H853" s="1108"/>
      <c r="I853" s="54" t="str">
        <f>OBRA!W858</f>
        <v>SOLEC ENERGY, S.A. DE C.V.</v>
      </c>
      <c r="J853" s="55" t="str">
        <f>OBRA!X858</f>
        <v>ING. LUIS RIGOBERTO OLMEDO NAVARRO</v>
      </c>
      <c r="K853" s="19" t="str">
        <f>OBRA!N858</f>
        <v>GMJ 025C- OP/2024</v>
      </c>
      <c r="L853" s="2" t="str">
        <f>OBRA!O858</f>
        <v>ADJUDICACIÓN DIRECTA</v>
      </c>
      <c r="M853" s="3" t="str">
        <f>OBRA!P858</f>
        <v>"ELECTRIFICACIÓN DE POZO PROFUNDO DE AGUA POTABLE", EN LA LOCALIDAD DE SAN PEDRO TESISTÁN, MUNICIPIO DE JOCOTEPEC, JALISCO.</v>
      </c>
      <c r="N853" s="541"/>
      <c r="O853" s="541"/>
      <c r="P853" s="6">
        <f>OBRA!S858</f>
        <v>45490</v>
      </c>
      <c r="Q853" s="4">
        <f>OBRA!R858</f>
        <v>932099.44</v>
      </c>
      <c r="R853" s="4"/>
      <c r="S853" s="5">
        <f>OBRA!T858</f>
        <v>45497</v>
      </c>
      <c r="T853" s="11">
        <f>OBRA!U858</f>
        <v>45506</v>
      </c>
      <c r="U853" s="692"/>
      <c r="V853" s="203"/>
      <c r="W853" s="508"/>
      <c r="X853" s="509"/>
      <c r="Y853" s="534">
        <f>OBRA!AR858</f>
        <v>466249.71</v>
      </c>
      <c r="Z853" s="309"/>
      <c r="AA853" s="309"/>
      <c r="AB853" s="5"/>
      <c r="AC853" s="317">
        <f>OBRA!BW858</f>
        <v>0</v>
      </c>
      <c r="AD853" s="352"/>
    </row>
    <row r="854" spans="1:30" ht="15" hidden="1" customHeight="1">
      <c r="A854" s="22" t="s">
        <v>2206</v>
      </c>
      <c r="B854" s="809">
        <f>GRAL!B1099</f>
        <v>0</v>
      </c>
      <c r="C854" s="16">
        <f>OBRA!J859</f>
        <v>2024</v>
      </c>
      <c r="D854" s="17" t="str">
        <f>OBRA!M859</f>
        <v>CUENTA CORRIENTE</v>
      </c>
      <c r="E854" s="1170"/>
      <c r="F854" s="1108"/>
      <c r="G854" s="219"/>
      <c r="H854" s="1108"/>
      <c r="I854" s="54" t="str">
        <f>OBRA!W859</f>
        <v>CONSTRUCTORA ELITE Y MOVIMIENTOS DE TIERRAS, S.A. DE C.V.</v>
      </c>
      <c r="J854" s="55" t="str">
        <f>OBRA!X859</f>
        <v>ING. LUIS RIGOBERTO OLMEDO NAVARRO</v>
      </c>
      <c r="K854" s="19" t="str">
        <f>OBRA!N859</f>
        <v>GMJ 026C- OP/2024</v>
      </c>
      <c r="L854" s="2" t="str">
        <f>OBRA!O859</f>
        <v>ADJUDICACIÓN DIRECTA</v>
      </c>
      <c r="M854" s="3" t="str">
        <f>OBRA!P859</f>
        <v>"TRABAJOS COMPLETARIOS E IMPERMEABILIZACIÓN DEL DEPÓSITO DE AGUA UBICADO EN LA ZONA NORTE", DE LA CABCERA MUNICIPAL DE JOCOTEPEC, JALISCO.</v>
      </c>
      <c r="N854" s="541"/>
      <c r="O854" s="541"/>
      <c r="P854" s="6">
        <f>OBRA!S859</f>
        <v>45497</v>
      </c>
      <c r="Q854" s="4">
        <f>OBRA!R859</f>
        <v>759205.81</v>
      </c>
      <c r="R854" s="4"/>
      <c r="S854" s="5">
        <f>OBRA!T859</f>
        <v>45502</v>
      </c>
      <c r="T854" s="11">
        <f>OBRA!U859</f>
        <v>45535</v>
      </c>
      <c r="U854" s="692"/>
      <c r="V854" s="203"/>
      <c r="W854" s="508"/>
      <c r="X854" s="509"/>
      <c r="Y854" s="534">
        <f>OBRA!AR859</f>
        <v>152249.79</v>
      </c>
      <c r="Z854" s="309"/>
      <c r="AA854" s="309"/>
      <c r="AB854" s="5"/>
      <c r="AC854" s="317">
        <f>OBRA!BW859</f>
        <v>0</v>
      </c>
      <c r="AD854" s="352"/>
    </row>
    <row r="855" spans="1:30" ht="15" hidden="1" customHeight="1">
      <c r="A855" s="22" t="s">
        <v>2206</v>
      </c>
      <c r="B855" s="809">
        <f>GRAL!B1100</f>
        <v>0</v>
      </c>
      <c r="C855" s="16">
        <f>OBRA!J860</f>
        <v>2024</v>
      </c>
      <c r="D855" s="17" t="str">
        <f>OBRA!M860</f>
        <v xml:space="preserve">FORTAMUN </v>
      </c>
      <c r="E855" s="1170"/>
      <c r="F855" s="1108"/>
      <c r="G855" s="219"/>
      <c r="H855" s="1108"/>
      <c r="I855" s="54" t="str">
        <f>OBRA!W860</f>
        <v>SOLEC ENERGY, S.A. DE C.V.</v>
      </c>
      <c r="J855" s="55">
        <f>OBRA!X860</f>
        <v>0</v>
      </c>
      <c r="K855" s="19" t="str">
        <f>OBRA!N860</f>
        <v>GMJ 027C- OP/2024</v>
      </c>
      <c r="L855" s="2" t="str">
        <f>OBRA!O860</f>
        <v>ADJUDICACIÓN DIRECTA</v>
      </c>
      <c r="M855" s="3" t="str">
        <f>OBRA!P860</f>
        <v>"PROYECTO DE ELECTRIFICACIÓN DE UNIDAD DEPORTIVA DE MEDIA Y BAJA TENSIÓN", EN LA LOCALIDAD DE CHANTEPEC, MUNICIPIO DE JOCOTEPEC, JALISCO.</v>
      </c>
      <c r="N855" s="541"/>
      <c r="O855" s="541"/>
      <c r="P855" s="6">
        <f>OBRA!S860</f>
        <v>45507</v>
      </c>
      <c r="Q855" s="4">
        <f>OBRA!R860</f>
        <v>779373.61</v>
      </c>
      <c r="R855" s="4"/>
      <c r="S855" s="5">
        <f>OBRA!T860</f>
        <v>45510</v>
      </c>
      <c r="T855" s="11">
        <f>OBRA!U860</f>
        <v>45527</v>
      </c>
      <c r="U855" s="692"/>
      <c r="V855" s="203"/>
      <c r="W855" s="508"/>
      <c r="X855" s="509"/>
      <c r="Y855" s="534">
        <f>OBRA!AR860</f>
        <v>0</v>
      </c>
      <c r="Z855" s="309"/>
      <c r="AA855" s="309"/>
      <c r="AB855" s="5"/>
      <c r="AC855" s="317" t="str">
        <f>OBRA!BW860</f>
        <v>FALTA TODO EXPEDIENTE</v>
      </c>
      <c r="AD855" s="352"/>
    </row>
    <row r="856" spans="1:30" ht="15" hidden="1" customHeight="1">
      <c r="A856" s="22" t="s">
        <v>2206</v>
      </c>
      <c r="B856" s="809">
        <f>GRAL!B1101</f>
        <v>0</v>
      </c>
      <c r="C856" s="16">
        <f>OBRA!J861</f>
        <v>2024</v>
      </c>
      <c r="D856" s="17" t="str">
        <f>OBRA!M861</f>
        <v xml:space="preserve">FORTAMUN </v>
      </c>
      <c r="E856" s="1170"/>
      <c r="F856" s="1108"/>
      <c r="G856" s="219"/>
      <c r="H856" s="1108"/>
      <c r="I856" s="54" t="str">
        <f>OBRA!W861</f>
        <v>ING. MARCO ANTONIO PAREDES RODRÍGUEZ</v>
      </c>
      <c r="J856" s="55" t="str">
        <f>OBRA!X861</f>
        <v>ING. LUIS RIGOBERTO OLMEDO NAVARRO</v>
      </c>
      <c r="K856" s="19" t="str">
        <f>OBRA!N861</f>
        <v>GMJ 028C- OP/2024</v>
      </c>
      <c r="L856" s="2" t="str">
        <f>OBRA!O861</f>
        <v>ADJUDICACIÓN DIRECTA</v>
      </c>
      <c r="M856" s="3" t="str">
        <f>OBRA!P861</f>
        <v>"ADECUACIÓN DE ELECTRIFICACIÓN, EQUIPAMIENTO Y TREN DE DESCARGA DEL POZO DE AGUA POTABLE EN CALLE MORELOS ENTRE CALLE GONZALEZ ORTEGA Y CALLE NICOLÁS BRAVO", EN LOCALIDAD DE NEXTIPAC, MUNICIPIO DE JOCOTEPEC, JALISCO.</v>
      </c>
      <c r="N856" s="541"/>
      <c r="O856" s="541"/>
      <c r="P856" s="6">
        <f>OBRA!S861</f>
        <v>0</v>
      </c>
      <c r="Q856" s="4">
        <f>OBRA!R861</f>
        <v>1025125.64</v>
      </c>
      <c r="R856" s="4"/>
      <c r="S856" s="5">
        <f>OBRA!T861</f>
        <v>45516</v>
      </c>
      <c r="T856" s="11">
        <f>OBRA!U861</f>
        <v>45526</v>
      </c>
      <c r="U856" s="692"/>
      <c r="V856" s="203"/>
      <c r="W856" s="508"/>
      <c r="X856" s="509"/>
      <c r="Y856" s="534">
        <f>OBRA!AR861</f>
        <v>0</v>
      </c>
      <c r="Z856" s="309"/>
      <c r="AA856" s="309"/>
      <c r="AB856" s="5"/>
      <c r="AC856" s="317">
        <f>OBRA!BW861</f>
        <v>0</v>
      </c>
      <c r="AD856" s="352"/>
    </row>
    <row r="857" spans="1:30" ht="15" hidden="1" customHeight="1">
      <c r="A857" s="22" t="s">
        <v>2206</v>
      </c>
      <c r="B857" s="809">
        <f>GRAL!B1102</f>
        <v>0</v>
      </c>
      <c r="C857" s="16">
        <f>OBRA!J862</f>
        <v>2024</v>
      </c>
      <c r="D857" s="17" t="str">
        <f>OBRA!M862</f>
        <v>CUENTA CORRIENTE</v>
      </c>
      <c r="E857" s="1170"/>
      <c r="F857" s="1108"/>
      <c r="G857" s="219"/>
      <c r="H857" s="1108"/>
      <c r="I857" s="54" t="str">
        <f>OBRA!W862</f>
        <v>C. OSCAR HERNÁNDEZ HERNÁNDEZ</v>
      </c>
      <c r="J857" s="55">
        <f>OBRA!X862</f>
        <v>0</v>
      </c>
      <c r="K857" s="19" t="str">
        <f>OBRA!N862</f>
        <v>GMJ 029C- OP/2024</v>
      </c>
      <c r="L857" s="2" t="str">
        <f>OBRA!O862</f>
        <v>ADJUDICACIÓN DIRECTA</v>
      </c>
      <c r="M857" s="3" t="str">
        <f>OBRA!P862</f>
        <v>"MANTENIMIENTO DE PINTURA E IMPERMEABILIZACIÓN, RETIRO Y COLOCACIÓN DE PISOS EN PLANTA DE AZOTEA EN EDIFICIO ADMINISTRATIVO DE CALLE HIDALGO SUR # 187" EN LA CABECERA MUNICIPAL DE JOCOTEPEC, JALISCO</v>
      </c>
      <c r="N857" s="541"/>
      <c r="O857" s="541"/>
      <c r="P857" s="6">
        <f>OBRA!S862</f>
        <v>45531</v>
      </c>
      <c r="Q857" s="4">
        <f>OBRA!R862</f>
        <v>347680.34</v>
      </c>
      <c r="R857" s="4"/>
      <c r="S857" s="5">
        <f>OBRA!T862</f>
        <v>45535</v>
      </c>
      <c r="T857" s="11">
        <f>OBRA!U862</f>
        <v>45551</v>
      </c>
      <c r="U857" s="692"/>
      <c r="V857" s="203"/>
      <c r="W857" s="508"/>
      <c r="X857" s="509"/>
      <c r="Y857" s="534">
        <f>OBRA!AR862</f>
        <v>0</v>
      </c>
      <c r="Z857" s="309"/>
      <c r="AA857" s="309"/>
      <c r="AB857" s="5"/>
      <c r="AC857" s="317" t="str">
        <f>OBRA!BW862</f>
        <v>FALTA TODO EXPEDIENTE</v>
      </c>
      <c r="AD857" s="352"/>
    </row>
    <row r="858" spans="1:30" ht="15" hidden="1" customHeight="1">
      <c r="A858" s="22" t="s">
        <v>2206</v>
      </c>
      <c r="B858" s="809">
        <f>GRAL!B1103</f>
        <v>0</v>
      </c>
      <c r="C858" s="16">
        <f>OBRA!J863</f>
        <v>2024</v>
      </c>
      <c r="D858" s="17" t="str">
        <f>OBRA!M863</f>
        <v>CUENTA CORRIENTE</v>
      </c>
      <c r="E858" s="1170"/>
      <c r="F858" s="1108"/>
      <c r="G858" s="219"/>
      <c r="H858" s="1108"/>
      <c r="I858" s="54" t="str">
        <f>OBRA!W863</f>
        <v>ALSERCON SA DE CV</v>
      </c>
      <c r="J858" s="55">
        <f>OBRA!X863</f>
        <v>0</v>
      </c>
      <c r="K858" s="19" t="str">
        <f>OBRA!N863</f>
        <v>GMJ 030C- OP/2024</v>
      </c>
      <c r="L858" s="2" t="str">
        <f>OBRA!O863</f>
        <v>ADJUDICACIÓN DIRECTA</v>
      </c>
      <c r="M858" s="3" t="str">
        <f>OBRA!P863</f>
        <v>"MANTENIMIENTO DE CANCHA DE USOS MULTIPLES UBICADA EN ZONA DEL MALECÓN", EN LA LOCALIDAD DE SAN JUAN COSALÁ, MUNICIPIO DE JOCOTEPEC, JALISCO.</v>
      </c>
      <c r="N858" s="541"/>
      <c r="O858" s="541"/>
      <c r="P858" s="6">
        <f>OBRA!S863</f>
        <v>45532</v>
      </c>
      <c r="Q858" s="4">
        <f>OBRA!R863</f>
        <v>215269.78</v>
      </c>
      <c r="R858" s="4"/>
      <c r="S858" s="5">
        <f>OBRA!T863</f>
        <v>45534</v>
      </c>
      <c r="T858" s="11">
        <f>OBRA!U863</f>
        <v>45548</v>
      </c>
      <c r="U858" s="692"/>
      <c r="V858" s="203"/>
      <c r="W858" s="508"/>
      <c r="X858" s="509"/>
      <c r="Y858" s="534">
        <f>OBRA!AR863</f>
        <v>0</v>
      </c>
      <c r="Z858" s="309"/>
      <c r="AA858" s="309"/>
      <c r="AB858" s="5"/>
      <c r="AC858" s="317" t="str">
        <f>OBRA!BW863</f>
        <v>FALTA TODO EXPEDIENTE</v>
      </c>
      <c r="AD858" s="352"/>
    </row>
    <row r="859" spans="1:30" ht="15" hidden="1" customHeight="1">
      <c r="A859" s="22" t="s">
        <v>2206</v>
      </c>
      <c r="B859" s="809">
        <f>GRAL!B1104</f>
        <v>0</v>
      </c>
      <c r="C859" s="16">
        <f>OBRA!J864</f>
        <v>2024</v>
      </c>
      <c r="D859" s="17" t="str">
        <f>OBRA!M864</f>
        <v>CUENTA CORRIENTE</v>
      </c>
      <c r="E859" s="1170"/>
      <c r="F859" s="1108"/>
      <c r="G859" s="219"/>
      <c r="H859" s="1108"/>
      <c r="I859" s="54" t="str">
        <f>OBRA!W864</f>
        <v>SOLEC ENERGY, S.A. DE C.V.</v>
      </c>
      <c r="J859" s="55" t="str">
        <f>OBRA!X864</f>
        <v>ING. LUIS RIGOBERTO OLMEDO NAVARRO</v>
      </c>
      <c r="K859" s="19" t="str">
        <f>OBRA!N864</f>
        <v>GMJ 031C- OP/2024</v>
      </c>
      <c r="L859" s="2" t="str">
        <f>OBRA!O864</f>
        <v>ADJUDICACIÓN DIRECTA</v>
      </c>
      <c r="M859" s="3" t="str">
        <f>OBRA!P864</f>
        <v>"ELECTRIFICACIÓN DE LOCALES COMERCIALES EN PLAZA CÍVICA", EN LA LOCALIDAD DE CHANTEPEC, MUNICIPIO DE JOCOTEPEC, JALISCO</v>
      </c>
      <c r="N859" s="541"/>
      <c r="O859" s="541"/>
      <c r="P859" s="6">
        <f>OBRA!S864</f>
        <v>45532</v>
      </c>
      <c r="Q859" s="4">
        <f>OBRA!R864</f>
        <v>672254.43</v>
      </c>
      <c r="R859" s="4"/>
      <c r="S859" s="5">
        <f>OBRA!T864</f>
        <v>45533</v>
      </c>
      <c r="T859" s="11">
        <f>OBRA!U864</f>
        <v>45562</v>
      </c>
      <c r="U859" s="692"/>
      <c r="V859" s="203"/>
      <c r="W859" s="508"/>
      <c r="X859" s="509"/>
      <c r="Y859" s="534">
        <f>OBRA!AR864</f>
        <v>0</v>
      </c>
      <c r="Z859" s="309"/>
      <c r="AA859" s="309"/>
      <c r="AB859" s="5"/>
      <c r="AC859" s="317">
        <f>OBRA!BW864</f>
        <v>0</v>
      </c>
      <c r="AD859" s="352"/>
    </row>
    <row r="860" spans="1:30" ht="15" hidden="1" customHeight="1">
      <c r="A860" s="22" t="s">
        <v>2206</v>
      </c>
      <c r="B860" s="809">
        <f>GRAL!B1105</f>
        <v>0</v>
      </c>
      <c r="C860" s="16">
        <f>OBRA!J865</f>
        <v>2024</v>
      </c>
      <c r="D860" s="17">
        <f>OBRA!M865</f>
        <v>0</v>
      </c>
      <c r="E860" s="1170"/>
      <c r="F860" s="1108"/>
      <c r="G860" s="219"/>
      <c r="H860" s="1108"/>
      <c r="I860" s="54" t="str">
        <f>OBRA!W865</f>
        <v>-</v>
      </c>
      <c r="J860" s="55">
        <f>OBRA!X865</f>
        <v>0</v>
      </c>
      <c r="K860" s="19" t="str">
        <f>OBRA!N865</f>
        <v>GMJ 032C- OP/2024</v>
      </c>
      <c r="L860" s="2" t="str">
        <f>OBRA!O865</f>
        <v>CANCELADA</v>
      </c>
      <c r="M860" s="3">
        <f>OBRA!P865</f>
        <v>0</v>
      </c>
      <c r="N860" s="541"/>
      <c r="O860" s="541"/>
      <c r="P860" s="6">
        <f>OBRA!S865</f>
        <v>0</v>
      </c>
      <c r="Q860" s="4">
        <f>OBRA!R865</f>
        <v>0</v>
      </c>
      <c r="R860" s="4"/>
      <c r="S860" s="5">
        <f>OBRA!T865</f>
        <v>0</v>
      </c>
      <c r="T860" s="11">
        <f>OBRA!U865</f>
        <v>0</v>
      </c>
      <c r="U860" s="692"/>
      <c r="V860" s="203"/>
      <c r="W860" s="508"/>
      <c r="X860" s="509"/>
      <c r="Y860" s="534">
        <f>OBRA!AR865</f>
        <v>0</v>
      </c>
      <c r="Z860" s="309"/>
      <c r="AA860" s="309"/>
      <c r="AB860" s="5"/>
      <c r="AC860" s="317">
        <f>OBRA!BW865</f>
        <v>0</v>
      </c>
      <c r="AD860" s="352"/>
    </row>
    <row r="861" spans="1:30" ht="15" hidden="1" customHeight="1">
      <c r="A861" s="22" t="s">
        <v>2206</v>
      </c>
      <c r="B861" s="809">
        <f>GRAL!B1106</f>
        <v>0</v>
      </c>
      <c r="C861" s="16">
        <f>OBRA!J866</f>
        <v>2024</v>
      </c>
      <c r="D861" s="17" t="str">
        <f>OBRA!M866</f>
        <v>CUENTA CORRIENTE</v>
      </c>
      <c r="E861" s="1170"/>
      <c r="F861" s="1108"/>
      <c r="G861" s="219"/>
      <c r="H861" s="1108"/>
      <c r="I861" s="54" t="str">
        <f>OBRA!W866</f>
        <v>SERGIO CABRERA</v>
      </c>
      <c r="J861" s="55" t="str">
        <f>OBRA!X866</f>
        <v>IMELDA KARINA PÉREZ GONZÁLEZ</v>
      </c>
      <c r="K861" s="19" t="str">
        <f>OBRA!N866</f>
        <v>GMJ 033C- OP/2024</v>
      </c>
      <c r="L861" s="2" t="str">
        <f>OBRA!O866</f>
        <v>ADJUDICACIÓN DIRECTA</v>
      </c>
      <c r="M861" s="3" t="str">
        <f>OBRA!P866</f>
        <v>"INSTALACIÓN DE REDUCTORES DE VELOCIDAD EN CRUCERO", EN LA LOCALIDAD DE HUEJOTITÁN, MUNICIPIO DE JOCOTEPEC, JALISCO.</v>
      </c>
      <c r="N861" s="541"/>
      <c r="O861" s="541"/>
      <c r="P861" s="6">
        <f>OBRA!S866</f>
        <v>45532</v>
      </c>
      <c r="Q861" s="4">
        <f>OBRA!R866</f>
        <v>299463.51</v>
      </c>
      <c r="R861" s="4"/>
      <c r="S861" s="5">
        <f>OBRA!T866</f>
        <v>45536</v>
      </c>
      <c r="T861" s="11">
        <f>OBRA!U866</f>
        <v>45540</v>
      </c>
      <c r="U861" s="692"/>
      <c r="V861" s="203"/>
      <c r="W861" s="508"/>
      <c r="X861" s="509"/>
      <c r="Y861" s="534">
        <f>OBRA!AR866</f>
        <v>0</v>
      </c>
      <c r="Z861" s="309"/>
      <c r="AA861" s="309"/>
      <c r="AB861" s="5"/>
      <c r="AC861" s="317">
        <f>OBRA!BW866</f>
        <v>0</v>
      </c>
      <c r="AD861" s="352"/>
    </row>
    <row r="862" spans="1:30" ht="15" hidden="1" customHeight="1">
      <c r="A862" s="22" t="s">
        <v>2206</v>
      </c>
      <c r="B862" s="809">
        <f>GRAL!B1107</f>
        <v>0</v>
      </c>
      <c r="C862" s="16">
        <f>OBRA!J867</f>
        <v>2024</v>
      </c>
      <c r="D862" s="17" t="str">
        <f>OBRA!M867</f>
        <v>CUENTA CORRIENTE</v>
      </c>
      <c r="E862" s="1170"/>
      <c r="F862" s="1108"/>
      <c r="G862" s="219"/>
      <c r="H862" s="1108"/>
      <c r="I862" s="54" t="str">
        <f>OBRA!W867</f>
        <v xml:space="preserve">DORIA &amp; SAMPIER CONSTRUCTORA, S.A. DE C.V. </v>
      </c>
      <c r="J862" s="55" t="str">
        <f>OBRA!X867</f>
        <v>ARQ. JAIME CONDE GOMEZ</v>
      </c>
      <c r="K862" s="19" t="str">
        <f>OBRA!N867</f>
        <v>GMJ 034C- OP/2024</v>
      </c>
      <c r="L862" s="2" t="str">
        <f>OBRA!O867</f>
        <v>ADJUDICACIÓN DIRECTA</v>
      </c>
      <c r="M862" s="3" t="str">
        <f>OBRA!P867</f>
        <v>"REHABILITACIÓN DE ÁREA PARA LA COLOCACIÓN DE LA CRUZ ATRIAL EN LA EXPLANADA SUR DEL TEMPLO DEL SEÑOR DEL MONTE", EN LA CABECERA MUNICIPAL DE JOCOTEPEC, JALISCO.</v>
      </c>
      <c r="N862" s="541"/>
      <c r="O862" s="541"/>
      <c r="P862" s="6">
        <f>OBRA!S867</f>
        <v>45531</v>
      </c>
      <c r="Q862" s="4">
        <f>OBRA!R867</f>
        <v>109760.7</v>
      </c>
      <c r="R862" s="4"/>
      <c r="S862" s="5">
        <f>OBRA!T867</f>
        <v>45537</v>
      </c>
      <c r="T862" s="11">
        <f>OBRA!U867</f>
        <v>45555</v>
      </c>
      <c r="U862" s="692"/>
      <c r="V862" s="203"/>
      <c r="W862" s="508"/>
      <c r="X862" s="509"/>
      <c r="Y862" s="534">
        <f>OBRA!AR867</f>
        <v>0</v>
      </c>
      <c r="Z862" s="309"/>
      <c r="AA862" s="309"/>
      <c r="AB862" s="5"/>
      <c r="AC862" s="317" t="str">
        <f>OBRA!BW867</f>
        <v>FALTA TODO EXPEDIENTE</v>
      </c>
      <c r="AD862" s="352"/>
    </row>
    <row r="863" spans="1:30" ht="15" hidden="1" customHeight="1">
      <c r="A863" s="22" t="s">
        <v>2206</v>
      </c>
      <c r="B863" s="809">
        <f>GRAL!B1108</f>
        <v>0</v>
      </c>
      <c r="C863" s="16">
        <f>OBRA!J868</f>
        <v>2024</v>
      </c>
      <c r="D863" s="17" t="str">
        <f>OBRA!M868</f>
        <v>CUENTA CORRIENTE</v>
      </c>
      <c r="E863" s="1170"/>
      <c r="F863" s="1108"/>
      <c r="G863" s="219"/>
      <c r="H863" s="1108"/>
      <c r="I863" s="54" t="str">
        <f>OBRA!W868</f>
        <v>TERRACERÍAS Y PAVIMENTOS DE LA RIBERA, S.A. DE C.V.</v>
      </c>
      <c r="J863" s="55" t="str">
        <f>OBRA!X868</f>
        <v>C. IMELDA KARINA PÉREZ GONZÁLEZ</v>
      </c>
      <c r="K863" s="19" t="str">
        <f>OBRA!N868</f>
        <v>GMJ 035C- OP/2024</v>
      </c>
      <c r="L863" s="2" t="str">
        <f>OBRA!O868</f>
        <v>ADJUDICACIÓN DIRECTA</v>
      </c>
      <c r="M863" s="3" t="str">
        <f>OBRA!P868</f>
        <v>"RECONSTRUCCIÓN DE SUPERFICIE DE RODAMIENTO EN LA CALLE MIGUEL ARANA ENTRE CALLE GONZALEZ ORTEGA Y CALLE NICOLÁS BRAVO", EN LA CABECERA MUNICIPAL JOCOTEPEC, JALISCO.</v>
      </c>
      <c r="N863" s="541"/>
      <c r="O863" s="541"/>
      <c r="P863" s="6">
        <f>OBRA!S868</f>
        <v>45537</v>
      </c>
      <c r="Q863" s="4">
        <f>OBRA!R868</f>
        <v>1641205.93</v>
      </c>
      <c r="R863" s="4"/>
      <c r="S863" s="5">
        <f>OBRA!T868</f>
        <v>45545</v>
      </c>
      <c r="T863" s="11">
        <f>OBRA!U868</f>
        <v>45550</v>
      </c>
      <c r="U863" s="692"/>
      <c r="V863" s="203"/>
      <c r="W863" s="508"/>
      <c r="X863" s="509"/>
      <c r="Y863" s="534">
        <f>OBRA!AR868</f>
        <v>0</v>
      </c>
      <c r="Z863" s="309"/>
      <c r="AA863" s="309"/>
      <c r="AB863" s="5"/>
      <c r="AC863" s="317" t="str">
        <f>OBRA!BW868</f>
        <v>FALTA TODO EXPEDIENTE</v>
      </c>
      <c r="AD863" s="352"/>
    </row>
    <row r="864" spans="1:30" ht="15" hidden="1" customHeight="1">
      <c r="A864" s="22" t="s">
        <v>2206</v>
      </c>
      <c r="B864" s="809">
        <f>GRAL!B1109</f>
        <v>0</v>
      </c>
      <c r="C864" s="16">
        <f>OBRA!J869</f>
        <v>2024</v>
      </c>
      <c r="D864" s="17" t="str">
        <f>OBRA!M869</f>
        <v>CUENTA CORRIENTE</v>
      </c>
      <c r="E864" s="1170"/>
      <c r="F864" s="1108"/>
      <c r="G864" s="219"/>
      <c r="H864" s="1108"/>
      <c r="I864" s="54" t="str">
        <f>OBRA!W869</f>
        <v>SERGIO CABRERA</v>
      </c>
      <c r="J864" s="55" t="str">
        <f>OBRA!X869</f>
        <v>C. IMELDA KARINA PÉREZ GONZÁLEZ</v>
      </c>
      <c r="K864" s="19" t="str">
        <f>OBRA!N869</f>
        <v>GMJ 036C- OP/2024</v>
      </c>
      <c r="L864" s="2" t="str">
        <f>OBRA!O869</f>
        <v>ADJUDICACIÓN DIRECTA</v>
      </c>
      <c r="M864" s="3" t="str">
        <f>OBRA!P869</f>
        <v>"RECONSTRUCCIÓN DE SUPERFICIE DE RODAMIENTO EN EL INGRESO AL POBLADO", EN LA LOCALIDAD DE HUEJOTITÁN, MUNICIPIO DE JOCOTEPEC, JALISCO.</v>
      </c>
      <c r="N864" s="541"/>
      <c r="O864" s="541"/>
      <c r="P864" s="6">
        <f>OBRA!S869</f>
        <v>45540</v>
      </c>
      <c r="Q864" s="4">
        <f>OBRA!R869</f>
        <v>2600448.56</v>
      </c>
      <c r="R864" s="4"/>
      <c r="S864" s="5">
        <f>OBRA!T869</f>
        <v>45541</v>
      </c>
      <c r="T864" s="11">
        <f>OBRA!U869</f>
        <v>45551</v>
      </c>
      <c r="U864" s="692"/>
      <c r="V864" s="203"/>
      <c r="W864" s="508"/>
      <c r="X864" s="509"/>
      <c r="Y864" s="534">
        <f>OBRA!AR869</f>
        <v>0</v>
      </c>
      <c r="Z864" s="309"/>
      <c r="AA864" s="309"/>
      <c r="AB864" s="5"/>
      <c r="AC864" s="317">
        <f>OBRA!BW869</f>
        <v>0</v>
      </c>
      <c r="AD864" s="352"/>
    </row>
    <row r="865" spans="1:30" ht="15" hidden="1" customHeight="1">
      <c r="A865" s="22" t="s">
        <v>2206</v>
      </c>
      <c r="B865" s="809">
        <f>GRAL!B1110</f>
        <v>0</v>
      </c>
      <c r="C865" s="16">
        <f>OBRA!J870</f>
        <v>2024</v>
      </c>
      <c r="D865" s="17" t="str">
        <f>OBRA!M870</f>
        <v xml:space="preserve">FORTAMUN </v>
      </c>
      <c r="E865" s="1170"/>
      <c r="F865" s="1108"/>
      <c r="G865" s="219"/>
      <c r="H865" s="1108"/>
      <c r="I865" s="54" t="str">
        <f>OBRA!W870</f>
        <v>ING. MARCO ANTONIO PAREDES RODRÍGUEZ</v>
      </c>
      <c r="J865" s="55" t="str">
        <f>OBRA!X870</f>
        <v>ING. LUIS RIGOBERTO OLMEDO NAVARRO</v>
      </c>
      <c r="K865" s="19" t="str">
        <f>OBRA!N870</f>
        <v>GMJ 037C- OP/2024</v>
      </c>
      <c r="L865" s="2" t="str">
        <f>OBRA!O870</f>
        <v>ADJUDICACIÓN DIRECTA</v>
      </c>
      <c r="M865" s="3" t="str">
        <f>OBRA!P870</f>
        <v>"MANTENIMIENTO A POZO PROFUNDO Y SUMINISTRO DE TUBERÍA UBICADO EN FRACCIONAMIENTO MAGISTERIAL", EN LA CABECERA MUNICIPAL DE JOCOTEPEC, JALISCO.</v>
      </c>
      <c r="N865" s="541"/>
      <c r="O865" s="541"/>
      <c r="P865" s="6">
        <f>OBRA!S870</f>
        <v>45562</v>
      </c>
      <c r="Q865" s="4">
        <f>OBRA!R870</f>
        <v>758548.36</v>
      </c>
      <c r="R865" s="4"/>
      <c r="S865" s="5">
        <f>OBRA!T870</f>
        <v>45562</v>
      </c>
      <c r="T865" s="11">
        <f>OBRA!U870</f>
        <v>45569</v>
      </c>
      <c r="U865" s="692"/>
      <c r="V865" s="203"/>
      <c r="W865" s="508"/>
      <c r="X865" s="509"/>
      <c r="Y865" s="534">
        <f>OBRA!AR870</f>
        <v>0</v>
      </c>
      <c r="Z865" s="309"/>
      <c r="AA865" s="309"/>
      <c r="AB865" s="5"/>
      <c r="AC865" s="317">
        <f>OBRA!BW870</f>
        <v>0</v>
      </c>
      <c r="AD865" s="352"/>
    </row>
    <row r="866" spans="1:30" ht="15" hidden="1" customHeight="1">
      <c r="A866" s="22" t="s">
        <v>2206</v>
      </c>
      <c r="B866" s="809">
        <f>GRAL!B1111</f>
        <v>0</v>
      </c>
      <c r="C866" s="16">
        <f>OBRA!J871</f>
        <v>0</v>
      </c>
      <c r="D866" s="17">
        <f>OBRA!M871</f>
        <v>0</v>
      </c>
      <c r="E866" s="1170"/>
      <c r="F866" s="1108"/>
      <c r="G866" s="219"/>
      <c r="H866" s="1108"/>
      <c r="I866" s="54">
        <f>OBRA!W871</f>
        <v>0</v>
      </c>
      <c r="J866" s="55">
        <f>OBRA!X871</f>
        <v>0</v>
      </c>
      <c r="K866" s="19">
        <f>OBRA!N871</f>
        <v>0</v>
      </c>
      <c r="L866" s="2">
        <f>OBRA!O871</f>
        <v>0</v>
      </c>
      <c r="M866" s="3">
        <f>OBRA!P871</f>
        <v>0</v>
      </c>
      <c r="N866" s="541"/>
      <c r="O866" s="541"/>
      <c r="P866" s="6">
        <f>OBRA!S871</f>
        <v>0</v>
      </c>
      <c r="Q866" s="4">
        <f>OBRA!R871</f>
        <v>0</v>
      </c>
      <c r="R866" s="4"/>
      <c r="S866" s="5">
        <f>OBRA!T871</f>
        <v>0</v>
      </c>
      <c r="T866" s="11">
        <f>OBRA!U871</f>
        <v>0</v>
      </c>
      <c r="U866" s="692"/>
      <c r="V866" s="203"/>
      <c r="W866" s="508"/>
      <c r="X866" s="509"/>
      <c r="Y866" s="534">
        <f>OBRA!AR871</f>
        <v>0</v>
      </c>
      <c r="Z866" s="309"/>
      <c r="AA866" s="309"/>
      <c r="AB866" s="5"/>
      <c r="AC866" s="317">
        <f>OBRA!BW871</f>
        <v>0</v>
      </c>
      <c r="AD866" s="352"/>
    </row>
    <row r="867" spans="1:30" ht="15" hidden="1" customHeight="1">
      <c r="A867" s="22" t="s">
        <v>2206</v>
      </c>
      <c r="B867" s="809">
        <f>GRAL!B1112</f>
        <v>0</v>
      </c>
      <c r="C867" s="16">
        <f>OBRA!J872</f>
        <v>0</v>
      </c>
      <c r="D867" s="17">
        <f>OBRA!M872</f>
        <v>0</v>
      </c>
      <c r="E867" s="1170"/>
      <c r="F867" s="1108"/>
      <c r="G867" s="219"/>
      <c r="H867" s="1108"/>
      <c r="I867" s="54">
        <f>OBRA!W872</f>
        <v>0</v>
      </c>
      <c r="J867" s="55">
        <f>OBRA!X872</f>
        <v>0</v>
      </c>
      <c r="K867" s="19">
        <f>OBRA!N872</f>
        <v>0</v>
      </c>
      <c r="L867" s="2">
        <f>OBRA!O872</f>
        <v>0</v>
      </c>
      <c r="M867" s="3">
        <f>OBRA!P872</f>
        <v>0</v>
      </c>
      <c r="N867" s="541"/>
      <c r="O867" s="541"/>
      <c r="P867" s="6">
        <f>OBRA!S872</f>
        <v>0</v>
      </c>
      <c r="Q867" s="4">
        <f>OBRA!R872</f>
        <v>0</v>
      </c>
      <c r="R867" s="4"/>
      <c r="S867" s="5">
        <f>OBRA!T872</f>
        <v>0</v>
      </c>
      <c r="T867" s="11">
        <f>OBRA!U872</f>
        <v>0</v>
      </c>
      <c r="U867" s="692"/>
      <c r="V867" s="203"/>
      <c r="W867" s="508"/>
      <c r="X867" s="509"/>
      <c r="Y867" s="534">
        <f>OBRA!AR872</f>
        <v>0</v>
      </c>
      <c r="Z867" s="309"/>
      <c r="AA867" s="309"/>
      <c r="AB867" s="5"/>
      <c r="AC867" s="317">
        <f>OBRA!BW872</f>
        <v>0</v>
      </c>
      <c r="AD867" s="352"/>
    </row>
    <row r="868" spans="1:30" ht="15" hidden="1" customHeight="1">
      <c r="A868" s="22" t="s">
        <v>2206</v>
      </c>
      <c r="B868" s="809">
        <f>GRAL!B1113</f>
        <v>0</v>
      </c>
      <c r="C868" s="16">
        <f>OBRA!J873</f>
        <v>0</v>
      </c>
      <c r="D868" s="17">
        <f>OBRA!M873</f>
        <v>0</v>
      </c>
      <c r="E868" s="1170"/>
      <c r="F868" s="1108"/>
      <c r="G868" s="219"/>
      <c r="H868" s="1108"/>
      <c r="I868" s="54">
        <f>OBRA!W873</f>
        <v>0</v>
      </c>
      <c r="J868" s="55">
        <f>OBRA!X873</f>
        <v>0</v>
      </c>
      <c r="K868" s="19">
        <f>OBRA!N873</f>
        <v>0</v>
      </c>
      <c r="L868" s="2">
        <f>OBRA!O873</f>
        <v>0</v>
      </c>
      <c r="M868" s="3">
        <f>OBRA!P873</f>
        <v>0</v>
      </c>
      <c r="N868" s="541"/>
      <c r="O868" s="541"/>
      <c r="P868" s="6">
        <f>OBRA!S873</f>
        <v>0</v>
      </c>
      <c r="Q868" s="4">
        <f>OBRA!R873</f>
        <v>0</v>
      </c>
      <c r="R868" s="4"/>
      <c r="S868" s="5">
        <f>OBRA!T873</f>
        <v>0</v>
      </c>
      <c r="T868" s="11">
        <f>OBRA!U873</f>
        <v>0</v>
      </c>
      <c r="U868" s="692"/>
      <c r="V868" s="203"/>
      <c r="W868" s="508"/>
      <c r="X868" s="509"/>
      <c r="Y868" s="534">
        <f>OBRA!AR873</f>
        <v>0</v>
      </c>
      <c r="Z868" s="309"/>
      <c r="AA868" s="309"/>
      <c r="AB868" s="5"/>
      <c r="AC868" s="317">
        <f>OBRA!BW873</f>
        <v>0</v>
      </c>
      <c r="AD868" s="352"/>
    </row>
    <row r="869" spans="1:30" ht="15" hidden="1" customHeight="1">
      <c r="A869" s="22" t="s">
        <v>2206</v>
      </c>
      <c r="B869" s="809">
        <f>GRAL!B1114</f>
        <v>0</v>
      </c>
      <c r="C869" s="16">
        <f>OBRA!J874</f>
        <v>0</v>
      </c>
      <c r="D869" s="17">
        <f>OBRA!M874</f>
        <v>0</v>
      </c>
      <c r="E869" s="1170"/>
      <c r="F869" s="1108"/>
      <c r="G869" s="219"/>
      <c r="H869" s="1108"/>
      <c r="I869" s="54">
        <f>OBRA!W874</f>
        <v>0</v>
      </c>
      <c r="J869" s="55">
        <f>OBRA!X874</f>
        <v>0</v>
      </c>
      <c r="K869" s="19">
        <f>OBRA!N874</f>
        <v>0</v>
      </c>
      <c r="L869" s="2">
        <f>OBRA!O874</f>
        <v>0</v>
      </c>
      <c r="M869" s="3">
        <f>OBRA!P874</f>
        <v>0</v>
      </c>
      <c r="N869" s="541"/>
      <c r="O869" s="541"/>
      <c r="P869" s="6">
        <f>OBRA!S874</f>
        <v>0</v>
      </c>
      <c r="Q869" s="4">
        <f>OBRA!R874</f>
        <v>0</v>
      </c>
      <c r="R869" s="4"/>
      <c r="S869" s="5">
        <f>OBRA!T874</f>
        <v>0</v>
      </c>
      <c r="T869" s="11">
        <f>OBRA!U874</f>
        <v>0</v>
      </c>
      <c r="U869" s="692"/>
      <c r="V869" s="203"/>
      <c r="W869" s="508"/>
      <c r="X869" s="509"/>
      <c r="Y869" s="534">
        <f>OBRA!AR874</f>
        <v>0</v>
      </c>
      <c r="Z869" s="309"/>
      <c r="AA869" s="309"/>
      <c r="AB869" s="5"/>
      <c r="AC869" s="317">
        <f>OBRA!BW874</f>
        <v>0</v>
      </c>
      <c r="AD869" s="352"/>
    </row>
    <row r="870" spans="1:30" ht="15" hidden="1" customHeight="1">
      <c r="A870" s="22" t="s">
        <v>2206</v>
      </c>
      <c r="B870" s="809">
        <f>GRAL!B1115</f>
        <v>0</v>
      </c>
      <c r="C870" s="16">
        <f>OBRA!J875</f>
        <v>0</v>
      </c>
      <c r="D870" s="17">
        <f>OBRA!M875</f>
        <v>0</v>
      </c>
      <c r="E870" s="1170"/>
      <c r="F870" s="1108"/>
      <c r="G870" s="219"/>
      <c r="H870" s="1108"/>
      <c r="I870" s="54">
        <f>OBRA!W875</f>
        <v>0</v>
      </c>
      <c r="J870" s="55">
        <f>OBRA!X875</f>
        <v>0</v>
      </c>
      <c r="K870" s="19">
        <f>OBRA!N875</f>
        <v>0</v>
      </c>
      <c r="L870" s="2">
        <f>OBRA!O875</f>
        <v>0</v>
      </c>
      <c r="M870" s="3">
        <f>OBRA!P875</f>
        <v>0</v>
      </c>
      <c r="N870" s="541"/>
      <c r="O870" s="541"/>
      <c r="P870" s="6">
        <f>OBRA!S875</f>
        <v>0</v>
      </c>
      <c r="Q870" s="4">
        <f>OBRA!R875</f>
        <v>0</v>
      </c>
      <c r="R870" s="4"/>
      <c r="S870" s="5">
        <f>OBRA!T875</f>
        <v>0</v>
      </c>
      <c r="T870" s="11">
        <f>OBRA!U875</f>
        <v>0</v>
      </c>
      <c r="U870" s="692"/>
      <c r="V870" s="203"/>
      <c r="W870" s="508"/>
      <c r="X870" s="509"/>
      <c r="Y870" s="534">
        <f>OBRA!AR875</f>
        <v>0</v>
      </c>
      <c r="Z870" s="309"/>
      <c r="AA870" s="309"/>
      <c r="AB870" s="5"/>
      <c r="AC870" s="317">
        <f>OBRA!BW875</f>
        <v>0</v>
      </c>
      <c r="AD870" s="352"/>
    </row>
    <row r="871" spans="1:30" ht="15" hidden="1" customHeight="1">
      <c r="A871" s="22" t="s">
        <v>2206</v>
      </c>
      <c r="B871" s="809">
        <f>GRAL!B1116</f>
        <v>0</v>
      </c>
      <c r="C871" s="16">
        <f>OBRA!J876</f>
        <v>0</v>
      </c>
      <c r="D871" s="17">
        <f>OBRA!M876</f>
        <v>0</v>
      </c>
      <c r="E871" s="1170"/>
      <c r="F871" s="1108"/>
      <c r="G871" s="219"/>
      <c r="H871" s="1108"/>
      <c r="I871" s="54">
        <f>OBRA!W876</f>
        <v>0</v>
      </c>
      <c r="J871" s="55">
        <f>OBRA!X876</f>
        <v>0</v>
      </c>
      <c r="K871" s="19">
        <f>OBRA!N876</f>
        <v>0</v>
      </c>
      <c r="L871" s="2">
        <f>OBRA!O876</f>
        <v>0</v>
      </c>
      <c r="M871" s="3">
        <f>OBRA!P876</f>
        <v>0</v>
      </c>
      <c r="N871" s="541"/>
      <c r="O871" s="541"/>
      <c r="P871" s="6">
        <f>OBRA!S876</f>
        <v>0</v>
      </c>
      <c r="Q871" s="4">
        <f>OBRA!R876</f>
        <v>0</v>
      </c>
      <c r="R871" s="4"/>
      <c r="S871" s="5">
        <f>OBRA!T876</f>
        <v>0</v>
      </c>
      <c r="T871" s="11">
        <f>OBRA!U876</f>
        <v>0</v>
      </c>
      <c r="U871" s="692"/>
      <c r="V871" s="203"/>
      <c r="W871" s="508"/>
      <c r="X871" s="509"/>
      <c r="Y871" s="534">
        <f>OBRA!AR876</f>
        <v>0</v>
      </c>
      <c r="Z871" s="309"/>
      <c r="AA871" s="309"/>
      <c r="AB871" s="5"/>
      <c r="AC871" s="317">
        <f>OBRA!BW876</f>
        <v>0</v>
      </c>
      <c r="AD871" s="352"/>
    </row>
    <row r="872" spans="1:30" ht="15" hidden="1" customHeight="1">
      <c r="A872" s="22" t="s">
        <v>2206</v>
      </c>
      <c r="B872" s="809">
        <f>GRAL!B1117</f>
        <v>0</v>
      </c>
      <c r="C872" s="16">
        <f>OBRA!J877</f>
        <v>0</v>
      </c>
      <c r="D872" s="17">
        <f>OBRA!M877</f>
        <v>0</v>
      </c>
      <c r="E872" s="1170"/>
      <c r="F872" s="1108"/>
      <c r="G872" s="219"/>
      <c r="H872" s="1108"/>
      <c r="I872" s="54">
        <f>OBRA!W877</f>
        <v>0</v>
      </c>
      <c r="J872" s="55">
        <f>OBRA!X877</f>
        <v>0</v>
      </c>
      <c r="K872" s="19">
        <f>OBRA!N877</f>
        <v>0</v>
      </c>
      <c r="L872" s="2">
        <f>OBRA!O877</f>
        <v>0</v>
      </c>
      <c r="M872" s="3">
        <f>OBRA!P877</f>
        <v>0</v>
      </c>
      <c r="N872" s="541"/>
      <c r="O872" s="541"/>
      <c r="P872" s="6">
        <f>OBRA!S877</f>
        <v>0</v>
      </c>
      <c r="Q872" s="4">
        <f>OBRA!R877</f>
        <v>0</v>
      </c>
      <c r="R872" s="4"/>
      <c r="S872" s="5">
        <f>OBRA!T877</f>
        <v>0</v>
      </c>
      <c r="T872" s="11">
        <f>OBRA!U877</f>
        <v>0</v>
      </c>
      <c r="U872" s="692"/>
      <c r="V872" s="203"/>
      <c r="W872" s="508"/>
      <c r="X872" s="509"/>
      <c r="Y872" s="534">
        <f>OBRA!AR877</f>
        <v>0</v>
      </c>
      <c r="Z872" s="309"/>
      <c r="AA872" s="309"/>
      <c r="AB872" s="5"/>
      <c r="AC872" s="317">
        <f>OBRA!BW877</f>
        <v>0</v>
      </c>
      <c r="AD872" s="352"/>
    </row>
    <row r="873" spans="1:30">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2"/>
      <c r="AA873" s="252"/>
      <c r="AB873" s="252"/>
      <c r="AC873" s="252"/>
      <c r="AD873" s="252"/>
    </row>
    <row r="874" spans="1:30" ht="15.75" thickBot="1"/>
    <row r="875" spans="1:30" ht="18.75">
      <c r="A875" s="2040" t="s">
        <v>2273</v>
      </c>
      <c r="B875" s="2041"/>
      <c r="C875" s="2041"/>
      <c r="D875" s="2041"/>
      <c r="E875" s="2041"/>
      <c r="F875" s="2041"/>
      <c r="G875" s="2041"/>
      <c r="H875" s="2041"/>
      <c r="I875" s="2041"/>
      <c r="J875" s="2041"/>
      <c r="K875" s="2042"/>
    </row>
    <row r="876" spans="1:30" ht="6" customHeight="1">
      <c r="A876" s="371"/>
      <c r="B876" s="806"/>
      <c r="K876" s="372"/>
    </row>
    <row r="877" spans="1:30" ht="18.75">
      <c r="A877" s="376">
        <v>2</v>
      </c>
      <c r="B877" s="807"/>
      <c r="D877" t="s">
        <v>2274</v>
      </c>
      <c r="K877" s="372"/>
    </row>
    <row r="878" spans="1:30" ht="18.75">
      <c r="A878" s="376">
        <v>6</v>
      </c>
      <c r="B878" s="807"/>
      <c r="D878" t="s">
        <v>2275</v>
      </c>
      <c r="K878" s="372"/>
    </row>
    <row r="879" spans="1:30" ht="16.5" thickBot="1">
      <c r="A879" s="373"/>
      <c r="B879" s="808"/>
      <c r="C879" s="374"/>
      <c r="D879" s="374"/>
      <c r="E879" s="374"/>
      <c r="F879" s="374"/>
      <c r="G879" s="374"/>
      <c r="H879" s="374"/>
      <c r="I879" s="374"/>
      <c r="J879" s="374"/>
      <c r="K879" s="375"/>
    </row>
    <row r="881" spans="1:18" s="423" customFormat="1" ht="18.75">
      <c r="A881" s="2043" t="s">
        <v>2182</v>
      </c>
      <c r="B881" s="2043"/>
      <c r="C881" s="2043"/>
      <c r="D881" s="2043"/>
      <c r="E881" s="1003"/>
    </row>
    <row r="882" spans="1:18" s="998" customFormat="1" ht="24" customHeight="1">
      <c r="A882" s="2044">
        <f>OBRA!P878</f>
        <v>45631</v>
      </c>
      <c r="B882" s="2044"/>
      <c r="C882" s="2044"/>
      <c r="D882" s="2044"/>
      <c r="E882" s="1004"/>
      <c r="M882" s="1005"/>
      <c r="Q882" s="1006"/>
      <c r="R882" s="1006"/>
    </row>
    <row r="883" spans="1:18">
      <c r="Q883" s="505"/>
      <c r="R883" s="505"/>
    </row>
  </sheetData>
  <autoFilter ref="A6:AD872" xr:uid="{00000000-0009-0000-0000-000004000000}">
    <filterColumn colId="2">
      <filters>
        <filter val="2021"/>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M868"/>
  <sheetViews>
    <sheetView tabSelected="1" view="pageBreakPreview" topLeftCell="P1" zoomScale="55" zoomScaleNormal="85" zoomScaleSheetLayoutView="55" workbookViewId="0">
      <selection activeCell="P6" sqref="A6:XFD6"/>
    </sheetView>
  </sheetViews>
  <sheetFormatPr baseColWidth="10" defaultColWidth="11.42578125" defaultRowHeight="15"/>
  <cols>
    <col min="1" max="1" width="4" customWidth="1"/>
    <col min="2" max="2" width="10.7109375" hidden="1"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hidden="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2" customWidth="1"/>
    <col min="37" max="37" width="19.85546875" style="182" customWidth="1"/>
    <col min="38" max="38" width="17.28515625" style="182" customWidth="1"/>
    <col min="39" max="39" width="13.140625" style="182" customWidth="1"/>
  </cols>
  <sheetData>
    <row r="1" spans="1:39" s="757" customFormat="1" ht="45.75" customHeight="1" thickBot="1">
      <c r="A1" s="2045" t="s">
        <v>5528</v>
      </c>
      <c r="B1" s="2045"/>
      <c r="C1" s="2045"/>
      <c r="D1" s="2045"/>
      <c r="E1" s="2045"/>
      <c r="F1" s="2045"/>
      <c r="G1" s="2045"/>
      <c r="H1" s="2045"/>
      <c r="I1" s="2045"/>
      <c r="J1" s="2045"/>
      <c r="K1" s="2045"/>
      <c r="L1" s="2045"/>
      <c r="M1" s="2045"/>
      <c r="N1" s="2045"/>
      <c r="O1" s="2045"/>
      <c r="P1" s="2045"/>
      <c r="Q1" s="2045"/>
      <c r="R1" s="2045"/>
      <c r="S1" s="2045"/>
      <c r="T1" s="2045"/>
      <c r="U1" s="2045"/>
      <c r="V1" s="2046"/>
      <c r="W1" s="2045"/>
      <c r="X1" s="2045"/>
      <c r="Y1" s="2045"/>
      <c r="Z1" s="2045"/>
      <c r="AA1" s="2045"/>
      <c r="AB1" s="2045"/>
      <c r="AC1" s="2045"/>
      <c r="AD1" s="2045"/>
      <c r="AE1" s="2045"/>
      <c r="AF1" s="2045"/>
      <c r="AG1" s="2045"/>
      <c r="AH1" s="2045"/>
      <c r="AI1" s="2045"/>
      <c r="AJ1" s="2045"/>
      <c r="AK1" s="2045"/>
      <c r="AL1" s="2045"/>
      <c r="AM1" s="2045"/>
    </row>
    <row r="2" spans="1:39" ht="30" customHeight="1" thickTop="1" thickBot="1">
      <c r="A2" s="2061" t="str">
        <f>GRAL!A2:AS2</f>
        <v>DEL 01 DE ENERO 2021 A FECHA ACTUAL</v>
      </c>
      <c r="B2" s="2062"/>
      <c r="C2" s="2062"/>
      <c r="D2" s="2062"/>
      <c r="E2" s="2062"/>
      <c r="F2" s="2062"/>
      <c r="G2" s="2062"/>
      <c r="H2" s="2062"/>
      <c r="I2" s="2062"/>
      <c r="J2" s="2062"/>
      <c r="K2" s="2062"/>
      <c r="L2" s="2062"/>
      <c r="M2" s="2062"/>
      <c r="N2" s="2062"/>
      <c r="O2" s="2062"/>
      <c r="P2" s="2062"/>
      <c r="Q2" s="2062"/>
      <c r="R2" s="2062"/>
      <c r="S2" s="2062"/>
      <c r="T2" s="2062"/>
      <c r="U2" s="2062"/>
      <c r="V2" s="2063"/>
      <c r="W2" s="2062"/>
      <c r="X2" s="2062"/>
      <c r="Y2" s="2062"/>
      <c r="Z2" s="2062"/>
      <c r="AA2" s="2062"/>
      <c r="AB2" s="2062"/>
      <c r="AC2" s="2062"/>
      <c r="AD2" s="2062"/>
      <c r="AE2" s="2062"/>
      <c r="AF2" s="2062"/>
      <c r="AG2" s="2062"/>
      <c r="AH2" s="2062"/>
      <c r="AI2" s="2062"/>
      <c r="AJ2" s="2064"/>
      <c r="AK2" s="2064"/>
      <c r="AL2" s="2064"/>
      <c r="AM2" s="2064"/>
    </row>
    <row r="3" spans="1:39" ht="33" customHeight="1" thickTop="1" thickBot="1">
      <c r="A3" s="764"/>
      <c r="B3" s="1681"/>
      <c r="C3" s="2051" t="s">
        <v>2276</v>
      </c>
      <c r="D3" s="2052"/>
      <c r="E3" s="2052"/>
      <c r="F3" s="2052"/>
      <c r="G3" s="2052"/>
      <c r="H3" s="2052"/>
      <c r="I3" s="2052"/>
      <c r="J3" s="2052"/>
      <c r="K3" s="2052"/>
      <c r="L3" s="2052"/>
      <c r="M3" s="2052"/>
      <c r="N3" s="2052"/>
      <c r="O3" s="2052"/>
      <c r="P3" s="2052"/>
      <c r="Q3" s="2052"/>
      <c r="R3" s="2053"/>
      <c r="S3" s="2054" t="s">
        <v>4</v>
      </c>
      <c r="T3" s="2054"/>
      <c r="U3" s="2055"/>
      <c r="V3" s="1451"/>
      <c r="W3" s="2047" t="s">
        <v>2</v>
      </c>
      <c r="X3" s="2048"/>
      <c r="Y3" s="2048"/>
      <c r="Z3" s="2048"/>
      <c r="AA3" s="2048"/>
      <c r="AB3" s="2049"/>
      <c r="AC3" s="2049"/>
      <c r="AD3" s="2049"/>
      <c r="AE3" s="2049"/>
      <c r="AF3" s="2049"/>
      <c r="AG3" s="2050"/>
      <c r="AH3" s="1349"/>
      <c r="AI3" s="765"/>
      <c r="AJ3" s="766"/>
      <c r="AK3" s="766"/>
      <c r="AL3" s="766"/>
      <c r="AM3" s="775"/>
    </row>
    <row r="4" spans="1:39" s="142" customFormat="1" ht="26.1" customHeight="1" thickTop="1">
      <c r="A4" s="759"/>
      <c r="B4" s="760"/>
      <c r="C4" s="760"/>
      <c r="D4" s="760"/>
      <c r="E4" s="760"/>
      <c r="F4" s="760"/>
      <c r="G4" s="760" t="s">
        <v>2185</v>
      </c>
      <c r="H4" s="761"/>
      <c r="I4" s="760"/>
      <c r="J4" s="761"/>
      <c r="K4" s="760"/>
      <c r="L4" s="761"/>
      <c r="M4" s="760"/>
      <c r="N4" s="760"/>
      <c r="O4" s="760"/>
      <c r="P4" s="761"/>
      <c r="Q4" s="760" t="s">
        <v>2277</v>
      </c>
      <c r="R4" s="762"/>
      <c r="S4" s="760" t="s">
        <v>2278</v>
      </c>
      <c r="T4" s="763" t="s">
        <v>2186</v>
      </c>
      <c r="U4" s="762"/>
      <c r="V4" s="1452"/>
      <c r="W4" s="2060" t="s">
        <v>2279</v>
      </c>
      <c r="X4" s="2059"/>
      <c r="Y4" s="155" t="s">
        <v>2193</v>
      </c>
      <c r="Z4" s="2058" t="s">
        <v>2194</v>
      </c>
      <c r="AA4" s="2059"/>
      <c r="AB4" s="135"/>
      <c r="AC4" s="135"/>
      <c r="AD4" s="135"/>
      <c r="AE4" s="135"/>
      <c r="AF4" s="135"/>
      <c r="AG4" s="136"/>
      <c r="AH4" s="1347" t="s">
        <v>3814</v>
      </c>
      <c r="AI4" s="387" t="s">
        <v>2195</v>
      </c>
      <c r="AJ4" s="758" t="s">
        <v>2280</v>
      </c>
      <c r="AK4" s="758" t="s">
        <v>2281</v>
      </c>
      <c r="AL4" s="1039" t="s">
        <v>2282</v>
      </c>
      <c r="AM4" s="776"/>
    </row>
    <row r="5" spans="1:39" ht="55.5" customHeight="1" thickBot="1">
      <c r="A5" s="157" t="s">
        <v>19</v>
      </c>
      <c r="B5" s="120" t="s">
        <v>4838</v>
      </c>
      <c r="C5" s="380" t="s">
        <v>2283</v>
      </c>
      <c r="D5" s="145" t="s">
        <v>2284</v>
      </c>
      <c r="E5" s="154" t="s">
        <v>5802</v>
      </c>
      <c r="F5" s="154" t="s">
        <v>2285</v>
      </c>
      <c r="G5" s="378" t="s">
        <v>2286</v>
      </c>
      <c r="H5" s="153" t="s">
        <v>2287</v>
      </c>
      <c r="I5" s="145" t="s">
        <v>2288</v>
      </c>
      <c r="J5" s="145" t="s">
        <v>2289</v>
      </c>
      <c r="K5" s="379" t="s">
        <v>2290</v>
      </c>
      <c r="L5" s="145" t="s">
        <v>2291</v>
      </c>
      <c r="M5" s="145" t="s">
        <v>4585</v>
      </c>
      <c r="N5" s="145" t="s">
        <v>2292</v>
      </c>
      <c r="O5" s="43" t="s">
        <v>2293</v>
      </c>
      <c r="P5" s="43" t="s">
        <v>2294</v>
      </c>
      <c r="Q5" s="405" t="s">
        <v>2295</v>
      </c>
      <c r="R5" s="49" t="s">
        <v>2296</v>
      </c>
      <c r="S5" s="383" t="s">
        <v>2297</v>
      </c>
      <c r="T5" s="43" t="s">
        <v>28</v>
      </c>
      <c r="U5" s="364" t="s">
        <v>29</v>
      </c>
      <c r="V5" s="1453" t="s">
        <v>59</v>
      </c>
      <c r="W5" s="41" t="s">
        <v>21</v>
      </c>
      <c r="X5" s="47" t="s">
        <v>1412</v>
      </c>
      <c r="Y5" s="50" t="s">
        <v>1414</v>
      </c>
      <c r="Z5" s="111" t="s">
        <v>2196</v>
      </c>
      <c r="AA5" s="50" t="s">
        <v>2298</v>
      </c>
      <c r="AB5" s="42" t="s">
        <v>22</v>
      </c>
      <c r="AC5" s="43" t="s">
        <v>23</v>
      </c>
      <c r="AD5" s="43" t="s">
        <v>24</v>
      </c>
      <c r="AE5" s="43" t="s">
        <v>25</v>
      </c>
      <c r="AF5" s="43" t="s">
        <v>26</v>
      </c>
      <c r="AG5" s="44" t="s">
        <v>27</v>
      </c>
      <c r="AH5" s="1350" t="s">
        <v>3813</v>
      </c>
      <c r="AI5" s="392" t="s">
        <v>2299</v>
      </c>
      <c r="AJ5" s="393" t="s">
        <v>2300</v>
      </c>
      <c r="AK5" s="393" t="s">
        <v>1424</v>
      </c>
      <c r="AL5" s="773" t="s">
        <v>2202</v>
      </c>
      <c r="AM5" s="777" t="s">
        <v>1409</v>
      </c>
    </row>
    <row r="6" spans="1:39" s="729" customFormat="1" ht="27.75" hidden="1" customHeight="1" thickTop="1" thickBot="1">
      <c r="A6" s="751"/>
      <c r="B6" s="733"/>
      <c r="C6" s="752"/>
      <c r="D6" s="714"/>
      <c r="E6" s="741"/>
      <c r="F6" s="741"/>
      <c r="G6" s="753"/>
      <c r="H6" s="713"/>
      <c r="I6" s="714"/>
      <c r="J6" s="714"/>
      <c r="K6" s="753"/>
      <c r="L6" s="713"/>
      <c r="M6" s="713"/>
      <c r="N6" s="713"/>
      <c r="O6" s="725"/>
      <c r="P6" s="725"/>
      <c r="Q6" s="754"/>
      <c r="R6" s="728"/>
      <c r="S6" s="714"/>
      <c r="T6" s="725"/>
      <c r="U6" s="722"/>
      <c r="V6" s="730"/>
      <c r="W6" s="716"/>
      <c r="X6" s="737"/>
      <c r="Y6" s="755"/>
      <c r="Z6" s="756"/>
      <c r="AA6" s="755"/>
      <c r="AB6" s="717"/>
      <c r="AC6" s="718"/>
      <c r="AD6" s="718"/>
      <c r="AE6" s="718"/>
      <c r="AF6" s="718"/>
      <c r="AG6" s="1580"/>
      <c r="AH6" s="723"/>
      <c r="AI6" s="740"/>
      <c r="AJ6" s="741"/>
      <c r="AK6" s="741"/>
      <c r="AL6" s="774"/>
      <c r="AM6" s="778"/>
    </row>
    <row r="7" spans="1:39" s="299" customFormat="1" ht="45.75" hidden="1" thickTop="1">
      <c r="A7" s="300">
        <f>OBRA!J6</f>
        <v>2013</v>
      </c>
      <c r="B7" s="1682"/>
      <c r="C7" s="767"/>
      <c r="D7" s="301"/>
      <c r="E7" s="302"/>
      <c r="F7" s="302"/>
      <c r="G7" s="841"/>
      <c r="H7" s="303">
        <f>OBRA!AF6</f>
        <v>41488</v>
      </c>
      <c r="I7" s="842"/>
      <c r="J7" s="843" t="str">
        <f>OBRA!AG6</f>
        <v>-</v>
      </c>
      <c r="K7" s="844"/>
      <c r="L7" s="303" t="str">
        <f>OBRA!AH6</f>
        <v>-</v>
      </c>
      <c r="M7" s="845"/>
      <c r="N7" s="303">
        <f>OBRA!AI6</f>
        <v>41499</v>
      </c>
      <c r="O7" s="323" t="s">
        <v>2302</v>
      </c>
      <c r="P7" s="303"/>
      <c r="Q7" s="846"/>
      <c r="R7" s="847">
        <f>OBRA!AJ6</f>
        <v>41499</v>
      </c>
      <c r="S7" s="384"/>
      <c r="T7" s="848" t="str">
        <f>OBRA!W6</f>
        <v>C. URIEL PALOS CUEVAS</v>
      </c>
      <c r="U7" s="304" t="str">
        <f>OBRA!X6</f>
        <v>C. DANIEL RODRIGUEZ VALENZUELA</v>
      </c>
      <c r="V7" s="1450"/>
      <c r="W7" s="439" t="str">
        <f>OBRA!N6</f>
        <v>GMJ 015C OP/2013</v>
      </c>
      <c r="X7" s="298"/>
      <c r="Y7" s="298"/>
      <c r="Z7" s="298" t="str">
        <f>OBRA!M6</f>
        <v>FONDEREG</v>
      </c>
      <c r="AA7" s="298"/>
      <c r="AB7" s="291" t="str">
        <f>OBRA!O6</f>
        <v>INVITACIÓN</v>
      </c>
      <c r="AC7" s="292" t="str">
        <f>OBRA!P6</f>
        <v>RED DE AGUA POTABLE, DRENAJE Y EMPEDRADO EN CEMENTO, EN PROLONGACIÓN MORELOS, EN LA LOCALIDAD DE CHANTEPEC</v>
      </c>
      <c r="AD7" s="293">
        <f>OBRA!R6</f>
        <v>2564102.67</v>
      </c>
      <c r="AE7" s="294">
        <f>OBRA!S6</f>
        <v>41501</v>
      </c>
      <c r="AF7" s="295">
        <f>OBRA!T6</f>
        <v>41518</v>
      </c>
      <c r="AG7" s="389">
        <f>OBRA!U6</f>
        <v>41608</v>
      </c>
      <c r="AH7" s="1348"/>
      <c r="AI7" s="849"/>
      <c r="AJ7" s="850"/>
      <c r="AK7" s="850"/>
      <c r="AL7" s="851"/>
      <c r="AM7" s="353" t="str">
        <f>GRAL!B8</f>
        <v>2012-2015</v>
      </c>
    </row>
    <row r="8" spans="1:39" ht="45.75" hidden="1" thickTop="1">
      <c r="A8" s="158">
        <f>OBRA!J7</f>
        <v>2013</v>
      </c>
      <c r="B8" s="1683"/>
      <c r="C8" s="395"/>
      <c r="D8" s="146"/>
      <c r="E8" s="148"/>
      <c r="F8" s="148"/>
      <c r="G8" s="398"/>
      <c r="H8" s="404" t="str">
        <f>OBRA!AF7</f>
        <v>-</v>
      </c>
      <c r="I8" s="400"/>
      <c r="J8" s="406" t="str">
        <f>OBRA!AG7</f>
        <v>-</v>
      </c>
      <c r="K8" s="401"/>
      <c r="L8" s="404" t="str">
        <f>OBRA!AH7</f>
        <v>-</v>
      </c>
      <c r="M8" s="402"/>
      <c r="N8" s="404" t="str">
        <f>OBRA!AI7</f>
        <v>-</v>
      </c>
      <c r="O8" s="144"/>
      <c r="P8" s="144"/>
      <c r="Q8" s="401"/>
      <c r="R8" s="407" t="str">
        <f>OBRA!AJ7</f>
        <v>-</v>
      </c>
      <c r="S8" s="385"/>
      <c r="T8" s="399" t="str">
        <f>OBRA!W7</f>
        <v>CONSTRUCTORA TGV, S.A. DE C.V.</v>
      </c>
      <c r="U8" s="408" t="str">
        <f>OBRA!X7</f>
        <v>C. DANIEL RODRIGUEZ VALENZUELA</v>
      </c>
      <c r="V8" s="1090"/>
      <c r="W8" s="19" t="str">
        <f>OBRA!N7</f>
        <v>GMJ 022C OP/2013</v>
      </c>
      <c r="X8" s="12"/>
      <c r="Y8" s="12"/>
      <c r="Z8" s="409" t="str">
        <f>OBRA!M7</f>
        <v>RAMO 33</v>
      </c>
      <c r="AA8" s="12"/>
      <c r="AB8" s="2" t="str">
        <f>OBRA!O7</f>
        <v>ADJUDICACIÓN DIRECTA</v>
      </c>
      <c r="AC8" s="3" t="str">
        <f>OBRA!P7</f>
        <v>REHABILITACIÓN DE UNIDAD DEPORTIVA, UBICADA EN ESQUINA DE AVENIDA DEL PARQUE Y CALLE ARTE EN LA DELEGACIÓN DE HUEJOTITAN</v>
      </c>
      <c r="AD8" s="4">
        <f>OBRA!R7</f>
        <v>666000</v>
      </c>
      <c r="AE8" s="6">
        <f>OBRA!S7</f>
        <v>41610</v>
      </c>
      <c r="AF8" s="5">
        <f>OBRA!T7</f>
        <v>41612</v>
      </c>
      <c r="AG8" s="390">
        <f>OBRA!U7</f>
        <v>41638</v>
      </c>
      <c r="AH8" s="52"/>
      <c r="AI8" s="211"/>
      <c r="AJ8" s="242"/>
      <c r="AK8" s="242"/>
      <c r="AL8" s="394"/>
      <c r="AM8" s="519" t="str">
        <f>GRAL!B9</f>
        <v>2012-2015</v>
      </c>
    </row>
    <row r="9" spans="1:39" ht="46.5" hidden="1" thickTop="1" thickBot="1">
      <c r="A9" s="158">
        <f>OBRA!J8</f>
        <v>2013</v>
      </c>
      <c r="B9" s="1683"/>
      <c r="C9" s="395"/>
      <c r="D9" s="146"/>
      <c r="E9" s="148"/>
      <c r="F9" s="20"/>
      <c r="G9" s="398"/>
      <c r="H9" s="404" t="str">
        <f>OBRA!AF8</f>
        <v>-</v>
      </c>
      <c r="I9" s="400"/>
      <c r="J9" s="406" t="str">
        <f>OBRA!AG8</f>
        <v>-</v>
      </c>
      <c r="K9" s="401"/>
      <c r="L9" s="404" t="str">
        <f>OBRA!AH8</f>
        <v>-</v>
      </c>
      <c r="M9" s="402"/>
      <c r="N9" s="404" t="str">
        <f>OBRA!AI8</f>
        <v>-</v>
      </c>
      <c r="O9" s="144"/>
      <c r="P9" s="144"/>
      <c r="Q9" s="401"/>
      <c r="R9" s="407" t="str">
        <f>OBRA!AJ8</f>
        <v>-</v>
      </c>
      <c r="S9" s="385"/>
      <c r="T9" s="399" t="str">
        <f>OBRA!W8</f>
        <v>CONSTRUCTORA TGV, S.A. DE C.V.</v>
      </c>
      <c r="U9" s="408" t="str">
        <f>OBRA!X8</f>
        <v>C. DANIEL RODRIGUEZ VALENZUELA</v>
      </c>
      <c r="V9" s="1090"/>
      <c r="W9" s="19" t="str">
        <f>OBRA!N8</f>
        <v>GMJ 023C OP/2013</v>
      </c>
      <c r="X9" s="12"/>
      <c r="Y9" s="12"/>
      <c r="Z9" s="409" t="str">
        <f>OBRA!M8</f>
        <v>RAMO 33</v>
      </c>
      <c r="AA9" s="12"/>
      <c r="AB9" s="2" t="str">
        <f>OBRA!O8</f>
        <v>ADJUDICACIÓN DIRECTA</v>
      </c>
      <c r="AC9" s="3" t="str">
        <f>OBRA!P8</f>
        <v>CONSTRUCCIÓN DE MODULOS DE BAÑOS JUNTO A LA UNIDAD DEPORTIVA, EN LA AGENCIA MUNICIPAL DE EL MOLINO</v>
      </c>
      <c r="AD9" s="4">
        <f>OBRA!R8</f>
        <v>160000</v>
      </c>
      <c r="AE9" s="6">
        <f>OBRA!S8</f>
        <v>41610</v>
      </c>
      <c r="AF9" s="5">
        <f>OBRA!T8</f>
        <v>41617</v>
      </c>
      <c r="AG9" s="390">
        <f>OBRA!U8</f>
        <v>41638</v>
      </c>
      <c r="AH9" s="52"/>
      <c r="AI9" s="211"/>
      <c r="AJ9" s="242"/>
      <c r="AK9" s="242"/>
      <c r="AL9" s="394"/>
      <c r="AM9" s="519" t="str">
        <f>GRAL!B10</f>
        <v>2012-2015</v>
      </c>
    </row>
    <row r="10" spans="1:39" ht="45.75" hidden="1" thickTop="1">
      <c r="A10" s="158">
        <f>OBRA!J9</f>
        <v>2013</v>
      </c>
      <c r="B10" s="1683"/>
      <c r="C10" s="395"/>
      <c r="D10" s="146"/>
      <c r="E10" s="148"/>
      <c r="F10" s="148"/>
      <c r="G10" s="398"/>
      <c r="H10" s="404" t="str">
        <f>OBRA!AF9</f>
        <v>-</v>
      </c>
      <c r="I10" s="400"/>
      <c r="J10" s="406" t="str">
        <f>OBRA!AG9</f>
        <v>-</v>
      </c>
      <c r="K10" s="401"/>
      <c r="L10" s="404" t="str">
        <f>OBRA!AH9</f>
        <v>-</v>
      </c>
      <c r="M10" s="402"/>
      <c r="N10" s="404" t="str">
        <f>OBRA!AI9</f>
        <v>-</v>
      </c>
      <c r="O10" s="144"/>
      <c r="P10" s="144"/>
      <c r="Q10" s="401"/>
      <c r="R10" s="407" t="str">
        <f>OBRA!AJ9</f>
        <v>-</v>
      </c>
      <c r="S10" s="385"/>
      <c r="T10" s="399" t="str">
        <f>OBRA!W9</f>
        <v>-</v>
      </c>
      <c r="U10" s="408">
        <f>OBRA!X9</f>
        <v>0</v>
      </c>
      <c r="V10" s="1090"/>
      <c r="W10" s="19" t="str">
        <f>OBRA!N9</f>
        <v>DOP/AD/011/2013</v>
      </c>
      <c r="X10" s="12"/>
      <c r="Y10" s="12"/>
      <c r="Z10" s="409" t="str">
        <f>OBRA!M9</f>
        <v>RAMO 33</v>
      </c>
      <c r="AA10" s="12"/>
      <c r="AB10" s="2" t="str">
        <f>OBRA!O9</f>
        <v>ADMINISTRACIÓN DIRECTA</v>
      </c>
      <c r="AC10" s="3" t="str">
        <f>OBRA!P9</f>
        <v>BACHEO DE EMPEDRADO NORMAL EN CALLES: ALLENE, PORFIRIO DIAZ Y MATAMOROS, EN SAN CRISTOBAL ZAPOTITLAN</v>
      </c>
      <c r="AD10" s="4">
        <f>OBRA!R9</f>
        <v>0</v>
      </c>
      <c r="AE10" s="6" t="s">
        <v>68</v>
      </c>
      <c r="AF10" s="5" t="s">
        <v>68</v>
      </c>
      <c r="AG10" s="390" t="s">
        <v>68</v>
      </c>
      <c r="AH10" s="52"/>
      <c r="AI10" s="211"/>
      <c r="AJ10" s="242"/>
      <c r="AK10" s="242"/>
      <c r="AL10" s="394"/>
      <c r="AM10" s="519" t="str">
        <f>GRAL!B11</f>
        <v>2012-2015</v>
      </c>
    </row>
    <row r="11" spans="1:39" ht="45.75" hidden="1" thickTop="1">
      <c r="A11" s="158">
        <f>OBRA!J10</f>
        <v>2013</v>
      </c>
      <c r="B11" s="1683"/>
      <c r="C11" s="395"/>
      <c r="D11" s="146"/>
      <c r="E11" s="148"/>
      <c r="F11" s="148"/>
      <c r="G11" s="398"/>
      <c r="H11" s="404" t="str">
        <f>OBRA!AF10</f>
        <v>-</v>
      </c>
      <c r="I11" s="400"/>
      <c r="J11" s="406" t="str">
        <f>OBRA!AG10</f>
        <v>-</v>
      </c>
      <c r="K11" s="401"/>
      <c r="L11" s="404" t="str">
        <f>OBRA!AH10</f>
        <v>-</v>
      </c>
      <c r="M11" s="402"/>
      <c r="N11" s="404" t="str">
        <f>OBRA!AI10</f>
        <v>-</v>
      </c>
      <c r="O11" s="144"/>
      <c r="P11" s="144"/>
      <c r="Q11" s="401"/>
      <c r="R11" s="407" t="str">
        <f>OBRA!AJ10</f>
        <v>-</v>
      </c>
      <c r="S11" s="385"/>
      <c r="T11" s="399" t="str">
        <f>OBRA!W10</f>
        <v>-</v>
      </c>
      <c r="U11" s="408">
        <f>OBRA!X10</f>
        <v>0</v>
      </c>
      <c r="V11" s="1090"/>
      <c r="W11" s="19" t="str">
        <f>OBRA!N10</f>
        <v>DOP/AD/010/2013</v>
      </c>
      <c r="X11" s="12"/>
      <c r="Y11" s="12"/>
      <c r="Z11" s="409" t="str">
        <f>OBRA!M10</f>
        <v>RAMO 33</v>
      </c>
      <c r="AA11" s="12"/>
      <c r="AB11" s="2" t="str">
        <f>OBRA!O10</f>
        <v>ADMINISTRACIÓN DIRECTA</v>
      </c>
      <c r="AC11" s="3" t="str">
        <f>OBRA!P10</f>
        <v>COLOCACIÓN DE CARPETA ASFALTICA EN C. ZARAGOZA Y C. RAMÓN CORONA, EN LA LOCALIDAD DE SAN CRISTOBAL ZAPOTITLAN</v>
      </c>
      <c r="AD11" s="4">
        <f>OBRA!R10</f>
        <v>234538.12</v>
      </c>
      <c r="AE11" s="6">
        <f>OBRA!S10</f>
        <v>41479</v>
      </c>
      <c r="AF11" s="5">
        <f>OBRA!T10</f>
        <v>41479</v>
      </c>
      <c r="AG11" s="390">
        <f>OBRA!U10</f>
        <v>41486</v>
      </c>
      <c r="AH11" s="52"/>
      <c r="AI11" s="211"/>
      <c r="AJ11" s="242"/>
      <c r="AK11" s="242"/>
      <c r="AL11" s="394"/>
      <c r="AM11" s="519" t="str">
        <f>GRAL!B12</f>
        <v>2012-2015</v>
      </c>
    </row>
    <row r="12" spans="1:39" ht="45.75" hidden="1" thickTop="1">
      <c r="A12" s="158">
        <f>OBRA!J11</f>
        <v>2013</v>
      </c>
      <c r="B12" s="1683"/>
      <c r="C12" s="395"/>
      <c r="D12" s="146"/>
      <c r="E12" s="148"/>
      <c r="F12" s="148"/>
      <c r="G12" s="398"/>
      <c r="H12" s="404" t="str">
        <f>OBRA!AF11</f>
        <v>-</v>
      </c>
      <c r="I12" s="400"/>
      <c r="J12" s="406" t="str">
        <f>OBRA!AG11</f>
        <v>-</v>
      </c>
      <c r="K12" s="401"/>
      <c r="L12" s="404" t="str">
        <f>OBRA!AH11</f>
        <v>-</v>
      </c>
      <c r="M12" s="402"/>
      <c r="N12" s="404" t="str">
        <f>OBRA!AI11</f>
        <v>-</v>
      </c>
      <c r="O12" s="144"/>
      <c r="P12" s="144"/>
      <c r="Q12" s="401"/>
      <c r="R12" s="407" t="str">
        <f>OBRA!AJ11</f>
        <v>-</v>
      </c>
      <c r="S12" s="385"/>
      <c r="T12" s="399" t="str">
        <f>OBRA!W11</f>
        <v>-</v>
      </c>
      <c r="U12" s="408">
        <f>OBRA!X11</f>
        <v>0</v>
      </c>
      <c r="V12" s="1090"/>
      <c r="W12" s="19" t="str">
        <f>OBRA!N11</f>
        <v>DOP/AD/007/2013</v>
      </c>
      <c r="X12" s="12"/>
      <c r="Y12" s="12"/>
      <c r="Z12" s="409" t="str">
        <f>OBRA!M11</f>
        <v>RAMO 33</v>
      </c>
      <c r="AA12" s="12"/>
      <c r="AB12" s="2" t="str">
        <f>OBRA!O11</f>
        <v>ADMINISTRACIÓN DIRECTA</v>
      </c>
      <c r="AC12" s="3" t="str">
        <f>OBRA!P11</f>
        <v>EMPEDRADO AHOGADO EN CEMENTO EN C. GALEANA DE ZARGOZA AL NORTE, EN LA LOCALIDAD DE SAN JUAN COSALA</v>
      </c>
      <c r="AD12" s="4">
        <f>OBRA!R11</f>
        <v>270189.96000000002</v>
      </c>
      <c r="AE12" s="6">
        <f>OBRA!S11</f>
        <v>41484</v>
      </c>
      <c r="AF12" s="5">
        <f>OBRA!T11</f>
        <v>41479</v>
      </c>
      <c r="AG12" s="390">
        <f>OBRA!U11</f>
        <v>41510</v>
      </c>
      <c r="AH12" s="52"/>
      <c r="AI12" s="211"/>
      <c r="AJ12" s="242"/>
      <c r="AK12" s="242"/>
      <c r="AL12" s="394"/>
      <c r="AM12" s="519" t="str">
        <f>GRAL!B13</f>
        <v>2012-2015</v>
      </c>
    </row>
    <row r="13" spans="1:39" ht="45.75" hidden="1" thickTop="1">
      <c r="A13" s="158">
        <f>OBRA!J12</f>
        <v>2013</v>
      </c>
      <c r="B13" s="1683"/>
      <c r="C13" s="395"/>
      <c r="D13" s="146"/>
      <c r="E13" s="148"/>
      <c r="F13" s="148"/>
      <c r="G13" s="398"/>
      <c r="H13" s="404" t="str">
        <f>OBRA!AF12</f>
        <v>-</v>
      </c>
      <c r="I13" s="400"/>
      <c r="J13" s="406" t="str">
        <f>OBRA!AG12</f>
        <v>-</v>
      </c>
      <c r="K13" s="401"/>
      <c r="L13" s="404" t="str">
        <f>OBRA!AH12</f>
        <v>-</v>
      </c>
      <c r="M13" s="402"/>
      <c r="N13" s="404" t="str">
        <f>OBRA!AI12</f>
        <v>-</v>
      </c>
      <c r="O13" s="144"/>
      <c r="P13" s="144"/>
      <c r="Q13" s="401"/>
      <c r="R13" s="407" t="str">
        <f>OBRA!AJ12</f>
        <v>-</v>
      </c>
      <c r="S13" s="385"/>
      <c r="T13" s="399" t="str">
        <f>OBRA!W12</f>
        <v>-</v>
      </c>
      <c r="U13" s="408">
        <f>OBRA!X12</f>
        <v>0</v>
      </c>
      <c r="V13" s="1090"/>
      <c r="W13" s="19" t="str">
        <f>OBRA!N12</f>
        <v>DOP/AD/006/2013</v>
      </c>
      <c r="X13" s="12"/>
      <c r="Y13" s="12"/>
      <c r="Z13" s="409" t="str">
        <f>OBRA!M12</f>
        <v>RAMO 33</v>
      </c>
      <c r="AA13" s="12"/>
      <c r="AB13" s="2" t="str">
        <f>OBRA!O12</f>
        <v>ADMINISTRACIÓN DIRECTA</v>
      </c>
      <c r="AC13" s="3" t="str">
        <f>OBRA!P12</f>
        <v>EMPEDRADO AHOGADO EN CEMENTO, MURO Y BANQUETA CALLEJON ALLENDE EN LA LOCALIDAD DE CHANTEPEC</v>
      </c>
      <c r="AD13" s="4">
        <f>OBRA!R12</f>
        <v>297377.52</v>
      </c>
      <c r="AE13" s="6">
        <f>OBRA!S12</f>
        <v>41479</v>
      </c>
      <c r="AF13" s="5">
        <f>OBRA!T12</f>
        <v>41479</v>
      </c>
      <c r="AG13" s="390">
        <f>OBRA!U12</f>
        <v>41501</v>
      </c>
      <c r="AH13" s="52"/>
      <c r="AI13" s="211"/>
      <c r="AJ13" s="242"/>
      <c r="AK13" s="242"/>
      <c r="AL13" s="394"/>
      <c r="AM13" s="519" t="str">
        <f>GRAL!B14</f>
        <v>2012-2015</v>
      </c>
    </row>
    <row r="14" spans="1:39" ht="30.75" hidden="1" thickTop="1">
      <c r="A14" s="158">
        <f>OBRA!J13</f>
        <v>2013</v>
      </c>
      <c r="B14" s="1683"/>
      <c r="C14" s="395"/>
      <c r="D14" s="146"/>
      <c r="E14" s="148"/>
      <c r="F14" s="148"/>
      <c r="G14" s="398"/>
      <c r="H14" s="404" t="str">
        <f>OBRA!AF13</f>
        <v>-</v>
      </c>
      <c r="I14" s="400"/>
      <c r="J14" s="406" t="str">
        <f>OBRA!AG13</f>
        <v>-</v>
      </c>
      <c r="K14" s="401"/>
      <c r="L14" s="404" t="str">
        <f>OBRA!AH13</f>
        <v>-</v>
      </c>
      <c r="M14" s="402"/>
      <c r="N14" s="404" t="str">
        <f>OBRA!AI13</f>
        <v>-</v>
      </c>
      <c r="O14" s="144"/>
      <c r="P14" s="144"/>
      <c r="Q14" s="401"/>
      <c r="R14" s="407" t="str">
        <f>OBRA!AJ13</f>
        <v>-</v>
      </c>
      <c r="S14" s="385"/>
      <c r="T14" s="399" t="str">
        <f>OBRA!W13</f>
        <v>-</v>
      </c>
      <c r="U14" s="408">
        <f>OBRA!X13</f>
        <v>0</v>
      </c>
      <c r="V14" s="1090"/>
      <c r="W14" s="19" t="str">
        <f>OBRA!N13</f>
        <v>DOP/AD/018/2013</v>
      </c>
      <c r="X14" s="12"/>
      <c r="Y14" s="12"/>
      <c r="Z14" s="409" t="str">
        <f>OBRA!M13</f>
        <v>RAMO 33</v>
      </c>
      <c r="AA14" s="12"/>
      <c r="AB14" s="2" t="str">
        <f>OBRA!O13</f>
        <v>ADMINISTRACIÓN DIRECTA</v>
      </c>
      <c r="AC14" s="3" t="str">
        <f>OBRA!P13</f>
        <v>EMPEDRADO NORMAL EN C. VICENTE GUERRERO, EN LA DELEGACIÓN DE ZAPOTITAN DE HIDALGO</v>
      </c>
      <c r="AD14" s="4">
        <f>OBRA!R13</f>
        <v>371000</v>
      </c>
      <c r="AE14" s="6">
        <f>OBRA!S13</f>
        <v>41502</v>
      </c>
      <c r="AF14" s="5">
        <f>OBRA!T13</f>
        <v>41507</v>
      </c>
      <c r="AG14" s="390">
        <f>OBRA!U13</f>
        <v>41538</v>
      </c>
      <c r="AH14" s="52"/>
      <c r="AI14" s="211"/>
      <c r="AJ14" s="242"/>
      <c r="AK14" s="242"/>
      <c r="AL14" s="394"/>
      <c r="AM14" s="519" t="str">
        <f>GRAL!B15</f>
        <v>2012-2015</v>
      </c>
    </row>
    <row r="15" spans="1:39" ht="45.75" hidden="1" thickTop="1">
      <c r="A15" s="158">
        <f>OBRA!J14</f>
        <v>2013</v>
      </c>
      <c r="B15" s="1683"/>
      <c r="C15" s="395"/>
      <c r="D15" s="146"/>
      <c r="E15" s="148"/>
      <c r="F15" s="148"/>
      <c r="G15" s="398"/>
      <c r="H15" s="404" t="str">
        <f>OBRA!AF14</f>
        <v>-</v>
      </c>
      <c r="I15" s="400"/>
      <c r="J15" s="406" t="str">
        <f>OBRA!AG14</f>
        <v>-</v>
      </c>
      <c r="K15" s="401"/>
      <c r="L15" s="404" t="str">
        <f>OBRA!AH14</f>
        <v>-</v>
      </c>
      <c r="M15" s="402"/>
      <c r="N15" s="404" t="str">
        <f>OBRA!AI14</f>
        <v>-</v>
      </c>
      <c r="O15" s="144"/>
      <c r="P15" s="144"/>
      <c r="Q15" s="401"/>
      <c r="R15" s="407" t="str">
        <f>OBRA!AJ14</f>
        <v>-</v>
      </c>
      <c r="S15" s="385"/>
      <c r="T15" s="399" t="str">
        <f>OBRA!W14</f>
        <v>-</v>
      </c>
      <c r="U15" s="408">
        <f>OBRA!X14</f>
        <v>0</v>
      </c>
      <c r="V15" s="1090"/>
      <c r="W15" s="19" t="str">
        <f>OBRA!N14</f>
        <v>DOP/AD/016/2013</v>
      </c>
      <c r="X15" s="12"/>
      <c r="Y15" s="12"/>
      <c r="Z15" s="409" t="str">
        <f>OBRA!M14</f>
        <v>RAMO 33</v>
      </c>
      <c r="AA15" s="12"/>
      <c r="AB15" s="2" t="str">
        <f>OBRA!O14</f>
        <v>ADMINISTRACIÓN DIRECTA</v>
      </c>
      <c r="AC15" s="3" t="str">
        <f>OBRA!P14</f>
        <v>EMPEDRADO NORMAL CON PIEDRA BRAZA EN C. JUAREZ ENTRE INGRESO Y PLAZA, EN LA DELEGACIÓN DE EL SAUZ</v>
      </c>
      <c r="AD15" s="4">
        <f>OBRA!R14</f>
        <v>355866.93</v>
      </c>
      <c r="AE15" s="6">
        <f>OBRA!S14</f>
        <v>41479</v>
      </c>
      <c r="AF15" s="5">
        <f>OBRA!T14</f>
        <v>41479</v>
      </c>
      <c r="AG15" s="390">
        <f>OBRA!U14</f>
        <v>41493</v>
      </c>
      <c r="AH15" s="52"/>
      <c r="AI15" s="211"/>
      <c r="AJ15" s="242"/>
      <c r="AK15" s="242"/>
      <c r="AL15" s="394"/>
      <c r="AM15" s="519" t="str">
        <f>GRAL!B16</f>
        <v>2012-2015</v>
      </c>
    </row>
    <row r="16" spans="1:39" ht="45.75" hidden="1" thickTop="1">
      <c r="A16" s="158">
        <f>OBRA!J15</f>
        <v>2013</v>
      </c>
      <c r="B16" s="1683"/>
      <c r="C16" s="395"/>
      <c r="D16" s="146"/>
      <c r="E16" s="148"/>
      <c r="F16" s="148"/>
      <c r="G16" s="398"/>
      <c r="H16" s="404" t="str">
        <f>OBRA!AF15</f>
        <v>-</v>
      </c>
      <c r="I16" s="400"/>
      <c r="J16" s="406" t="str">
        <f>OBRA!AG15</f>
        <v>-</v>
      </c>
      <c r="K16" s="401"/>
      <c r="L16" s="404" t="str">
        <f>OBRA!AH15</f>
        <v>-</v>
      </c>
      <c r="M16" s="402"/>
      <c r="N16" s="404" t="str">
        <f>OBRA!AI15</f>
        <v>-</v>
      </c>
      <c r="O16" s="144"/>
      <c r="P16" s="144"/>
      <c r="Q16" s="401"/>
      <c r="R16" s="407" t="str">
        <f>OBRA!AJ15</f>
        <v>-</v>
      </c>
      <c r="S16" s="385"/>
      <c r="T16" s="399" t="str">
        <f>OBRA!W15</f>
        <v>-</v>
      </c>
      <c r="U16" s="408">
        <f>OBRA!X15</f>
        <v>0</v>
      </c>
      <c r="V16" s="1090"/>
      <c r="W16" s="19" t="str">
        <f>OBRA!N15</f>
        <v>DOP/AD/015/2013</v>
      </c>
      <c r="X16" s="12"/>
      <c r="Y16" s="12"/>
      <c r="Z16" s="409" t="str">
        <f>OBRA!M15</f>
        <v>RAMO 33</v>
      </c>
      <c r="AA16" s="12"/>
      <c r="AB16" s="2" t="str">
        <f>OBRA!O15</f>
        <v>ADMINISTRACIÓN DIRECTA</v>
      </c>
      <c r="AC16" s="3" t="str">
        <f>OBRA!P15</f>
        <v>COLECTOR DE ALEJAMIENTO DE AGUAS RESIDUALES EN LA AGENCIA MUNICIPAL DE EL MOLINO</v>
      </c>
      <c r="AD16" s="4">
        <f>OBRA!R15</f>
        <v>73286.47</v>
      </c>
      <c r="AE16" s="6">
        <f>OBRA!S15</f>
        <v>41488</v>
      </c>
      <c r="AF16" s="5">
        <f>OBRA!T15</f>
        <v>41507</v>
      </c>
      <c r="AG16" s="390">
        <f>OBRA!U15</f>
        <v>41538</v>
      </c>
      <c r="AH16" s="52"/>
      <c r="AI16" s="211"/>
      <c r="AJ16" s="242"/>
      <c r="AK16" s="242"/>
      <c r="AL16" s="394"/>
      <c r="AM16" s="519" t="str">
        <f>GRAL!B17</f>
        <v>2012-2015</v>
      </c>
    </row>
    <row r="17" spans="1:39" ht="30.75" hidden="1" thickTop="1">
      <c r="A17" s="158">
        <f>OBRA!J16</f>
        <v>2013</v>
      </c>
      <c r="B17" s="1683"/>
      <c r="C17" s="395"/>
      <c r="D17" s="146"/>
      <c r="E17" s="148"/>
      <c r="F17" s="148"/>
      <c r="G17" s="398"/>
      <c r="H17" s="404" t="str">
        <f>OBRA!AF16</f>
        <v>-</v>
      </c>
      <c r="I17" s="400"/>
      <c r="J17" s="406" t="str">
        <f>OBRA!AG16</f>
        <v>-</v>
      </c>
      <c r="K17" s="401"/>
      <c r="L17" s="404" t="str">
        <f>OBRA!AH16</f>
        <v>-</v>
      </c>
      <c r="M17" s="402"/>
      <c r="N17" s="404" t="str">
        <f>OBRA!AI16</f>
        <v>-</v>
      </c>
      <c r="O17" s="144"/>
      <c r="P17" s="144"/>
      <c r="Q17" s="401"/>
      <c r="R17" s="407" t="str">
        <f>OBRA!AJ16</f>
        <v>-</v>
      </c>
      <c r="S17" s="385"/>
      <c r="T17" s="399" t="str">
        <f>OBRA!W16</f>
        <v>-</v>
      </c>
      <c r="U17" s="408">
        <f>OBRA!X16</f>
        <v>0</v>
      </c>
      <c r="V17" s="1090"/>
      <c r="W17" s="19" t="str">
        <f>OBRA!N16</f>
        <v>DOP/AD/014/2013</v>
      </c>
      <c r="X17" s="12"/>
      <c r="Y17" s="12"/>
      <c r="Z17" s="409" t="str">
        <f>OBRA!M16</f>
        <v>RAMO 33</v>
      </c>
      <c r="AA17" s="12"/>
      <c r="AB17" s="2" t="str">
        <f>OBRA!O16</f>
        <v>ADMINISTRACIÓN DIRECTA</v>
      </c>
      <c r="AC17" s="3" t="str">
        <f>OBRA!P16</f>
        <v>EMPEDRADO NORMAL C. 16 DE SEPTIEMBRE LA LOMA</v>
      </c>
      <c r="AD17" s="4">
        <f>OBRA!R16</f>
        <v>172000</v>
      </c>
      <c r="AE17" s="6">
        <f>OBRA!S16</f>
        <v>41488</v>
      </c>
      <c r="AF17" s="5">
        <f>OBRA!T16</f>
        <v>41493</v>
      </c>
      <c r="AG17" s="390">
        <f>OBRA!U16</f>
        <v>41506</v>
      </c>
      <c r="AH17" s="52"/>
      <c r="AI17" s="211"/>
      <c r="AJ17" s="242"/>
      <c r="AK17" s="242"/>
      <c r="AL17" s="394"/>
      <c r="AM17" s="519" t="str">
        <f>GRAL!B18</f>
        <v>2012-2015</v>
      </c>
    </row>
    <row r="18" spans="1:39" s="299" customFormat="1" ht="75.75" hidden="1" thickTop="1">
      <c r="A18" s="300">
        <f>OBRA!J17</f>
        <v>2013</v>
      </c>
      <c r="B18" s="1682"/>
      <c r="C18" s="767"/>
      <c r="D18" s="301"/>
      <c r="E18" s="302"/>
      <c r="F18" s="302"/>
      <c r="G18" s="841"/>
      <c r="H18" s="303">
        <f>OBRA!AF17</f>
        <v>41498</v>
      </c>
      <c r="I18" s="842"/>
      <c r="J18" s="769" t="str">
        <f>OBRA!AG17</f>
        <v>-</v>
      </c>
      <c r="K18" s="770"/>
      <c r="L18" s="303" t="str">
        <f>OBRA!AH17</f>
        <v>-</v>
      </c>
      <c r="M18" s="845"/>
      <c r="N18" s="303">
        <f>OBRA!AI17</f>
        <v>41507</v>
      </c>
      <c r="O18" s="323" t="s">
        <v>2302</v>
      </c>
      <c r="P18" s="303"/>
      <c r="Q18" s="770"/>
      <c r="R18" s="771">
        <f>OBRA!AJ17</f>
        <v>41509</v>
      </c>
      <c r="S18" s="298"/>
      <c r="T18" s="302" t="str">
        <f>OBRA!W17</f>
        <v>EQUIPO MANTENIMIENTO Y PLANEACION ELECTRICA S.A. DE C.V.</v>
      </c>
      <c r="U18" s="772" t="str">
        <f>OBRA!X17</f>
        <v>C. DANIEL RODRIGUEZ VALENZUELA</v>
      </c>
      <c r="V18" s="301"/>
      <c r="W18" s="439" t="str">
        <f>OBRA!N17</f>
        <v>GMJ 017C OP/2013</v>
      </c>
      <c r="X18" s="298"/>
      <c r="Y18" s="298"/>
      <c r="Z18" s="298" t="str">
        <f>OBRA!M17</f>
        <v>RAMO 33</v>
      </c>
      <c r="AA18" s="298"/>
      <c r="AB18" s="291" t="str">
        <f>OBRA!O17</f>
        <v>INVITACIÓN</v>
      </c>
      <c r="AC18" s="292" t="str">
        <f>OBRA!P17</f>
        <v>ELECTRIFICACIÓN Y EQUIPAMIENTO DE POZO PROFUNDO, EN EL FRACCIONAMIENTO UBICADO EN LA ZONO OESTE DE LA MAGISTERIAL CABECERA MUNICIPAL</v>
      </c>
      <c r="AD18" s="293">
        <f>OBRA!R17</f>
        <v>1084867.96</v>
      </c>
      <c r="AE18" s="294">
        <f>OBRA!S17</f>
        <v>41516</v>
      </c>
      <c r="AF18" s="295">
        <f>OBRA!T17</f>
        <v>41553</v>
      </c>
      <c r="AG18" s="389">
        <f>OBRA!U17</f>
        <v>41623</v>
      </c>
      <c r="AH18" s="854"/>
      <c r="AI18" s="290"/>
      <c r="AJ18" s="429"/>
      <c r="AK18" s="429"/>
      <c r="AL18" s="306"/>
      <c r="AM18" s="353" t="str">
        <f>GRAL!B19</f>
        <v>2012-2015</v>
      </c>
    </row>
    <row r="19" spans="1:39" ht="45.75" hidden="1" thickTop="1">
      <c r="A19" s="158">
        <f>OBRA!J18</f>
        <v>2013</v>
      </c>
      <c r="B19" s="1683"/>
      <c r="C19" s="395"/>
      <c r="D19" s="146"/>
      <c r="E19" s="148"/>
      <c r="F19" s="148"/>
      <c r="G19" s="398"/>
      <c r="H19" s="404" t="str">
        <f>OBRA!AF18</f>
        <v>-</v>
      </c>
      <c r="I19" s="400"/>
      <c r="J19" s="406" t="str">
        <f>OBRA!AG18</f>
        <v>-</v>
      </c>
      <c r="K19" s="401"/>
      <c r="L19" s="404" t="str">
        <f>OBRA!AH18</f>
        <v>-</v>
      </c>
      <c r="M19" s="402"/>
      <c r="N19" s="404" t="str">
        <f>OBRA!AI18</f>
        <v>-</v>
      </c>
      <c r="O19" s="144"/>
      <c r="P19" s="144"/>
      <c r="Q19" s="401"/>
      <c r="R19" s="407" t="str">
        <f>OBRA!AJ18</f>
        <v>-</v>
      </c>
      <c r="S19" s="385"/>
      <c r="T19" s="399" t="str">
        <f>OBRA!W18</f>
        <v>C. JOSE LUIS VILLALPANDO GARCIA</v>
      </c>
      <c r="U19" s="408" t="str">
        <f>OBRA!X18</f>
        <v>ING. RIGOBERTO OLMEDO RAMOS</v>
      </c>
      <c r="V19" s="1090"/>
      <c r="W19" s="19" t="str">
        <f>OBRA!N18</f>
        <v>GMJ 018C OP/2013</v>
      </c>
      <c r="X19" s="12"/>
      <c r="Y19" s="12"/>
      <c r="Z19" s="409" t="str">
        <f>OBRA!M18</f>
        <v>RAMO 33</v>
      </c>
      <c r="AA19" s="12"/>
      <c r="AB19" s="2" t="str">
        <f>OBRA!O18</f>
        <v>ADJUDICACIÓN DIRECTA</v>
      </c>
      <c r="AC19" s="3" t="str">
        <f>OBRA!P18</f>
        <v>ELECTRIFICACIÓN EN BARRIO DEL RICON EN LA AGENCIA MUNICIPAL DE LAS TROJES</v>
      </c>
      <c r="AD19" s="4">
        <f>OBRA!R18</f>
        <v>223854.45</v>
      </c>
      <c r="AE19" s="6">
        <f>OBRA!S18</f>
        <v>41501</v>
      </c>
      <c r="AF19" s="5">
        <f>OBRA!T18</f>
        <v>41505</v>
      </c>
      <c r="AG19" s="390">
        <f>OBRA!U18</f>
        <v>41547</v>
      </c>
      <c r="AH19" s="52"/>
      <c r="AI19" s="211"/>
      <c r="AJ19" s="242"/>
      <c r="AK19" s="242"/>
      <c r="AL19" s="394"/>
      <c r="AM19" s="519" t="str">
        <f>GRAL!B20</f>
        <v>2012-2015</v>
      </c>
    </row>
    <row r="20" spans="1:39" ht="45.75" hidden="1" thickTop="1">
      <c r="A20" s="158">
        <f>OBRA!J19</f>
        <v>2013</v>
      </c>
      <c r="B20" s="1683"/>
      <c r="C20" s="395"/>
      <c r="D20" s="146"/>
      <c r="E20" s="148"/>
      <c r="F20" s="148"/>
      <c r="G20" s="398"/>
      <c r="H20" s="404" t="str">
        <f>OBRA!AF19</f>
        <v>-</v>
      </c>
      <c r="I20" s="400"/>
      <c r="J20" s="406" t="str">
        <f>OBRA!AG19</f>
        <v>-</v>
      </c>
      <c r="K20" s="401"/>
      <c r="L20" s="404" t="str">
        <f>OBRA!AH19</f>
        <v>-</v>
      </c>
      <c r="M20" s="402"/>
      <c r="N20" s="404" t="str">
        <f>OBRA!AI19</f>
        <v>-</v>
      </c>
      <c r="O20" s="144"/>
      <c r="P20" s="144"/>
      <c r="Q20" s="401"/>
      <c r="R20" s="407" t="str">
        <f>OBRA!AJ19</f>
        <v>-</v>
      </c>
      <c r="S20" s="385"/>
      <c r="T20" s="399" t="str">
        <f>OBRA!W19</f>
        <v>C. JOSE LUIS VILLALPANDO GARCIA</v>
      </c>
      <c r="U20" s="408" t="str">
        <f>OBRA!X19</f>
        <v>ING. RIGOBERTO OLMEDO RAMOS</v>
      </c>
      <c r="V20" s="1090"/>
      <c r="W20" s="19" t="str">
        <f>OBRA!N19</f>
        <v>GMJ 013C OP/2013</v>
      </c>
      <c r="X20" s="12"/>
      <c r="Y20" s="12"/>
      <c r="Z20" s="409" t="str">
        <f>OBRA!M19</f>
        <v>RAMO 33</v>
      </c>
      <c r="AA20" s="12"/>
      <c r="AB20" s="2" t="str">
        <f>OBRA!O19</f>
        <v>ADJUDICACIÓN DIRECTA</v>
      </c>
      <c r="AC20" s="3" t="str">
        <f>OBRA!P19</f>
        <v>ELECTRIFICACIÓN EN C. CUAHUTEMOC, EN LA AGENCIA MUNICIPAL DE LAS TROJES</v>
      </c>
      <c r="AD20" s="4">
        <f>OBRA!R19</f>
        <v>318371.84999999998</v>
      </c>
      <c r="AE20" s="6">
        <f>OBRA!S19</f>
        <v>41501</v>
      </c>
      <c r="AF20" s="5">
        <f>OBRA!T19</f>
        <v>41519</v>
      </c>
      <c r="AG20" s="390">
        <f>OBRA!U19</f>
        <v>41573</v>
      </c>
      <c r="AH20" s="52"/>
      <c r="AI20" s="211"/>
      <c r="AJ20" s="242"/>
      <c r="AK20" s="242"/>
      <c r="AL20" s="394"/>
      <c r="AM20" s="519" t="str">
        <f>GRAL!B21</f>
        <v>2012-2015</v>
      </c>
    </row>
    <row r="21" spans="1:39" ht="30.75" hidden="1" thickTop="1">
      <c r="A21" s="158">
        <f>OBRA!J20</f>
        <v>2013</v>
      </c>
      <c r="B21" s="1683"/>
      <c r="C21" s="395"/>
      <c r="D21" s="146"/>
      <c r="E21" s="148"/>
      <c r="F21" s="148"/>
      <c r="G21" s="398"/>
      <c r="H21" s="404" t="str">
        <f>OBRA!AF20</f>
        <v>-</v>
      </c>
      <c r="I21" s="400"/>
      <c r="J21" s="406" t="str">
        <f>OBRA!AG20</f>
        <v>-</v>
      </c>
      <c r="K21" s="401"/>
      <c r="L21" s="404" t="str">
        <f>OBRA!AH20</f>
        <v>-</v>
      </c>
      <c r="M21" s="402"/>
      <c r="N21" s="404" t="str">
        <f>OBRA!AI20</f>
        <v>-</v>
      </c>
      <c r="O21" s="144"/>
      <c r="P21" s="144"/>
      <c r="Q21" s="401"/>
      <c r="R21" s="407" t="str">
        <f>OBRA!AJ20</f>
        <v>-</v>
      </c>
      <c r="S21" s="385"/>
      <c r="T21" s="399" t="str">
        <f>OBRA!W20</f>
        <v>-</v>
      </c>
      <c r="U21" s="408">
        <f>OBRA!X20</f>
        <v>0</v>
      </c>
      <c r="V21" s="1090"/>
      <c r="W21" s="19" t="str">
        <f>OBRA!N20</f>
        <v>DOP/AD/028/2013</v>
      </c>
      <c r="X21" s="12"/>
      <c r="Y21" s="12"/>
      <c r="Z21" s="409" t="str">
        <f>OBRA!M20</f>
        <v>RAMO 33</v>
      </c>
      <c r="AA21" s="12"/>
      <c r="AB21" s="2" t="str">
        <f>OBRA!O20</f>
        <v>ADMINISTRACIÓN DIRECTA</v>
      </c>
      <c r="AC21" s="3" t="str">
        <f>OBRA!P20</f>
        <v>CONST. MURO PERIMETRAL FRACC. MAGISTERIAL CABECERA MUNICIPAL</v>
      </c>
      <c r="AD21" s="4">
        <f>OBRA!R20</f>
        <v>65000</v>
      </c>
      <c r="AE21" s="6">
        <f>OBRA!S20</f>
        <v>41596</v>
      </c>
      <c r="AF21" s="5">
        <f>OBRA!T20</f>
        <v>41589</v>
      </c>
      <c r="AG21" s="390">
        <f>OBRA!U20</f>
        <v>41638</v>
      </c>
      <c r="AH21" s="52"/>
      <c r="AI21" s="211"/>
      <c r="AJ21" s="242"/>
      <c r="AK21" s="242"/>
      <c r="AL21" s="394"/>
      <c r="AM21" s="519" t="str">
        <f>GRAL!B22</f>
        <v>2012-2015</v>
      </c>
    </row>
    <row r="22" spans="1:39" ht="30.75" hidden="1" thickTop="1">
      <c r="A22" s="158">
        <f>OBRA!J21</f>
        <v>2013</v>
      </c>
      <c r="B22" s="1683"/>
      <c r="C22" s="395"/>
      <c r="D22" s="146"/>
      <c r="E22" s="148"/>
      <c r="F22" s="148"/>
      <c r="G22" s="398"/>
      <c r="H22" s="404" t="str">
        <f>OBRA!AF21</f>
        <v>-</v>
      </c>
      <c r="I22" s="400"/>
      <c r="J22" s="406" t="str">
        <f>OBRA!AG21</f>
        <v>-</v>
      </c>
      <c r="K22" s="401"/>
      <c r="L22" s="404" t="str">
        <f>OBRA!AH21</f>
        <v>-</v>
      </c>
      <c r="M22" s="402"/>
      <c r="N22" s="404" t="str">
        <f>OBRA!AI21</f>
        <v>-</v>
      </c>
      <c r="O22" s="144"/>
      <c r="P22" s="144"/>
      <c r="Q22" s="401"/>
      <c r="R22" s="407" t="str">
        <f>OBRA!AJ21</f>
        <v>-</v>
      </c>
      <c r="S22" s="385"/>
      <c r="T22" s="399" t="str">
        <f>OBRA!W21</f>
        <v>-</v>
      </c>
      <c r="U22" s="408">
        <f>OBRA!X21</f>
        <v>0</v>
      </c>
      <c r="V22" s="1090"/>
      <c r="W22" s="19" t="str">
        <f>OBRA!N21</f>
        <v>OP/AD/027/2013</v>
      </c>
      <c r="X22" s="12"/>
      <c r="Y22" s="12"/>
      <c r="Z22" s="409" t="str">
        <f>OBRA!M21</f>
        <v>RAMO 33</v>
      </c>
      <c r="AA22" s="12"/>
      <c r="AB22" s="2" t="str">
        <f>OBRA!O21</f>
        <v>ADMINISTRACIÓN DIRECTA</v>
      </c>
      <c r="AC22" s="3" t="str">
        <f>OBRA!P21</f>
        <v>CASETA DE CONTROL Y CLORACION DEL POZO FRACC. MAGISTERIAL CABECERA MUNICIPAL</v>
      </c>
      <c r="AD22" s="4" t="str">
        <f>OBRA!R21</f>
        <v>FALTA</v>
      </c>
      <c r="AE22" s="6" t="s">
        <v>68</v>
      </c>
      <c r="AF22" s="5" t="s">
        <v>68</v>
      </c>
      <c r="AG22" s="390" t="s">
        <v>68</v>
      </c>
      <c r="AH22" s="52"/>
      <c r="AI22" s="211"/>
      <c r="AJ22" s="242"/>
      <c r="AK22" s="242"/>
      <c r="AL22" s="394"/>
      <c r="AM22" s="519" t="str">
        <f>GRAL!B23</f>
        <v>2012-2015</v>
      </c>
    </row>
    <row r="23" spans="1:39" ht="45.75" hidden="1" thickTop="1">
      <c r="A23" s="158">
        <f>OBRA!J22</f>
        <v>2013</v>
      </c>
      <c r="B23" s="1683"/>
      <c r="C23" s="395"/>
      <c r="D23" s="146"/>
      <c r="E23" s="148"/>
      <c r="F23" s="148"/>
      <c r="G23" s="398"/>
      <c r="H23" s="404" t="str">
        <f>OBRA!AF22</f>
        <v>-</v>
      </c>
      <c r="I23" s="400"/>
      <c r="J23" s="406" t="str">
        <f>OBRA!AG22</f>
        <v>-</v>
      </c>
      <c r="K23" s="401"/>
      <c r="L23" s="404" t="str">
        <f>OBRA!AH22</f>
        <v>-</v>
      </c>
      <c r="M23" s="402"/>
      <c r="N23" s="404" t="str">
        <f>OBRA!AI22</f>
        <v>-</v>
      </c>
      <c r="O23" s="144"/>
      <c r="P23" s="144"/>
      <c r="Q23" s="401"/>
      <c r="R23" s="407" t="str">
        <f>OBRA!AJ22</f>
        <v>-</v>
      </c>
      <c r="S23" s="385"/>
      <c r="T23" s="399" t="str">
        <f>OBRA!W22</f>
        <v>C. JUAN MANUEL PALOS VACA</v>
      </c>
      <c r="U23" s="408" t="str">
        <f>OBRA!X22</f>
        <v>ING. ISER RANGEL REVILLA</v>
      </c>
      <c r="V23" s="1090"/>
      <c r="W23" s="19" t="str">
        <f>OBRA!N22</f>
        <v>GMJ 020C OP/2013</v>
      </c>
      <c r="X23" s="12"/>
      <c r="Y23" s="12"/>
      <c r="Z23" s="409" t="str">
        <f>OBRA!M22</f>
        <v>RAMO 33</v>
      </c>
      <c r="AA23" s="12"/>
      <c r="AB23" s="2" t="str">
        <f>OBRA!O22</f>
        <v>ADJUDICACIÓN DIRECTA</v>
      </c>
      <c r="AC23" s="3" t="str">
        <f>OBRA!P22</f>
        <v xml:space="preserve">RENOVACION DE RED DE DRENAJE EN LA CALLE RAMON CORONA ENTRE MORELOS Y LOPEZ COTILLA EN LA DELEGACION DE POTRERILLOS </v>
      </c>
      <c r="AD23" s="4">
        <f>OBRA!R22</f>
        <v>99364.64</v>
      </c>
      <c r="AE23" s="6">
        <f>OBRA!S22</f>
        <v>41547</v>
      </c>
      <c r="AF23" s="5">
        <f>OBRA!T22</f>
        <v>41548</v>
      </c>
      <c r="AG23" s="390">
        <f>OBRA!U22</f>
        <v>41580</v>
      </c>
      <c r="AH23" s="52"/>
      <c r="AI23" s="211"/>
      <c r="AJ23" s="242"/>
      <c r="AK23" s="242"/>
      <c r="AL23" s="394"/>
      <c r="AM23" s="519" t="str">
        <f>GRAL!B24</f>
        <v>2012-2015</v>
      </c>
    </row>
    <row r="24" spans="1:39" ht="60.75" hidden="1" thickTop="1">
      <c r="A24" s="158">
        <f>OBRA!J23</f>
        <v>2013</v>
      </c>
      <c r="B24" s="1683"/>
      <c r="C24" s="395"/>
      <c r="D24" s="146"/>
      <c r="E24" s="148"/>
      <c r="F24" s="148"/>
      <c r="G24" s="398"/>
      <c r="H24" s="404" t="str">
        <f>OBRA!AF23</f>
        <v>-</v>
      </c>
      <c r="I24" s="400"/>
      <c r="J24" s="406" t="str">
        <f>OBRA!AG23</f>
        <v>-</v>
      </c>
      <c r="K24" s="401"/>
      <c r="L24" s="404" t="str">
        <f>OBRA!AH23</f>
        <v>-</v>
      </c>
      <c r="M24" s="402"/>
      <c r="N24" s="404" t="str">
        <f>OBRA!AI23</f>
        <v>-</v>
      </c>
      <c r="O24" s="144"/>
      <c r="P24" s="144"/>
      <c r="Q24" s="401"/>
      <c r="R24" s="407" t="str">
        <f>OBRA!AJ23</f>
        <v>-</v>
      </c>
      <c r="S24" s="385"/>
      <c r="T24" s="399" t="str">
        <f>OBRA!W23</f>
        <v>C. JUAN MANUEL PALOS VACA</v>
      </c>
      <c r="U24" s="408" t="str">
        <f>OBRA!X23</f>
        <v>ING. ISER RANGEL REVILLA</v>
      </c>
      <c r="V24" s="1090"/>
      <c r="W24" s="19" t="str">
        <f>OBRA!N23</f>
        <v>GMJ 019C OP/2013</v>
      </c>
      <c r="X24" s="12"/>
      <c r="Y24" s="12"/>
      <c r="Z24" s="409" t="str">
        <f>OBRA!M23</f>
        <v>RAMO 33</v>
      </c>
      <c r="AA24" s="12"/>
      <c r="AB24" s="2" t="str">
        <f>OBRA!O23</f>
        <v>ADJUDICACIÓN DIRECTA</v>
      </c>
      <c r="AC24" s="3" t="str">
        <f>OBRA!P23</f>
        <v xml:space="preserve">PAVIMENTO DE EMPEDRADO AHOGADO EN CEMENTO EN LA CALLE RAMON CORONA ENTRE MORELOS Y LOPEZ COTILLAEN LA DELEGACION DE POTRERILLOS </v>
      </c>
      <c r="AD24" s="4">
        <f>OBRA!R23</f>
        <v>363453.99</v>
      </c>
      <c r="AE24" s="6">
        <f>OBRA!S23</f>
        <v>41547</v>
      </c>
      <c r="AF24" s="5">
        <f>OBRA!T23</f>
        <v>41548</v>
      </c>
      <c r="AG24" s="390">
        <f>OBRA!U23</f>
        <v>41580</v>
      </c>
      <c r="AH24" s="52"/>
      <c r="AI24" s="211"/>
      <c r="AJ24" s="242"/>
      <c r="AK24" s="242"/>
      <c r="AL24" s="394"/>
      <c r="AM24" s="519" t="str">
        <f>GRAL!B25</f>
        <v>2012-2015</v>
      </c>
    </row>
    <row r="25" spans="1:39" ht="45.75" hidden="1" thickTop="1">
      <c r="A25" s="158">
        <f>OBRA!J24</f>
        <v>2013</v>
      </c>
      <c r="B25" s="1683"/>
      <c r="C25" s="395"/>
      <c r="D25" s="146"/>
      <c r="E25" s="148"/>
      <c r="F25" s="148"/>
      <c r="G25" s="398"/>
      <c r="H25" s="404" t="str">
        <f>OBRA!AF24</f>
        <v>-</v>
      </c>
      <c r="I25" s="400"/>
      <c r="J25" s="406" t="str">
        <f>OBRA!AG24</f>
        <v>-</v>
      </c>
      <c r="K25" s="401"/>
      <c r="L25" s="404" t="str">
        <f>OBRA!AH24</f>
        <v>-</v>
      </c>
      <c r="M25" s="402"/>
      <c r="N25" s="404" t="str">
        <f>OBRA!AI24</f>
        <v>-</v>
      </c>
      <c r="O25" s="144"/>
      <c r="P25" s="144"/>
      <c r="Q25" s="401"/>
      <c r="R25" s="407" t="str">
        <f>OBRA!AJ24</f>
        <v>-</v>
      </c>
      <c r="S25" s="385"/>
      <c r="T25" s="399" t="str">
        <f>OBRA!W24</f>
        <v>-</v>
      </c>
      <c r="U25" s="408">
        <f>OBRA!X24</f>
        <v>0</v>
      </c>
      <c r="V25" s="1090"/>
      <c r="W25" s="19" t="str">
        <f>OBRA!N24</f>
        <v>DOP/AD/022/2013</v>
      </c>
      <c r="X25" s="12"/>
      <c r="Y25" s="12"/>
      <c r="Z25" s="409" t="str">
        <f>OBRA!M24</f>
        <v>RAMO 33</v>
      </c>
      <c r="AA25" s="12"/>
      <c r="AB25" s="2" t="str">
        <f>OBRA!O24</f>
        <v>ADMINISTRACIÓN DIRECTA</v>
      </c>
      <c r="AC25" s="3" t="str">
        <f>OBRA!P24</f>
        <v>COLOCACION DE ADOQUIN EN CALLE JUAREZ Y 5 DE MAYO, EN LA LOCALIDAD DE SAN PEDRO TESISTAN</v>
      </c>
      <c r="AD25" s="4">
        <f>OBRA!R24</f>
        <v>339164.5</v>
      </c>
      <c r="AE25" s="6">
        <f>OBRA!S24</f>
        <v>41599</v>
      </c>
      <c r="AF25" s="5">
        <f>OBRA!T24</f>
        <v>41600</v>
      </c>
      <c r="AG25" s="390">
        <f>OBRA!U24</f>
        <v>41623</v>
      </c>
      <c r="AH25" s="52"/>
      <c r="AI25" s="211"/>
      <c r="AJ25" s="242"/>
      <c r="AK25" s="242"/>
      <c r="AL25" s="394"/>
      <c r="AM25" s="519" t="str">
        <f>GRAL!B26</f>
        <v>2012-2015</v>
      </c>
    </row>
    <row r="26" spans="1:39" ht="45.75" hidden="1" thickTop="1">
      <c r="A26" s="158">
        <f>OBRA!J25</f>
        <v>2013</v>
      </c>
      <c r="B26" s="1683"/>
      <c r="C26" s="395"/>
      <c r="D26" s="146"/>
      <c r="E26" s="148"/>
      <c r="F26" s="148"/>
      <c r="G26" s="398"/>
      <c r="H26" s="404" t="str">
        <f>OBRA!AF25</f>
        <v>-</v>
      </c>
      <c r="I26" s="400"/>
      <c r="J26" s="406" t="str">
        <f>OBRA!AG25</f>
        <v>-</v>
      </c>
      <c r="K26" s="401"/>
      <c r="L26" s="404" t="str">
        <f>OBRA!AH25</f>
        <v>-</v>
      </c>
      <c r="M26" s="402"/>
      <c r="N26" s="404" t="str">
        <f>OBRA!AI25</f>
        <v>-</v>
      </c>
      <c r="O26" s="144"/>
      <c r="P26" s="144"/>
      <c r="Q26" s="401"/>
      <c r="R26" s="407" t="str">
        <f>OBRA!AJ25</f>
        <v>-</v>
      </c>
      <c r="S26" s="385"/>
      <c r="T26" s="399" t="str">
        <f>OBRA!W25</f>
        <v>-</v>
      </c>
      <c r="U26" s="408">
        <f>OBRA!X25</f>
        <v>0</v>
      </c>
      <c r="V26" s="1090"/>
      <c r="W26" s="19" t="str">
        <f>OBRA!N25</f>
        <v>DOP/AD/023/2013</v>
      </c>
      <c r="X26" s="12"/>
      <c r="Y26" s="12"/>
      <c r="Z26" s="409" t="str">
        <f>OBRA!M25</f>
        <v>RAMO 33</v>
      </c>
      <c r="AA26" s="12"/>
      <c r="AB26" s="2" t="str">
        <f>OBRA!O25</f>
        <v>ADMINISTRACIÓN DIRECTA</v>
      </c>
      <c r="AC26" s="3" t="str">
        <f>OBRA!P25</f>
        <v>RENOVACION DE AGUA POTABLE, EN C. 16 DE SEPTIEMBRE EN LA AGENCIA MUNICIPAL DE NEXTIPAC</v>
      </c>
      <c r="AD26" s="4">
        <f>OBRA!R25</f>
        <v>108190</v>
      </c>
      <c r="AE26" s="6">
        <f>OBRA!S25</f>
        <v>41593</v>
      </c>
      <c r="AF26" s="5">
        <f>OBRA!T25</f>
        <v>41596</v>
      </c>
      <c r="AG26" s="390">
        <f>OBRA!U25</f>
        <v>41610</v>
      </c>
      <c r="AH26" s="52"/>
      <c r="AI26" s="211"/>
      <c r="AJ26" s="242"/>
      <c r="AK26" s="242"/>
      <c r="AL26" s="394"/>
      <c r="AM26" s="519" t="str">
        <f>GRAL!B27</f>
        <v>2012-2015</v>
      </c>
    </row>
    <row r="27" spans="1:39" ht="45.75" hidden="1" thickTop="1">
      <c r="A27" s="158">
        <f>OBRA!J26</f>
        <v>2013</v>
      </c>
      <c r="B27" s="1683"/>
      <c r="C27" s="395"/>
      <c r="D27" s="146"/>
      <c r="E27" s="148"/>
      <c r="F27" s="148"/>
      <c r="G27" s="398"/>
      <c r="H27" s="404" t="str">
        <f>OBRA!AF26</f>
        <v>-</v>
      </c>
      <c r="I27" s="400"/>
      <c r="J27" s="406" t="str">
        <f>OBRA!AG26</f>
        <v>-</v>
      </c>
      <c r="K27" s="401"/>
      <c r="L27" s="404" t="str">
        <f>OBRA!AH26</f>
        <v>-</v>
      </c>
      <c r="M27" s="402"/>
      <c r="N27" s="404" t="str">
        <f>OBRA!AI26</f>
        <v>-</v>
      </c>
      <c r="O27" s="144"/>
      <c r="P27" s="144"/>
      <c r="Q27" s="401"/>
      <c r="R27" s="407" t="str">
        <f>OBRA!AJ26</f>
        <v>-</v>
      </c>
      <c r="S27" s="385"/>
      <c r="T27" s="399" t="str">
        <f>OBRA!W26</f>
        <v>-</v>
      </c>
      <c r="U27" s="408">
        <f>OBRA!X26</f>
        <v>0</v>
      </c>
      <c r="V27" s="1090"/>
      <c r="W27" s="19" t="str">
        <f>OBRA!N26</f>
        <v>DOP/AD/017/2013</v>
      </c>
      <c r="X27" s="12"/>
      <c r="Y27" s="12"/>
      <c r="Z27" s="409" t="str">
        <f>OBRA!M26</f>
        <v>RAMO 33</v>
      </c>
      <c r="AA27" s="12"/>
      <c r="AB27" s="2" t="str">
        <f>OBRA!O26</f>
        <v>ADMINISTRACIÓN DIRECTA</v>
      </c>
      <c r="AC27" s="3" t="str">
        <f>OBRA!P26</f>
        <v>RENOVACION DE RED DE DRENAJE, EN C. 16 DE SEPTIEMBRE EN LA AGENCIA MUNICIPAL DE NEXTIPAC</v>
      </c>
      <c r="AD27" s="4">
        <f>OBRA!R26</f>
        <v>120948.09</v>
      </c>
      <c r="AE27" s="6">
        <f>OBRA!S26</f>
        <v>41593</v>
      </c>
      <c r="AF27" s="5">
        <f>OBRA!T26</f>
        <v>41596</v>
      </c>
      <c r="AG27" s="390">
        <f>OBRA!U26</f>
        <v>41610</v>
      </c>
      <c r="AH27" s="52"/>
      <c r="AI27" s="211"/>
      <c r="AJ27" s="242"/>
      <c r="AK27" s="242"/>
      <c r="AL27" s="394"/>
      <c r="AM27" s="519" t="str">
        <f>GRAL!B28</f>
        <v>2012-2015</v>
      </c>
    </row>
    <row r="28" spans="1:39" ht="60.75" hidden="1" thickTop="1">
      <c r="A28" s="158">
        <f>OBRA!J27</f>
        <v>2013</v>
      </c>
      <c r="B28" s="1683"/>
      <c r="C28" s="395"/>
      <c r="D28" s="146"/>
      <c r="E28" s="148"/>
      <c r="F28" s="148"/>
      <c r="G28" s="398"/>
      <c r="H28" s="404" t="str">
        <f>OBRA!AF27</f>
        <v>-</v>
      </c>
      <c r="I28" s="400"/>
      <c r="J28" s="406" t="str">
        <f>OBRA!AG27</f>
        <v>-</v>
      </c>
      <c r="K28" s="401"/>
      <c r="L28" s="404" t="str">
        <f>OBRA!AH27</f>
        <v>-</v>
      </c>
      <c r="M28" s="402"/>
      <c r="N28" s="404" t="str">
        <f>OBRA!AI27</f>
        <v>-</v>
      </c>
      <c r="O28" s="144"/>
      <c r="P28" s="144"/>
      <c r="Q28" s="401"/>
      <c r="R28" s="407" t="str">
        <f>OBRA!AJ27</f>
        <v>-</v>
      </c>
      <c r="S28" s="385"/>
      <c r="T28" s="399" t="str">
        <f>OBRA!W27</f>
        <v>-</v>
      </c>
      <c r="U28" s="408">
        <f>OBRA!X27</f>
        <v>0</v>
      </c>
      <c r="V28" s="1090"/>
      <c r="W28" s="19" t="str">
        <f>OBRA!N27</f>
        <v>DOP/AD/021/2013</v>
      </c>
      <c r="X28" s="12"/>
      <c r="Y28" s="12"/>
      <c r="Z28" s="409" t="str">
        <f>OBRA!M27</f>
        <v>RAMO 33</v>
      </c>
      <c r="AA28" s="12"/>
      <c r="AB28" s="2" t="str">
        <f>OBRA!O27</f>
        <v>ADMINISTRACIÓN DIRECTA</v>
      </c>
      <c r="AC28" s="3" t="str">
        <f>OBRA!P27</f>
        <v>REEMPEDRADO NORMALEN CALLE LAZARO CARDENAS ENTRE C. PERO MORENO Y C. 16 DE SEPTIEMPRE, EN LA LOCALIDAD DE ZAPOTITAN DE HIDALGO</v>
      </c>
      <c r="AD28" s="4">
        <f>OBRA!R27</f>
        <v>150310.03</v>
      </c>
      <c r="AE28" s="6">
        <f>OBRA!S27</f>
        <v>41588</v>
      </c>
      <c r="AF28" s="5">
        <f>OBRA!T27</f>
        <v>41589</v>
      </c>
      <c r="AG28" s="390">
        <f>OBRA!U27</f>
        <v>41608</v>
      </c>
      <c r="AH28" s="52"/>
      <c r="AI28" s="211"/>
      <c r="AJ28" s="242"/>
      <c r="AK28" s="242"/>
      <c r="AL28" s="394"/>
      <c r="AM28" s="519" t="str">
        <f>GRAL!B29</f>
        <v>2012-2015</v>
      </c>
    </row>
    <row r="29" spans="1:39" ht="30.75" hidden="1" thickTop="1">
      <c r="A29" s="158">
        <f>OBRA!J28</f>
        <v>2013</v>
      </c>
      <c r="B29" s="1683"/>
      <c r="C29" s="395"/>
      <c r="D29" s="146"/>
      <c r="E29" s="148"/>
      <c r="F29" s="148"/>
      <c r="G29" s="398"/>
      <c r="H29" s="404" t="str">
        <f>OBRA!AF28</f>
        <v>-</v>
      </c>
      <c r="I29" s="400"/>
      <c r="J29" s="406" t="str">
        <f>OBRA!AG28</f>
        <v>-</v>
      </c>
      <c r="K29" s="401"/>
      <c r="L29" s="404" t="str">
        <f>OBRA!AH28</f>
        <v>-</v>
      </c>
      <c r="M29" s="402"/>
      <c r="N29" s="404" t="str">
        <f>OBRA!AI28</f>
        <v>-</v>
      </c>
      <c r="O29" s="144"/>
      <c r="P29" s="144"/>
      <c r="Q29" s="401"/>
      <c r="R29" s="407" t="str">
        <f>OBRA!AJ28</f>
        <v>-</v>
      </c>
      <c r="S29" s="385"/>
      <c r="T29" s="399" t="str">
        <f>OBRA!W28</f>
        <v>-</v>
      </c>
      <c r="U29" s="408">
        <f>OBRA!X28</f>
        <v>0</v>
      </c>
      <c r="V29" s="1090"/>
      <c r="W29" s="19" t="str">
        <f>OBRA!N28</f>
        <v>DOP/AD/019/2013</v>
      </c>
      <c r="X29" s="12"/>
      <c r="Y29" s="12"/>
      <c r="Z29" s="409" t="str">
        <f>OBRA!M28</f>
        <v>RAMO 33</v>
      </c>
      <c r="AA29" s="12"/>
      <c r="AB29" s="2" t="str">
        <f>OBRA!O28</f>
        <v>ADMINISTRACIÓN DIRECTA</v>
      </c>
      <c r="AC29" s="3" t="str">
        <f>OBRA!P28</f>
        <v>REMODELACION DE DELEGACION EN LA POBLACION DE SAN PEDRO TESISTAN</v>
      </c>
      <c r="AD29" s="4">
        <f>OBRA!R28</f>
        <v>93916.43</v>
      </c>
      <c r="AE29" s="6">
        <f>OBRA!S28</f>
        <v>41502</v>
      </c>
      <c r="AF29" s="5">
        <f>OBRA!T28</f>
        <v>41507</v>
      </c>
      <c r="AG29" s="390">
        <f>OBRA!U28</f>
        <v>41545</v>
      </c>
      <c r="AH29" s="52"/>
      <c r="AI29" s="211"/>
      <c r="AJ29" s="242"/>
      <c r="AK29" s="242"/>
      <c r="AL29" s="394"/>
      <c r="AM29" s="519" t="str">
        <f>GRAL!B30</f>
        <v>2012-2015</v>
      </c>
    </row>
    <row r="30" spans="1:39" ht="45.75" hidden="1" thickTop="1">
      <c r="A30" s="158">
        <f>OBRA!J29</f>
        <v>2013</v>
      </c>
      <c r="B30" s="1683"/>
      <c r="C30" s="395"/>
      <c r="D30" s="146"/>
      <c r="E30" s="148"/>
      <c r="F30" s="148"/>
      <c r="G30" s="398"/>
      <c r="H30" s="404" t="str">
        <f>OBRA!AF29</f>
        <v>-</v>
      </c>
      <c r="I30" s="400"/>
      <c r="J30" s="406" t="str">
        <f>OBRA!AG29</f>
        <v>-</v>
      </c>
      <c r="K30" s="401"/>
      <c r="L30" s="404" t="str">
        <f>OBRA!AH29</f>
        <v>-</v>
      </c>
      <c r="M30" s="402"/>
      <c r="N30" s="404" t="str">
        <f>OBRA!AI29</f>
        <v>-</v>
      </c>
      <c r="O30" s="144"/>
      <c r="P30" s="144"/>
      <c r="Q30" s="401"/>
      <c r="R30" s="407" t="str">
        <f>OBRA!AJ29</f>
        <v>-</v>
      </c>
      <c r="S30" s="385"/>
      <c r="T30" s="399" t="str">
        <f>OBRA!W29</f>
        <v>-</v>
      </c>
      <c r="U30" s="408">
        <f>OBRA!X29</f>
        <v>0</v>
      </c>
      <c r="V30" s="1090"/>
      <c r="W30" s="19" t="str">
        <f>OBRA!N29</f>
        <v>DOP/AD/024/2013</v>
      </c>
      <c r="X30" s="12"/>
      <c r="Y30" s="12"/>
      <c r="Z30" s="409" t="str">
        <f>OBRA!M29</f>
        <v>RAMO 33</v>
      </c>
      <c r="AA30" s="12"/>
      <c r="AB30" s="2" t="str">
        <f>OBRA!O29</f>
        <v>ADMINISTRACIÓN DIRECTA</v>
      </c>
      <c r="AC30" s="3" t="str">
        <f>OBRA!P29</f>
        <v>EMPEDRADO AHOGADO EN CEMENTO EN LA CALLE DONATO GUERRA DE CHURUBUSCO HASTA ARROYO EN LA AGENCIA MUNICIPAL DE; LA LOMA</v>
      </c>
      <c r="AD30" s="4">
        <f>OBRA!R29</f>
        <v>300000</v>
      </c>
      <c r="AE30" s="6">
        <f>OBRA!S29</f>
        <v>41614</v>
      </c>
      <c r="AF30" s="5">
        <f>OBRA!T29</f>
        <v>41617</v>
      </c>
      <c r="AG30" s="390">
        <f>OBRA!U29</f>
        <v>41638</v>
      </c>
      <c r="AH30" s="52"/>
      <c r="AI30" s="211"/>
      <c r="AJ30" s="242"/>
      <c r="AK30" s="242"/>
      <c r="AL30" s="394"/>
      <c r="AM30" s="519" t="str">
        <f>GRAL!B31</f>
        <v>2012-2015</v>
      </c>
    </row>
    <row r="31" spans="1:39" ht="60.75" hidden="1" thickTop="1">
      <c r="A31" s="158">
        <f>OBRA!J30</f>
        <v>2013</v>
      </c>
      <c r="B31" s="1683"/>
      <c r="C31" s="395"/>
      <c r="D31" s="146"/>
      <c r="E31" s="148"/>
      <c r="F31" s="148"/>
      <c r="G31" s="398"/>
      <c r="H31" s="404" t="str">
        <f>OBRA!AF30</f>
        <v>-</v>
      </c>
      <c r="I31" s="400"/>
      <c r="J31" s="406" t="str">
        <f>OBRA!AG30</f>
        <v>-</v>
      </c>
      <c r="K31" s="401"/>
      <c r="L31" s="404" t="str">
        <f>OBRA!AH30</f>
        <v>-</v>
      </c>
      <c r="M31" s="402"/>
      <c r="N31" s="404" t="str">
        <f>OBRA!AI30</f>
        <v>-</v>
      </c>
      <c r="O31" s="144"/>
      <c r="P31" s="144"/>
      <c r="Q31" s="401"/>
      <c r="R31" s="407" t="str">
        <f>OBRA!AJ30</f>
        <v>-</v>
      </c>
      <c r="S31" s="385"/>
      <c r="T31" s="399" t="str">
        <f>OBRA!W30</f>
        <v>-</v>
      </c>
      <c r="U31" s="408">
        <f>OBRA!X30</f>
        <v>0</v>
      </c>
      <c r="V31" s="1090"/>
      <c r="W31" s="19" t="str">
        <f>OBRA!N30</f>
        <v>DOP/AD/026/2013</v>
      </c>
      <c r="X31" s="12"/>
      <c r="Y31" s="12"/>
      <c r="Z31" s="409" t="str">
        <f>OBRA!M30</f>
        <v>RAMO 33</v>
      </c>
      <c r="AA31" s="12"/>
      <c r="AB31" s="2" t="str">
        <f>OBRA!O30</f>
        <v>ADMINISTRACIÓN DIRECTA</v>
      </c>
      <c r="AC31" s="3" t="str">
        <f>OBRA!P30</f>
        <v>CONSTRUCCION DE RED DE AGUA POTABLE EN LA CALLE DONATO GUERRA DE CHURUBUSCO HASTA ARROYO, EN LA AGENCIA MUNICIPAL DE; LA LOMA</v>
      </c>
      <c r="AD31" s="4">
        <f>OBRA!R30</f>
        <v>51673.18</v>
      </c>
      <c r="AE31" s="6">
        <f>OBRA!S30</f>
        <v>41614</v>
      </c>
      <c r="AF31" s="5">
        <f>OBRA!T30</f>
        <v>41617</v>
      </c>
      <c r="AG31" s="390">
        <f>OBRA!U30</f>
        <v>41638</v>
      </c>
      <c r="AH31" s="52"/>
      <c r="AI31" s="211"/>
      <c r="AJ31" s="242"/>
      <c r="AK31" s="242"/>
      <c r="AL31" s="394"/>
      <c r="AM31" s="519" t="str">
        <f>GRAL!B32</f>
        <v>2012-2015</v>
      </c>
    </row>
    <row r="32" spans="1:39" ht="45.75" hidden="1" thickTop="1">
      <c r="A32" s="158">
        <f>OBRA!J31</f>
        <v>2013</v>
      </c>
      <c r="B32" s="1683"/>
      <c r="C32" s="395"/>
      <c r="D32" s="146"/>
      <c r="E32" s="148"/>
      <c r="F32" s="148"/>
      <c r="G32" s="398"/>
      <c r="H32" s="404" t="str">
        <f>OBRA!AF31</f>
        <v>-</v>
      </c>
      <c r="I32" s="400"/>
      <c r="J32" s="406" t="str">
        <f>OBRA!AG31</f>
        <v>-</v>
      </c>
      <c r="K32" s="401"/>
      <c r="L32" s="404" t="str">
        <f>OBRA!AH31</f>
        <v>-</v>
      </c>
      <c r="M32" s="402"/>
      <c r="N32" s="404" t="str">
        <f>OBRA!AI31</f>
        <v>-</v>
      </c>
      <c r="O32" s="144"/>
      <c r="P32" s="144"/>
      <c r="Q32" s="401"/>
      <c r="R32" s="407" t="str">
        <f>OBRA!AJ31</f>
        <v>-</v>
      </c>
      <c r="S32" s="385"/>
      <c r="T32" s="399" t="str">
        <f>OBRA!W31</f>
        <v>-</v>
      </c>
      <c r="U32" s="408">
        <f>OBRA!X31</f>
        <v>0</v>
      </c>
      <c r="V32" s="1090"/>
      <c r="W32" s="19" t="str">
        <f>OBRA!N31</f>
        <v>DOP/AD/025/2013</v>
      </c>
      <c r="X32" s="12"/>
      <c r="Y32" s="12"/>
      <c r="Z32" s="409" t="str">
        <f>OBRA!M31</f>
        <v>RAMO 33</v>
      </c>
      <c r="AA32" s="12"/>
      <c r="AB32" s="2" t="str">
        <f>OBRA!O31</f>
        <v>ADMINISTRACIÓN DIRECTA</v>
      </c>
      <c r="AC32" s="3" t="str">
        <f>OBRA!P31</f>
        <v>CONSTRUCCION DE DRENAJE, EN LA C. DONATO GUERRA DE CHURUBUSCO HASTA EL ARROYO EN LA AGENCIA MUNICIPAL DE LA LOMA</v>
      </c>
      <c r="AD32" s="4">
        <f>OBRA!R31</f>
        <v>63457.87</v>
      </c>
      <c r="AE32" s="6">
        <f>OBRA!S31</f>
        <v>41614</v>
      </c>
      <c r="AF32" s="5">
        <f>OBRA!T31</f>
        <v>41617</v>
      </c>
      <c r="AG32" s="390">
        <f>OBRA!U31</f>
        <v>41638</v>
      </c>
      <c r="AH32" s="52"/>
      <c r="AI32" s="211"/>
      <c r="AJ32" s="242"/>
      <c r="AK32" s="242"/>
      <c r="AL32" s="394"/>
      <c r="AM32" s="519" t="str">
        <f>GRAL!B33</f>
        <v>2012-2015</v>
      </c>
    </row>
    <row r="33" spans="1:39" ht="30.75" hidden="1" thickTop="1">
      <c r="A33" s="158">
        <f>OBRA!J32</f>
        <v>2013</v>
      </c>
      <c r="B33" s="1683"/>
      <c r="C33" s="395"/>
      <c r="D33" s="146"/>
      <c r="E33" s="148"/>
      <c r="F33" s="148"/>
      <c r="G33" s="398"/>
      <c r="H33" s="404" t="str">
        <f>OBRA!AF32</f>
        <v>-</v>
      </c>
      <c r="I33" s="400"/>
      <c r="J33" s="406" t="str">
        <f>OBRA!AG32</f>
        <v>-</v>
      </c>
      <c r="K33" s="401"/>
      <c r="L33" s="404" t="str">
        <f>OBRA!AH32</f>
        <v>-</v>
      </c>
      <c r="M33" s="402"/>
      <c r="N33" s="404" t="str">
        <f>OBRA!AI32</f>
        <v>-</v>
      </c>
      <c r="O33" s="144"/>
      <c r="P33" s="144"/>
      <c r="Q33" s="401"/>
      <c r="R33" s="407" t="str">
        <f>OBRA!AJ32</f>
        <v>-</v>
      </c>
      <c r="S33" s="385"/>
      <c r="T33" s="399" t="str">
        <f>OBRA!W32</f>
        <v>-</v>
      </c>
      <c r="U33" s="408">
        <f>OBRA!X32</f>
        <v>0</v>
      </c>
      <c r="V33" s="1090"/>
      <c r="W33" s="19" t="str">
        <f>OBRA!N32</f>
        <v>DOP/AD/008/2013</v>
      </c>
      <c r="X33" s="12"/>
      <c r="Y33" s="12"/>
      <c r="Z33" s="409" t="str">
        <f>OBRA!M32</f>
        <v>RAMO 33</v>
      </c>
      <c r="AA33" s="12"/>
      <c r="AB33" s="2" t="str">
        <f>OBRA!O32</f>
        <v>ADMINISTRACIÓN DIRECTA</v>
      </c>
      <c r="AC33" s="3" t="str">
        <f>OBRA!P32</f>
        <v>EMPEDRADO NORMAL, EN C. 16 DE SEPTIEMBRE EN LA AGENCIA MUNICIPAL DE NEXTIPAC</v>
      </c>
      <c r="AD33" s="4">
        <f>OBRA!R32</f>
        <v>387451.67</v>
      </c>
      <c r="AE33" s="6">
        <f>OBRA!S32</f>
        <v>41600</v>
      </c>
      <c r="AF33" s="5">
        <f>OBRA!T32</f>
        <v>41603</v>
      </c>
      <c r="AG33" s="390">
        <f>OBRA!U32</f>
        <v>41608</v>
      </c>
      <c r="AH33" s="52"/>
      <c r="AI33" s="211"/>
      <c r="AJ33" s="242"/>
      <c r="AK33" s="242"/>
      <c r="AL33" s="394"/>
      <c r="AM33" s="519" t="str">
        <f>GRAL!B34</f>
        <v>2012-2015</v>
      </c>
    </row>
    <row r="34" spans="1:39" ht="45.75" hidden="1" thickTop="1">
      <c r="A34" s="158">
        <f>OBRA!J33</f>
        <v>2013</v>
      </c>
      <c r="B34" s="1683"/>
      <c r="C34" s="395"/>
      <c r="D34" s="146"/>
      <c r="E34" s="148"/>
      <c r="F34" s="148"/>
      <c r="G34" s="398"/>
      <c r="H34" s="404" t="str">
        <f>OBRA!AF33</f>
        <v>-</v>
      </c>
      <c r="I34" s="400"/>
      <c r="J34" s="406" t="str">
        <f>OBRA!AG33</f>
        <v>-</v>
      </c>
      <c r="K34" s="401"/>
      <c r="L34" s="404" t="str">
        <f>OBRA!AH33</f>
        <v>-</v>
      </c>
      <c r="M34" s="402"/>
      <c r="N34" s="404" t="str">
        <f>OBRA!AI33</f>
        <v>-</v>
      </c>
      <c r="O34" s="144"/>
      <c r="P34" s="144"/>
      <c r="Q34" s="401"/>
      <c r="R34" s="407" t="str">
        <f>OBRA!AJ33</f>
        <v>-</v>
      </c>
      <c r="S34" s="385"/>
      <c r="T34" s="399" t="str">
        <f>OBRA!W33</f>
        <v>KARLAY S.A. DE S.V.</v>
      </c>
      <c r="U34" s="408" t="str">
        <f>OBRA!X33</f>
        <v>C. DANIEL RODRIGUEZ VALENZUELA</v>
      </c>
      <c r="V34" s="1090"/>
      <c r="W34" s="19" t="str">
        <f>OBRA!N33</f>
        <v>GMJ 021C OP/2013</v>
      </c>
      <c r="X34" s="12"/>
      <c r="Y34" s="12"/>
      <c r="Z34" s="409" t="str">
        <f>OBRA!M33</f>
        <v>Resc Esp Pub</v>
      </c>
      <c r="AA34" s="12"/>
      <c r="AB34" s="2" t="str">
        <f>OBRA!O33</f>
        <v>ADJUDICACIÓN DIRECTA</v>
      </c>
      <c r="AC34" s="3" t="str">
        <f>OBRA!P33</f>
        <v>RESCATE DE LA UNIDAD DEPORTIVA ZARAGOZA, EN LA CABECERA MUNICIPAL, DEL MUNICIPIO DE JOCOTEPEC, JALISCO</v>
      </c>
      <c r="AD34" s="4">
        <f>OBRA!R33</f>
        <v>1299999</v>
      </c>
      <c r="AE34" s="6">
        <f>OBRA!S33</f>
        <v>41547</v>
      </c>
      <c r="AF34" s="5">
        <f>OBRA!T33</f>
        <v>41547</v>
      </c>
      <c r="AG34" s="390">
        <f>OBRA!U33</f>
        <v>41608</v>
      </c>
      <c r="AH34" s="52"/>
      <c r="AI34" s="211"/>
      <c r="AJ34" s="242"/>
      <c r="AK34" s="242"/>
      <c r="AL34" s="394"/>
      <c r="AM34" s="519" t="str">
        <f>GRAL!B35</f>
        <v>2012-2015</v>
      </c>
    </row>
    <row r="35" spans="1:39" ht="60.75" hidden="1" thickTop="1">
      <c r="A35" s="158">
        <f>OBRA!J34</f>
        <v>2013</v>
      </c>
      <c r="B35" s="1683"/>
      <c r="C35" s="395"/>
      <c r="D35" s="146"/>
      <c r="E35" s="148"/>
      <c r="F35" s="148"/>
      <c r="G35" s="398"/>
      <c r="H35" s="404" t="str">
        <f>OBRA!AF34</f>
        <v>-</v>
      </c>
      <c r="I35" s="400"/>
      <c r="J35" s="406" t="str">
        <f>OBRA!AG34</f>
        <v>-</v>
      </c>
      <c r="K35" s="401"/>
      <c r="L35" s="404" t="str">
        <f>OBRA!AH34</f>
        <v>-</v>
      </c>
      <c r="M35" s="402"/>
      <c r="N35" s="404" t="str">
        <f>OBRA!AI34</f>
        <v>-</v>
      </c>
      <c r="O35" s="144"/>
      <c r="P35" s="144"/>
      <c r="Q35" s="401"/>
      <c r="R35" s="407" t="str">
        <f>OBRA!AJ34</f>
        <v>-</v>
      </c>
      <c r="S35" s="385"/>
      <c r="T35" s="399" t="str">
        <f>OBRA!W34</f>
        <v>-</v>
      </c>
      <c r="U35" s="408">
        <f>OBRA!X34</f>
        <v>0</v>
      </c>
      <c r="V35" s="1090"/>
      <c r="W35" s="19" t="str">
        <f>OBRA!N34</f>
        <v>DOP/AD/030/2013</v>
      </c>
      <c r="X35" s="12"/>
      <c r="Y35" s="12"/>
      <c r="Z35" s="409" t="str">
        <f>OBRA!M34</f>
        <v>3X1 PARA MIGRANTES</v>
      </c>
      <c r="AA35" s="12"/>
      <c r="AB35" s="2" t="str">
        <f>OBRA!O34</f>
        <v>ADMINISTRACIÓN DIRECTA</v>
      </c>
      <c r="AC35" s="3" t="str">
        <f>OBRA!P34</f>
        <v>REHABILITACIÓN DE RED DE AGUA POTBLE EN C. VICENTE GUERRERO, DE CARR. FED. #15 HASTA ZONA FEDERAL (LAGO) EN LA DELEGACIÓN DE SAN PEDRO TESISTAN</v>
      </c>
      <c r="AD35" s="4">
        <f>OBRA!R34</f>
        <v>125188</v>
      </c>
      <c r="AE35" s="6">
        <f>OBRA!S34</f>
        <v>41617</v>
      </c>
      <c r="AF35" s="5">
        <f>OBRA!T34</f>
        <v>41612</v>
      </c>
      <c r="AG35" s="390">
        <f>OBRA!U34</f>
        <v>41638</v>
      </c>
      <c r="AH35" s="52"/>
      <c r="AI35" s="211"/>
      <c r="AJ35" s="242"/>
      <c r="AK35" s="242"/>
      <c r="AL35" s="394"/>
      <c r="AM35" s="519" t="str">
        <f>GRAL!B36</f>
        <v>2012-2015</v>
      </c>
    </row>
    <row r="36" spans="1:39" ht="60.75" hidden="1" thickTop="1">
      <c r="A36" s="158">
        <f>OBRA!J35</f>
        <v>2013</v>
      </c>
      <c r="B36" s="1683"/>
      <c r="C36" s="395"/>
      <c r="D36" s="146"/>
      <c r="E36" s="148"/>
      <c r="F36" s="148"/>
      <c r="G36" s="398"/>
      <c r="H36" s="404" t="str">
        <f>OBRA!AF35</f>
        <v>-</v>
      </c>
      <c r="I36" s="400"/>
      <c r="J36" s="406" t="str">
        <f>OBRA!AG35</f>
        <v>-</v>
      </c>
      <c r="K36" s="401"/>
      <c r="L36" s="404" t="str">
        <f>OBRA!AH35</f>
        <v>-</v>
      </c>
      <c r="M36" s="402"/>
      <c r="N36" s="404" t="str">
        <f>OBRA!AI35</f>
        <v>-</v>
      </c>
      <c r="O36" s="144"/>
      <c r="P36" s="144"/>
      <c r="Q36" s="401"/>
      <c r="R36" s="407" t="str">
        <f>OBRA!AJ35</f>
        <v>-</v>
      </c>
      <c r="S36" s="385"/>
      <c r="T36" s="399" t="str">
        <f>OBRA!W35</f>
        <v>-</v>
      </c>
      <c r="U36" s="408">
        <f>OBRA!X35</f>
        <v>0</v>
      </c>
      <c r="V36" s="1090"/>
      <c r="W36" s="19" t="str">
        <f>OBRA!N35</f>
        <v>DOP/AD/001/2013</v>
      </c>
      <c r="X36" s="12"/>
      <c r="Y36" s="12"/>
      <c r="Z36" s="409" t="str">
        <f>OBRA!M35</f>
        <v>CUENTA CORRIENTE</v>
      </c>
      <c r="AA36" s="12"/>
      <c r="AB36" s="2" t="str">
        <f>OBRA!O35</f>
        <v>ADMINISTRACIÓN DIRECTA</v>
      </c>
      <c r="AC36" s="3" t="str">
        <f>OBRA!P35</f>
        <v>REHABILITACIÓN DE RED DE AGUA POTABLE EN C.  FRANCISCO I. MADERO ENTRE ITURBIDE Y VICENTE GUERRERO EN L LOCALIDAD DE; SAN JUAN COSALA</v>
      </c>
      <c r="AD36" s="4">
        <f>OBRA!R35</f>
        <v>75847.88</v>
      </c>
      <c r="AE36" s="6">
        <f>OBRA!S35</f>
        <v>41447</v>
      </c>
      <c r="AF36" s="5">
        <f>OBRA!T35</f>
        <v>41447</v>
      </c>
      <c r="AG36" s="390">
        <f>OBRA!U35</f>
        <v>41460</v>
      </c>
      <c r="AH36" s="52"/>
      <c r="AI36" s="211"/>
      <c r="AJ36" s="242"/>
      <c r="AK36" s="242"/>
      <c r="AL36" s="394"/>
      <c r="AM36" s="519" t="str">
        <f>GRAL!B37</f>
        <v>2012-2015</v>
      </c>
    </row>
    <row r="37" spans="1:39" ht="60.75" hidden="1" thickTop="1">
      <c r="A37" s="158">
        <f>OBRA!J36</f>
        <v>2013</v>
      </c>
      <c r="B37" s="1683"/>
      <c r="C37" s="395"/>
      <c r="D37" s="146"/>
      <c r="E37" s="148"/>
      <c r="F37" s="148"/>
      <c r="G37" s="398"/>
      <c r="H37" s="404" t="str">
        <f>OBRA!AF36</f>
        <v>-</v>
      </c>
      <c r="I37" s="400"/>
      <c r="J37" s="406" t="str">
        <f>OBRA!AG36</f>
        <v>-</v>
      </c>
      <c r="K37" s="401"/>
      <c r="L37" s="404" t="str">
        <f>OBRA!AH36</f>
        <v>-</v>
      </c>
      <c r="M37" s="402"/>
      <c r="N37" s="404" t="str">
        <f>OBRA!AI36</f>
        <v>-</v>
      </c>
      <c r="O37" s="144"/>
      <c r="P37" s="144"/>
      <c r="Q37" s="401"/>
      <c r="R37" s="407" t="str">
        <f>OBRA!AJ36</f>
        <v>-</v>
      </c>
      <c r="S37" s="385"/>
      <c r="T37" s="399" t="str">
        <f>OBRA!W36</f>
        <v>-</v>
      </c>
      <c r="U37" s="408">
        <f>OBRA!X36</f>
        <v>0</v>
      </c>
      <c r="V37" s="1090"/>
      <c r="W37" s="19" t="str">
        <f>OBRA!N36</f>
        <v>DOP/AD/002/2013</v>
      </c>
      <c r="X37" s="12"/>
      <c r="Y37" s="12"/>
      <c r="Z37" s="409" t="str">
        <f>OBRA!M36</f>
        <v>CUENTA CORRIENTE</v>
      </c>
      <c r="AA37" s="12"/>
      <c r="AB37" s="2" t="str">
        <f>OBRA!O36</f>
        <v>ADMINISTRACIÓN DIRECTA</v>
      </c>
      <c r="AC37" s="3" t="str">
        <f>OBRA!P36</f>
        <v>BACHEO DE EMPEDRADO NORMAL EN ZANJA EN  C. FRANCISCO I. MADERO ENTRE ITURBIDE Y VICENTE GUERRERO EN LA LOCALIDAD DE SAN JUAN COSALA</v>
      </c>
      <c r="AD37" s="4">
        <f>OBRA!R36</f>
        <v>38585.949999999997</v>
      </c>
      <c r="AE37" s="6">
        <f>OBRA!S36</f>
        <v>41446</v>
      </c>
      <c r="AF37" s="5">
        <f>OBRA!T36</f>
        <v>41446</v>
      </c>
      <c r="AG37" s="390">
        <f>OBRA!U36</f>
        <v>41453</v>
      </c>
      <c r="AH37" s="52"/>
      <c r="AI37" s="211"/>
      <c r="AJ37" s="242"/>
      <c r="AK37" s="242"/>
      <c r="AL37" s="394"/>
      <c r="AM37" s="519" t="str">
        <f>GRAL!B38</f>
        <v>2012-2015</v>
      </c>
    </row>
    <row r="38" spans="1:39" ht="45.75" hidden="1" thickTop="1">
      <c r="A38" s="158">
        <f>OBRA!J37</f>
        <v>2013</v>
      </c>
      <c r="B38" s="1683"/>
      <c r="C38" s="395"/>
      <c r="D38" s="146"/>
      <c r="E38" s="148"/>
      <c r="F38" s="148"/>
      <c r="G38" s="398"/>
      <c r="H38" s="404" t="str">
        <f>OBRA!AF37</f>
        <v>-</v>
      </c>
      <c r="I38" s="400"/>
      <c r="J38" s="406" t="str">
        <f>OBRA!AG37</f>
        <v>-</v>
      </c>
      <c r="K38" s="401"/>
      <c r="L38" s="404" t="str">
        <f>OBRA!AH37</f>
        <v>-</v>
      </c>
      <c r="M38" s="402"/>
      <c r="N38" s="404" t="str">
        <f>OBRA!AI37</f>
        <v>-</v>
      </c>
      <c r="O38" s="144"/>
      <c r="P38" s="144"/>
      <c r="Q38" s="401"/>
      <c r="R38" s="407" t="str">
        <f>OBRA!AJ37</f>
        <v>-</v>
      </c>
      <c r="S38" s="385"/>
      <c r="T38" s="399" t="str">
        <f>OBRA!W37</f>
        <v>-</v>
      </c>
      <c r="U38" s="408">
        <f>OBRA!X37</f>
        <v>0</v>
      </c>
      <c r="V38" s="1090"/>
      <c r="W38" s="19" t="str">
        <f>OBRA!N37</f>
        <v>DOP/AD/003/2013</v>
      </c>
      <c r="X38" s="12"/>
      <c r="Y38" s="12"/>
      <c r="Z38" s="409" t="str">
        <f>OBRA!M37</f>
        <v>CUENTA CORRIENTE</v>
      </c>
      <c r="AA38" s="12"/>
      <c r="AB38" s="2" t="str">
        <f>OBRA!O37</f>
        <v>ADMINISTRACIÓN DIRECTA</v>
      </c>
      <c r="AC38" s="3" t="str">
        <f>OBRA!P37</f>
        <v>EMPEDRADO AHOGADO EN PRIVADA MATAMOROS EN L LOCALIDAD DE SAN JUAN COSALA</v>
      </c>
      <c r="AD38" s="4">
        <f>OBRA!R37</f>
        <v>396797.76</v>
      </c>
      <c r="AE38" s="6">
        <f>OBRA!S37</f>
        <v>41446</v>
      </c>
      <c r="AF38" s="5">
        <f>OBRA!T37</f>
        <v>41446</v>
      </c>
      <c r="AG38" s="390">
        <f>OBRA!U37</f>
        <v>41460</v>
      </c>
      <c r="AH38" s="52"/>
      <c r="AI38" s="211"/>
      <c r="AJ38" s="242"/>
      <c r="AK38" s="242"/>
      <c r="AL38" s="394"/>
      <c r="AM38" s="519" t="str">
        <f>GRAL!B39</f>
        <v>2012-2015</v>
      </c>
    </row>
    <row r="39" spans="1:39" ht="30.75" hidden="1" thickTop="1">
      <c r="A39" s="158">
        <f>OBRA!J38</f>
        <v>2013</v>
      </c>
      <c r="B39" s="1683"/>
      <c r="C39" s="395"/>
      <c r="D39" s="146"/>
      <c r="E39" s="148"/>
      <c r="F39" s="148"/>
      <c r="G39" s="398"/>
      <c r="H39" s="404" t="str">
        <f>OBRA!AF38</f>
        <v>-</v>
      </c>
      <c r="I39" s="400"/>
      <c r="J39" s="406" t="str">
        <f>OBRA!AG38</f>
        <v>-</v>
      </c>
      <c r="K39" s="401"/>
      <c r="L39" s="404" t="str">
        <f>OBRA!AH38</f>
        <v>-</v>
      </c>
      <c r="M39" s="402"/>
      <c r="N39" s="404" t="str">
        <f>OBRA!AI38</f>
        <v>-</v>
      </c>
      <c r="O39" s="144"/>
      <c r="P39" s="144"/>
      <c r="Q39" s="401"/>
      <c r="R39" s="407" t="str">
        <f>OBRA!AJ38</f>
        <v>-</v>
      </c>
      <c r="S39" s="385"/>
      <c r="T39" s="399" t="str">
        <f>OBRA!W38</f>
        <v>-</v>
      </c>
      <c r="U39" s="408">
        <f>OBRA!X38</f>
        <v>0</v>
      </c>
      <c r="V39" s="1090"/>
      <c r="W39" s="19" t="str">
        <f>OBRA!N38</f>
        <v>DOP/AD/004/2013</v>
      </c>
      <c r="X39" s="12"/>
      <c r="Y39" s="12"/>
      <c r="Z39" s="409" t="str">
        <f>OBRA!M38</f>
        <v>CUENTA CORRIENTE</v>
      </c>
      <c r="AA39" s="12"/>
      <c r="AB39" s="2" t="str">
        <f>OBRA!O38</f>
        <v>ADMINISTRACIÓN DIRECTA</v>
      </c>
      <c r="AC39" s="3" t="str">
        <f>OBRA!P38</f>
        <v>DESASOLVES PREVENTIVOS PARA EVITAR INUNDCIONES EN CBECERA Y SUS LOCALIDADES</v>
      </c>
      <c r="AD39" s="4">
        <f>OBRA!R38</f>
        <v>300000</v>
      </c>
      <c r="AE39" s="6">
        <f>OBRA!S38</f>
        <v>41449</v>
      </c>
      <c r="AF39" s="5">
        <f>OBRA!T38</f>
        <v>41449</v>
      </c>
      <c r="AG39" s="390">
        <f>OBRA!U38</f>
        <v>41517</v>
      </c>
      <c r="AH39" s="52"/>
      <c r="AI39" s="211"/>
      <c r="AJ39" s="242"/>
      <c r="AK39" s="242"/>
      <c r="AL39" s="394"/>
      <c r="AM39" s="519" t="str">
        <f>GRAL!B40</f>
        <v>2012-2015</v>
      </c>
    </row>
    <row r="40" spans="1:39" ht="30.75" hidden="1" thickTop="1">
      <c r="A40" s="158">
        <f>OBRA!J39</f>
        <v>2013</v>
      </c>
      <c r="B40" s="1683"/>
      <c r="C40" s="395"/>
      <c r="D40" s="146"/>
      <c r="E40" s="148"/>
      <c r="F40" s="148"/>
      <c r="G40" s="398"/>
      <c r="H40" s="404" t="str">
        <f>OBRA!AF39</f>
        <v>-</v>
      </c>
      <c r="I40" s="400"/>
      <c r="J40" s="406" t="str">
        <f>OBRA!AG39</f>
        <v>-</v>
      </c>
      <c r="K40" s="401"/>
      <c r="L40" s="404" t="str">
        <f>OBRA!AH39</f>
        <v>-</v>
      </c>
      <c r="M40" s="402"/>
      <c r="N40" s="404" t="str">
        <f>OBRA!AI39</f>
        <v>-</v>
      </c>
      <c r="O40" s="144"/>
      <c r="P40" s="144"/>
      <c r="Q40" s="401"/>
      <c r="R40" s="407" t="str">
        <f>OBRA!AJ39</f>
        <v>-</v>
      </c>
      <c r="S40" s="385"/>
      <c r="T40" s="399" t="str">
        <f>OBRA!W39</f>
        <v>-</v>
      </c>
      <c r="U40" s="408">
        <f>OBRA!X39</f>
        <v>0</v>
      </c>
      <c r="V40" s="1090"/>
      <c r="W40" s="19" t="str">
        <f>OBRA!N39</f>
        <v>DOP/AD/012/2013</v>
      </c>
      <c r="X40" s="12"/>
      <c r="Y40" s="12"/>
      <c r="Z40" s="409" t="str">
        <f>OBRA!M39</f>
        <v>CUENTA CORRIENTE</v>
      </c>
      <c r="AA40" s="12"/>
      <c r="AB40" s="2" t="str">
        <f>OBRA!O39</f>
        <v>ADMINISTRACIÓN DIRECTA</v>
      </c>
      <c r="AC40" s="3" t="str">
        <f>OBRA!P39</f>
        <v>REMODELACION DE FACHADA EN ZONA CENTRO 1ª ETAPA, EN LA  CABECERA MUNICIPAL</v>
      </c>
      <c r="AD40" s="4">
        <f>OBRA!R39</f>
        <v>0</v>
      </c>
      <c r="AE40" s="6" t="s">
        <v>68</v>
      </c>
      <c r="AF40" s="5" t="s">
        <v>68</v>
      </c>
      <c r="AG40" s="390" t="s">
        <v>68</v>
      </c>
      <c r="AH40" s="52"/>
      <c r="AI40" s="211"/>
      <c r="AJ40" s="242"/>
      <c r="AK40" s="242"/>
      <c r="AL40" s="394"/>
      <c r="AM40" s="519" t="str">
        <f>GRAL!B41</f>
        <v>2012-2015</v>
      </c>
    </row>
    <row r="41" spans="1:39" ht="30.75" hidden="1" thickTop="1">
      <c r="A41" s="158">
        <f>OBRA!J40</f>
        <v>2013</v>
      </c>
      <c r="B41" s="1683"/>
      <c r="C41" s="395"/>
      <c r="D41" s="146"/>
      <c r="E41" s="148"/>
      <c r="F41" s="148"/>
      <c r="G41" s="398"/>
      <c r="H41" s="404" t="str">
        <f>OBRA!AF40</f>
        <v>-</v>
      </c>
      <c r="I41" s="400"/>
      <c r="J41" s="406" t="str">
        <f>OBRA!AG40</f>
        <v>-</v>
      </c>
      <c r="K41" s="401"/>
      <c r="L41" s="404" t="str">
        <f>OBRA!AH40</f>
        <v>-</v>
      </c>
      <c r="M41" s="402"/>
      <c r="N41" s="404" t="str">
        <f>OBRA!AI40</f>
        <v>-</v>
      </c>
      <c r="O41" s="144"/>
      <c r="P41" s="144"/>
      <c r="Q41" s="401"/>
      <c r="R41" s="407" t="str">
        <f>OBRA!AJ40</f>
        <v>-</v>
      </c>
      <c r="S41" s="385"/>
      <c r="T41" s="399" t="str">
        <f>OBRA!W40</f>
        <v>-</v>
      </c>
      <c r="U41" s="408">
        <f>OBRA!X40</f>
        <v>0</v>
      </c>
      <c r="V41" s="1090"/>
      <c r="W41" s="19" t="str">
        <f>OBRA!N40</f>
        <v>DOP/AD/013/2013</v>
      </c>
      <c r="X41" s="12"/>
      <c r="Y41" s="12"/>
      <c r="Z41" s="409" t="str">
        <f>OBRA!M40</f>
        <v>CUENTA CORRIENTE</v>
      </c>
      <c r="AA41" s="12"/>
      <c r="AB41" s="2" t="str">
        <f>OBRA!O40</f>
        <v>ADMINISTRACIÓN DIRECTA</v>
      </c>
      <c r="AC41" s="3" t="str">
        <f>OBRA!P40</f>
        <v>CONST. DE LOCAL COMERCIAL MALECON CABECERA MUNICIPAL</v>
      </c>
      <c r="AD41" s="4">
        <f>OBRA!R40</f>
        <v>60000</v>
      </c>
      <c r="AE41" s="6">
        <f>OBRA!S40</f>
        <v>41463</v>
      </c>
      <c r="AF41" s="5">
        <f>OBRA!T40</f>
        <v>41433</v>
      </c>
      <c r="AG41" s="390">
        <f>OBRA!U40</f>
        <v>41501</v>
      </c>
      <c r="AH41" s="52"/>
      <c r="AI41" s="211"/>
      <c r="AJ41" s="242"/>
      <c r="AK41" s="242"/>
      <c r="AL41" s="394"/>
      <c r="AM41" s="519" t="str">
        <f>GRAL!B42</f>
        <v>2012-2015</v>
      </c>
    </row>
    <row r="42" spans="1:39" ht="30.75" hidden="1" thickTop="1">
      <c r="A42" s="158">
        <f>OBRA!J41</f>
        <v>2013</v>
      </c>
      <c r="B42" s="1683"/>
      <c r="C42" s="395"/>
      <c r="D42" s="146"/>
      <c r="E42" s="148"/>
      <c r="F42" s="148"/>
      <c r="G42" s="398"/>
      <c r="H42" s="404" t="str">
        <f>OBRA!AF41</f>
        <v>-</v>
      </c>
      <c r="I42" s="400"/>
      <c r="J42" s="406" t="str">
        <f>OBRA!AG41</f>
        <v>-</v>
      </c>
      <c r="K42" s="401"/>
      <c r="L42" s="404" t="str">
        <f>OBRA!AH41</f>
        <v>-</v>
      </c>
      <c r="M42" s="402"/>
      <c r="N42" s="404" t="str">
        <f>OBRA!AI41</f>
        <v>-</v>
      </c>
      <c r="O42" s="144"/>
      <c r="P42" s="144"/>
      <c r="Q42" s="401"/>
      <c r="R42" s="407" t="str">
        <f>OBRA!AJ41</f>
        <v>-</v>
      </c>
      <c r="S42" s="385"/>
      <c r="T42" s="399" t="str">
        <f>OBRA!W41</f>
        <v>-</v>
      </c>
      <c r="U42" s="408">
        <f>OBRA!X41</f>
        <v>0</v>
      </c>
      <c r="V42" s="1090"/>
      <c r="W42" s="19" t="str">
        <f>OBRA!N41</f>
        <v>DOP/AD/028/2013</v>
      </c>
      <c r="X42" s="12"/>
      <c r="Y42" s="12"/>
      <c r="Z42" s="409" t="str">
        <f>OBRA!M41</f>
        <v>CUENTA CORRIENTE</v>
      </c>
      <c r="AA42" s="12"/>
      <c r="AB42" s="2" t="str">
        <f>OBRA!O41</f>
        <v>ADMINISTRACIÓN DIRECTA</v>
      </c>
      <c r="AC42" s="3" t="str">
        <f>OBRA!P41</f>
        <v>CONST. MURO PERIMETRAL FRACC. MAGISTERIAL CABECERA MUNICIPAL</v>
      </c>
      <c r="AD42" s="4">
        <f>OBRA!R41</f>
        <v>65000</v>
      </c>
      <c r="AE42" s="6">
        <f>OBRA!S41</f>
        <v>41596</v>
      </c>
      <c r="AF42" s="5">
        <f>OBRA!T41</f>
        <v>41589</v>
      </c>
      <c r="AG42" s="390">
        <f>OBRA!U41</f>
        <v>41638</v>
      </c>
      <c r="AH42" s="52"/>
      <c r="AI42" s="211"/>
      <c r="AJ42" s="242"/>
      <c r="AK42" s="242"/>
      <c r="AL42" s="394"/>
      <c r="AM42" s="519" t="str">
        <f>GRAL!B43</f>
        <v>2012-2015</v>
      </c>
    </row>
    <row r="43" spans="1:39" s="299" customFormat="1" ht="45.75" hidden="1" thickTop="1">
      <c r="A43" s="300">
        <f>OBRA!J42</f>
        <v>2013</v>
      </c>
      <c r="B43" s="1682"/>
      <c r="C43" s="767"/>
      <c r="D43" s="301"/>
      <c r="E43" s="302"/>
      <c r="F43" s="302"/>
      <c r="G43" s="841"/>
      <c r="H43" s="303">
        <f>OBRA!AF42</f>
        <v>41275</v>
      </c>
      <c r="I43" s="842"/>
      <c r="J43" s="769" t="str">
        <f>OBRA!AG42</f>
        <v>-</v>
      </c>
      <c r="K43" s="770"/>
      <c r="L43" s="303" t="str">
        <f>OBRA!AH42</f>
        <v>-</v>
      </c>
      <c r="M43" s="845"/>
      <c r="N43" s="303">
        <f>OBRA!AI42</f>
        <v>41277</v>
      </c>
      <c r="O43" s="323" t="s">
        <v>2302</v>
      </c>
      <c r="P43" s="303"/>
      <c r="Q43" s="770"/>
      <c r="R43" s="771">
        <f>OBRA!AJ42</f>
        <v>41277</v>
      </c>
      <c r="S43" s="298"/>
      <c r="T43" s="302" t="str">
        <f>OBRA!W42</f>
        <v>BRAILOGA CONSTRUCTORES S.A. DE C.V.</v>
      </c>
      <c r="U43" s="772" t="str">
        <f>OBRA!X42</f>
        <v>ING. RIGOBERTO OLMEDO RAMOS</v>
      </c>
      <c r="V43" s="301"/>
      <c r="W43" s="439" t="str">
        <f>OBRA!N42</f>
        <v>GMJ 001C OP/2013</v>
      </c>
      <c r="X43" s="298"/>
      <c r="Y43" s="298"/>
      <c r="Z43" s="298" t="str">
        <f>OBRA!M42</f>
        <v>CUENTA CORRIENTE</v>
      </c>
      <c r="AA43" s="298"/>
      <c r="AB43" s="291" t="str">
        <f>OBRA!O42</f>
        <v>INVITACIÓN</v>
      </c>
      <c r="AC43" s="292" t="str">
        <f>OBRA!P42</f>
        <v>TERMINACION DEL CENTRO DE SALUD, EN LA POBLACION LAS TROJES</v>
      </c>
      <c r="AD43" s="293">
        <f>OBRA!R42</f>
        <v>977397.28</v>
      </c>
      <c r="AE43" s="294">
        <f>OBRA!S42</f>
        <v>41278</v>
      </c>
      <c r="AF43" s="295">
        <f>OBRA!T42</f>
        <v>41316</v>
      </c>
      <c r="AG43" s="389">
        <f>OBRA!U42</f>
        <v>41394</v>
      </c>
      <c r="AH43" s="854"/>
      <c r="AI43" s="290"/>
      <c r="AJ43" s="429"/>
      <c r="AK43" s="429"/>
      <c r="AL43" s="306"/>
      <c r="AM43" s="353" t="str">
        <f>GRAL!B44</f>
        <v>2012-2015</v>
      </c>
    </row>
    <row r="44" spans="1:39" ht="60.75" hidden="1" thickTop="1">
      <c r="A44" s="158">
        <f>OBRA!J43</f>
        <v>2013</v>
      </c>
      <c r="B44" s="1683"/>
      <c r="C44" s="395"/>
      <c r="D44" s="146"/>
      <c r="E44" s="148"/>
      <c r="F44" s="148"/>
      <c r="G44" s="398"/>
      <c r="H44" s="404" t="str">
        <f>OBRA!AF43</f>
        <v>-</v>
      </c>
      <c r="I44" s="400"/>
      <c r="J44" s="406" t="str">
        <f>OBRA!AG43</f>
        <v>-</v>
      </c>
      <c r="K44" s="401"/>
      <c r="L44" s="404" t="str">
        <f>OBRA!AH43</f>
        <v>-</v>
      </c>
      <c r="M44" s="402"/>
      <c r="N44" s="404" t="str">
        <f>OBRA!AI43</f>
        <v>-</v>
      </c>
      <c r="O44" s="144"/>
      <c r="P44" s="144"/>
      <c r="Q44" s="401"/>
      <c r="R44" s="407" t="str">
        <f>OBRA!AJ43</f>
        <v>-</v>
      </c>
      <c r="S44" s="385"/>
      <c r="T44" s="399" t="str">
        <f>OBRA!W43</f>
        <v>BRAILOGA CONSTRUCTORES S.A. DE C.V.</v>
      </c>
      <c r="U44" s="408" t="str">
        <f>OBRA!X43</f>
        <v>ING. LUIS JOEL HUERTA LOMA</v>
      </c>
      <c r="V44" s="1090"/>
      <c r="W44" s="19" t="str">
        <f>OBRA!N43</f>
        <v>GMJ 003C OP/2013</v>
      </c>
      <c r="X44" s="12"/>
      <c r="Y44" s="12"/>
      <c r="Z44" s="409" t="str">
        <f>OBRA!M43</f>
        <v>CUENTA CORRIENTE</v>
      </c>
      <c r="AA44" s="12"/>
      <c r="AB44" s="2" t="str">
        <f>OBRA!O43</f>
        <v>ADJUDICACIÓN DIRECTA</v>
      </c>
      <c r="AC44" s="3" t="str">
        <f>OBRA!P43</f>
        <v>ELABORACION DE TOPES EN CARRETERA A CHAPALA Y BACHEO EN ASFALTO C. MORELOS ENTRE INDEPENDENCIA Y ALLENDE EN LA POBLACION DE LA CABECERA</v>
      </c>
      <c r="AD44" s="4">
        <f>OBRA!R43</f>
        <v>253692.08</v>
      </c>
      <c r="AE44" s="6">
        <f>OBRA!S43</f>
        <v>41278</v>
      </c>
      <c r="AF44" s="5">
        <f>OBRA!T43</f>
        <v>41281</v>
      </c>
      <c r="AG44" s="390">
        <f>OBRA!U43</f>
        <v>41286</v>
      </c>
      <c r="AH44" s="52"/>
      <c r="AI44" s="211"/>
      <c r="AJ44" s="242"/>
      <c r="AK44" s="242"/>
      <c r="AL44" s="394"/>
      <c r="AM44" s="519" t="str">
        <f>GRAL!B45</f>
        <v>2012-2015</v>
      </c>
    </row>
    <row r="45" spans="1:39" ht="45.75" hidden="1" thickTop="1">
      <c r="A45" s="158">
        <f>OBRA!J44</f>
        <v>2013</v>
      </c>
      <c r="B45" s="1683"/>
      <c r="C45" s="395"/>
      <c r="D45" s="146"/>
      <c r="E45" s="148"/>
      <c r="F45" s="148"/>
      <c r="G45" s="398"/>
      <c r="H45" s="404" t="str">
        <f>OBRA!AF44</f>
        <v>-</v>
      </c>
      <c r="I45" s="400"/>
      <c r="J45" s="406" t="str">
        <f>OBRA!AG44</f>
        <v>-</v>
      </c>
      <c r="K45" s="401"/>
      <c r="L45" s="404" t="str">
        <f>OBRA!AH44</f>
        <v>-</v>
      </c>
      <c r="M45" s="402"/>
      <c r="N45" s="404" t="str">
        <f>OBRA!AI44</f>
        <v>-</v>
      </c>
      <c r="O45" s="144"/>
      <c r="P45" s="144"/>
      <c r="Q45" s="401"/>
      <c r="R45" s="407" t="str">
        <f>OBRA!AJ44</f>
        <v>-</v>
      </c>
      <c r="S45" s="385"/>
      <c r="T45" s="399" t="str">
        <f>OBRA!W44</f>
        <v>BRAILOGA CONSTRUCTORES S.A. DE C.V.</v>
      </c>
      <c r="U45" s="408" t="str">
        <f>OBRA!X44</f>
        <v>ING. LUIS JOEL HUERTA LOMA</v>
      </c>
      <c r="V45" s="1090"/>
      <c r="W45" s="19" t="str">
        <f>OBRA!N44</f>
        <v>GMJ 004C OP/2013</v>
      </c>
      <c r="X45" s="12"/>
      <c r="Y45" s="12"/>
      <c r="Z45" s="409" t="str">
        <f>OBRA!M44</f>
        <v>CUENTA CORRIENTE</v>
      </c>
      <c r="AA45" s="12"/>
      <c r="AB45" s="2" t="str">
        <f>OBRA!O44</f>
        <v>ADJUDICACIÓN DIRECTA</v>
      </c>
      <c r="AC45" s="3" t="str">
        <f>OBRA!P44</f>
        <v>BACHEO EN ASFALTO EN C. MORELOS ENTRE ALLENDE Y PEDRO MORENO EN LA POBLACION DE LA CABECERA</v>
      </c>
      <c r="AD45" s="4">
        <f>OBRA!R44</f>
        <v>213963.7</v>
      </c>
      <c r="AE45" s="6">
        <f>OBRA!S44</f>
        <v>41278</v>
      </c>
      <c r="AF45" s="5">
        <f>OBRA!T44</f>
        <v>41281</v>
      </c>
      <c r="AG45" s="390">
        <f>OBRA!U44</f>
        <v>41286</v>
      </c>
      <c r="AH45" s="52"/>
      <c r="AI45" s="211"/>
      <c r="AJ45" s="242"/>
      <c r="AK45" s="242"/>
      <c r="AL45" s="394"/>
      <c r="AM45" s="519" t="str">
        <f>GRAL!B46</f>
        <v>2012-2015</v>
      </c>
    </row>
    <row r="46" spans="1:39" ht="165.75" hidden="1" thickTop="1">
      <c r="A46" s="158">
        <f>OBRA!J45</f>
        <v>2013</v>
      </c>
      <c r="B46" s="1683"/>
      <c r="C46" s="395"/>
      <c r="D46" s="146"/>
      <c r="E46" s="148"/>
      <c r="F46" s="148"/>
      <c r="G46" s="398"/>
      <c r="H46" s="404" t="str">
        <f>OBRA!AF45</f>
        <v>-</v>
      </c>
      <c r="I46" s="400"/>
      <c r="J46" s="406" t="str">
        <f>OBRA!AG45</f>
        <v>-</v>
      </c>
      <c r="K46" s="401"/>
      <c r="L46" s="404" t="str">
        <f>OBRA!AH45</f>
        <v>-</v>
      </c>
      <c r="M46" s="402"/>
      <c r="N46" s="404" t="str">
        <f>OBRA!AI45</f>
        <v>-</v>
      </c>
      <c r="O46" s="144"/>
      <c r="P46" s="144"/>
      <c r="Q46" s="401"/>
      <c r="R46" s="407" t="str">
        <f>OBRA!AJ45</f>
        <v>-</v>
      </c>
      <c r="S46" s="385"/>
      <c r="T46" s="399" t="str">
        <f>OBRA!W45</f>
        <v>C. JOSÉ MIGUEL GARCIA VALLE</v>
      </c>
      <c r="U46" s="408" t="str">
        <f>OBRA!X45</f>
        <v>ING. ISER RANGEL REVILLA</v>
      </c>
      <c r="V46" s="1090"/>
      <c r="W46" s="19" t="str">
        <f>OBRA!N45</f>
        <v>GMJ 005C OP/2013</v>
      </c>
      <c r="X46" s="12"/>
      <c r="Y46" s="12"/>
      <c r="Z46" s="409" t="str">
        <f>OBRA!M45</f>
        <v>CUENTA CORRIENTE</v>
      </c>
      <c r="AA46" s="12"/>
      <c r="AB46" s="2" t="str">
        <f>OBRA!O45</f>
        <v>ADJUDICACIÓN DIRECTA</v>
      </c>
      <c r="AC46" s="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OBRA!R45</f>
        <v>318104.90999999997</v>
      </c>
      <c r="AE46" s="6">
        <f>OBRA!S45</f>
        <v>41324</v>
      </c>
      <c r="AF46" s="5">
        <f>OBRA!T45</f>
        <v>41324</v>
      </c>
      <c r="AG46" s="390">
        <f>OBRA!U45</f>
        <v>41344</v>
      </c>
      <c r="AH46" s="52"/>
      <c r="AI46" s="211"/>
      <c r="AJ46" s="242"/>
      <c r="AK46" s="242"/>
      <c r="AL46" s="394"/>
      <c r="AM46" s="519" t="str">
        <f>GRAL!B47</f>
        <v>2012-2015</v>
      </c>
    </row>
    <row r="47" spans="1:39" s="299" customFormat="1" ht="60.75" hidden="1" thickTop="1">
      <c r="A47" s="300">
        <f>OBRA!J46</f>
        <v>2013</v>
      </c>
      <c r="B47" s="1682"/>
      <c r="C47" s="767"/>
      <c r="D47" s="301"/>
      <c r="E47" s="302"/>
      <c r="F47" s="302"/>
      <c r="G47" s="841"/>
      <c r="H47" s="303">
        <f>OBRA!AF46</f>
        <v>41323</v>
      </c>
      <c r="I47" s="842"/>
      <c r="J47" s="769" t="str">
        <f>OBRA!AG46</f>
        <v>-</v>
      </c>
      <c r="K47" s="770"/>
      <c r="L47" s="303" t="str">
        <f>OBRA!AH46</f>
        <v>-</v>
      </c>
      <c r="M47" s="845"/>
      <c r="N47" s="303">
        <f>OBRA!AI46</f>
        <v>41294</v>
      </c>
      <c r="O47" s="323" t="s">
        <v>2302</v>
      </c>
      <c r="P47" s="303"/>
      <c r="Q47" s="770"/>
      <c r="R47" s="771">
        <f>OBRA!AJ46</f>
        <v>41325</v>
      </c>
      <c r="S47" s="298"/>
      <c r="T47" s="302" t="str">
        <f>OBRA!W46</f>
        <v>BRAILOGA CONSTRUCTORES S.A. DE C.V.</v>
      </c>
      <c r="U47" s="772" t="str">
        <f>OBRA!X46</f>
        <v>ING. LUIS JOEL HUERTA LOMA</v>
      </c>
      <c r="V47" s="301"/>
      <c r="W47" s="439" t="str">
        <f>OBRA!N46</f>
        <v>GMJ 006C OP/2013</v>
      </c>
      <c r="X47" s="298"/>
      <c r="Y47" s="298"/>
      <c r="Z47" s="298" t="str">
        <f>OBRA!M46</f>
        <v>CUENTA CORRIENTE</v>
      </c>
      <c r="AA47" s="298"/>
      <c r="AB47" s="291" t="str">
        <f>OBRA!O46</f>
        <v>INVITACIÓN</v>
      </c>
      <c r="AC47" s="292" t="str">
        <f>OBRA!P46</f>
        <v>COLOCACIÓN DE CARPETA ASFALTICA EN AV. DEL TRABAJO (EN EL INGRESO PRINCIPAL A LA LOCLIDAD) EN LA POBLCIÓN DE ZAPOTITAN DE HIDALGO</v>
      </c>
      <c r="AD47" s="293">
        <f>OBRA!R46</f>
        <v>1807551.01</v>
      </c>
      <c r="AE47" s="294">
        <f>OBRA!S46</f>
        <v>41327</v>
      </c>
      <c r="AF47" s="295">
        <f>OBRA!T46</f>
        <v>41328</v>
      </c>
      <c r="AG47" s="389">
        <f>OBRA!U46</f>
        <v>41337</v>
      </c>
      <c r="AH47" s="854"/>
      <c r="AI47" s="290"/>
      <c r="AJ47" s="429"/>
      <c r="AK47" s="429"/>
      <c r="AL47" s="306"/>
      <c r="AM47" s="353" t="str">
        <f>GRAL!B48</f>
        <v>2012-2015</v>
      </c>
    </row>
    <row r="48" spans="1:39" ht="60.75" hidden="1" thickTop="1">
      <c r="A48" s="158">
        <f>OBRA!J47</f>
        <v>2013</v>
      </c>
      <c r="B48" s="1683"/>
      <c r="C48" s="395"/>
      <c r="D48" s="146"/>
      <c r="E48" s="148"/>
      <c r="F48" s="148"/>
      <c r="G48" s="398"/>
      <c r="H48" s="404" t="str">
        <f>OBRA!AF47</f>
        <v>-</v>
      </c>
      <c r="I48" s="400"/>
      <c r="J48" s="406" t="str">
        <f>OBRA!AG47</f>
        <v>-</v>
      </c>
      <c r="K48" s="401"/>
      <c r="L48" s="404" t="str">
        <f>OBRA!AH47</f>
        <v>-</v>
      </c>
      <c r="M48" s="402"/>
      <c r="N48" s="404" t="str">
        <f>OBRA!AI47</f>
        <v>-</v>
      </c>
      <c r="O48" s="144"/>
      <c r="P48" s="144"/>
      <c r="Q48" s="401"/>
      <c r="R48" s="407" t="str">
        <f>OBRA!AJ47</f>
        <v>-</v>
      </c>
      <c r="S48" s="385"/>
      <c r="T48" s="399" t="str">
        <f>OBRA!W47</f>
        <v>C. JOSÉ MIGUEL GARCIA VALLE</v>
      </c>
      <c r="U48" s="408" t="str">
        <f>OBRA!X47</f>
        <v>ING. ISER RANGEL REVILLA</v>
      </c>
      <c r="V48" s="1090"/>
      <c r="W48" s="19" t="str">
        <f>OBRA!N47</f>
        <v>GMJ 007C OP/2013</v>
      </c>
      <c r="X48" s="12"/>
      <c r="Y48" s="12"/>
      <c r="Z48" s="409" t="str">
        <f>OBRA!M47</f>
        <v>CUENTA CORRIENTE</v>
      </c>
      <c r="AA48" s="12"/>
      <c r="AB48" s="2" t="str">
        <f>OBRA!O47</f>
        <v>ADJUDICACIÓN DIRECTA</v>
      </c>
      <c r="AC48" s="3" t="str">
        <f>OBRA!P47</f>
        <v>BACHEO CON ASFALTO EN C. XOCHILT ENTRE CARRETERA CHAPALA-JOCOTEPEC Y CALLE CUAHUTEMOC, EN LA POBLACION CHANTEPEC EN EL MUNICIPIO DE JOCOTEPEC, JALISCO</v>
      </c>
      <c r="AD48" s="4">
        <f>OBRA!R47</f>
        <v>224365</v>
      </c>
      <c r="AE48" s="6">
        <f>OBRA!S47</f>
        <v>41353</v>
      </c>
      <c r="AF48" s="5">
        <f>OBRA!T47</f>
        <v>41358</v>
      </c>
      <c r="AG48" s="390">
        <f>OBRA!U47</f>
        <v>41378</v>
      </c>
      <c r="AH48" s="52"/>
      <c r="AI48" s="211"/>
      <c r="AJ48" s="242"/>
      <c r="AK48" s="242"/>
      <c r="AL48" s="394"/>
      <c r="AM48" s="519" t="str">
        <f>GRAL!B49</f>
        <v>2012-2015</v>
      </c>
    </row>
    <row r="49" spans="1:39" s="299" customFormat="1" ht="45.75" hidden="1" thickTop="1">
      <c r="A49" s="300">
        <f>OBRA!J48</f>
        <v>2013</v>
      </c>
      <c r="B49" s="1682"/>
      <c r="C49" s="767"/>
      <c r="D49" s="301"/>
      <c r="E49" s="302"/>
      <c r="F49" s="302"/>
      <c r="G49" s="841"/>
      <c r="H49" s="303">
        <f>OBRA!AF48</f>
        <v>41390</v>
      </c>
      <c r="I49" s="842"/>
      <c r="J49" s="769" t="str">
        <f>OBRA!AG48</f>
        <v>-</v>
      </c>
      <c r="K49" s="770"/>
      <c r="L49" s="303" t="str">
        <f>OBRA!AH48</f>
        <v>-</v>
      </c>
      <c r="M49" s="845"/>
      <c r="N49" s="303">
        <f>OBRA!AI48</f>
        <v>41404</v>
      </c>
      <c r="O49" s="323" t="s">
        <v>2302</v>
      </c>
      <c r="P49" s="303"/>
      <c r="Q49" s="770"/>
      <c r="R49" s="771">
        <f>OBRA!AJ48</f>
        <v>41404</v>
      </c>
      <c r="S49" s="298"/>
      <c r="T49" s="302" t="str">
        <f>OBRA!W48</f>
        <v>C. MIGUEL RAFAEL RODRIGUEZ ALLENDE</v>
      </c>
      <c r="U49" s="772" t="str">
        <f>OBRA!X48</f>
        <v>ARQ. JAIME CONDE GOMEZ</v>
      </c>
      <c r="V49" s="301"/>
      <c r="W49" s="439" t="str">
        <f>OBRA!N48</f>
        <v>GMJ 008C OP/2013</v>
      </c>
      <c r="X49" s="298"/>
      <c r="Y49" s="298"/>
      <c r="Z49" s="298" t="str">
        <f>OBRA!M48</f>
        <v>FOPEDEM</v>
      </c>
      <c r="AA49" s="298"/>
      <c r="AB49" s="291" t="str">
        <f>OBRA!O48</f>
        <v>INVITACIÓN</v>
      </c>
      <c r="AC49" s="292" t="str">
        <f>OBRA!P48</f>
        <v>COLOCACIÓN DE CARPETA ASFALTICA C. ZARAGOZA ENTRE VICENTE GUERRERO Y JOSE SANTANA, EN LA CABECERA MUNICIPAL</v>
      </c>
      <c r="AD49" s="293">
        <f>OBRA!R48</f>
        <v>1998053.6</v>
      </c>
      <c r="AE49" s="294">
        <f>OBRA!S48</f>
        <v>41407</v>
      </c>
      <c r="AF49" s="295">
        <f>OBRA!T48</f>
        <v>41407</v>
      </c>
      <c r="AG49" s="389">
        <f>OBRA!U48</f>
        <v>41468</v>
      </c>
      <c r="AH49" s="854"/>
      <c r="AI49" s="290"/>
      <c r="AJ49" s="429"/>
      <c r="AK49" s="429"/>
      <c r="AL49" s="306"/>
      <c r="AM49" s="353" t="str">
        <f>GRAL!B50</f>
        <v>2012-2015</v>
      </c>
    </row>
    <row r="50" spans="1:39" ht="180.75" hidden="1" thickTop="1">
      <c r="A50" s="158">
        <f>OBRA!J49</f>
        <v>2013</v>
      </c>
      <c r="B50" s="1683"/>
      <c r="C50" s="395"/>
      <c r="D50" s="146"/>
      <c r="E50" s="148"/>
      <c r="F50" s="148"/>
      <c r="G50" s="398"/>
      <c r="H50" s="404" t="str">
        <f>OBRA!AF49</f>
        <v>-</v>
      </c>
      <c r="I50" s="400"/>
      <c r="J50" s="406" t="str">
        <f>OBRA!AG49</f>
        <v>-</v>
      </c>
      <c r="K50" s="401"/>
      <c r="L50" s="404" t="str">
        <f>OBRA!AH49</f>
        <v>-</v>
      </c>
      <c r="M50" s="402"/>
      <c r="N50" s="404" t="str">
        <f>OBRA!AI49</f>
        <v>-</v>
      </c>
      <c r="O50" s="144"/>
      <c r="P50" s="144"/>
      <c r="Q50" s="401"/>
      <c r="R50" s="407" t="str">
        <f>OBRA!AJ49</f>
        <v>-</v>
      </c>
      <c r="S50" s="385"/>
      <c r="T50" s="399" t="str">
        <f>OBRA!W49</f>
        <v>C. JOSÉ MIGUEL GARCIA VALLE</v>
      </c>
      <c r="U50" s="408" t="str">
        <f>OBRA!X49</f>
        <v>ING. LUIS JOEL HUERTA LOMA</v>
      </c>
      <c r="V50" s="1090"/>
      <c r="W50" s="19" t="str">
        <f>OBRA!N49</f>
        <v>GMJ 009C OP/2013</v>
      </c>
      <c r="X50" s="12"/>
      <c r="Y50" s="12"/>
      <c r="Z50" s="409" t="str">
        <f>OBRA!M49</f>
        <v>CUENTA CORRIENTE</v>
      </c>
      <c r="AA50" s="12"/>
      <c r="AB50" s="2" t="str">
        <f>OBRA!O49</f>
        <v>ADJUDICACIÓN DIRECTA</v>
      </c>
      <c r="AC50" s="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OBRA!R49</f>
        <v>572707.94999999995</v>
      </c>
      <c r="AE50" s="6">
        <f>OBRA!S49</f>
        <v>41402</v>
      </c>
      <c r="AF50" s="5">
        <f>OBRA!T49</f>
        <v>41404</v>
      </c>
      <c r="AG50" s="390">
        <f>OBRA!U49</f>
        <v>41424</v>
      </c>
      <c r="AH50" s="52"/>
      <c r="AI50" s="211"/>
      <c r="AJ50" s="242"/>
      <c r="AK50" s="242"/>
      <c r="AL50" s="394"/>
      <c r="AM50" s="519" t="str">
        <f>GRAL!B51</f>
        <v>2012-2015</v>
      </c>
    </row>
    <row r="51" spans="1:39" s="299" customFormat="1" ht="45.75" hidden="1" thickTop="1">
      <c r="A51" s="300">
        <f>OBRA!J50</f>
        <v>2013</v>
      </c>
      <c r="B51" s="1682"/>
      <c r="C51" s="767"/>
      <c r="D51" s="301"/>
      <c r="E51" s="302"/>
      <c r="F51" s="302"/>
      <c r="G51" s="841"/>
      <c r="H51" s="303">
        <f>OBRA!AF50</f>
        <v>41390</v>
      </c>
      <c r="I51" s="842"/>
      <c r="J51" s="769" t="str">
        <f>OBRA!AG50</f>
        <v>-</v>
      </c>
      <c r="K51" s="770"/>
      <c r="L51" s="303" t="str">
        <f>OBRA!AH50</f>
        <v>-</v>
      </c>
      <c r="M51" s="845"/>
      <c r="N51" s="303">
        <f>OBRA!AI50</f>
        <v>41404</v>
      </c>
      <c r="O51" s="323" t="s">
        <v>2302</v>
      </c>
      <c r="P51" s="303"/>
      <c r="Q51" s="770"/>
      <c r="R51" s="771">
        <f>OBRA!AJ50</f>
        <v>41404</v>
      </c>
      <c r="S51" s="298"/>
      <c r="T51" s="302" t="str">
        <f>OBRA!W50</f>
        <v>RAMPER DRILLINGS S.A. DE C.V.</v>
      </c>
      <c r="U51" s="772" t="str">
        <f>OBRA!X50</f>
        <v>C. DANIEL RODRIGUEZ VALENZUELA</v>
      </c>
      <c r="V51" s="301"/>
      <c r="W51" s="439" t="str">
        <f>OBRA!N50</f>
        <v>GMJ 010C OP/2013</v>
      </c>
      <c r="X51" s="298"/>
      <c r="Y51" s="298"/>
      <c r="Z51" s="298" t="str">
        <f>OBRA!M50</f>
        <v>CUENTA CORRIENTE</v>
      </c>
      <c r="AA51" s="298"/>
      <c r="AB51" s="291" t="str">
        <f>OBRA!O50</f>
        <v>INVITACIÓN</v>
      </c>
      <c r="AC51" s="292" t="str">
        <f>OBRA!P50</f>
        <v>PERFORACION Y ADEME DE POZO PROFUNDO EN EL FRACCIONMIENTO MAGISTERIAL UBICDO EN L ZONA OESTE DE LA CABECERA MUNICIPAL</v>
      </c>
      <c r="AD51" s="293">
        <f>OBRA!R50</f>
        <v>1398728</v>
      </c>
      <c r="AE51" s="294">
        <f>OBRA!S50</f>
        <v>41428</v>
      </c>
      <c r="AF51" s="295">
        <f>OBRA!T50</f>
        <v>41436</v>
      </c>
      <c r="AG51" s="389">
        <f>OBRA!U50</f>
        <v>41466</v>
      </c>
      <c r="AH51" s="854"/>
      <c r="AI51" s="290"/>
      <c r="AJ51" s="429"/>
      <c r="AK51" s="429"/>
      <c r="AL51" s="306"/>
      <c r="AM51" s="353" t="str">
        <f>GRAL!B52</f>
        <v>2012-2015</v>
      </c>
    </row>
    <row r="52" spans="1:39" ht="45.75" hidden="1" thickTop="1">
      <c r="A52" s="158">
        <f>OBRA!J51</f>
        <v>2013</v>
      </c>
      <c r="B52" s="1683"/>
      <c r="C52" s="395"/>
      <c r="D52" s="146"/>
      <c r="E52" s="148"/>
      <c r="F52" s="148"/>
      <c r="G52" s="398"/>
      <c r="H52" s="404" t="str">
        <f>OBRA!AF51</f>
        <v>-</v>
      </c>
      <c r="I52" s="400"/>
      <c r="J52" s="406" t="str">
        <f>OBRA!AG51</f>
        <v>-</v>
      </c>
      <c r="K52" s="401"/>
      <c r="L52" s="404" t="str">
        <f>OBRA!AH51</f>
        <v>-</v>
      </c>
      <c r="M52" s="402"/>
      <c r="N52" s="404" t="str">
        <f>OBRA!AI51</f>
        <v>-</v>
      </c>
      <c r="O52" s="144"/>
      <c r="P52" s="144"/>
      <c r="Q52" s="401"/>
      <c r="R52" s="407" t="str">
        <f>OBRA!AJ51</f>
        <v>-</v>
      </c>
      <c r="S52" s="385"/>
      <c r="T52" s="399" t="str">
        <f>OBRA!W51</f>
        <v>C. URIEL PALOS CUEVAS</v>
      </c>
      <c r="U52" s="408" t="str">
        <f>OBRA!X51</f>
        <v>C. DANIEL RODRIGUEZ VALENZUELA</v>
      </c>
      <c r="V52" s="1090"/>
      <c r="W52" s="19" t="str">
        <f>OBRA!N51</f>
        <v>GMJ 011C OP/2013</v>
      </c>
      <c r="X52" s="12"/>
      <c r="Y52" s="12"/>
      <c r="Z52" s="409" t="str">
        <f>OBRA!M51</f>
        <v>CUENTA CORRIENTE</v>
      </c>
      <c r="AA52" s="12"/>
      <c r="AB52" s="2" t="str">
        <f>OBRA!O51</f>
        <v>ADJUDICACIÓN DIRECTA</v>
      </c>
      <c r="AC52" s="3" t="str">
        <f>OBRA!P51</f>
        <v>EMPEDRADO AHOGADO EN CEMENTO PRIVADA FRANCISCO I. MADERO, EN LA DELEGACION SAN JUAN COSALA</v>
      </c>
      <c r="AD52" s="4">
        <f>OBRA!R51</f>
        <v>97904</v>
      </c>
      <c r="AE52" s="6">
        <f>OBRA!S51</f>
        <v>41404</v>
      </c>
      <c r="AF52" s="5">
        <f>OBRA!T51</f>
        <v>41407</v>
      </c>
      <c r="AG52" s="390">
        <f>OBRA!U51</f>
        <v>41412</v>
      </c>
      <c r="AH52" s="52"/>
      <c r="AI52" s="211"/>
      <c r="AJ52" s="242"/>
      <c r="AK52" s="242"/>
      <c r="AL52" s="394"/>
      <c r="AM52" s="519" t="str">
        <f>GRAL!B53</f>
        <v>2012-2015</v>
      </c>
    </row>
    <row r="53" spans="1:39" ht="45.75" hidden="1" thickTop="1">
      <c r="A53" s="158">
        <f>OBRA!J52</f>
        <v>2013</v>
      </c>
      <c r="B53" s="1683"/>
      <c r="C53" s="395"/>
      <c r="D53" s="146"/>
      <c r="E53" s="148"/>
      <c r="F53" s="148"/>
      <c r="G53" s="398"/>
      <c r="H53" s="404" t="str">
        <f>OBRA!AF52</f>
        <v>-</v>
      </c>
      <c r="I53" s="400"/>
      <c r="J53" s="406" t="str">
        <f>OBRA!AG52</f>
        <v>-</v>
      </c>
      <c r="K53" s="401"/>
      <c r="L53" s="404" t="str">
        <f>OBRA!AH52</f>
        <v>-</v>
      </c>
      <c r="M53" s="402"/>
      <c r="N53" s="404" t="str">
        <f>OBRA!AI52</f>
        <v>-</v>
      </c>
      <c r="O53" s="144"/>
      <c r="P53" s="144"/>
      <c r="Q53" s="401"/>
      <c r="R53" s="407" t="str">
        <f>OBRA!AJ52</f>
        <v>-</v>
      </c>
      <c r="S53" s="385"/>
      <c r="T53" s="399" t="str">
        <f>OBRA!W52</f>
        <v>C. MIGUEL RAFAEL RODRIGUEZ ALLENDE</v>
      </c>
      <c r="U53" s="408" t="str">
        <f>OBRA!X52</f>
        <v>ARQ. JAIME CONDE GOMEZ</v>
      </c>
      <c r="V53" s="1090"/>
      <c r="W53" s="19" t="str">
        <f>OBRA!N52</f>
        <v>GMJ 012C OP/2013</v>
      </c>
      <c r="X53" s="12"/>
      <c r="Y53" s="12"/>
      <c r="Z53" s="409" t="str">
        <f>OBRA!M52</f>
        <v>CUENTA CORRIENTE</v>
      </c>
      <c r="AA53" s="12"/>
      <c r="AB53" s="2" t="str">
        <f>OBRA!O52</f>
        <v>ADJUDICACIÓN DIRECTA</v>
      </c>
      <c r="AC53" s="3" t="str">
        <f>OBRA!P52</f>
        <v>COLOCACIÓN DE CARPETA ASFALTICA EN C. JUAREZ ENTRE C. ZARAAGOZA Y C. NIÑOS HEROES, EN LA CABECERA MUNICIPAL</v>
      </c>
      <c r="AD53" s="4">
        <f>OBRA!R52</f>
        <v>427449.56</v>
      </c>
      <c r="AE53" s="6">
        <f>OBRA!S52</f>
        <v>41435</v>
      </c>
      <c r="AF53" s="5">
        <f>OBRA!T52</f>
        <v>41435</v>
      </c>
      <c r="AG53" s="390">
        <f>OBRA!U52</f>
        <v>41453</v>
      </c>
      <c r="AH53" s="52"/>
      <c r="AI53" s="211"/>
      <c r="AJ53" s="242"/>
      <c r="AK53" s="242"/>
      <c r="AL53" s="394"/>
      <c r="AM53" s="519" t="str">
        <f>GRAL!B54</f>
        <v>2012-2015</v>
      </c>
    </row>
    <row r="54" spans="1:39" ht="195.75" hidden="1" thickTop="1">
      <c r="A54" s="158">
        <f>OBRA!J53</f>
        <v>2013</v>
      </c>
      <c r="B54" s="1683"/>
      <c r="C54" s="395"/>
      <c r="D54" s="146"/>
      <c r="E54" s="148"/>
      <c r="F54" s="148"/>
      <c r="G54" s="398"/>
      <c r="H54" s="404" t="str">
        <f>OBRA!AF53</f>
        <v>-</v>
      </c>
      <c r="I54" s="400"/>
      <c r="J54" s="406" t="str">
        <f>OBRA!AG53</f>
        <v>-</v>
      </c>
      <c r="K54" s="401"/>
      <c r="L54" s="404" t="str">
        <f>OBRA!AH53</f>
        <v>-</v>
      </c>
      <c r="M54" s="402"/>
      <c r="N54" s="404" t="str">
        <f>OBRA!AI53</f>
        <v>-</v>
      </c>
      <c r="O54" s="144"/>
      <c r="P54" s="144"/>
      <c r="Q54" s="401"/>
      <c r="R54" s="407" t="str">
        <f>OBRA!AJ53</f>
        <v>-</v>
      </c>
      <c r="S54" s="385"/>
      <c r="T54" s="399" t="str">
        <f>OBRA!W53</f>
        <v>BRAILOGA CONSTRUCTORES S.A. DE C.V.</v>
      </c>
      <c r="U54" s="408" t="str">
        <f>OBRA!X53</f>
        <v>ING. ISER RANGEL REVILLA</v>
      </c>
      <c r="V54" s="1090"/>
      <c r="W54" s="19" t="str">
        <f>OBRA!N53</f>
        <v>GMJ 016C OP/2013</v>
      </c>
      <c r="X54" s="12"/>
      <c r="Y54" s="12"/>
      <c r="Z54" s="409" t="str">
        <f>OBRA!M53</f>
        <v>CUENTA CORRIENTE</v>
      </c>
      <c r="AA54" s="12"/>
      <c r="AB54" s="2" t="str">
        <f>OBRA!O53</f>
        <v>ADJUDICACIÓN DIRECTA</v>
      </c>
      <c r="AC54" s="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OBRA!R53</f>
        <v>418619.7</v>
      </c>
      <c r="AE54" s="6">
        <f>OBRA!S53</f>
        <v>41516</v>
      </c>
      <c r="AF54" s="5">
        <f>OBRA!T53</f>
        <v>41519</v>
      </c>
      <c r="AG54" s="390">
        <f>OBRA!U53</f>
        <v>41530</v>
      </c>
      <c r="AH54" s="52"/>
      <c r="AI54" s="211"/>
      <c r="AJ54" s="242"/>
      <c r="AK54" s="242"/>
      <c r="AL54" s="394"/>
      <c r="AM54" s="519" t="str">
        <f>GRAL!B55</f>
        <v>2012-2015</v>
      </c>
    </row>
    <row r="55" spans="1:39" ht="45.75" hidden="1" thickTop="1">
      <c r="A55" s="158">
        <f>OBRA!J54</f>
        <v>2013</v>
      </c>
      <c r="B55" s="1683"/>
      <c r="C55" s="395"/>
      <c r="D55" s="146"/>
      <c r="E55" s="148"/>
      <c r="F55" s="148"/>
      <c r="G55" s="398"/>
      <c r="H55" s="404" t="str">
        <f>OBRA!AF54</f>
        <v>-</v>
      </c>
      <c r="I55" s="400"/>
      <c r="J55" s="406" t="str">
        <f>OBRA!AG54</f>
        <v>-</v>
      </c>
      <c r="K55" s="401"/>
      <c r="L55" s="404" t="str">
        <f>OBRA!AH54</f>
        <v>-</v>
      </c>
      <c r="M55" s="402"/>
      <c r="N55" s="404" t="str">
        <f>OBRA!AI54</f>
        <v>-</v>
      </c>
      <c r="O55" s="144"/>
      <c r="P55" s="144"/>
      <c r="Q55" s="401"/>
      <c r="R55" s="407" t="str">
        <f>OBRA!AJ54</f>
        <v>-</v>
      </c>
      <c r="S55" s="385"/>
      <c r="T55" s="399" t="str">
        <f>OBRA!W54</f>
        <v>-</v>
      </c>
      <c r="U55" s="408">
        <f>OBRA!X54</f>
        <v>0</v>
      </c>
      <c r="V55" s="1090"/>
      <c r="W55" s="19" t="str">
        <f>OBRA!N54</f>
        <v>DOP/AD/020/2013</v>
      </c>
      <c r="X55" s="12"/>
      <c r="Y55" s="12"/>
      <c r="Z55" s="409" t="str">
        <f>OBRA!M54</f>
        <v>CUENTA CORRIENTE</v>
      </c>
      <c r="AA55" s="12"/>
      <c r="AB55" s="2" t="str">
        <f>OBRA!O54</f>
        <v>ADMINISTRACIÓN DIRECTA</v>
      </c>
      <c r="AC55" s="3" t="str">
        <f>OBRA!P54</f>
        <v>"DESASOLVES PREVENTIVOS PARA EVITAR INUNDACIONES" EN LA CABECERA Y SUS LOCALIDADES 2ª ETAPA</v>
      </c>
      <c r="AD55" s="4">
        <f>OBRA!R54</f>
        <v>100000</v>
      </c>
      <c r="AE55" s="6">
        <f>OBRA!S54</f>
        <v>41465</v>
      </c>
      <c r="AF55" s="5">
        <f>OBRA!T54</f>
        <v>41465</v>
      </c>
      <c r="AG55" s="390">
        <f>OBRA!U54</f>
        <v>41479</v>
      </c>
      <c r="AH55" s="52"/>
      <c r="AI55" s="211"/>
      <c r="AJ55" s="242"/>
      <c r="AK55" s="242"/>
      <c r="AL55" s="394"/>
      <c r="AM55" s="519" t="str">
        <f>GRAL!B56</f>
        <v>2012-2015</v>
      </c>
    </row>
    <row r="56" spans="1:39" ht="60.75" hidden="1" thickTop="1">
      <c r="A56" s="158">
        <f>OBRA!J55</f>
        <v>2013</v>
      </c>
      <c r="B56" s="1683"/>
      <c r="C56" s="395"/>
      <c r="D56" s="146"/>
      <c r="E56" s="148"/>
      <c r="F56" s="148"/>
      <c r="G56" s="398"/>
      <c r="H56" s="404" t="str">
        <f>OBRA!AF55</f>
        <v>-</v>
      </c>
      <c r="I56" s="400"/>
      <c r="J56" s="406" t="str">
        <f>OBRA!AG55</f>
        <v>-</v>
      </c>
      <c r="K56" s="401"/>
      <c r="L56" s="404" t="str">
        <f>OBRA!AH55</f>
        <v>-</v>
      </c>
      <c r="M56" s="402"/>
      <c r="N56" s="404" t="str">
        <f>OBRA!AI55</f>
        <v>-</v>
      </c>
      <c r="O56" s="144"/>
      <c r="P56" s="144"/>
      <c r="Q56" s="401"/>
      <c r="R56" s="407" t="str">
        <f>OBRA!AJ55</f>
        <v>-</v>
      </c>
      <c r="S56" s="385"/>
      <c r="T56" s="399" t="str">
        <f>OBRA!W55</f>
        <v>-</v>
      </c>
      <c r="U56" s="408">
        <f>OBRA!X55</f>
        <v>0</v>
      </c>
      <c r="V56" s="1090"/>
      <c r="W56" s="19" t="str">
        <f>OBRA!N55</f>
        <v>DOP/AD/029/2013</v>
      </c>
      <c r="X56" s="12"/>
      <c r="Y56" s="12"/>
      <c r="Z56" s="409" t="str">
        <f>OBRA!M55</f>
        <v>3X1 PARA MIGRANTES</v>
      </c>
      <c r="AA56" s="12"/>
      <c r="AB56" s="2" t="str">
        <f>OBRA!O55</f>
        <v>ADMINISTRACIÓN DIRECTA</v>
      </c>
      <c r="AC56" s="3" t="str">
        <f>OBRA!P55</f>
        <v>REHABILITACIÓN DE RED DE DRENAJE EN C. VICENTE GUERRERO, DE CARR. FED. #15 HASTA ZONA FEDERAL (LAGO) EN LA DELEGACIÓN DE SAN PEDRO TESISTAN</v>
      </c>
      <c r="AD56" s="4">
        <f>OBRA!R55</f>
        <v>280952</v>
      </c>
      <c r="AE56" s="6">
        <f>OBRA!S55</f>
        <v>41617</v>
      </c>
      <c r="AF56" s="5">
        <f>OBRA!T55</f>
        <v>41612</v>
      </c>
      <c r="AG56" s="390">
        <f>OBRA!U55</f>
        <v>41635</v>
      </c>
      <c r="AH56" s="52"/>
      <c r="AI56" s="211"/>
      <c r="AJ56" s="242"/>
      <c r="AK56" s="242"/>
      <c r="AL56" s="394"/>
      <c r="AM56" s="519" t="str">
        <f>GRAL!B57</f>
        <v>2012-2015</v>
      </c>
    </row>
    <row r="57" spans="1:39" ht="75.75" hidden="1" thickTop="1">
      <c r="A57" s="158">
        <f>OBRA!J56</f>
        <v>2013</v>
      </c>
      <c r="B57" s="1683"/>
      <c r="C57" s="395"/>
      <c r="D57" s="146"/>
      <c r="E57" s="148"/>
      <c r="F57" s="148"/>
      <c r="G57" s="398"/>
      <c r="H57" s="404" t="str">
        <f>OBRA!AF56</f>
        <v>-</v>
      </c>
      <c r="I57" s="400"/>
      <c r="J57" s="406" t="str">
        <f>OBRA!AG56</f>
        <v>-</v>
      </c>
      <c r="K57" s="401"/>
      <c r="L57" s="404" t="str">
        <f>OBRA!AH56</f>
        <v>-</v>
      </c>
      <c r="M57" s="402"/>
      <c r="N57" s="404" t="str">
        <f>OBRA!AI56</f>
        <v>-</v>
      </c>
      <c r="O57" s="144"/>
      <c r="P57" s="144"/>
      <c r="Q57" s="401"/>
      <c r="R57" s="407" t="str">
        <f>OBRA!AJ56</f>
        <v>-</v>
      </c>
      <c r="S57" s="385"/>
      <c r="T57" s="399" t="str">
        <f>OBRA!W56</f>
        <v>-</v>
      </c>
      <c r="U57" s="408">
        <f>OBRA!X56</f>
        <v>0</v>
      </c>
      <c r="V57" s="1090"/>
      <c r="W57" s="19" t="str">
        <f>OBRA!N56</f>
        <v>DOP/AD/031/2013</v>
      </c>
      <c r="X57" s="12"/>
      <c r="Y57" s="12"/>
      <c r="Z57" s="409" t="str">
        <f>OBRA!M56</f>
        <v>3X1 PARA MIGRANTES</v>
      </c>
      <c r="AA57" s="12"/>
      <c r="AB57" s="2" t="str">
        <f>OBRA!O56</f>
        <v>ADMINISTRACIÓN DIRECTA</v>
      </c>
      <c r="AC57" s="3" t="str">
        <f>OBRA!P56</f>
        <v>REHABILITACIÓN DE SUPERFICIE DE RODAMIENTO CON EMPEDRDO AHOGADO EN CEMENTO EN C. VICENTE GUERRERO, DE CARR. FED. #15 HASTA ZONA FEDERAL (LAGO) EN LA DELEGACIÓN DE SAN PEDRO TESISTAN</v>
      </c>
      <c r="AD57" s="4">
        <f>OBRA!R56</f>
        <v>670884</v>
      </c>
      <c r="AE57" s="6">
        <f>OBRA!S56</f>
        <v>41617</v>
      </c>
      <c r="AF57" s="5">
        <f>OBRA!T56</f>
        <v>41612</v>
      </c>
      <c r="AG57" s="390">
        <f>OBRA!U56</f>
        <v>41638</v>
      </c>
      <c r="AH57" s="52"/>
      <c r="AI57" s="211"/>
      <c r="AJ57" s="242"/>
      <c r="AK57" s="242"/>
      <c r="AL57" s="394"/>
      <c r="AM57" s="519" t="str">
        <f>GRAL!B58</f>
        <v>2012-2015</v>
      </c>
    </row>
    <row r="58" spans="1:39" ht="75.75" hidden="1" thickTop="1">
      <c r="A58" s="158">
        <f>OBRA!J57</f>
        <v>2013</v>
      </c>
      <c r="B58" s="1683"/>
      <c r="C58" s="395"/>
      <c r="D58" s="146"/>
      <c r="E58" s="148"/>
      <c r="F58" s="148"/>
      <c r="G58" s="398"/>
      <c r="H58" s="404" t="str">
        <f>OBRA!AF57</f>
        <v>-</v>
      </c>
      <c r="I58" s="400"/>
      <c r="J58" s="406" t="str">
        <f>OBRA!AG57</f>
        <v>-</v>
      </c>
      <c r="K58" s="401"/>
      <c r="L58" s="404" t="str">
        <f>OBRA!AH57</f>
        <v>-</v>
      </c>
      <c r="M58" s="402"/>
      <c r="N58" s="404" t="str">
        <f>OBRA!AI57</f>
        <v>-</v>
      </c>
      <c r="O58" s="144"/>
      <c r="P58" s="144"/>
      <c r="Q58" s="401"/>
      <c r="R58" s="407" t="str">
        <f>OBRA!AJ57</f>
        <v>-</v>
      </c>
      <c r="S58" s="385"/>
      <c r="T58" s="399" t="str">
        <f>OBRA!W57</f>
        <v>EQUIPO MANTENIMIENTO Y PLANEACION ELECTRICA S.A. DE C.V.</v>
      </c>
      <c r="U58" s="408">
        <f>OBRA!X57</f>
        <v>0</v>
      </c>
      <c r="V58" s="1090"/>
      <c r="W58" s="19" t="str">
        <f>OBRA!N57</f>
        <v>GMJ 024 OP/2013</v>
      </c>
      <c r="X58" s="12"/>
      <c r="Y58" s="12"/>
      <c r="Z58" s="409" t="str">
        <f>OBRA!M57</f>
        <v>FISE</v>
      </c>
      <c r="AA58" s="12"/>
      <c r="AB58" s="2" t="str">
        <f>OBRA!O57</f>
        <v>ADJUDICACIÓN DIRECTA</v>
      </c>
      <c r="AC58" s="3" t="str">
        <f>OBRA!P57</f>
        <v>PERFORACIÓN DE POZO PROFUNDO, EN EL PREDIO NO. 10 AL FINAL DE LA CALLE ALLENDE EN LA LOCALIDAD DE LAS TROJES</v>
      </c>
      <c r="AD58" s="4">
        <f>OBRA!R57</f>
        <v>667000</v>
      </c>
      <c r="AE58" s="6">
        <f>OBRA!S57</f>
        <v>41516</v>
      </c>
      <c r="AF58" s="5">
        <f>OBRA!T57</f>
        <v>41638</v>
      </c>
      <c r="AG58" s="390">
        <f>OBRA!U57</f>
        <v>41691</v>
      </c>
      <c r="AH58" s="52"/>
      <c r="AI58" s="211"/>
      <c r="AJ58" s="242"/>
      <c r="AK58" s="242"/>
      <c r="AL58" s="394"/>
      <c r="AM58" s="519" t="str">
        <f>GRAL!B59</f>
        <v>2012-2015</v>
      </c>
    </row>
    <row r="59" spans="1:39" ht="75.75" hidden="1" thickTop="1">
      <c r="A59" s="158">
        <f>OBRA!J58</f>
        <v>2013</v>
      </c>
      <c r="B59" s="1683"/>
      <c r="C59" s="395"/>
      <c r="D59" s="146"/>
      <c r="E59" s="148"/>
      <c r="F59" s="148"/>
      <c r="G59" s="398"/>
      <c r="H59" s="404" t="str">
        <f>OBRA!AF58</f>
        <v>-</v>
      </c>
      <c r="I59" s="400"/>
      <c r="J59" s="406" t="str">
        <f>OBRA!AG58</f>
        <v>-</v>
      </c>
      <c r="K59" s="401"/>
      <c r="L59" s="404" t="str">
        <f>OBRA!AH58</f>
        <v>-</v>
      </c>
      <c r="M59" s="402"/>
      <c r="N59" s="404" t="str">
        <f>OBRA!AI58</f>
        <v>-</v>
      </c>
      <c r="O59" s="144"/>
      <c r="P59" s="144"/>
      <c r="Q59" s="401"/>
      <c r="R59" s="407" t="str">
        <f>OBRA!AJ58</f>
        <v>-</v>
      </c>
      <c r="S59" s="385"/>
      <c r="T59" s="399">
        <f>OBRA!W58</f>
        <v>0</v>
      </c>
      <c r="U59" s="408">
        <f>OBRA!X58</f>
        <v>0</v>
      </c>
      <c r="V59" s="1090"/>
      <c r="W59" s="19">
        <f>OBRA!N58</f>
        <v>0</v>
      </c>
      <c r="X59" s="12"/>
      <c r="Y59" s="12"/>
      <c r="Z59" s="409" t="str">
        <f>OBRA!M58</f>
        <v>FODIM</v>
      </c>
      <c r="AA59" s="12"/>
      <c r="AB59" s="2" t="str">
        <f>OBRA!O58</f>
        <v>CANCELADA</v>
      </c>
      <c r="AC59" s="3" t="str">
        <f>OBRA!P58</f>
        <v>FABRICACIÓN DE LOZA DE CONCRETO HIDRAULICO CON RENOVACIÓN DE REDES DE AGUA POTABLE Y RED DE DRENAJE EN CALLE MORELOS ENTRE C. NICOLAS BRAVO Y NIÑOS HEROES 1ERA ETAPA</v>
      </c>
      <c r="AD59" s="4">
        <f>OBRA!R58</f>
        <v>0</v>
      </c>
      <c r="AE59" s="6" t="s">
        <v>68</v>
      </c>
      <c r="AF59" s="5" t="s">
        <v>68</v>
      </c>
      <c r="AG59" s="390" t="s">
        <v>68</v>
      </c>
      <c r="AH59" s="52"/>
      <c r="AI59" s="211"/>
      <c r="AJ59" s="242"/>
      <c r="AK59" s="242"/>
      <c r="AL59" s="394"/>
      <c r="AM59" s="519" t="str">
        <f>GRAL!B60</f>
        <v>2012-2015</v>
      </c>
    </row>
    <row r="60" spans="1:39" s="299" customFormat="1" ht="150.75" hidden="1" customHeight="1" thickTop="1">
      <c r="A60" s="300">
        <v>2014</v>
      </c>
      <c r="B60" s="1682"/>
      <c r="C60" s="767" t="s">
        <v>68</v>
      </c>
      <c r="D60" s="301" t="s">
        <v>68</v>
      </c>
      <c r="E60" s="302" t="s">
        <v>68</v>
      </c>
      <c r="F60" s="302" t="s">
        <v>68</v>
      </c>
      <c r="G60" s="768" t="s">
        <v>2303</v>
      </c>
      <c r="H60" s="303">
        <f>OBRA!AF59</f>
        <v>41281</v>
      </c>
      <c r="I60" s="302" t="s">
        <v>68</v>
      </c>
      <c r="J60" s="302" t="str">
        <f>OBRA!AG59</f>
        <v>-</v>
      </c>
      <c r="K60" s="302" t="s">
        <v>68</v>
      </c>
      <c r="L60" s="302" t="str">
        <f>OBRA!AH59</f>
        <v>-</v>
      </c>
      <c r="M60" s="768" t="s">
        <v>2304</v>
      </c>
      <c r="N60" s="303">
        <f>OBRA!AI59</f>
        <v>41294</v>
      </c>
      <c r="O60" s="323" t="s">
        <v>2302</v>
      </c>
      <c r="P60" s="303" t="s">
        <v>68</v>
      </c>
      <c r="Q60" s="768" t="s">
        <v>2305</v>
      </c>
      <c r="R60" s="771">
        <f>OBRA!AJ59</f>
        <v>41294</v>
      </c>
      <c r="S60" s="447" t="s">
        <v>2306</v>
      </c>
      <c r="T60" s="302" t="str">
        <f>OBRA!W59</f>
        <v>JOSE LUIS RANGEL GALVEZ</v>
      </c>
      <c r="U60" s="772" t="str">
        <f>OBRA!X59</f>
        <v>C. DANIEL RODRIGUEZ VALENZUELA</v>
      </c>
      <c r="V60" s="301"/>
      <c r="W60" s="439" t="str">
        <f>OBRA!N59</f>
        <v>GMJ 002C OP/2014</v>
      </c>
      <c r="X60" s="768" t="s">
        <v>2307</v>
      </c>
      <c r="Y60" s="447" t="s">
        <v>2308</v>
      </c>
      <c r="Z60" s="298" t="str">
        <f>OBRA!M59</f>
        <v>R33 - FODIM</v>
      </c>
      <c r="AA60" s="447" t="s">
        <v>2309</v>
      </c>
      <c r="AB60" s="291" t="str">
        <f>OBRA!O59</f>
        <v>INVITACIÓN</v>
      </c>
      <c r="AC60" s="292" t="str">
        <f>OBRA!P59</f>
        <v>FABRICACION DE LOZA DE CONCRETO HIDRAULICO, CON RENOVACIÓN DE REDES DE AGUA POTABLE Y RED DE DRENAJE EN LA CALLE MORELOS DE CALLE INDEPENDENCIA A CALLE MATAMOROS EN LA CABECERA MUNICIPAL</v>
      </c>
      <c r="AD60" s="293">
        <f>OBRA!R59</f>
        <v>5400000</v>
      </c>
      <c r="AE60" s="294">
        <f>OBRA!S59</f>
        <v>41690</v>
      </c>
      <c r="AF60" s="295">
        <f>OBRA!T59</f>
        <v>41694</v>
      </c>
      <c r="AG60" s="389">
        <f>OBRA!U59</f>
        <v>41783</v>
      </c>
      <c r="AH60" s="854"/>
      <c r="AI60" s="290" t="s">
        <v>2310</v>
      </c>
      <c r="AJ60" s="440" t="s">
        <v>2311</v>
      </c>
      <c r="AK60" s="440" t="s">
        <v>2312</v>
      </c>
      <c r="AL60" s="779" t="s">
        <v>2313</v>
      </c>
      <c r="AM60" s="353" t="str">
        <f>GRAL!B61</f>
        <v>2012-2015</v>
      </c>
    </row>
    <row r="61" spans="1:39" s="299" customFormat="1" ht="113.25" hidden="1" customHeight="1" thickTop="1">
      <c r="A61" s="300">
        <f>OBRA!J60</f>
        <v>2014</v>
      </c>
      <c r="B61" s="1682"/>
      <c r="C61" s="767" t="s">
        <v>68</v>
      </c>
      <c r="D61" s="301" t="s">
        <v>68</v>
      </c>
      <c r="E61" s="302" t="s">
        <v>68</v>
      </c>
      <c r="F61" s="302" t="s">
        <v>68</v>
      </c>
      <c r="G61" s="768" t="s">
        <v>2314</v>
      </c>
      <c r="H61" s="303">
        <f>OBRA!AF60</f>
        <v>41582</v>
      </c>
      <c r="I61" s="302" t="s">
        <v>68</v>
      </c>
      <c r="J61" s="302" t="str">
        <f>OBRA!AG60</f>
        <v>-</v>
      </c>
      <c r="K61" s="302" t="s">
        <v>68</v>
      </c>
      <c r="L61" s="302" t="str">
        <f>OBRA!AH60</f>
        <v>-</v>
      </c>
      <c r="M61" s="768" t="s">
        <v>2315</v>
      </c>
      <c r="N61" s="303">
        <f>OBRA!AI60</f>
        <v>41598</v>
      </c>
      <c r="O61" s="323" t="s">
        <v>2302</v>
      </c>
      <c r="P61" s="303" t="s">
        <v>68</v>
      </c>
      <c r="Q61" s="768" t="s">
        <v>2316</v>
      </c>
      <c r="R61" s="771">
        <f>OBRA!AJ60</f>
        <v>41683</v>
      </c>
      <c r="S61" s="447" t="s">
        <v>2317</v>
      </c>
      <c r="T61" s="302" t="str">
        <f>OBRA!W60</f>
        <v>HIDRAULICOS TRUJILLO S.A. DE C.V.</v>
      </c>
      <c r="U61" s="772" t="str">
        <f>OBRA!X60</f>
        <v>C. DANIEL RODRIGUEZ VALENZUELA</v>
      </c>
      <c r="V61" s="301"/>
      <c r="W61" s="439" t="str">
        <f>OBRA!N60</f>
        <v>GMJ 001C OP/2014</v>
      </c>
      <c r="X61" s="858" t="s">
        <v>2318</v>
      </c>
      <c r="Y61" s="447" t="s">
        <v>2319</v>
      </c>
      <c r="Z61" s="298" t="str">
        <f>OBRA!M60</f>
        <v>RAMO 33</v>
      </c>
      <c r="AA61" s="298" t="s">
        <v>2320</v>
      </c>
      <c r="AB61" s="291" t="str">
        <f>OBRA!O60</f>
        <v>LICITACION</v>
      </c>
      <c r="AC61" s="292" t="str">
        <f>OBRA!P60</f>
        <v>LINEA DE CONEXIÓN ENTRE POZO DEL FRACCIONAMIENTO MAGISTERIAL Y LA RED DE AGUA MUNICIPAL EN LA CABECERA MUNICIPAL</v>
      </c>
      <c r="AD61" s="293">
        <f>OBRA!R60</f>
        <v>1489185.94</v>
      </c>
      <c r="AE61" s="294">
        <f>OBRA!S60</f>
        <v>41683</v>
      </c>
      <c r="AF61" s="295">
        <f>OBRA!T60</f>
        <v>41687</v>
      </c>
      <c r="AG61" s="389">
        <f>OBRA!U60</f>
        <v>41734</v>
      </c>
      <c r="AH61" s="854"/>
      <c r="AI61" s="290" t="s">
        <v>2310</v>
      </c>
      <c r="AJ61" s="429" t="s">
        <v>1428</v>
      </c>
      <c r="AK61" s="440" t="s">
        <v>2321</v>
      </c>
      <c r="AL61" s="440" t="s">
        <v>2322</v>
      </c>
      <c r="AM61" s="353" t="str">
        <f>GRAL!B62</f>
        <v>2012-2015</v>
      </c>
    </row>
    <row r="62" spans="1:39" ht="30" hidden="1" customHeight="1" thickTop="1">
      <c r="A62" s="158">
        <f>OBRA!J61</f>
        <v>2014</v>
      </c>
      <c r="B62" s="1683"/>
      <c r="C62" s="395"/>
      <c r="D62" s="146"/>
      <c r="E62" s="148"/>
      <c r="F62" s="148"/>
      <c r="G62" s="398"/>
      <c r="H62" s="404" t="str">
        <f>OBRA!AF61</f>
        <v>-</v>
      </c>
      <c r="I62" s="302"/>
      <c r="J62" s="302" t="str">
        <f>OBRA!AG61</f>
        <v>-</v>
      </c>
      <c r="K62" s="302"/>
      <c r="L62" s="302" t="str">
        <f>OBRA!AH61</f>
        <v>-</v>
      </c>
      <c r="M62" s="402"/>
      <c r="N62" s="404" t="str">
        <f>OBRA!AI61</f>
        <v>-</v>
      </c>
      <c r="O62" s="144"/>
      <c r="P62" s="144"/>
      <c r="Q62" s="401"/>
      <c r="R62" s="407" t="str">
        <f>OBRA!AJ61</f>
        <v>-</v>
      </c>
      <c r="S62" s="385"/>
      <c r="T62" s="399" t="str">
        <f>OBRA!W61</f>
        <v>-</v>
      </c>
      <c r="U62" s="408" t="str">
        <f>OBRA!X61</f>
        <v>ARQ. JAIME CONDE GOMEZ</v>
      </c>
      <c r="V62" s="1090"/>
      <c r="W62" s="19" t="str">
        <f>OBRA!N61</f>
        <v>DOP/AD/004/2014</v>
      </c>
      <c r="X62" s="12"/>
      <c r="Y62" s="12"/>
      <c r="Z62" s="409" t="str">
        <f>OBRA!M61</f>
        <v>POA</v>
      </c>
      <c r="AA62" s="12"/>
      <c r="AB62" s="2" t="str">
        <f>OBRA!O61</f>
        <v>ADMINISTRACIÓN DIRECTA</v>
      </c>
      <c r="AC62" s="3" t="str">
        <f>OBRA!P61</f>
        <v>REHABILITACIÓN DE AUDITORIO ANTONIA PALOMARES</v>
      </c>
      <c r="AD62" s="4">
        <f>OBRA!R61</f>
        <v>450000</v>
      </c>
      <c r="AE62" s="6">
        <f>OBRA!S61</f>
        <v>41781</v>
      </c>
      <c r="AF62" s="5">
        <f>OBRA!T61</f>
        <v>41705</v>
      </c>
      <c r="AG62" s="390">
        <f>OBRA!U61</f>
        <v>41789</v>
      </c>
      <c r="AH62" s="52"/>
      <c r="AI62" s="211"/>
      <c r="AJ62" s="242"/>
      <c r="AK62" s="242"/>
      <c r="AL62" s="394"/>
      <c r="AM62" s="519" t="str">
        <f>GRAL!B63</f>
        <v>2012-2015</v>
      </c>
    </row>
    <row r="63" spans="1:39" ht="30.75" hidden="1" thickTop="1">
      <c r="A63" s="158">
        <f>OBRA!J62</f>
        <v>2014</v>
      </c>
      <c r="B63" s="1683"/>
      <c r="C63" s="395"/>
      <c r="D63" s="146"/>
      <c r="E63" s="148"/>
      <c r="F63" s="148"/>
      <c r="G63" s="398"/>
      <c r="H63" s="404" t="str">
        <f>OBRA!AF62</f>
        <v>-</v>
      </c>
      <c r="I63" s="302"/>
      <c r="J63" s="302" t="str">
        <f>OBRA!AG62</f>
        <v>-</v>
      </c>
      <c r="K63" s="302"/>
      <c r="L63" s="302" t="str">
        <f>OBRA!AH62</f>
        <v>-</v>
      </c>
      <c r="M63" s="402"/>
      <c r="N63" s="404" t="str">
        <f>OBRA!AI62</f>
        <v>-</v>
      </c>
      <c r="O63" s="144"/>
      <c r="P63" s="144"/>
      <c r="Q63" s="401"/>
      <c r="R63" s="407" t="str">
        <f>OBRA!AJ62</f>
        <v>-</v>
      </c>
      <c r="S63" s="385"/>
      <c r="T63" s="399" t="str">
        <f>OBRA!W62</f>
        <v>-</v>
      </c>
      <c r="U63" s="408" t="str">
        <f>OBRA!X62</f>
        <v>ARQ. JAIME CONDE GOMEZ</v>
      </c>
      <c r="V63" s="1090"/>
      <c r="W63" s="19" t="str">
        <f>OBRA!N62</f>
        <v>DOP/AD/003/2014</v>
      </c>
      <c r="X63" s="12"/>
      <c r="Y63" s="12"/>
      <c r="Z63" s="409" t="str">
        <f>OBRA!M62</f>
        <v>POA</v>
      </c>
      <c r="AA63" s="12"/>
      <c r="AB63" s="2" t="str">
        <f>OBRA!O62</f>
        <v>ADMINISTRACIÓN DIRECTA</v>
      </c>
      <c r="AC63" s="3" t="str">
        <f>OBRA!P62</f>
        <v>CONSTRUCCION DE AREA DE LECTURA AL AIRE LIBRE DE LA BIBLIOTECA</v>
      </c>
      <c r="AD63" s="4">
        <f>OBRA!R62</f>
        <v>300000</v>
      </c>
      <c r="AE63" s="6">
        <f>OBRA!S62</f>
        <v>41761</v>
      </c>
      <c r="AF63" s="5">
        <f>OBRA!T62</f>
        <v>41761</v>
      </c>
      <c r="AG63" s="390">
        <f>OBRA!U62</f>
        <v>41822</v>
      </c>
      <c r="AH63" s="52"/>
      <c r="AI63" s="211"/>
      <c r="AJ63" s="242"/>
      <c r="AK63" s="242"/>
      <c r="AL63" s="394"/>
      <c r="AM63" s="519" t="str">
        <f>GRAL!B64</f>
        <v>2012-2015</v>
      </c>
    </row>
    <row r="64" spans="1:39" ht="30.75" hidden="1" thickTop="1">
      <c r="A64" s="158">
        <f>OBRA!J63</f>
        <v>2014</v>
      </c>
      <c r="B64" s="1683"/>
      <c r="C64" s="395"/>
      <c r="D64" s="146"/>
      <c r="E64" s="148"/>
      <c r="F64" s="148"/>
      <c r="G64" s="398"/>
      <c r="H64" s="404" t="str">
        <f>OBRA!AF63</f>
        <v>-</v>
      </c>
      <c r="I64" s="302"/>
      <c r="J64" s="302" t="str">
        <f>OBRA!AG63</f>
        <v>-</v>
      </c>
      <c r="K64" s="302"/>
      <c r="L64" s="302" t="str">
        <f>OBRA!AH63</f>
        <v>-</v>
      </c>
      <c r="M64" s="402"/>
      <c r="N64" s="404" t="str">
        <f>OBRA!AI63</f>
        <v>-</v>
      </c>
      <c r="O64" s="144"/>
      <c r="P64" s="144"/>
      <c r="Q64" s="401"/>
      <c r="R64" s="407" t="str">
        <f>OBRA!AJ63</f>
        <v>-</v>
      </c>
      <c r="S64" s="385"/>
      <c r="T64" s="399" t="str">
        <f>OBRA!W63</f>
        <v>-</v>
      </c>
      <c r="U64" s="408" t="str">
        <f>OBRA!X63</f>
        <v>ARQ. JAIME CONDE GOMEZ</v>
      </c>
      <c r="V64" s="1090"/>
      <c r="W64" s="19" t="str">
        <f>OBRA!N63</f>
        <v>DOP/AD/001/2014</v>
      </c>
      <c r="X64" s="12"/>
      <c r="Y64" s="12"/>
      <c r="Z64" s="409" t="str">
        <f>OBRA!M63</f>
        <v>CUENTA CORRIENTE</v>
      </c>
      <c r="AA64" s="12"/>
      <c r="AB64" s="2" t="str">
        <f>OBRA!O63</f>
        <v>ADMINISTRACIÓN DIRECTA</v>
      </c>
      <c r="AC64" s="3" t="str">
        <f>OBRA!P63</f>
        <v>REHABILITACIÓN DE BAÑOS EN CAMPO MEXICO, EN LA CABECERA MUNICIPAL</v>
      </c>
      <c r="AD64" s="4">
        <f>OBRA!R63</f>
        <v>91000</v>
      </c>
      <c r="AE64" s="6">
        <f>OBRA!S63</f>
        <v>41705</v>
      </c>
      <c r="AF64" s="5">
        <f>OBRA!T63</f>
        <v>41705</v>
      </c>
      <c r="AG64" s="390">
        <f>OBRA!U63</f>
        <v>41789</v>
      </c>
      <c r="AH64" s="52"/>
      <c r="AI64" s="211"/>
      <c r="AJ64" s="242"/>
      <c r="AK64" s="242"/>
      <c r="AL64" s="394"/>
      <c r="AM64" s="519" t="str">
        <f>GRAL!B65</f>
        <v>2012-2015</v>
      </c>
    </row>
    <row r="65" spans="1:39" s="104" customFormat="1" ht="60.75" hidden="1" thickTop="1">
      <c r="A65" s="830">
        <f>OBRA!J64</f>
        <v>2014</v>
      </c>
      <c r="B65" s="1684"/>
      <c r="C65" s="831"/>
      <c r="D65" s="147"/>
      <c r="E65" s="149"/>
      <c r="F65" s="149"/>
      <c r="G65" s="832"/>
      <c r="H65" s="150" t="str">
        <f>OBRA!AF64</f>
        <v>-</v>
      </c>
      <c r="I65" s="149"/>
      <c r="J65" s="149" t="str">
        <f>OBRA!AG64</f>
        <v>-</v>
      </c>
      <c r="K65" s="149"/>
      <c r="L65" s="149" t="str">
        <f>OBRA!AH64</f>
        <v>-</v>
      </c>
      <c r="M65" s="833"/>
      <c r="N65" s="150" t="str">
        <f>OBRA!AI64</f>
        <v>-</v>
      </c>
      <c r="O65" s="150"/>
      <c r="P65" s="150"/>
      <c r="Q65" s="834"/>
      <c r="R65" s="420" t="str">
        <f>OBRA!AJ64</f>
        <v>-</v>
      </c>
      <c r="S65" s="103"/>
      <c r="T65" s="149" t="str">
        <f>OBRA!W64</f>
        <v>-</v>
      </c>
      <c r="U65" s="152" t="str">
        <f>OBRA!X64</f>
        <v>ING. RIGOBERTO OLMEDO RAMOS</v>
      </c>
      <c r="V65" s="147"/>
      <c r="W65" s="829" t="str">
        <f>OBRA!N64</f>
        <v>DOP/AD/009/2014</v>
      </c>
      <c r="X65" s="103"/>
      <c r="Y65" s="103"/>
      <c r="Z65" s="103" t="str">
        <f>OBRA!M64</f>
        <v>RAMO 33</v>
      </c>
      <c r="AA65" s="103"/>
      <c r="AB65" s="186" t="str">
        <f>OBRA!O64</f>
        <v>CANCELADA</v>
      </c>
      <c r="AC65" s="106" t="str">
        <f>OBRA!P64</f>
        <v>REHABILITACIÓN DE RED DE AGUA POTABLE EN C. NIÑOS HEROES DE C. HIDALGO HASTA LA ESCUELA TELESECUNDARIA NIÑOS HEROES, EN LA AGENCIA MUNICIPAL DE "EL MOLINO"</v>
      </c>
      <c r="AD65" s="86">
        <f>OBRA!R64</f>
        <v>48856.42</v>
      </c>
      <c r="AE65" s="87">
        <f>OBRA!S64</f>
        <v>41859</v>
      </c>
      <c r="AF65" s="88">
        <f>OBRA!T64</f>
        <v>41862</v>
      </c>
      <c r="AG65" s="391">
        <f>OBRA!U64</f>
        <v>41874</v>
      </c>
      <c r="AH65" s="101"/>
      <c r="AI65" s="84"/>
      <c r="AJ65" s="96"/>
      <c r="AK65" s="96"/>
      <c r="AL65" s="97"/>
      <c r="AM65" s="354" t="str">
        <f>GRAL!B66</f>
        <v>2012-2015</v>
      </c>
    </row>
    <row r="66" spans="1:39" s="104" customFormat="1" ht="60.75" hidden="1" thickTop="1">
      <c r="A66" s="830">
        <f>OBRA!J65</f>
        <v>2014</v>
      </c>
      <c r="B66" s="1684"/>
      <c r="C66" s="831"/>
      <c r="D66" s="147"/>
      <c r="E66" s="149"/>
      <c r="F66" s="149"/>
      <c r="G66" s="832"/>
      <c r="H66" s="150" t="str">
        <f>OBRA!AF65</f>
        <v>-</v>
      </c>
      <c r="I66" s="149"/>
      <c r="J66" s="149" t="str">
        <f>OBRA!AG65</f>
        <v>-</v>
      </c>
      <c r="K66" s="149"/>
      <c r="L66" s="149" t="str">
        <f>OBRA!AH65</f>
        <v>-</v>
      </c>
      <c r="M66" s="833"/>
      <c r="N66" s="150" t="str">
        <f>OBRA!AI65</f>
        <v>-</v>
      </c>
      <c r="O66" s="150"/>
      <c r="P66" s="150"/>
      <c r="Q66" s="834"/>
      <c r="R66" s="420" t="str">
        <f>OBRA!AJ65</f>
        <v>-</v>
      </c>
      <c r="S66" s="103"/>
      <c r="T66" s="149" t="str">
        <f>OBRA!W65</f>
        <v>-</v>
      </c>
      <c r="U66" s="152" t="str">
        <f>OBRA!X65</f>
        <v>ING. RIGOBERTO OLMEDO RAMOS</v>
      </c>
      <c r="V66" s="147"/>
      <c r="W66" s="829" t="str">
        <f>OBRA!N65</f>
        <v>DOP/AD/006/2014</v>
      </c>
      <c r="X66" s="103"/>
      <c r="Y66" s="103"/>
      <c r="Z66" s="103" t="str">
        <f>OBRA!M65</f>
        <v>RAMO 33</v>
      </c>
      <c r="AA66" s="103"/>
      <c r="AB66" s="186" t="str">
        <f>OBRA!O65</f>
        <v>CANCELADA</v>
      </c>
      <c r="AC66" s="106" t="str">
        <f>OBRA!P65</f>
        <v>REHABILITACIÓN DE RED DE AGUA POTABLE EN C. HIDALGO DE C. NIÑOS HEROES HASTA ESCUELA J. VICENTE NEGRETE, EN LA AGENCIA MUNICIPAL DE "EL MOLINO"</v>
      </c>
      <c r="AD66" s="86">
        <f>OBRA!R65</f>
        <v>75328.27</v>
      </c>
      <c r="AE66" s="87">
        <f>OBRA!S65</f>
        <v>41831</v>
      </c>
      <c r="AF66" s="88">
        <f>OBRA!T65</f>
        <v>41834</v>
      </c>
      <c r="AG66" s="391">
        <f>OBRA!U65</f>
        <v>41846</v>
      </c>
      <c r="AH66" s="101"/>
      <c r="AI66" s="84"/>
      <c r="AJ66" s="96"/>
      <c r="AK66" s="96"/>
      <c r="AL66" s="97"/>
      <c r="AM66" s="354" t="str">
        <f>GRAL!B67</f>
        <v>2012-2015</v>
      </c>
    </row>
    <row r="67" spans="1:39" s="104" customFormat="1" ht="60.75" hidden="1" thickTop="1">
      <c r="A67" s="830">
        <f>OBRA!J66</f>
        <v>2014</v>
      </c>
      <c r="B67" s="1684"/>
      <c r="C67" s="831"/>
      <c r="D67" s="147"/>
      <c r="E67" s="149"/>
      <c r="F67" s="149"/>
      <c r="G67" s="832"/>
      <c r="H67" s="150" t="str">
        <f>OBRA!AF66</f>
        <v>-</v>
      </c>
      <c r="I67" s="149"/>
      <c r="J67" s="149" t="str">
        <f>OBRA!AG66</f>
        <v>-</v>
      </c>
      <c r="K67" s="149"/>
      <c r="L67" s="149" t="str">
        <f>OBRA!AH66</f>
        <v>-</v>
      </c>
      <c r="M67" s="833"/>
      <c r="N67" s="150" t="str">
        <f>OBRA!AI66</f>
        <v>-</v>
      </c>
      <c r="O67" s="150"/>
      <c r="P67" s="150"/>
      <c r="Q67" s="834"/>
      <c r="R67" s="420" t="str">
        <f>OBRA!AJ66</f>
        <v>-</v>
      </c>
      <c r="S67" s="103"/>
      <c r="T67" s="149" t="str">
        <f>OBRA!W66</f>
        <v>-</v>
      </c>
      <c r="U67" s="152" t="str">
        <f>OBRA!X66</f>
        <v>ING. RIGOBERTO OLMEDO RAMOS</v>
      </c>
      <c r="V67" s="147"/>
      <c r="W67" s="829" t="str">
        <f>OBRA!N66</f>
        <v>DOP/AD/005/2014</v>
      </c>
      <c r="X67" s="103"/>
      <c r="Y67" s="103"/>
      <c r="Z67" s="103" t="str">
        <f>OBRA!M66</f>
        <v>RAMO 33</v>
      </c>
      <c r="AA67" s="103"/>
      <c r="AB67" s="186" t="str">
        <f>OBRA!O66</f>
        <v>CANCELADA</v>
      </c>
      <c r="AC67" s="106" t="str">
        <f>OBRA!P66</f>
        <v>REHABILITACIÓN DE RED DE DRENAJE EN C. HIDALGO DE C. NIÑOS HEROES HASTA ESCUELA J. VICENTE NEGRETE, EN LA AGENCIA MUNICIPAL DE "EL MOLINO"</v>
      </c>
      <c r="AD67" s="86">
        <f>OBRA!R66</f>
        <v>109593.60000000001</v>
      </c>
      <c r="AE67" s="87">
        <f>OBRA!S66</f>
        <v>41817</v>
      </c>
      <c r="AF67" s="88">
        <f>OBRA!T66</f>
        <v>41821</v>
      </c>
      <c r="AG67" s="391">
        <f>OBRA!U66</f>
        <v>41834</v>
      </c>
      <c r="AH67" s="101"/>
      <c r="AI67" s="84"/>
      <c r="AJ67" s="96"/>
      <c r="AK67" s="96"/>
      <c r="AL67" s="97"/>
      <c r="AM67" s="354" t="str">
        <f>GRAL!B68</f>
        <v>2012-2015</v>
      </c>
    </row>
    <row r="68" spans="1:39" s="104" customFormat="1" ht="60.75" hidden="1" thickTop="1">
      <c r="A68" s="830">
        <f>OBRA!J67</f>
        <v>2014</v>
      </c>
      <c r="B68" s="1684"/>
      <c r="C68" s="831"/>
      <c r="D68" s="147"/>
      <c r="E68" s="149"/>
      <c r="F68" s="149"/>
      <c r="G68" s="832"/>
      <c r="H68" s="150" t="str">
        <f>OBRA!AF67</f>
        <v>-</v>
      </c>
      <c r="I68" s="149"/>
      <c r="J68" s="149" t="str">
        <f>OBRA!AG67</f>
        <v>-</v>
      </c>
      <c r="K68" s="149"/>
      <c r="L68" s="149" t="str">
        <f>OBRA!AH67</f>
        <v>-</v>
      </c>
      <c r="M68" s="833"/>
      <c r="N68" s="150" t="str">
        <f>OBRA!AI67</f>
        <v>-</v>
      </c>
      <c r="O68" s="150"/>
      <c r="P68" s="150"/>
      <c r="Q68" s="834"/>
      <c r="R68" s="420" t="str">
        <f>OBRA!AJ67</f>
        <v>-</v>
      </c>
      <c r="S68" s="103"/>
      <c r="T68" s="149" t="str">
        <f>OBRA!W67</f>
        <v>-</v>
      </c>
      <c r="U68" s="152" t="str">
        <f>OBRA!X67</f>
        <v>ING. RIGOBERTO OLMEDO RAMOS</v>
      </c>
      <c r="V68" s="147"/>
      <c r="W68" s="829" t="str">
        <f>OBRA!N67</f>
        <v>DOP/AD/008/2014</v>
      </c>
      <c r="X68" s="103"/>
      <c r="Y68" s="103"/>
      <c r="Z68" s="103" t="str">
        <f>OBRA!M67</f>
        <v>RAMO 33</v>
      </c>
      <c r="AA68" s="103"/>
      <c r="AB68" s="186" t="str">
        <f>OBRA!O67</f>
        <v>CANCELADA</v>
      </c>
      <c r="AC68" s="106" t="str">
        <f>OBRA!P67</f>
        <v>REHABILITACIÓN DE RED DE DRENAJE EN C. NIÑOS HEROES DE C. HIDALGO HASTA LA ESCUELA TELESECUNDARIA NIÑOS HEROES, EN LA AGENCIA MUNICIPAL DE "EL MOLINO"</v>
      </c>
      <c r="AD68" s="86">
        <f>OBRA!R67</f>
        <v>56400.28</v>
      </c>
      <c r="AE68" s="87">
        <f>OBRA!S67</f>
        <v>41845</v>
      </c>
      <c r="AF68" s="88">
        <f>OBRA!T67</f>
        <v>41848</v>
      </c>
      <c r="AG68" s="391">
        <f>OBRA!U67</f>
        <v>41860</v>
      </c>
      <c r="AH68" s="101"/>
      <c r="AI68" s="84"/>
      <c r="AJ68" s="96"/>
      <c r="AK68" s="96"/>
      <c r="AL68" s="97"/>
      <c r="AM68" s="354" t="str">
        <f>GRAL!B69</f>
        <v>2012-2015</v>
      </c>
    </row>
    <row r="69" spans="1:39" s="104" customFormat="1" ht="60.75" hidden="1" thickTop="1">
      <c r="A69" s="830">
        <v>2014</v>
      </c>
      <c r="B69" s="1684"/>
      <c r="C69" s="831"/>
      <c r="D69" s="147"/>
      <c r="E69" s="149"/>
      <c r="F69" s="149"/>
      <c r="G69" s="832"/>
      <c r="H69" s="150" t="str">
        <f>OBRA!AF68</f>
        <v>-</v>
      </c>
      <c r="I69" s="149"/>
      <c r="J69" s="149" t="str">
        <f>OBRA!AG68</f>
        <v>-</v>
      </c>
      <c r="K69" s="149"/>
      <c r="L69" s="149" t="str">
        <f>OBRA!AH68</f>
        <v>-</v>
      </c>
      <c r="M69" s="833"/>
      <c r="N69" s="150" t="str">
        <f>OBRA!AI68</f>
        <v>-</v>
      </c>
      <c r="O69" s="150"/>
      <c r="P69" s="150"/>
      <c r="Q69" s="834"/>
      <c r="R69" s="420" t="str">
        <f>OBRA!AJ68</f>
        <v>-</v>
      </c>
      <c r="S69" s="103"/>
      <c r="T69" s="149" t="str">
        <f>OBRA!W68</f>
        <v>-</v>
      </c>
      <c r="U69" s="152" t="str">
        <f>OBRA!X68</f>
        <v>ING. RIGOBERTO OLMEDO RAMOS</v>
      </c>
      <c r="V69" s="147"/>
      <c r="W69" s="829" t="str">
        <f>OBRA!N68</f>
        <v>DOP/AD/007/2014</v>
      </c>
      <c r="X69" s="103"/>
      <c r="Y69" s="103"/>
      <c r="Z69" s="103" t="str">
        <f>OBRA!M68</f>
        <v>RAMO 33</v>
      </c>
      <c r="AA69" s="103"/>
      <c r="AB69" s="186" t="str">
        <f>OBRA!O68</f>
        <v>CANCELADA</v>
      </c>
      <c r="AC69" s="106" t="str">
        <f>OBRA!P68</f>
        <v>EMPEDRADO AHOGADO EN CEMENTO C. HIDALGO DE C. NIÑOS HEROES HASTA ESCUELA J. VICENTE NEGRETE, EN LA AGENCIA MUNICIPAL DE "EL MOLINO"</v>
      </c>
      <c r="AD69" s="86">
        <f>OBRA!R68</f>
        <v>592587.04</v>
      </c>
      <c r="AE69" s="87">
        <f>OBRA!S68</f>
        <v>41831</v>
      </c>
      <c r="AF69" s="88">
        <f>OBRA!T68</f>
        <v>41848</v>
      </c>
      <c r="AG69" s="391">
        <f>OBRA!U68</f>
        <v>41874</v>
      </c>
      <c r="AH69" s="101"/>
      <c r="AI69" s="84"/>
      <c r="AJ69" s="96"/>
      <c r="AK69" s="96"/>
      <c r="AL69" s="97"/>
      <c r="AM69" s="354" t="str">
        <f>GRAL!B70</f>
        <v>2012-2015</v>
      </c>
    </row>
    <row r="70" spans="1:39" s="104" customFormat="1" ht="60.75" hidden="1" thickTop="1">
      <c r="A70" s="830">
        <f>OBRA!J69</f>
        <v>2014</v>
      </c>
      <c r="B70" s="835"/>
      <c r="C70" s="835"/>
      <c r="D70" s="147"/>
      <c r="E70" s="149"/>
      <c r="F70" s="149"/>
      <c r="G70" s="832"/>
      <c r="H70" s="150" t="str">
        <f>OBRA!AF69</f>
        <v>-</v>
      </c>
      <c r="I70" s="149"/>
      <c r="J70" s="149" t="str">
        <f>OBRA!AG69</f>
        <v>-</v>
      </c>
      <c r="K70" s="149"/>
      <c r="L70" s="149" t="str">
        <f>OBRA!AH69</f>
        <v>-</v>
      </c>
      <c r="M70" s="833"/>
      <c r="N70" s="150" t="str">
        <f>OBRA!AI69</f>
        <v>-</v>
      </c>
      <c r="O70" s="150"/>
      <c r="P70" s="150"/>
      <c r="Q70" s="834"/>
      <c r="R70" s="420" t="str">
        <f>OBRA!AJ69</f>
        <v>-</v>
      </c>
      <c r="S70" s="96"/>
      <c r="T70" s="149" t="str">
        <f>OBRA!W69</f>
        <v>-</v>
      </c>
      <c r="U70" s="152" t="str">
        <f>OBRA!X69</f>
        <v>ING. RIGOBERTO OLMEDO RAMOS</v>
      </c>
      <c r="V70" s="147"/>
      <c r="W70" s="829" t="str">
        <f>OBRA!N69</f>
        <v>DOP/AD/010/2014</v>
      </c>
      <c r="X70" s="103"/>
      <c r="Y70" s="103"/>
      <c r="Z70" s="103" t="str">
        <f>OBRA!M69</f>
        <v>RAMO 33</v>
      </c>
      <c r="AA70" s="103"/>
      <c r="AB70" s="186" t="str">
        <f>OBRA!O69</f>
        <v>CANCELADA</v>
      </c>
      <c r="AC70" s="106" t="str">
        <f>OBRA!P69</f>
        <v>EMPEDRADO AHOGADO EN CEMENTO C. NIÑOS HEROES DE C. HIDALGO HASTA LA ESCUELA TELESECUNDARIA NIÑOS HEROES, EN LA AGENCIA MUNICIPAL DE "EL MOLINO"</v>
      </c>
      <c r="AD70" s="86">
        <f>OBRA!R69</f>
        <v>346618.19</v>
      </c>
      <c r="AE70" s="87">
        <f>OBRA!S69</f>
        <v>41873</v>
      </c>
      <c r="AF70" s="88">
        <f>OBRA!T69</f>
        <v>41876</v>
      </c>
      <c r="AG70" s="391">
        <f>OBRA!U69</f>
        <v>41902</v>
      </c>
      <c r="AH70" s="101"/>
      <c r="AI70" s="84"/>
      <c r="AJ70" s="96"/>
      <c r="AK70" s="96"/>
      <c r="AL70" s="97"/>
      <c r="AM70" s="354" t="str">
        <f>GRAL!B71</f>
        <v>2012-2015</v>
      </c>
    </row>
    <row r="71" spans="1:39" s="104" customFormat="1" ht="60.75" hidden="1" thickTop="1">
      <c r="A71" s="830">
        <f>OBRA!J70</f>
        <v>2014</v>
      </c>
      <c r="B71" s="835"/>
      <c r="C71" s="835"/>
      <c r="D71" s="147"/>
      <c r="E71" s="149"/>
      <c r="F71" s="149"/>
      <c r="G71" s="832"/>
      <c r="H71" s="150" t="str">
        <f>OBRA!AF70</f>
        <v>-</v>
      </c>
      <c r="I71" s="149"/>
      <c r="J71" s="149" t="str">
        <f>OBRA!AG70</f>
        <v>-</v>
      </c>
      <c r="K71" s="149"/>
      <c r="L71" s="149" t="str">
        <f>OBRA!AH70</f>
        <v>-</v>
      </c>
      <c r="M71" s="833"/>
      <c r="N71" s="150" t="str">
        <f>OBRA!AI70</f>
        <v>-</v>
      </c>
      <c r="O71" s="150"/>
      <c r="P71" s="150"/>
      <c r="Q71" s="834"/>
      <c r="R71" s="420" t="str">
        <f>OBRA!AJ70</f>
        <v>-</v>
      </c>
      <c r="S71" s="96"/>
      <c r="T71" s="149" t="str">
        <f>OBRA!W70</f>
        <v>-</v>
      </c>
      <c r="U71" s="152" t="str">
        <f>OBRA!X70</f>
        <v>ING. RIGOBERTO OLMEDO RAMOS</v>
      </c>
      <c r="V71" s="147"/>
      <c r="W71" s="829" t="str">
        <f>OBRA!N70</f>
        <v>DOP/AD/012/2014</v>
      </c>
      <c r="X71" s="103"/>
      <c r="Y71" s="103"/>
      <c r="Z71" s="103" t="str">
        <f>OBRA!M70</f>
        <v>RAMO 33</v>
      </c>
      <c r="AA71" s="103"/>
      <c r="AB71" s="186" t="str">
        <f>OBRA!O70</f>
        <v>CANCELADA</v>
      </c>
      <c r="AC71" s="106" t="str">
        <f>OBRA!P70</f>
        <v>REHABILITACIÓN DE RED DE AGUA POTABLE EN C. VICENTE SUAREZ ENTRE C. INDEPENDENCIA Y NIÑOS HEROES, EN LA AGENCIA MUNICIPAL DE "EL MOLINO"</v>
      </c>
      <c r="AD71" s="86">
        <f>OBRA!R70</f>
        <v>100696.44</v>
      </c>
      <c r="AE71" s="87">
        <f>OBRA!S70</f>
        <v>41887</v>
      </c>
      <c r="AF71" s="88">
        <f>OBRA!T70</f>
        <v>41890</v>
      </c>
      <c r="AG71" s="391">
        <f>OBRA!U70</f>
        <v>41902</v>
      </c>
      <c r="AH71" s="101"/>
      <c r="AI71" s="84"/>
      <c r="AJ71" s="96"/>
      <c r="AK71" s="96"/>
      <c r="AL71" s="97"/>
      <c r="AM71" s="354" t="str">
        <f>GRAL!B72</f>
        <v>2012-2015</v>
      </c>
    </row>
    <row r="72" spans="1:39" s="104" customFormat="1" ht="60.75" hidden="1" thickTop="1">
      <c r="A72" s="830">
        <f>OBRA!J71</f>
        <v>2014</v>
      </c>
      <c r="B72" s="835"/>
      <c r="C72" s="835"/>
      <c r="D72" s="147"/>
      <c r="E72" s="149"/>
      <c r="F72" s="149"/>
      <c r="G72" s="832"/>
      <c r="H72" s="150" t="str">
        <f>OBRA!AF71</f>
        <v>-</v>
      </c>
      <c r="I72" s="149"/>
      <c r="J72" s="149" t="str">
        <f>OBRA!AG71</f>
        <v>-</v>
      </c>
      <c r="K72" s="149"/>
      <c r="L72" s="149" t="str">
        <f>OBRA!AH71</f>
        <v>-</v>
      </c>
      <c r="M72" s="833"/>
      <c r="N72" s="150" t="str">
        <f>OBRA!AI71</f>
        <v>-</v>
      </c>
      <c r="O72" s="150"/>
      <c r="P72" s="150"/>
      <c r="Q72" s="834"/>
      <c r="R72" s="420" t="str">
        <f>OBRA!AJ71</f>
        <v>-</v>
      </c>
      <c r="S72" s="96"/>
      <c r="T72" s="149" t="str">
        <f>OBRA!W71</f>
        <v>-</v>
      </c>
      <c r="U72" s="152" t="str">
        <f>OBRA!X71</f>
        <v>ING. RIGOBERTO OLMEDO RAMOS</v>
      </c>
      <c r="V72" s="147"/>
      <c r="W72" s="829" t="str">
        <f>OBRA!N71</f>
        <v>DOP/AD/011/2014</v>
      </c>
      <c r="X72" s="103"/>
      <c r="Y72" s="103"/>
      <c r="Z72" s="103" t="str">
        <f>OBRA!M71</f>
        <v>RAMO 33</v>
      </c>
      <c r="AA72" s="103"/>
      <c r="AB72" s="186" t="str">
        <f>OBRA!O71</f>
        <v>CANCELADA</v>
      </c>
      <c r="AC72" s="106" t="str">
        <f>OBRA!P71</f>
        <v>REHABILITACIÓN DE RED DE DRENAJE EN C. VICENTE SUAREZ ENTRE C. INDEPENDENCIA Y NIÑOS HEROES, EN LA AGENCIA MUNICIPAL DE "EL MOLINO"</v>
      </c>
      <c r="AD72" s="86">
        <f>OBRA!R71</f>
        <v>129939.7</v>
      </c>
      <c r="AE72" s="87">
        <f>OBRA!S71</f>
        <v>41873</v>
      </c>
      <c r="AF72" s="88">
        <f>OBRA!T71</f>
        <v>41876</v>
      </c>
      <c r="AG72" s="391">
        <f>OBRA!U71</f>
        <v>41888</v>
      </c>
      <c r="AH72" s="101"/>
      <c r="AI72" s="84"/>
      <c r="AJ72" s="96"/>
      <c r="AK72" s="96"/>
      <c r="AL72" s="97"/>
      <c r="AM72" s="354" t="str">
        <f>GRAL!B73</f>
        <v>2012-2015</v>
      </c>
    </row>
    <row r="73" spans="1:39" s="104" customFormat="1" ht="60.75" hidden="1" thickTop="1">
      <c r="A73" s="830">
        <f>OBRA!J72</f>
        <v>2014</v>
      </c>
      <c r="B73" s="820"/>
      <c r="C73" s="82"/>
      <c r="D73" s="147"/>
      <c r="E73" s="149"/>
      <c r="F73" s="149"/>
      <c r="G73" s="832"/>
      <c r="H73" s="150" t="str">
        <f>OBRA!AF72</f>
        <v>-</v>
      </c>
      <c r="I73" s="149"/>
      <c r="J73" s="149" t="str">
        <f>OBRA!AG72</f>
        <v>-</v>
      </c>
      <c r="K73" s="149"/>
      <c r="L73" s="149" t="str">
        <f>OBRA!AH72</f>
        <v>-</v>
      </c>
      <c r="M73" s="833"/>
      <c r="N73" s="150" t="str">
        <f>OBRA!AI72</f>
        <v>-</v>
      </c>
      <c r="O73" s="150"/>
      <c r="P73" s="150"/>
      <c r="Q73" s="834"/>
      <c r="R73" s="420" t="str">
        <f>OBRA!AJ72</f>
        <v>-</v>
      </c>
      <c r="S73" s="103"/>
      <c r="T73" s="149" t="str">
        <f>OBRA!W72</f>
        <v>-</v>
      </c>
      <c r="U73" s="152" t="str">
        <f>OBRA!X72</f>
        <v>ING. RIGOBERTO OLMEDO RAMOS</v>
      </c>
      <c r="V73" s="147"/>
      <c r="W73" s="829" t="str">
        <f>OBRA!N72</f>
        <v>DOP/AD/013/2014</v>
      </c>
      <c r="X73" s="103"/>
      <c r="Y73" s="103"/>
      <c r="Z73" s="103" t="str">
        <f>OBRA!M72</f>
        <v>RAMO 33</v>
      </c>
      <c r="AA73" s="103"/>
      <c r="AB73" s="186" t="str">
        <f>OBRA!O72</f>
        <v>CANCELADA</v>
      </c>
      <c r="AC73" s="106" t="str">
        <f>OBRA!P72</f>
        <v>EMPEDRADO AHOGADO EN CEMENTO C. VICENTE SUAREZ ENTRE C. INDEPENDENCIA Y NIÑOS HEROES, EN LA AGENCIA MUNICIPAL DE "EL MOLINO"</v>
      </c>
      <c r="AD73" s="86">
        <f>OBRA!R72</f>
        <v>659302.69999999995</v>
      </c>
      <c r="AE73" s="87">
        <f>OBRA!S72</f>
        <v>41901</v>
      </c>
      <c r="AF73" s="88">
        <f>OBRA!T72</f>
        <v>41904</v>
      </c>
      <c r="AG73" s="391">
        <f>OBRA!U72</f>
        <v>41930</v>
      </c>
      <c r="AH73" s="101"/>
      <c r="AI73" s="84"/>
      <c r="AJ73" s="96"/>
      <c r="AK73" s="96"/>
      <c r="AL73" s="97"/>
      <c r="AM73" s="354" t="str">
        <f>GRAL!B74</f>
        <v>2012-2015</v>
      </c>
    </row>
    <row r="74" spans="1:39" s="299" customFormat="1" ht="171" hidden="1" customHeight="1" thickTop="1">
      <c r="A74" s="300">
        <f>OBRA!J73</f>
        <v>2014</v>
      </c>
      <c r="B74" s="1682"/>
      <c r="C74" s="767" t="s">
        <v>68</v>
      </c>
      <c r="D74" s="301" t="s">
        <v>68</v>
      </c>
      <c r="E74" s="302" t="s">
        <v>68</v>
      </c>
      <c r="F74" s="302" t="s">
        <v>68</v>
      </c>
      <c r="G74" s="768" t="s">
        <v>2323</v>
      </c>
      <c r="H74" s="303">
        <f>OBRA!AF73</f>
        <v>41820</v>
      </c>
      <c r="I74" s="768" t="s">
        <v>2324</v>
      </c>
      <c r="J74" s="769">
        <f>OBRA!AG73</f>
        <v>41824</v>
      </c>
      <c r="K74" s="302" t="s">
        <v>68</v>
      </c>
      <c r="L74" s="302" t="str">
        <f>OBRA!AH73</f>
        <v>-</v>
      </c>
      <c r="M74" s="768" t="s">
        <v>2325</v>
      </c>
      <c r="N74" s="303">
        <f>OBRA!AI73</f>
        <v>41824</v>
      </c>
      <c r="O74" s="323" t="s">
        <v>2302</v>
      </c>
      <c r="P74" s="303" t="s">
        <v>68</v>
      </c>
      <c r="Q74" s="768" t="s">
        <v>2326</v>
      </c>
      <c r="R74" s="771">
        <f>OBRA!AJ73</f>
        <v>41824</v>
      </c>
      <c r="S74" s="447" t="s">
        <v>2327</v>
      </c>
      <c r="T74" s="302" t="str">
        <f>OBRA!W73</f>
        <v>C. URIEL PALOS CUEVAS</v>
      </c>
      <c r="U74" s="772" t="str">
        <f>OBRA!X73</f>
        <v>C. DANIEL RODRIGUEZ VALENZUELA</v>
      </c>
      <c r="V74" s="301"/>
      <c r="W74" s="439" t="str">
        <f>OBRA!N73</f>
        <v>GMJ 003C OP/2014</v>
      </c>
      <c r="X74" s="768" t="s">
        <v>2328</v>
      </c>
      <c r="Y74" s="298" t="s">
        <v>68</v>
      </c>
      <c r="Z74" s="298" t="str">
        <f>OBRA!M73</f>
        <v>FONDEREG</v>
      </c>
      <c r="AA74" s="447" t="s">
        <v>2309</v>
      </c>
      <c r="AB74" s="291" t="str">
        <f>OBRA!O73</f>
        <v>INVITACIÓN</v>
      </c>
      <c r="AC74" s="292" t="str">
        <f>OBRA!P73</f>
        <v>COLOCACIÓN DE ADOQUIN ASENTADO EN ARENA DE RIO EN LA CALLE PROFIRIO DÍAZ Y RENOVACIÓN DE REDES DE AGUA POTABLE Y DRENAJE, QUE SE LLEVARA A CABO EN LA LOCALIDAD DE SAN JUAN COSALA</v>
      </c>
      <c r="AD74" s="293">
        <f>OBRA!R73</f>
        <v>2564100.69</v>
      </c>
      <c r="AE74" s="294">
        <f>OBRA!S73</f>
        <v>41824</v>
      </c>
      <c r="AF74" s="295">
        <f>OBRA!T73</f>
        <v>41855</v>
      </c>
      <c r="AG74" s="389">
        <f>OBRA!U73</f>
        <v>41884</v>
      </c>
      <c r="AH74" s="854"/>
      <c r="AI74" s="290" t="s">
        <v>2310</v>
      </c>
      <c r="AJ74" s="440" t="s">
        <v>2329</v>
      </c>
      <c r="AK74" s="440" t="s">
        <v>2330</v>
      </c>
      <c r="AL74" s="852" t="s">
        <v>2331</v>
      </c>
      <c r="AM74" s="353" t="str">
        <f>GRAL!B75</f>
        <v>2012-2015</v>
      </c>
    </row>
    <row r="75" spans="1:39" ht="45.75" hidden="1" thickTop="1">
      <c r="A75" s="158">
        <f>OBRA!J74</f>
        <v>2014</v>
      </c>
      <c r="B75" s="1683"/>
      <c r="C75" s="395"/>
      <c r="D75" s="146"/>
      <c r="E75" s="148"/>
      <c r="F75" s="148"/>
      <c r="G75" s="398"/>
      <c r="H75" s="404" t="str">
        <f>OBRA!AF74</f>
        <v>-</v>
      </c>
      <c r="I75" s="302"/>
      <c r="J75" s="302" t="str">
        <f>OBRA!AG74</f>
        <v>-</v>
      </c>
      <c r="K75" s="302"/>
      <c r="L75" s="302" t="str">
        <f>OBRA!AH74</f>
        <v>-</v>
      </c>
      <c r="M75" s="402"/>
      <c r="N75" s="404" t="str">
        <f>OBRA!AI74</f>
        <v>-</v>
      </c>
      <c r="O75" s="144"/>
      <c r="P75" s="144"/>
      <c r="Q75" s="401"/>
      <c r="R75" s="407" t="str">
        <f>OBRA!AJ74</f>
        <v>-</v>
      </c>
      <c r="S75" s="385"/>
      <c r="T75" s="399" t="str">
        <f>OBRA!W74</f>
        <v>-</v>
      </c>
      <c r="U75" s="408" t="str">
        <f>OBRA!X74</f>
        <v>C. DANIEL RODRIGUEZ VALENZUELA</v>
      </c>
      <c r="V75" s="1090"/>
      <c r="W75" s="19" t="str">
        <f>OBRA!N74</f>
        <v>DOP/AD/014/2014</v>
      </c>
      <c r="X75" s="12"/>
      <c r="Y75" s="12"/>
      <c r="Z75" s="409" t="str">
        <f>OBRA!M74</f>
        <v>CUENTA CORRIENTE</v>
      </c>
      <c r="AA75" s="12"/>
      <c r="AB75" s="2" t="str">
        <f>OBRA!O74</f>
        <v>ADMINISTRACIÓN DIRECTA</v>
      </c>
      <c r="AC75" s="3" t="str">
        <f>OBRA!P74</f>
        <v>CONSTRUCCIÓN DE BANQUETAS EN C. MORELOS ENTRE HIDALGO Y JOSEFA ORTIZ DE DOMÍNGUEZ (1 LADO) SUR, EN LA CABECERA MUNICIPAL</v>
      </c>
      <c r="AD75" s="4">
        <f>OBRA!R74</f>
        <v>119790.69</v>
      </c>
      <c r="AE75" s="6">
        <f>OBRA!S74</f>
        <v>41876</v>
      </c>
      <c r="AF75" s="5">
        <f>OBRA!T74</f>
        <v>41876</v>
      </c>
      <c r="AG75" s="390">
        <f>OBRA!U74</f>
        <v>41907</v>
      </c>
      <c r="AH75" s="52"/>
      <c r="AI75" s="211"/>
      <c r="AJ75" s="242"/>
      <c r="AK75" s="242"/>
      <c r="AL75" s="394"/>
      <c r="AM75" s="519" t="str">
        <f>GRAL!B76</f>
        <v>2012-2015</v>
      </c>
    </row>
    <row r="76" spans="1:39" ht="60.75" hidden="1" thickTop="1">
      <c r="A76" s="158">
        <f>OBRA!J75</f>
        <v>2014</v>
      </c>
      <c r="B76" s="1683"/>
      <c r="C76" s="395"/>
      <c r="D76" s="146"/>
      <c r="E76" s="148"/>
      <c r="F76" s="148"/>
      <c r="G76" s="398"/>
      <c r="H76" s="404" t="str">
        <f>OBRA!AF75</f>
        <v>-</v>
      </c>
      <c r="I76" s="302"/>
      <c r="J76" s="302" t="str">
        <f>OBRA!AG75</f>
        <v>-</v>
      </c>
      <c r="K76" s="302"/>
      <c r="L76" s="302" t="str">
        <f>OBRA!AH75</f>
        <v>-</v>
      </c>
      <c r="M76" s="402"/>
      <c r="N76" s="404" t="str">
        <f>OBRA!AI75</f>
        <v>-</v>
      </c>
      <c r="O76" s="144"/>
      <c r="P76" s="144"/>
      <c r="Q76" s="401"/>
      <c r="R76" s="407" t="str">
        <f>OBRA!AJ75</f>
        <v>-</v>
      </c>
      <c r="S76" s="385"/>
      <c r="T76" s="399" t="str">
        <f>OBRA!W75</f>
        <v>-</v>
      </c>
      <c r="U76" s="408" t="str">
        <f>OBRA!X75</f>
        <v>ING. RIGOBERTO OLMEDO RAMOS</v>
      </c>
      <c r="V76" s="1090"/>
      <c r="W76" s="19" t="str">
        <f>OBRA!N75</f>
        <v>DOP/AD/015/2014</v>
      </c>
      <c r="X76" s="12"/>
      <c r="Y76" s="12"/>
      <c r="Z76" s="409" t="str">
        <f>OBRA!M75</f>
        <v>RAMO 33</v>
      </c>
      <c r="AA76" s="12"/>
      <c r="AB76" s="2" t="str">
        <f>OBRA!O75</f>
        <v>ADMINISTRACIÓN DIRECTA</v>
      </c>
      <c r="AC76" s="3" t="str">
        <f>OBRA!P75</f>
        <v>AMPLIACIÓN DE COLECTOR DE ALEJAMIENTO DEL DRENAJE SANITARIO (ENTRE AVE. DEL TRABAJO HASTA ARROYO) EN LA DELEGACIÓN DE ZAPOTITAN DE HIDALGO</v>
      </c>
      <c r="AD76" s="4">
        <f>OBRA!R75</f>
        <v>1543344.7</v>
      </c>
      <c r="AE76" s="6">
        <f>OBRA!S75</f>
        <v>41883</v>
      </c>
      <c r="AF76" s="5">
        <f>OBRA!T75</f>
        <v>41883</v>
      </c>
      <c r="AG76" s="390">
        <f>OBRA!U75</f>
        <v>41912</v>
      </c>
      <c r="AH76" s="52"/>
      <c r="AI76" s="211"/>
      <c r="AJ76" s="242"/>
      <c r="AK76" s="242"/>
      <c r="AL76" s="394"/>
      <c r="AM76" s="519" t="str">
        <f>GRAL!B77</f>
        <v>2012-2015</v>
      </c>
    </row>
    <row r="77" spans="1:39" ht="120.75" hidden="1" thickTop="1">
      <c r="A77" s="158">
        <f>OBRA!J76</f>
        <v>2014</v>
      </c>
      <c r="B77" s="1683"/>
      <c r="C77" s="395"/>
      <c r="D77" s="146"/>
      <c r="E77" s="148"/>
      <c r="F77" s="148"/>
      <c r="G77" s="398"/>
      <c r="H77" s="404" t="str">
        <f>OBRA!AF76</f>
        <v>-</v>
      </c>
      <c r="I77" s="302"/>
      <c r="J77" s="302" t="str">
        <f>OBRA!AG76</f>
        <v>-</v>
      </c>
      <c r="K77" s="302"/>
      <c r="L77" s="302" t="str">
        <f>OBRA!AH76</f>
        <v>-</v>
      </c>
      <c r="M77" s="402"/>
      <c r="N77" s="404" t="str">
        <f>OBRA!AI76</f>
        <v>-</v>
      </c>
      <c r="O77" s="144"/>
      <c r="P77" s="144"/>
      <c r="Q77" s="401"/>
      <c r="R77" s="407" t="str">
        <f>OBRA!AJ76</f>
        <v>-</v>
      </c>
      <c r="S77" s="385"/>
      <c r="T77" s="399" t="str">
        <f>OBRA!W76</f>
        <v>-</v>
      </c>
      <c r="U77" s="408" t="str">
        <f>OBRA!X76</f>
        <v>ARQ. JUAN MANUEL PIRUL CORTÉS</v>
      </c>
      <c r="V77" s="1090"/>
      <c r="W77" s="19" t="str">
        <f>OBRA!N76</f>
        <v>DOP/AD/016/2014</v>
      </c>
      <c r="X77" s="12"/>
      <c r="Y77" s="12"/>
      <c r="Z77" s="409" t="str">
        <f>OBRA!M76</f>
        <v>CUENTA CORRIENTE</v>
      </c>
      <c r="AA77" s="12"/>
      <c r="AB77" s="2" t="str">
        <f>OBRA!O76</f>
        <v>ADMINISTRACIÓN DIRECTA</v>
      </c>
      <c r="AC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OBRA!R76</f>
        <v>200000</v>
      </c>
      <c r="AE77" s="6">
        <f>OBRA!S76</f>
        <v>41830</v>
      </c>
      <c r="AF77" s="5">
        <f>OBRA!T76</f>
        <v>41834</v>
      </c>
      <c r="AG77" s="390">
        <f>OBRA!U76</f>
        <v>41897</v>
      </c>
      <c r="AH77" s="52"/>
      <c r="AI77" s="211"/>
      <c r="AJ77" s="242"/>
      <c r="AK77" s="242"/>
      <c r="AL77" s="394"/>
      <c r="AM77" s="519" t="str">
        <f>GRAL!B78</f>
        <v>2012-2015</v>
      </c>
    </row>
    <row r="78" spans="1:39" ht="30.75" hidden="1" thickTop="1">
      <c r="A78" s="158">
        <f>OBRA!J77</f>
        <v>2014</v>
      </c>
      <c r="B78" s="1683"/>
      <c r="C78" s="395"/>
      <c r="D78" s="146"/>
      <c r="E78" s="148"/>
      <c r="F78" s="148"/>
      <c r="G78" s="398"/>
      <c r="H78" s="404" t="str">
        <f>OBRA!AF77</f>
        <v>-</v>
      </c>
      <c r="I78" s="302"/>
      <c r="J78" s="302" t="str">
        <f>OBRA!AG77</f>
        <v>-</v>
      </c>
      <c r="K78" s="302"/>
      <c r="L78" s="302" t="str">
        <f>OBRA!AH77</f>
        <v>-</v>
      </c>
      <c r="M78" s="402"/>
      <c r="N78" s="404" t="str">
        <f>OBRA!AI77</f>
        <v>-</v>
      </c>
      <c r="O78" s="144"/>
      <c r="P78" s="144"/>
      <c r="Q78" s="401"/>
      <c r="R78" s="407" t="str">
        <f>OBRA!AJ77</f>
        <v>-</v>
      </c>
      <c r="S78" s="385"/>
      <c r="T78" s="399" t="str">
        <f>OBRA!W77</f>
        <v>-</v>
      </c>
      <c r="U78" s="408" t="str">
        <f>OBRA!X77</f>
        <v>DANIEL RODRIGUEZ</v>
      </c>
      <c r="V78" s="1090"/>
      <c r="W78" s="19" t="str">
        <f>OBRA!N77</f>
        <v>DOP/AD/017/2014</v>
      </c>
      <c r="X78" s="12"/>
      <c r="Y78" s="12"/>
      <c r="Z78" s="409" t="str">
        <f>OBRA!M77</f>
        <v>PET</v>
      </c>
      <c r="AA78" s="12"/>
      <c r="AB78" s="2" t="str">
        <f>OBRA!O77</f>
        <v>ADMINISTRACIÓN DIRECTA</v>
      </c>
      <c r="AC78" s="3" t="str">
        <f>OBRA!P77</f>
        <v xml:space="preserve">CONSTRUCCIÓN DE PISO FIRME EN LA LOCALIDAD DE POTRERILLOS </v>
      </c>
      <c r="AD78" s="4">
        <f>OBRA!R77</f>
        <v>3311850</v>
      </c>
      <c r="AE78" s="6">
        <f>OBRA!S77</f>
        <v>41922</v>
      </c>
      <c r="AF78" s="5">
        <f>OBRA!T77</f>
        <v>41927</v>
      </c>
      <c r="AG78" s="390">
        <f>OBRA!U77</f>
        <v>41988</v>
      </c>
      <c r="AH78" s="52"/>
      <c r="AI78" s="211"/>
      <c r="AJ78" s="242"/>
      <c r="AK78" s="242"/>
      <c r="AL78" s="394"/>
      <c r="AM78" s="519" t="str">
        <f>GRAL!B79</f>
        <v>2012-2015</v>
      </c>
    </row>
    <row r="79" spans="1:39" ht="30.75" hidden="1" thickTop="1">
      <c r="A79" s="158">
        <f>OBRA!J78</f>
        <v>2014</v>
      </c>
      <c r="B79" s="1683"/>
      <c r="C79" s="395"/>
      <c r="D79" s="146"/>
      <c r="E79" s="148"/>
      <c r="F79" s="148"/>
      <c r="G79" s="398"/>
      <c r="H79" s="404" t="str">
        <f>OBRA!AF78</f>
        <v>-</v>
      </c>
      <c r="I79" s="302"/>
      <c r="J79" s="302" t="str">
        <f>OBRA!AG78</f>
        <v>-</v>
      </c>
      <c r="K79" s="302"/>
      <c r="L79" s="302" t="str">
        <f>OBRA!AH78</f>
        <v>-</v>
      </c>
      <c r="M79" s="402"/>
      <c r="N79" s="404" t="str">
        <f>OBRA!AI78</f>
        <v>-</v>
      </c>
      <c r="O79" s="144"/>
      <c r="P79" s="144"/>
      <c r="Q79" s="401"/>
      <c r="R79" s="407" t="str">
        <f>OBRA!AJ78</f>
        <v>-</v>
      </c>
      <c r="S79" s="385"/>
      <c r="T79" s="399" t="str">
        <f>OBRA!W78</f>
        <v>-</v>
      </c>
      <c r="U79" s="408" t="str">
        <f>OBRA!X78</f>
        <v>DANIEL RODRIGUEZ</v>
      </c>
      <c r="V79" s="1090"/>
      <c r="W79" s="19" t="str">
        <f>OBRA!N78</f>
        <v>DOP/AD/018/2014</v>
      </c>
      <c r="X79" s="12"/>
      <c r="Y79" s="12"/>
      <c r="Z79" s="409" t="str">
        <f>OBRA!M78</f>
        <v>PET</v>
      </c>
      <c r="AA79" s="12"/>
      <c r="AB79" s="2" t="str">
        <f>OBRA!O78</f>
        <v>ADMINISTRACIÓN DIRECTA</v>
      </c>
      <c r="AC79" s="3" t="str">
        <f>OBRA!P78</f>
        <v xml:space="preserve">CONSTRUCCIÓN DE PISO FIRME EN LA LOCALIDAD LAS TROJES </v>
      </c>
      <c r="AD79" s="4">
        <f>OBRA!R78</f>
        <v>540540</v>
      </c>
      <c r="AE79" s="6">
        <f>OBRA!S78</f>
        <v>41922</v>
      </c>
      <c r="AF79" s="5">
        <f>OBRA!T78</f>
        <v>41927</v>
      </c>
      <c r="AG79" s="390">
        <f>OBRA!U78</f>
        <v>41988</v>
      </c>
      <c r="AH79" s="52"/>
      <c r="AI79" s="211"/>
      <c r="AJ79" s="242"/>
      <c r="AK79" s="242"/>
      <c r="AL79" s="394"/>
      <c r="AM79" s="519" t="str">
        <f>GRAL!B80</f>
        <v>2012-2015</v>
      </c>
    </row>
    <row r="80" spans="1:39" ht="45.75" hidden="1" thickTop="1">
      <c r="A80" s="158">
        <f>OBRA!J79</f>
        <v>2014</v>
      </c>
      <c r="B80" s="1683"/>
      <c r="C80" s="395"/>
      <c r="D80" s="146"/>
      <c r="E80" s="148"/>
      <c r="F80" s="148"/>
      <c r="G80" s="398"/>
      <c r="H80" s="404" t="str">
        <f>OBRA!AF79</f>
        <v>-</v>
      </c>
      <c r="I80" s="302"/>
      <c r="J80" s="302" t="str">
        <f>OBRA!AG79</f>
        <v>-</v>
      </c>
      <c r="K80" s="302"/>
      <c r="L80" s="302" t="str">
        <f>OBRA!AH79</f>
        <v>-</v>
      </c>
      <c r="M80" s="402"/>
      <c r="N80" s="404" t="str">
        <f>OBRA!AI79</f>
        <v>-</v>
      </c>
      <c r="O80" s="144"/>
      <c r="P80" s="144"/>
      <c r="Q80" s="401"/>
      <c r="R80" s="407" t="str">
        <f>OBRA!AJ79</f>
        <v>-</v>
      </c>
      <c r="S80" s="385"/>
      <c r="T80" s="399" t="str">
        <f>OBRA!W79</f>
        <v>-</v>
      </c>
      <c r="U80" s="408" t="str">
        <f>OBRA!X79</f>
        <v>ARQ. JAIME CONDE GOMEZ</v>
      </c>
      <c r="V80" s="1090"/>
      <c r="W80" s="19" t="str">
        <f>OBRA!N79</f>
        <v>DOP/AD/021/2014</v>
      </c>
      <c r="X80" s="12"/>
      <c r="Y80" s="12"/>
      <c r="Z80" s="409">
        <f>OBRA!M79</f>
        <v>0</v>
      </c>
      <c r="AA80" s="12"/>
      <c r="AB80" s="2" t="str">
        <f>OBRA!O79</f>
        <v>ADMINISTRACIÓN DIRECTA</v>
      </c>
      <c r="AC80" s="3" t="str">
        <f>OBRA!P79</f>
        <v>REHABILITACION DE BANQUETAS EN C. HIDALGO CRUCE CON CALLE DONATO GUERRA EN LA CABECERA MUNICIPAL</v>
      </c>
      <c r="AD80" s="4">
        <f>OBRA!R79</f>
        <v>40279.599999999999</v>
      </c>
      <c r="AE80" s="6">
        <f>OBRA!S79</f>
        <v>41939</v>
      </c>
      <c r="AF80" s="5">
        <f>OBRA!T79</f>
        <v>41939</v>
      </c>
      <c r="AG80" s="390">
        <f>OBRA!U79</f>
        <v>41954</v>
      </c>
      <c r="AH80" s="52"/>
      <c r="AI80" s="211"/>
      <c r="AJ80" s="242"/>
      <c r="AK80" s="242"/>
      <c r="AL80" s="394"/>
      <c r="AM80" s="519" t="str">
        <f>GRAL!B81</f>
        <v>2012-2015</v>
      </c>
    </row>
    <row r="81" spans="1:39" s="299" customFormat="1" ht="169.5" hidden="1" customHeight="1" thickTop="1">
      <c r="A81" s="300">
        <f>OBRA!J80</f>
        <v>2014</v>
      </c>
      <c r="B81" s="1682"/>
      <c r="C81" s="767" t="s">
        <v>68</v>
      </c>
      <c r="D81" s="301" t="s">
        <v>68</v>
      </c>
      <c r="E81" s="302" t="s">
        <v>68</v>
      </c>
      <c r="F81" s="302" t="s">
        <v>68</v>
      </c>
      <c r="G81" s="768" t="s">
        <v>2332</v>
      </c>
      <c r="H81" s="303">
        <f>OBRA!AF80</f>
        <v>41736</v>
      </c>
      <c r="I81" s="768" t="s">
        <v>2333</v>
      </c>
      <c r="J81" s="302" t="str">
        <f>OBRA!AG80</f>
        <v>-</v>
      </c>
      <c r="K81" s="302" t="s">
        <v>68</v>
      </c>
      <c r="L81" s="302" t="str">
        <f>OBRA!AH80</f>
        <v>-</v>
      </c>
      <c r="M81" s="768" t="s">
        <v>2334</v>
      </c>
      <c r="N81" s="303">
        <f>OBRA!AI80</f>
        <v>41743</v>
      </c>
      <c r="O81" s="323" t="s">
        <v>2302</v>
      </c>
      <c r="P81" s="303" t="s">
        <v>68</v>
      </c>
      <c r="Q81" s="768" t="s">
        <v>2335</v>
      </c>
      <c r="R81" s="771">
        <f>OBRA!AJ80</f>
        <v>41743</v>
      </c>
      <c r="S81" s="447" t="s">
        <v>2336</v>
      </c>
      <c r="T81" s="302" t="str">
        <f>OBRA!W80</f>
        <v>ESTUDIO CASA Y CIUDAD SA DE CV</v>
      </c>
      <c r="U81" s="772" t="str">
        <f>OBRA!X80</f>
        <v>C. DANIEL RODRIGUEZ VALENZUELA</v>
      </c>
      <c r="V81" s="301"/>
      <c r="W81" s="439" t="str">
        <f>OBRA!N80</f>
        <v>GMJ 004C OP/2014</v>
      </c>
      <c r="X81" s="768" t="s">
        <v>2337</v>
      </c>
      <c r="Y81" s="298" t="s">
        <v>68</v>
      </c>
      <c r="Z81" s="447" t="str">
        <f>OBRA!M80</f>
        <v>3X1 PARA MIGRANTES</v>
      </c>
      <c r="AA81" s="447" t="s">
        <v>2338</v>
      </c>
      <c r="AB81" s="291" t="str">
        <f>OBRA!O80</f>
        <v>INVITACIÓN</v>
      </c>
      <c r="AC81" s="292" t="str">
        <f>OBRA!P80</f>
        <v>TERMINACION DE GUARDERIA EN LA CABECERA MUNICIPAL DE JOCOTEPEC</v>
      </c>
      <c r="AD81" s="293">
        <f>OBRA!R80</f>
        <v>3006508.94</v>
      </c>
      <c r="AE81" s="294">
        <f>OBRA!S80</f>
        <v>41848</v>
      </c>
      <c r="AF81" s="295">
        <f>OBRA!T80</f>
        <v>41855</v>
      </c>
      <c r="AG81" s="389">
        <f>OBRA!U80</f>
        <v>41975</v>
      </c>
      <c r="AH81" s="854"/>
      <c r="AI81" s="290" t="s">
        <v>2310</v>
      </c>
      <c r="AJ81" s="298" t="s">
        <v>68</v>
      </c>
      <c r="AK81" s="768" t="s">
        <v>2339</v>
      </c>
      <c r="AL81" s="768" t="s">
        <v>2340</v>
      </c>
      <c r="AM81" s="353" t="str">
        <f>GRAL!B82</f>
        <v>2012-2015</v>
      </c>
    </row>
    <row r="82" spans="1:39" ht="45.75" hidden="1" thickTop="1">
      <c r="A82" s="158">
        <f>OBRA!J81</f>
        <v>2014</v>
      </c>
      <c r="B82" s="1683"/>
      <c r="C82" s="395"/>
      <c r="D82" s="146"/>
      <c r="E82" s="148"/>
      <c r="F82" s="148"/>
      <c r="G82" s="398"/>
      <c r="H82" s="404" t="str">
        <f>OBRA!AF81</f>
        <v>-</v>
      </c>
      <c r="I82" s="413"/>
      <c r="J82" s="406" t="str">
        <f>OBRA!AG81</f>
        <v>-</v>
      </c>
      <c r="K82" s="401"/>
      <c r="L82" s="404" t="str">
        <f>OBRA!AH81</f>
        <v>-</v>
      </c>
      <c r="M82" s="413"/>
      <c r="N82" s="404" t="str">
        <f>OBRA!AI81</f>
        <v>-</v>
      </c>
      <c r="O82" s="144"/>
      <c r="P82" s="144"/>
      <c r="Q82" s="413"/>
      <c r="R82" s="407" t="str">
        <f>OBRA!AJ81</f>
        <v>-</v>
      </c>
      <c r="S82" s="385"/>
      <c r="T82" s="399" t="str">
        <f>OBRA!W81</f>
        <v>PROYECTO DISEÑO Y CONSTRUCCION</v>
      </c>
      <c r="U82" s="408" t="str">
        <f>OBRA!X81</f>
        <v>C. DANIEL RODRIGUEZ VALENZUELA</v>
      </c>
      <c r="V82" s="1090"/>
      <c r="W82" s="19" t="str">
        <f>OBRA!N81</f>
        <v>GMJ 005C OP/2014</v>
      </c>
      <c r="X82" s="413"/>
      <c r="Y82" s="12"/>
      <c r="Z82" s="409" t="str">
        <f>OBRA!M81</f>
        <v>RAMO 33</v>
      </c>
      <c r="AA82" s="12"/>
      <c r="AB82" s="2" t="str">
        <f>OBRA!O81</f>
        <v>ADJUDICACIÓN DIRECTA</v>
      </c>
      <c r="AC82" s="3" t="str">
        <f>OBRA!P81</f>
        <v>ALUMBRADO PUBLICO EN AV. DEL TRABAJO, EN LA DELEGACIÓN DE ZAPOTITAN DE HIDALGO, DEL MUNICIPIO DE JOCOTEPEC, JALISCO</v>
      </c>
      <c r="AD82" s="4">
        <f>OBRA!R81</f>
        <v>887908.66</v>
      </c>
      <c r="AE82" s="6">
        <f>OBRA!S81</f>
        <v>41901</v>
      </c>
      <c r="AF82" s="5">
        <f>OBRA!T81</f>
        <v>41911</v>
      </c>
      <c r="AG82" s="390">
        <f>OBRA!U81</f>
        <v>41954</v>
      </c>
      <c r="AH82" s="52"/>
      <c r="AI82" s="211"/>
      <c r="AJ82" s="242"/>
      <c r="AK82" s="242"/>
      <c r="AL82" s="394"/>
      <c r="AM82" s="519" t="str">
        <f>GRAL!B83</f>
        <v>2012-2015</v>
      </c>
    </row>
    <row r="83" spans="1:39" ht="75.75" hidden="1" thickTop="1">
      <c r="A83" s="158">
        <f>OBRA!J82</f>
        <v>2014</v>
      </c>
      <c r="B83" s="1683"/>
      <c r="C83" s="395"/>
      <c r="D83" s="146"/>
      <c r="E83" s="148"/>
      <c r="F83" s="148"/>
      <c r="G83" s="398"/>
      <c r="H83" s="404" t="str">
        <f>OBRA!AF82</f>
        <v>-</v>
      </c>
      <c r="I83" s="413"/>
      <c r="J83" s="406" t="str">
        <f>OBRA!AG82</f>
        <v>-</v>
      </c>
      <c r="K83" s="401"/>
      <c r="L83" s="404" t="str">
        <f>OBRA!AH82</f>
        <v>-</v>
      </c>
      <c r="M83" s="413"/>
      <c r="N83" s="404" t="str">
        <f>OBRA!AI82</f>
        <v>-</v>
      </c>
      <c r="O83" s="144"/>
      <c r="P83" s="144"/>
      <c r="Q83" s="413"/>
      <c r="R83" s="407" t="str">
        <f>OBRA!AJ82</f>
        <v>-</v>
      </c>
      <c r="S83" s="385"/>
      <c r="T83" s="399" t="str">
        <f>OBRA!W82</f>
        <v>-</v>
      </c>
      <c r="U83" s="408" t="str">
        <f>OBRA!X82</f>
        <v>ING. RIGOBERTO OLMEDO RAMOS</v>
      </c>
      <c r="V83" s="1090"/>
      <c r="W83" s="19" t="str">
        <f>OBRA!N82</f>
        <v>DOP/AD/029/2014</v>
      </c>
      <c r="X83" s="413"/>
      <c r="Y83" s="12"/>
      <c r="Z83" s="409" t="str">
        <f>OBRA!M82</f>
        <v>RAMO 33</v>
      </c>
      <c r="AA83" s="12"/>
      <c r="AB83" s="2" t="str">
        <f>OBRA!O82</f>
        <v>ADMINISTRACIÓN DIRECTA</v>
      </c>
      <c r="AC83" s="3" t="str">
        <f>OBRA!P82</f>
        <v>REHABILITACIÓN DE RED DE DRENAJE EN C. HIDALGO, CON REPOSICIÓN DE EMPEDRADO DE; C. NIÑOS HEROES HASTA ESCUELA J. VICENTE NEGRETE, EN LA AGENCIA MUNICIPAL DE EL MOLINO.</v>
      </c>
      <c r="AD83" s="4">
        <f>OBRA!R82</f>
        <v>295674.09999999998</v>
      </c>
      <c r="AE83" s="6">
        <f>OBRA!S82</f>
        <v>41823</v>
      </c>
      <c r="AF83" s="5">
        <f>OBRA!T82</f>
        <v>41823</v>
      </c>
      <c r="AG83" s="390">
        <f>OBRA!U82</f>
        <v>41850</v>
      </c>
      <c r="AH83" s="52"/>
      <c r="AI83" s="211"/>
      <c r="AJ83" s="242"/>
      <c r="AK83" s="242"/>
      <c r="AL83" s="394"/>
      <c r="AM83" s="519" t="str">
        <f>GRAL!B84</f>
        <v>2012-2015</v>
      </c>
    </row>
    <row r="84" spans="1:39" ht="75.75" hidden="1" thickTop="1">
      <c r="A84" s="158">
        <f>OBRA!J83</f>
        <v>2014</v>
      </c>
      <c r="B84" s="1683"/>
      <c r="C84" s="395"/>
      <c r="D84" s="146"/>
      <c r="E84" s="148"/>
      <c r="F84" s="148"/>
      <c r="G84" s="398"/>
      <c r="H84" s="404" t="str">
        <f>OBRA!AF83</f>
        <v>-</v>
      </c>
      <c r="I84" s="413"/>
      <c r="J84" s="406" t="str">
        <f>OBRA!AG83</f>
        <v>-</v>
      </c>
      <c r="K84" s="401"/>
      <c r="L84" s="404" t="str">
        <f>OBRA!AH83</f>
        <v>-</v>
      </c>
      <c r="M84" s="413"/>
      <c r="N84" s="404" t="str">
        <f>OBRA!AI83</f>
        <v>-</v>
      </c>
      <c r="O84" s="144"/>
      <c r="P84" s="144"/>
      <c r="Q84" s="413"/>
      <c r="R84" s="407" t="str">
        <f>OBRA!AJ83</f>
        <v>-</v>
      </c>
      <c r="S84" s="385"/>
      <c r="T84" s="399" t="str">
        <f>OBRA!W83</f>
        <v>-</v>
      </c>
      <c r="U84" s="408" t="str">
        <f>OBRA!X83</f>
        <v>ING. RIGOBERTO OLMEDO RAMOS</v>
      </c>
      <c r="V84" s="1090"/>
      <c r="W84" s="19" t="str">
        <f>OBRA!N83</f>
        <v>DOP/AD/030/2014</v>
      </c>
      <c r="X84" s="413"/>
      <c r="Y84" s="12"/>
      <c r="Z84" s="409" t="str">
        <f>OBRA!M83</f>
        <v>RAMO 33</v>
      </c>
      <c r="AA84" s="12"/>
      <c r="AB84" s="2" t="str">
        <f>OBRA!O83</f>
        <v>ADMINISTRACIÓN DIRECTA</v>
      </c>
      <c r="AC84" s="3" t="str">
        <f>OBRA!P83</f>
        <v>REHABILITACIÓN DE RED DE AGUA POTABLE EN C. HIDALGO, CON REPOSICIÓN DE EMPEDRADO DE; C. NIÑOS HEROES HASTA ESCUELA J. VICENTE NEGRETE, EN LA AGENCIA MUNICIPAL DE EL MOLINO.</v>
      </c>
      <c r="AD84" s="4">
        <f>OBRA!R83</f>
        <v>220909.46</v>
      </c>
      <c r="AE84" s="6">
        <f>OBRA!S83</f>
        <v>41823</v>
      </c>
      <c r="AF84" s="5">
        <f>OBRA!T83</f>
        <v>41841</v>
      </c>
      <c r="AG84" s="390">
        <f>OBRA!U83</f>
        <v>41881</v>
      </c>
      <c r="AH84" s="52"/>
      <c r="AI84" s="211"/>
      <c r="AJ84" s="242"/>
      <c r="AK84" s="242"/>
      <c r="AL84" s="394"/>
      <c r="AM84" s="519" t="str">
        <f>GRAL!B85</f>
        <v>2012-2015</v>
      </c>
    </row>
    <row r="85" spans="1:39" ht="75.75" hidden="1" thickTop="1">
      <c r="A85" s="158">
        <f>OBRA!J84</f>
        <v>2014</v>
      </c>
      <c r="B85" s="1683"/>
      <c r="C85" s="395"/>
      <c r="D85" s="146"/>
      <c r="E85" s="148"/>
      <c r="F85" s="148"/>
      <c r="G85" s="398"/>
      <c r="H85" s="404" t="str">
        <f>OBRA!AF84</f>
        <v>-</v>
      </c>
      <c r="I85" s="413"/>
      <c r="J85" s="406" t="str">
        <f>OBRA!AG84</f>
        <v>-</v>
      </c>
      <c r="K85" s="401"/>
      <c r="L85" s="404" t="str">
        <f>OBRA!AH84</f>
        <v>-</v>
      </c>
      <c r="M85" s="413"/>
      <c r="N85" s="404" t="str">
        <f>OBRA!AI84</f>
        <v>-</v>
      </c>
      <c r="O85" s="144"/>
      <c r="P85" s="144"/>
      <c r="Q85" s="413"/>
      <c r="R85" s="407" t="str">
        <f>OBRA!AJ84</f>
        <v>-</v>
      </c>
      <c r="S85" s="385"/>
      <c r="T85" s="399" t="str">
        <f>OBRA!W84</f>
        <v>-</v>
      </c>
      <c r="U85" s="408" t="str">
        <f>OBRA!X84</f>
        <v>ING. RIGOBERTO OLMEDO RAMOS</v>
      </c>
      <c r="V85" s="1090"/>
      <c r="W85" s="19" t="str">
        <f>OBRA!N84</f>
        <v>DOP/AD/031/2014</v>
      </c>
      <c r="X85" s="413"/>
      <c r="Y85" s="12"/>
      <c r="Z85" s="409" t="str">
        <f>OBRA!M84</f>
        <v>RAMO 33</v>
      </c>
      <c r="AA85" s="12"/>
      <c r="AB85" s="2" t="str">
        <f>OBRA!O84</f>
        <v>ADMINISTRACIÓN DIRECTA</v>
      </c>
      <c r="AC85" s="3" t="str">
        <f>OBRA!P84</f>
        <v>REHABILITACIÓN DE RED DE DRENAJE EN C. NIÑOS HEROES , CON REPOSICIÓN DE EMPEDRADO DE; C. HIDALGO HASTA ESCUELATELESECUNDARIA NIÑOS HEROES, EN LA AGENCIA MUNICIPAL DE EL MOLINO.</v>
      </c>
      <c r="AD85" s="4">
        <f>OBRA!R84</f>
        <v>200492.77</v>
      </c>
      <c r="AE85" s="6">
        <f>OBRA!S84</f>
        <v>41823</v>
      </c>
      <c r="AF85" s="5">
        <f>OBRA!T84</f>
        <v>41827</v>
      </c>
      <c r="AG85" s="390">
        <f>OBRA!U84</f>
        <v>41881</v>
      </c>
      <c r="AH85" s="52"/>
      <c r="AI85" s="211"/>
      <c r="AJ85" s="242"/>
      <c r="AK85" s="242"/>
      <c r="AL85" s="394"/>
      <c r="AM85" s="519" t="str">
        <f>GRAL!B86</f>
        <v>2012-2015</v>
      </c>
    </row>
    <row r="86" spans="1:39" ht="75.75" hidden="1" thickTop="1">
      <c r="A86" s="158">
        <f>OBRA!J85</f>
        <v>2014</v>
      </c>
      <c r="B86" s="1683"/>
      <c r="C86" s="395"/>
      <c r="D86" s="146"/>
      <c r="E86" s="148"/>
      <c r="F86" s="148"/>
      <c r="G86" s="398"/>
      <c r="H86" s="404" t="str">
        <f>OBRA!AF85</f>
        <v>-</v>
      </c>
      <c r="I86" s="413"/>
      <c r="J86" s="406" t="str">
        <f>OBRA!AG85</f>
        <v>-</v>
      </c>
      <c r="K86" s="401"/>
      <c r="L86" s="404" t="str">
        <f>OBRA!AH85</f>
        <v>-</v>
      </c>
      <c r="M86" s="413"/>
      <c r="N86" s="404" t="str">
        <f>OBRA!AI85</f>
        <v>-</v>
      </c>
      <c r="O86" s="144"/>
      <c r="P86" s="144"/>
      <c r="Q86" s="413"/>
      <c r="R86" s="407" t="str">
        <f>OBRA!AJ85</f>
        <v>-</v>
      </c>
      <c r="S86" s="385"/>
      <c r="T86" s="399" t="str">
        <f>OBRA!W85</f>
        <v>-</v>
      </c>
      <c r="U86" s="408" t="str">
        <f>OBRA!X85</f>
        <v>ING. RIGOBERTO OLMEDO RAMOS</v>
      </c>
      <c r="V86" s="1090"/>
      <c r="W86" s="19" t="str">
        <f>OBRA!N85</f>
        <v>DOP/AD/032/2014</v>
      </c>
      <c r="X86" s="413"/>
      <c r="Y86" s="12"/>
      <c r="Z86" s="409" t="str">
        <f>OBRA!M85</f>
        <v>RAMO 33</v>
      </c>
      <c r="AA86" s="12"/>
      <c r="AB86" s="2" t="str">
        <f>OBRA!O85</f>
        <v>ADMINISTRACIÓN DIRECTA</v>
      </c>
      <c r="AC86" s="3" t="str">
        <f>OBRA!P85</f>
        <v>REHABILITACIÓN DE RED DE AGUA POTABLE EN C. NIÑOS HEROES , CON REPOSICIÓN DE EMPEDRADO DE; C. HIDALGO HASTA ESCUELA TELESECUNDARIA NIÑOS HEROES, EN LA AGENCIA MUNICIPAL DE EL MOLINO.</v>
      </c>
      <c r="AD86" s="4">
        <f>OBRA!R85</f>
        <v>191497.02</v>
      </c>
      <c r="AE86" s="6">
        <f>OBRA!S85</f>
        <v>41823</v>
      </c>
      <c r="AF86" s="5">
        <f>OBRA!T85</f>
        <v>41865</v>
      </c>
      <c r="AG86" s="390">
        <f>OBRA!U85</f>
        <v>41881</v>
      </c>
      <c r="AH86" s="52"/>
      <c r="AI86" s="211"/>
      <c r="AJ86" s="242"/>
      <c r="AK86" s="242"/>
      <c r="AL86" s="394"/>
      <c r="AM86" s="519" t="str">
        <f>GRAL!B87</f>
        <v>2012-2015</v>
      </c>
    </row>
    <row r="87" spans="1:39" ht="75.75" hidden="1" thickTop="1">
      <c r="A87" s="158">
        <f>OBRA!J86</f>
        <v>2014</v>
      </c>
      <c r="B87" s="1683"/>
      <c r="C87" s="395"/>
      <c r="D87" s="146"/>
      <c r="E87" s="148"/>
      <c r="F87" s="148"/>
      <c r="G87" s="398"/>
      <c r="H87" s="404" t="str">
        <f>OBRA!AF86</f>
        <v>-</v>
      </c>
      <c r="I87" s="413"/>
      <c r="J87" s="406" t="str">
        <f>OBRA!AG86</f>
        <v>-</v>
      </c>
      <c r="K87" s="401"/>
      <c r="L87" s="404" t="str">
        <f>OBRA!AH86</f>
        <v>-</v>
      </c>
      <c r="M87" s="413"/>
      <c r="N87" s="404" t="str">
        <f>OBRA!AI86</f>
        <v>-</v>
      </c>
      <c r="O87" s="144"/>
      <c r="P87" s="144"/>
      <c r="Q87" s="413"/>
      <c r="R87" s="407" t="str">
        <f>OBRA!AJ86</f>
        <v>-</v>
      </c>
      <c r="S87" s="385"/>
      <c r="T87" s="399" t="str">
        <f>OBRA!W86</f>
        <v>-</v>
      </c>
      <c r="U87" s="408" t="str">
        <f>OBRA!X86</f>
        <v>ING. RIGOBERTO OLMEDO RAMOS</v>
      </c>
      <c r="V87" s="1090"/>
      <c r="W87" s="19" t="str">
        <f>OBRA!N86</f>
        <v>DOP/AD/033/2014</v>
      </c>
      <c r="X87" s="413"/>
      <c r="Y87" s="12"/>
      <c r="Z87" s="409" t="str">
        <f>OBRA!M86</f>
        <v>RAMO 33</v>
      </c>
      <c r="AA87" s="12"/>
      <c r="AB87" s="2" t="str">
        <f>OBRA!O86</f>
        <v>ADMINISTRACIÓN DIRECTA</v>
      </c>
      <c r="AC87" s="3" t="str">
        <f>OBRA!P86</f>
        <v>REHABILITACIÓN DE RED DE DRENAJE EN C. VICENTE SUAREZ, CON REPOSICIÓN DE EMPEDRADO; ENTRE C. INDEPENDENCIA Y NIÑOS HEROES, EN LA AGENCIA MUNICIPAL DE EL MOLINO.</v>
      </c>
      <c r="AD87" s="4">
        <f>OBRA!R86</f>
        <v>278434.27</v>
      </c>
      <c r="AE87" s="6">
        <f>OBRA!S86</f>
        <v>41823</v>
      </c>
      <c r="AF87" s="5">
        <f>OBRA!T86</f>
        <v>41848</v>
      </c>
      <c r="AG87" s="390">
        <f>OBRA!U86</f>
        <v>41912</v>
      </c>
      <c r="AH87" s="52"/>
      <c r="AI87" s="211"/>
      <c r="AJ87" s="242"/>
      <c r="AK87" s="242"/>
      <c r="AL87" s="394"/>
      <c r="AM87" s="519" t="str">
        <f>GRAL!B88</f>
        <v>2012-2015</v>
      </c>
    </row>
    <row r="88" spans="1:39" ht="75.75" hidden="1" thickTop="1">
      <c r="A88" s="158">
        <f>OBRA!J87</f>
        <v>2014</v>
      </c>
      <c r="B88" s="1683"/>
      <c r="C88" s="395"/>
      <c r="D88" s="146"/>
      <c r="E88" s="148"/>
      <c r="F88" s="148"/>
      <c r="G88" s="398"/>
      <c r="H88" s="404" t="str">
        <f>OBRA!AF87</f>
        <v>-</v>
      </c>
      <c r="I88" s="413"/>
      <c r="J88" s="406" t="str">
        <f>OBRA!AG87</f>
        <v>-</v>
      </c>
      <c r="K88" s="401"/>
      <c r="L88" s="404" t="str">
        <f>OBRA!AH87</f>
        <v>-</v>
      </c>
      <c r="M88" s="413"/>
      <c r="N88" s="404" t="str">
        <f>OBRA!AI87</f>
        <v>-</v>
      </c>
      <c r="O88" s="144"/>
      <c r="P88" s="144"/>
      <c r="Q88" s="413"/>
      <c r="R88" s="407" t="str">
        <f>OBRA!AJ87</f>
        <v>-</v>
      </c>
      <c r="S88" s="385"/>
      <c r="T88" s="399" t="str">
        <f>OBRA!W87</f>
        <v>-</v>
      </c>
      <c r="U88" s="408" t="str">
        <f>OBRA!X87</f>
        <v>ING. RIGOBERTO OLMEDO RAMOS</v>
      </c>
      <c r="V88" s="1090"/>
      <c r="W88" s="19" t="str">
        <f>OBRA!N87</f>
        <v>DOP/AD/034/2014</v>
      </c>
      <c r="X88" s="413"/>
      <c r="Y88" s="12"/>
      <c r="Z88" s="409" t="str">
        <f>OBRA!M87</f>
        <v>RAMO 33</v>
      </c>
      <c r="AA88" s="12"/>
      <c r="AB88" s="2" t="str">
        <f>OBRA!O87</f>
        <v>ADMINISTRACIÓN DIRECTA</v>
      </c>
      <c r="AC88" s="3" t="str">
        <f>OBRA!P87</f>
        <v>REHABILITACIÓN DE RED DE AGUA POTABLE EN C. VICENTE SUAREZ, CON REPOSICIÓN DE EMPEDRADO; ENTRE C. INDEPENDENCIA Y NIÑOS HEROES, EN LA AGENCIA MUNICIPAL DE EL MOLINO.</v>
      </c>
      <c r="AD88" s="4">
        <f>OBRA!R87</f>
        <v>231798.06</v>
      </c>
      <c r="AE88" s="6">
        <f>OBRA!S87</f>
        <v>41823</v>
      </c>
      <c r="AF88" s="5">
        <f>OBRA!T87</f>
        <v>41862</v>
      </c>
      <c r="AG88" s="390">
        <f>OBRA!U87</f>
        <v>41912</v>
      </c>
      <c r="AH88" s="52"/>
      <c r="AI88" s="211"/>
      <c r="AJ88" s="242"/>
      <c r="AK88" s="242"/>
      <c r="AL88" s="394"/>
      <c r="AM88" s="519" t="str">
        <f>GRAL!B89</f>
        <v>2012-2015</v>
      </c>
    </row>
    <row r="89" spans="1:39" ht="105.75" hidden="1" thickTop="1">
      <c r="A89" s="158">
        <f>OBRA!J88</f>
        <v>2014</v>
      </c>
      <c r="B89" s="1683"/>
      <c r="C89" s="395"/>
      <c r="D89" s="146"/>
      <c r="E89" s="148"/>
      <c r="F89" s="148"/>
      <c r="G89" s="398"/>
      <c r="H89" s="404" t="str">
        <f>OBRA!AF88</f>
        <v>-</v>
      </c>
      <c r="I89" s="413"/>
      <c r="J89" s="406" t="str">
        <f>OBRA!AG88</f>
        <v>-</v>
      </c>
      <c r="K89" s="401"/>
      <c r="L89" s="404" t="str">
        <f>OBRA!AH88</f>
        <v>-</v>
      </c>
      <c r="M89" s="413"/>
      <c r="N89" s="404" t="str">
        <f>OBRA!AI88</f>
        <v>-</v>
      </c>
      <c r="O89" s="144"/>
      <c r="P89" s="144"/>
      <c r="Q89" s="413"/>
      <c r="R89" s="407" t="str">
        <f>OBRA!AJ88</f>
        <v>-</v>
      </c>
      <c r="S89" s="385"/>
      <c r="T89" s="399" t="str">
        <f>OBRA!W88</f>
        <v>JOSE LUIS RANGEL GALVEZ</v>
      </c>
      <c r="U89" s="408" t="str">
        <f>OBRA!X88</f>
        <v>C. DANIEL RODRIGUEZ VALENZUELA</v>
      </c>
      <c r="V89" s="1090"/>
      <c r="W89" s="19" t="str">
        <f>OBRA!N88</f>
        <v>GMJ 006C OP/2014</v>
      </c>
      <c r="X89" s="413"/>
      <c r="Y89" s="12"/>
      <c r="Z89" s="409" t="str">
        <f>OBRA!M88</f>
        <v>CUENTA CORRIENTE</v>
      </c>
      <c r="AA89" s="12"/>
      <c r="AB89" s="2" t="str">
        <f>OBRA!O88</f>
        <v>ADJUDICACIÓN DIRECTA</v>
      </c>
      <c r="AC89" s="3" t="str">
        <f>OBRA!P88</f>
        <v>CONSTRUCCION DE BANQUETAS EN LA CALLE MORELOS ENTRE C. MATAMOROS Y C. GUADALUPE VICTORIA, (2 LADOS) NORTE Y SUR, CONSTRUCCIONDE BANQUETS EN  LA CALLE MORELOS ENTRE C. HIDALGO Y JOSEFA ORTIZ DE DOMINGUEZ, (1 LADO) NORTE EN LA CABECERA MUNICIPAL DE JOCOTEPEC, JALISCO</v>
      </c>
      <c r="AD89" s="4">
        <f>OBRA!R88</f>
        <v>425152.03</v>
      </c>
      <c r="AE89" s="6">
        <f>OBRA!S88</f>
        <v>41901</v>
      </c>
      <c r="AF89" s="5">
        <f>OBRA!T88</f>
        <v>41904</v>
      </c>
      <c r="AG89" s="390">
        <f>OBRA!U88</f>
        <v>41941</v>
      </c>
      <c r="AH89" s="52"/>
      <c r="AI89" s="211"/>
      <c r="AJ89" s="242"/>
      <c r="AK89" s="242"/>
      <c r="AL89" s="394"/>
      <c r="AM89" s="519" t="str">
        <f>GRAL!B90</f>
        <v>2012-2015</v>
      </c>
    </row>
    <row r="90" spans="1:39" ht="60.75" hidden="1" thickTop="1">
      <c r="A90" s="158">
        <f>OBRA!J89</f>
        <v>2014</v>
      </c>
      <c r="B90" s="1683"/>
      <c r="C90" s="395"/>
      <c r="D90" s="146"/>
      <c r="E90" s="148"/>
      <c r="F90" s="148"/>
      <c r="G90" s="398"/>
      <c r="H90" s="404" t="str">
        <f>OBRA!AF89</f>
        <v>-</v>
      </c>
      <c r="I90" s="413"/>
      <c r="J90" s="406" t="str">
        <f>OBRA!AG89</f>
        <v>-</v>
      </c>
      <c r="K90" s="401"/>
      <c r="L90" s="404" t="str">
        <f>OBRA!AH89</f>
        <v>-</v>
      </c>
      <c r="M90" s="413"/>
      <c r="N90" s="404" t="str">
        <f>OBRA!AI89</f>
        <v>-</v>
      </c>
      <c r="O90" s="144"/>
      <c r="P90" s="144"/>
      <c r="Q90" s="413"/>
      <c r="R90" s="407" t="str">
        <f>OBRA!AJ89</f>
        <v>-</v>
      </c>
      <c r="S90" s="385"/>
      <c r="T90" s="399" t="str">
        <f>OBRA!W89</f>
        <v>-</v>
      </c>
      <c r="U90" s="408" t="str">
        <f>OBRA!X89</f>
        <v>C. DANIEL RODRIGUEZ VALENZUELA</v>
      </c>
      <c r="V90" s="1090"/>
      <c r="W90" s="19" t="str">
        <f>OBRA!N89</f>
        <v>DOP/AD/039/2014</v>
      </c>
      <c r="X90" s="413"/>
      <c r="Y90" s="12"/>
      <c r="Z90" s="409" t="str">
        <f>OBRA!M89</f>
        <v>CUENTA CORRIENTE</v>
      </c>
      <c r="AA90" s="12"/>
      <c r="AB90" s="2" t="str">
        <f>OBRA!O89</f>
        <v>ADMINISTRACIÓN DIRECTA</v>
      </c>
      <c r="AC90" s="3" t="str">
        <f>OBRA!P89</f>
        <v>CONSTRUCCION DE PLAZOLETA EN CALLE HIDALGO, EN LA DELEGACION DE SAN PERO TESISTAN, DEL MUNICIPIO DE JOCOTEPEC, JALISCO</v>
      </c>
      <c r="AD90" s="4">
        <f>OBRA!R89</f>
        <v>40000</v>
      </c>
      <c r="AE90" s="6">
        <f>OBRA!S89</f>
        <v>41974</v>
      </c>
      <c r="AF90" s="5">
        <f>OBRA!T89</f>
        <v>41976</v>
      </c>
      <c r="AG90" s="390">
        <f>OBRA!U89</f>
        <v>41997</v>
      </c>
      <c r="AH90" s="52"/>
      <c r="AI90" s="211"/>
      <c r="AJ90" s="242"/>
      <c r="AK90" s="242"/>
      <c r="AL90" s="394"/>
      <c r="AM90" s="519" t="str">
        <f>GRAL!B91</f>
        <v>2012-2015</v>
      </c>
    </row>
    <row r="91" spans="1:39" ht="30.75" hidden="1" thickTop="1">
      <c r="A91" s="158">
        <f>OBRA!J90</f>
        <v>2014</v>
      </c>
      <c r="B91" s="1683"/>
      <c r="C91" s="395"/>
      <c r="D91" s="146"/>
      <c r="E91" s="148"/>
      <c r="F91" s="148"/>
      <c r="G91" s="398"/>
      <c r="H91" s="404" t="str">
        <f>OBRA!AF90</f>
        <v>-</v>
      </c>
      <c r="I91" s="413"/>
      <c r="J91" s="406" t="str">
        <f>OBRA!AG90</f>
        <v>-</v>
      </c>
      <c r="K91" s="401"/>
      <c r="L91" s="404" t="str">
        <f>OBRA!AH90</f>
        <v>-</v>
      </c>
      <c r="M91" s="413"/>
      <c r="N91" s="404" t="str">
        <f>OBRA!AI90</f>
        <v>-</v>
      </c>
      <c r="O91" s="144"/>
      <c r="P91" s="144"/>
      <c r="Q91" s="413"/>
      <c r="R91" s="407" t="str">
        <f>OBRA!AJ90</f>
        <v>-</v>
      </c>
      <c r="S91" s="385"/>
      <c r="T91" s="399" t="str">
        <f>OBRA!W90</f>
        <v>-</v>
      </c>
      <c r="U91" s="408">
        <f>OBRA!X90</f>
        <v>0</v>
      </c>
      <c r="V91" s="1090"/>
      <c r="W91" s="19" t="str">
        <f>OBRA!N90</f>
        <v>DOP/AD/040/2014</v>
      </c>
      <c r="X91" s="413"/>
      <c r="Y91" s="12"/>
      <c r="Z91" s="409" t="str">
        <f>OBRA!M90</f>
        <v>CUENTA CORRIENTE</v>
      </c>
      <c r="AA91" s="12"/>
      <c r="AB91" s="2" t="str">
        <f>OBRA!O90</f>
        <v>ADMINISTRACIÓN DIRECTA</v>
      </c>
      <c r="AC91" s="3" t="str">
        <f>OBRA!P90</f>
        <v>APOYO PARA LA CONSTRUCCION DE ESCATOPISTAS EN EL MALECON</v>
      </c>
      <c r="AD91" s="4">
        <f>OBRA!R90</f>
        <v>15000</v>
      </c>
      <c r="AE91" s="6">
        <f>OBRA!S90</f>
        <v>41974</v>
      </c>
      <c r="AF91" s="5">
        <f>OBRA!T90</f>
        <v>41981</v>
      </c>
      <c r="AG91" s="390">
        <f>OBRA!U90</f>
        <v>41995</v>
      </c>
      <c r="AH91" s="52"/>
      <c r="AI91" s="211"/>
      <c r="AJ91" s="242"/>
      <c r="AK91" s="242"/>
      <c r="AL91" s="394"/>
      <c r="AM91" s="519" t="str">
        <f>GRAL!B92</f>
        <v>2012-2015</v>
      </c>
    </row>
    <row r="92" spans="1:39" ht="45.75" hidden="1" thickTop="1">
      <c r="A92" s="158">
        <f>OBRA!J91</f>
        <v>2014</v>
      </c>
      <c r="B92" s="1683"/>
      <c r="C92" s="395"/>
      <c r="D92" s="146"/>
      <c r="E92" s="148"/>
      <c r="F92" s="148"/>
      <c r="G92" s="398"/>
      <c r="H92" s="404" t="str">
        <f>OBRA!AF91</f>
        <v>-</v>
      </c>
      <c r="I92" s="413"/>
      <c r="J92" s="406" t="str">
        <f>OBRA!AG91</f>
        <v>-</v>
      </c>
      <c r="K92" s="401"/>
      <c r="L92" s="404" t="str">
        <f>OBRA!AH91</f>
        <v>-</v>
      </c>
      <c r="M92" s="413"/>
      <c r="N92" s="404" t="str">
        <f>OBRA!AI91</f>
        <v>-</v>
      </c>
      <c r="O92" s="144"/>
      <c r="P92" s="144"/>
      <c r="Q92" s="413"/>
      <c r="R92" s="407" t="str">
        <f>OBRA!AJ91</f>
        <v>-</v>
      </c>
      <c r="S92" s="385"/>
      <c r="T92" s="399" t="str">
        <f>OBRA!W91</f>
        <v>-</v>
      </c>
      <c r="U92" s="408">
        <f>OBRA!X91</f>
        <v>0</v>
      </c>
      <c r="V92" s="1090"/>
      <c r="W92" s="19" t="str">
        <f>OBRA!N91</f>
        <v>DOP/AD/041/2014</v>
      </c>
      <c r="X92" s="413"/>
      <c r="Y92" s="12"/>
      <c r="Z92" s="409" t="str">
        <f>OBRA!M91</f>
        <v>CUENTA CORRIENTE</v>
      </c>
      <c r="AA92" s="12"/>
      <c r="AB92" s="2" t="str">
        <f>OBRA!O91</f>
        <v>ADMINISTRACIÓN DIRECTA</v>
      </c>
      <c r="AC92" s="3" t="str">
        <f>OBRA!P91</f>
        <v>DEMOLICION Y REUBICACION DE NICHO DE IMAGEN RELIGIOSA EN PRIVADA ALLENDE ESQUINA MORELOS, EN AGENCIA DE CHANTEPEC</v>
      </c>
      <c r="AD92" s="4">
        <f>OBRA!R91</f>
        <v>15000</v>
      </c>
      <c r="AE92" s="6">
        <f>OBRA!S91</f>
        <v>41974</v>
      </c>
      <c r="AF92" s="5">
        <f>OBRA!T91</f>
        <v>41981</v>
      </c>
      <c r="AG92" s="390">
        <f>OBRA!U91</f>
        <v>41988</v>
      </c>
      <c r="AH92" s="52"/>
      <c r="AI92" s="211"/>
      <c r="AJ92" s="242"/>
      <c r="AK92" s="242"/>
      <c r="AL92" s="394"/>
      <c r="AM92" s="519" t="str">
        <f>GRAL!B93</f>
        <v>2012-2015</v>
      </c>
    </row>
    <row r="93" spans="1:39" ht="45.75" hidden="1" thickTop="1">
      <c r="A93" s="158">
        <f>OBRA!J92</f>
        <v>2014</v>
      </c>
      <c r="B93" s="1683"/>
      <c r="C93" s="395"/>
      <c r="D93" s="146"/>
      <c r="E93" s="148"/>
      <c r="F93" s="148"/>
      <c r="G93" s="398"/>
      <c r="H93" s="404" t="str">
        <f>OBRA!AF92</f>
        <v>-</v>
      </c>
      <c r="I93" s="413"/>
      <c r="J93" s="406" t="str">
        <f>OBRA!AG92</f>
        <v>-</v>
      </c>
      <c r="K93" s="401"/>
      <c r="L93" s="404" t="str">
        <f>OBRA!AH92</f>
        <v>-</v>
      </c>
      <c r="M93" s="413"/>
      <c r="N93" s="404" t="str">
        <f>OBRA!AI92</f>
        <v>-</v>
      </c>
      <c r="O93" s="144"/>
      <c r="P93" s="144"/>
      <c r="Q93" s="413"/>
      <c r="R93" s="407" t="str">
        <f>OBRA!AJ92</f>
        <v>-</v>
      </c>
      <c r="S93" s="385"/>
      <c r="T93" s="399" t="str">
        <f>OBRA!W92</f>
        <v>SIOP</v>
      </c>
      <c r="U93" s="408" t="str">
        <f>OBRA!X92</f>
        <v>SIOP</v>
      </c>
      <c r="V93" s="1090"/>
      <c r="W93" s="19" t="str">
        <f>OBRA!N92</f>
        <v>CONT X ESTADO</v>
      </c>
      <c r="X93" s="413"/>
      <c r="Y93" s="12"/>
      <c r="Z93" s="409" t="str">
        <f>OBRA!M92</f>
        <v>FISE</v>
      </c>
      <c r="AA93" s="12"/>
      <c r="AB93" s="2" t="str">
        <f>OBRA!O92</f>
        <v>CONT X ESTADO</v>
      </c>
      <c r="AC93" s="3" t="str">
        <f>OBRA!P92</f>
        <v>CONSTRUCCION DE RED DE AGUA POTABLE, DRENAJE SANITARIO Y/O ELECTRIFICACIÓN EN AV. TULE, ZAPOTITAN DE HIDALGO</v>
      </c>
      <c r="AD93" s="4" t="str">
        <f>OBRA!R92</f>
        <v>-</v>
      </c>
      <c r="AE93" s="6" t="str">
        <f>OBRA!S92</f>
        <v>-</v>
      </c>
      <c r="AF93" s="5" t="str">
        <f>OBRA!T92</f>
        <v>-</v>
      </c>
      <c r="AG93" s="390" t="str">
        <f>OBRA!U92</f>
        <v>-</v>
      </c>
      <c r="AH93" s="52"/>
      <c r="AI93" s="211"/>
      <c r="AJ93" s="242"/>
      <c r="AK93" s="242"/>
      <c r="AL93" s="394"/>
      <c r="AM93" s="519" t="str">
        <f>GRAL!B94</f>
        <v>2012-2015</v>
      </c>
    </row>
    <row r="94" spans="1:39" ht="45.75" hidden="1" thickTop="1">
      <c r="A94" s="158">
        <f>OBRA!J93</f>
        <v>2014</v>
      </c>
      <c r="B94" s="1683"/>
      <c r="C94" s="395"/>
      <c r="D94" s="146"/>
      <c r="E94" s="148"/>
      <c r="F94" s="148"/>
      <c r="G94" s="398"/>
      <c r="H94" s="404" t="str">
        <f>OBRA!AF93</f>
        <v>-</v>
      </c>
      <c r="I94" s="413"/>
      <c r="J94" s="406" t="str">
        <f>OBRA!AG93</f>
        <v>-</v>
      </c>
      <c r="K94" s="401"/>
      <c r="L94" s="404" t="str">
        <f>OBRA!AH93</f>
        <v>-</v>
      </c>
      <c r="M94" s="413"/>
      <c r="N94" s="404" t="str">
        <f>OBRA!AI93</f>
        <v>-</v>
      </c>
      <c r="O94" s="144"/>
      <c r="P94" s="144"/>
      <c r="Q94" s="413"/>
      <c r="R94" s="407" t="str">
        <f>OBRA!AJ93</f>
        <v>-</v>
      </c>
      <c r="S94" s="385"/>
      <c r="T94" s="399" t="str">
        <f>OBRA!W93</f>
        <v>SIOP</v>
      </c>
      <c r="U94" s="408" t="str">
        <f>OBRA!X93</f>
        <v>SIOP</v>
      </c>
      <c r="V94" s="1090"/>
      <c r="W94" s="19" t="str">
        <f>OBRA!N93</f>
        <v>CONT X ESTADO</v>
      </c>
      <c r="X94" s="413"/>
      <c r="Y94" s="12"/>
      <c r="Z94" s="409" t="str">
        <f>OBRA!M93</f>
        <v>FISE</v>
      </c>
      <c r="AA94" s="12"/>
      <c r="AB94" s="2" t="str">
        <f>OBRA!O93</f>
        <v>CONT X ESTADO</v>
      </c>
      <c r="AC94" s="3" t="str">
        <f>OBRA!P93</f>
        <v>CONSTRUCCION DE RED DE AGUA POTABLE, DRENAJE SANITARIO Y/O ELECTRIFICACIÓN EN AV. TULE 2, ZAPOTITAN DE HIDALGO</v>
      </c>
      <c r="AD94" s="4" t="str">
        <f>OBRA!R93</f>
        <v>-</v>
      </c>
      <c r="AE94" s="6" t="str">
        <f>OBRA!S93</f>
        <v>-</v>
      </c>
      <c r="AF94" s="5" t="str">
        <f>OBRA!T93</f>
        <v>-</v>
      </c>
      <c r="AG94" s="390" t="str">
        <f>OBRA!U93</f>
        <v>-</v>
      </c>
      <c r="AH94" s="52"/>
      <c r="AI94" s="211"/>
      <c r="AJ94" s="242"/>
      <c r="AK94" s="242"/>
      <c r="AL94" s="394"/>
      <c r="AM94" s="519" t="str">
        <f>GRAL!B95</f>
        <v>2012-2015</v>
      </c>
    </row>
    <row r="95" spans="1:39" ht="45.75" hidden="1" thickTop="1">
      <c r="A95" s="158">
        <f>OBRA!J94</f>
        <v>2014</v>
      </c>
      <c r="B95" s="1683"/>
      <c r="C95" s="395"/>
      <c r="D95" s="146"/>
      <c r="E95" s="148"/>
      <c r="F95" s="148"/>
      <c r="G95" s="398"/>
      <c r="H95" s="404" t="str">
        <f>OBRA!AF94</f>
        <v>-</v>
      </c>
      <c r="I95" s="413"/>
      <c r="J95" s="406" t="str">
        <f>OBRA!AG94</f>
        <v>-</v>
      </c>
      <c r="K95" s="401"/>
      <c r="L95" s="404" t="str">
        <f>OBRA!AH94</f>
        <v>-</v>
      </c>
      <c r="M95" s="413"/>
      <c r="N95" s="404" t="str">
        <f>OBRA!AI94</f>
        <v>-</v>
      </c>
      <c r="O95" s="144"/>
      <c r="P95" s="144"/>
      <c r="Q95" s="413"/>
      <c r="R95" s="407" t="str">
        <f>OBRA!AJ94</f>
        <v>-</v>
      </c>
      <c r="S95" s="385"/>
      <c r="T95" s="399" t="str">
        <f>OBRA!W94</f>
        <v>SIOP</v>
      </c>
      <c r="U95" s="408" t="str">
        <f>OBRA!X94</f>
        <v>SIOP</v>
      </c>
      <c r="V95" s="1090"/>
      <c r="W95" s="19" t="str">
        <f>OBRA!N94</f>
        <v>CONT X ESTADO</v>
      </c>
      <c r="X95" s="413"/>
      <c r="Y95" s="12"/>
      <c r="Z95" s="409" t="str">
        <f>OBRA!M94</f>
        <v>FISE</v>
      </c>
      <c r="AA95" s="12"/>
      <c r="AB95" s="2" t="str">
        <f>OBRA!O94</f>
        <v>CONT X ESTADO</v>
      </c>
      <c r="AC95" s="3" t="str">
        <f>OBRA!P94</f>
        <v>CONSTRUCCION DE RED DE AGUA POTABLE, DRENAJE SANITARIO Y/O ELECTRIFICACIÓN EN C. FRATERNIDAD, ZAPOTITAN DE HIDALGO</v>
      </c>
      <c r="AD95" s="4" t="str">
        <f>OBRA!R94</f>
        <v>-</v>
      </c>
      <c r="AE95" s="6" t="str">
        <f>OBRA!S94</f>
        <v>-</v>
      </c>
      <c r="AF95" s="5" t="str">
        <f>OBRA!T94</f>
        <v>-</v>
      </c>
      <c r="AG95" s="390" t="str">
        <f>OBRA!U94</f>
        <v>-</v>
      </c>
      <c r="AH95" s="52"/>
      <c r="AI95" s="211"/>
      <c r="AJ95" s="242"/>
      <c r="AK95" s="242"/>
      <c r="AL95" s="394"/>
      <c r="AM95" s="519" t="str">
        <f>GRAL!B96</f>
        <v>2012-2015</v>
      </c>
    </row>
    <row r="96" spans="1:39" ht="45.75" hidden="1" thickTop="1">
      <c r="A96" s="158">
        <f>OBRA!J95</f>
        <v>2015</v>
      </c>
      <c r="B96" s="1683"/>
      <c r="C96" s="395"/>
      <c r="D96" s="146"/>
      <c r="E96" s="148"/>
      <c r="F96" s="148"/>
      <c r="G96" s="398"/>
      <c r="H96" s="404" t="str">
        <f>OBRA!AF95</f>
        <v>-</v>
      </c>
      <c r="I96" s="413"/>
      <c r="J96" s="406" t="str">
        <f>OBRA!AG95</f>
        <v>-</v>
      </c>
      <c r="K96" s="401"/>
      <c r="L96" s="404" t="str">
        <f>OBRA!AH95</f>
        <v>-</v>
      </c>
      <c r="M96" s="413"/>
      <c r="N96" s="404" t="str">
        <f>OBRA!AI95</f>
        <v>-</v>
      </c>
      <c r="O96" s="144"/>
      <c r="P96" s="144"/>
      <c r="Q96" s="413"/>
      <c r="R96" s="407" t="str">
        <f>OBRA!AJ95</f>
        <v>-</v>
      </c>
      <c r="S96" s="385"/>
      <c r="T96" s="399" t="str">
        <f>OBRA!W95</f>
        <v>C. EFRAIN GONZALEZ CRUZ</v>
      </c>
      <c r="U96" s="408" t="str">
        <f>OBRA!X95</f>
        <v>ING. RIGOBERTO OLMEDO RAMOS</v>
      </c>
      <c r="V96" s="1090"/>
      <c r="W96" s="19" t="str">
        <f>OBRA!N95</f>
        <v>GMJ 001C OP/2015</v>
      </c>
      <c r="X96" s="413"/>
      <c r="Y96" s="12"/>
      <c r="Z96" s="409" t="str">
        <f>OBRA!M95</f>
        <v>RAMO 33</v>
      </c>
      <c r="AA96" s="12"/>
      <c r="AB96" s="2" t="str">
        <f>OBRA!O95</f>
        <v>ADJUDICACIÓN DIRECTA</v>
      </c>
      <c r="AC96" s="3" t="str">
        <f>OBRA!P95</f>
        <v>ELECTRIFICACIÓN DE MEDIA Y BAJA TENSION EN EL BARRIO "LA BECERRERA", EN LA AGENCIA DE EL MOLINO</v>
      </c>
      <c r="AD96" s="4">
        <f>OBRA!R95</f>
        <v>265913.18</v>
      </c>
      <c r="AE96" s="6">
        <f>OBRA!S95</f>
        <v>42010</v>
      </c>
      <c r="AF96" s="5">
        <f>OBRA!T95</f>
        <v>42016</v>
      </c>
      <c r="AG96" s="390">
        <f>OBRA!U95</f>
        <v>42030</v>
      </c>
      <c r="AH96" s="52"/>
      <c r="AI96" s="211"/>
      <c r="AJ96" s="242"/>
      <c r="AK96" s="242"/>
      <c r="AL96" s="394"/>
      <c r="AM96" s="519" t="str">
        <f>GRAL!B97</f>
        <v>2012-2015</v>
      </c>
    </row>
    <row r="97" spans="1:39" ht="60.75" hidden="1" thickTop="1">
      <c r="A97" s="158">
        <f>OBRA!J96</f>
        <v>2015</v>
      </c>
      <c r="B97" s="1683"/>
      <c r="C97" s="395"/>
      <c r="D97" s="146"/>
      <c r="E97" s="148"/>
      <c r="F97" s="148"/>
      <c r="G97" s="398"/>
      <c r="H97" s="404" t="str">
        <f>OBRA!AF96</f>
        <v>-</v>
      </c>
      <c r="I97" s="413"/>
      <c r="J97" s="406" t="str">
        <f>OBRA!AG96</f>
        <v>-</v>
      </c>
      <c r="K97" s="401"/>
      <c r="L97" s="404" t="str">
        <f>OBRA!AH96</f>
        <v>-</v>
      </c>
      <c r="M97" s="413"/>
      <c r="N97" s="404" t="str">
        <f>OBRA!AI96</f>
        <v>-</v>
      </c>
      <c r="O97" s="144"/>
      <c r="P97" s="144"/>
      <c r="Q97" s="413"/>
      <c r="R97" s="407" t="str">
        <f>OBRA!AJ96</f>
        <v>-</v>
      </c>
      <c r="S97" s="385"/>
      <c r="T97" s="399" t="str">
        <f>OBRA!W96</f>
        <v>HIDRAULICOS TRUJILLO S.A. DE C.V.</v>
      </c>
      <c r="U97" s="408" t="str">
        <f>OBRA!X96</f>
        <v>ING. RIGOBERTO OLMEDO RAMOS</v>
      </c>
      <c r="V97" s="1090"/>
      <c r="W97" s="19" t="str">
        <f>OBRA!N96</f>
        <v>GMJ 002C OP/2015</v>
      </c>
      <c r="X97" s="413"/>
      <c r="Y97" s="12"/>
      <c r="Z97" s="409" t="str">
        <f>OBRA!M96</f>
        <v>CUENTA CORRIENTE</v>
      </c>
      <c r="AA97" s="12"/>
      <c r="AB97" s="2" t="str">
        <f>OBRA!O96</f>
        <v>ADJUDICACIÓN DIRECTA</v>
      </c>
      <c r="AC97" s="3" t="str">
        <f>OBRA!P96</f>
        <v>CONEXIÓN DE DRENAJE A PLANTA DE TRATAMIENTO PARALELO A CARRETERA CHAPALA-JOCOTEPEC, EN LA LOCALIDD DE: SAN JUAN COSALA</v>
      </c>
      <c r="AD97" s="4">
        <f>OBRA!R96</f>
        <v>95412.78</v>
      </c>
      <c r="AE97" s="6">
        <f>OBRA!S96</f>
        <v>42006</v>
      </c>
      <c r="AF97" s="5">
        <f>OBRA!T96</f>
        <v>42006</v>
      </c>
      <c r="AG97" s="390">
        <f>OBRA!U96</f>
        <v>42015</v>
      </c>
      <c r="AH97" s="52"/>
      <c r="AI97" s="211"/>
      <c r="AJ97" s="242"/>
      <c r="AK97" s="242"/>
      <c r="AL97" s="394"/>
      <c r="AM97" s="519" t="str">
        <f>GRAL!B98</f>
        <v>2012-2015</v>
      </c>
    </row>
    <row r="98" spans="1:39" s="299" customFormat="1" ht="129" hidden="1" customHeight="1" thickTop="1">
      <c r="A98" s="300">
        <f>OBRA!J97</f>
        <v>2015</v>
      </c>
      <c r="B98" s="1682"/>
      <c r="C98" s="767" t="s">
        <v>68</v>
      </c>
      <c r="D98" s="301" t="s">
        <v>68</v>
      </c>
      <c r="E98" s="302" t="s">
        <v>68</v>
      </c>
      <c r="F98" s="302" t="s">
        <v>68</v>
      </c>
      <c r="G98" s="768" t="s">
        <v>2341</v>
      </c>
      <c r="H98" s="303">
        <f>OBRA!AF97</f>
        <v>42037</v>
      </c>
      <c r="I98" s="768" t="s">
        <v>2342</v>
      </c>
      <c r="J98" s="769">
        <f>OBRA!AG97</f>
        <v>42038</v>
      </c>
      <c r="K98" s="770" t="s">
        <v>68</v>
      </c>
      <c r="L98" s="303" t="str">
        <f>OBRA!AH97</f>
        <v>-</v>
      </c>
      <c r="M98" s="768" t="s">
        <v>1459</v>
      </c>
      <c r="N98" s="303">
        <f>OBRA!AI97</f>
        <v>42045</v>
      </c>
      <c r="O98" s="323" t="s">
        <v>2302</v>
      </c>
      <c r="P98" s="303" t="s">
        <v>68</v>
      </c>
      <c r="Q98" s="768" t="s">
        <v>2343</v>
      </c>
      <c r="R98" s="771">
        <f>OBRA!AJ97</f>
        <v>42045</v>
      </c>
      <c r="S98" s="447" t="s">
        <v>2344</v>
      </c>
      <c r="T98" s="302" t="str">
        <f>OBRA!W97</f>
        <v>G I LANDING S.A. DE C.V.</v>
      </c>
      <c r="U98" s="772" t="str">
        <f>OBRA!X97</f>
        <v>C. DANIEL RODRIGUEZ VALENZUELA</v>
      </c>
      <c r="V98" s="301"/>
      <c r="W98" s="439" t="str">
        <f>OBRA!N97</f>
        <v>GMJ 003C OP/2015</v>
      </c>
      <c r="X98" s="768" t="s">
        <v>1456</v>
      </c>
      <c r="Y98" s="298" t="s">
        <v>68</v>
      </c>
      <c r="Z98" s="298" t="str">
        <f>OBRA!M97</f>
        <v>RAMO 33</v>
      </c>
      <c r="AA98" s="298" t="s">
        <v>2320</v>
      </c>
      <c r="AB98" s="291" t="str">
        <f>OBRA!O97</f>
        <v>INVITACIÓN</v>
      </c>
      <c r="AC98" s="292" t="str">
        <f>OBRA!P97</f>
        <v>PERFORACIÓN, ADEME, AFORO, ELECTRIFICACIÓN Y EQUIPAMIENTO DE POZO PROFUNDO Y CONSTRUCCION DE CASETA DE CONTROL EN LA AGENCIA DE SAN LUCIANO</v>
      </c>
      <c r="AD98" s="293">
        <f>OBRA!R97</f>
        <v>2359096.67</v>
      </c>
      <c r="AE98" s="294">
        <f>OBRA!S97</f>
        <v>42046</v>
      </c>
      <c r="AF98" s="295">
        <f>OBRA!T97</f>
        <v>42051</v>
      </c>
      <c r="AG98" s="389">
        <f>OBRA!U97</f>
        <v>42080</v>
      </c>
      <c r="AH98" s="854"/>
      <c r="AI98" s="290" t="s">
        <v>2310</v>
      </c>
      <c r="AJ98" s="429" t="s">
        <v>1428</v>
      </c>
      <c r="AK98" s="768" t="s">
        <v>1460</v>
      </c>
      <c r="AL98" s="779" t="s">
        <v>2345</v>
      </c>
      <c r="AM98" s="353" t="str">
        <f>GRAL!B99</f>
        <v>2012-2015</v>
      </c>
    </row>
    <row r="99" spans="1:39" ht="45.75" hidden="1" thickTop="1">
      <c r="A99" s="158">
        <f>OBRA!J98</f>
        <v>2015</v>
      </c>
      <c r="B99" s="1683"/>
      <c r="C99" s="395"/>
      <c r="D99" s="146"/>
      <c r="E99" s="148"/>
      <c r="F99" s="148"/>
      <c r="G99" s="398"/>
      <c r="H99" s="404" t="str">
        <f>OBRA!AF98</f>
        <v>-</v>
      </c>
      <c r="I99" s="400"/>
      <c r="J99" s="406" t="str">
        <f>OBRA!AG98</f>
        <v>-</v>
      </c>
      <c r="K99" s="401"/>
      <c r="L99" s="404" t="str">
        <f>OBRA!AH98</f>
        <v>-</v>
      </c>
      <c r="M99" s="402"/>
      <c r="N99" s="404" t="str">
        <f>OBRA!AI98</f>
        <v>-</v>
      </c>
      <c r="O99" s="144"/>
      <c r="P99" s="144"/>
      <c r="Q99" s="401"/>
      <c r="R99" s="407" t="str">
        <f>OBRA!AJ98</f>
        <v>-</v>
      </c>
      <c r="S99" s="385"/>
      <c r="T99" s="399" t="str">
        <f>OBRA!W98</f>
        <v>GECLAN, S.A. DE C.V.</v>
      </c>
      <c r="U99" s="408" t="str">
        <f>OBRA!X98</f>
        <v>C. DANIEL RODRIGUEZ VALENZUELA</v>
      </c>
      <c r="V99" s="1090"/>
      <c r="W99" s="19" t="str">
        <f>OBRA!N98</f>
        <v>GMJ 004C OP/2015</v>
      </c>
      <c r="X99" s="12"/>
      <c r="Y99" s="12"/>
      <c r="Z99" s="409" t="str">
        <f>OBRA!M98</f>
        <v>RAMO 33</v>
      </c>
      <c r="AA99" s="12"/>
      <c r="AB99" s="2" t="str">
        <f>OBRA!O98</f>
        <v>ADJUDICACIÓN DIRECTA</v>
      </c>
      <c r="AC99" s="3" t="str">
        <f>OBRA!P98</f>
        <v>ELECTRIFICACIÓN DE POZO PROFUNDO  EN LA AGENCIA DE SAN LUCIANO</v>
      </c>
      <c r="AD99" s="4">
        <f>OBRA!R98</f>
        <v>260536.84</v>
      </c>
      <c r="AE99" s="6">
        <f>OBRA!S98</f>
        <v>42209</v>
      </c>
      <c r="AF99" s="5">
        <f>OBRA!T98</f>
        <v>42212</v>
      </c>
      <c r="AG99" s="390">
        <f>OBRA!U98</f>
        <v>42225</v>
      </c>
      <c r="AH99" s="52"/>
      <c r="AI99" s="211"/>
      <c r="AJ99" s="242"/>
      <c r="AK99" s="242"/>
      <c r="AL99" s="394"/>
      <c r="AM99" s="519" t="str">
        <f>GRAL!B100</f>
        <v>2012-2015</v>
      </c>
    </row>
    <row r="100" spans="1:39" ht="60.75" hidden="1" thickTop="1">
      <c r="A100" s="158">
        <f>OBRA!J99</f>
        <v>2015</v>
      </c>
      <c r="B100" s="1683"/>
      <c r="C100" s="395"/>
      <c r="D100" s="146"/>
      <c r="E100" s="148"/>
      <c r="F100" s="148"/>
      <c r="G100" s="398"/>
      <c r="H100" s="404" t="str">
        <f>OBRA!AF99</f>
        <v>-</v>
      </c>
      <c r="I100" s="400"/>
      <c r="J100" s="406" t="str">
        <f>OBRA!AG99</f>
        <v>-</v>
      </c>
      <c r="K100" s="401"/>
      <c r="L100" s="404" t="str">
        <f>OBRA!AH99</f>
        <v>-</v>
      </c>
      <c r="M100" s="402"/>
      <c r="N100" s="404" t="str">
        <f>OBRA!AI99</f>
        <v>-</v>
      </c>
      <c r="O100" s="144"/>
      <c r="P100" s="144"/>
      <c r="Q100" s="401"/>
      <c r="R100" s="407" t="str">
        <f>OBRA!AJ99</f>
        <v>-</v>
      </c>
      <c r="S100" s="385"/>
      <c r="T100" s="399" t="str">
        <f>OBRA!W99</f>
        <v>C. EFRAIN GONZALEZ CRUZ</v>
      </c>
      <c r="U100" s="408" t="str">
        <f>OBRA!X99</f>
        <v>ING. RIGOBERTO OLMEDO RAMOS</v>
      </c>
      <c r="V100" s="1090"/>
      <c r="W100" s="19" t="str">
        <f>OBRA!N99</f>
        <v>GMJ 005C OP/2015</v>
      </c>
      <c r="X100" s="12"/>
      <c r="Y100" s="12"/>
      <c r="Z100" s="409" t="str">
        <f>OBRA!M99</f>
        <v>RAMO 33</v>
      </c>
      <c r="AA100" s="12"/>
      <c r="AB100" s="2" t="str">
        <f>OBRA!O99</f>
        <v>ADJUDICACIÓN DIRECTA</v>
      </c>
      <c r="AC100" s="3" t="str">
        <f>OBRA!P99</f>
        <v>ELECTRIFICACIÓN DE MEDIA Y BAJA TENSION EN CALLES RAMÓN CORONA Y 12 DE OCTUBRE (BARRIO MEZQUITITO 1ER. ETAPA) EN LA DELEGACIÓN DE POTRERILLOS</v>
      </c>
      <c r="AD100" s="4">
        <f>OBRA!R99</f>
        <v>307899.96000000002</v>
      </c>
      <c r="AE100" s="6">
        <f>OBRA!S99</f>
        <v>42047</v>
      </c>
      <c r="AF100" s="5">
        <f>OBRA!T99</f>
        <v>42051</v>
      </c>
      <c r="AG100" s="390">
        <f>OBRA!U99</f>
        <v>42065</v>
      </c>
      <c r="AH100" s="52"/>
      <c r="AI100" s="211"/>
      <c r="AJ100" s="242"/>
      <c r="AK100" s="242"/>
      <c r="AL100" s="394"/>
      <c r="AM100" s="519" t="str">
        <f>GRAL!B101</f>
        <v>2012-2015</v>
      </c>
    </row>
    <row r="101" spans="1:39" ht="45.75" hidden="1" thickTop="1">
      <c r="A101" s="158">
        <f>OBRA!J100</f>
        <v>2015</v>
      </c>
      <c r="B101" s="1683"/>
      <c r="C101" s="395"/>
      <c r="D101" s="146"/>
      <c r="E101" s="148"/>
      <c r="F101" s="148"/>
      <c r="G101" s="398"/>
      <c r="H101" s="404" t="str">
        <f>OBRA!AF100</f>
        <v>-</v>
      </c>
      <c r="I101" s="400"/>
      <c r="J101" s="406" t="str">
        <f>OBRA!AG100</f>
        <v>-</v>
      </c>
      <c r="K101" s="401"/>
      <c r="L101" s="404" t="str">
        <f>OBRA!AH100</f>
        <v>-</v>
      </c>
      <c r="M101" s="402"/>
      <c r="N101" s="404" t="str">
        <f>OBRA!AI100</f>
        <v>-</v>
      </c>
      <c r="O101" s="144"/>
      <c r="P101" s="144"/>
      <c r="Q101" s="401"/>
      <c r="R101" s="407" t="str">
        <f>OBRA!AJ100</f>
        <v>-</v>
      </c>
      <c r="S101" s="385"/>
      <c r="T101" s="399" t="str">
        <f>OBRA!W100</f>
        <v>C. EFRAIN GONZALEZ CRUZ</v>
      </c>
      <c r="U101" s="408" t="str">
        <f>OBRA!X100</f>
        <v>ING. RIGOBERTO OLMEDO RAMOS</v>
      </c>
      <c r="V101" s="1090"/>
      <c r="W101" s="19" t="str">
        <f>OBRA!N100</f>
        <v>GMJ 006C OP/2015</v>
      </c>
      <c r="X101" s="12"/>
      <c r="Y101" s="12"/>
      <c r="Z101" s="409" t="str">
        <f>OBRA!M100</f>
        <v>RAMO 33</v>
      </c>
      <c r="AA101" s="12"/>
      <c r="AB101" s="2" t="str">
        <f>OBRA!O100</f>
        <v>ADJUDICACIÓN DIRECTA</v>
      </c>
      <c r="AC101" s="3" t="str">
        <f>OBRA!P100</f>
        <v>ELECTRIFICACIÓN DE MEDIA Y BAJA TENSION EN EL BARRIO "LA BECERRERA" 2DA ETAPA, EN LA AGENCIA DE EL MOLINO</v>
      </c>
      <c r="AD101" s="4">
        <f>OBRA!R100</f>
        <v>422690.66</v>
      </c>
      <c r="AE101" s="6">
        <f>OBRA!S100</f>
        <v>42109</v>
      </c>
      <c r="AF101" s="5">
        <f>OBRA!T100</f>
        <v>42114</v>
      </c>
      <c r="AG101" s="390">
        <f>OBRA!U100</f>
        <v>42128</v>
      </c>
      <c r="AH101" s="52"/>
      <c r="AI101" s="211"/>
      <c r="AJ101" s="242"/>
      <c r="AK101" s="242"/>
      <c r="AL101" s="394"/>
      <c r="AM101" s="519" t="str">
        <f>GRAL!B102</f>
        <v>2012-2015</v>
      </c>
    </row>
    <row r="102" spans="1:39" ht="30.75" hidden="1" thickTop="1">
      <c r="A102" s="158">
        <f>OBRA!J101</f>
        <v>2015</v>
      </c>
      <c r="B102" s="1683"/>
      <c r="C102" s="395"/>
      <c r="D102" s="146"/>
      <c r="E102" s="148"/>
      <c r="F102" s="148"/>
      <c r="G102" s="398"/>
      <c r="H102" s="404" t="str">
        <f>OBRA!AF101</f>
        <v>-</v>
      </c>
      <c r="I102" s="400"/>
      <c r="J102" s="406" t="str">
        <f>OBRA!AG101</f>
        <v>-</v>
      </c>
      <c r="K102" s="401"/>
      <c r="L102" s="404" t="str">
        <f>OBRA!AH101</f>
        <v>-</v>
      </c>
      <c r="M102" s="402"/>
      <c r="N102" s="404" t="str">
        <f>OBRA!AI101</f>
        <v>-</v>
      </c>
      <c r="O102" s="144"/>
      <c r="P102" s="144"/>
      <c r="Q102" s="401"/>
      <c r="R102" s="407" t="str">
        <f>OBRA!AJ101</f>
        <v>-</v>
      </c>
      <c r="S102" s="385"/>
      <c r="T102" s="399" t="str">
        <f>OBRA!W101</f>
        <v>C. EFRAIN GONZALEZ CRUZ</v>
      </c>
      <c r="U102" s="408" t="str">
        <f>OBRA!X101</f>
        <v>ING. RIGOBERTO OLMEDO RAMOS</v>
      </c>
      <c r="V102" s="1090"/>
      <c r="W102" s="19" t="str">
        <f>OBRA!N101</f>
        <v>GMJ 011C OP/2015</v>
      </c>
      <c r="X102" s="12"/>
      <c r="Y102" s="12"/>
      <c r="Z102" s="409" t="str">
        <f>OBRA!M101</f>
        <v>RAMO 33</v>
      </c>
      <c r="AA102" s="12"/>
      <c r="AB102" s="2" t="str">
        <f>OBRA!O101</f>
        <v>ADJUDICACIÓN DIRECTA</v>
      </c>
      <c r="AC102" s="3" t="str">
        <f>OBRA!P101</f>
        <v>ALUMBRADO PUBLICO AL INGRESO DEL POBLADO DE HUEJOTITAN</v>
      </c>
      <c r="AD102" s="4">
        <f>OBRA!R101</f>
        <v>1182630</v>
      </c>
      <c r="AE102" s="6">
        <f>OBRA!S101</f>
        <v>42209</v>
      </c>
      <c r="AF102" s="5">
        <f>OBRA!T101</f>
        <v>42212</v>
      </c>
      <c r="AG102" s="390">
        <f>OBRA!U101</f>
        <v>42239</v>
      </c>
      <c r="AH102" s="52"/>
      <c r="AI102" s="211"/>
      <c r="AJ102" s="242"/>
      <c r="AK102" s="242"/>
      <c r="AL102" s="394"/>
      <c r="AM102" s="519" t="str">
        <f>GRAL!B103</f>
        <v>2012-2015</v>
      </c>
    </row>
    <row r="103" spans="1:39" s="104" customFormat="1" ht="30.75" hidden="1" thickTop="1">
      <c r="A103" s="830">
        <f>OBRA!J102</f>
        <v>2015</v>
      </c>
      <c r="B103" s="1684"/>
      <c r="C103" s="831"/>
      <c r="D103" s="147"/>
      <c r="E103" s="149"/>
      <c r="F103" s="149"/>
      <c r="G103" s="832"/>
      <c r="H103" s="150" t="str">
        <f>OBRA!AF102</f>
        <v>-</v>
      </c>
      <c r="I103" s="417"/>
      <c r="J103" s="110" t="str">
        <f>OBRA!AG102</f>
        <v>-</v>
      </c>
      <c r="K103" s="834"/>
      <c r="L103" s="150" t="str">
        <f>OBRA!AH102</f>
        <v>-</v>
      </c>
      <c r="M103" s="833"/>
      <c r="N103" s="150" t="str">
        <f>OBRA!AI102</f>
        <v>-</v>
      </c>
      <c r="O103" s="150"/>
      <c r="P103" s="150"/>
      <c r="Q103" s="834"/>
      <c r="R103" s="420" t="str">
        <f>OBRA!AJ102</f>
        <v>-</v>
      </c>
      <c r="S103" s="103"/>
      <c r="T103" s="149" t="str">
        <f>OBRA!W102</f>
        <v>-</v>
      </c>
      <c r="U103" s="152">
        <f>OBRA!X102</f>
        <v>0</v>
      </c>
      <c r="V103" s="147"/>
      <c r="W103" s="829" t="str">
        <f>OBRA!N102</f>
        <v>GMJ 011C OP/2015</v>
      </c>
      <c r="X103" s="103"/>
      <c r="Y103" s="103"/>
      <c r="Z103" s="103" t="str">
        <f>OBRA!M102</f>
        <v>CUENTA CORRIENTE</v>
      </c>
      <c r="AA103" s="103"/>
      <c r="AB103" s="186" t="str">
        <f>OBRA!O102</f>
        <v>CANCELADA</v>
      </c>
      <c r="AC103" s="106" t="str">
        <f>OBRA!P102</f>
        <v>AMPLIACIÓN DE ELECTRIFICACION EN BARRIO EL TORIL DE ZAPOTITAN DE HIDALGO</v>
      </c>
      <c r="AD103" s="86">
        <f>OBRA!R102</f>
        <v>0</v>
      </c>
      <c r="AE103" s="87" t="s">
        <v>68</v>
      </c>
      <c r="AF103" s="88" t="s">
        <v>68</v>
      </c>
      <c r="AG103" s="391" t="s">
        <v>68</v>
      </c>
      <c r="AH103" s="101"/>
      <c r="AI103" s="84"/>
      <c r="AJ103" s="96"/>
      <c r="AK103" s="96"/>
      <c r="AL103" s="97"/>
      <c r="AM103" s="354" t="str">
        <f>GRAL!B104</f>
        <v>2012-2015</v>
      </c>
    </row>
    <row r="104" spans="1:39" ht="60.75" hidden="1" thickTop="1">
      <c r="A104" s="158">
        <f>OBRA!J103</f>
        <v>2015</v>
      </c>
      <c r="B104" s="1683"/>
      <c r="C104" s="395"/>
      <c r="D104" s="146"/>
      <c r="E104" s="148"/>
      <c r="F104" s="148"/>
      <c r="G104" s="398"/>
      <c r="H104" s="404" t="str">
        <f>OBRA!AF103</f>
        <v>-</v>
      </c>
      <c r="I104" s="400"/>
      <c r="J104" s="406" t="str">
        <f>OBRA!AG103</f>
        <v>-</v>
      </c>
      <c r="K104" s="401"/>
      <c r="L104" s="404" t="str">
        <f>OBRA!AH103</f>
        <v>-</v>
      </c>
      <c r="M104" s="402"/>
      <c r="N104" s="404" t="str">
        <f>OBRA!AI103</f>
        <v>-</v>
      </c>
      <c r="O104" s="144"/>
      <c r="P104" s="144"/>
      <c r="Q104" s="401"/>
      <c r="R104" s="407" t="str">
        <f>OBRA!AJ103</f>
        <v>-</v>
      </c>
      <c r="S104" s="385"/>
      <c r="T104" s="399" t="str">
        <f>OBRA!W103</f>
        <v>-</v>
      </c>
      <c r="U104" s="408" t="str">
        <f>OBRA!X103</f>
        <v>ING. RIGOBERTO OLMEDO RAMOS</v>
      </c>
      <c r="V104" s="1090"/>
      <c r="W104" s="19" t="str">
        <f>OBRA!N103</f>
        <v>DOP/AD/001/2015</v>
      </c>
      <c r="X104" s="12"/>
      <c r="Y104" s="12"/>
      <c r="Z104" s="409" t="str">
        <f>OBRA!M103</f>
        <v>CUENTA CORRIENTE</v>
      </c>
      <c r="AA104" s="12"/>
      <c r="AB104" s="2" t="str">
        <f>OBRA!O103</f>
        <v>ADMINISTRACIÓN DIRECTA</v>
      </c>
      <c r="AC104" s="3" t="str">
        <f>OBRA!P103</f>
        <v>BACHEO CON MEZCLA ASFALTICA CALIENTE EN LAS CALLES ALLENDE, JUAREZ, HIDALGO Y PERO MORENO, EN LA DELEGCION DE ZAPOTITAN DE HIDALGO</v>
      </c>
      <c r="AD104" s="4">
        <f>OBRA!R103</f>
        <v>92000</v>
      </c>
      <c r="AE104" s="6">
        <f>OBRA!S103</f>
        <v>42128</v>
      </c>
      <c r="AF104" s="5">
        <f>OBRA!T103</f>
        <v>42128</v>
      </c>
      <c r="AG104" s="390">
        <f>OBRA!U103</f>
        <v>42133</v>
      </c>
      <c r="AH104" s="52"/>
      <c r="AI104" s="211"/>
      <c r="AJ104" s="242"/>
      <c r="AK104" s="242"/>
      <c r="AL104" s="394"/>
      <c r="AM104" s="519" t="str">
        <f>GRAL!B105</f>
        <v>2012-2015</v>
      </c>
    </row>
    <row r="105" spans="1:39" ht="60.75" hidden="1" thickTop="1">
      <c r="A105" s="158">
        <f>OBRA!J104</f>
        <v>2015</v>
      </c>
      <c r="B105" s="1683"/>
      <c r="C105" s="395"/>
      <c r="D105" s="146"/>
      <c r="E105" s="148"/>
      <c r="F105" s="148"/>
      <c r="G105" s="398"/>
      <c r="H105" s="404" t="str">
        <f>OBRA!AF104</f>
        <v>-</v>
      </c>
      <c r="I105" s="400"/>
      <c r="J105" s="406" t="str">
        <f>OBRA!AG104</f>
        <v>-</v>
      </c>
      <c r="K105" s="401"/>
      <c r="L105" s="404" t="str">
        <f>OBRA!AH104</f>
        <v>-</v>
      </c>
      <c r="M105" s="402"/>
      <c r="N105" s="404" t="str">
        <f>OBRA!AI104</f>
        <v>-</v>
      </c>
      <c r="O105" s="144"/>
      <c r="P105" s="144"/>
      <c r="Q105" s="401"/>
      <c r="R105" s="407" t="str">
        <f>OBRA!AJ104</f>
        <v>-</v>
      </c>
      <c r="S105" s="385"/>
      <c r="T105" s="399" t="str">
        <f>OBRA!W104</f>
        <v>-</v>
      </c>
      <c r="U105" s="408" t="str">
        <f>OBRA!X104</f>
        <v>JUAN CARLOS NAVARRO ROSALES</v>
      </c>
      <c r="V105" s="1090"/>
      <c r="W105" s="19" t="str">
        <f>OBRA!N104</f>
        <v>DOP/AD/002/2015</v>
      </c>
      <c r="X105" s="12"/>
      <c r="Y105" s="12"/>
      <c r="Z105" s="409" t="str">
        <f>OBRA!M104</f>
        <v>CUENTA CORRIENTE</v>
      </c>
      <c r="AA105" s="12"/>
      <c r="AB105" s="2" t="str">
        <f>OBRA!O104</f>
        <v>ADMINISTRACIÓN DIRECTA</v>
      </c>
      <c r="AC105" s="3" t="str">
        <f>OBRA!P104</f>
        <v>CONSTRUCCION DE RED DE DRENAJE EN C. ZARAGOZA DE PRIVADA ZARAGOZA A AVENIDA DEL TRABAJO, EN LA DELEGACION DE SAN CRISTOBAL ZAPOTITLAN</v>
      </c>
      <c r="AD105" s="4">
        <f>OBRA!R104</f>
        <v>180484.7</v>
      </c>
      <c r="AE105" s="6">
        <f>OBRA!S104</f>
        <v>42186</v>
      </c>
      <c r="AF105" s="5">
        <f>OBRA!T104</f>
        <v>42186</v>
      </c>
      <c r="AG105" s="390">
        <f>OBRA!U104</f>
        <v>42195</v>
      </c>
      <c r="AH105" s="52"/>
      <c r="AI105" s="211"/>
      <c r="AJ105" s="242"/>
      <c r="AK105" s="242"/>
      <c r="AL105" s="394"/>
      <c r="AM105" s="519" t="str">
        <f>GRAL!B106</f>
        <v>2012-2015</v>
      </c>
    </row>
    <row r="106" spans="1:39" ht="60.75" hidden="1" thickTop="1">
      <c r="A106" s="158">
        <f>OBRA!J105</f>
        <v>2015</v>
      </c>
      <c r="B106" s="1683"/>
      <c r="C106" s="395"/>
      <c r="D106" s="146"/>
      <c r="E106" s="148"/>
      <c r="F106" s="148"/>
      <c r="G106" s="398"/>
      <c r="H106" s="404" t="str">
        <f>OBRA!AF105</f>
        <v>-</v>
      </c>
      <c r="I106" s="400"/>
      <c r="J106" s="406" t="str">
        <f>OBRA!AG105</f>
        <v>-</v>
      </c>
      <c r="K106" s="401"/>
      <c r="L106" s="404" t="str">
        <f>OBRA!AH105</f>
        <v>-</v>
      </c>
      <c r="M106" s="402"/>
      <c r="N106" s="404" t="str">
        <f>OBRA!AI105</f>
        <v>-</v>
      </c>
      <c r="O106" s="144"/>
      <c r="P106" s="144"/>
      <c r="Q106" s="401"/>
      <c r="R106" s="407" t="str">
        <f>OBRA!AJ105</f>
        <v>-</v>
      </c>
      <c r="S106" s="385"/>
      <c r="T106" s="399" t="str">
        <f>OBRA!W105</f>
        <v>-</v>
      </c>
      <c r="U106" s="408" t="str">
        <f>OBRA!X105</f>
        <v>JUAN CARLOS NAVARRO ROSALES</v>
      </c>
      <c r="V106" s="1090"/>
      <c r="W106" s="19" t="str">
        <f>OBRA!N105</f>
        <v>DOP/AD/003/2015</v>
      </c>
      <c r="X106" s="12"/>
      <c r="Y106" s="12"/>
      <c r="Z106" s="409" t="str">
        <f>OBRA!M105</f>
        <v>CUENTA CORRIENTE</v>
      </c>
      <c r="AA106" s="12"/>
      <c r="AB106" s="2" t="str">
        <f>OBRA!O105</f>
        <v>ADMINISTRACIÓN DIRECTA</v>
      </c>
      <c r="AC106" s="3" t="str">
        <f>OBRA!P105</f>
        <v>CONSTRUCCION DE RED DE DRENAJE EN PRIVADA ZARAGOZA ENTRE VICENTE GUERRERO Y C. ZARAGOZA A AVENIDA DEL TRABAJO EN LA DELEGACION DE SAN CRISTOBAL ZAPOTITLAN</v>
      </c>
      <c r="AD106" s="4">
        <f>OBRA!R105</f>
        <v>117631.84</v>
      </c>
      <c r="AE106" s="6">
        <f>OBRA!S105</f>
        <v>42186</v>
      </c>
      <c r="AF106" s="5">
        <f>OBRA!T105</f>
        <v>42186</v>
      </c>
      <c r="AG106" s="390">
        <f>OBRA!U105</f>
        <v>42195</v>
      </c>
      <c r="AH106" s="52"/>
      <c r="AI106" s="211"/>
      <c r="AJ106" s="242"/>
      <c r="AK106" s="242"/>
      <c r="AL106" s="394"/>
      <c r="AM106" s="519" t="str">
        <f>GRAL!B107</f>
        <v>2012-2015</v>
      </c>
    </row>
    <row r="107" spans="1:39" ht="60.75" hidden="1" thickTop="1">
      <c r="A107" s="158">
        <f>OBRA!J106</f>
        <v>2015</v>
      </c>
      <c r="B107" s="1683"/>
      <c r="C107" s="395"/>
      <c r="D107" s="146"/>
      <c r="E107" s="148"/>
      <c r="F107" s="148"/>
      <c r="G107" s="398"/>
      <c r="H107" s="404" t="str">
        <f>OBRA!AF106</f>
        <v>-</v>
      </c>
      <c r="I107" s="400"/>
      <c r="J107" s="406" t="str">
        <f>OBRA!AG106</f>
        <v>-</v>
      </c>
      <c r="K107" s="401"/>
      <c r="L107" s="404" t="str">
        <f>OBRA!AH106</f>
        <v>-</v>
      </c>
      <c r="M107" s="402"/>
      <c r="N107" s="404" t="str">
        <f>OBRA!AI106</f>
        <v>-</v>
      </c>
      <c r="O107" s="144"/>
      <c r="P107" s="144"/>
      <c r="Q107" s="401"/>
      <c r="R107" s="407" t="str">
        <f>OBRA!AJ106</f>
        <v>-</v>
      </c>
      <c r="S107" s="385"/>
      <c r="T107" s="399" t="str">
        <f>OBRA!W106</f>
        <v>-</v>
      </c>
      <c r="U107" s="408" t="str">
        <f>OBRA!X106</f>
        <v>JUAN CARLOS NAVARRO ROSALES</v>
      </c>
      <c r="V107" s="1090"/>
      <c r="W107" s="19" t="str">
        <f>OBRA!N106</f>
        <v>DOP/AD/004/2015</v>
      </c>
      <c r="X107" s="12"/>
      <c r="Y107" s="12"/>
      <c r="Z107" s="409" t="str">
        <f>OBRA!M106</f>
        <v>RAMO 33</v>
      </c>
      <c r="AA107" s="12"/>
      <c r="AB107" s="2" t="str">
        <f>OBRA!O106</f>
        <v>ADMINISTRACIÓN DIRECTA</v>
      </c>
      <c r="AC107" s="3" t="str">
        <f>OBRA!P106</f>
        <v>CONSTRUCCION DE RED DE DRENAJE EN C. VENUSTIANO CARRANZA Y JAVIER MINA DE C. ITURBIDE  A FRANCISCO VILLA, EN LA CABECERA MUNICIPAL</v>
      </c>
      <c r="AD107" s="4">
        <f>OBRA!R106</f>
        <v>315420.59999999998</v>
      </c>
      <c r="AE107" s="6">
        <f>OBRA!S106</f>
        <v>42193</v>
      </c>
      <c r="AF107" s="5">
        <f>OBRA!T106</f>
        <v>42193</v>
      </c>
      <c r="AG107" s="390">
        <f>OBRA!U106</f>
        <v>42200</v>
      </c>
      <c r="AH107" s="52"/>
      <c r="AI107" s="211"/>
      <c r="AJ107" s="242"/>
      <c r="AK107" s="242"/>
      <c r="AL107" s="394"/>
      <c r="AM107" s="519" t="str">
        <f>GRAL!B108</f>
        <v>2012-2015</v>
      </c>
    </row>
    <row r="108" spans="1:39" ht="45.75" hidden="1" thickTop="1">
      <c r="A108" s="158">
        <f>OBRA!J107</f>
        <v>2015</v>
      </c>
      <c r="B108" s="1683"/>
      <c r="C108" s="395"/>
      <c r="D108" s="146"/>
      <c r="E108" s="148"/>
      <c r="F108" s="148"/>
      <c r="G108" s="398"/>
      <c r="H108" s="404" t="str">
        <f>OBRA!AF107</f>
        <v>-</v>
      </c>
      <c r="I108" s="400"/>
      <c r="J108" s="406" t="str">
        <f>OBRA!AG107</f>
        <v>-</v>
      </c>
      <c r="K108" s="401"/>
      <c r="L108" s="404" t="str">
        <f>OBRA!AH107</f>
        <v>-</v>
      </c>
      <c r="M108" s="402"/>
      <c r="N108" s="404" t="str">
        <f>OBRA!AI107</f>
        <v>-</v>
      </c>
      <c r="O108" s="144"/>
      <c r="P108" s="144"/>
      <c r="Q108" s="401"/>
      <c r="R108" s="407" t="str">
        <f>OBRA!AJ107</f>
        <v>-</v>
      </c>
      <c r="S108" s="385"/>
      <c r="T108" s="399" t="str">
        <f>OBRA!W107</f>
        <v>-</v>
      </c>
      <c r="U108" s="408" t="str">
        <f>OBRA!X107</f>
        <v>JUAN CARLOS NAVARRO ROSALES</v>
      </c>
      <c r="V108" s="1090"/>
      <c r="W108" s="19" t="str">
        <f>OBRA!N107</f>
        <v>DOP/AD/005/2015</v>
      </c>
      <c r="X108" s="12"/>
      <c r="Y108" s="12"/>
      <c r="Z108" s="409" t="str">
        <f>OBRA!M107</f>
        <v>RAMO 33</v>
      </c>
      <c r="AA108" s="12"/>
      <c r="AB108" s="2" t="str">
        <f>OBRA!O107</f>
        <v>ADMINISTRACIÓN DIRECTA</v>
      </c>
      <c r="AC108" s="3" t="str">
        <f>OBRA!P107</f>
        <v>CONSTRUCCION DE RED DE DRENAJE EN C. 21 DE MARZO E ITURBIDE DE C. VERANO A 20 DE NOVIEMBRE, EN LA CABECERA MUNICIPAL</v>
      </c>
      <c r="AD108" s="4">
        <f>OBRA!R107</f>
        <v>144879.81</v>
      </c>
      <c r="AE108" s="6">
        <f>OBRA!S107</f>
        <v>42201</v>
      </c>
      <c r="AF108" s="5">
        <f>OBRA!T107</f>
        <v>42201</v>
      </c>
      <c r="AG108" s="390">
        <f>OBRA!U107</f>
        <v>42216</v>
      </c>
      <c r="AH108" s="52"/>
      <c r="AI108" s="211"/>
      <c r="AJ108" s="242"/>
      <c r="AK108" s="242"/>
      <c r="AL108" s="394"/>
      <c r="AM108" s="519" t="str">
        <f>GRAL!B109</f>
        <v>2012-2015</v>
      </c>
    </row>
    <row r="109" spans="1:39" ht="45.75" hidden="1" thickTop="1">
      <c r="A109" s="158">
        <f>OBRA!J108</f>
        <v>2015</v>
      </c>
      <c r="B109" s="1683"/>
      <c r="C109" s="395"/>
      <c r="D109" s="146"/>
      <c r="E109" s="148"/>
      <c r="F109" s="148"/>
      <c r="G109" s="398"/>
      <c r="H109" s="404" t="str">
        <f>OBRA!AF108</f>
        <v>-</v>
      </c>
      <c r="I109" s="400"/>
      <c r="J109" s="406" t="str">
        <f>OBRA!AG108</f>
        <v>-</v>
      </c>
      <c r="K109" s="401"/>
      <c r="L109" s="404" t="str">
        <f>OBRA!AH108</f>
        <v>-</v>
      </c>
      <c r="M109" s="402"/>
      <c r="N109" s="404" t="str">
        <f>OBRA!AI108</f>
        <v>-</v>
      </c>
      <c r="O109" s="144"/>
      <c r="P109" s="144"/>
      <c r="Q109" s="401"/>
      <c r="R109" s="407" t="str">
        <f>OBRA!AJ108</f>
        <v>-</v>
      </c>
      <c r="S109" s="385"/>
      <c r="T109" s="399" t="str">
        <f>OBRA!W108</f>
        <v>-</v>
      </c>
      <c r="U109" s="408" t="str">
        <f>OBRA!X108</f>
        <v>JUAN CARLOS NAVARRO ROSALES</v>
      </c>
      <c r="V109" s="1090"/>
      <c r="W109" s="19" t="str">
        <f>OBRA!N108</f>
        <v>DOP/AD/006/2015</v>
      </c>
      <c r="X109" s="12"/>
      <c r="Y109" s="12"/>
      <c r="Z109" s="409" t="str">
        <f>OBRA!M108</f>
        <v>RAMO 33</v>
      </c>
      <c r="AA109" s="12"/>
      <c r="AB109" s="2" t="str">
        <f>OBRA!O108</f>
        <v>ADMINISTRACIÓN DIRECTA</v>
      </c>
      <c r="AC109" s="3" t="str">
        <f>OBRA!P108</f>
        <v>CONSTRUCCION DE RED DE DRENAJE EN LA PRIVADA VERANO, EN LA CABECERA MUNICIPAL</v>
      </c>
      <c r="AD109" s="4">
        <f>OBRA!R108</f>
        <v>74934.460000000006</v>
      </c>
      <c r="AE109" s="6">
        <f>OBRA!S108</f>
        <v>42201</v>
      </c>
      <c r="AF109" s="5">
        <f>OBRA!T108</f>
        <v>42201</v>
      </c>
      <c r="AG109" s="390">
        <f>OBRA!U108</f>
        <v>42216</v>
      </c>
      <c r="AH109" s="52"/>
      <c r="AI109" s="211"/>
      <c r="AJ109" s="242"/>
      <c r="AK109" s="242"/>
      <c r="AL109" s="394"/>
      <c r="AM109" s="519" t="str">
        <f>GRAL!B110</f>
        <v>2012-2015</v>
      </c>
    </row>
    <row r="110" spans="1:39" ht="45.75" hidden="1" thickTop="1">
      <c r="A110" s="158">
        <f>OBRA!J109</f>
        <v>2015</v>
      </c>
      <c r="B110" s="1683"/>
      <c r="C110" s="395"/>
      <c r="D110" s="146"/>
      <c r="E110" s="148"/>
      <c r="F110" s="148"/>
      <c r="G110" s="398"/>
      <c r="H110" s="404" t="str">
        <f>OBRA!AF109</f>
        <v>-</v>
      </c>
      <c r="I110" s="400"/>
      <c r="J110" s="406" t="str">
        <f>OBRA!AG109</f>
        <v>-</v>
      </c>
      <c r="K110" s="401"/>
      <c r="L110" s="404" t="str">
        <f>OBRA!AH109</f>
        <v>-</v>
      </c>
      <c r="M110" s="402"/>
      <c r="N110" s="404" t="str">
        <f>OBRA!AI109</f>
        <v>-</v>
      </c>
      <c r="O110" s="144"/>
      <c r="P110" s="144"/>
      <c r="Q110" s="401"/>
      <c r="R110" s="407" t="str">
        <f>OBRA!AJ109</f>
        <v>-</v>
      </c>
      <c r="S110" s="385"/>
      <c r="T110" s="399" t="str">
        <f>OBRA!W109</f>
        <v>-</v>
      </c>
      <c r="U110" s="408" t="str">
        <f>OBRA!X109</f>
        <v>JUAN CARLOS NAVARRO ROSALES</v>
      </c>
      <c r="V110" s="1090"/>
      <c r="W110" s="19" t="str">
        <f>OBRA!N109</f>
        <v>DOP/AD/007/2015</v>
      </c>
      <c r="X110" s="12"/>
      <c r="Y110" s="12"/>
      <c r="Z110" s="409" t="str">
        <f>OBRA!M109</f>
        <v>RAMO 33</v>
      </c>
      <c r="AA110" s="12"/>
      <c r="AB110" s="2" t="str">
        <f>OBRA!O109</f>
        <v>ADMINISTRACIÓN DIRECTA</v>
      </c>
      <c r="AC110" s="3" t="str">
        <f>OBRA!P109</f>
        <v>CONSTRUCCION DE RED DE AGUA POTABL EEN LA CALLE PRIVADA VERANO, EN LA CABECERA MUNICIPAL</v>
      </c>
      <c r="AD110" s="4">
        <f>OBRA!R109</f>
        <v>116511.12</v>
      </c>
      <c r="AE110" s="6">
        <f>OBRA!S109</f>
        <v>42219</v>
      </c>
      <c r="AF110" s="5">
        <f>OBRA!T109</f>
        <v>42219</v>
      </c>
      <c r="AG110" s="390">
        <f>OBRA!U109</f>
        <v>42226</v>
      </c>
      <c r="AH110" s="52"/>
      <c r="AI110" s="211"/>
      <c r="AJ110" s="242"/>
      <c r="AK110" s="242"/>
      <c r="AL110" s="394"/>
      <c r="AM110" s="519" t="str">
        <f>GRAL!B111</f>
        <v>2012-2015</v>
      </c>
    </row>
    <row r="111" spans="1:39" ht="45.75" hidden="1" thickTop="1">
      <c r="A111" s="158">
        <f>OBRA!J110</f>
        <v>2015</v>
      </c>
      <c r="B111" s="1683"/>
      <c r="C111" s="395"/>
      <c r="D111" s="146"/>
      <c r="E111" s="148"/>
      <c r="F111" s="148"/>
      <c r="G111" s="398"/>
      <c r="H111" s="404" t="str">
        <f>OBRA!AF110</f>
        <v>-</v>
      </c>
      <c r="I111" s="400"/>
      <c r="J111" s="406" t="str">
        <f>OBRA!AG110</f>
        <v>-</v>
      </c>
      <c r="K111" s="401"/>
      <c r="L111" s="404" t="str">
        <f>OBRA!AH110</f>
        <v>-</v>
      </c>
      <c r="M111" s="402"/>
      <c r="N111" s="404" t="str">
        <f>OBRA!AI110</f>
        <v>-</v>
      </c>
      <c r="O111" s="144"/>
      <c r="P111" s="144"/>
      <c r="Q111" s="401"/>
      <c r="R111" s="407" t="str">
        <f>OBRA!AJ110</f>
        <v>-</v>
      </c>
      <c r="S111" s="385"/>
      <c r="T111" s="399" t="str">
        <f>OBRA!W110</f>
        <v>-</v>
      </c>
      <c r="U111" s="408" t="str">
        <f>OBRA!X110</f>
        <v>JUAN CARLOS NAVARRO ROSALES</v>
      </c>
      <c r="V111" s="1090"/>
      <c r="W111" s="19" t="str">
        <f>OBRA!N110</f>
        <v>DOP/AD/008/2015</v>
      </c>
      <c r="X111" s="12"/>
      <c r="Y111" s="12"/>
      <c r="Z111" s="409" t="str">
        <f>OBRA!M110</f>
        <v>RAMO 33</v>
      </c>
      <c r="AA111" s="12"/>
      <c r="AB111" s="2" t="str">
        <f>OBRA!O110</f>
        <v>ADMINISTRACIÓN DIRECTA</v>
      </c>
      <c r="AC111" s="3" t="str">
        <f>OBRA!P110</f>
        <v>CONSTRUCCION DE RED DE DRENAJE EN LA C. VERANO DE C. LOPEZ RAYON A NIÑOS HEROES, EN LA CABECERA MUNICIPAL</v>
      </c>
      <c r="AD111" s="4">
        <f>OBRA!R110</f>
        <v>256635.81</v>
      </c>
      <c r="AE111" s="6">
        <f>OBRA!S110</f>
        <v>42201</v>
      </c>
      <c r="AF111" s="5">
        <f>OBRA!T110</f>
        <v>42201</v>
      </c>
      <c r="AG111" s="390">
        <f>OBRA!U110</f>
        <v>42216</v>
      </c>
      <c r="AH111" s="52"/>
      <c r="AI111" s="211"/>
      <c r="AJ111" s="242"/>
      <c r="AK111" s="242"/>
      <c r="AL111" s="394"/>
      <c r="AM111" s="519" t="str">
        <f>GRAL!B112</f>
        <v>2012-2015</v>
      </c>
    </row>
    <row r="112" spans="1:39" ht="45.75" hidden="1" thickTop="1">
      <c r="A112" s="158">
        <f>OBRA!J111</f>
        <v>2015</v>
      </c>
      <c r="B112" s="1683"/>
      <c r="C112" s="395"/>
      <c r="D112" s="146"/>
      <c r="E112" s="148"/>
      <c r="F112" s="148"/>
      <c r="G112" s="398"/>
      <c r="H112" s="404" t="str">
        <f>OBRA!AF111</f>
        <v>-</v>
      </c>
      <c r="I112" s="400"/>
      <c r="J112" s="406" t="str">
        <f>OBRA!AG111</f>
        <v>-</v>
      </c>
      <c r="K112" s="401"/>
      <c r="L112" s="404" t="str">
        <f>OBRA!AH111</f>
        <v>-</v>
      </c>
      <c r="M112" s="402"/>
      <c r="N112" s="404" t="str">
        <f>OBRA!AI111</f>
        <v>-</v>
      </c>
      <c r="O112" s="144"/>
      <c r="P112" s="144"/>
      <c r="Q112" s="401"/>
      <c r="R112" s="407" t="str">
        <f>OBRA!AJ111</f>
        <v>-</v>
      </c>
      <c r="S112" s="385"/>
      <c r="T112" s="399" t="str">
        <f>OBRA!W111</f>
        <v>-</v>
      </c>
      <c r="U112" s="408" t="str">
        <f>OBRA!X111</f>
        <v>JUAN CARLOS NAVARRO ROSALES</v>
      </c>
      <c r="V112" s="1090"/>
      <c r="W112" s="19" t="str">
        <f>OBRA!N111</f>
        <v>DOP/AD/009/2015</v>
      </c>
      <c r="X112" s="12"/>
      <c r="Y112" s="12"/>
      <c r="Z112" s="409" t="str">
        <f>OBRA!M111</f>
        <v>RAMO 33</v>
      </c>
      <c r="AA112" s="12"/>
      <c r="AB112" s="2" t="str">
        <f>OBRA!O111</f>
        <v>ADMINISTRACIÓN DIRECTA</v>
      </c>
      <c r="AC112" s="3" t="str">
        <f>OBRA!P111</f>
        <v>CONSTRUCCION DE RED DE AGUA POTABLE EN C. VERANO DE C. LOPEZ RAYON A NIÑOS HEROES</v>
      </c>
      <c r="AD112" s="4">
        <f>OBRA!R111</f>
        <v>186751.07</v>
      </c>
      <c r="AE112" s="6">
        <f>OBRA!S111</f>
        <v>42188</v>
      </c>
      <c r="AF112" s="5">
        <f>OBRA!T111</f>
        <v>42191</v>
      </c>
      <c r="AG112" s="390">
        <f>OBRA!U111</f>
        <v>42210</v>
      </c>
      <c r="AH112" s="52"/>
      <c r="AI112" s="211"/>
      <c r="AJ112" s="242"/>
      <c r="AK112" s="242"/>
      <c r="AL112" s="394"/>
      <c r="AM112" s="519" t="str">
        <f>GRAL!B113</f>
        <v>2012-2015</v>
      </c>
    </row>
    <row r="113" spans="1:39" ht="45.75" hidden="1" thickTop="1">
      <c r="A113" s="158">
        <f>OBRA!J112</f>
        <v>2015</v>
      </c>
      <c r="B113" s="1683"/>
      <c r="C113" s="395"/>
      <c r="D113" s="146"/>
      <c r="E113" s="148"/>
      <c r="F113" s="148"/>
      <c r="G113" s="398"/>
      <c r="H113" s="404" t="str">
        <f>OBRA!AF112</f>
        <v>-</v>
      </c>
      <c r="I113" s="400"/>
      <c r="J113" s="406" t="str">
        <f>OBRA!AG112</f>
        <v>-</v>
      </c>
      <c r="K113" s="401"/>
      <c r="L113" s="404" t="str">
        <f>OBRA!AH112</f>
        <v>-</v>
      </c>
      <c r="M113" s="402"/>
      <c r="N113" s="404" t="str">
        <f>OBRA!AI112</f>
        <v>-</v>
      </c>
      <c r="O113" s="144"/>
      <c r="P113" s="144"/>
      <c r="Q113" s="401"/>
      <c r="R113" s="407" t="str">
        <f>OBRA!AJ112</f>
        <v>-</v>
      </c>
      <c r="S113" s="385"/>
      <c r="T113" s="399" t="str">
        <f>OBRA!W112</f>
        <v>-</v>
      </c>
      <c r="U113" s="408" t="str">
        <f>OBRA!X112</f>
        <v>JUAN CARLOS NAVARRO ROSALES</v>
      </c>
      <c r="V113" s="1090"/>
      <c r="W113" s="19" t="str">
        <f>OBRA!N112</f>
        <v>DOP/AD/010/2015</v>
      </c>
      <c r="X113" s="12"/>
      <c r="Y113" s="12"/>
      <c r="Z113" s="409" t="str">
        <f>OBRA!M112</f>
        <v>RAMO 33</v>
      </c>
      <c r="AA113" s="12"/>
      <c r="AB113" s="2" t="str">
        <f>OBRA!O112</f>
        <v>ADMINISTRACIÓN DIRECTA</v>
      </c>
      <c r="AC113" s="3" t="str">
        <f>OBRA!P112</f>
        <v>CONSTRUCCION DE RED DE DRENAJE EN LA C. LOPEZ RAYON ENTRE PRIVADA INDEPENDENCIA A OTOÑO, EN LA CABECERA MUNICIPAL</v>
      </c>
      <c r="AD113" s="4">
        <f>OBRA!R112</f>
        <v>359833.1</v>
      </c>
      <c r="AE113" s="6">
        <f>OBRA!S112</f>
        <v>42210</v>
      </c>
      <c r="AF113" s="5">
        <f>OBRA!T112</f>
        <v>42210</v>
      </c>
      <c r="AG113" s="390">
        <f>OBRA!U112</f>
        <v>42226</v>
      </c>
      <c r="AH113" s="52"/>
      <c r="AI113" s="211"/>
      <c r="AJ113" s="242"/>
      <c r="AK113" s="242"/>
      <c r="AL113" s="394"/>
      <c r="AM113" s="519" t="str">
        <f>GRAL!B114</f>
        <v>2012-2015</v>
      </c>
    </row>
    <row r="114" spans="1:39" ht="45.75" hidden="1" thickTop="1">
      <c r="A114" s="158">
        <f>OBRA!J113</f>
        <v>2015</v>
      </c>
      <c r="B114" s="1683"/>
      <c r="C114" s="395"/>
      <c r="D114" s="146"/>
      <c r="E114" s="148"/>
      <c r="F114" s="148"/>
      <c r="G114" s="398"/>
      <c r="H114" s="404" t="str">
        <f>OBRA!AF113</f>
        <v>-</v>
      </c>
      <c r="I114" s="400"/>
      <c r="J114" s="406" t="str">
        <f>OBRA!AG113</f>
        <v>-</v>
      </c>
      <c r="K114" s="401"/>
      <c r="L114" s="404" t="str">
        <f>OBRA!AH113</f>
        <v>-</v>
      </c>
      <c r="M114" s="402"/>
      <c r="N114" s="404" t="str">
        <f>OBRA!AI113</f>
        <v>-</v>
      </c>
      <c r="O114" s="144"/>
      <c r="P114" s="144"/>
      <c r="Q114" s="401"/>
      <c r="R114" s="407" t="str">
        <f>OBRA!AJ113</f>
        <v>-</v>
      </c>
      <c r="S114" s="385"/>
      <c r="T114" s="399" t="str">
        <f>OBRA!W113</f>
        <v>-</v>
      </c>
      <c r="U114" s="408" t="str">
        <f>OBRA!X113</f>
        <v>JUAN CARLOS NAVARRO ROSALES</v>
      </c>
      <c r="V114" s="1090"/>
      <c r="W114" s="19" t="str">
        <f>OBRA!N113</f>
        <v>DOP/AD/011/2015</v>
      </c>
      <c r="X114" s="12"/>
      <c r="Y114" s="12"/>
      <c r="Z114" s="409" t="str">
        <f>OBRA!M113</f>
        <v>RAMO 33</v>
      </c>
      <c r="AA114" s="12"/>
      <c r="AB114" s="2" t="str">
        <f>OBRA!O113</f>
        <v>ADMINISTRACIÓN DIRECTA</v>
      </c>
      <c r="AC114" s="3" t="str">
        <f>OBRA!P113</f>
        <v>CONSTRUCCION DE RED DE AGUA POTABLE EN C. LOPEZ RAYON ENTRE PRIVADA INDEPENDENCIA Y OTOÑO, EN LA CABECERA MUNICIPAL</v>
      </c>
      <c r="AD114" s="4">
        <f>OBRA!R113</f>
        <v>225508.89</v>
      </c>
      <c r="AE114" s="6">
        <f>OBRA!S113</f>
        <v>42226</v>
      </c>
      <c r="AF114" s="5">
        <f>OBRA!T113</f>
        <v>42226</v>
      </c>
      <c r="AG114" s="390">
        <f>OBRA!U113</f>
        <v>42238</v>
      </c>
      <c r="AH114" s="52"/>
      <c r="AI114" s="211"/>
      <c r="AJ114" s="242"/>
      <c r="AK114" s="242"/>
      <c r="AL114" s="394"/>
      <c r="AM114" s="519" t="str">
        <f>GRAL!B115</f>
        <v>2012-2015</v>
      </c>
    </row>
    <row r="115" spans="1:39" ht="60.75" hidden="1" thickTop="1">
      <c r="A115" s="158">
        <f>OBRA!J114</f>
        <v>2015</v>
      </c>
      <c r="B115" s="1683"/>
      <c r="C115" s="395"/>
      <c r="D115" s="146"/>
      <c r="E115" s="148"/>
      <c r="F115" s="148"/>
      <c r="G115" s="398"/>
      <c r="H115" s="404" t="str">
        <f>OBRA!AF114</f>
        <v>-</v>
      </c>
      <c r="I115" s="400"/>
      <c r="J115" s="406" t="str">
        <f>OBRA!AG114</f>
        <v>-</v>
      </c>
      <c r="K115" s="401"/>
      <c r="L115" s="404" t="str">
        <f>OBRA!AH114</f>
        <v>-</v>
      </c>
      <c r="M115" s="402"/>
      <c r="N115" s="404" t="str">
        <f>OBRA!AI114</f>
        <v>-</v>
      </c>
      <c r="O115" s="144"/>
      <c r="P115" s="144"/>
      <c r="Q115" s="401"/>
      <c r="R115" s="407" t="str">
        <f>OBRA!AJ114</f>
        <v>-</v>
      </c>
      <c r="S115" s="385"/>
      <c r="T115" s="399" t="str">
        <f>OBRA!W114</f>
        <v>-</v>
      </c>
      <c r="U115" s="408" t="str">
        <f>OBRA!X114</f>
        <v>JUAN CARLOS NAVARRO ROSALES</v>
      </c>
      <c r="V115" s="1090"/>
      <c r="W115" s="19" t="str">
        <f>OBRA!N114</f>
        <v>DOP/AD/012/2015</v>
      </c>
      <c r="X115" s="12"/>
      <c r="Y115" s="12"/>
      <c r="Z115" s="409" t="str">
        <f>OBRA!M114</f>
        <v>RAMO 33</v>
      </c>
      <c r="AA115" s="12"/>
      <c r="AB115" s="2" t="str">
        <f>OBRA!O114</f>
        <v>ADMINISTRACIÓN DIRECTA</v>
      </c>
      <c r="AC115" s="3" t="str">
        <f>OBRA!P114</f>
        <v>CONSTRUCCIÓN DE RED DE AGUA POTABLE EN C. CARDENAL DE CARRETERA CHAPALA-JOCOTEPEC HASTA FINAL, EN LA DELEGACIÓN DE SAN JUAN COSALA</v>
      </c>
      <c r="AD115" s="4">
        <f>OBRA!R114</f>
        <v>373029.23</v>
      </c>
      <c r="AE115" s="6">
        <f>OBRA!S114</f>
        <v>42188</v>
      </c>
      <c r="AF115" s="5">
        <f>OBRA!T114</f>
        <v>42191</v>
      </c>
      <c r="AG115" s="390">
        <f>OBRA!U114</f>
        <v>42210</v>
      </c>
      <c r="AH115" s="52"/>
      <c r="AI115" s="211"/>
      <c r="AJ115" s="242"/>
      <c r="AK115" s="242"/>
      <c r="AL115" s="394"/>
      <c r="AM115" s="519" t="str">
        <f>GRAL!B116</f>
        <v>2012-2015</v>
      </c>
    </row>
    <row r="116" spans="1:39" ht="45.75" hidden="1" thickTop="1">
      <c r="A116" s="158">
        <f>OBRA!J115</f>
        <v>2015</v>
      </c>
      <c r="B116" s="1683"/>
      <c r="C116" s="395"/>
      <c r="D116" s="146"/>
      <c r="E116" s="148"/>
      <c r="F116" s="148"/>
      <c r="G116" s="398"/>
      <c r="H116" s="404" t="str">
        <f>OBRA!AF115</f>
        <v>-</v>
      </c>
      <c r="I116" s="400"/>
      <c r="J116" s="406" t="str">
        <f>OBRA!AG115</f>
        <v>-</v>
      </c>
      <c r="K116" s="401"/>
      <c r="L116" s="404" t="str">
        <f>OBRA!AH115</f>
        <v>-</v>
      </c>
      <c r="M116" s="402"/>
      <c r="N116" s="404" t="str">
        <f>OBRA!AI115</f>
        <v>-</v>
      </c>
      <c r="O116" s="144"/>
      <c r="P116" s="144"/>
      <c r="Q116" s="401"/>
      <c r="R116" s="407" t="str">
        <f>OBRA!AJ115</f>
        <v>-</v>
      </c>
      <c r="S116" s="385"/>
      <c r="T116" s="399" t="str">
        <f>OBRA!W115</f>
        <v>-</v>
      </c>
      <c r="U116" s="408" t="str">
        <f>OBRA!X115</f>
        <v>JUAN CARLOS NAVARRO ROSALES</v>
      </c>
      <c r="V116" s="1090"/>
      <c r="W116" s="19" t="str">
        <f>OBRA!N115</f>
        <v>DOP/AD/013/2015</v>
      </c>
      <c r="X116" s="12"/>
      <c r="Y116" s="12"/>
      <c r="Z116" s="409" t="str">
        <f>OBRA!M115</f>
        <v>RAMO 33</v>
      </c>
      <c r="AA116" s="12"/>
      <c r="AB116" s="2" t="str">
        <f>OBRA!O115</f>
        <v>ADMINISTRACIÓN DIRECTA</v>
      </c>
      <c r="AC116" s="3" t="str">
        <f>OBRA!P115</f>
        <v>CONSTRUCCION DE RED DE DRENAJE EN LA C. 20 DE NOVIEMBRE DE ANIMA SOLA A INVIERNO, EN LA CABECERA MUNICIPAL</v>
      </c>
      <c r="AD116" s="4">
        <f>OBRA!R115</f>
        <v>847454.56</v>
      </c>
      <c r="AE116" s="6">
        <f>OBRA!S115</f>
        <v>42219</v>
      </c>
      <c r="AF116" s="5">
        <f>OBRA!T115</f>
        <v>42219</v>
      </c>
      <c r="AG116" s="390">
        <f>OBRA!U115</f>
        <v>42231</v>
      </c>
      <c r="AH116" s="52"/>
      <c r="AI116" s="211"/>
      <c r="AJ116" s="242"/>
      <c r="AK116" s="242"/>
      <c r="AL116" s="394"/>
      <c r="AM116" s="519" t="str">
        <f>GRAL!B117</f>
        <v>2012-2015</v>
      </c>
    </row>
    <row r="117" spans="1:39" ht="45.75" hidden="1" thickTop="1">
      <c r="A117" s="158">
        <f>OBRA!J116</f>
        <v>2015</v>
      </c>
      <c r="B117" s="1683"/>
      <c r="C117" s="395"/>
      <c r="D117" s="146"/>
      <c r="E117" s="148"/>
      <c r="F117" s="148"/>
      <c r="G117" s="398"/>
      <c r="H117" s="404" t="str">
        <f>OBRA!AF116</f>
        <v>-</v>
      </c>
      <c r="I117" s="400"/>
      <c r="J117" s="406" t="str">
        <f>OBRA!AG116</f>
        <v>-</v>
      </c>
      <c r="K117" s="401"/>
      <c r="L117" s="404" t="str">
        <f>OBRA!AH116</f>
        <v>-</v>
      </c>
      <c r="M117" s="402"/>
      <c r="N117" s="404" t="str">
        <f>OBRA!AI116</f>
        <v>-</v>
      </c>
      <c r="O117" s="144"/>
      <c r="P117" s="144"/>
      <c r="Q117" s="401"/>
      <c r="R117" s="407" t="str">
        <f>OBRA!AJ116</f>
        <v>-</v>
      </c>
      <c r="S117" s="385"/>
      <c r="T117" s="399" t="str">
        <f>OBRA!W116</f>
        <v>-</v>
      </c>
      <c r="U117" s="408" t="str">
        <f>OBRA!X116</f>
        <v>JUAN CARLOS NAVARRO ROSALES</v>
      </c>
      <c r="V117" s="1090"/>
      <c r="W117" s="19" t="str">
        <f>OBRA!N116</f>
        <v>DOP/AD/014/2015</v>
      </c>
      <c r="X117" s="12"/>
      <c r="Y117" s="12"/>
      <c r="Z117" s="409" t="str">
        <f>OBRA!M116</f>
        <v>RAMO 33</v>
      </c>
      <c r="AA117" s="12"/>
      <c r="AB117" s="2" t="str">
        <f>OBRA!O116</f>
        <v>ADMINISTRACIÓN DIRECTA</v>
      </c>
      <c r="AC117" s="3" t="str">
        <f>OBRA!P116</f>
        <v>CONSTRUCION DE RED DE AGUA POTABLE EN LA C. 20 DE NOVIEMBRE DE ANIMA SOLA A INVIERNO, EN LA CABECERA MUNICIPAL</v>
      </c>
      <c r="AD117" s="4">
        <f>OBRA!R116</f>
        <v>510072.99</v>
      </c>
      <c r="AE117" s="6">
        <f>OBRA!S116</f>
        <v>42186</v>
      </c>
      <c r="AF117" s="5">
        <f>OBRA!T116</f>
        <v>42233</v>
      </c>
      <c r="AG117" s="390">
        <f>OBRA!U116</f>
        <v>42247</v>
      </c>
      <c r="AH117" s="52"/>
      <c r="AI117" s="211"/>
      <c r="AJ117" s="242"/>
      <c r="AK117" s="242"/>
      <c r="AL117" s="394"/>
      <c r="AM117" s="519" t="str">
        <f>GRAL!B118</f>
        <v>2012-2015</v>
      </c>
    </row>
    <row r="118" spans="1:39" ht="45.75" hidden="1" thickTop="1">
      <c r="A118" s="158">
        <f>OBRA!J117</f>
        <v>2015</v>
      </c>
      <c r="B118" s="1683"/>
      <c r="C118" s="395"/>
      <c r="D118" s="146"/>
      <c r="E118" s="148"/>
      <c r="F118" s="148"/>
      <c r="G118" s="398"/>
      <c r="H118" s="404" t="str">
        <f>OBRA!AF117</f>
        <v>-</v>
      </c>
      <c r="I118" s="400"/>
      <c r="J118" s="406" t="str">
        <f>OBRA!AG117</f>
        <v>-</v>
      </c>
      <c r="K118" s="401"/>
      <c r="L118" s="404" t="str">
        <f>OBRA!AH117</f>
        <v>-</v>
      </c>
      <c r="M118" s="402"/>
      <c r="N118" s="404" t="str">
        <f>OBRA!AI117</f>
        <v>-</v>
      </c>
      <c r="O118" s="144"/>
      <c r="P118" s="144"/>
      <c r="Q118" s="401"/>
      <c r="R118" s="407" t="str">
        <f>OBRA!AJ117</f>
        <v>-</v>
      </c>
      <c r="S118" s="385"/>
      <c r="T118" s="399" t="str">
        <f>OBRA!W117</f>
        <v>-</v>
      </c>
      <c r="U118" s="408" t="str">
        <f>OBRA!X117</f>
        <v>JUAN CARLOS NAVARRO ROSALES</v>
      </c>
      <c r="V118" s="1090"/>
      <c r="W118" s="19" t="str">
        <f>OBRA!N117</f>
        <v>DOP/AD/015/2015</v>
      </c>
      <c r="X118" s="12"/>
      <c r="Y118" s="12"/>
      <c r="Z118" s="409" t="str">
        <f>OBRA!M117</f>
        <v>RAMO 33</v>
      </c>
      <c r="AA118" s="12"/>
      <c r="AB118" s="2" t="str">
        <f>OBRA!O117</f>
        <v>ADMINISTRACIÓN DIRECTA</v>
      </c>
      <c r="AC118" s="3" t="str">
        <f>OBRA!P117</f>
        <v>CONSTRUCCION DE RED DE DRENAJE EN C. JAVIER MINA DE C. 20 DE NOVIEMBRE A VENUSTIANO CARRANZA, EN LA CABECERA MUNICIPAL</v>
      </c>
      <c r="AD118" s="4">
        <f>OBRA!R117</f>
        <v>125552.88</v>
      </c>
      <c r="AE118" s="6">
        <f>OBRA!S117</f>
        <v>42219</v>
      </c>
      <c r="AF118" s="5">
        <f>OBRA!T117</f>
        <v>42219</v>
      </c>
      <c r="AG118" s="390">
        <f>OBRA!U117</f>
        <v>42231</v>
      </c>
      <c r="AH118" s="52"/>
      <c r="AI118" s="211"/>
      <c r="AJ118" s="242"/>
      <c r="AK118" s="242"/>
      <c r="AL118" s="394"/>
      <c r="AM118" s="519" t="str">
        <f>GRAL!B119</f>
        <v>2012-2015</v>
      </c>
    </row>
    <row r="119" spans="1:39" ht="45.75" hidden="1" thickTop="1">
      <c r="A119" s="158">
        <f>OBRA!J118</f>
        <v>2015</v>
      </c>
      <c r="B119" s="1683"/>
      <c r="C119" s="395"/>
      <c r="D119" s="146"/>
      <c r="E119" s="148"/>
      <c r="F119" s="148"/>
      <c r="G119" s="398"/>
      <c r="H119" s="404" t="str">
        <f>OBRA!AF118</f>
        <v>-</v>
      </c>
      <c r="I119" s="400"/>
      <c r="J119" s="406" t="str">
        <f>OBRA!AG118</f>
        <v>-</v>
      </c>
      <c r="K119" s="401"/>
      <c r="L119" s="404" t="str">
        <f>OBRA!AH118</f>
        <v>-</v>
      </c>
      <c r="M119" s="402"/>
      <c r="N119" s="404" t="str">
        <f>OBRA!AI118</f>
        <v>-</v>
      </c>
      <c r="O119" s="144"/>
      <c r="P119" s="144"/>
      <c r="Q119" s="401"/>
      <c r="R119" s="407" t="str">
        <f>OBRA!AJ118</f>
        <v>-</v>
      </c>
      <c r="S119" s="385"/>
      <c r="T119" s="399" t="str">
        <f>OBRA!W118</f>
        <v>-</v>
      </c>
      <c r="U119" s="408" t="str">
        <f>OBRA!X118</f>
        <v>JUAN CARLOS NAVARRO ROSALES</v>
      </c>
      <c r="V119" s="1090"/>
      <c r="W119" s="19" t="str">
        <f>OBRA!N118</f>
        <v>DOP/AD/016/2015</v>
      </c>
      <c r="X119" s="12"/>
      <c r="Y119" s="12"/>
      <c r="Z119" s="409" t="str">
        <f>OBRA!M118</f>
        <v>RAMO 33</v>
      </c>
      <c r="AA119" s="12"/>
      <c r="AB119" s="2" t="str">
        <f>OBRA!O118</f>
        <v>ADMINISTRACIÓN DIRECTA</v>
      </c>
      <c r="AC119" s="3" t="str">
        <f>OBRA!P118</f>
        <v>CONSTRUCCION DE RED DE AGUA POTABLE EN LA C. JAVIER MINA DE C. 20 E NOVIEMBRE A FRANCISCO VILLA, EN LA CABECERA MUNICIPAL</v>
      </c>
      <c r="AD119" s="4">
        <f>OBRA!R118</f>
        <v>152209.54999999999</v>
      </c>
      <c r="AE119" s="6">
        <f>OBRA!S118</f>
        <v>42225</v>
      </c>
      <c r="AF119" s="5">
        <f>OBRA!T118</f>
        <v>42225</v>
      </c>
      <c r="AG119" s="390">
        <f>OBRA!U118</f>
        <v>42247</v>
      </c>
      <c r="AH119" s="52"/>
      <c r="AI119" s="211"/>
      <c r="AJ119" s="242"/>
      <c r="AK119" s="242"/>
      <c r="AL119" s="394"/>
      <c r="AM119" s="519" t="str">
        <f>GRAL!B120</f>
        <v>2012-2015</v>
      </c>
    </row>
    <row r="120" spans="1:39" ht="60.75" hidden="1" thickTop="1">
      <c r="A120" s="158">
        <f>OBRA!J119</f>
        <v>2015</v>
      </c>
      <c r="B120" s="1683"/>
      <c r="C120" s="395"/>
      <c r="D120" s="146"/>
      <c r="E120" s="148"/>
      <c r="F120" s="148"/>
      <c r="G120" s="398"/>
      <c r="H120" s="404" t="str">
        <f>OBRA!AF119</f>
        <v>-</v>
      </c>
      <c r="I120" s="400"/>
      <c r="J120" s="406" t="str">
        <f>OBRA!AG119</f>
        <v>-</v>
      </c>
      <c r="K120" s="401"/>
      <c r="L120" s="404" t="str">
        <f>OBRA!AH119</f>
        <v>-</v>
      </c>
      <c r="M120" s="402"/>
      <c r="N120" s="404" t="str">
        <f>OBRA!AI119</f>
        <v>-</v>
      </c>
      <c r="O120" s="144"/>
      <c r="P120" s="144"/>
      <c r="Q120" s="401"/>
      <c r="R120" s="407" t="str">
        <f>OBRA!AJ119</f>
        <v>-</v>
      </c>
      <c r="S120" s="385"/>
      <c r="T120" s="399" t="str">
        <f>OBRA!W119</f>
        <v>HIDROLOGIAA PERFORACION Y GESTION DEL AGUA SA DE CV</v>
      </c>
      <c r="U120" s="408" t="str">
        <f>OBRA!X119</f>
        <v>ING. RIGOBERTO OLMEDO RAMOS</v>
      </c>
      <c r="V120" s="1090"/>
      <c r="W120" s="19" t="str">
        <f>OBRA!N119</f>
        <v>GMJ 007C OP/2015</v>
      </c>
      <c r="X120" s="12"/>
      <c r="Y120" s="12"/>
      <c r="Z120" s="409" t="str">
        <f>OBRA!M119</f>
        <v>RAMO 33</v>
      </c>
      <c r="AA120" s="12"/>
      <c r="AB120" s="2" t="str">
        <f>OBRA!O119</f>
        <v>ADJUDICACIÓN DIRECTA</v>
      </c>
      <c r="AC120" s="3" t="str">
        <f>OBRA!P119</f>
        <v>PERFORACIÓN DE POZO PROFUNDO EN FRACCIONAMIENTO PASEO EL CARDENAL, EN LA DELEGACION DE SAN JUAN COSALA</v>
      </c>
      <c r="AD120" s="4">
        <f>OBRA!R119</f>
        <v>1093156.1599999999</v>
      </c>
      <c r="AE120" s="6">
        <f>OBRA!S119</f>
        <v>42208</v>
      </c>
      <c r="AF120" s="5">
        <f>OBRA!T119</f>
        <v>42212</v>
      </c>
      <c r="AG120" s="390">
        <f>OBRA!U119</f>
        <v>42263</v>
      </c>
      <c r="AH120" s="52"/>
      <c r="AI120" s="211"/>
      <c r="AJ120" s="242"/>
      <c r="AK120" s="242"/>
      <c r="AL120" s="394"/>
      <c r="AM120" s="519" t="str">
        <f>GRAL!B121</f>
        <v>2012-2015</v>
      </c>
    </row>
    <row r="121" spans="1:39" ht="45.75" hidden="1" thickTop="1">
      <c r="A121" s="158">
        <f>OBRA!J120</f>
        <v>2015</v>
      </c>
      <c r="B121" s="1683"/>
      <c r="C121" s="395"/>
      <c r="D121" s="146"/>
      <c r="E121" s="148"/>
      <c r="F121" s="148"/>
      <c r="G121" s="398"/>
      <c r="H121" s="404" t="str">
        <f>OBRA!AF120</f>
        <v>-</v>
      </c>
      <c r="I121" s="400"/>
      <c r="J121" s="406" t="str">
        <f>OBRA!AG120</f>
        <v>-</v>
      </c>
      <c r="K121" s="401"/>
      <c r="L121" s="404" t="str">
        <f>OBRA!AH120</f>
        <v>-</v>
      </c>
      <c r="M121" s="402"/>
      <c r="N121" s="404" t="str">
        <f>OBRA!AI120</f>
        <v>-</v>
      </c>
      <c r="O121" s="144"/>
      <c r="P121" s="144"/>
      <c r="Q121" s="401"/>
      <c r="R121" s="407" t="str">
        <f>OBRA!AJ120</f>
        <v>-</v>
      </c>
      <c r="S121" s="385"/>
      <c r="T121" s="399" t="str">
        <f>OBRA!W120</f>
        <v>-</v>
      </c>
      <c r="U121" s="408" t="str">
        <f>OBRA!X120</f>
        <v>JUAN CARLOS NAVARRO ROSALES</v>
      </c>
      <c r="V121" s="1090"/>
      <c r="W121" s="19" t="str">
        <f>OBRA!N120</f>
        <v>DOP/AD/017/2015</v>
      </c>
      <c r="X121" s="12"/>
      <c r="Y121" s="12"/>
      <c r="Z121" s="409" t="str">
        <f>OBRA!M120</f>
        <v>RAMO 33</v>
      </c>
      <c r="AA121" s="12"/>
      <c r="AB121" s="2" t="str">
        <f>OBRA!O120</f>
        <v>ADMINISTRACIÓN DIRECTA</v>
      </c>
      <c r="AC121" s="3" t="str">
        <f>OBRA!P120</f>
        <v>CONSTRUCCION DE RED DE AGUA POTABLE EN LA C. CHAPULTEPEC ENTRE C. VICENTE GUERRERO HASTA EL DEPOSITO DE AGUA</v>
      </c>
      <c r="AD121" s="4">
        <f>OBRA!R120</f>
        <v>652283.77</v>
      </c>
      <c r="AE121" s="6">
        <f>OBRA!S120</f>
        <v>42212</v>
      </c>
      <c r="AF121" s="5">
        <f>OBRA!T120</f>
        <v>42219</v>
      </c>
      <c r="AG121" s="390">
        <f>OBRA!U120</f>
        <v>42231</v>
      </c>
      <c r="AH121" s="52"/>
      <c r="AI121" s="211"/>
      <c r="AJ121" s="242"/>
      <c r="AK121" s="242"/>
      <c r="AL121" s="394"/>
      <c r="AM121" s="519" t="str">
        <f>GRAL!B122</f>
        <v>2012-2015</v>
      </c>
    </row>
    <row r="122" spans="1:39" ht="60.75" hidden="1" thickTop="1">
      <c r="A122" s="158">
        <f>OBRA!J121</f>
        <v>2015</v>
      </c>
      <c r="B122" s="1683"/>
      <c r="C122" s="395"/>
      <c r="D122" s="146"/>
      <c r="E122" s="148"/>
      <c r="F122" s="148"/>
      <c r="G122" s="398"/>
      <c r="H122" s="404" t="str">
        <f>OBRA!AF121</f>
        <v>-</v>
      </c>
      <c r="I122" s="400"/>
      <c r="J122" s="406" t="str">
        <f>OBRA!AG121</f>
        <v>-</v>
      </c>
      <c r="K122" s="401"/>
      <c r="L122" s="404" t="str">
        <f>OBRA!AH121</f>
        <v>-</v>
      </c>
      <c r="M122" s="402"/>
      <c r="N122" s="404" t="str">
        <f>OBRA!AI121</f>
        <v>-</v>
      </c>
      <c r="O122" s="144"/>
      <c r="P122" s="144"/>
      <c r="Q122" s="401"/>
      <c r="R122" s="407" t="str">
        <f>OBRA!AJ121</f>
        <v>-</v>
      </c>
      <c r="S122" s="385"/>
      <c r="T122" s="399" t="str">
        <f>OBRA!W121</f>
        <v>-</v>
      </c>
      <c r="U122" s="408" t="str">
        <f>OBRA!X121</f>
        <v>JUAN CARLOS NAVARRO ROSALES</v>
      </c>
      <c r="V122" s="1090"/>
      <c r="W122" s="19" t="str">
        <f>OBRA!N121</f>
        <v>DOP/AD/018/2015</v>
      </c>
      <c r="X122" s="12"/>
      <c r="Y122" s="12"/>
      <c r="Z122" s="409" t="str">
        <f>OBRA!M121</f>
        <v>RAMO 33</v>
      </c>
      <c r="AA122" s="12"/>
      <c r="AB122" s="2" t="str">
        <f>OBRA!O121</f>
        <v>ADMINISTRACIÓN DIRECTA</v>
      </c>
      <c r="AC122" s="3" t="str">
        <f>OBRA!P121</f>
        <v>CONSTRUCCION DE RED DE AGUA POTABLE EN C. CUAHAUTEMOC NORTE Y TRE PRIVADAS SIN NOMBRES EN LA DELEGACION DE SAN JUAN COSALA</v>
      </c>
      <c r="AD122" s="4">
        <f>OBRA!R121</f>
        <v>363720.15</v>
      </c>
      <c r="AE122" s="6">
        <f>OBRA!S121</f>
        <v>42186</v>
      </c>
      <c r="AF122" s="5">
        <f>OBRA!T121</f>
        <v>42186</v>
      </c>
      <c r="AG122" s="390">
        <f>OBRA!U121</f>
        <v>42195</v>
      </c>
      <c r="AH122" s="52"/>
      <c r="AI122" s="211"/>
      <c r="AJ122" s="242"/>
      <c r="AK122" s="242"/>
      <c r="AL122" s="394"/>
      <c r="AM122" s="519" t="str">
        <f>GRAL!B123</f>
        <v>2012-2015</v>
      </c>
    </row>
    <row r="123" spans="1:39" ht="45.75" hidden="1" thickTop="1">
      <c r="A123" s="158">
        <f>OBRA!J122</f>
        <v>2015</v>
      </c>
      <c r="B123" s="1683"/>
      <c r="C123" s="395"/>
      <c r="D123" s="146"/>
      <c r="E123" s="148"/>
      <c r="F123" s="148"/>
      <c r="G123" s="398"/>
      <c r="H123" s="404" t="str">
        <f>OBRA!AF122</f>
        <v>-</v>
      </c>
      <c r="I123" s="400"/>
      <c r="J123" s="406" t="str">
        <f>OBRA!AG122</f>
        <v>-</v>
      </c>
      <c r="K123" s="401"/>
      <c r="L123" s="404" t="str">
        <f>OBRA!AH122</f>
        <v>-</v>
      </c>
      <c r="M123" s="402"/>
      <c r="N123" s="404" t="str">
        <f>OBRA!AI122</f>
        <v>-</v>
      </c>
      <c r="O123" s="144"/>
      <c r="P123" s="144"/>
      <c r="Q123" s="401"/>
      <c r="R123" s="407" t="str">
        <f>OBRA!AJ122</f>
        <v>-</v>
      </c>
      <c r="S123" s="385"/>
      <c r="T123" s="399" t="str">
        <f>OBRA!W122</f>
        <v>-</v>
      </c>
      <c r="U123" s="408" t="str">
        <f>OBRA!X122</f>
        <v>JUAN CARLOS NAVARRO ROSALES</v>
      </c>
      <c r="V123" s="1090"/>
      <c r="W123" s="19" t="str">
        <f>OBRA!N122</f>
        <v>DOP/AD/019/2015</v>
      </c>
      <c r="X123" s="12"/>
      <c r="Y123" s="12"/>
      <c r="Z123" s="409" t="str">
        <f>OBRA!M122</f>
        <v>RAMO 33</v>
      </c>
      <c r="AA123" s="12"/>
      <c r="AB123" s="2" t="str">
        <f>OBRA!O122</f>
        <v>ADMINISTRACIÓN DIRECTA</v>
      </c>
      <c r="AC123" s="3" t="str">
        <f>OBRA!P122</f>
        <v>CONSTRUCCION DE RED DE DRENAJE EN C. CARDENAL DEL PANTEON HASTA EL FINAL, EN LA DELEGCION DE SAN JUAN COSALA</v>
      </c>
      <c r="AD123" s="4">
        <f>OBRA!R122</f>
        <v>410196.06</v>
      </c>
      <c r="AE123" s="6">
        <f>OBRA!S122</f>
        <v>42219</v>
      </c>
      <c r="AF123" s="5">
        <f>OBRA!T122</f>
        <v>42219</v>
      </c>
      <c r="AG123" s="390">
        <f>OBRA!U122</f>
        <v>42231</v>
      </c>
      <c r="AH123" s="52"/>
      <c r="AI123" s="211"/>
      <c r="AJ123" s="242"/>
      <c r="AK123" s="242"/>
      <c r="AL123" s="394"/>
      <c r="AM123" s="519" t="str">
        <f>GRAL!B124</f>
        <v>2012-2015</v>
      </c>
    </row>
    <row r="124" spans="1:39" ht="60.75" hidden="1" thickTop="1">
      <c r="A124" s="158">
        <f>OBRA!J123</f>
        <v>2015</v>
      </c>
      <c r="B124" s="1683"/>
      <c r="C124" s="395"/>
      <c r="D124" s="146"/>
      <c r="E124" s="148"/>
      <c r="F124" s="148"/>
      <c r="G124" s="398"/>
      <c r="H124" s="404" t="str">
        <f>OBRA!AF123</f>
        <v>-</v>
      </c>
      <c r="I124" s="400"/>
      <c r="J124" s="406" t="str">
        <f>OBRA!AG123</f>
        <v>-</v>
      </c>
      <c r="K124" s="401"/>
      <c r="L124" s="404" t="str">
        <f>OBRA!AH123</f>
        <v>-</v>
      </c>
      <c r="M124" s="402"/>
      <c r="N124" s="404" t="str">
        <f>OBRA!AI123</f>
        <v>-</v>
      </c>
      <c r="O124" s="144"/>
      <c r="P124" s="144"/>
      <c r="Q124" s="401"/>
      <c r="R124" s="407" t="str">
        <f>OBRA!AJ123</f>
        <v>-</v>
      </c>
      <c r="S124" s="385"/>
      <c r="T124" s="399" t="str">
        <f>OBRA!W123</f>
        <v>-</v>
      </c>
      <c r="U124" s="408" t="str">
        <f>OBRA!X123</f>
        <v>JUAN CARLOS NAVARRO ROSALES</v>
      </c>
      <c r="V124" s="1090"/>
      <c r="W124" s="19" t="str">
        <f>OBRA!N123</f>
        <v>DOP/AD/020/2015</v>
      </c>
      <c r="X124" s="12"/>
      <c r="Y124" s="12"/>
      <c r="Z124" s="409" t="str">
        <f>OBRA!M123</f>
        <v>RAMO 33</v>
      </c>
      <c r="AA124" s="12"/>
      <c r="AB124" s="2" t="str">
        <f>OBRA!O123</f>
        <v>ADMINISTRACIÓN DIRECTA</v>
      </c>
      <c r="AC124" s="3" t="str">
        <f>OBRA!P123</f>
        <v>CONSTRUCCION DE LA RED DE DRENAJE EN C. JUAREZ, PRIVADA LA GUASIMA Y NARCISO MENDOZA, EN LA DELEGACION DE SAN JUAN COSALA</v>
      </c>
      <c r="AD124" s="4">
        <f>OBRA!R123</f>
        <v>471720.45</v>
      </c>
      <c r="AE124" s="6">
        <f>OBRA!S123</f>
        <v>42230</v>
      </c>
      <c r="AF124" s="5">
        <f>OBRA!T123</f>
        <v>42232</v>
      </c>
      <c r="AG124" s="390">
        <f>OBRA!U123</f>
        <v>42247</v>
      </c>
      <c r="AH124" s="52"/>
      <c r="AI124" s="211"/>
      <c r="AJ124" s="242"/>
      <c r="AK124" s="242"/>
      <c r="AL124" s="394"/>
      <c r="AM124" s="519" t="str">
        <f>GRAL!B125</f>
        <v>2012-2015</v>
      </c>
    </row>
    <row r="125" spans="1:39" ht="60.75" hidden="1" thickTop="1">
      <c r="A125" s="158">
        <f>OBRA!J124</f>
        <v>2015</v>
      </c>
      <c r="B125" s="1683"/>
      <c r="C125" s="395"/>
      <c r="D125" s="146"/>
      <c r="E125" s="148"/>
      <c r="F125" s="148"/>
      <c r="G125" s="398"/>
      <c r="H125" s="404" t="str">
        <f>OBRA!AF124</f>
        <v>-</v>
      </c>
      <c r="I125" s="400"/>
      <c r="J125" s="406" t="str">
        <f>OBRA!AG124</f>
        <v>-</v>
      </c>
      <c r="K125" s="401"/>
      <c r="L125" s="404" t="str">
        <f>OBRA!AH124</f>
        <v>-</v>
      </c>
      <c r="M125" s="402"/>
      <c r="N125" s="404" t="str">
        <f>OBRA!AI124</f>
        <v>-</v>
      </c>
      <c r="O125" s="144"/>
      <c r="P125" s="144"/>
      <c r="Q125" s="401"/>
      <c r="R125" s="407" t="str">
        <f>OBRA!AJ124</f>
        <v>-</v>
      </c>
      <c r="S125" s="385"/>
      <c r="T125" s="399" t="str">
        <f>OBRA!W124</f>
        <v>-</v>
      </c>
      <c r="U125" s="408" t="str">
        <f>OBRA!X124</f>
        <v>JUAN CARLOS NAVARRO ROSALES</v>
      </c>
      <c r="V125" s="1090"/>
      <c r="W125" s="19" t="str">
        <f>OBRA!N124</f>
        <v>DOP/AD/021/2015</v>
      </c>
      <c r="X125" s="12"/>
      <c r="Y125" s="12"/>
      <c r="Z125" s="409" t="str">
        <f>OBRA!M124</f>
        <v>RAMO 33</v>
      </c>
      <c r="AA125" s="12"/>
      <c r="AB125" s="2" t="str">
        <f>OBRA!O124</f>
        <v>ADMINISTRACIÓN DIRECTA</v>
      </c>
      <c r="AC125" s="3" t="str">
        <f>OBRA!P124</f>
        <v>CONSTRUCCION DE RED DE AGUA POTABLE EN C. JUAREZ, PRIVADA LA GUASIMA Y NARCISO MENDOZA, EN LA DELEGACION DE SAN JUAN COSALA</v>
      </c>
      <c r="AD125" s="4">
        <f>OBRA!R124</f>
        <v>247047.85</v>
      </c>
      <c r="AE125" s="6">
        <f>OBRA!S124</f>
        <v>42230</v>
      </c>
      <c r="AF125" s="5">
        <f>OBRA!T124</f>
        <v>42233</v>
      </c>
      <c r="AG125" s="390">
        <f>OBRA!U124</f>
        <v>42245</v>
      </c>
      <c r="AH125" s="52"/>
      <c r="AI125" s="211"/>
      <c r="AJ125" s="242"/>
      <c r="AK125" s="242"/>
      <c r="AL125" s="394"/>
      <c r="AM125" s="519" t="str">
        <f>GRAL!B126</f>
        <v>2012-2015</v>
      </c>
    </row>
    <row r="126" spans="1:39" ht="45.75" hidden="1" thickTop="1">
      <c r="A126" s="158">
        <f>OBRA!J125</f>
        <v>2015</v>
      </c>
      <c r="B126" s="1683"/>
      <c r="C126" s="395"/>
      <c r="D126" s="146"/>
      <c r="E126" s="148"/>
      <c r="F126" s="148"/>
      <c r="G126" s="398"/>
      <c r="H126" s="404" t="str">
        <f>OBRA!AF125</f>
        <v>-</v>
      </c>
      <c r="I126" s="400"/>
      <c r="J126" s="406" t="str">
        <f>OBRA!AG125</f>
        <v>-</v>
      </c>
      <c r="K126" s="401"/>
      <c r="L126" s="404" t="str">
        <f>OBRA!AH125</f>
        <v>-</v>
      </c>
      <c r="M126" s="402"/>
      <c r="N126" s="404" t="str">
        <f>OBRA!AI125</f>
        <v>-</v>
      </c>
      <c r="O126" s="144"/>
      <c r="P126" s="144"/>
      <c r="Q126" s="401"/>
      <c r="R126" s="407" t="str">
        <f>OBRA!AJ125</f>
        <v>-</v>
      </c>
      <c r="S126" s="385"/>
      <c r="T126" s="399" t="str">
        <f>OBRA!W125</f>
        <v>-</v>
      </c>
      <c r="U126" s="408" t="str">
        <f>OBRA!X125</f>
        <v>JUAN CARLOS NAVARRO ROSALES</v>
      </c>
      <c r="V126" s="1090"/>
      <c r="W126" s="19" t="str">
        <f>OBRA!N125</f>
        <v>DOP/AD/022/2015</v>
      </c>
      <c r="X126" s="12"/>
      <c r="Y126" s="12"/>
      <c r="Z126" s="409" t="str">
        <f>OBRA!M125</f>
        <v>RAMO 33</v>
      </c>
      <c r="AA126" s="12"/>
      <c r="AB126" s="2" t="str">
        <f>OBRA!O125</f>
        <v>ADMINISTRACIÓN DIRECTA</v>
      </c>
      <c r="AC126" s="3" t="str">
        <f>OBRA!P125</f>
        <v>CONSTRUCCION DE RED DE AGUA POTABLE EN LA RANCHERIA DE EL SALITRE, DEL MUNICIPIO E JOCOTEPEC</v>
      </c>
      <c r="AD126" s="4">
        <f>OBRA!R125</f>
        <v>650294</v>
      </c>
      <c r="AE126" s="6">
        <f>OBRA!S125</f>
        <v>42228</v>
      </c>
      <c r="AF126" s="5">
        <f>OBRA!T125</f>
        <v>42231</v>
      </c>
      <c r="AG126" s="390">
        <f>OBRA!U125</f>
        <v>42247</v>
      </c>
      <c r="AH126" s="52"/>
      <c r="AI126" s="211"/>
      <c r="AJ126" s="242"/>
      <c r="AK126" s="242"/>
      <c r="AL126" s="394"/>
      <c r="AM126" s="519" t="str">
        <f>GRAL!B127</f>
        <v>2012-2015</v>
      </c>
    </row>
    <row r="127" spans="1:39" ht="60.75" hidden="1" thickTop="1">
      <c r="A127" s="158">
        <f>OBRA!J126</f>
        <v>2015</v>
      </c>
      <c r="B127" s="1683"/>
      <c r="C127" s="395"/>
      <c r="D127" s="146"/>
      <c r="E127" s="148"/>
      <c r="F127" s="148"/>
      <c r="G127" s="398"/>
      <c r="H127" s="404" t="str">
        <f>OBRA!AF126</f>
        <v>-</v>
      </c>
      <c r="I127" s="400"/>
      <c r="J127" s="406" t="str">
        <f>OBRA!AG126</f>
        <v>-</v>
      </c>
      <c r="K127" s="401"/>
      <c r="L127" s="404" t="str">
        <f>OBRA!AH126</f>
        <v>-</v>
      </c>
      <c r="M127" s="402"/>
      <c r="N127" s="404" t="str">
        <f>OBRA!AI126</f>
        <v>-</v>
      </c>
      <c r="O127" s="144"/>
      <c r="P127" s="144"/>
      <c r="Q127" s="401"/>
      <c r="R127" s="407" t="str">
        <f>OBRA!AJ126</f>
        <v>-</v>
      </c>
      <c r="S127" s="385"/>
      <c r="T127" s="399" t="str">
        <f>OBRA!W126</f>
        <v>-</v>
      </c>
      <c r="U127" s="408" t="str">
        <f>OBRA!X126</f>
        <v>ING. RIGOBERTO OLMEDO RAMOS</v>
      </c>
      <c r="V127" s="1090"/>
      <c r="W127" s="19" t="str">
        <f>OBRA!N126</f>
        <v>DOP/AD/023/2015</v>
      </c>
      <c r="X127" s="12"/>
      <c r="Y127" s="12"/>
      <c r="Z127" s="409" t="str">
        <f>OBRA!M126</f>
        <v>CUENTA CORRIENTE</v>
      </c>
      <c r="AA127" s="12"/>
      <c r="AB127" s="2" t="str">
        <f>OBRA!O126</f>
        <v>ADMINISTRACIÓN DIRECTA</v>
      </c>
      <c r="AC127" s="3" t="str">
        <f>OBRA!P126</f>
        <v>REMODELACIÓN DE BANQUETAS EN CALLE MORELOS ENTRE CALLES HIDALGO Y JOSEFA ORTIZ DE DOMINGUEZ (LADO NORTE), EN LA CABECERA MUNICIPAL DE JOCOTEPEC, JALISCO</v>
      </c>
      <c r="AD127" s="4">
        <f>OBRA!R126</f>
        <v>425150</v>
      </c>
      <c r="AE127" s="6" t="s">
        <v>68</v>
      </c>
      <c r="AF127" s="5" t="s">
        <v>68</v>
      </c>
      <c r="AG127" s="390" t="s">
        <v>68</v>
      </c>
      <c r="AH127" s="52"/>
      <c r="AI127" s="211"/>
      <c r="AJ127" s="242"/>
      <c r="AK127" s="242"/>
      <c r="AL127" s="394"/>
      <c r="AM127" s="519" t="str">
        <f>GRAL!B128</f>
        <v>2012-2015</v>
      </c>
    </row>
    <row r="128" spans="1:39" ht="45.75" hidden="1" thickTop="1">
      <c r="A128" s="158">
        <f>OBRA!J127</f>
        <v>2015</v>
      </c>
      <c r="B128" s="1683"/>
      <c r="C128" s="395"/>
      <c r="D128" s="146"/>
      <c r="E128" s="148"/>
      <c r="F128" s="148"/>
      <c r="G128" s="398"/>
      <c r="H128" s="404" t="str">
        <f>OBRA!AF127</f>
        <v>-</v>
      </c>
      <c r="I128" s="400"/>
      <c r="J128" s="406" t="str">
        <f>OBRA!AG127</f>
        <v>-</v>
      </c>
      <c r="K128" s="401"/>
      <c r="L128" s="404" t="str">
        <f>OBRA!AH127</f>
        <v>-</v>
      </c>
      <c r="M128" s="402"/>
      <c r="N128" s="404" t="str">
        <f>OBRA!AI127</f>
        <v>-</v>
      </c>
      <c r="O128" s="144"/>
      <c r="P128" s="144"/>
      <c r="Q128" s="401"/>
      <c r="R128" s="407" t="str">
        <f>OBRA!AJ127</f>
        <v>-</v>
      </c>
      <c r="S128" s="385"/>
      <c r="T128" s="399" t="str">
        <f>OBRA!W127</f>
        <v>-</v>
      </c>
      <c r="U128" s="408" t="str">
        <f>OBRA!X127</f>
        <v>ING. RIGOBERTO OLMEDO RAMOS</v>
      </c>
      <c r="V128" s="1090"/>
      <c r="W128" s="19" t="str">
        <f>OBRA!N127</f>
        <v>DOP/AD/024/2015</v>
      </c>
      <c r="X128" s="12"/>
      <c r="Y128" s="12"/>
      <c r="Z128" s="409" t="str">
        <f>OBRA!M127</f>
        <v>RAMO 33</v>
      </c>
      <c r="AA128" s="12"/>
      <c r="AB128" s="2" t="str">
        <f>OBRA!O127</f>
        <v>ADMINISTRACIÓN DIRECTA</v>
      </c>
      <c r="AC128" s="3" t="str">
        <f>OBRA!P127</f>
        <v>EMPEDRADO NORMAL EN CALLE JUAREZ Y CALLEJON LA GUASIMA, EN LA DELEGCION DE SAN JUAN COSALA</v>
      </c>
      <c r="AD128" s="4">
        <f>OBRA!R127</f>
        <v>365900.18</v>
      </c>
      <c r="AE128" s="6">
        <f>OBRA!S127</f>
        <v>42254</v>
      </c>
      <c r="AF128" s="5">
        <f>OBRA!T127</f>
        <v>42254</v>
      </c>
      <c r="AG128" s="390">
        <f>OBRA!U127</f>
        <v>42210</v>
      </c>
      <c r="AH128" s="52"/>
      <c r="AI128" s="211"/>
      <c r="AJ128" s="242"/>
      <c r="AK128" s="242"/>
      <c r="AL128" s="394"/>
      <c r="AM128" s="519" t="str">
        <f>GRAL!B129</f>
        <v>2012-2015</v>
      </c>
    </row>
    <row r="129" spans="1:39" ht="45.75" hidden="1" thickTop="1">
      <c r="A129" s="158">
        <f>OBRA!J128</f>
        <v>2015</v>
      </c>
      <c r="B129" s="1683"/>
      <c r="C129" s="395"/>
      <c r="D129" s="146"/>
      <c r="E129" s="148"/>
      <c r="F129" s="148"/>
      <c r="G129" s="398"/>
      <c r="H129" s="404" t="str">
        <f>OBRA!AF128</f>
        <v>-</v>
      </c>
      <c r="I129" s="400"/>
      <c r="J129" s="406" t="str">
        <f>OBRA!AG128</f>
        <v>-</v>
      </c>
      <c r="K129" s="401"/>
      <c r="L129" s="404" t="str">
        <f>OBRA!AH128</f>
        <v>-</v>
      </c>
      <c r="M129" s="402"/>
      <c r="N129" s="404" t="str">
        <f>OBRA!AI128</f>
        <v>-</v>
      </c>
      <c r="O129" s="144"/>
      <c r="P129" s="144"/>
      <c r="Q129" s="401"/>
      <c r="R129" s="407" t="str">
        <f>OBRA!AJ128</f>
        <v>-</v>
      </c>
      <c r="S129" s="385"/>
      <c r="T129" s="399" t="str">
        <f>OBRA!W128</f>
        <v>-</v>
      </c>
      <c r="U129" s="408" t="str">
        <f>OBRA!X128</f>
        <v>JUAN CARLOS NAVARRO ROSALES</v>
      </c>
      <c r="V129" s="1090"/>
      <c r="W129" s="19" t="str">
        <f>OBRA!N128</f>
        <v>DOP/AD/025/2015</v>
      </c>
      <c r="X129" s="12"/>
      <c r="Y129" s="12"/>
      <c r="Z129" s="409" t="str">
        <f>OBRA!M128</f>
        <v>RAMO 33</v>
      </c>
      <c r="AA129" s="12"/>
      <c r="AB129" s="2" t="str">
        <f>OBRA!O128</f>
        <v>ADMINISTRACIÓN DIRECTA</v>
      </c>
      <c r="AC129" s="3" t="str">
        <f>OBRA!P128</f>
        <v xml:space="preserve">CONSTRUCCION DE RED DE DRENAJE EN C. FILOSOFOS ENTRE INDEPENDENCIA Y ALLENDE, EN CABECERA MUNICIPAL </v>
      </c>
      <c r="AD129" s="4">
        <f>OBRA!R128</f>
        <v>289480.24</v>
      </c>
      <c r="AE129" s="6">
        <f>OBRA!S128</f>
        <v>42258</v>
      </c>
      <c r="AF129" s="5">
        <f>OBRA!T128</f>
        <v>42258</v>
      </c>
      <c r="AG129" s="390">
        <f>OBRA!U128</f>
        <v>42272</v>
      </c>
      <c r="AH129" s="52"/>
      <c r="AI129" s="211"/>
      <c r="AJ129" s="242"/>
      <c r="AK129" s="242"/>
      <c r="AL129" s="394"/>
      <c r="AM129" s="519" t="str">
        <f>GRAL!B130</f>
        <v>2012-2015</v>
      </c>
    </row>
    <row r="130" spans="1:39" ht="75.75" hidden="1" thickTop="1">
      <c r="A130" s="158">
        <f>OBRA!J129</f>
        <v>2015</v>
      </c>
      <c r="B130" s="1683"/>
      <c r="C130" s="395"/>
      <c r="D130" s="146"/>
      <c r="E130" s="148"/>
      <c r="F130" s="148"/>
      <c r="G130" s="398"/>
      <c r="H130" s="404" t="str">
        <f>OBRA!AF129</f>
        <v>-</v>
      </c>
      <c r="I130" s="400"/>
      <c r="J130" s="406" t="str">
        <f>OBRA!AG129</f>
        <v>-</v>
      </c>
      <c r="K130" s="401"/>
      <c r="L130" s="404" t="str">
        <f>OBRA!AH129</f>
        <v>-</v>
      </c>
      <c r="M130" s="402"/>
      <c r="N130" s="404" t="str">
        <f>OBRA!AI129</f>
        <v>-</v>
      </c>
      <c r="O130" s="144"/>
      <c r="P130" s="144"/>
      <c r="Q130" s="401"/>
      <c r="R130" s="407" t="str">
        <f>OBRA!AJ129</f>
        <v>-</v>
      </c>
      <c r="S130" s="385"/>
      <c r="T130" s="399" t="str">
        <f>OBRA!W129</f>
        <v>-</v>
      </c>
      <c r="U130" s="408" t="str">
        <f>OBRA!X129</f>
        <v>ING. J. GUADALUPE IBARRA RAMIREZ</v>
      </c>
      <c r="V130" s="1090"/>
      <c r="W130" s="19" t="str">
        <f>OBRA!N129</f>
        <v>DOP/AD/012/2015</v>
      </c>
      <c r="X130" s="12"/>
      <c r="Y130" s="12"/>
      <c r="Z130" s="409" t="str">
        <f>OBRA!M129</f>
        <v>RAMO 33</v>
      </c>
      <c r="AA130" s="12"/>
      <c r="AB130" s="2" t="str">
        <f>OBRA!O129</f>
        <v>ADMINISTRACIÓN DIRECTA</v>
      </c>
      <c r="AC130" s="3" t="str">
        <f>OBRA!P129</f>
        <v>COLOCACIÓN DE ADOQUÍN Y REHABILITACIÓN DE REDES DE AGUA POTABLE Y DRENAJE CALLE PORFIRIO DÍAZ, 2DA ETAPA EN LA DELEGACIÓN DE SAN JUAN COSALA, MUNICIPIO DE JOCOTEPEC, JALISCO</v>
      </c>
      <c r="AD130" s="4">
        <f>OBRA!R129</f>
        <v>1538461.54</v>
      </c>
      <c r="AE130" s="6">
        <f>OBRA!S129</f>
        <v>42320</v>
      </c>
      <c r="AF130" s="5">
        <f>OBRA!T129</f>
        <v>42321</v>
      </c>
      <c r="AG130" s="390">
        <f>OBRA!U129</f>
        <v>42369</v>
      </c>
      <c r="AH130" s="52"/>
      <c r="AI130" s="211"/>
      <c r="AJ130" s="242"/>
      <c r="AK130" s="242"/>
      <c r="AL130" s="394"/>
      <c r="AM130" s="519" t="str">
        <f>GRAL!B131</f>
        <v>2012-2015</v>
      </c>
    </row>
    <row r="131" spans="1:39" ht="60.75" hidden="1" thickTop="1">
      <c r="A131" s="158">
        <f>OBRA!J130</f>
        <v>2015</v>
      </c>
      <c r="B131" s="1683"/>
      <c r="C131" s="395"/>
      <c r="D131" s="146"/>
      <c r="E131" s="148"/>
      <c r="F131" s="148"/>
      <c r="G131" s="398"/>
      <c r="H131" s="404" t="str">
        <f>OBRA!AF130</f>
        <v>-</v>
      </c>
      <c r="I131" s="400"/>
      <c r="J131" s="406" t="str">
        <f>OBRA!AG130</f>
        <v>-</v>
      </c>
      <c r="K131" s="401"/>
      <c r="L131" s="404" t="str">
        <f>OBRA!AH130</f>
        <v>-</v>
      </c>
      <c r="M131" s="402"/>
      <c r="N131" s="404" t="str">
        <f>OBRA!AI130</f>
        <v>-</v>
      </c>
      <c r="O131" s="144"/>
      <c r="P131" s="144"/>
      <c r="Q131" s="401"/>
      <c r="R131" s="407" t="str">
        <f>OBRA!AJ130</f>
        <v>-</v>
      </c>
      <c r="S131" s="385"/>
      <c r="T131" s="399" t="str">
        <f>OBRA!W130</f>
        <v>-</v>
      </c>
      <c r="U131" s="408" t="str">
        <f>OBRA!X130</f>
        <v>ING. J. GUADALUPE IBARRA RAMIREZ</v>
      </c>
      <c r="V131" s="1090"/>
      <c r="W131" s="19" t="str">
        <f>OBRA!N130</f>
        <v>DOP/AD/026/2015</v>
      </c>
      <c r="X131" s="12"/>
      <c r="Y131" s="12"/>
      <c r="Z131" s="409" t="str">
        <f>OBRA!M130</f>
        <v>CUENTA CORRIENTE</v>
      </c>
      <c r="AA131" s="12"/>
      <c r="AB131" s="2" t="str">
        <f>OBRA!O130</f>
        <v>ADMINISTRACIÓN DIRECTA</v>
      </c>
      <c r="AC131" s="3" t="str">
        <f>OBRA!P130</f>
        <v xml:space="preserve">BACHEO CON MEZCLA PREMIUM Y BACHEO CON MEZCLA ASFALTICA CALIENTE EN DIVERSAS CALLES, DE LA CABECERA MUNICIPAL, SUS DELEGACIONES Y AGENCIAS MUNICIPALES </v>
      </c>
      <c r="AD131" s="4">
        <f>OBRA!R130</f>
        <v>162687</v>
      </c>
      <c r="AE131" s="6">
        <f>OBRA!S130</f>
        <v>42278</v>
      </c>
      <c r="AF131" s="5">
        <f>OBRA!T130</f>
        <v>42278</v>
      </c>
      <c r="AG131" s="390">
        <f>OBRA!U130</f>
        <v>42338</v>
      </c>
      <c r="AH131" s="52"/>
      <c r="AI131" s="211"/>
      <c r="AJ131" s="242"/>
      <c r="AK131" s="242"/>
      <c r="AL131" s="394"/>
      <c r="AM131" s="519" t="str">
        <f>GRAL!B132</f>
        <v>2012-2015</v>
      </c>
    </row>
    <row r="132" spans="1:39" ht="75.75" hidden="1" thickTop="1">
      <c r="A132" s="158">
        <f>OBRA!J131</f>
        <v>2015</v>
      </c>
      <c r="B132" s="1683"/>
      <c r="C132" s="395"/>
      <c r="D132" s="146"/>
      <c r="E132" s="148"/>
      <c r="F132" s="148"/>
      <c r="G132" s="398"/>
      <c r="H132" s="404" t="str">
        <f>OBRA!AF131</f>
        <v>-</v>
      </c>
      <c r="I132" s="400"/>
      <c r="J132" s="406" t="str">
        <f>OBRA!AG131</f>
        <v>-</v>
      </c>
      <c r="K132" s="401"/>
      <c r="L132" s="404" t="str">
        <f>OBRA!AH131</f>
        <v>-</v>
      </c>
      <c r="M132" s="402"/>
      <c r="N132" s="404" t="str">
        <f>OBRA!AI131</f>
        <v>-</v>
      </c>
      <c r="O132" s="144"/>
      <c r="P132" s="144"/>
      <c r="Q132" s="401"/>
      <c r="R132" s="407" t="str">
        <f>OBRA!AJ131</f>
        <v>-</v>
      </c>
      <c r="S132" s="385"/>
      <c r="T132" s="399" t="str">
        <f>OBRA!W131</f>
        <v>-</v>
      </c>
      <c r="U132" s="408" t="str">
        <f>OBRA!X131</f>
        <v>ING. J. GUADALUPE IBARRA RAMIREZ</v>
      </c>
      <c r="V132" s="1090"/>
      <c r="W132" s="19" t="str">
        <f>OBRA!N131</f>
        <v xml:space="preserve">DOP/AD/027/2015 </v>
      </c>
      <c r="X132" s="12"/>
      <c r="Y132" s="12"/>
      <c r="Z132" s="409" t="str">
        <f>OBRA!M131</f>
        <v>R33 - FONDEREG</v>
      </c>
      <c r="AA132" s="12"/>
      <c r="AB132" s="2" t="str">
        <f>OBRA!O131</f>
        <v>ADMINISTRACIÓN DIRECTA</v>
      </c>
      <c r="AC132" s="3" t="str">
        <f>OBRA!P131</f>
        <v>COLOCACIÓN DE ADOQUÍN Y REHABILITACIÓN DE REDES DE AGUA POTABLE Y DRENAJE CALLE PORFIRIO DÍAZ, 2DA ETAPA EN LA DELEGACIÓN DE SAN JUAN COSALA, MUNICIPIO DE JOCOTEPEC, JALISCO</v>
      </c>
      <c r="AD132" s="4">
        <f>OBRA!R131</f>
        <v>1538461.54</v>
      </c>
      <c r="AE132" s="6">
        <f>OBRA!S131</f>
        <v>42320</v>
      </c>
      <c r="AF132" s="5">
        <f>OBRA!T131</f>
        <v>42321</v>
      </c>
      <c r="AG132" s="390">
        <f>OBRA!U131</f>
        <v>42369</v>
      </c>
      <c r="AH132" s="52"/>
      <c r="AI132" s="211"/>
      <c r="AJ132" s="242"/>
      <c r="AK132" s="242"/>
      <c r="AL132" s="394"/>
      <c r="AM132" s="519" t="str">
        <f>GRAL!B133</f>
        <v>2015-2018</v>
      </c>
    </row>
    <row r="133" spans="1:39" ht="75.75" hidden="1" thickTop="1">
      <c r="A133" s="158">
        <f>OBRA!J132</f>
        <v>2015</v>
      </c>
      <c r="B133" s="1683"/>
      <c r="C133" s="395"/>
      <c r="D133" s="146"/>
      <c r="E133" s="148"/>
      <c r="F133" s="148"/>
      <c r="G133" s="398"/>
      <c r="H133" s="404" t="str">
        <f>OBRA!AF132</f>
        <v>-</v>
      </c>
      <c r="I133" s="400"/>
      <c r="J133" s="406" t="str">
        <f>OBRA!AG132</f>
        <v>-</v>
      </c>
      <c r="K133" s="401"/>
      <c r="L133" s="404" t="str">
        <f>OBRA!AH132</f>
        <v>-</v>
      </c>
      <c r="M133" s="402"/>
      <c r="N133" s="404" t="str">
        <f>OBRA!AI132</f>
        <v>-</v>
      </c>
      <c r="O133" s="144"/>
      <c r="P133" s="144"/>
      <c r="Q133" s="401"/>
      <c r="R133" s="407" t="str">
        <f>OBRA!AJ132</f>
        <v>-</v>
      </c>
      <c r="S133" s="385"/>
      <c r="T133" s="399" t="str">
        <f>OBRA!W132</f>
        <v>-</v>
      </c>
      <c r="U133" s="408" t="str">
        <f>OBRA!X132</f>
        <v>ING. J. GUADALUPE IBARRA RAMIREZ</v>
      </c>
      <c r="V133" s="1090"/>
      <c r="W133" s="19" t="str">
        <f>OBRA!N132</f>
        <v>DOP/AD/028/2015</v>
      </c>
      <c r="X133" s="12"/>
      <c r="Y133" s="12"/>
      <c r="Z133" s="409" t="str">
        <f>OBRA!M132</f>
        <v>FONDEREG</v>
      </c>
      <c r="AA133" s="12"/>
      <c r="AB133" s="2" t="str">
        <f>OBRA!O132</f>
        <v>ADMINISTRACIÓN DIRECTA</v>
      </c>
      <c r="AC133" s="3" t="str">
        <f>OBRA!P132</f>
        <v>COLOCACIÓN DE ADOQUIN Y REHABILITACIÓN DE REDES DE AGUA POTABLE Y DRENAJE EN CALLE PROFIRIO DÍAZ, 2DA. ETAPA EN LA DELEGACIÓN DE SAN JUAN COSALA, MUNICIPIO DE JOCOTEPEC, JALISCO</v>
      </c>
      <c r="AD133" s="4">
        <f>OBRA!R132</f>
        <v>1025641.03</v>
      </c>
      <c r="AE133" s="6">
        <f>OBRA!S132</f>
        <v>42320</v>
      </c>
      <c r="AF133" s="5">
        <f>OBRA!T132</f>
        <v>42321</v>
      </c>
      <c r="AG133" s="390">
        <f>OBRA!U132</f>
        <v>42369</v>
      </c>
      <c r="AH133" s="52"/>
      <c r="AI133" s="211"/>
      <c r="AJ133" s="242"/>
      <c r="AK133" s="242"/>
      <c r="AL133" s="394"/>
      <c r="AM133" s="519" t="str">
        <f>GRAL!B134</f>
        <v>2015-2018</v>
      </c>
    </row>
    <row r="134" spans="1:39" ht="83.25" hidden="1" customHeight="1" thickTop="1">
      <c r="A134" s="158">
        <f>OBRA!J133</f>
        <v>2015</v>
      </c>
      <c r="B134" s="1414"/>
      <c r="C134" s="396"/>
      <c r="D134" s="146"/>
      <c r="E134" s="148"/>
      <c r="F134" s="148"/>
      <c r="G134" s="399"/>
      <c r="H134" s="404" t="str">
        <f>OBRA!AF133</f>
        <v>-</v>
      </c>
      <c r="I134" s="400"/>
      <c r="J134" s="406" t="str">
        <f>OBRA!AG133</f>
        <v>-</v>
      </c>
      <c r="K134" s="401"/>
      <c r="L134" s="404" t="str">
        <f>OBRA!AH133</f>
        <v>-</v>
      </c>
      <c r="M134" s="402"/>
      <c r="N134" s="404" t="str">
        <f>OBRA!AI133</f>
        <v>-</v>
      </c>
      <c r="O134" s="144"/>
      <c r="P134" s="144"/>
      <c r="Q134" s="401"/>
      <c r="R134" s="407" t="str">
        <f>OBRA!AJ133</f>
        <v>-</v>
      </c>
      <c r="S134" s="382"/>
      <c r="T134" s="399" t="str">
        <f>OBRA!W133</f>
        <v>-</v>
      </c>
      <c r="U134" s="408" t="str">
        <f>OBRA!X133</f>
        <v>-</v>
      </c>
      <c r="V134" s="1090"/>
      <c r="W134" s="19" t="str">
        <f>OBRA!N133</f>
        <v>CNCA/GDSPC/COLAB/03422</v>
      </c>
      <c r="X134" s="12"/>
      <c r="Y134" s="12"/>
      <c r="Z134" s="409" t="str">
        <f>OBRA!M133</f>
        <v>FOREMODA</v>
      </c>
      <c r="AA134" s="12"/>
      <c r="AB134" s="2" t="str">
        <f>OBRA!O133</f>
        <v>CONVENIO</v>
      </c>
      <c r="AC134" s="3" t="str">
        <f>OBRA!P133</f>
        <v>TRABAJOS DE RESTAURACION DE LA PARROQUIA DEL SEÑOR DEL MONETE, UBICADO EN CALLE MIGUEL ARANA Nº 76 EN JOCOTEPEC, JAL</v>
      </c>
      <c r="AD134" s="4">
        <f>OBRA!R133</f>
        <v>1500000</v>
      </c>
      <c r="AE134" s="6">
        <f>OBRA!S133</f>
        <v>42307</v>
      </c>
      <c r="AF134" s="5">
        <f>OBRA!T133</f>
        <v>42338</v>
      </c>
      <c r="AG134" s="390">
        <f>OBRA!U133</f>
        <v>42696</v>
      </c>
      <c r="AH134" s="52"/>
      <c r="AI134" s="211"/>
      <c r="AJ134" s="242"/>
      <c r="AK134" s="242"/>
      <c r="AL134" s="394"/>
      <c r="AM134" s="519" t="str">
        <f>GRAL!B135</f>
        <v>2015-2018</v>
      </c>
    </row>
    <row r="135" spans="1:39" s="104" customFormat="1" ht="45.75" hidden="1" thickTop="1">
      <c r="A135" s="158">
        <f>OBRA!J134</f>
        <v>2015</v>
      </c>
      <c r="B135" s="1414"/>
      <c r="C135" s="396"/>
      <c r="D135" s="147"/>
      <c r="E135" s="149"/>
      <c r="F135" s="149"/>
      <c r="G135" s="399"/>
      <c r="H135" s="404" t="str">
        <f>OBRA!AF134</f>
        <v>-</v>
      </c>
      <c r="I135" s="400"/>
      <c r="J135" s="406" t="str">
        <f>OBRA!AG134</f>
        <v>-</v>
      </c>
      <c r="K135" s="401"/>
      <c r="L135" s="404" t="str">
        <f>OBRA!AH134</f>
        <v>-</v>
      </c>
      <c r="M135" s="402"/>
      <c r="N135" s="404" t="str">
        <f>OBRA!AI134</f>
        <v>-</v>
      </c>
      <c r="O135" s="150"/>
      <c r="P135" s="150"/>
      <c r="Q135" s="401"/>
      <c r="R135" s="407" t="str">
        <f>OBRA!AJ134</f>
        <v>-</v>
      </c>
      <c r="S135" s="181"/>
      <c r="T135" s="399" t="str">
        <f>OBRA!W134</f>
        <v>ARGUELLES ARQUITECTOS S.A. DE C.V.</v>
      </c>
      <c r="U135" s="408" t="str">
        <f>OBRA!X134</f>
        <v>ARQ. FRANCISCO SALAZAR</v>
      </c>
      <c r="V135" s="1090"/>
      <c r="W135" s="19" t="str">
        <f>OBRA!N134</f>
        <v>GMJC001OP-2015</v>
      </c>
      <c r="X135" s="12"/>
      <c r="Y135" s="12"/>
      <c r="Z135" s="409" t="str">
        <f>OBRA!M134</f>
        <v>FOREMODA</v>
      </c>
      <c r="AA135" s="12"/>
      <c r="AB135" s="2" t="str">
        <f>OBRA!O134</f>
        <v>ADJUDICACIÓN DIRECTA</v>
      </c>
      <c r="AC135" s="3" t="str">
        <f>OBRA!P134</f>
        <v>TRABAJOS DE RESTAURACION DE LA PARROQUIA DEL SEÑOR DEL MONTE, UBICADO EN CALLE MIGUEL ARANA Nº 76 EN JOCOTEPEC, JAL</v>
      </c>
      <c r="AD135" s="4">
        <f>OBRA!R134</f>
        <v>1500000</v>
      </c>
      <c r="AE135" s="6">
        <f>OBRA!S134</f>
        <v>42339</v>
      </c>
      <c r="AF135" s="5">
        <f>OBRA!T134</f>
        <v>42338</v>
      </c>
      <c r="AG135" s="390">
        <f>OBRA!U134</f>
        <v>42704</v>
      </c>
      <c r="AH135" s="52"/>
      <c r="AI135" s="211"/>
      <c r="AJ135" s="242"/>
      <c r="AK135" s="242"/>
      <c r="AL135" s="394"/>
      <c r="AM135" s="519" t="str">
        <f>GRAL!B136</f>
        <v>2015-2018</v>
      </c>
    </row>
    <row r="136" spans="1:39" s="104" customFormat="1" ht="60.75" hidden="1" thickTop="1">
      <c r="A136" s="830">
        <f>OBRA!J135</f>
        <v>2015</v>
      </c>
      <c r="B136" s="820"/>
      <c r="C136" s="82"/>
      <c r="D136" s="147"/>
      <c r="E136" s="149"/>
      <c r="F136" s="149"/>
      <c r="G136" s="832"/>
      <c r="H136" s="150" t="str">
        <f>OBRA!AF135</f>
        <v>-</v>
      </c>
      <c r="I136" s="417"/>
      <c r="J136" s="110" t="str">
        <f>OBRA!AG135</f>
        <v>-</v>
      </c>
      <c r="K136" s="834"/>
      <c r="L136" s="150" t="str">
        <f>OBRA!AH135</f>
        <v>-</v>
      </c>
      <c r="M136" s="833"/>
      <c r="N136" s="150" t="str">
        <f>OBRA!AI135</f>
        <v>-</v>
      </c>
      <c r="O136" s="150"/>
      <c r="P136" s="150"/>
      <c r="Q136" s="834"/>
      <c r="R136" s="420" t="str">
        <f>OBRA!AJ135</f>
        <v>-</v>
      </c>
      <c r="S136" s="103"/>
      <c r="T136" s="149" t="str">
        <f>OBRA!W135</f>
        <v>CONSTRUCCIONES VIKBRAK, S.A. DE C.V.</v>
      </c>
      <c r="U136" s="152" t="str">
        <f>OBRA!X135</f>
        <v xml:space="preserve">LIC. SALVADOR CONTRERAS </v>
      </c>
      <c r="V136" s="147"/>
      <c r="W136" s="829" t="str">
        <f>OBRA!N135</f>
        <v>GMJ 003C OP/2015</v>
      </c>
      <c r="X136" s="103"/>
      <c r="Y136" s="103"/>
      <c r="Z136" s="103" t="str">
        <f>OBRA!M135</f>
        <v>RAMO 33</v>
      </c>
      <c r="AA136" s="103"/>
      <c r="AB136" s="186" t="str">
        <f>OBRA!O135</f>
        <v>CANCELADA</v>
      </c>
      <c r="AC136" s="106" t="str">
        <f>OBRA!P135</f>
        <v>1 ER ETAPA DE REHABILITACION, RED DE DRENAJE Y REPOCISION DE EMPEDRADO AHOGADO EN CEMENTO EN LA CALLE ANIMA SOLA DE LA CABECERA MUNICIPAL DE JOCOTEPEC</v>
      </c>
      <c r="AD136" s="86">
        <f>OBRA!R135</f>
        <v>369433.09</v>
      </c>
      <c r="AE136" s="87">
        <f>OBRA!S135</f>
        <v>42593</v>
      </c>
      <c r="AF136" s="88">
        <f>OBRA!T135</f>
        <v>42597</v>
      </c>
      <c r="AG136" s="391">
        <f>OBRA!U135</f>
        <v>42704</v>
      </c>
      <c r="AH136" s="101"/>
      <c r="AI136" s="84"/>
      <c r="AJ136" s="96"/>
      <c r="AK136" s="96"/>
      <c r="AL136" s="97"/>
      <c r="AM136" s="354" t="str">
        <f>GRAL!B137</f>
        <v>2012-2015</v>
      </c>
    </row>
    <row r="137" spans="1:39" ht="63.75" hidden="1" customHeight="1" thickTop="1">
      <c r="A137" s="158">
        <f>OBRA!J136</f>
        <v>2016</v>
      </c>
      <c r="B137" s="1683"/>
      <c r="C137" s="395"/>
      <c r="D137" s="146"/>
      <c r="E137" s="148"/>
      <c r="F137" s="148"/>
      <c r="G137" s="398"/>
      <c r="H137" s="404" t="str">
        <f>OBRA!AF136</f>
        <v>-</v>
      </c>
      <c r="I137" s="400"/>
      <c r="J137" s="406" t="str">
        <f>OBRA!AG136</f>
        <v>-</v>
      </c>
      <c r="K137" s="401"/>
      <c r="L137" s="404" t="str">
        <f>OBRA!AH136</f>
        <v>-</v>
      </c>
      <c r="M137" s="402"/>
      <c r="N137" s="404" t="str">
        <f>OBRA!AI136</f>
        <v>-</v>
      </c>
      <c r="O137" s="144"/>
      <c r="P137" s="144"/>
      <c r="Q137" s="401"/>
      <c r="R137" s="407" t="str">
        <f>OBRA!AJ136</f>
        <v>-</v>
      </c>
      <c r="S137" s="385"/>
      <c r="T137" s="399" t="str">
        <f>OBRA!W136</f>
        <v>-</v>
      </c>
      <c r="U137" s="408" t="str">
        <f>OBRA!X136</f>
        <v>ING. J. GUADALUPE IBARRA RAMIREZ</v>
      </c>
      <c r="V137" s="1090"/>
      <c r="W137" s="19" t="str">
        <f>OBRA!N136</f>
        <v>DOP/AD/001/2016</v>
      </c>
      <c r="X137" s="12"/>
      <c r="Y137" s="12"/>
      <c r="Z137" s="409" t="str">
        <f>OBRA!M136</f>
        <v>CUENTA CORRIENTE</v>
      </c>
      <c r="AA137" s="12"/>
      <c r="AB137" s="2" t="str">
        <f>OBRA!O136</f>
        <v>ADMINISTRACIÓN DIRECTA</v>
      </c>
      <c r="AC137" s="3" t="str">
        <f>OBRA!P136</f>
        <v xml:space="preserve">OBRA COMPLEMENTARIA PARA LA REHABILITACIÓN DE RED DE AGUA POTABLE, DRENAJE Y EMPEDRADO AHOGADO EN CEMENTO EN LA CALLE ALDAMA DESDE NICOLAS BRAVO HASTA CERRADA, EN LA CABECERA MUNICIPAL </v>
      </c>
      <c r="AD137" s="4">
        <f>OBRA!R136</f>
        <v>375407.88</v>
      </c>
      <c r="AE137" s="6">
        <f>OBRA!S136</f>
        <v>42403</v>
      </c>
      <c r="AF137" s="5">
        <f>OBRA!T136</f>
        <v>42405</v>
      </c>
      <c r="AG137" s="390">
        <f>OBRA!U136</f>
        <v>42441</v>
      </c>
      <c r="AH137" s="52"/>
      <c r="AI137" s="211"/>
      <c r="AJ137" s="242"/>
      <c r="AK137" s="242"/>
      <c r="AL137" s="394"/>
      <c r="AM137" s="519" t="str">
        <f>GRAL!B138</f>
        <v>2015-2018</v>
      </c>
    </row>
    <row r="138" spans="1:39" ht="45.75" hidden="1" thickTop="1">
      <c r="A138" s="158">
        <f>OBRA!J137</f>
        <v>2016</v>
      </c>
      <c r="B138" s="1683"/>
      <c r="C138" s="395"/>
      <c r="D138" s="146"/>
      <c r="E138" s="148"/>
      <c r="F138" s="148"/>
      <c r="G138" s="398"/>
      <c r="H138" s="404" t="str">
        <f>OBRA!AF137</f>
        <v>-</v>
      </c>
      <c r="I138" s="400"/>
      <c r="J138" s="406" t="str">
        <f>OBRA!AG137</f>
        <v>-</v>
      </c>
      <c r="K138" s="401"/>
      <c r="L138" s="404" t="str">
        <f>OBRA!AH137</f>
        <v>-</v>
      </c>
      <c r="M138" s="402"/>
      <c r="N138" s="404" t="str">
        <f>OBRA!AI137</f>
        <v>-</v>
      </c>
      <c r="O138" s="144"/>
      <c r="P138" s="144"/>
      <c r="Q138" s="401"/>
      <c r="R138" s="407" t="str">
        <f>OBRA!AJ137</f>
        <v>-</v>
      </c>
      <c r="S138" s="385"/>
      <c r="T138" s="399" t="str">
        <f>OBRA!W137</f>
        <v>-</v>
      </c>
      <c r="U138" s="408" t="str">
        <f>OBRA!X137</f>
        <v>ING. J. GUADALUPE IBARRA RAMIREZ</v>
      </c>
      <c r="V138" s="1090"/>
      <c r="W138" s="19" t="str">
        <f>OBRA!N137</f>
        <v>DOP/AD/002/2016</v>
      </c>
      <c r="X138" s="12"/>
      <c r="Y138" s="12"/>
      <c r="Z138" s="409" t="str">
        <f>OBRA!M137</f>
        <v>CUENTA CORRIENTE</v>
      </c>
      <c r="AA138" s="12"/>
      <c r="AB138" s="2" t="str">
        <f>OBRA!O137</f>
        <v>ADMINISTRACIÓN DIRECTA</v>
      </c>
      <c r="AC138" s="3" t="str">
        <f>OBRA!P137</f>
        <v>RELLENO Y REPARACIÓN DE SOCAVON, DESLAVE LATERAL EN CARRETERA DE SAN LUCIANO</v>
      </c>
      <c r="AD138" s="4">
        <f>OBRA!R137</f>
        <v>46400</v>
      </c>
      <c r="AE138" s="6">
        <f>OBRA!S137</f>
        <v>42433</v>
      </c>
      <c r="AF138" s="5">
        <f>OBRA!T137</f>
        <v>42434</v>
      </c>
      <c r="AG138" s="390">
        <f>OBRA!U137</f>
        <v>42439</v>
      </c>
      <c r="AH138" s="52"/>
      <c r="AI138" s="211"/>
      <c r="AJ138" s="242"/>
      <c r="AK138" s="242"/>
      <c r="AL138" s="394"/>
      <c r="AM138" s="519" t="str">
        <f>GRAL!B139</f>
        <v>2015-2018</v>
      </c>
    </row>
    <row r="139" spans="1:39" ht="45.75" hidden="1" thickTop="1">
      <c r="A139" s="158">
        <f>OBRA!J138</f>
        <v>2016</v>
      </c>
      <c r="B139" s="1683"/>
      <c r="C139" s="395"/>
      <c r="D139" s="146"/>
      <c r="E139" s="148"/>
      <c r="F139" s="148"/>
      <c r="G139" s="398"/>
      <c r="H139" s="404" t="str">
        <f>OBRA!AF138</f>
        <v>-</v>
      </c>
      <c r="I139" s="400"/>
      <c r="J139" s="406" t="str">
        <f>OBRA!AG138</f>
        <v>-</v>
      </c>
      <c r="K139" s="401"/>
      <c r="L139" s="404" t="str">
        <f>OBRA!AH138</f>
        <v>-</v>
      </c>
      <c r="M139" s="402"/>
      <c r="N139" s="404" t="str">
        <f>OBRA!AI138</f>
        <v>-</v>
      </c>
      <c r="O139" s="144"/>
      <c r="P139" s="144"/>
      <c r="Q139" s="401"/>
      <c r="R139" s="407" t="str">
        <f>OBRA!AJ138</f>
        <v>-</v>
      </c>
      <c r="S139" s="385"/>
      <c r="T139" s="399" t="str">
        <f>OBRA!W138</f>
        <v>-</v>
      </c>
      <c r="U139" s="408" t="str">
        <f>OBRA!X138</f>
        <v>ING. J. GUADALUPE IBARRA RAMIREZ</v>
      </c>
      <c r="V139" s="1090"/>
      <c r="W139" s="19" t="str">
        <f>OBRA!N138</f>
        <v>DOP/AD/003/2016</v>
      </c>
      <c r="X139" s="12"/>
      <c r="Y139" s="12"/>
      <c r="Z139" s="409" t="str">
        <f>OBRA!M138</f>
        <v>CUENTA CORRIENTE</v>
      </c>
      <c r="AA139" s="12"/>
      <c r="AB139" s="2" t="str">
        <f>OBRA!O138</f>
        <v>ADMINISTRACIÓN DIRECTA</v>
      </c>
      <c r="AC139" s="3" t="str">
        <f>OBRA!P138</f>
        <v>ACONDICIONAMIENTO DE INGRESO AL HOSPITAL COMUNITARIO DEL MUNICIPIO DE JOCOTEPEC, EN LA LOCALIDAD DE CHANTEPEC</v>
      </c>
      <c r="AD139" s="4">
        <f>OBRA!R138</f>
        <v>192889.77</v>
      </c>
      <c r="AE139" s="6">
        <f>OBRA!S138</f>
        <v>42498</v>
      </c>
      <c r="AF139" s="5">
        <f>OBRA!T138</f>
        <v>42499</v>
      </c>
      <c r="AG139" s="390">
        <f>OBRA!U138</f>
        <v>42560</v>
      </c>
      <c r="AH139" s="52"/>
      <c r="AI139" s="211"/>
      <c r="AJ139" s="242"/>
      <c r="AK139" s="242"/>
      <c r="AL139" s="394"/>
      <c r="AM139" s="519" t="str">
        <f>GRAL!B140</f>
        <v>2015-2018</v>
      </c>
    </row>
    <row r="140" spans="1:39" ht="45.75" hidden="1" thickTop="1">
      <c r="A140" s="158">
        <f>OBRA!J139</f>
        <v>2016</v>
      </c>
      <c r="B140" s="1683"/>
      <c r="C140" s="395"/>
      <c r="D140" s="146"/>
      <c r="E140" s="148"/>
      <c r="F140" s="148"/>
      <c r="G140" s="398"/>
      <c r="H140" s="404" t="str">
        <f>OBRA!AF139</f>
        <v>-</v>
      </c>
      <c r="I140" s="400"/>
      <c r="J140" s="406" t="str">
        <f>OBRA!AG139</f>
        <v>-</v>
      </c>
      <c r="K140" s="401"/>
      <c r="L140" s="404" t="str">
        <f>OBRA!AH139</f>
        <v>-</v>
      </c>
      <c r="M140" s="402"/>
      <c r="N140" s="404" t="str">
        <f>OBRA!AI139</f>
        <v>-</v>
      </c>
      <c r="O140" s="144"/>
      <c r="P140" s="144"/>
      <c r="Q140" s="401"/>
      <c r="R140" s="407" t="str">
        <f>OBRA!AJ139</f>
        <v>-</v>
      </c>
      <c r="S140" s="385"/>
      <c r="T140" s="399" t="str">
        <f>OBRA!W139</f>
        <v>-</v>
      </c>
      <c r="U140" s="408" t="str">
        <f>OBRA!X139</f>
        <v>ING. J. GUADALUPE IBARRA RAMIREZ</v>
      </c>
      <c r="V140" s="1090"/>
      <c r="W140" s="19" t="str">
        <f>OBRA!N139</f>
        <v>DOP/AD/004/2016</v>
      </c>
      <c r="X140" s="12"/>
      <c r="Y140" s="12"/>
      <c r="Z140" s="409" t="str">
        <f>OBRA!M139</f>
        <v>FORTALECE</v>
      </c>
      <c r="AA140" s="12"/>
      <c r="AB140" s="2" t="str">
        <f>OBRA!O139</f>
        <v>ADMINISTRACIÓN DIRECTA</v>
      </c>
      <c r="AC140" s="3" t="str">
        <f>OBRA!P139</f>
        <v>PROYECTO EMPEDRADO AHOGADO EN CEMENTO DE LA CALLE LÓPEZ RAYÓN ENTRE PRIV. ITURBIDE Y VERANO EN LA CABECERA MUNICIPAL</v>
      </c>
      <c r="AD140" s="4">
        <f>OBRA!R139</f>
        <v>509990.89</v>
      </c>
      <c r="AE140" s="6">
        <f>OBRA!S139</f>
        <v>42521</v>
      </c>
      <c r="AF140" s="5">
        <f>OBRA!T139</f>
        <v>42522</v>
      </c>
      <c r="AG140" s="390">
        <f>OBRA!U139</f>
        <v>42578</v>
      </c>
      <c r="AH140" s="52"/>
      <c r="AI140" s="211"/>
      <c r="AJ140" s="242"/>
      <c r="AK140" s="242"/>
      <c r="AL140" s="394"/>
      <c r="AM140" s="519" t="str">
        <f>GRAL!B141</f>
        <v>2015-2018</v>
      </c>
    </row>
    <row r="141" spans="1:39" ht="75.75" hidden="1" thickTop="1">
      <c r="A141" s="158">
        <f>OBRA!J140</f>
        <v>2016</v>
      </c>
      <c r="B141" s="1683"/>
      <c r="C141" s="395"/>
      <c r="D141" s="146"/>
      <c r="E141" s="148"/>
      <c r="F141" s="148"/>
      <c r="G141" s="398"/>
      <c r="H141" s="404" t="str">
        <f>OBRA!AF140</f>
        <v>-</v>
      </c>
      <c r="I141" s="400"/>
      <c r="J141" s="406" t="str">
        <f>OBRA!AG140</f>
        <v>-</v>
      </c>
      <c r="K141" s="401"/>
      <c r="L141" s="404" t="str">
        <f>OBRA!AH140</f>
        <v>-</v>
      </c>
      <c r="M141" s="402"/>
      <c r="N141" s="404" t="str">
        <f>OBRA!AI140</f>
        <v>-</v>
      </c>
      <c r="O141" s="144"/>
      <c r="P141" s="144"/>
      <c r="Q141" s="401"/>
      <c r="R141" s="407" t="str">
        <f>OBRA!AJ140</f>
        <v>-</v>
      </c>
      <c r="S141" s="385"/>
      <c r="T141" s="399" t="str">
        <f>OBRA!W140</f>
        <v>-</v>
      </c>
      <c r="U141" s="408" t="str">
        <f>OBRA!X140</f>
        <v>ING. J. GUADALUPE IBARRA RAMIREZ</v>
      </c>
      <c r="V141" s="1090"/>
      <c r="W141" s="19" t="str">
        <f>OBRA!N140</f>
        <v>DOP/AD/005/2016</v>
      </c>
      <c r="X141" s="12"/>
      <c r="Y141" s="12"/>
      <c r="Z141" s="409" t="str">
        <f>OBRA!M140</f>
        <v>FORTALECE</v>
      </c>
      <c r="AA141" s="12"/>
      <c r="AB141" s="2" t="str">
        <f>OBRA!O140</f>
        <v>ADMINISTRACIÓN DIRECTA</v>
      </c>
      <c r="AC141" s="3" t="str">
        <f>OBRA!P140</f>
        <v>PROYECTO EMPEDRADO AHOGADO EN CEMENTO Y CONSTRUCCIÓN DE GUARNICIÓN EN DIFERENTES CALLES DEL FRACCIONAMIENTO "EL CARRIZAL" 1ERA. ETAPA, EN LA CABECERA MUNICIPAL</v>
      </c>
      <c r="AD141" s="4">
        <f>OBRA!R140</f>
        <v>1080009.1200000001</v>
      </c>
      <c r="AE141" s="6">
        <f>OBRA!S140</f>
        <v>42524</v>
      </c>
      <c r="AF141" s="5">
        <f>OBRA!T140</f>
        <v>42527</v>
      </c>
      <c r="AG141" s="390">
        <f>OBRA!U140</f>
        <v>42710</v>
      </c>
      <c r="AH141" s="52"/>
      <c r="AI141" s="211"/>
      <c r="AJ141" s="242"/>
      <c r="AK141" s="242"/>
      <c r="AL141" s="394"/>
      <c r="AM141" s="519" t="str">
        <f>GRAL!B142</f>
        <v>2015-2018</v>
      </c>
    </row>
    <row r="142" spans="1:39" ht="45.75" hidden="1" thickTop="1">
      <c r="A142" s="158">
        <f>OBRA!J141</f>
        <v>2016</v>
      </c>
      <c r="B142" s="1683"/>
      <c r="C142" s="395"/>
      <c r="D142" s="146"/>
      <c r="E142" s="148"/>
      <c r="F142" s="148"/>
      <c r="G142" s="398"/>
      <c r="H142" s="404" t="str">
        <f>OBRA!AF141</f>
        <v>-</v>
      </c>
      <c r="I142" s="400"/>
      <c r="J142" s="406" t="str">
        <f>OBRA!AG141</f>
        <v>-</v>
      </c>
      <c r="K142" s="401"/>
      <c r="L142" s="404" t="str">
        <f>OBRA!AH141</f>
        <v>-</v>
      </c>
      <c r="M142" s="402"/>
      <c r="N142" s="404" t="str">
        <f>OBRA!AI141</f>
        <v>-</v>
      </c>
      <c r="O142" s="144"/>
      <c r="P142" s="144"/>
      <c r="Q142" s="401"/>
      <c r="R142" s="407" t="str">
        <f>OBRA!AJ141</f>
        <v>-</v>
      </c>
      <c r="S142" s="385"/>
      <c r="T142" s="399" t="str">
        <f>OBRA!W141</f>
        <v>-</v>
      </c>
      <c r="U142" s="408" t="str">
        <f>OBRA!X141</f>
        <v>ING. J. GUADALUPE IBARRA RAMIREZ</v>
      </c>
      <c r="V142" s="1090"/>
      <c r="W142" s="19" t="str">
        <f>OBRA!N141</f>
        <v>DOP/AD/006/2016</v>
      </c>
      <c r="X142" s="12"/>
      <c r="Y142" s="12"/>
      <c r="Z142" s="409" t="str">
        <f>OBRA!M141</f>
        <v>RAMO 33</v>
      </c>
      <c r="AA142" s="12"/>
      <c r="AB142" s="2" t="str">
        <f>OBRA!O141</f>
        <v>ADMINISTRACIÓN DIRECTA</v>
      </c>
      <c r="AC142" s="3" t="str">
        <f>OBRA!P141</f>
        <v>EMPEDRADO AHOGADO EN CEMENTO EN LA C. LÓPEZ RAYON ENTRE VERANO Y CERRADA EN LA CABECERA MUNICIPAL</v>
      </c>
      <c r="AD142" s="4">
        <f>OBRA!R141</f>
        <v>204355.89</v>
      </c>
      <c r="AE142" s="6">
        <f>OBRA!S141</f>
        <v>42499</v>
      </c>
      <c r="AF142" s="5">
        <f>OBRA!T141</f>
        <v>42502</v>
      </c>
      <c r="AG142" s="390">
        <f>OBRA!U141</f>
        <v>42665</v>
      </c>
      <c r="AH142" s="52"/>
      <c r="AI142" s="211"/>
      <c r="AJ142" s="242"/>
      <c r="AK142" s="242"/>
      <c r="AL142" s="394"/>
      <c r="AM142" s="519" t="str">
        <f>GRAL!B143</f>
        <v>2015-2018</v>
      </c>
    </row>
    <row r="143" spans="1:39" ht="45.75" hidden="1" thickTop="1">
      <c r="A143" s="158">
        <f>OBRA!J142</f>
        <v>2016</v>
      </c>
      <c r="B143" s="1683"/>
      <c r="C143" s="395"/>
      <c r="D143" s="146"/>
      <c r="E143" s="148"/>
      <c r="F143" s="148"/>
      <c r="G143" s="398"/>
      <c r="H143" s="404" t="str">
        <f>OBRA!AF142</f>
        <v>-</v>
      </c>
      <c r="I143" s="400"/>
      <c r="J143" s="406" t="str">
        <f>OBRA!AG142</f>
        <v>-</v>
      </c>
      <c r="K143" s="401"/>
      <c r="L143" s="404" t="str">
        <f>OBRA!AH142</f>
        <v>-</v>
      </c>
      <c r="M143" s="402"/>
      <c r="N143" s="404" t="str">
        <f>OBRA!AI142</f>
        <v>-</v>
      </c>
      <c r="O143" s="144"/>
      <c r="P143" s="144"/>
      <c r="Q143" s="401"/>
      <c r="R143" s="407" t="str">
        <f>OBRA!AJ142</f>
        <v>-</v>
      </c>
      <c r="S143" s="385"/>
      <c r="T143" s="399" t="str">
        <f>OBRA!W142</f>
        <v>-</v>
      </c>
      <c r="U143" s="408" t="str">
        <f>OBRA!X142</f>
        <v>ING. RIGOBERTO OLMEDO RAMOS</v>
      </c>
      <c r="V143" s="1090"/>
      <c r="W143" s="19" t="str">
        <f>OBRA!N142</f>
        <v>DOP/AD/007/2016</v>
      </c>
      <c r="X143" s="12"/>
      <c r="Y143" s="12"/>
      <c r="Z143" s="409" t="str">
        <f>OBRA!M142</f>
        <v>CUENTA CORRIENTE</v>
      </c>
      <c r="AA143" s="12"/>
      <c r="AB143" s="2" t="str">
        <f>OBRA!O142</f>
        <v>ADMINISTRACIÓN DIRECTA</v>
      </c>
      <c r="AC143" s="3" t="str">
        <f>OBRA!P142</f>
        <v>AMPLIACIÓN DE COLECTOR DE ALEJAMIENTO DEL DRENAJE SANITARIO" EN LA LOCALIDAD DE HUEJOTITAN.</v>
      </c>
      <c r="AD143" s="4">
        <f>OBRA!R142</f>
        <v>426643.27</v>
      </c>
      <c r="AE143" s="6">
        <f>OBRA!S142</f>
        <v>42524</v>
      </c>
      <c r="AF143" s="5">
        <f>OBRA!T142</f>
        <v>42527</v>
      </c>
      <c r="AG143" s="390">
        <f>OBRA!U142</f>
        <v>42581</v>
      </c>
      <c r="AH143" s="52"/>
      <c r="AI143" s="211"/>
      <c r="AJ143" s="242"/>
      <c r="AK143" s="242"/>
      <c r="AL143" s="394"/>
      <c r="AM143" s="519" t="str">
        <f>GRAL!B144</f>
        <v>2015-2018</v>
      </c>
    </row>
    <row r="144" spans="1:39" ht="60.75" hidden="1" thickTop="1">
      <c r="A144" s="158">
        <f>OBRA!J143</f>
        <v>2016</v>
      </c>
      <c r="B144" s="1683"/>
      <c r="C144" s="395"/>
      <c r="D144" s="146"/>
      <c r="E144" s="148"/>
      <c r="F144" s="148"/>
      <c r="G144" s="398"/>
      <c r="H144" s="404" t="str">
        <f>OBRA!AF143</f>
        <v>-</v>
      </c>
      <c r="I144" s="400"/>
      <c r="J144" s="406" t="str">
        <f>OBRA!AG143</f>
        <v>-</v>
      </c>
      <c r="K144" s="401"/>
      <c r="L144" s="404" t="str">
        <f>OBRA!AH143</f>
        <v>-</v>
      </c>
      <c r="M144" s="402"/>
      <c r="N144" s="404" t="str">
        <f>OBRA!AI143</f>
        <v>-</v>
      </c>
      <c r="O144" s="144"/>
      <c r="P144" s="144"/>
      <c r="Q144" s="401"/>
      <c r="R144" s="407" t="str">
        <f>OBRA!AJ143</f>
        <v>-</v>
      </c>
      <c r="S144" s="385"/>
      <c r="T144" s="399" t="str">
        <f>OBRA!W143</f>
        <v>-</v>
      </c>
      <c r="U144" s="408" t="str">
        <f>OBRA!X143</f>
        <v>ING. J. GUADALUPE IBARRA RAMIREZ</v>
      </c>
      <c r="V144" s="1090"/>
      <c r="W144" s="19" t="str">
        <f>OBRA!N143</f>
        <v>DOP/AD/008/2016</v>
      </c>
      <c r="X144" s="12"/>
      <c r="Y144" s="12"/>
      <c r="Z144" s="409" t="str">
        <f>OBRA!M143</f>
        <v>RAMO 33</v>
      </c>
      <c r="AA144" s="12"/>
      <c r="AB144" s="2" t="str">
        <f>OBRA!O143</f>
        <v>ADMINISTRACIÓN DIRECTA</v>
      </c>
      <c r="AC144" s="3" t="str">
        <f>OBRA!P143</f>
        <v>AMPLIACIÓN DE RED DE DRENAJE PARALELO  A CARRETERA DESDE EL HOSPITAL COMUNITARIO HACIA EL ORIENTE, EN LA LOCALIDAD DE CHANTEPEC</v>
      </c>
      <c r="AD144" s="4">
        <f>OBRA!R143</f>
        <v>291113.12</v>
      </c>
      <c r="AE144" s="6">
        <f>OBRA!S143</f>
        <v>42531</v>
      </c>
      <c r="AF144" s="5">
        <f>OBRA!T143</f>
        <v>42534</v>
      </c>
      <c r="AG144" s="390">
        <f>OBRA!U143</f>
        <v>42546</v>
      </c>
      <c r="AH144" s="52"/>
      <c r="AI144" s="211"/>
      <c r="AJ144" s="242"/>
      <c r="AK144" s="242"/>
      <c r="AL144" s="394"/>
      <c r="AM144" s="519" t="str">
        <f>GRAL!B145</f>
        <v>2015-2018</v>
      </c>
    </row>
    <row r="145" spans="1:39" ht="60.75" hidden="1" thickTop="1">
      <c r="A145" s="158">
        <f>OBRA!J144</f>
        <v>2016</v>
      </c>
      <c r="B145" s="1683"/>
      <c r="C145" s="395"/>
      <c r="D145" s="146"/>
      <c r="E145" s="148"/>
      <c r="F145" s="148"/>
      <c r="G145" s="398"/>
      <c r="H145" s="404" t="str">
        <f>OBRA!AF144</f>
        <v>-</v>
      </c>
      <c r="I145" s="400"/>
      <c r="J145" s="406" t="str">
        <f>OBRA!AG144</f>
        <v>-</v>
      </c>
      <c r="K145" s="401"/>
      <c r="L145" s="404" t="str">
        <f>OBRA!AH144</f>
        <v>-</v>
      </c>
      <c r="M145" s="402"/>
      <c r="N145" s="404" t="str">
        <f>OBRA!AI144</f>
        <v>-</v>
      </c>
      <c r="O145" s="144"/>
      <c r="P145" s="144"/>
      <c r="Q145" s="401"/>
      <c r="R145" s="407" t="str">
        <f>OBRA!AJ144</f>
        <v>-</v>
      </c>
      <c r="S145" s="385"/>
      <c r="T145" s="399" t="str">
        <f>OBRA!W144</f>
        <v>-</v>
      </c>
      <c r="U145" s="408" t="str">
        <f>OBRA!X144</f>
        <v>ING. J. GUADALUPE IBARRA RAMIREZ</v>
      </c>
      <c r="V145" s="1090"/>
      <c r="W145" s="19" t="str">
        <f>OBRA!N144</f>
        <v>DOP/AD/009/2016</v>
      </c>
      <c r="X145" s="12"/>
      <c r="Y145" s="12"/>
      <c r="Z145" s="409" t="str">
        <f>OBRA!M144</f>
        <v>RAMO 33</v>
      </c>
      <c r="AA145" s="12"/>
      <c r="AB145" s="2" t="str">
        <f>OBRA!O144</f>
        <v>ADMINISTRACIÓN DIRECTA</v>
      </c>
      <c r="AC145" s="3" t="str">
        <f>OBRA!P144</f>
        <v>EMPEDRADO AHOGADO EN CEMENTO DE LA CALLE VERANO DE LÓPEZ RAYÓN HASTA EL EMPEDRADO EXISTENTE, EN LA CABECERA MUNICIPAL</v>
      </c>
      <c r="AD145" s="4">
        <f>OBRA!R144</f>
        <v>292744.34000000003</v>
      </c>
      <c r="AE145" s="6">
        <f>OBRA!S144</f>
        <v>42499</v>
      </c>
      <c r="AF145" s="5">
        <f>OBRA!T144</f>
        <v>42502</v>
      </c>
      <c r="AG145" s="390">
        <f>OBRA!U144</f>
        <v>42665</v>
      </c>
      <c r="AH145" s="52"/>
      <c r="AI145" s="211"/>
      <c r="AJ145" s="242"/>
      <c r="AK145" s="242"/>
      <c r="AL145" s="394"/>
      <c r="AM145" s="519" t="str">
        <f>GRAL!B146</f>
        <v>2015-2018</v>
      </c>
    </row>
    <row r="146" spans="1:39" ht="60.75" hidden="1" thickTop="1">
      <c r="A146" s="158">
        <f>OBRA!J145</f>
        <v>2016</v>
      </c>
      <c r="B146" s="1683"/>
      <c r="C146" s="395"/>
      <c r="D146" s="146"/>
      <c r="E146" s="148"/>
      <c r="F146" s="148"/>
      <c r="G146" s="398"/>
      <c r="H146" s="404" t="str">
        <f>OBRA!AF145</f>
        <v>-</v>
      </c>
      <c r="I146" s="400"/>
      <c r="J146" s="406" t="str">
        <f>OBRA!AG145</f>
        <v>-</v>
      </c>
      <c r="K146" s="401"/>
      <c r="L146" s="404" t="str">
        <f>OBRA!AH145</f>
        <v>-</v>
      </c>
      <c r="M146" s="402"/>
      <c r="N146" s="404" t="str">
        <f>OBRA!AI145</f>
        <v>-</v>
      </c>
      <c r="O146" s="144"/>
      <c r="P146" s="144"/>
      <c r="Q146" s="401"/>
      <c r="R146" s="407" t="str">
        <f>OBRA!AJ145</f>
        <v>-</v>
      </c>
      <c r="S146" s="385"/>
      <c r="T146" s="399" t="str">
        <f>OBRA!W145</f>
        <v>-</v>
      </c>
      <c r="U146" s="408" t="str">
        <f>OBRA!X145</f>
        <v>ING. J. GUADALUPE IBARRA RAMIREZ</v>
      </c>
      <c r="V146" s="1090"/>
      <c r="W146" s="19" t="str">
        <f>OBRA!N145</f>
        <v>DOP/AD/010/2016</v>
      </c>
      <c r="X146" s="12"/>
      <c r="Y146" s="12"/>
      <c r="Z146" s="409" t="str">
        <f>OBRA!M145</f>
        <v>RAMO 33</v>
      </c>
      <c r="AA146" s="12"/>
      <c r="AB146" s="2" t="str">
        <f>OBRA!O145</f>
        <v>ADMINISTRACIÓN DIRECTA</v>
      </c>
      <c r="AC146" s="3" t="str">
        <f>OBRA!P145</f>
        <v>"AMPLIACIÓN DE RED DE AGUA POTABLE (LINEA ALIMENTADORA) EN AV. DE LOS MAESTROS ENTRE PEDRO MORENO Y NICOLAS BRAVO", EN LA CABECERA MUNICIPAL</v>
      </c>
      <c r="AD146" s="4">
        <f>OBRA!R145</f>
        <v>93972.47</v>
      </c>
      <c r="AE146" s="6">
        <f>OBRA!S145</f>
        <v>42552</v>
      </c>
      <c r="AF146" s="5">
        <f>OBRA!T145</f>
        <v>42555</v>
      </c>
      <c r="AG146" s="390">
        <f>OBRA!U145</f>
        <v>42586</v>
      </c>
      <c r="AH146" s="52"/>
      <c r="AI146" s="211"/>
      <c r="AJ146" s="242"/>
      <c r="AK146" s="242"/>
      <c r="AL146" s="394"/>
      <c r="AM146" s="519" t="str">
        <f>GRAL!B147</f>
        <v>2015-2018</v>
      </c>
    </row>
    <row r="147" spans="1:39" ht="105.75" hidden="1" thickTop="1">
      <c r="A147" s="158">
        <f>OBRA!J146</f>
        <v>2016</v>
      </c>
      <c r="B147" s="1683"/>
      <c r="C147" s="395"/>
      <c r="D147" s="146"/>
      <c r="E147" s="148"/>
      <c r="F147" s="148"/>
      <c r="G147" s="398"/>
      <c r="H147" s="404" t="str">
        <f>OBRA!AF146</f>
        <v>-</v>
      </c>
      <c r="I147" s="400"/>
      <c r="J147" s="406" t="str">
        <f>OBRA!AG146</f>
        <v>-</v>
      </c>
      <c r="K147" s="401"/>
      <c r="L147" s="404" t="str">
        <f>OBRA!AH146</f>
        <v>-</v>
      </c>
      <c r="M147" s="402"/>
      <c r="N147" s="404" t="str">
        <f>OBRA!AI146</f>
        <v>-</v>
      </c>
      <c r="O147" s="144"/>
      <c r="P147" s="144"/>
      <c r="Q147" s="401"/>
      <c r="R147" s="407" t="str">
        <f>OBRA!AJ146</f>
        <v>-</v>
      </c>
      <c r="S147" s="385"/>
      <c r="T147" s="399" t="str">
        <f>OBRA!W146</f>
        <v>-</v>
      </c>
      <c r="U147" s="408" t="str">
        <f>OBRA!X146</f>
        <v>ING. J. GUADALUPE IBARRA RAMIREZ</v>
      </c>
      <c r="V147" s="1090"/>
      <c r="W147" s="19" t="str">
        <f>OBRA!N146</f>
        <v>DOP/AD/011/2016</v>
      </c>
      <c r="X147" s="12"/>
      <c r="Y147" s="12"/>
      <c r="Z147" s="409" t="str">
        <f>OBRA!M146</f>
        <v>CUENTA CORRIENTE</v>
      </c>
      <c r="AA147" s="12"/>
      <c r="AB147" s="2" t="str">
        <f>OBRA!O146</f>
        <v>ADMINISTRACIÓN DIRECTA</v>
      </c>
      <c r="AC147" s="3" t="str">
        <f>OBRA!P146</f>
        <v>OBRA COMPLEMENTARIA PARA LA SUPERFICIE DE RODAMIENTO DE LAS CALLES; C. MATAMOROS ENTRE LOS ANGELES Y LIBERTAD, EN AV. DE LOS MAESTROS ENTRE GUADALUPE VICTORIA Y NICOLAS BRAVO Y C. LOS ANGELES ENTRE MATAMOROS Y NICOLAS BRAVO EN LA CABECERA MUNICIPAL</v>
      </c>
      <c r="AD147" s="4">
        <f>OBRA!R146</f>
        <v>550572.48</v>
      </c>
      <c r="AE147" s="6">
        <f>OBRA!S146</f>
        <v>42531</v>
      </c>
      <c r="AF147" s="5">
        <f>OBRA!T146</f>
        <v>42534</v>
      </c>
      <c r="AG147" s="390">
        <f>OBRA!U146</f>
        <v>42582</v>
      </c>
      <c r="AH147" s="52"/>
      <c r="AI147" s="211"/>
      <c r="AJ147" s="242"/>
      <c r="AK147" s="242"/>
      <c r="AL147" s="394"/>
      <c r="AM147" s="519" t="str">
        <f>GRAL!B148</f>
        <v>2015-2018</v>
      </c>
    </row>
    <row r="148" spans="1:39" ht="75.75" hidden="1" thickTop="1">
      <c r="A148" s="158">
        <f>OBRA!J147</f>
        <v>2016</v>
      </c>
      <c r="B148" s="1683"/>
      <c r="C148" s="395"/>
      <c r="D148" s="146"/>
      <c r="E148" s="148"/>
      <c r="F148" s="148"/>
      <c r="G148" s="398"/>
      <c r="H148" s="404" t="str">
        <f>OBRA!AF147</f>
        <v>-</v>
      </c>
      <c r="I148" s="400"/>
      <c r="J148" s="406" t="str">
        <f>OBRA!AG147</f>
        <v>-</v>
      </c>
      <c r="K148" s="401"/>
      <c r="L148" s="404" t="str">
        <f>OBRA!AH147</f>
        <v>-</v>
      </c>
      <c r="M148" s="402"/>
      <c r="N148" s="404" t="str">
        <f>OBRA!AI147</f>
        <v>-</v>
      </c>
      <c r="O148" s="144"/>
      <c r="P148" s="144"/>
      <c r="Q148" s="401"/>
      <c r="R148" s="407" t="str">
        <f>OBRA!AJ147</f>
        <v>-</v>
      </c>
      <c r="S148" s="385"/>
      <c r="T148" s="399" t="str">
        <f>OBRA!W147</f>
        <v>-</v>
      </c>
      <c r="U148" s="408" t="str">
        <f>OBRA!X147</f>
        <v>ING. RIGOBERTO OLMEDO RAMOS</v>
      </c>
      <c r="V148" s="1090"/>
      <c r="W148" s="19" t="str">
        <f>OBRA!N147</f>
        <v>DOP/AD/012/2016</v>
      </c>
      <c r="X148" s="12"/>
      <c r="Y148" s="12"/>
      <c r="Z148" s="409" t="str">
        <f>OBRA!M147</f>
        <v>FONDEREG</v>
      </c>
      <c r="AA148" s="12"/>
      <c r="AB148" s="2" t="str">
        <f>OBRA!O147</f>
        <v>ADMINISTRACIÓN DIRECTA</v>
      </c>
      <c r="AC148" s="3" t="str">
        <f>OBRA!P147</f>
        <v>REHABILITACION DE LINEAS HIDROSANITARIAS, EN LA CALLE ZARAGOZA, EN LA LOCALIDAD DE SAN CRISTOBAL  ZAPOTITLÁN, DEL MUNICIPIO DE JOCOTEPEC. JALISCO. CORRESPONDIENTE A LA PARTIDA PRESUPUESTAL DE DRENAJE SANITARIO</v>
      </c>
      <c r="AD148" s="4">
        <f>OBRA!R147</f>
        <v>165675.38</v>
      </c>
      <c r="AE148" s="6">
        <f>OBRA!S147</f>
        <v>42591</v>
      </c>
      <c r="AF148" s="5">
        <f>OBRA!T147</f>
        <v>42618</v>
      </c>
      <c r="AG148" s="390">
        <f>OBRA!U147</f>
        <v>42643</v>
      </c>
      <c r="AH148" s="52"/>
      <c r="AI148" s="211"/>
      <c r="AJ148" s="242"/>
      <c r="AK148" s="242"/>
      <c r="AL148" s="394"/>
      <c r="AM148" s="519" t="str">
        <f>GRAL!B149</f>
        <v>2015-2018</v>
      </c>
    </row>
    <row r="149" spans="1:39" ht="75.75" hidden="1" thickTop="1">
      <c r="A149" s="158">
        <f>OBRA!J148</f>
        <v>2016</v>
      </c>
      <c r="B149" s="1683"/>
      <c r="C149" s="395"/>
      <c r="D149" s="146"/>
      <c r="E149" s="148"/>
      <c r="F149" s="148"/>
      <c r="G149" s="398"/>
      <c r="H149" s="404" t="str">
        <f>OBRA!AF148</f>
        <v>-</v>
      </c>
      <c r="I149" s="400"/>
      <c r="J149" s="406" t="str">
        <f>OBRA!AG148</f>
        <v>-</v>
      </c>
      <c r="K149" s="401"/>
      <c r="L149" s="404" t="str">
        <f>OBRA!AH148</f>
        <v>-</v>
      </c>
      <c r="M149" s="402"/>
      <c r="N149" s="404" t="str">
        <f>OBRA!AI148</f>
        <v>-</v>
      </c>
      <c r="O149" s="144"/>
      <c r="P149" s="144"/>
      <c r="Q149" s="401"/>
      <c r="R149" s="407" t="str">
        <f>OBRA!AJ148</f>
        <v>-</v>
      </c>
      <c r="S149" s="385"/>
      <c r="T149" s="399" t="str">
        <f>OBRA!W148</f>
        <v>-</v>
      </c>
      <c r="U149" s="408" t="str">
        <f>OBRA!X148</f>
        <v>ING. RIGOBERTO OLMEDO RAMOS</v>
      </c>
      <c r="V149" s="1090"/>
      <c r="W149" s="19" t="str">
        <f>OBRA!N148</f>
        <v>DOP/AD/013/2016</v>
      </c>
      <c r="X149" s="12"/>
      <c r="Y149" s="12"/>
      <c r="Z149" s="409" t="str">
        <f>OBRA!M148</f>
        <v>FONDEREG</v>
      </c>
      <c r="AA149" s="12"/>
      <c r="AB149" s="2" t="str">
        <f>OBRA!O148</f>
        <v>ADMINISTRACIÓN DIRECTA</v>
      </c>
      <c r="AC149" s="3" t="str">
        <f>OBRA!P148</f>
        <v>REHABILITACION DE LINEAS HIDROSANITARIAS, EN LA CALLE ZARAGOZA, EN LA LOCALIDAD DE SAN CRISTOBAL  ZAPOTITLÁN, DEL MUNICIPIO DE JOCOTEPEC. JALISCO. CORRESPONDIENTE A LA PARTIDA PRESUPUESTAL DE AGUA POTABLE</v>
      </c>
      <c r="AD149" s="4">
        <f>OBRA!R148</f>
        <v>127975.51</v>
      </c>
      <c r="AE149" s="6">
        <f>OBRA!S148</f>
        <v>42591</v>
      </c>
      <c r="AF149" s="5">
        <f>OBRA!T148</f>
        <v>42632</v>
      </c>
      <c r="AG149" s="390">
        <f>OBRA!U148</f>
        <v>42651</v>
      </c>
      <c r="AH149" s="52"/>
      <c r="AI149" s="211"/>
      <c r="AJ149" s="242"/>
      <c r="AK149" s="242"/>
      <c r="AL149" s="394"/>
      <c r="AM149" s="519" t="str">
        <f>GRAL!B150</f>
        <v>2015-2018</v>
      </c>
    </row>
    <row r="150" spans="1:39" ht="93" hidden="1" customHeight="1" thickTop="1">
      <c r="A150" s="158">
        <f>OBRA!J149</f>
        <v>2016</v>
      </c>
      <c r="B150" s="1683"/>
      <c r="C150" s="395"/>
      <c r="D150" s="146"/>
      <c r="E150" s="148"/>
      <c r="F150" s="148"/>
      <c r="G150" s="398"/>
      <c r="H150" s="404" t="str">
        <f>OBRA!AF149</f>
        <v>-</v>
      </c>
      <c r="I150" s="400"/>
      <c r="J150" s="406" t="str">
        <f>OBRA!AG149</f>
        <v>-</v>
      </c>
      <c r="K150" s="401"/>
      <c r="L150" s="404" t="str">
        <f>OBRA!AH149</f>
        <v>-</v>
      </c>
      <c r="M150" s="402"/>
      <c r="N150" s="404" t="str">
        <f>OBRA!AI149</f>
        <v>-</v>
      </c>
      <c r="O150" s="144"/>
      <c r="P150" s="144"/>
      <c r="Q150" s="401"/>
      <c r="R150" s="407" t="str">
        <f>OBRA!AJ149</f>
        <v>-</v>
      </c>
      <c r="S150" s="385"/>
      <c r="T150" s="399" t="str">
        <f>OBRA!W149</f>
        <v>-</v>
      </c>
      <c r="U150" s="408" t="str">
        <f>OBRA!X149</f>
        <v>ING. RIGOBERTO OLMEDO RAMOS</v>
      </c>
      <c r="V150" s="1090"/>
      <c r="W150" s="19" t="str">
        <f>OBRA!N149</f>
        <v>DOP/AD/014/2016</v>
      </c>
      <c r="X150" s="12"/>
      <c r="Y150" s="12"/>
      <c r="Z150" s="409" t="str">
        <f>OBRA!M149</f>
        <v>FONDEREG</v>
      </c>
      <c r="AA150" s="12"/>
      <c r="AB150" s="2" t="str">
        <f>OBRA!O149</f>
        <v>ADMINISTRACIÓN DIRECTA</v>
      </c>
      <c r="AC150" s="3" t="str">
        <f>OBRA!P149</f>
        <v>EMPEDRADO ECÓLOGICO CON HUELLAS DE CONCRETO HIDRAULICO EN LA CALLE ZARAGOZA DE LA LOCALIDAD DE SAN CRISTOBAL ZAPOTITLAN</v>
      </c>
      <c r="AD150" s="4">
        <f>OBRA!R149</f>
        <v>2597533.2999999998</v>
      </c>
      <c r="AE150" s="6">
        <f>OBRA!S149</f>
        <v>42591</v>
      </c>
      <c r="AF150" s="5">
        <f>OBRA!T149</f>
        <v>42592</v>
      </c>
      <c r="AG150" s="390">
        <f>OBRA!U149</f>
        <v>42719</v>
      </c>
      <c r="AH150" s="52"/>
      <c r="AI150" s="211"/>
      <c r="AJ150" s="242"/>
      <c r="AK150" s="242"/>
      <c r="AL150" s="394"/>
      <c r="AM150" s="519" t="str">
        <f>GRAL!B151</f>
        <v>2015-2018</v>
      </c>
    </row>
    <row r="151" spans="1:39" ht="60.75" hidden="1" thickTop="1">
      <c r="A151" s="158">
        <f>OBRA!J150</f>
        <v>2016</v>
      </c>
      <c r="B151" s="1683"/>
      <c r="C151" s="395"/>
      <c r="D151" s="146"/>
      <c r="E151" s="148"/>
      <c r="F151" s="148"/>
      <c r="G151" s="398"/>
      <c r="H151" s="404" t="str">
        <f>OBRA!AF150</f>
        <v>-</v>
      </c>
      <c r="I151" s="400"/>
      <c r="J151" s="406" t="str">
        <f>OBRA!AG150</f>
        <v>-</v>
      </c>
      <c r="K151" s="401"/>
      <c r="L151" s="404" t="str">
        <f>OBRA!AH150</f>
        <v>-</v>
      </c>
      <c r="M151" s="402"/>
      <c r="N151" s="404" t="str">
        <f>OBRA!AI150</f>
        <v>-</v>
      </c>
      <c r="O151" s="144"/>
      <c r="P151" s="144"/>
      <c r="Q151" s="401"/>
      <c r="R151" s="407" t="str">
        <f>OBRA!AJ150</f>
        <v>-</v>
      </c>
      <c r="S151" s="385"/>
      <c r="T151" s="399" t="str">
        <f>OBRA!W150</f>
        <v>-</v>
      </c>
      <c r="U151" s="408" t="str">
        <f>OBRA!X150</f>
        <v>ING. J. GUADALUPE IBARRA RAMIREZ</v>
      </c>
      <c r="V151" s="1090"/>
      <c r="W151" s="19" t="str">
        <f>OBRA!N150</f>
        <v>DOP/AD/015/2016</v>
      </c>
      <c r="X151" s="12"/>
      <c r="Y151" s="12"/>
      <c r="Z151" s="409" t="str">
        <f>OBRA!M150</f>
        <v>CUENTA CORRIENTE</v>
      </c>
      <c r="AA151" s="12"/>
      <c r="AB151" s="2" t="str">
        <f>OBRA!O150</f>
        <v>ADMINISTRACIÓN DIRECTA</v>
      </c>
      <c r="AC151" s="3" t="str">
        <f>OBRA!P150</f>
        <v>INSTALACIÓN DE DESCARGAS DOMICILIARIAS EN LA CALLE LÓPEZ RAYÓN DE PRIVADA INDEPENDENCIA HACIA CALLE VERANO EN LA CABECERA MUNICIPAL</v>
      </c>
      <c r="AD151" s="4">
        <f>OBRA!R150</f>
        <v>12001.68</v>
      </c>
      <c r="AE151" s="6">
        <f>OBRA!S150</f>
        <v>42548</v>
      </c>
      <c r="AF151" s="5">
        <f>OBRA!T150</f>
        <v>42549</v>
      </c>
      <c r="AG151" s="390">
        <f>OBRA!U150</f>
        <v>42622</v>
      </c>
      <c r="AH151" s="52"/>
      <c r="AI151" s="211"/>
      <c r="AJ151" s="242"/>
      <c r="AK151" s="242"/>
      <c r="AL151" s="394"/>
      <c r="AM151" s="519" t="str">
        <f>GRAL!B152</f>
        <v>2015-2018</v>
      </c>
    </row>
    <row r="152" spans="1:39" ht="87.75" hidden="1" customHeight="1" thickTop="1">
      <c r="A152" s="158">
        <f>OBRA!J151</f>
        <v>2016</v>
      </c>
      <c r="B152" s="1683"/>
      <c r="C152" s="395"/>
      <c r="D152" s="146"/>
      <c r="E152" s="148"/>
      <c r="F152" s="148"/>
      <c r="G152" s="398"/>
      <c r="H152" s="404" t="str">
        <f>OBRA!AF151</f>
        <v>-</v>
      </c>
      <c r="I152" s="400"/>
      <c r="J152" s="406" t="str">
        <f>OBRA!AG151</f>
        <v>-</v>
      </c>
      <c r="K152" s="401"/>
      <c r="L152" s="404" t="str">
        <f>OBRA!AH151</f>
        <v>-</v>
      </c>
      <c r="M152" s="402"/>
      <c r="N152" s="404" t="str">
        <f>OBRA!AI151</f>
        <v>-</v>
      </c>
      <c r="O152" s="144"/>
      <c r="P152" s="144"/>
      <c r="Q152" s="401"/>
      <c r="R152" s="407" t="str">
        <f>OBRA!AJ151</f>
        <v>-</v>
      </c>
      <c r="S152" s="385"/>
      <c r="T152" s="399" t="str">
        <f>OBRA!W151</f>
        <v>-</v>
      </c>
      <c r="U152" s="408" t="str">
        <f>OBRA!X151</f>
        <v>ING. J. GUADALUPE IBARRA RAMIREZ</v>
      </c>
      <c r="V152" s="1090"/>
      <c r="W152" s="19" t="str">
        <f>OBRA!N151</f>
        <v>DOP/AD/016/2016</v>
      </c>
      <c r="X152" s="12"/>
      <c r="Y152" s="12"/>
      <c r="Z152" s="409" t="str">
        <f>OBRA!M151</f>
        <v>CUENTA CORRIENTE</v>
      </c>
      <c r="AA152" s="12"/>
      <c r="AB152" s="2" t="str">
        <f>OBRA!O151</f>
        <v>ADMINISTRACIÓN DIRECTA</v>
      </c>
      <c r="AC152" s="3" t="str">
        <f>OBRA!P151</f>
        <v>"AMPLIACIÓN DE RED DE AGUA POTABLE Y TOMAS DOMICILIARIAS EN LA CALLE LÓPEZ RAYÓN, PRIVADA INDEPENDENCIA HACIA CALLE VERANO" EN LA CABECERA MUNICIPAL</v>
      </c>
      <c r="AD152" s="4">
        <f>OBRA!R151</f>
        <v>27133.54</v>
      </c>
      <c r="AE152" s="6">
        <f>OBRA!S151</f>
        <v>42548</v>
      </c>
      <c r="AF152" s="5">
        <f>OBRA!T151</f>
        <v>42549</v>
      </c>
      <c r="AG152" s="390">
        <f>OBRA!U151</f>
        <v>42622</v>
      </c>
      <c r="AH152" s="52"/>
      <c r="AI152" s="211"/>
      <c r="AJ152" s="242"/>
      <c r="AK152" s="242"/>
      <c r="AL152" s="394"/>
      <c r="AM152" s="519" t="str">
        <f>GRAL!B153</f>
        <v>2015-2018</v>
      </c>
    </row>
    <row r="153" spans="1:39" ht="90" hidden="1" customHeight="1" thickTop="1">
      <c r="A153" s="158">
        <f>OBRA!J152</f>
        <v>2016</v>
      </c>
      <c r="B153" s="1683"/>
      <c r="C153" s="395"/>
      <c r="D153" s="146"/>
      <c r="E153" s="148"/>
      <c r="F153" s="148"/>
      <c r="G153" s="398"/>
      <c r="H153" s="404" t="str">
        <f>OBRA!AF152</f>
        <v>-</v>
      </c>
      <c r="I153" s="400"/>
      <c r="J153" s="406" t="str">
        <f>OBRA!AG152</f>
        <v>-</v>
      </c>
      <c r="K153" s="401"/>
      <c r="L153" s="404" t="str">
        <f>OBRA!AH152</f>
        <v>-</v>
      </c>
      <c r="M153" s="402"/>
      <c r="N153" s="404" t="str">
        <f>OBRA!AI152</f>
        <v>-</v>
      </c>
      <c r="O153" s="144"/>
      <c r="P153" s="144"/>
      <c r="Q153" s="401"/>
      <c r="R153" s="407" t="str">
        <f>OBRA!AJ152</f>
        <v>-</v>
      </c>
      <c r="S153" s="385"/>
      <c r="T153" s="399" t="str">
        <f>OBRA!W152</f>
        <v>-</v>
      </c>
      <c r="U153" s="408" t="str">
        <f>OBRA!X152</f>
        <v>ING. RIGOBERTO OLMEDO RAMOS</v>
      </c>
      <c r="V153" s="1090"/>
      <c r="W153" s="19" t="str">
        <f>OBRA!N152</f>
        <v>DOP/AD/017/2016</v>
      </c>
      <c r="X153" s="12"/>
      <c r="Y153" s="12"/>
      <c r="Z153" s="409" t="str">
        <f>OBRA!M152</f>
        <v>3X1 PARA MIGRANTES</v>
      </c>
      <c r="AA153" s="12"/>
      <c r="AB153" s="2" t="str">
        <f>OBRA!O152</f>
        <v>ADMINISTRACIÓN DIRECTA</v>
      </c>
      <c r="AC153" s="3" t="str">
        <f>OBRA!P152</f>
        <v>REHABILITACIÓN DE RED DE DRENAJE EN CALLE RAMON CORONA DESDE PINO SUAREZ HASTA ZONA FEDERAL DEL LAGO, EN LA LOCALIDAD DE SAN PEDRO TESISTAN</v>
      </c>
      <c r="AD153" s="4">
        <f>OBRA!R152</f>
        <v>136120</v>
      </c>
      <c r="AE153" s="6">
        <f>OBRA!S152</f>
        <v>42627</v>
      </c>
      <c r="AF153" s="5">
        <f>OBRA!T152</f>
        <v>42627</v>
      </c>
      <c r="AG153" s="390">
        <f>OBRA!U152</f>
        <v>42643</v>
      </c>
      <c r="AH153" s="52"/>
      <c r="AI153" s="211"/>
      <c r="AJ153" s="242"/>
      <c r="AK153" s="242"/>
      <c r="AL153" s="394"/>
      <c r="AM153" s="519" t="str">
        <f>GRAL!B154</f>
        <v>2015-2018</v>
      </c>
    </row>
    <row r="154" spans="1:39" ht="60.75" hidden="1" thickTop="1">
      <c r="A154" s="158">
        <f>OBRA!J153</f>
        <v>2016</v>
      </c>
      <c r="B154" s="1683"/>
      <c r="C154" s="395"/>
      <c r="D154" s="146"/>
      <c r="E154" s="148"/>
      <c r="F154" s="148"/>
      <c r="G154" s="398"/>
      <c r="H154" s="404" t="str">
        <f>OBRA!AF153</f>
        <v>-</v>
      </c>
      <c r="I154" s="400"/>
      <c r="J154" s="406" t="str">
        <f>OBRA!AG153</f>
        <v>-</v>
      </c>
      <c r="K154" s="401"/>
      <c r="L154" s="404" t="str">
        <f>OBRA!AH153</f>
        <v>-</v>
      </c>
      <c r="M154" s="402"/>
      <c r="N154" s="404" t="str">
        <f>OBRA!AI153</f>
        <v>-</v>
      </c>
      <c r="O154" s="144"/>
      <c r="P154" s="144"/>
      <c r="Q154" s="401"/>
      <c r="R154" s="407" t="str">
        <f>OBRA!AJ153</f>
        <v>-</v>
      </c>
      <c r="S154" s="385"/>
      <c r="T154" s="399" t="str">
        <f>OBRA!W153</f>
        <v>-</v>
      </c>
      <c r="U154" s="408" t="str">
        <f>OBRA!X153</f>
        <v>ING. RIGOBERTO OLMEDO RAMOS</v>
      </c>
      <c r="V154" s="1090"/>
      <c r="W154" s="19" t="str">
        <f>OBRA!N153</f>
        <v>DOP/AD/018/2016</v>
      </c>
      <c r="X154" s="12"/>
      <c r="Y154" s="12"/>
      <c r="Z154" s="409" t="str">
        <f>OBRA!M153</f>
        <v>3X1 PARA MIGRANTES</v>
      </c>
      <c r="AA154" s="12"/>
      <c r="AB154" s="2" t="str">
        <f>OBRA!O153</f>
        <v>ADMINISTRACIÓN DIRECTA</v>
      </c>
      <c r="AC154" s="3" t="str">
        <f>OBRA!P153</f>
        <v>REHABILITACION DE RED DE AGUA POTABLE EN CALLE RAMON CORONA DESDE PINO SUAREZ HASTA ZONA FEDERAL DEL LAGO, EN LA LOCALIDAD DE SAN PEDRO TESISTAN</v>
      </c>
      <c r="AD154" s="4">
        <f>OBRA!R153</f>
        <v>100336</v>
      </c>
      <c r="AE154" s="6">
        <f>OBRA!S153</f>
        <v>42639</v>
      </c>
      <c r="AF154" s="5">
        <f>OBRA!T153</f>
        <v>42639</v>
      </c>
      <c r="AG154" s="390">
        <f>OBRA!U153</f>
        <v>42651</v>
      </c>
      <c r="AH154" s="52"/>
      <c r="AI154" s="211"/>
      <c r="AJ154" s="242"/>
      <c r="AK154" s="242"/>
      <c r="AL154" s="394"/>
      <c r="AM154" s="519" t="str">
        <f>GRAL!B155</f>
        <v>2015-2018</v>
      </c>
    </row>
    <row r="155" spans="1:39" ht="90" hidden="1" customHeight="1" thickTop="1">
      <c r="A155" s="158">
        <f>OBRA!J154</f>
        <v>2016</v>
      </c>
      <c r="B155" s="1683"/>
      <c r="C155" s="395"/>
      <c r="D155" s="146"/>
      <c r="E155" s="148"/>
      <c r="F155" s="148"/>
      <c r="G155" s="398"/>
      <c r="H155" s="404" t="str">
        <f>OBRA!AF154</f>
        <v>-</v>
      </c>
      <c r="I155" s="400"/>
      <c r="J155" s="406" t="str">
        <f>OBRA!AG154</f>
        <v>-</v>
      </c>
      <c r="K155" s="401"/>
      <c r="L155" s="404" t="str">
        <f>OBRA!AH154</f>
        <v>-</v>
      </c>
      <c r="M155" s="402"/>
      <c r="N155" s="404" t="str">
        <f>OBRA!AI154</f>
        <v>-</v>
      </c>
      <c r="O155" s="144"/>
      <c r="P155" s="144"/>
      <c r="Q155" s="401"/>
      <c r="R155" s="407" t="str">
        <f>OBRA!AJ154</f>
        <v>-</v>
      </c>
      <c r="S155" s="385"/>
      <c r="T155" s="399" t="str">
        <f>OBRA!W154</f>
        <v>-</v>
      </c>
      <c r="U155" s="408" t="str">
        <f>OBRA!X154</f>
        <v>ING. RIGOBERTO OLMEDO RAMOS</v>
      </c>
      <c r="V155" s="1090"/>
      <c r="W155" s="19" t="str">
        <f>OBRA!N154</f>
        <v>DOP/AD/019/2016</v>
      </c>
      <c r="X155" s="12"/>
      <c r="Y155" s="12"/>
      <c r="Z155" s="409" t="str">
        <f>OBRA!M154</f>
        <v>3X1 PARA MIGRANTES</v>
      </c>
      <c r="AA155" s="12"/>
      <c r="AB155" s="2" t="str">
        <f>OBRA!O154</f>
        <v>ADMINISTRACIÓN DIRECTA</v>
      </c>
      <c r="AC155" s="3" t="str">
        <f>OBRA!P154</f>
        <v>COLOCACIÓN DE EMPEDRADO AHOGADO EN CEMENTO EN CALLE RAMON CORONA DESDE PINO SUAREZ HASTA ZONA FEDERAL DEL LAGO, EN LA LOCALIDAD DE SAN PEDRO TESISTAN</v>
      </c>
      <c r="AD155" s="4">
        <f>OBRA!R154</f>
        <v>236752</v>
      </c>
      <c r="AE155" s="6">
        <f>OBRA!S154</f>
        <v>42641</v>
      </c>
      <c r="AF155" s="5">
        <f>OBRA!T154</f>
        <v>42639</v>
      </c>
      <c r="AG155" s="390">
        <f>OBRA!U154</f>
        <v>42663</v>
      </c>
      <c r="AH155" s="52"/>
      <c r="AI155" s="211"/>
      <c r="AJ155" s="242"/>
      <c r="AK155" s="242"/>
      <c r="AL155" s="394"/>
      <c r="AM155" s="519" t="str">
        <f>GRAL!B156</f>
        <v>2015-2018</v>
      </c>
    </row>
    <row r="156" spans="1:39" ht="93" hidden="1" customHeight="1" thickTop="1">
      <c r="A156" s="158">
        <f>OBRA!J155</f>
        <v>2016</v>
      </c>
      <c r="B156" s="1683"/>
      <c r="C156" s="395"/>
      <c r="D156" s="146"/>
      <c r="E156" s="148"/>
      <c r="F156" s="148"/>
      <c r="G156" s="398"/>
      <c r="H156" s="404" t="str">
        <f>OBRA!AF155</f>
        <v>-</v>
      </c>
      <c r="I156" s="400"/>
      <c r="J156" s="406" t="str">
        <f>OBRA!AG155</f>
        <v>-</v>
      </c>
      <c r="K156" s="401"/>
      <c r="L156" s="404" t="str">
        <f>OBRA!AH155</f>
        <v>-</v>
      </c>
      <c r="M156" s="402"/>
      <c r="N156" s="404" t="str">
        <f>OBRA!AI155</f>
        <v>-</v>
      </c>
      <c r="O156" s="144"/>
      <c r="P156" s="144"/>
      <c r="Q156" s="401"/>
      <c r="R156" s="407" t="str">
        <f>OBRA!AJ155</f>
        <v>-</v>
      </c>
      <c r="S156" s="385"/>
      <c r="T156" s="399" t="str">
        <f>OBRA!W155</f>
        <v>-</v>
      </c>
      <c r="U156" s="408" t="str">
        <f>OBRA!X155</f>
        <v>ING. RIGOBERTO OLMEDO RAMOS</v>
      </c>
      <c r="V156" s="1090"/>
      <c r="W156" s="19" t="str">
        <f>OBRA!N155</f>
        <v>DOP/AD/020/2016</v>
      </c>
      <c r="X156" s="12"/>
      <c r="Y156" s="12"/>
      <c r="Z156" s="409" t="str">
        <f>OBRA!M155</f>
        <v>3X1 PARA MIGRANTES</v>
      </c>
      <c r="AA156" s="12"/>
      <c r="AB156" s="2" t="str">
        <f>OBRA!O155</f>
        <v>ADMINISTRACIÓN DIRECTA</v>
      </c>
      <c r="AC156" s="3" t="str">
        <f>OBRA!P155</f>
        <v xml:space="preserve">REHABILITACION DE RED DE DRENAJE EN CALLE GUADALUPE VICTORIA DESDE HIDALGO HASTA ZONA FEDERAL DEL LAGO, EN LA LOCALIDAD DE SAN PEDRO TESISTAN </v>
      </c>
      <c r="AD156" s="4">
        <f>OBRA!R155</f>
        <v>214516</v>
      </c>
      <c r="AE156" s="6">
        <f>OBRA!S155</f>
        <v>42639</v>
      </c>
      <c r="AF156" s="5">
        <f>OBRA!T155</f>
        <v>42641</v>
      </c>
      <c r="AG156" s="390">
        <f>OBRA!U155</f>
        <v>42663</v>
      </c>
      <c r="AH156" s="52"/>
      <c r="AI156" s="211"/>
      <c r="AJ156" s="242"/>
      <c r="AK156" s="242"/>
      <c r="AL156" s="394"/>
      <c r="AM156" s="519" t="str">
        <f>GRAL!B157</f>
        <v>2015-2018</v>
      </c>
    </row>
    <row r="157" spans="1:39" ht="93" hidden="1" customHeight="1" thickTop="1">
      <c r="A157" s="158">
        <f>OBRA!J156</f>
        <v>2016</v>
      </c>
      <c r="B157" s="1683"/>
      <c r="C157" s="395"/>
      <c r="D157" s="146"/>
      <c r="E157" s="148"/>
      <c r="F157" s="148"/>
      <c r="G157" s="398"/>
      <c r="H157" s="404" t="str">
        <f>OBRA!AF156</f>
        <v>-</v>
      </c>
      <c r="I157" s="400"/>
      <c r="J157" s="406" t="str">
        <f>OBRA!AG156</f>
        <v>-</v>
      </c>
      <c r="K157" s="401"/>
      <c r="L157" s="404" t="str">
        <f>OBRA!AH156</f>
        <v>-</v>
      </c>
      <c r="M157" s="402"/>
      <c r="N157" s="404" t="str">
        <f>OBRA!AI156</f>
        <v>-</v>
      </c>
      <c r="O157" s="144"/>
      <c r="P157" s="144"/>
      <c r="Q157" s="401"/>
      <c r="R157" s="407" t="str">
        <f>OBRA!AJ156</f>
        <v>-</v>
      </c>
      <c r="S157" s="385"/>
      <c r="T157" s="399" t="str">
        <f>OBRA!W156</f>
        <v>-</v>
      </c>
      <c r="U157" s="408" t="str">
        <f>OBRA!X156</f>
        <v>ING. RIGOBERTO OLMEDO RAMOS</v>
      </c>
      <c r="V157" s="1090"/>
      <c r="W157" s="19" t="str">
        <f>OBRA!N156</f>
        <v>DOP/AD/021/2016</v>
      </c>
      <c r="X157" s="12"/>
      <c r="Y157" s="12"/>
      <c r="Z157" s="409" t="str">
        <f>OBRA!M156</f>
        <v>3X1 PARA MIGRANTES</v>
      </c>
      <c r="AA157" s="12"/>
      <c r="AB157" s="2" t="str">
        <f>OBRA!O156</f>
        <v>ADMINISTRACIÓN DIRECTA</v>
      </c>
      <c r="AC157" s="3" t="str">
        <f>OBRA!P156</f>
        <v>REHABILITACION DE RED DE AGUA POTABLE EN CALLE GUADALUPE VICTORIA ENTRE HIDALGO Y ZONA FEDERAL DEL LAGO, EN LA LOCALIDAD DE SAN PEDRO TESISTAN</v>
      </c>
      <c r="AD157" s="4">
        <f>OBRA!R156</f>
        <v>245400</v>
      </c>
      <c r="AE157" s="6">
        <f>OBRA!S156</f>
        <v>42646</v>
      </c>
      <c r="AF157" s="5">
        <f>OBRA!T156</f>
        <v>42648</v>
      </c>
      <c r="AG157" s="390">
        <f>OBRA!U156</f>
        <v>42669</v>
      </c>
      <c r="AH157" s="52"/>
      <c r="AI157" s="211"/>
      <c r="AJ157" s="242"/>
      <c r="AK157" s="242"/>
      <c r="AL157" s="394"/>
      <c r="AM157" s="519" t="str">
        <f>GRAL!B158</f>
        <v>2015-2018</v>
      </c>
    </row>
    <row r="158" spans="1:39" ht="56.25" hidden="1" customHeight="1" thickTop="1">
      <c r="A158" s="158">
        <f>OBRA!J157</f>
        <v>2016</v>
      </c>
      <c r="B158" s="1683"/>
      <c r="C158" s="395"/>
      <c r="D158" s="146"/>
      <c r="E158" s="148"/>
      <c r="F158" s="148"/>
      <c r="G158" s="398"/>
      <c r="H158" s="404" t="str">
        <f>OBRA!AF157</f>
        <v>-</v>
      </c>
      <c r="I158" s="400"/>
      <c r="J158" s="406" t="str">
        <f>OBRA!AG157</f>
        <v>-</v>
      </c>
      <c r="K158" s="401"/>
      <c r="L158" s="404" t="str">
        <f>OBRA!AH157</f>
        <v>-</v>
      </c>
      <c r="M158" s="402"/>
      <c r="N158" s="404" t="str">
        <f>OBRA!AI157</f>
        <v>-</v>
      </c>
      <c r="O158" s="144"/>
      <c r="P158" s="144"/>
      <c r="Q158" s="401"/>
      <c r="R158" s="407" t="str">
        <f>OBRA!AJ157</f>
        <v>-</v>
      </c>
      <c r="S158" s="385"/>
      <c r="T158" s="399" t="str">
        <f>OBRA!W157</f>
        <v>-</v>
      </c>
      <c r="U158" s="408" t="str">
        <f>OBRA!X157</f>
        <v>ING. RIGOBERTO OLMEDO RAMOS</v>
      </c>
      <c r="V158" s="1090"/>
      <c r="W158" s="19" t="str">
        <f>OBRA!N157</f>
        <v>DOP/AD/022/2016</v>
      </c>
      <c r="X158" s="12"/>
      <c r="Y158" s="12"/>
      <c r="Z158" s="409" t="str">
        <f>OBRA!M157</f>
        <v>3X1 PARA MIGRANTES</v>
      </c>
      <c r="AA158" s="12"/>
      <c r="AB158" s="2" t="str">
        <f>OBRA!O157</f>
        <v>ADMINISTRACIÓN DIRECTA</v>
      </c>
      <c r="AC158" s="3" t="str">
        <f>OBRA!P157</f>
        <v>COLOCACIÓN DE EMPEDRADO AHOGADO EN CEMENTO EN CALLE GUADALUPE VICTORIA DESDE HIDALGO HASTA ZONA FEDERAL DEL LAGO, EN LA LOCALIDAD DE SAN PEDRO TESISTAN</v>
      </c>
      <c r="AD158" s="4">
        <f>OBRA!R157</f>
        <v>259860</v>
      </c>
      <c r="AE158" s="6">
        <f>OBRA!S157</f>
        <v>42657</v>
      </c>
      <c r="AF158" s="5">
        <f>OBRA!T157</f>
        <v>42660</v>
      </c>
      <c r="AG158" s="390">
        <f>OBRA!U157</f>
        <v>42684</v>
      </c>
      <c r="AH158" s="52"/>
      <c r="AI158" s="211"/>
      <c r="AJ158" s="242"/>
      <c r="AK158" s="242"/>
      <c r="AL158" s="394"/>
      <c r="AM158" s="519" t="str">
        <f>GRAL!B159</f>
        <v>2015-2018</v>
      </c>
    </row>
    <row r="159" spans="1:39" ht="62.25" hidden="1" customHeight="1" thickTop="1">
      <c r="A159" s="158">
        <f>OBRA!J158</f>
        <v>2016</v>
      </c>
      <c r="B159" s="1683"/>
      <c r="C159" s="395"/>
      <c r="D159" s="146"/>
      <c r="E159" s="148"/>
      <c r="F159" s="148"/>
      <c r="G159" s="398"/>
      <c r="H159" s="404" t="str">
        <f>OBRA!AF158</f>
        <v>-</v>
      </c>
      <c r="I159" s="400"/>
      <c r="J159" s="406" t="str">
        <f>OBRA!AG158</f>
        <v>-</v>
      </c>
      <c r="K159" s="401"/>
      <c r="L159" s="404" t="str">
        <f>OBRA!AH158</f>
        <v>-</v>
      </c>
      <c r="M159" s="402"/>
      <c r="N159" s="404" t="str">
        <f>OBRA!AI158</f>
        <v>-</v>
      </c>
      <c r="O159" s="144"/>
      <c r="P159" s="144"/>
      <c r="Q159" s="401"/>
      <c r="R159" s="407" t="str">
        <f>OBRA!AJ158</f>
        <v>-</v>
      </c>
      <c r="S159" s="385"/>
      <c r="T159" s="399" t="str">
        <f>OBRA!W158</f>
        <v>-</v>
      </c>
      <c r="U159" s="408" t="str">
        <f>OBRA!X158</f>
        <v>ING. RIGOBERTO OLMEDO RAMOS</v>
      </c>
      <c r="V159" s="1090"/>
      <c r="W159" s="19" t="str">
        <f>OBRA!N158</f>
        <v>DOP/AD/023/2016</v>
      </c>
      <c r="X159" s="12"/>
      <c r="Y159" s="12"/>
      <c r="Z159" s="409" t="str">
        <f>OBRA!M158</f>
        <v>3X1 PARA MIGRANTES</v>
      </c>
      <c r="AA159" s="12"/>
      <c r="AB159" s="2" t="str">
        <f>OBRA!O158</f>
        <v>ADMINISTRACIÓN DIRECTA</v>
      </c>
      <c r="AC159" s="3" t="str">
        <f>OBRA!P158</f>
        <v>CONSTRUCCIÓN DE DRENAJE PLUVIAL EN CALLE PRIVADA CAMICHINES DE LA CABECERA</v>
      </c>
      <c r="AD159" s="4">
        <f>OBRA!R158</f>
        <v>233400</v>
      </c>
      <c r="AE159" s="6">
        <f>OBRA!S158</f>
        <v>42627</v>
      </c>
      <c r="AF159" s="5">
        <f>OBRA!T158</f>
        <v>42690</v>
      </c>
      <c r="AG159" s="390">
        <f>OBRA!U158</f>
        <v>42700</v>
      </c>
      <c r="AH159" s="52"/>
      <c r="AI159" s="211"/>
      <c r="AJ159" s="242"/>
      <c r="AK159" s="242"/>
      <c r="AL159" s="394"/>
      <c r="AM159" s="519" t="str">
        <f>GRAL!B160</f>
        <v>2015-2018</v>
      </c>
    </row>
    <row r="160" spans="1:39" ht="87" hidden="1" customHeight="1" thickTop="1">
      <c r="A160" s="158">
        <f>OBRA!J159</f>
        <v>2016</v>
      </c>
      <c r="B160" s="1683"/>
      <c r="C160" s="395"/>
      <c r="D160" s="146"/>
      <c r="E160" s="148"/>
      <c r="F160" s="148"/>
      <c r="G160" s="398"/>
      <c r="H160" s="404" t="str">
        <f>OBRA!AF159</f>
        <v>-</v>
      </c>
      <c r="I160" s="400"/>
      <c r="J160" s="406" t="str">
        <f>OBRA!AG159</f>
        <v>-</v>
      </c>
      <c r="K160" s="401"/>
      <c r="L160" s="404" t="str">
        <f>OBRA!AH159</f>
        <v>-</v>
      </c>
      <c r="M160" s="402"/>
      <c r="N160" s="404" t="str">
        <f>OBRA!AI159</f>
        <v>-</v>
      </c>
      <c r="O160" s="144"/>
      <c r="P160" s="144"/>
      <c r="Q160" s="401"/>
      <c r="R160" s="407" t="str">
        <f>OBRA!AJ159</f>
        <v>-</v>
      </c>
      <c r="S160" s="385"/>
      <c r="T160" s="399" t="str">
        <f>OBRA!W159</f>
        <v>-</v>
      </c>
      <c r="U160" s="408" t="str">
        <f>OBRA!X159</f>
        <v>ING. RIGOBERTO OLMEDO RAMOS</v>
      </c>
      <c r="V160" s="1090"/>
      <c r="W160" s="19" t="str">
        <f>OBRA!N159</f>
        <v>DOP/AD/024/2016</v>
      </c>
      <c r="X160" s="12"/>
      <c r="Y160" s="12"/>
      <c r="Z160" s="409" t="str">
        <f>OBRA!M159</f>
        <v>3X1 PARA MIGRANTES</v>
      </c>
      <c r="AA160" s="12"/>
      <c r="AB160" s="2" t="str">
        <f>OBRA!O159</f>
        <v>ADMINISTRACIÓN DIRECTA</v>
      </c>
      <c r="AC160" s="3" t="str">
        <f>OBRA!P159</f>
        <v>COLOCACIÓN DE ADOQUÍN EN CALLE PRIVADA CAMICHINES, EN LA CABECERA</v>
      </c>
      <c r="AD160" s="4">
        <f>OBRA!R159</f>
        <v>456248</v>
      </c>
      <c r="AE160" s="6">
        <f>OBRA!S159</f>
        <v>42641</v>
      </c>
      <c r="AF160" s="5">
        <f>OBRA!T159</f>
        <v>42702</v>
      </c>
      <c r="AG160" s="390">
        <f>OBRA!U159</f>
        <v>42721</v>
      </c>
      <c r="AH160" s="52"/>
      <c r="AI160" s="211"/>
      <c r="AJ160" s="242"/>
      <c r="AK160" s="242"/>
      <c r="AL160" s="394"/>
      <c r="AM160" s="519" t="str">
        <f>GRAL!B161</f>
        <v>2015-2018</v>
      </c>
    </row>
    <row r="161" spans="1:39" ht="61.5" hidden="1" customHeight="1" thickTop="1">
      <c r="A161" s="158">
        <f>OBRA!J160</f>
        <v>2016</v>
      </c>
      <c r="B161" s="1683"/>
      <c r="C161" s="395"/>
      <c r="D161" s="146"/>
      <c r="E161" s="148"/>
      <c r="F161" s="148"/>
      <c r="G161" s="398"/>
      <c r="H161" s="404" t="str">
        <f>OBRA!AF160</f>
        <v>-</v>
      </c>
      <c r="I161" s="400"/>
      <c r="J161" s="406" t="str">
        <f>OBRA!AG160</f>
        <v>-</v>
      </c>
      <c r="K161" s="401"/>
      <c r="L161" s="404" t="str">
        <f>OBRA!AH160</f>
        <v>-</v>
      </c>
      <c r="M161" s="402"/>
      <c r="N161" s="404" t="str">
        <f>OBRA!AI160</f>
        <v>-</v>
      </c>
      <c r="O161" s="144"/>
      <c r="P161" s="144"/>
      <c r="Q161" s="401"/>
      <c r="R161" s="407" t="str">
        <f>OBRA!AJ160</f>
        <v>-</v>
      </c>
      <c r="S161" s="385"/>
      <c r="T161" s="399" t="str">
        <f>OBRA!W160</f>
        <v>-</v>
      </c>
      <c r="U161" s="408" t="str">
        <f>OBRA!X160</f>
        <v>ING. RIGOBERTO OLMEDO RAMOS</v>
      </c>
      <c r="V161" s="1090"/>
      <c r="W161" s="19" t="str">
        <f>OBRA!N160</f>
        <v>DOP/AD/025/2016</v>
      </c>
      <c r="X161" s="12"/>
      <c r="Y161" s="12"/>
      <c r="Z161" s="409" t="str">
        <f>OBRA!M160</f>
        <v>3X1 PARA MIGRANTES</v>
      </c>
      <c r="AA161" s="12"/>
      <c r="AB161" s="2" t="str">
        <f>OBRA!O160</f>
        <v>ADMINISTRACIÓN DIRECTA</v>
      </c>
      <c r="AC161" s="3" t="str">
        <f>OBRA!P160</f>
        <v>REHABILITACIÓN DE RED DE DRENAJE EN CALLE RIVERA DEL LAGO DEL PARQUE LÍNEAL HASTA CALLE CHUECA, EN LA AGENCIA MUNICIPAL DE CHANTEPEC</v>
      </c>
      <c r="AD161" s="4">
        <f>OBRA!R160</f>
        <v>525186</v>
      </c>
      <c r="AE161" s="6">
        <f>OBRA!S160</f>
        <v>42630</v>
      </c>
      <c r="AF161" s="5">
        <f>OBRA!T160</f>
        <v>42662</v>
      </c>
      <c r="AG161" s="390">
        <f>OBRA!U160</f>
        <v>42672</v>
      </c>
      <c r="AH161" s="52"/>
      <c r="AI161" s="211"/>
      <c r="AJ161" s="242"/>
      <c r="AK161" s="242"/>
      <c r="AL161" s="394"/>
      <c r="AM161" s="519" t="str">
        <f>GRAL!B162</f>
        <v>2015-2018</v>
      </c>
    </row>
    <row r="162" spans="1:39" ht="110.25" hidden="1" customHeight="1" thickTop="1">
      <c r="A162" s="158">
        <f>OBRA!J161</f>
        <v>2016</v>
      </c>
      <c r="B162" s="1683"/>
      <c r="C162" s="395"/>
      <c r="D162" s="146"/>
      <c r="E162" s="148"/>
      <c r="F162" s="148"/>
      <c r="G162" s="398"/>
      <c r="H162" s="404" t="str">
        <f>OBRA!AF161</f>
        <v>-</v>
      </c>
      <c r="I162" s="400"/>
      <c r="J162" s="406" t="str">
        <f>OBRA!AG161</f>
        <v>-</v>
      </c>
      <c r="K162" s="401"/>
      <c r="L162" s="404" t="str">
        <f>OBRA!AH161</f>
        <v>-</v>
      </c>
      <c r="M162" s="402"/>
      <c r="N162" s="404" t="str">
        <f>OBRA!AI161</f>
        <v>-</v>
      </c>
      <c r="O162" s="144"/>
      <c r="P162" s="144"/>
      <c r="Q162" s="401"/>
      <c r="R162" s="407" t="str">
        <f>OBRA!AJ161</f>
        <v>-</v>
      </c>
      <c r="S162" s="385"/>
      <c r="T162" s="399" t="str">
        <f>OBRA!W161</f>
        <v>-</v>
      </c>
      <c r="U162" s="408" t="str">
        <f>OBRA!X161</f>
        <v>ING. RIGOBERTO OLMEDO RAMOS</v>
      </c>
      <c r="V162" s="1090"/>
      <c r="W162" s="19" t="str">
        <f>OBRA!N161</f>
        <v>DOP/AD/026/2016</v>
      </c>
      <c r="X162" s="12"/>
      <c r="Y162" s="12"/>
      <c r="Z162" s="409" t="str">
        <f>OBRA!M161</f>
        <v>3X1 PARA MIGRANTES</v>
      </c>
      <c r="AA162" s="12"/>
      <c r="AB162" s="2" t="str">
        <f>OBRA!O161</f>
        <v>ADMINISTRACIÓN DIRECTA</v>
      </c>
      <c r="AC162" s="3" t="str">
        <f>OBRA!P161</f>
        <v xml:space="preserve">REHABILITACIÓN DE RED DE DRENAJE CALLE INSURGENTES, EN LA LOCALIDAD DE ZAPOTITAN DE HIDALGO </v>
      </c>
      <c r="AD162" s="4">
        <f>OBRA!R161</f>
        <v>678342</v>
      </c>
      <c r="AE162" s="6">
        <f>OBRA!S161</f>
        <v>42678</v>
      </c>
      <c r="AF162" s="5">
        <f>OBRA!T161</f>
        <v>42682</v>
      </c>
      <c r="AG162" s="390">
        <f>OBRA!U161</f>
        <v>42704</v>
      </c>
      <c r="AH162" s="52"/>
      <c r="AI162" s="211"/>
      <c r="AJ162" s="242"/>
      <c r="AK162" s="242"/>
      <c r="AL162" s="394"/>
      <c r="AM162" s="519" t="str">
        <f>GRAL!B163</f>
        <v>2015-2018</v>
      </c>
    </row>
    <row r="163" spans="1:39" ht="67.5" hidden="1" customHeight="1" thickTop="1">
      <c r="A163" s="158">
        <f>OBRA!J162</f>
        <v>2016</v>
      </c>
      <c r="B163" s="1683"/>
      <c r="C163" s="395"/>
      <c r="D163" s="146"/>
      <c r="E163" s="148"/>
      <c r="F163" s="148"/>
      <c r="G163" s="398"/>
      <c r="H163" s="404" t="str">
        <f>OBRA!AF162</f>
        <v>-</v>
      </c>
      <c r="I163" s="400"/>
      <c r="J163" s="406" t="str">
        <f>OBRA!AG162</f>
        <v>-</v>
      </c>
      <c r="K163" s="401"/>
      <c r="L163" s="404" t="str">
        <f>OBRA!AH162</f>
        <v>-</v>
      </c>
      <c r="M163" s="402"/>
      <c r="N163" s="404" t="str">
        <f>OBRA!AI162</f>
        <v>-</v>
      </c>
      <c r="O163" s="144"/>
      <c r="P163" s="144"/>
      <c r="Q163" s="401"/>
      <c r="R163" s="407" t="str">
        <f>OBRA!AJ162</f>
        <v>-</v>
      </c>
      <c r="S163" s="385"/>
      <c r="T163" s="399" t="str">
        <f>OBRA!W162</f>
        <v>-</v>
      </c>
      <c r="U163" s="408" t="str">
        <f>OBRA!X162</f>
        <v>ING. J. GUADALUPE IBARRA RAMIREZ</v>
      </c>
      <c r="V163" s="1090"/>
      <c r="W163" s="19" t="str">
        <f>OBRA!N162</f>
        <v>DOP/AD/027/2016</v>
      </c>
      <c r="X163" s="12"/>
      <c r="Y163" s="12"/>
      <c r="Z163" s="409" t="str">
        <f>OBRA!M162</f>
        <v xml:space="preserve">Fortalecimiento Financiero Para La Inversion </v>
      </c>
      <c r="AA163" s="12"/>
      <c r="AB163" s="2" t="str">
        <f>OBRA!O162</f>
        <v>ADMINISTRACIÓN DIRECTA</v>
      </c>
      <c r="AC163" s="3" t="str">
        <f>OBRA!P162</f>
        <v>REHABILITACIÓN DE BANQUETAS, RAMPAS, GUARNICIONES Y JARDINERÍA EN LA CALLE DEGOLLADO ENTRE JOSEFA ORTIZ DE DOMINGUEZ Y NICOLAS BRAVO, EN EL MUNICIPIO DE JOCOTEPEC, JALISCO</v>
      </c>
      <c r="AD163" s="4">
        <f>OBRA!R162</f>
        <v>275569.48</v>
      </c>
      <c r="AE163" s="6">
        <f>OBRA!S162</f>
        <v>43053</v>
      </c>
      <c r="AF163" s="5">
        <f>OBRA!T162</f>
        <v>42689</v>
      </c>
      <c r="AG163" s="390">
        <f>OBRA!U162</f>
        <v>42734</v>
      </c>
      <c r="AH163" s="52"/>
      <c r="AI163" s="211"/>
      <c r="AJ163" s="242"/>
      <c r="AK163" s="242"/>
      <c r="AL163" s="394"/>
      <c r="AM163" s="519" t="str">
        <f>GRAL!B164</f>
        <v>2015-2018</v>
      </c>
    </row>
    <row r="164" spans="1:39" ht="110.25" hidden="1" customHeight="1" thickTop="1">
      <c r="A164" s="158">
        <f>OBRA!J163</f>
        <v>2016</v>
      </c>
      <c r="B164" s="1683"/>
      <c r="C164" s="395"/>
      <c r="D164" s="146"/>
      <c r="E164" s="148"/>
      <c r="F164" s="148"/>
      <c r="G164" s="398"/>
      <c r="H164" s="404" t="str">
        <f>OBRA!AF163</f>
        <v>-</v>
      </c>
      <c r="I164" s="400"/>
      <c r="J164" s="406" t="str">
        <f>OBRA!AG163</f>
        <v>-</v>
      </c>
      <c r="K164" s="401"/>
      <c r="L164" s="404" t="str">
        <f>OBRA!AH163</f>
        <v>-</v>
      </c>
      <c r="M164" s="402"/>
      <c r="N164" s="404" t="str">
        <f>OBRA!AI163</f>
        <v>-</v>
      </c>
      <c r="O164" s="144"/>
      <c r="P164" s="144"/>
      <c r="Q164" s="401"/>
      <c r="R164" s="407" t="str">
        <f>OBRA!AJ163</f>
        <v>-</v>
      </c>
      <c r="S164" s="385"/>
      <c r="T164" s="399" t="str">
        <f>OBRA!W163</f>
        <v>-</v>
      </c>
      <c r="U164" s="408" t="str">
        <f>OBRA!X163</f>
        <v>ING. J. GUADALUPE IBARRA RAMIREZ</v>
      </c>
      <c r="V164" s="1090"/>
      <c r="W164" s="19" t="str">
        <f>OBRA!N163</f>
        <v>DOP/AD/028/2016</v>
      </c>
      <c r="X164" s="12"/>
      <c r="Y164" s="12"/>
      <c r="Z164" s="409" t="str">
        <f>OBRA!M163</f>
        <v>RAMO 33</v>
      </c>
      <c r="AA164" s="12"/>
      <c r="AB164" s="2" t="str">
        <f>OBRA!O163</f>
        <v>ADMINISTRACIÓN DIRECTA</v>
      </c>
      <c r="AC164" s="3" t="str">
        <f>OBRA!P163</f>
        <v>CONSTRUCCIÓN DE RED DE AGUA POTABLE EN CALLE HIDALGO A SAN LUCIANO DE ABAJO, EN LA LOCALIDAD DE SAN LUCIANO</v>
      </c>
      <c r="AD164" s="4">
        <f>OBRA!R163</f>
        <v>504950.57</v>
      </c>
      <c r="AE164" s="6">
        <f>OBRA!S163</f>
        <v>42704</v>
      </c>
      <c r="AF164" s="5">
        <f>OBRA!T163</f>
        <v>42705</v>
      </c>
      <c r="AG164" s="390">
        <f>OBRA!U163</f>
        <v>42735</v>
      </c>
      <c r="AH164" s="52"/>
      <c r="AI164" s="211"/>
      <c r="AJ164" s="242"/>
      <c r="AK164" s="242"/>
      <c r="AL164" s="394"/>
      <c r="AM164" s="519" t="str">
        <f>GRAL!B165</f>
        <v>2015-2018</v>
      </c>
    </row>
    <row r="165" spans="1:39" ht="110.25" hidden="1" customHeight="1" thickTop="1">
      <c r="A165" s="158">
        <f>OBRA!J164</f>
        <v>2016</v>
      </c>
      <c r="B165" s="1683"/>
      <c r="C165" s="395"/>
      <c r="D165" s="146"/>
      <c r="E165" s="148"/>
      <c r="F165" s="148"/>
      <c r="G165" s="398"/>
      <c r="H165" s="404" t="str">
        <f>OBRA!AF164</f>
        <v>-</v>
      </c>
      <c r="I165" s="400"/>
      <c r="J165" s="406" t="str">
        <f>OBRA!AG164</f>
        <v>-</v>
      </c>
      <c r="K165" s="401"/>
      <c r="L165" s="404" t="str">
        <f>OBRA!AH164</f>
        <v>-</v>
      </c>
      <c r="M165" s="402"/>
      <c r="N165" s="404" t="str">
        <f>OBRA!AI164</f>
        <v>-</v>
      </c>
      <c r="O165" s="144"/>
      <c r="P165" s="144"/>
      <c r="Q165" s="401"/>
      <c r="R165" s="407" t="str">
        <f>OBRA!AJ164</f>
        <v>-</v>
      </c>
      <c r="S165" s="385"/>
      <c r="T165" s="399" t="str">
        <f>OBRA!W164</f>
        <v>-</v>
      </c>
      <c r="U165" s="408" t="str">
        <f>OBRA!X164</f>
        <v>ING. ANGEL ALBERTO HERNANDEZ MORA</v>
      </c>
      <c r="V165" s="1090"/>
      <c r="W165" s="19" t="str">
        <f>OBRA!N164</f>
        <v>DOP/AD/029/2016</v>
      </c>
      <c r="X165" s="12"/>
      <c r="Y165" s="12"/>
      <c r="Z165" s="409" t="str">
        <f>OBRA!M164</f>
        <v>CUENTA CORRIENTE</v>
      </c>
      <c r="AA165" s="12"/>
      <c r="AB165" s="2" t="str">
        <f>OBRA!O164</f>
        <v>ADMINISTRACIÓN DIRECTA</v>
      </c>
      <c r="AC165" s="3" t="str">
        <f>OBRA!P164</f>
        <v>AMPLIACIÓN DE RED DE AGUA POTABLE EN CALLES BUGAMBILIAS, ROSAS, EL JARAL Y GUADALUPE VICTORIA EN EL "BARRIO EL POTRERITO" EN LA LOCALIDAD DE HUEJOTITAN, DEL MUNICIPIO DE JOCOTEPEC, JALISCO.</v>
      </c>
      <c r="AD165" s="4">
        <f>OBRA!R164</f>
        <v>160904.73000000001</v>
      </c>
      <c r="AE165" s="6">
        <f>OBRA!S164</f>
        <v>42702</v>
      </c>
      <c r="AF165" s="5">
        <f>OBRA!T164</f>
        <v>42702</v>
      </c>
      <c r="AG165" s="390">
        <f>OBRA!U164</f>
        <v>42711</v>
      </c>
      <c r="AH165" s="52"/>
      <c r="AI165" s="211"/>
      <c r="AJ165" s="242"/>
      <c r="AK165" s="242"/>
      <c r="AL165" s="394"/>
      <c r="AM165" s="519" t="str">
        <f>GRAL!B166</f>
        <v>2015-2018</v>
      </c>
    </row>
    <row r="166" spans="1:39" ht="123" hidden="1" customHeight="1" thickTop="1">
      <c r="A166" s="158">
        <f>OBRA!J165</f>
        <v>2016</v>
      </c>
      <c r="B166" s="1683"/>
      <c r="C166" s="395"/>
      <c r="D166" s="146"/>
      <c r="E166" s="148"/>
      <c r="F166" s="148"/>
      <c r="G166" s="398"/>
      <c r="H166" s="404" t="str">
        <f>OBRA!AF165</f>
        <v>-</v>
      </c>
      <c r="I166" s="400"/>
      <c r="J166" s="406" t="str">
        <f>OBRA!AG165</f>
        <v>-</v>
      </c>
      <c r="K166" s="401"/>
      <c r="L166" s="404" t="str">
        <f>OBRA!AH165</f>
        <v>-</v>
      </c>
      <c r="M166" s="402"/>
      <c r="N166" s="404" t="str">
        <f>OBRA!AI165</f>
        <v>-</v>
      </c>
      <c r="O166" s="144"/>
      <c r="P166" s="144"/>
      <c r="Q166" s="401"/>
      <c r="R166" s="407" t="str">
        <f>OBRA!AJ165</f>
        <v>-</v>
      </c>
      <c r="S166" s="385"/>
      <c r="T166" s="399" t="str">
        <f>OBRA!W165</f>
        <v>-</v>
      </c>
      <c r="U166" s="408" t="str">
        <f>OBRA!X165</f>
        <v>ING. J. GUADALUPE IBARRA RAMIREZ</v>
      </c>
      <c r="V166" s="1090"/>
      <c r="W166" s="19" t="str">
        <f>OBRA!N165</f>
        <v>DOP/AD/030/2016</v>
      </c>
      <c r="X166" s="12"/>
      <c r="Y166" s="12"/>
      <c r="Z166" s="409" t="str">
        <f>OBRA!M165</f>
        <v>RAMO 33</v>
      </c>
      <c r="AA166" s="12"/>
      <c r="AB166" s="2" t="str">
        <f>OBRA!O165</f>
        <v>ADMINISTRACIÓN DIRECTA</v>
      </c>
      <c r="AC166" s="3" t="str">
        <f>OBRA!P165</f>
        <v>REHABILITACIÓN DE RED DE DRENAJE 2DA. ETAPA DE LA CALLE CUAUHTEMOC ENTRE C. PLAYAS DE LA LAGUNA A CARCAMO DE BOMBEO, CON REPOSICIÓN DE EMPEDRADO AHOGADO, EN LA LOCALIDAD DE CHANTEPEC</v>
      </c>
      <c r="AD166" s="4">
        <f>OBRA!R165</f>
        <v>587787.4</v>
      </c>
      <c r="AE166" s="6">
        <f>OBRA!S165</f>
        <v>42688</v>
      </c>
      <c r="AF166" s="5">
        <f>OBRA!T165</f>
        <v>42689</v>
      </c>
      <c r="AG166" s="390">
        <f>OBRA!U165</f>
        <v>42705</v>
      </c>
      <c r="AH166" s="52"/>
      <c r="AI166" s="211"/>
      <c r="AJ166" s="242"/>
      <c r="AK166" s="242"/>
      <c r="AL166" s="394"/>
      <c r="AM166" s="519" t="str">
        <f>GRAL!B167</f>
        <v>2015-2018</v>
      </c>
    </row>
    <row r="167" spans="1:39" ht="110.25" hidden="1" customHeight="1" thickTop="1">
      <c r="A167" s="158">
        <f>OBRA!J166</f>
        <v>2016</v>
      </c>
      <c r="B167" s="1683"/>
      <c r="C167" s="395"/>
      <c r="D167" s="146"/>
      <c r="E167" s="148"/>
      <c r="F167" s="148"/>
      <c r="G167" s="398"/>
      <c r="H167" s="404" t="str">
        <f>OBRA!AF166</f>
        <v>-</v>
      </c>
      <c r="I167" s="400"/>
      <c r="J167" s="406" t="str">
        <f>OBRA!AG166</f>
        <v>-</v>
      </c>
      <c r="K167" s="401"/>
      <c r="L167" s="404" t="str">
        <f>OBRA!AH166</f>
        <v>-</v>
      </c>
      <c r="M167" s="402"/>
      <c r="N167" s="404" t="str">
        <f>OBRA!AI166</f>
        <v>-</v>
      </c>
      <c r="O167" s="144"/>
      <c r="P167" s="144"/>
      <c r="Q167" s="401"/>
      <c r="R167" s="407" t="str">
        <f>OBRA!AJ166</f>
        <v>-</v>
      </c>
      <c r="S167" s="385"/>
      <c r="T167" s="399" t="str">
        <f>OBRA!W166</f>
        <v>-</v>
      </c>
      <c r="U167" s="408" t="str">
        <f>OBRA!X166</f>
        <v>ING. J. GUADALUPE IBARRA RAMIREZ</v>
      </c>
      <c r="V167" s="1090"/>
      <c r="W167" s="19" t="str">
        <f>OBRA!N166</f>
        <v>DOP/AD/031/2016</v>
      </c>
      <c r="X167" s="12"/>
      <c r="Y167" s="12"/>
      <c r="Z167" s="409" t="str">
        <f>OBRA!M166</f>
        <v>RAMO 33</v>
      </c>
      <c r="AA167" s="12"/>
      <c r="AB167" s="2" t="str">
        <f>OBRA!O166</f>
        <v>ADMINISTRACIÓN DIRECTA</v>
      </c>
      <c r="AC167" s="3" t="str">
        <f>OBRA!P166</f>
        <v>REHABILITACIÓN DE RED DE AGUA POTABLE  2DA. ETAPA DE LA CALLE CUAUHTEMOC ENTRE C. PLAYAS DE LA LAGUNA A CARCAMO DE BOMBEO, CON REPOSICIÓN DE EMPEDRADO AHOGADO, EN LA LOCALIDAD DE CHANTEPEC</v>
      </c>
      <c r="AD167" s="4">
        <f>OBRA!R166</f>
        <v>557061.88</v>
      </c>
      <c r="AE167" s="6">
        <f>OBRA!S166</f>
        <v>42692</v>
      </c>
      <c r="AF167" s="5">
        <f>OBRA!T166</f>
        <v>42695</v>
      </c>
      <c r="AG167" s="390">
        <f>OBRA!U166</f>
        <v>42719</v>
      </c>
      <c r="AH167" s="52"/>
      <c r="AI167" s="211"/>
      <c r="AJ167" s="242"/>
      <c r="AK167" s="242"/>
      <c r="AL167" s="394"/>
      <c r="AM167" s="519" t="str">
        <f>GRAL!B168</f>
        <v>2015-2018</v>
      </c>
    </row>
    <row r="168" spans="1:39" ht="110.25" hidden="1" customHeight="1" thickTop="1">
      <c r="A168" s="158">
        <f>OBRA!J167</f>
        <v>2016</v>
      </c>
      <c r="B168" s="1683"/>
      <c r="C168" s="395"/>
      <c r="D168" s="146"/>
      <c r="E168" s="148"/>
      <c r="F168" s="148"/>
      <c r="G168" s="398"/>
      <c r="H168" s="404" t="str">
        <f>OBRA!AF167</f>
        <v>-</v>
      </c>
      <c r="I168" s="400"/>
      <c r="J168" s="406" t="str">
        <f>OBRA!AG167</f>
        <v>-</v>
      </c>
      <c r="K168" s="401"/>
      <c r="L168" s="404" t="str">
        <f>OBRA!AH167</f>
        <v>-</v>
      </c>
      <c r="M168" s="402"/>
      <c r="N168" s="404" t="str">
        <f>OBRA!AI167</f>
        <v>-</v>
      </c>
      <c r="O168" s="144"/>
      <c r="P168" s="144"/>
      <c r="Q168" s="401"/>
      <c r="R168" s="407" t="str">
        <f>OBRA!AJ167</f>
        <v>-</v>
      </c>
      <c r="S168" s="385"/>
      <c r="T168" s="399" t="str">
        <f>OBRA!W167</f>
        <v>-</v>
      </c>
      <c r="U168" s="408" t="str">
        <f>OBRA!X167</f>
        <v>ING. J. GUADALUPE IBARRA RAMIREZ</v>
      </c>
      <c r="V168" s="1090"/>
      <c r="W168" s="19" t="str">
        <f>OBRA!N167</f>
        <v>DOP/AD/032/2016</v>
      </c>
      <c r="X168" s="12"/>
      <c r="Y168" s="12"/>
      <c r="Z168" s="409" t="str">
        <f>OBRA!M167</f>
        <v>RAMO 33</v>
      </c>
      <c r="AA168" s="12"/>
      <c r="AB168" s="2" t="str">
        <f>OBRA!O167</f>
        <v>ADMINISTRACIÓN DIRECTA</v>
      </c>
      <c r="AC168" s="3" t="str">
        <f>OBRA!P167</f>
        <v>REEMPEDRADO AHOGADO EN CEMENTO EN CALLE CUAUHTEMOC 2DA. ETAPA DE PLAYAS DE LA LAGUNA HACIA EL ORIENTE, EN LA LOCALIDAD DE CHANTEPEC</v>
      </c>
      <c r="AD168" s="4">
        <f>OBRA!R167</f>
        <v>238036.86</v>
      </c>
      <c r="AE168" s="6">
        <f>OBRA!S167</f>
        <v>42688</v>
      </c>
      <c r="AF168" s="5">
        <f>OBRA!T167</f>
        <v>42689</v>
      </c>
      <c r="AG168" s="390">
        <f>OBRA!U167</f>
        <v>42735</v>
      </c>
      <c r="AH168" s="52"/>
      <c r="AI168" s="211"/>
      <c r="AJ168" s="242"/>
      <c r="AK168" s="242"/>
      <c r="AL168" s="394"/>
      <c r="AM168" s="519" t="str">
        <f>GRAL!B169</f>
        <v>2015-2018</v>
      </c>
    </row>
    <row r="169" spans="1:39" ht="208.5" hidden="1" customHeight="1" thickTop="1">
      <c r="A169" s="158">
        <f>OBRA!J168</f>
        <v>2016</v>
      </c>
      <c r="B169" s="1683"/>
      <c r="C169" s="395"/>
      <c r="D169" s="146"/>
      <c r="E169" s="148"/>
      <c r="F169" s="148"/>
      <c r="G169" s="398"/>
      <c r="H169" s="404" t="str">
        <f>OBRA!AF168</f>
        <v>-</v>
      </c>
      <c r="I169" s="400"/>
      <c r="J169" s="406" t="str">
        <f>OBRA!AG168</f>
        <v>-</v>
      </c>
      <c r="K169" s="401"/>
      <c r="L169" s="404" t="str">
        <f>OBRA!AH168</f>
        <v>-</v>
      </c>
      <c r="M169" s="402"/>
      <c r="N169" s="404" t="str">
        <f>OBRA!AI168</f>
        <v>-</v>
      </c>
      <c r="O169" s="144"/>
      <c r="P169" s="144"/>
      <c r="Q169" s="401"/>
      <c r="R169" s="407" t="str">
        <f>OBRA!AJ168</f>
        <v>-</v>
      </c>
      <c r="S169" s="385"/>
      <c r="T169" s="399" t="str">
        <f>OBRA!W168</f>
        <v>-</v>
      </c>
      <c r="U169" s="408" t="str">
        <f>OBRA!X168</f>
        <v>ING. RIGOBERTO OLMEDO RAMOS</v>
      </c>
      <c r="V169" s="1090"/>
      <c r="W169" s="19" t="str">
        <f>OBRA!N168</f>
        <v>DOP/AD/033/2016</v>
      </c>
      <c r="X169" s="12"/>
      <c r="Y169" s="12"/>
      <c r="Z169" s="409" t="str">
        <f>OBRA!M168</f>
        <v>3X1 PARA MIGRANTES</v>
      </c>
      <c r="AA169" s="12"/>
      <c r="AB169" s="2" t="str">
        <f>OBRA!O168</f>
        <v>ADMINISTRACIÓN DIRECTA</v>
      </c>
      <c r="AC169" s="3" t="str">
        <f>OBRA!P168</f>
        <v xml:space="preserve">EMPEDRADO AHOGADO EN CEMENTO EN LA CALLE INSURGENTES PRIMERA ETAPA, EN LA LOCALIDAD DE ZAPOTITAN DE HIDALGO </v>
      </c>
      <c r="AD169" s="4">
        <f>OBRA!R168</f>
        <v>2426000</v>
      </c>
      <c r="AE169" s="6">
        <f>OBRA!S168</f>
        <v>42674</v>
      </c>
      <c r="AF169" s="5">
        <f>OBRA!T168</f>
        <v>42675</v>
      </c>
      <c r="AG169" s="390">
        <f>OBRA!U168</f>
        <v>42735</v>
      </c>
      <c r="AH169" s="52"/>
      <c r="AI169" s="211"/>
      <c r="AJ169" s="242"/>
      <c r="AK169" s="242"/>
      <c r="AL169" s="394"/>
      <c r="AM169" s="519" t="str">
        <f>GRAL!B170</f>
        <v>2015-2018</v>
      </c>
    </row>
    <row r="170" spans="1:39" ht="150.75" hidden="1" thickTop="1">
      <c r="A170" s="158">
        <f>OBRA!J169</f>
        <v>2016</v>
      </c>
      <c r="B170" s="1683"/>
      <c r="C170" s="395"/>
      <c r="D170" s="146"/>
      <c r="E170" s="148"/>
      <c r="F170" s="148"/>
      <c r="G170" s="398"/>
      <c r="H170" s="404" t="str">
        <f>OBRA!AF169</f>
        <v>-</v>
      </c>
      <c r="I170" s="400"/>
      <c r="J170" s="406" t="str">
        <f>OBRA!AG169</f>
        <v>-</v>
      </c>
      <c r="K170" s="401"/>
      <c r="L170" s="404" t="str">
        <f>OBRA!AH169</f>
        <v>-</v>
      </c>
      <c r="M170" s="402"/>
      <c r="N170" s="404" t="str">
        <f>OBRA!AI169</f>
        <v>-</v>
      </c>
      <c r="O170" s="144"/>
      <c r="P170" s="144"/>
      <c r="Q170" s="401"/>
      <c r="R170" s="407" t="str">
        <f>OBRA!AJ169</f>
        <v>-</v>
      </c>
      <c r="S170" s="385"/>
      <c r="T170" s="399" t="str">
        <f>OBRA!W169</f>
        <v>ELECTRIFICACIONES MUGA, S.A. DE C.V.</v>
      </c>
      <c r="U170" s="408" t="str">
        <f>OBRA!X169</f>
        <v>ING. RIGOBERTO OLMEDO RAMOS</v>
      </c>
      <c r="V170" s="1090"/>
      <c r="W170" s="19" t="str">
        <f>OBRA!N169</f>
        <v>GMJ 001C OP/2016</v>
      </c>
      <c r="X170" s="12"/>
      <c r="Y170" s="12"/>
      <c r="Z170" s="409" t="str">
        <f>OBRA!M169</f>
        <v>PATRIMONIO MUNICIPAL</v>
      </c>
      <c r="AA170" s="12"/>
      <c r="AB170" s="2" t="str">
        <f>OBRA!O169</f>
        <v>ADJUDICACIÓN DIRECTA</v>
      </c>
      <c r="AC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OBRA!R169</f>
        <v>892870.48</v>
      </c>
      <c r="AE170" s="6">
        <f>OBRA!S169</f>
        <v>42461</v>
      </c>
      <c r="AF170" s="5">
        <f>OBRA!T169</f>
        <v>42461</v>
      </c>
      <c r="AG170" s="390">
        <f>OBRA!U169</f>
        <v>42583</v>
      </c>
      <c r="AH170" s="52"/>
      <c r="AI170" s="211"/>
      <c r="AJ170" s="242"/>
      <c r="AK170" s="242"/>
      <c r="AL170" s="394"/>
      <c r="AM170" s="519" t="str">
        <f>GRAL!B171</f>
        <v>2015-2018</v>
      </c>
    </row>
    <row r="171" spans="1:39" ht="60.75" hidden="1" thickTop="1">
      <c r="A171" s="158">
        <f>OBRA!J170</f>
        <v>2016</v>
      </c>
      <c r="B171" s="1683"/>
      <c r="C171" s="395"/>
      <c r="D171" s="146"/>
      <c r="E171" s="148"/>
      <c r="F171" s="148"/>
      <c r="G171" s="398"/>
      <c r="H171" s="404" t="str">
        <f>OBRA!AF170</f>
        <v>-</v>
      </c>
      <c r="I171" s="400"/>
      <c r="J171" s="406" t="str">
        <f>OBRA!AG170</f>
        <v>-</v>
      </c>
      <c r="K171" s="401"/>
      <c r="L171" s="404" t="str">
        <f>OBRA!AH170</f>
        <v>-</v>
      </c>
      <c r="M171" s="402"/>
      <c r="N171" s="404" t="str">
        <f>OBRA!AI170</f>
        <v>-</v>
      </c>
      <c r="O171" s="144"/>
      <c r="P171" s="144"/>
      <c r="Q171" s="401"/>
      <c r="R171" s="407" t="str">
        <f>OBRA!AJ170</f>
        <v>-</v>
      </c>
      <c r="S171" s="385"/>
      <c r="T171" s="399" t="str">
        <f>OBRA!W170</f>
        <v>RAMPER DRILLINGS S.A. DE C.V.</v>
      </c>
      <c r="U171" s="408" t="str">
        <f>OBRA!X170</f>
        <v>ING. J. GUADALUPE IBARRA RAMIREZ</v>
      </c>
      <c r="V171" s="1090"/>
      <c r="W171" s="19" t="str">
        <f>OBRA!N170</f>
        <v>GMJ 002C OP/2016</v>
      </c>
      <c r="X171" s="12"/>
      <c r="Y171" s="12"/>
      <c r="Z171" s="409" t="str">
        <f>OBRA!M170</f>
        <v>RAMO 33</v>
      </c>
      <c r="AA171" s="12"/>
      <c r="AB171" s="2" t="str">
        <f>OBRA!O170</f>
        <v>ADJUDICACIÓN DIRECTA</v>
      </c>
      <c r="AC171" s="3" t="str">
        <f>OBRA!P170</f>
        <v>PERFORACIÓN DE POZO PROFUNDO, ADEME, AFORO Y EQUIPO DE BOMBEO EN LA CALLE LIBERTAD DE NEXTIPAC, DE ESTE MUNICIPIO JOCOTEPEC, JALISCO</v>
      </c>
      <c r="AD171" s="4">
        <f>OBRA!R170</f>
        <v>1451401.32</v>
      </c>
      <c r="AE171" s="6">
        <f>OBRA!S170</f>
        <v>42458</v>
      </c>
      <c r="AF171" s="5">
        <f>OBRA!T170</f>
        <v>42459</v>
      </c>
      <c r="AG171" s="390">
        <f>OBRA!U170</f>
        <v>42498</v>
      </c>
      <c r="AH171" s="52"/>
      <c r="AI171" s="211"/>
      <c r="AJ171" s="242"/>
      <c r="AK171" s="242"/>
      <c r="AL171" s="394"/>
      <c r="AM171" s="519" t="str">
        <f>GRAL!B172</f>
        <v>2015-2018</v>
      </c>
    </row>
    <row r="172" spans="1:39" ht="112.5" hidden="1" customHeight="1" thickTop="1">
      <c r="A172" s="158">
        <f>OBRA!J171</f>
        <v>2016</v>
      </c>
      <c r="B172" s="1683"/>
      <c r="C172" s="395"/>
      <c r="D172" s="146"/>
      <c r="E172" s="148"/>
      <c r="F172" s="148"/>
      <c r="G172" s="398"/>
      <c r="H172" s="404" t="str">
        <f>OBRA!AF171</f>
        <v>-</v>
      </c>
      <c r="I172" s="400"/>
      <c r="J172" s="406" t="str">
        <f>OBRA!AG171</f>
        <v>-</v>
      </c>
      <c r="K172" s="401"/>
      <c r="L172" s="404" t="str">
        <f>OBRA!AH171</f>
        <v>-</v>
      </c>
      <c r="M172" s="402"/>
      <c r="N172" s="404" t="str">
        <f>OBRA!AI171</f>
        <v>-</v>
      </c>
      <c r="O172" s="144"/>
      <c r="P172" s="144"/>
      <c r="Q172" s="401"/>
      <c r="R172" s="407" t="str">
        <f>OBRA!AJ171</f>
        <v>-</v>
      </c>
      <c r="S172" s="385"/>
      <c r="T172" s="399" t="str">
        <f>OBRA!W171</f>
        <v>ENERGIAS RENOVABLES DE LA RIVERA S.A. DE C.V</v>
      </c>
      <c r="U172" s="408" t="str">
        <f>OBRA!X171</f>
        <v>ING. RIGOBERTO OLMEDO RAMOS</v>
      </c>
      <c r="V172" s="1090"/>
      <c r="W172" s="19" t="str">
        <f>OBRA!N171</f>
        <v>GMJ 003C OP/2016</v>
      </c>
      <c r="X172" s="12"/>
      <c r="Y172" s="12"/>
      <c r="Z172" s="409" t="str">
        <f>OBRA!M171</f>
        <v>FONDEREG</v>
      </c>
      <c r="AA172" s="12"/>
      <c r="AB172" s="2" t="str">
        <f>OBRA!O171</f>
        <v>ADJUDICACIÓN DIRECTA</v>
      </c>
      <c r="AC172" s="3" t="str">
        <f>OBRA!P171</f>
        <v>ALUMBRADO CON POSTE METALICO DE 7.00 MTS Y LUMINARIAS LED DE 74 WATTS Y LUMINOSIDAD DE 5700 KELVIN EN CALLE ZARAGOZA (INGRESO PRINCIPAL) DE SAN CRISTOBAL ZAPOTITLAN</v>
      </c>
      <c r="AD172" s="4">
        <f>OBRA!R171</f>
        <v>441388.12</v>
      </c>
      <c r="AE172" s="6">
        <f>OBRA!S171</f>
        <v>42587</v>
      </c>
      <c r="AF172" s="5">
        <f>OBRA!T171</f>
        <v>42597</v>
      </c>
      <c r="AG172" s="390">
        <f>OBRA!U171</f>
        <v>42628</v>
      </c>
      <c r="AH172" s="52"/>
      <c r="AI172" s="211"/>
      <c r="AJ172" s="242"/>
      <c r="AK172" s="242"/>
      <c r="AL172" s="394"/>
      <c r="AM172" s="519" t="str">
        <f>GRAL!B173</f>
        <v>2015-2018</v>
      </c>
    </row>
    <row r="173" spans="1:39" ht="112.5" hidden="1" customHeight="1" thickTop="1">
      <c r="A173" s="158">
        <f>OBRA!J172</f>
        <v>2016</v>
      </c>
      <c r="B173" s="1683"/>
      <c r="C173" s="395"/>
      <c r="D173" s="146"/>
      <c r="E173" s="148"/>
      <c r="F173" s="148"/>
      <c r="G173" s="398"/>
      <c r="H173" s="404" t="str">
        <f>OBRA!AF172</f>
        <v>-</v>
      </c>
      <c r="I173" s="400"/>
      <c r="J173" s="406" t="str">
        <f>OBRA!AG172</f>
        <v>-</v>
      </c>
      <c r="K173" s="401"/>
      <c r="L173" s="404" t="str">
        <f>OBRA!AH172</f>
        <v>-</v>
      </c>
      <c r="M173" s="402"/>
      <c r="N173" s="404" t="str">
        <f>OBRA!AI172</f>
        <v>-</v>
      </c>
      <c r="O173" s="144"/>
      <c r="P173" s="144"/>
      <c r="Q173" s="401"/>
      <c r="R173" s="407" t="str">
        <f>OBRA!AJ172</f>
        <v>-</v>
      </c>
      <c r="S173" s="385"/>
      <c r="T173" s="399" t="str">
        <f>OBRA!W172</f>
        <v>LIC. CARLOS MANUEL PELAYO CERVERA</v>
      </c>
      <c r="U173" s="408" t="str">
        <f>OBRA!X172</f>
        <v>LIC. SALVADOR CONTRERAS OLGUÍN</v>
      </c>
      <c r="V173" s="1090"/>
      <c r="W173" s="19" t="str">
        <f>OBRA!N172</f>
        <v>GMJ 004C OP/2016</v>
      </c>
      <c r="X173" s="12"/>
      <c r="Y173" s="12"/>
      <c r="Z173" s="409" t="str">
        <f>OBRA!M172</f>
        <v>RAMO 33</v>
      </c>
      <c r="AA173" s="12"/>
      <c r="AB173" s="2" t="str">
        <f>OBRA!O172</f>
        <v>ADJUDICACIÓN DIRECTA</v>
      </c>
      <c r="AC173" s="3" t="str">
        <f>OBRA!P172</f>
        <v>REHABILITACIÓN DE RED DE AGUA POTABLE Y REPOSICIÓN DE EMPEDRADO NORMAL (CALLE 16 DE SEPTIEMBRE ENTRE CALLE CORELOS Y 20 DE NOVIEMBRE DELEGACION DE ZAPOTITAN DE HIDALGO</v>
      </c>
      <c r="AD173" s="4">
        <f>OBRA!R172</f>
        <v>346655.86</v>
      </c>
      <c r="AE173" s="6">
        <f>OBRA!S172</f>
        <v>42599</v>
      </c>
      <c r="AF173" s="5">
        <f>OBRA!T172</f>
        <v>42600</v>
      </c>
      <c r="AG173" s="390">
        <f>OBRA!U172</f>
        <v>42704</v>
      </c>
      <c r="AH173" s="52"/>
      <c r="AI173" s="211"/>
      <c r="AJ173" s="242"/>
      <c r="AK173" s="242"/>
      <c r="AL173" s="394"/>
      <c r="AM173" s="519" t="str">
        <f>GRAL!B174</f>
        <v>2015-2018</v>
      </c>
    </row>
    <row r="174" spans="1:39" ht="114.75" hidden="1" customHeight="1" thickTop="1">
      <c r="A174" s="158">
        <f>OBRA!J173</f>
        <v>2016</v>
      </c>
      <c r="B174" s="1683"/>
      <c r="C174" s="395"/>
      <c r="D174" s="146"/>
      <c r="E174" s="148"/>
      <c r="F174" s="148"/>
      <c r="G174" s="398"/>
      <c r="H174" s="404" t="str">
        <f>OBRA!AF173</f>
        <v>-</v>
      </c>
      <c r="I174" s="400"/>
      <c r="J174" s="406" t="str">
        <f>OBRA!AG173</f>
        <v>-</v>
      </c>
      <c r="K174" s="401"/>
      <c r="L174" s="404" t="str">
        <f>OBRA!AH173</f>
        <v>-</v>
      </c>
      <c r="M174" s="402"/>
      <c r="N174" s="404" t="str">
        <f>OBRA!AI173</f>
        <v>-</v>
      </c>
      <c r="O174" s="144"/>
      <c r="P174" s="144"/>
      <c r="Q174" s="401"/>
      <c r="R174" s="407" t="str">
        <f>OBRA!AJ173</f>
        <v>-</v>
      </c>
      <c r="S174" s="385"/>
      <c r="T174" s="399" t="str">
        <f>OBRA!W173</f>
        <v>LIC. CARLOS MANUEL PELAYO CERVERA</v>
      </c>
      <c r="U174" s="408" t="str">
        <f>OBRA!X173</f>
        <v>LIC. SALVADOR CONTRERAS OLGUÍN</v>
      </c>
      <c r="V174" s="1090"/>
      <c r="W174" s="19" t="str">
        <f>OBRA!N173</f>
        <v>GMJ 005C OP/2016</v>
      </c>
      <c r="X174" s="12"/>
      <c r="Y174" s="12"/>
      <c r="Z174" s="409" t="str">
        <f>OBRA!M173</f>
        <v>RAMO 33</v>
      </c>
      <c r="AA174" s="12"/>
      <c r="AB174" s="2" t="str">
        <f>OBRA!O173</f>
        <v>ADJUDICACIÓN DIRECTA</v>
      </c>
      <c r="AC174" s="3" t="str">
        <f>OBRA!P173</f>
        <v>REHABILITACION DE RED DE DRENAJE Y REPOSICION DE EMPEDRADO NORMAL, CALLE 16 DE SEPTIEMBRE ENTRE CALLE MORELOS Y 20 DE NOVIEMBRE, DELEGACION DE ZAPOTITAN DE HIDALGO</v>
      </c>
      <c r="AD174" s="4">
        <f>OBRA!R173</f>
        <v>410268.05</v>
      </c>
      <c r="AE174" s="6">
        <f>OBRA!S173</f>
        <v>42593</v>
      </c>
      <c r="AF174" s="5">
        <f>OBRA!T173</f>
        <v>42597</v>
      </c>
      <c r="AG174" s="390">
        <f>OBRA!U173</f>
        <v>42704</v>
      </c>
      <c r="AH174" s="52"/>
      <c r="AI174" s="211"/>
      <c r="AJ174" s="242"/>
      <c r="AK174" s="242"/>
      <c r="AL174" s="394"/>
      <c r="AM174" s="519" t="str">
        <f>GRAL!B175</f>
        <v>2015-2018</v>
      </c>
    </row>
    <row r="175" spans="1:39" ht="105.75" hidden="1" customHeight="1" thickTop="1">
      <c r="A175" s="158">
        <f>OBRA!J174</f>
        <v>-2015</v>
      </c>
      <c r="B175" s="1683"/>
      <c r="C175" s="395"/>
      <c r="D175" s="146"/>
      <c r="E175" s="148"/>
      <c r="F175" s="148"/>
      <c r="G175" s="398"/>
      <c r="H175" s="404" t="str">
        <f>OBRA!AF174</f>
        <v>-</v>
      </c>
      <c r="I175" s="400"/>
      <c r="J175" s="406" t="str">
        <f>OBRA!AG174</f>
        <v>-</v>
      </c>
      <c r="K175" s="401"/>
      <c r="L175" s="404" t="str">
        <f>OBRA!AH174</f>
        <v>-</v>
      </c>
      <c r="M175" s="402"/>
      <c r="N175" s="404" t="str">
        <f>OBRA!AI174</f>
        <v>-</v>
      </c>
      <c r="O175" s="144"/>
      <c r="P175" s="144"/>
      <c r="Q175" s="401"/>
      <c r="R175" s="407" t="str">
        <f>OBRA!AJ174</f>
        <v>-</v>
      </c>
      <c r="S175" s="385"/>
      <c r="T175" s="399" t="str">
        <f>OBRA!W174</f>
        <v>CONSTRUCCIONES VIKBRAK, S.A. DE C.V.</v>
      </c>
      <c r="U175" s="408" t="str">
        <f>OBRA!X174</f>
        <v>LIC. SALVADOR CONTRERAS OLGUÍN</v>
      </c>
      <c r="V175" s="1090"/>
      <c r="W175" s="19" t="str">
        <f>OBRA!N174</f>
        <v>GMJ 006C OP/2016</v>
      </c>
      <c r="X175" s="12"/>
      <c r="Y175" s="12"/>
      <c r="Z175" s="409" t="str">
        <f>OBRA!M174</f>
        <v>RAMO 33</v>
      </c>
      <c r="AA175" s="12"/>
      <c r="AB175" s="2" t="str">
        <f>OBRA!O174</f>
        <v>ADJUDICACIÓN DIRECTA</v>
      </c>
      <c r="AC175" s="3" t="str">
        <f>OBRA!P174</f>
        <v>1ER ETAPA DE REHABILITACION, RED DE AGUA POTABLE Y REPOSICION DE EMPEDRADO AHOGADO EN CEMENTO EN LA CALLE ANIMA SOLA DE LA CABECERA MUNICIPAL DE JOCOTEPEC, JALISCO</v>
      </c>
      <c r="AD175" s="4">
        <f>OBRA!R174</f>
        <v>369433.07</v>
      </c>
      <c r="AE175" s="6">
        <f>OBRA!S174</f>
        <v>42597</v>
      </c>
      <c r="AF175" s="5">
        <f>OBRA!T174</f>
        <v>42600</v>
      </c>
      <c r="AG175" s="390">
        <f>OBRA!U174</f>
        <v>42704</v>
      </c>
      <c r="AH175" s="52"/>
      <c r="AI175" s="211"/>
      <c r="AJ175" s="242"/>
      <c r="AK175" s="242"/>
      <c r="AL175" s="394"/>
      <c r="AM175" s="519" t="str">
        <f>GRAL!B176</f>
        <v>2015-2018</v>
      </c>
    </row>
    <row r="176" spans="1:39" ht="93.75" hidden="1" customHeight="1" thickTop="1">
      <c r="A176" s="158">
        <f>OBRA!J175</f>
        <v>-2015</v>
      </c>
      <c r="B176" s="1683"/>
      <c r="C176" s="395"/>
      <c r="D176" s="146"/>
      <c r="E176" s="148"/>
      <c r="F176" s="148"/>
      <c r="G176" s="398"/>
      <c r="H176" s="404" t="str">
        <f>OBRA!AF175</f>
        <v>-</v>
      </c>
      <c r="I176" s="400"/>
      <c r="J176" s="406" t="str">
        <f>OBRA!AG175</f>
        <v>-</v>
      </c>
      <c r="K176" s="401"/>
      <c r="L176" s="404" t="str">
        <f>OBRA!AH175</f>
        <v>-</v>
      </c>
      <c r="M176" s="402"/>
      <c r="N176" s="404" t="str">
        <f>OBRA!AI175</f>
        <v>-</v>
      </c>
      <c r="O176" s="144"/>
      <c r="P176" s="144"/>
      <c r="Q176" s="401"/>
      <c r="R176" s="407" t="str">
        <f>OBRA!AJ175</f>
        <v>-</v>
      </c>
      <c r="S176" s="385"/>
      <c r="T176" s="399" t="str">
        <f>OBRA!W175</f>
        <v>CONSTRUCCIONES VIKBRAK, S.A. DE C.V.</v>
      </c>
      <c r="U176" s="408" t="str">
        <f>OBRA!X175</f>
        <v>LIC. SALVADOR CONTRERAS OLGUÍN</v>
      </c>
      <c r="V176" s="1090"/>
      <c r="W176" s="19" t="str">
        <f>OBRA!N175</f>
        <v>GMJ 007C OP/2016</v>
      </c>
      <c r="X176" s="12"/>
      <c r="Y176" s="12"/>
      <c r="Z176" s="409" t="str">
        <f>OBRA!M175</f>
        <v>RAMO 33</v>
      </c>
      <c r="AA176" s="12"/>
      <c r="AB176" s="2" t="str">
        <f>OBRA!O175</f>
        <v>ADJUDICACIÓN DIRECTA</v>
      </c>
      <c r="AC176" s="3" t="str">
        <f>OBRA!P175</f>
        <v>1ER ETAPA DE REHABILITACION, RED DE DRENAJE Y REPOSICION DE EMPEDRADO AHOGADO EN CEMENTO EN LA CALLE ANIMA SOLA DE LA CABECERA MUNICIPAL DE JOCOTEPEC, JALISCO</v>
      </c>
      <c r="AD176" s="4">
        <f>OBRA!R175</f>
        <v>369433.09</v>
      </c>
      <c r="AE176" s="6">
        <f>OBRA!S175</f>
        <v>42592</v>
      </c>
      <c r="AF176" s="5">
        <f>OBRA!T175</f>
        <v>42593</v>
      </c>
      <c r="AG176" s="390">
        <f>OBRA!U175</f>
        <v>42704</v>
      </c>
      <c r="AH176" s="52"/>
      <c r="AI176" s="211"/>
      <c r="AJ176" s="242"/>
      <c r="AK176" s="242"/>
      <c r="AL176" s="394"/>
      <c r="AM176" s="519" t="str">
        <f>GRAL!B177</f>
        <v>2015-2018</v>
      </c>
    </row>
    <row r="177" spans="1:39" ht="45.75" hidden="1" thickTop="1">
      <c r="A177" s="158">
        <f>OBRA!J176</f>
        <v>2016</v>
      </c>
      <c r="B177" s="1683"/>
      <c r="C177" s="395"/>
      <c r="D177" s="146"/>
      <c r="E177" s="148"/>
      <c r="F177" s="148"/>
      <c r="G177" s="398"/>
      <c r="H177" s="404" t="str">
        <f>OBRA!AF176</f>
        <v>-</v>
      </c>
      <c r="I177" s="400"/>
      <c r="J177" s="406" t="str">
        <f>OBRA!AG176</f>
        <v>-</v>
      </c>
      <c r="K177" s="401"/>
      <c r="L177" s="404" t="str">
        <f>OBRA!AH176</f>
        <v>-</v>
      </c>
      <c r="M177" s="402"/>
      <c r="N177" s="404" t="str">
        <f>OBRA!AI176</f>
        <v>-</v>
      </c>
      <c r="O177" s="144"/>
      <c r="P177" s="144"/>
      <c r="Q177" s="401"/>
      <c r="R177" s="407" t="str">
        <f>OBRA!AJ176</f>
        <v>-</v>
      </c>
      <c r="S177" s="385"/>
      <c r="T177" s="399" t="str">
        <f>OBRA!W176</f>
        <v>CONSTRUCCIONES VIKBRAK, S.A. DE C.V.</v>
      </c>
      <c r="U177" s="408" t="str">
        <f>OBRA!X176</f>
        <v>LIC. SALVADOR CONTRERAS OLGUÍN</v>
      </c>
      <c r="V177" s="1090"/>
      <c r="W177" s="19" t="str">
        <f>OBRA!N176</f>
        <v>GMJ 008C OP/2016</v>
      </c>
      <c r="X177" s="12"/>
      <c r="Y177" s="12"/>
      <c r="Z177" s="409" t="str">
        <f>OBRA!M176</f>
        <v>RAMO 33</v>
      </c>
      <c r="AA177" s="12"/>
      <c r="AB177" s="2" t="str">
        <f>OBRA!O176</f>
        <v>ADJUDICACIÓN DIRECTA</v>
      </c>
      <c r="AC177" s="3" t="str">
        <f>OBRA!P176</f>
        <v>2DA. ETAPA DE REHABILITACIÓN, RED DE DRENAJE Y REPOSICIÓN DE EMPEDRADO EN CEMENTO EN LA CALLE ANIMA SOLA EN JOCOTEPEC, JALISCO</v>
      </c>
      <c r="AD177" s="4">
        <f>OBRA!R176</f>
        <v>205079.87</v>
      </c>
      <c r="AE177" s="6">
        <f>OBRA!S176</f>
        <v>42618</v>
      </c>
      <c r="AF177" s="5">
        <f>OBRA!T176</f>
        <v>42625</v>
      </c>
      <c r="AG177" s="390">
        <f>OBRA!U176</f>
        <v>42704</v>
      </c>
      <c r="AH177" s="52"/>
      <c r="AI177" s="211"/>
      <c r="AJ177" s="242"/>
      <c r="AK177" s="242"/>
      <c r="AL177" s="394"/>
      <c r="AM177" s="519" t="str">
        <f>GRAL!B178</f>
        <v>2015-2018</v>
      </c>
    </row>
    <row r="178" spans="1:39" ht="77.25" hidden="1" customHeight="1" thickTop="1">
      <c r="A178" s="158">
        <f>OBRA!J177</f>
        <v>2016</v>
      </c>
      <c r="B178" s="1683"/>
      <c r="C178" s="395"/>
      <c r="D178" s="146"/>
      <c r="E178" s="148"/>
      <c r="F178" s="148"/>
      <c r="G178" s="398"/>
      <c r="H178" s="404" t="str">
        <f>OBRA!AF177</f>
        <v>-</v>
      </c>
      <c r="I178" s="400"/>
      <c r="J178" s="406" t="str">
        <f>OBRA!AG177</f>
        <v>-</v>
      </c>
      <c r="K178" s="401"/>
      <c r="L178" s="404" t="str">
        <f>OBRA!AH177</f>
        <v>-</v>
      </c>
      <c r="M178" s="402"/>
      <c r="N178" s="404" t="str">
        <f>OBRA!AI177</f>
        <v>-</v>
      </c>
      <c r="O178" s="144"/>
      <c r="P178" s="144"/>
      <c r="Q178" s="401"/>
      <c r="R178" s="407" t="str">
        <f>OBRA!AJ177</f>
        <v>-</v>
      </c>
      <c r="S178" s="385"/>
      <c r="T178" s="399" t="str">
        <f>OBRA!W177</f>
        <v>CONSTRUCCIONES VIKBRAK, S.A. DE C.V.</v>
      </c>
      <c r="U178" s="408" t="str">
        <f>OBRA!X177</f>
        <v>LIC. SALVADOR CONTRERAS OLGUÍN</v>
      </c>
      <c r="V178" s="1090"/>
      <c r="W178" s="19" t="str">
        <f>OBRA!N177</f>
        <v>GMJ 009C OP/2016</v>
      </c>
      <c r="X178" s="12"/>
      <c r="Y178" s="12"/>
      <c r="Z178" s="409" t="str">
        <f>OBRA!M177</f>
        <v>RAMO 33</v>
      </c>
      <c r="AA178" s="12"/>
      <c r="AB178" s="2" t="str">
        <f>OBRA!O177</f>
        <v>ADJUDICACIÓN DIRECTA</v>
      </c>
      <c r="AC178" s="3" t="str">
        <f>OBRA!P177</f>
        <v>2DA. ETAPA DE REHABILITACIÓN DE RED DE AGUA POTABLE Y REPOSICIÓN DE EMPEDRADO AHOGADO EN CEMENTO EN LA C. ANIMA SOLA DE LA CABECERA MUNICIPAL DE JOCOTEPEC, JALISCO</v>
      </c>
      <c r="AD178" s="4">
        <f>OBRA!R177</f>
        <v>187923.95</v>
      </c>
      <c r="AE178" s="6">
        <f>OBRA!S177</f>
        <v>42618</v>
      </c>
      <c r="AF178" s="5">
        <f>OBRA!T177</f>
        <v>42625</v>
      </c>
      <c r="AG178" s="390">
        <f>OBRA!U177</f>
        <v>42704</v>
      </c>
      <c r="AH178" s="52"/>
      <c r="AI178" s="211"/>
      <c r="AJ178" s="242"/>
      <c r="AK178" s="242"/>
      <c r="AL178" s="394"/>
      <c r="AM178" s="519" t="str">
        <f>GRAL!B179</f>
        <v>2015-2018</v>
      </c>
    </row>
    <row r="179" spans="1:39" ht="73.5" hidden="1" customHeight="1" thickTop="1">
      <c r="A179" s="158">
        <f>OBRA!J178</f>
        <v>2016</v>
      </c>
      <c r="B179" s="1683"/>
      <c r="C179" s="395"/>
      <c r="D179" s="146"/>
      <c r="E179" s="148"/>
      <c r="F179" s="148"/>
      <c r="G179" s="398"/>
      <c r="H179" s="404" t="str">
        <f>OBRA!AF178</f>
        <v>-</v>
      </c>
      <c r="I179" s="400"/>
      <c r="J179" s="406" t="str">
        <f>OBRA!AG178</f>
        <v>-</v>
      </c>
      <c r="K179" s="401"/>
      <c r="L179" s="404" t="str">
        <f>OBRA!AH178</f>
        <v>-</v>
      </c>
      <c r="M179" s="402"/>
      <c r="N179" s="404" t="str">
        <f>OBRA!AI178</f>
        <v>-</v>
      </c>
      <c r="O179" s="144"/>
      <c r="P179" s="144"/>
      <c r="Q179" s="401"/>
      <c r="R179" s="407" t="str">
        <f>OBRA!AJ178</f>
        <v>-</v>
      </c>
      <c r="S179" s="386" t="s">
        <v>2346</v>
      </c>
      <c r="T179" s="399" t="str">
        <f>OBRA!W178</f>
        <v>ING. GERARDO DANIEL PELAYO CERVERA</v>
      </c>
      <c r="U179" s="408" t="str">
        <f>OBRA!X178</f>
        <v>LIC. SALVADOR CONTRERAS OLGUÍN</v>
      </c>
      <c r="V179" s="1090"/>
      <c r="W179" s="19" t="str">
        <f>OBRA!N178</f>
        <v>GMJ 010C OP/2016</v>
      </c>
      <c r="X179" s="12"/>
      <c r="Y179" s="12"/>
      <c r="Z179" s="409" t="str">
        <f>OBRA!M178</f>
        <v>RAMO 33</v>
      </c>
      <c r="AA179" s="12"/>
      <c r="AB179" s="2" t="str">
        <f>OBRA!O178</f>
        <v>ADJUDICACIÓN DIRECTA</v>
      </c>
      <c r="AC179" s="3" t="str">
        <f>OBRA!P178</f>
        <v>REHABILITACION DE RED DE DRENAJE EN C. VIENTE GUERRERO ENTRE INDEPENDENCIA Y NIÑOS HEROES, EN JOCOTEPEC, JALISCO</v>
      </c>
      <c r="AD179" s="4">
        <f>OBRA!R178</f>
        <v>583370.43999999994</v>
      </c>
      <c r="AE179" s="6">
        <f>OBRA!S178</f>
        <v>42632</v>
      </c>
      <c r="AF179" s="5">
        <f>OBRA!T178</f>
        <v>42635</v>
      </c>
      <c r="AG179" s="390">
        <f>OBRA!U178</f>
        <v>42704</v>
      </c>
      <c r="AH179" s="52"/>
      <c r="AI179" s="211"/>
      <c r="AJ179" s="242"/>
      <c r="AK179" s="242"/>
      <c r="AL179" s="394"/>
      <c r="AM179" s="519" t="str">
        <f>GRAL!B180</f>
        <v>2015-2018</v>
      </c>
    </row>
    <row r="180" spans="1:39" ht="133.5" hidden="1" customHeight="1" thickTop="1">
      <c r="A180" s="158">
        <f>OBRA!J179</f>
        <v>2016</v>
      </c>
      <c r="B180" s="1683"/>
      <c r="C180" s="395"/>
      <c r="D180" s="146" t="s">
        <v>2347</v>
      </c>
      <c r="E180" s="148" t="s">
        <v>2348</v>
      </c>
      <c r="F180" s="148" t="s">
        <v>2349</v>
      </c>
      <c r="G180" s="398"/>
      <c r="H180" s="404" t="str">
        <f>OBRA!AF179</f>
        <v>-</v>
      </c>
      <c r="I180" s="400"/>
      <c r="J180" s="406" t="str">
        <f>OBRA!AG179</f>
        <v>-</v>
      </c>
      <c r="K180" s="401"/>
      <c r="L180" s="404" t="str">
        <f>OBRA!AH179</f>
        <v>-</v>
      </c>
      <c r="M180" s="402"/>
      <c r="N180" s="404" t="str">
        <f>OBRA!AI179</f>
        <v>-</v>
      </c>
      <c r="O180" s="166" t="s">
        <v>2350</v>
      </c>
      <c r="P180" s="167">
        <v>0.375</v>
      </c>
      <c r="Q180" s="401"/>
      <c r="R180" s="407" t="str">
        <f>OBRA!AJ179</f>
        <v>-</v>
      </c>
      <c r="S180" s="385"/>
      <c r="T180" s="399" t="str">
        <f>OBRA!W179</f>
        <v>ING. GERARDO DANIEL PELAYO CERVERA</v>
      </c>
      <c r="U180" s="408" t="str">
        <f>OBRA!X179</f>
        <v>LIC. SALVADOR CONTRERAS OLGUÍN</v>
      </c>
      <c r="V180" s="1090"/>
      <c r="W180" s="19" t="str">
        <f>OBRA!N179</f>
        <v>GMJ 011C OP/2016</v>
      </c>
      <c r="X180" s="12"/>
      <c r="Y180" s="12"/>
      <c r="Z180" s="409" t="str">
        <f>OBRA!M179</f>
        <v>RAMO 33</v>
      </c>
      <c r="AA180" s="12"/>
      <c r="AB180" s="2" t="str">
        <f>OBRA!O179</f>
        <v>ADJUDICACIÓN DIRECTA</v>
      </c>
      <c r="AC180" s="3" t="str">
        <f>OBRA!P179</f>
        <v>REHABILITACIÓN DE RED DE AGUA POTABLE EN C. VIENTE GUERRERO ENTRE INDEPENDENCIA Y NIÑOS HEROES, EN JOCOTEPEC, JALISCO</v>
      </c>
      <c r="AD180" s="4">
        <f>OBRA!R179</f>
        <v>490205.03</v>
      </c>
      <c r="AE180" s="6">
        <f>OBRA!S179</f>
        <v>42632</v>
      </c>
      <c r="AF180" s="5">
        <f>OBRA!T179</f>
        <v>42635</v>
      </c>
      <c r="AG180" s="390">
        <f>OBRA!U179</f>
        <v>42704</v>
      </c>
      <c r="AH180" s="52"/>
      <c r="AI180" s="211"/>
      <c r="AJ180" s="242"/>
      <c r="AK180" s="242"/>
      <c r="AL180" s="394"/>
      <c r="AM180" s="519" t="str">
        <f>GRAL!B181</f>
        <v>2015-2018</v>
      </c>
    </row>
    <row r="181" spans="1:39" ht="317.25" hidden="1" customHeight="1" thickTop="1">
      <c r="A181" s="158">
        <f>OBRA!J180</f>
        <v>2016</v>
      </c>
      <c r="B181" s="1683"/>
      <c r="C181" s="411" t="s">
        <v>2351</v>
      </c>
      <c r="D181" s="146" t="s">
        <v>2352</v>
      </c>
      <c r="E181" s="148" t="s">
        <v>2348</v>
      </c>
      <c r="F181" s="148" t="s">
        <v>2349</v>
      </c>
      <c r="G181" s="413" t="s">
        <v>2353</v>
      </c>
      <c r="H181" s="404">
        <f>OBRA!AF180</f>
        <v>42619</v>
      </c>
      <c r="I181" s="413" t="s">
        <v>2354</v>
      </c>
      <c r="J181" s="406">
        <f>OBRA!AG180</f>
        <v>42621</v>
      </c>
      <c r="K181" s="414" t="s">
        <v>2355</v>
      </c>
      <c r="L181" s="404">
        <f>OBRA!AH180</f>
        <v>42621</v>
      </c>
      <c r="M181" s="414" t="s">
        <v>2356</v>
      </c>
      <c r="N181" s="404">
        <f>OBRA!AI180</f>
        <v>42628</v>
      </c>
      <c r="O181" s="166" t="s">
        <v>2350</v>
      </c>
      <c r="P181" s="547">
        <v>0.375</v>
      </c>
      <c r="Q181" s="414" t="s">
        <v>2357</v>
      </c>
      <c r="R181" s="407">
        <f>OBRA!AJ180</f>
        <v>42632</v>
      </c>
      <c r="S181" s="386" t="s">
        <v>2358</v>
      </c>
      <c r="T181" s="399" t="str">
        <f>OBRA!W180</f>
        <v>A&amp;G URBANIZADORA S.A. DE C.V.</v>
      </c>
      <c r="U181" s="408" t="str">
        <f>OBRA!X180</f>
        <v>ING. J. GUADALUPE IBARRA RAMIREZ</v>
      </c>
      <c r="V181" s="1090"/>
      <c r="W181" s="33" t="str">
        <f>OBRA!N180</f>
        <v>GMJ 012C OP/2016</v>
      </c>
      <c r="X181" s="414" t="s">
        <v>1807</v>
      </c>
      <c r="Y181" s="412" t="s">
        <v>2359</v>
      </c>
      <c r="Z181" s="410" t="str">
        <f>OBRA!M180</f>
        <v xml:space="preserve">Fortalecimiento Financiero Para La Inversion </v>
      </c>
      <c r="AA181" s="12" t="s">
        <v>2360</v>
      </c>
      <c r="AB181" s="2" t="str">
        <f>OBRA!O180</f>
        <v>POR INVITACION RESTRINGIDA</v>
      </c>
      <c r="AC181" s="3" t="str">
        <f>OBRA!P180</f>
        <v>CONSTRUCCIÓN DE LOZA DE CONCRETO HIDRAULICO Y REHABILITACIÓN DE PUENTE VEHICULAR EN CALLE VICENTE GUERRERO EN LA CABECERA MUNICIPAL DE JOCOTEPEC, JALISCO</v>
      </c>
      <c r="AD181" s="4">
        <f>OBRA!R180</f>
        <v>3930732.57</v>
      </c>
      <c r="AE181" s="6">
        <f>OBRA!S180</f>
        <v>42633</v>
      </c>
      <c r="AF181" s="5">
        <f>OBRA!T180</f>
        <v>42634</v>
      </c>
      <c r="AG181" s="390">
        <f>OBRA!U180</f>
        <v>42719</v>
      </c>
      <c r="AH181" s="52"/>
      <c r="AI181" s="211" t="s">
        <v>2310</v>
      </c>
      <c r="AJ181" s="2" t="s">
        <v>1428</v>
      </c>
      <c r="AK181" s="415" t="s">
        <v>1812</v>
      </c>
      <c r="AL181" s="416" t="s">
        <v>2361</v>
      </c>
      <c r="AM181" s="211" t="str">
        <f>GRAL!B182</f>
        <v>2015-2018</v>
      </c>
    </row>
    <row r="182" spans="1:39" ht="60" hidden="1" customHeight="1" thickTop="1">
      <c r="A182" s="158">
        <f>OBRA!J181</f>
        <v>2016</v>
      </c>
      <c r="B182" s="1683"/>
      <c r="C182" s="395"/>
      <c r="D182" s="146"/>
      <c r="E182" s="148"/>
      <c r="F182" s="148"/>
      <c r="G182" s="398"/>
      <c r="H182" s="404" t="str">
        <f>OBRA!AF181</f>
        <v>-</v>
      </c>
      <c r="I182" s="400"/>
      <c r="J182" s="406" t="str">
        <f>OBRA!AG181</f>
        <v>-</v>
      </c>
      <c r="K182" s="401"/>
      <c r="L182" s="404" t="str">
        <f>OBRA!AH181</f>
        <v>-</v>
      </c>
      <c r="M182" s="414"/>
      <c r="N182" s="404" t="str">
        <f>OBRA!AI181</f>
        <v>-</v>
      </c>
      <c r="O182" s="144"/>
      <c r="P182" s="144"/>
      <c r="Q182" s="414"/>
      <c r="R182" s="407" t="str">
        <f>OBRA!AJ181</f>
        <v>-</v>
      </c>
      <c r="S182" s="386" t="s">
        <v>2362</v>
      </c>
      <c r="T182" s="399" t="str">
        <f>OBRA!W181</f>
        <v>ENERGIAS RENOVABLES DE LA RIVERA S.A. DE C.V</v>
      </c>
      <c r="U182" s="408" t="str">
        <f>OBRA!X181</f>
        <v>ING. RIGOBERTO OLMEDO RAMOS</v>
      </c>
      <c r="V182" s="1090"/>
      <c r="W182" s="19" t="str">
        <f>OBRA!N181</f>
        <v>GMJ 013C OP/2016</v>
      </c>
      <c r="X182" s="414"/>
      <c r="Y182" s="12"/>
      <c r="Z182" s="409" t="str">
        <f>OBRA!M181</f>
        <v>RAMO 33</v>
      </c>
      <c r="AA182" s="12"/>
      <c r="AB182" s="2" t="str">
        <f>OBRA!O181</f>
        <v>ADJUDICACIÓN DIRECTA</v>
      </c>
      <c r="AC182" s="3" t="str">
        <f>OBRA!P181</f>
        <v>ELECTRIFICACIÓN DE MEDIA Y BAJA TENSIÓN EN LA CALLE FRANCISCO VILLA DE ZAPOTITAN DE HIDALGO</v>
      </c>
      <c r="AD182" s="4">
        <f>OBRA!R181</f>
        <v>352278.81</v>
      </c>
      <c r="AE182" s="6">
        <f>OBRA!S181</f>
        <v>42650</v>
      </c>
      <c r="AF182" s="5">
        <f>OBRA!T181</f>
        <v>42653</v>
      </c>
      <c r="AG182" s="390">
        <f>OBRA!U181</f>
        <v>42734</v>
      </c>
      <c r="AH182" s="52"/>
      <c r="AI182" s="211"/>
      <c r="AJ182" s="242"/>
      <c r="AK182" s="242"/>
      <c r="AL182" s="394"/>
      <c r="AM182" s="519" t="str">
        <f>GRAL!B183</f>
        <v>2015-2018</v>
      </c>
    </row>
    <row r="183" spans="1:39" s="104" customFormat="1" ht="75.75" hidden="1" thickTop="1">
      <c r="A183" s="830">
        <f>OBRA!J182</f>
        <v>2016</v>
      </c>
      <c r="B183" s="835"/>
      <c r="C183" s="147"/>
      <c r="D183" s="147"/>
      <c r="E183" s="149"/>
      <c r="F183" s="149"/>
      <c r="G183" s="149"/>
      <c r="H183" s="150" t="str">
        <f>OBRA!AF182</f>
        <v>-</v>
      </c>
      <c r="I183" s="417"/>
      <c r="J183" s="110" t="str">
        <f>OBRA!AG182</f>
        <v>-</v>
      </c>
      <c r="K183" s="418"/>
      <c r="L183" s="150" t="str">
        <f>OBRA!AH182</f>
        <v>-</v>
      </c>
      <c r="M183" s="419"/>
      <c r="N183" s="150" t="str">
        <f>OBRA!AI182</f>
        <v>-</v>
      </c>
      <c r="O183" s="150"/>
      <c r="P183" s="160"/>
      <c r="Q183" s="419"/>
      <c r="R183" s="420" t="str">
        <f>OBRA!AJ182</f>
        <v>-</v>
      </c>
      <c r="S183" s="147" t="s">
        <v>2362</v>
      </c>
      <c r="T183" s="149" t="str">
        <f>OBRA!W182</f>
        <v>ENERGIAS RENOVABLES DE LA RIVERA S.A. DE C.V</v>
      </c>
      <c r="U183" s="152" t="str">
        <f>OBRA!X182</f>
        <v>ING. RIGOBERTO OLMEDO RAMOS</v>
      </c>
      <c r="V183" s="147"/>
      <c r="W183" s="308" t="str">
        <f>OBRA!N183</f>
        <v>GMJ 015C OP/2016</v>
      </c>
      <c r="X183" s="419"/>
      <c r="Y183" s="421"/>
      <c r="Z183" s="103" t="str">
        <f>OBRA!M182</f>
        <v>RAMO 33</v>
      </c>
      <c r="AA183" s="103"/>
      <c r="AB183" s="186" t="s">
        <v>251</v>
      </c>
      <c r="AC183" s="106" t="str">
        <f>OBRA!P183</f>
        <v>EMPEDRADO AHOGADO EN CEMENTO EN CALLE INSURGENTES PRIMERA ETAPA, ZAPOTITAN DE HIDALGO</v>
      </c>
      <c r="AD183" s="86">
        <f>OBRA!R183</f>
        <v>2426000</v>
      </c>
      <c r="AE183" s="87" t="str">
        <f>OBRA!S183</f>
        <v>-</v>
      </c>
      <c r="AF183" s="88" t="str">
        <f>OBRA!T183</f>
        <v>-</v>
      </c>
      <c r="AG183" s="391" t="str">
        <f>OBRA!U183</f>
        <v>-</v>
      </c>
      <c r="AH183" s="101"/>
      <c r="AI183" s="308"/>
      <c r="AJ183" s="85" t="s">
        <v>1428</v>
      </c>
      <c r="AK183" s="85"/>
      <c r="AL183" s="83"/>
      <c r="AM183" s="354" t="str">
        <f>GRAL!B184</f>
        <v>2015-2018</v>
      </c>
    </row>
    <row r="184" spans="1:39" s="104" customFormat="1" ht="130.5" hidden="1" customHeight="1" thickTop="1">
      <c r="A184" s="830">
        <f>OBRA!J183</f>
        <v>2016</v>
      </c>
      <c r="B184" s="835"/>
      <c r="C184" s="147"/>
      <c r="D184" s="147" t="s">
        <v>2363</v>
      </c>
      <c r="E184" s="149" t="s">
        <v>2348</v>
      </c>
      <c r="F184" s="149" t="s">
        <v>2349</v>
      </c>
      <c r="G184" s="149"/>
      <c r="H184" s="150" t="str">
        <f>OBRA!AF183</f>
        <v>-</v>
      </c>
      <c r="I184" s="417"/>
      <c r="J184" s="110" t="str">
        <f>OBRA!AG183</f>
        <v>-</v>
      </c>
      <c r="K184" s="418"/>
      <c r="L184" s="150" t="str">
        <f>OBRA!AH183</f>
        <v>-</v>
      </c>
      <c r="M184" s="419"/>
      <c r="N184" s="150" t="str">
        <f>OBRA!AI183</f>
        <v>-</v>
      </c>
      <c r="O184" s="836" t="s">
        <v>2350</v>
      </c>
      <c r="P184" s="837">
        <v>0.375</v>
      </c>
      <c r="Q184" s="419"/>
      <c r="R184" s="420" t="str">
        <f>OBRA!AJ183</f>
        <v>-</v>
      </c>
      <c r="S184" s="818"/>
      <c r="T184" s="838" t="s">
        <v>2364</v>
      </c>
      <c r="U184" s="152" t="str">
        <f>OBRA!X183</f>
        <v>ING. RIGOBERTO OLMEDO RAMOS</v>
      </c>
      <c r="V184" s="147"/>
      <c r="W184" s="308" t="str">
        <f>OBRA!N183</f>
        <v>GMJ 015C OP/2016</v>
      </c>
      <c r="X184" s="419"/>
      <c r="Y184" s="421"/>
      <c r="Z184" s="421" t="str">
        <f>OBRA!M183</f>
        <v>3X1 PARA MIGRANTES</v>
      </c>
      <c r="AA184" s="421" t="s">
        <v>2365</v>
      </c>
      <c r="AB184" s="186" t="str">
        <f>OBRA!O183</f>
        <v>CANCELADA</v>
      </c>
      <c r="AC184" s="106" t="str">
        <f>OBRA!P183</f>
        <v>EMPEDRADO AHOGADO EN CEMENTO EN CALLE INSURGENTES PRIMERA ETAPA, ZAPOTITAN DE HIDALGO</v>
      </c>
      <c r="AD184" s="86">
        <f>OBRA!R183</f>
        <v>2426000</v>
      </c>
      <c r="AE184" s="87" t="str">
        <f>OBRA!S183</f>
        <v>-</v>
      </c>
      <c r="AF184" s="88" t="str">
        <f>OBRA!T183</f>
        <v>-</v>
      </c>
      <c r="AG184" s="391" t="str">
        <f>OBRA!U183</f>
        <v>-</v>
      </c>
      <c r="AH184" s="101"/>
      <c r="AI184" s="90" t="s">
        <v>2310</v>
      </c>
      <c r="AJ184" s="85" t="s">
        <v>1428</v>
      </c>
      <c r="AK184" s="85"/>
      <c r="AL184" s="83"/>
      <c r="AM184" s="354" t="str">
        <f>GRAL!B185</f>
        <v>2012-2015</v>
      </c>
    </row>
    <row r="185" spans="1:39" ht="152.25" hidden="1" customHeight="1" thickTop="1">
      <c r="A185" s="158">
        <f>OBRA!J184</f>
        <v>2016</v>
      </c>
      <c r="B185" s="809"/>
      <c r="C185" s="422" t="s">
        <v>2366</v>
      </c>
      <c r="D185" s="146" t="s">
        <v>2363</v>
      </c>
      <c r="E185" s="148" t="s">
        <v>2348</v>
      </c>
      <c r="F185" s="148" t="s">
        <v>2349</v>
      </c>
      <c r="G185" s="413" t="s">
        <v>2367</v>
      </c>
      <c r="H185" s="404">
        <f>OBRA!AF184</f>
        <v>42669</v>
      </c>
      <c r="I185" s="413" t="s">
        <v>2368</v>
      </c>
      <c r="J185" s="406">
        <f>OBRA!AG184</f>
        <v>42671</v>
      </c>
      <c r="K185" s="414" t="s">
        <v>2369</v>
      </c>
      <c r="L185" s="404">
        <f>OBRA!AH184</f>
        <v>42675</v>
      </c>
      <c r="M185" s="414" t="s">
        <v>2370</v>
      </c>
      <c r="N185" s="404">
        <f>OBRA!AI184</f>
        <v>42678</v>
      </c>
      <c r="O185" s="166" t="s">
        <v>2350</v>
      </c>
      <c r="P185" s="167">
        <v>0.375</v>
      </c>
      <c r="Q185" s="414" t="s">
        <v>2371</v>
      </c>
      <c r="R185" s="407">
        <f>OBRA!AJ184</f>
        <v>42681</v>
      </c>
      <c r="S185" s="386" t="s">
        <v>2358</v>
      </c>
      <c r="T185" s="399" t="str">
        <f>OBRA!W184</f>
        <v>TAG SOLUCIONES INTEGRALES S.A DE C.V.</v>
      </c>
      <c r="U185" s="408" t="str">
        <f>OBRA!X184</f>
        <v>ING. J. GUADALUPE IBARRA RAMIREZ</v>
      </c>
      <c r="V185" s="1090"/>
      <c r="W185" s="33" t="str">
        <f>OBRA!N184</f>
        <v>GMJ 016C OP/2016</v>
      </c>
      <c r="X185" s="414" t="s">
        <v>1826</v>
      </c>
      <c r="Y185" s="412" t="s">
        <v>2372</v>
      </c>
      <c r="Z185" s="410" t="str">
        <f>OBRA!M184</f>
        <v xml:space="preserve">Fortalecimiento Financiero Para La Inversion </v>
      </c>
      <c r="AA185" s="12" t="s">
        <v>2360</v>
      </c>
      <c r="AB185" s="2" t="str">
        <f>OBRA!O184</f>
        <v>POR INVITACION RESTRINGIDA</v>
      </c>
      <c r="AC185" s="3" t="str">
        <f>OBRA!P184</f>
        <v>CONSTRUCCIÓN DE LOZA DE PAVIMENTO CON CONCRETO HIDRAULICO INCLUYE RED DE AGUA POTABLE Y ALCANTARILLADO EN CALLE DEGOLLADO ORIENTE DE C. MATAMOROS A JOSEFA ORTÍZ DE DOMINGUEZ, EN LA CABECERA MUNICIPAL DE JOCOTEPEC, JALISCO</v>
      </c>
      <c r="AD185" s="4">
        <f>OBRA!R184</f>
        <v>2439500.65</v>
      </c>
      <c r="AE185" s="6">
        <f>OBRA!S184</f>
        <v>42683</v>
      </c>
      <c r="AF185" s="5">
        <f>OBRA!T184</f>
        <v>42685</v>
      </c>
      <c r="AG185" s="390">
        <f>OBRA!U184</f>
        <v>42735</v>
      </c>
      <c r="AH185" s="52"/>
      <c r="AI185" s="241" t="s">
        <v>2310</v>
      </c>
      <c r="AJ185" s="2" t="s">
        <v>1428</v>
      </c>
      <c r="AK185" s="415" t="s">
        <v>1831</v>
      </c>
      <c r="AL185" s="416" t="s">
        <v>2373</v>
      </c>
      <c r="AM185" s="519" t="str">
        <f>GRAL!B186</f>
        <v>2015-2018</v>
      </c>
    </row>
    <row r="186" spans="1:39" ht="321.75" hidden="1" customHeight="1" thickTop="1">
      <c r="A186" s="158">
        <f>OBRA!J185</f>
        <v>2016</v>
      </c>
      <c r="B186" s="1683"/>
      <c r="C186" s="411" t="s">
        <v>2374</v>
      </c>
      <c r="D186" s="146" t="s">
        <v>2375</v>
      </c>
      <c r="E186" s="148" t="s">
        <v>2376</v>
      </c>
      <c r="F186" s="148" t="s">
        <v>2349</v>
      </c>
      <c r="G186" s="413" t="s">
        <v>2377</v>
      </c>
      <c r="H186" s="404">
        <f>OBRA!AF185</f>
        <v>42669</v>
      </c>
      <c r="I186" s="413" t="s">
        <v>2378</v>
      </c>
      <c r="J186" s="406">
        <f>OBRA!AG185</f>
        <v>42671</v>
      </c>
      <c r="K186" s="414" t="s">
        <v>2379</v>
      </c>
      <c r="L186" s="404">
        <f>OBRA!AH185</f>
        <v>42675</v>
      </c>
      <c r="M186" s="414" t="s">
        <v>2380</v>
      </c>
      <c r="N186" s="404">
        <f>OBRA!AI185</f>
        <v>42678</v>
      </c>
      <c r="O186" s="166" t="s">
        <v>2350</v>
      </c>
      <c r="P186" s="167">
        <v>0.375</v>
      </c>
      <c r="Q186" s="414" t="s">
        <v>2381</v>
      </c>
      <c r="R186" s="407">
        <f>OBRA!AJ185</f>
        <v>42681</v>
      </c>
      <c r="S186" s="531" t="s">
        <v>2382</v>
      </c>
      <c r="T186" s="399" t="str">
        <f>OBRA!W185</f>
        <v xml:space="preserve">GRUPO DESARROLLADOR INMOBILIARIO CEMERAMA S.A. DE C.V. </v>
      </c>
      <c r="U186" s="408" t="str">
        <f>OBRA!X185</f>
        <v xml:space="preserve">LIC. SALVADOR CONTRERAS </v>
      </c>
      <c r="V186" s="1090"/>
      <c r="W186" s="33" t="str">
        <f>OBRA!N185</f>
        <v>GMJ 017C OP/2016</v>
      </c>
      <c r="X186" s="414" t="s">
        <v>1832</v>
      </c>
      <c r="Y186" s="412" t="s">
        <v>2372</v>
      </c>
      <c r="Z186" s="410" t="str">
        <f>OBRA!M185</f>
        <v xml:space="preserve">Fortalecimiento Financiero Para La Inversion </v>
      </c>
      <c r="AA186" s="12" t="s">
        <v>2360</v>
      </c>
      <c r="AB186" s="2" t="str">
        <f>OBRA!O185</f>
        <v>POR INVITACION RESTRINGIDA</v>
      </c>
      <c r="AC186" s="3" t="str">
        <f>OBRA!P185</f>
        <v>CONSTRUCCIÓN DE LOZA DE PAVIMENTO CON CONCRETO HIDRAULICO INCLUYE RED DE AGUA POTABLE Y ALCANTARILLADO EN CALLE DEGOLLADO ORIENTE DE C. NICOLAS BRAVO A MATAMORORS, EN LA CABECERA MUNICIPAL DE JOCOTEPEC, JALISCO</v>
      </c>
      <c r="AD186" s="4">
        <f>OBRA!R185</f>
        <v>2623234.52</v>
      </c>
      <c r="AE186" s="6">
        <f>OBRA!S185</f>
        <v>42622</v>
      </c>
      <c r="AF186" s="5">
        <f>OBRA!T185</f>
        <v>42685</v>
      </c>
      <c r="AG186" s="390">
        <f>OBRA!U185</f>
        <v>42735</v>
      </c>
      <c r="AH186" s="52"/>
      <c r="AI186" s="241" t="s">
        <v>2310</v>
      </c>
      <c r="AJ186" s="2" t="s">
        <v>1428</v>
      </c>
      <c r="AK186" s="415" t="s">
        <v>1837</v>
      </c>
      <c r="AL186" s="416" t="s">
        <v>2383</v>
      </c>
      <c r="AM186" s="519" t="str">
        <f>GRAL!B187</f>
        <v>2015-2018</v>
      </c>
    </row>
    <row r="187" spans="1:39" ht="301.5" hidden="1" customHeight="1" thickTop="1">
      <c r="A187" s="158">
        <f>OBRA!J186</f>
        <v>2016</v>
      </c>
      <c r="B187" s="1683"/>
      <c r="C187" s="411" t="s">
        <v>2384</v>
      </c>
      <c r="D187" s="146" t="s">
        <v>2385</v>
      </c>
      <c r="E187" s="148" t="s">
        <v>2386</v>
      </c>
      <c r="F187" s="148" t="s">
        <v>2387</v>
      </c>
      <c r="G187" s="413" t="s">
        <v>2388</v>
      </c>
      <c r="H187" s="404">
        <f>OBRA!AF186</f>
        <v>42653</v>
      </c>
      <c r="I187" s="413" t="s">
        <v>2389</v>
      </c>
      <c r="J187" s="406">
        <f>OBRA!AG186</f>
        <v>42656</v>
      </c>
      <c r="K187" s="414" t="s">
        <v>2390</v>
      </c>
      <c r="L187" s="404">
        <f>OBRA!AH186</f>
        <v>42661</v>
      </c>
      <c r="M187" s="414" t="s">
        <v>2391</v>
      </c>
      <c r="N187" s="404">
        <f>OBRA!AI186</f>
        <v>42663</v>
      </c>
      <c r="O187" s="166" t="s">
        <v>2350</v>
      </c>
      <c r="P187" s="167">
        <v>0.375</v>
      </c>
      <c r="Q187" s="414" t="s">
        <v>2392</v>
      </c>
      <c r="R187" s="407">
        <f>OBRA!AJ186</f>
        <v>42668</v>
      </c>
      <c r="S187" s="531" t="s">
        <v>2382</v>
      </c>
      <c r="T187" s="399" t="str">
        <f>OBRA!W186</f>
        <v xml:space="preserve">GRUPO DESARROLLADOR INMOBILIARIO CEMERAMA S.A. DE C.V. </v>
      </c>
      <c r="U187" s="408" t="str">
        <f>OBRA!X186</f>
        <v xml:space="preserve">LIC. SALVADOR CONTRERAS </v>
      </c>
      <c r="V187" s="1090"/>
      <c r="W187" s="33" t="str">
        <f>OBRA!N186</f>
        <v>GMJ 018C OP/2016</v>
      </c>
      <c r="X187" s="414" t="s">
        <v>1840</v>
      </c>
      <c r="Y187" s="412" t="s">
        <v>2393</v>
      </c>
      <c r="Z187" s="410" t="str">
        <f>OBRA!M186</f>
        <v>SEDATU</v>
      </c>
      <c r="AA187" s="12" t="s">
        <v>2360</v>
      </c>
      <c r="AB187" s="2" t="str">
        <f>OBRA!O186</f>
        <v>POR INVITACION RESTRINGIDA</v>
      </c>
      <c r="AC187" s="3" t="str">
        <f>OBRA!P186</f>
        <v>CONSTRUCCIÓN DE PLAZOLETA "EL CHANTE" MUNICIPIO DE JOCOTEPEC, JALISCO</v>
      </c>
      <c r="AD187" s="4">
        <f>OBRA!R186</f>
        <v>2389400</v>
      </c>
      <c r="AE187" s="6">
        <f>OBRA!S186</f>
        <v>42669</v>
      </c>
      <c r="AF187" s="5">
        <f>OBRA!T186</f>
        <v>42671</v>
      </c>
      <c r="AG187" s="390">
        <f>OBRA!U186</f>
        <v>42735</v>
      </c>
      <c r="AH187" s="52"/>
      <c r="AI187" s="241" t="s">
        <v>2310</v>
      </c>
      <c r="AJ187" s="415" t="s">
        <v>2394</v>
      </c>
      <c r="AK187" s="415" t="s">
        <v>2395</v>
      </c>
      <c r="AL187" s="416" t="s">
        <v>2396</v>
      </c>
      <c r="AM187" s="211" t="str">
        <f>GRAL!B188</f>
        <v>2015-2018</v>
      </c>
    </row>
    <row r="188" spans="1:39" ht="90.75" hidden="1" customHeight="1" thickTop="1">
      <c r="A188" s="158">
        <f>OBRA!J187</f>
        <v>2016</v>
      </c>
      <c r="B188" s="1683"/>
      <c r="C188" s="395"/>
      <c r="D188" s="146"/>
      <c r="E188" s="148"/>
      <c r="F188" s="148"/>
      <c r="G188" s="398"/>
      <c r="H188" s="404" t="str">
        <f>OBRA!AF187</f>
        <v>-</v>
      </c>
      <c r="I188" s="413"/>
      <c r="J188" s="406" t="str">
        <f>OBRA!AG187</f>
        <v>-</v>
      </c>
      <c r="K188" s="401"/>
      <c r="L188" s="404" t="str">
        <f>OBRA!AH187</f>
        <v>-</v>
      </c>
      <c r="M188" s="414"/>
      <c r="N188" s="404" t="str">
        <f>OBRA!AI187</f>
        <v>-</v>
      </c>
      <c r="O188" s="144"/>
      <c r="P188" s="165"/>
      <c r="Q188" s="414"/>
      <c r="R188" s="407" t="str">
        <f>OBRA!AJ187</f>
        <v>-</v>
      </c>
      <c r="S188" s="470" t="s">
        <v>2397</v>
      </c>
      <c r="T188" s="399" t="str">
        <f>OBRA!W187</f>
        <v>CONSTRUCCIONES VIKBRAK, S.A. DE C.V.</v>
      </c>
      <c r="U188" s="408" t="str">
        <f>OBRA!X187</f>
        <v>LIC. SALVADOR CONTRERAS OLGUÍN</v>
      </c>
      <c r="V188" s="1090"/>
      <c r="W188" s="33" t="str">
        <f>OBRA!N187</f>
        <v>GMJ 019C OP/2016</v>
      </c>
      <c r="X188" s="414"/>
      <c r="Y188" s="412"/>
      <c r="Z188" s="410" t="str">
        <f>OBRA!M187</f>
        <v>RAMO 33</v>
      </c>
      <c r="AA188" s="12"/>
      <c r="AB188" s="2" t="str">
        <f>OBRA!O187</f>
        <v>ADJUDICACIÓN DIRECTA</v>
      </c>
      <c r="AC188" s="3" t="str">
        <f>OBRA!P187</f>
        <v>CONSTRUCCIÓN DE EMPEDRADO AHOGADO EN CEMENTO EN LA CALLE ANIMA SOLA DE LA CABECERA MUNICIPAL DE JOCOTEPEC, JALISCO</v>
      </c>
      <c r="AD188" s="4">
        <f>OBRA!R187</f>
        <v>196802.42</v>
      </c>
      <c r="AE188" s="6">
        <f>OBRA!S187</f>
        <v>42677</v>
      </c>
      <c r="AF188" s="5">
        <f>OBRA!T187</f>
        <v>42681</v>
      </c>
      <c r="AG188" s="390">
        <f>OBRA!U187</f>
        <v>42735</v>
      </c>
      <c r="AH188" s="52"/>
      <c r="AI188" s="211"/>
      <c r="AJ188" s="242"/>
      <c r="AK188" s="242"/>
      <c r="AL188" s="394"/>
      <c r="AM188" s="519" t="str">
        <f>GRAL!B189</f>
        <v>2015-2018</v>
      </c>
    </row>
    <row r="189" spans="1:39" ht="120" hidden="1" customHeight="1" thickTop="1">
      <c r="A189" s="158">
        <f>OBRA!J188</f>
        <v>2016</v>
      </c>
      <c r="B189" s="1683"/>
      <c r="C189" s="395"/>
      <c r="D189" s="146"/>
      <c r="E189" s="148"/>
      <c r="F189" s="148"/>
      <c r="G189" s="398"/>
      <c r="H189" s="404" t="str">
        <f>OBRA!AF188</f>
        <v>-</v>
      </c>
      <c r="I189" s="413"/>
      <c r="J189" s="406" t="str">
        <f>OBRA!AG188</f>
        <v>-</v>
      </c>
      <c r="K189" s="401"/>
      <c r="L189" s="404" t="str">
        <f>OBRA!AH188</f>
        <v>-</v>
      </c>
      <c r="M189" s="414"/>
      <c r="N189" s="404" t="str">
        <f>OBRA!AI188</f>
        <v>-</v>
      </c>
      <c r="O189" s="144"/>
      <c r="P189" s="165"/>
      <c r="Q189" s="414"/>
      <c r="R189" s="407" t="str">
        <f>OBRA!AJ188</f>
        <v>-</v>
      </c>
      <c r="S189" s="470" t="s">
        <v>2398</v>
      </c>
      <c r="T189" s="399" t="str">
        <f>OBRA!W188</f>
        <v>LIC. CARLOS MANUEL PELAYO CERVERA</v>
      </c>
      <c r="U189" s="408" t="str">
        <f>OBRA!X188</f>
        <v>LIC. SALVADOR CONTRERAS OLGUÍN</v>
      </c>
      <c r="V189" s="1090"/>
      <c r="W189" s="33" t="str">
        <f>OBRA!N188</f>
        <v>GMJ 020C OP/2016</v>
      </c>
      <c r="X189" s="414"/>
      <c r="Y189" s="412"/>
      <c r="Z189" s="410" t="str">
        <f>OBRA!M188</f>
        <v>RAMO 33</v>
      </c>
      <c r="AA189" s="12"/>
      <c r="AB189" s="2" t="str">
        <f>OBRA!O188</f>
        <v>ADJUDICACIÓN DIRECTA</v>
      </c>
      <c r="AC189" s="3" t="str">
        <f>OBRA!P188</f>
        <v>REEMPEDRADO AHOGADO EN CEMENTO CALLE 16 DE SEPTIEMBRE ENTRE CALLES MORELOS Y 20 DE NOVIEMBRE EN LA DELEGACIÓN DE ZAPOTITAN DE HIDALGO</v>
      </c>
      <c r="AD189" s="4">
        <f>OBRA!R188</f>
        <v>523396.29</v>
      </c>
      <c r="AE189" s="6">
        <f>OBRA!S188</f>
        <v>42677</v>
      </c>
      <c r="AF189" s="5">
        <f>OBRA!T188</f>
        <v>42678</v>
      </c>
      <c r="AG189" s="390">
        <f>OBRA!U188</f>
        <v>42735</v>
      </c>
      <c r="AH189" s="52"/>
      <c r="AI189" s="211"/>
      <c r="AJ189" s="242"/>
      <c r="AK189" s="242"/>
      <c r="AL189" s="394"/>
      <c r="AM189" s="519" t="str">
        <f>GRAL!B190</f>
        <v>2015-2018</v>
      </c>
    </row>
    <row r="190" spans="1:39" s="104" customFormat="1" ht="75.75" hidden="1" thickTop="1">
      <c r="A190" s="158">
        <f>OBRA!J189</f>
        <v>2016</v>
      </c>
      <c r="B190" s="1683"/>
      <c r="C190" s="395"/>
      <c r="D190" s="147"/>
      <c r="E190" s="149"/>
      <c r="F190" s="149"/>
      <c r="G190" s="398"/>
      <c r="H190" s="404" t="str">
        <f>OBRA!AF189</f>
        <v>-</v>
      </c>
      <c r="I190" s="413"/>
      <c r="J190" s="406" t="str">
        <f>OBRA!AG189</f>
        <v>-</v>
      </c>
      <c r="K190" s="401"/>
      <c r="L190" s="404" t="str">
        <f>OBRA!AH189</f>
        <v>-</v>
      </c>
      <c r="M190" s="414"/>
      <c r="N190" s="404" t="str">
        <f>OBRA!AI189</f>
        <v>-</v>
      </c>
      <c r="O190" s="150"/>
      <c r="P190" s="165"/>
      <c r="Q190" s="414"/>
      <c r="R190" s="407" t="str">
        <f>OBRA!AJ189</f>
        <v>-</v>
      </c>
      <c r="S190" s="386" t="s">
        <v>2399</v>
      </c>
      <c r="T190" s="399" t="str">
        <f>OBRA!W189</f>
        <v>ENERGIAS RENOVABLES DE LA RIVERA S.A. DE C.V</v>
      </c>
      <c r="U190" s="408" t="str">
        <f>OBRA!X189</f>
        <v>ING. J. GUADALUPE IBARRA RAMIREZ</v>
      </c>
      <c r="V190" s="1090"/>
      <c r="W190" s="33" t="str">
        <f>OBRA!N189</f>
        <v>GMJ 021C OP/2016</v>
      </c>
      <c r="X190" s="414"/>
      <c r="Y190" s="412"/>
      <c r="Z190" s="410" t="str">
        <f>OBRA!M189</f>
        <v xml:space="preserve">Fortalecimiento Financiero Para La Inversion </v>
      </c>
      <c r="AA190" s="12"/>
      <c r="AB190" s="2" t="str">
        <f>OBRA!O189</f>
        <v>ADJUDICACIÓN DIRECTA</v>
      </c>
      <c r="AC190" s="3" t="str">
        <f>OBRA!P189</f>
        <v>CONSTRUCCIÓN DE ALUMBRADO PÚBLICO EN CALLE DEGOLLADO ENTRE C. JOSEFA ORTÍZ DE DOMINGUEZ Y NICOLAS BRAVO, EN LA CABECERA MUNICIPAL EN EL MUNICIPIO DE JOCOTEPEC, JALISCO</v>
      </c>
      <c r="AD190" s="4">
        <f>OBRA!R189</f>
        <v>577695.28</v>
      </c>
      <c r="AE190" s="6">
        <f>OBRA!S189</f>
        <v>42688</v>
      </c>
      <c r="AF190" s="5">
        <f>OBRA!T189</f>
        <v>42689</v>
      </c>
      <c r="AG190" s="390">
        <f>OBRA!U189</f>
        <v>42734</v>
      </c>
      <c r="AH190" s="52"/>
      <c r="AI190" s="211"/>
      <c r="AJ190" s="242"/>
      <c r="AK190" s="242"/>
      <c r="AL190" s="394"/>
      <c r="AM190" s="519" t="str">
        <f>GRAL!B191</f>
        <v>2015-2018</v>
      </c>
    </row>
    <row r="191" spans="1:39" s="104" customFormat="1" ht="27" hidden="1" thickTop="1">
      <c r="A191" s="830">
        <f>OBRA!J190</f>
        <v>2016</v>
      </c>
      <c r="B191" s="1684"/>
      <c r="C191" s="831"/>
      <c r="D191" s="147"/>
      <c r="E191" s="149"/>
      <c r="F191" s="149"/>
      <c r="G191" s="832"/>
      <c r="H191" s="150" t="str">
        <f>OBRA!AF190</f>
        <v>-</v>
      </c>
      <c r="I191" s="839"/>
      <c r="J191" s="110" t="str">
        <f>OBRA!AG190</f>
        <v>-</v>
      </c>
      <c r="K191" s="834"/>
      <c r="L191" s="150" t="str">
        <f>OBRA!AH190</f>
        <v>-</v>
      </c>
      <c r="M191" s="419"/>
      <c r="N191" s="150" t="str">
        <f>OBRA!AI190</f>
        <v>-</v>
      </c>
      <c r="O191" s="150"/>
      <c r="P191" s="837"/>
      <c r="Q191" s="419"/>
      <c r="R191" s="420" t="str">
        <f>OBRA!AJ190</f>
        <v>-</v>
      </c>
      <c r="S191" s="103"/>
      <c r="T191" s="149">
        <f>OBRA!W190</f>
        <v>0</v>
      </c>
      <c r="U191" s="152">
        <f>OBRA!X190</f>
        <v>0</v>
      </c>
      <c r="V191" s="147"/>
      <c r="W191" s="308" t="str">
        <f>OBRA!N190</f>
        <v>GMJ 022C OP/2016</v>
      </c>
      <c r="X191" s="419"/>
      <c r="Y191" s="421"/>
      <c r="Z191" s="421">
        <f>OBRA!M190</f>
        <v>0</v>
      </c>
      <c r="AA191" s="103"/>
      <c r="AB191" s="186" t="str">
        <f>OBRA!O190</f>
        <v>CANCELADA</v>
      </c>
      <c r="AC191" s="106" t="str">
        <f>OBRA!P190</f>
        <v>CANCELADO</v>
      </c>
      <c r="AD191" s="86">
        <f>OBRA!R190</f>
        <v>0</v>
      </c>
      <c r="AE191" s="87">
        <f>OBRA!S190</f>
        <v>0</v>
      </c>
      <c r="AF191" s="88">
        <f>OBRA!T190</f>
        <v>0</v>
      </c>
      <c r="AG191" s="391">
        <f>OBRA!U190</f>
        <v>0</v>
      </c>
      <c r="AH191" s="101"/>
      <c r="AI191" s="84"/>
      <c r="AJ191" s="96"/>
      <c r="AK191" s="96"/>
      <c r="AL191" s="97"/>
      <c r="AM191" s="354" t="str">
        <f>GRAL!B192</f>
        <v>2012-2015</v>
      </c>
    </row>
    <row r="192" spans="1:39" s="104" customFormat="1" ht="120.75" hidden="1" thickTop="1">
      <c r="A192" s="830">
        <f>OBRA!J191</f>
        <v>2016</v>
      </c>
      <c r="B192" s="1684"/>
      <c r="C192" s="831"/>
      <c r="D192" s="147"/>
      <c r="E192" s="149" t="s">
        <v>2400</v>
      </c>
      <c r="F192" s="149" t="s">
        <v>2349</v>
      </c>
      <c r="G192" s="832"/>
      <c r="H192" s="150" t="str">
        <f>OBRA!AF191</f>
        <v>-</v>
      </c>
      <c r="I192" s="839"/>
      <c r="J192" s="110" t="str">
        <f>OBRA!AG191</f>
        <v>-</v>
      </c>
      <c r="K192" s="834"/>
      <c r="L192" s="150" t="str">
        <f>OBRA!AH191</f>
        <v>-</v>
      </c>
      <c r="M192" s="419"/>
      <c r="N192" s="150" t="str">
        <f>OBRA!AI191</f>
        <v>-</v>
      </c>
      <c r="O192" s="836" t="s">
        <v>2350</v>
      </c>
      <c r="P192" s="837"/>
      <c r="Q192" s="419"/>
      <c r="R192" s="420" t="str">
        <f>OBRA!AJ191</f>
        <v>-</v>
      </c>
      <c r="S192" s="103"/>
      <c r="T192" s="149">
        <f>OBRA!W191</f>
        <v>0</v>
      </c>
      <c r="U192" s="152">
        <f>OBRA!X191</f>
        <v>0</v>
      </c>
      <c r="V192" s="147"/>
      <c r="W192" s="308" t="str">
        <f>OBRA!N191</f>
        <v>GMJ 023C OP/2016</v>
      </c>
      <c r="X192" s="419"/>
      <c r="Y192" s="421"/>
      <c r="Z192" s="421">
        <f>OBRA!M191</f>
        <v>0</v>
      </c>
      <c r="AA192" s="103"/>
      <c r="AB192" s="186" t="str">
        <f>OBRA!O191</f>
        <v>CANCELADA</v>
      </c>
      <c r="AC192" s="106" t="str">
        <f>OBRA!P191</f>
        <v>CANCELADO</v>
      </c>
      <c r="AD192" s="86">
        <f>OBRA!R191</f>
        <v>0</v>
      </c>
      <c r="AE192" s="87">
        <f>OBRA!S191</f>
        <v>0</v>
      </c>
      <c r="AF192" s="88">
        <f>OBRA!T191</f>
        <v>0</v>
      </c>
      <c r="AG192" s="391">
        <f>OBRA!U191</f>
        <v>0</v>
      </c>
      <c r="AH192" s="101"/>
      <c r="AI192" s="84"/>
      <c r="AJ192" s="96"/>
      <c r="AK192" s="96"/>
      <c r="AL192" s="97"/>
      <c r="AM192" s="354" t="str">
        <f>GRAL!B193</f>
        <v>2012-2015</v>
      </c>
    </row>
    <row r="193" spans="1:39" ht="225.75" hidden="1" customHeight="1" thickTop="1">
      <c r="A193" s="158">
        <f>OBRA!J192</f>
        <v>2016</v>
      </c>
      <c r="B193" s="1683"/>
      <c r="C193" s="54" t="s">
        <v>68</v>
      </c>
      <c r="D193" s="146" t="s">
        <v>68</v>
      </c>
      <c r="E193" s="148" t="s">
        <v>68</v>
      </c>
      <c r="F193" s="148" t="s">
        <v>68</v>
      </c>
      <c r="G193" s="413" t="s">
        <v>2401</v>
      </c>
      <c r="H193" s="404">
        <f>OBRA!AF192</f>
        <v>42698</v>
      </c>
      <c r="I193" s="413" t="s">
        <v>2402</v>
      </c>
      <c r="J193" s="406">
        <f>OBRA!AG192</f>
        <v>42709</v>
      </c>
      <c r="K193" s="413" t="s">
        <v>2403</v>
      </c>
      <c r="L193" s="406">
        <f>OBRA!AH192</f>
        <v>42709</v>
      </c>
      <c r="M193" s="413" t="s">
        <v>1864</v>
      </c>
      <c r="N193" s="406">
        <f>OBRA!AI192</f>
        <v>42720</v>
      </c>
      <c r="O193" s="166" t="s">
        <v>2350</v>
      </c>
      <c r="P193" s="167">
        <v>0.375</v>
      </c>
      <c r="Q193" s="524" t="s">
        <v>2404</v>
      </c>
      <c r="R193" s="205">
        <f>OBRA!AJ192</f>
        <v>42720</v>
      </c>
      <c r="S193" s="531" t="s">
        <v>2405</v>
      </c>
      <c r="T193" s="399" t="str">
        <f>OBRA!W192</f>
        <v>ING. GEOLOGO: J. TRINIDAD NUÑEZ BRITO</v>
      </c>
      <c r="U193" s="408" t="str">
        <f>OBRA!X192</f>
        <v>ING. RIGOBERTO OLMEDO RAMOS</v>
      </c>
      <c r="V193" s="1090"/>
      <c r="W193" s="33" t="str">
        <f>OBRA!N192</f>
        <v>GMJ 024C OP/2016</v>
      </c>
      <c r="X193" s="414" t="s">
        <v>1862</v>
      </c>
      <c r="Y193" s="412" t="s">
        <v>2406</v>
      </c>
      <c r="Z193" s="410" t="str">
        <f>OBRA!M192</f>
        <v>RAMO 33</v>
      </c>
      <c r="AA193" s="12" t="s">
        <v>2320</v>
      </c>
      <c r="AB193" s="2" t="str">
        <f>OBRA!O192</f>
        <v>POR INVITACION RESTRINGIDA</v>
      </c>
      <c r="AC193" s="3" t="str">
        <f>OBRA!P192</f>
        <v>CONSTRUCCIÓN Y AFORO DE POZO PROFUNDO EN LA CALLE JUAREZ, LOCALIDAD DE CHANTEPEC, MUNICIPIO DE JOCOTEPEC, JALISCO</v>
      </c>
      <c r="AD193" s="4">
        <f>OBRA!R192</f>
        <v>1630380</v>
      </c>
      <c r="AE193" s="6">
        <f>OBRA!S192</f>
        <v>42720</v>
      </c>
      <c r="AF193" s="5">
        <f>OBRA!T192</f>
        <v>42720</v>
      </c>
      <c r="AG193" s="390">
        <f>OBRA!U192</f>
        <v>42794</v>
      </c>
      <c r="AH193" s="52"/>
      <c r="AI193" s="241" t="s">
        <v>2310</v>
      </c>
      <c r="AJ193" s="388" t="s">
        <v>1428</v>
      </c>
      <c r="AK193" s="415" t="s">
        <v>1866</v>
      </c>
      <c r="AL193" s="416" t="s">
        <v>2407</v>
      </c>
      <c r="AM193" s="211" t="str">
        <f>GRAL!B194</f>
        <v>2015-2018</v>
      </c>
    </row>
    <row r="194" spans="1:39" ht="224.25" hidden="1" customHeight="1" thickTop="1">
      <c r="A194" s="158">
        <f>OBRA!J193</f>
        <v>-2016</v>
      </c>
      <c r="B194" s="1683"/>
      <c r="C194" s="411" t="s">
        <v>2408</v>
      </c>
      <c r="D194" s="146" t="s">
        <v>2409</v>
      </c>
      <c r="E194" s="148" t="s">
        <v>2410</v>
      </c>
      <c r="F194" s="148" t="s">
        <v>2387</v>
      </c>
      <c r="G194" s="413" t="s">
        <v>2411</v>
      </c>
      <c r="H194" s="404">
        <f>OBRA!AF193</f>
        <v>42718</v>
      </c>
      <c r="I194" s="413" t="s">
        <v>2412</v>
      </c>
      <c r="J194" s="406">
        <f>OBRA!AG193</f>
        <v>42723</v>
      </c>
      <c r="K194" s="414" t="s">
        <v>2413</v>
      </c>
      <c r="L194" s="404">
        <f>OBRA!AH193</f>
        <v>42724</v>
      </c>
      <c r="M194" s="413" t="s">
        <v>2414</v>
      </c>
      <c r="N194" s="404">
        <f>OBRA!AI193</f>
        <v>42730</v>
      </c>
      <c r="O194" s="166" t="s">
        <v>2350</v>
      </c>
      <c r="P194" s="167">
        <v>0.375</v>
      </c>
      <c r="Q194" s="524" t="s">
        <v>2415</v>
      </c>
      <c r="R194" s="407">
        <f>OBRA!AJ193</f>
        <v>42733</v>
      </c>
      <c r="S194" s="531" t="s">
        <v>2416</v>
      </c>
      <c r="T194" s="399" t="s">
        <v>471</v>
      </c>
      <c r="U194" s="408" t="str">
        <f>OBRA!X193</f>
        <v>ARQ. FRANCISCO SALAZAR</v>
      </c>
      <c r="V194" s="1090"/>
      <c r="W194" s="33" t="str">
        <f>OBRA!N193</f>
        <v>GMJ 025C OP/2016</v>
      </c>
      <c r="X194" s="524" t="s">
        <v>1869</v>
      </c>
      <c r="Y194" s="412" t="s">
        <v>2417</v>
      </c>
      <c r="Z194" s="410" t="str">
        <f>OBRA!M193</f>
        <v>FOREMODA</v>
      </c>
      <c r="AA194" s="412" t="s">
        <v>2418</v>
      </c>
      <c r="AB194" s="2" t="str">
        <f>OBRA!O193</f>
        <v>POR INVITACION RESTRINGIDA</v>
      </c>
      <c r="AC194" s="3" t="str">
        <f>OBRA!P193</f>
        <v>RESTAURACIÓN DE LA PARROQUIA DEL SEÑOR DEL MONTE EN JOCOTEPEC, JALISCO</v>
      </c>
      <c r="AD194" s="4">
        <f>OBRA!R193</f>
        <v>1800000</v>
      </c>
      <c r="AE194" s="6">
        <f>OBRA!S193</f>
        <v>42779</v>
      </c>
      <c r="AF194" s="5">
        <f>OBRA!T193</f>
        <v>42779</v>
      </c>
      <c r="AG194" s="390">
        <f>OBRA!U193</f>
        <v>43039</v>
      </c>
      <c r="AH194" s="52"/>
      <c r="AI194" s="241" t="s">
        <v>2310</v>
      </c>
      <c r="AJ194" s="545" t="s">
        <v>2419</v>
      </c>
      <c r="AK194" s="545" t="s">
        <v>1844</v>
      </c>
      <c r="AL194" s="416" t="s">
        <v>2420</v>
      </c>
      <c r="AM194" s="862" t="str">
        <f>GRAL!B195</f>
        <v>2015-2018</v>
      </c>
    </row>
    <row r="195" spans="1:39" ht="30" hidden="1" customHeight="1" thickTop="1">
      <c r="A195" s="158">
        <f>OBRA!J194</f>
        <v>2016</v>
      </c>
      <c r="B195" s="1683"/>
      <c r="C195" s="395"/>
      <c r="D195" s="146"/>
      <c r="E195" s="148"/>
      <c r="F195" s="148"/>
      <c r="G195" s="398"/>
      <c r="H195" s="404" t="str">
        <f>OBRA!AF194</f>
        <v>-</v>
      </c>
      <c r="I195" s="400"/>
      <c r="J195" s="406" t="str">
        <f>OBRA!AG194</f>
        <v>-</v>
      </c>
      <c r="K195" s="401"/>
      <c r="L195" s="404" t="str">
        <f>OBRA!AH194</f>
        <v>-</v>
      </c>
      <c r="M195" s="402"/>
      <c r="N195" s="404" t="str">
        <f>OBRA!AI194</f>
        <v>-</v>
      </c>
      <c r="O195" s="144"/>
      <c r="P195" s="144"/>
      <c r="Q195" s="401"/>
      <c r="R195" s="407" t="str">
        <f>OBRA!AJ194</f>
        <v>-</v>
      </c>
      <c r="S195" s="385"/>
      <c r="T195" s="399" t="str">
        <f>OBRA!W194</f>
        <v>-</v>
      </c>
      <c r="U195" s="408" t="str">
        <f>OBRA!X194</f>
        <v>-</v>
      </c>
      <c r="V195" s="1090"/>
      <c r="W195" s="33" t="str">
        <f>OBRA!N194</f>
        <v>FONDEREG 2016/05 Sureste/121</v>
      </c>
      <c r="X195" s="12"/>
      <c r="Y195" s="12"/>
      <c r="Z195" s="409" t="str">
        <f>OBRA!M194</f>
        <v>FONDEREG</v>
      </c>
      <c r="AA195" s="12"/>
      <c r="AB195" s="2" t="str">
        <f>OBRA!O194</f>
        <v>CONVENIO</v>
      </c>
      <c r="AC195" s="3" t="str">
        <f>OBRA!P194</f>
        <v>REHABILITACIÓN DE LINEAS HIDROSANITARIAS, EMPEDRADO ECOLOGICO CON HUELLAS DE CONCRETO HIDRAULICO EN LA CALLE ZARAGOZA DE LA LOCALIDAD DE SAN CRISTOBAL DE ZAPOTITLAN</v>
      </c>
      <c r="AD195" s="4">
        <f>OBRA!R194</f>
        <v>2000000</v>
      </c>
      <c r="AE195" s="6">
        <f>OBRA!S194</f>
        <v>42566</v>
      </c>
      <c r="AF195" s="5" t="str">
        <f>OBRA!T194</f>
        <v>-</v>
      </c>
      <c r="AG195" s="390" t="str">
        <f>OBRA!U194</f>
        <v>-</v>
      </c>
      <c r="AH195" s="52"/>
      <c r="AI195" s="211"/>
      <c r="AJ195" s="242"/>
      <c r="AK195" s="242"/>
      <c r="AL195" s="394"/>
      <c r="AM195" s="519" t="str">
        <f>GRAL!B196</f>
        <v>2015-2018</v>
      </c>
    </row>
    <row r="196" spans="1:39" ht="30" hidden="1" customHeight="1" thickTop="1">
      <c r="A196" s="158">
        <f>OBRA!J195</f>
        <v>2016</v>
      </c>
      <c r="B196" s="1683"/>
      <c r="C196" s="395"/>
      <c r="D196" s="146"/>
      <c r="E196" s="148"/>
      <c r="F196" s="148"/>
      <c r="G196" s="398"/>
      <c r="H196" s="404" t="str">
        <f>OBRA!AF195</f>
        <v>-</v>
      </c>
      <c r="I196" s="400"/>
      <c r="J196" s="406" t="str">
        <f>OBRA!AG195</f>
        <v>-</v>
      </c>
      <c r="K196" s="401"/>
      <c r="L196" s="404" t="str">
        <f>OBRA!AH195</f>
        <v>-</v>
      </c>
      <c r="M196" s="402"/>
      <c r="N196" s="404" t="str">
        <f>OBRA!AI195</f>
        <v>-</v>
      </c>
      <c r="O196" s="144"/>
      <c r="P196" s="144"/>
      <c r="Q196" s="401"/>
      <c r="R196" s="407" t="str">
        <f>OBRA!AJ195</f>
        <v>-</v>
      </c>
      <c r="S196" s="385"/>
      <c r="T196" s="399" t="str">
        <f>OBRA!W195</f>
        <v>-</v>
      </c>
      <c r="U196" s="408" t="str">
        <f>OBRA!X195</f>
        <v>-</v>
      </c>
      <c r="V196" s="1090"/>
      <c r="W196" s="33" t="str">
        <f>OBRA!N195</f>
        <v>FONDO PARA EL FORTALECIMIENTO 2016 "B"</v>
      </c>
      <c r="X196" s="12"/>
      <c r="Y196" s="12"/>
      <c r="Z196" s="409" t="str">
        <f>OBRA!M195</f>
        <v xml:space="preserve">FONDO PARA EL FORTALECIMIENTO </v>
      </c>
      <c r="AA196" s="12"/>
      <c r="AB196" s="2" t="str">
        <f>OBRA!O195</f>
        <v>CONVENIO</v>
      </c>
      <c r="AC196" s="3" t="str">
        <f>OBRA!P195</f>
        <v>-</v>
      </c>
      <c r="AD196" s="4">
        <f>OBRA!R195</f>
        <v>10000000</v>
      </c>
      <c r="AE196" s="6">
        <f>OBRA!S195</f>
        <v>42614</v>
      </c>
      <c r="AF196" s="5" t="str">
        <f>OBRA!T195</f>
        <v>-</v>
      </c>
      <c r="AG196" s="390" t="str">
        <f>OBRA!U195</f>
        <v>-</v>
      </c>
      <c r="AH196" s="52"/>
      <c r="AI196" s="211"/>
      <c r="AJ196" s="242"/>
      <c r="AK196" s="242"/>
      <c r="AL196" s="394"/>
      <c r="AM196" s="519" t="str">
        <f>GRAL!B197</f>
        <v>2015-2018</v>
      </c>
    </row>
    <row r="197" spans="1:39" ht="30" hidden="1" customHeight="1" thickTop="1">
      <c r="A197" s="158">
        <f>OBRA!J196</f>
        <v>2016</v>
      </c>
      <c r="B197" s="1683"/>
      <c r="C197" s="395"/>
      <c r="D197" s="146"/>
      <c r="E197" s="148"/>
      <c r="F197" s="148"/>
      <c r="G197" s="398"/>
      <c r="H197" s="404" t="str">
        <f>OBRA!AF196</f>
        <v>-</v>
      </c>
      <c r="I197" s="400"/>
      <c r="J197" s="406" t="str">
        <f>OBRA!AG196</f>
        <v>-</v>
      </c>
      <c r="K197" s="401"/>
      <c r="L197" s="404" t="str">
        <f>OBRA!AH196</f>
        <v>-</v>
      </c>
      <c r="M197" s="402"/>
      <c r="N197" s="404" t="str">
        <f>OBRA!AI196</f>
        <v>-</v>
      </c>
      <c r="O197" s="144"/>
      <c r="P197" s="144"/>
      <c r="Q197" s="401"/>
      <c r="R197" s="407" t="str">
        <f>OBRA!AJ196</f>
        <v>-</v>
      </c>
      <c r="S197" s="385"/>
      <c r="T197" s="399" t="str">
        <f>OBRA!W196</f>
        <v>-</v>
      </c>
      <c r="U197" s="408" t="str">
        <f>OBRA!X196</f>
        <v>-</v>
      </c>
      <c r="V197" s="1090"/>
      <c r="W197" s="33" t="str">
        <f>OBRA!N196</f>
        <v>P3X1-14-PIS-0563-16</v>
      </c>
      <c r="X197" s="12"/>
      <c r="Y197" s="12"/>
      <c r="Z197" s="409" t="str">
        <f>OBRA!M196</f>
        <v>3X1 PARA MIGRANTES</v>
      </c>
      <c r="AA197" s="12"/>
      <c r="AB197" s="2" t="str">
        <f>OBRA!O196</f>
        <v>CONVENIO</v>
      </c>
      <c r="AC197" s="3" t="str">
        <f>OBRA!P196</f>
        <v>COLOCACIÓN DE ADOQUIN EN CALLE PRIVADA CAMICHINES</v>
      </c>
      <c r="AD197" s="4">
        <f>OBRA!R196</f>
        <v>456248</v>
      </c>
      <c r="AE197" s="6">
        <f>OBRA!S196</f>
        <v>42583</v>
      </c>
      <c r="AF197" s="5" t="str">
        <f>OBRA!T196</f>
        <v>-</v>
      </c>
      <c r="AG197" s="390" t="str">
        <f>OBRA!U196</f>
        <v>-</v>
      </c>
      <c r="AH197" s="52"/>
      <c r="AI197" s="211"/>
      <c r="AJ197" s="242"/>
      <c r="AK197" s="242"/>
      <c r="AL197" s="394"/>
      <c r="AM197" s="519" t="str">
        <f>GRAL!B198</f>
        <v>2015-2018</v>
      </c>
    </row>
    <row r="198" spans="1:39" ht="30" hidden="1" customHeight="1" thickTop="1">
      <c r="A198" s="158">
        <f>OBRA!J197</f>
        <v>2016</v>
      </c>
      <c r="B198" s="1683"/>
      <c r="C198" s="395"/>
      <c r="D198" s="146"/>
      <c r="E198" s="148"/>
      <c r="F198" s="148"/>
      <c r="G198" s="398"/>
      <c r="H198" s="404" t="str">
        <f>OBRA!AF197</f>
        <v>-</v>
      </c>
      <c r="I198" s="400"/>
      <c r="J198" s="406" t="str">
        <f>OBRA!AG197</f>
        <v>-</v>
      </c>
      <c r="K198" s="401"/>
      <c r="L198" s="404" t="str">
        <f>OBRA!AH197</f>
        <v>-</v>
      </c>
      <c r="M198" s="402"/>
      <c r="N198" s="404" t="str">
        <f>OBRA!AI197</f>
        <v>-</v>
      </c>
      <c r="O198" s="144"/>
      <c r="P198" s="144"/>
      <c r="Q198" s="401"/>
      <c r="R198" s="407" t="str">
        <f>OBRA!AJ197</f>
        <v>-</v>
      </c>
      <c r="S198" s="385"/>
      <c r="T198" s="399" t="str">
        <f>OBRA!W197</f>
        <v>-</v>
      </c>
      <c r="U198" s="408" t="str">
        <f>OBRA!X197</f>
        <v>-</v>
      </c>
      <c r="V198" s="1090"/>
      <c r="W198" s="33" t="str">
        <f>OBRA!N197</f>
        <v>P3X1-14-PIS-0521-16</v>
      </c>
      <c r="X198" s="12"/>
      <c r="Y198" s="12"/>
      <c r="Z198" s="409" t="str">
        <f>OBRA!M197</f>
        <v>3X1 PARA MIGRANTES</v>
      </c>
      <c r="AA198" s="12"/>
      <c r="AB198" s="2" t="str">
        <f>OBRA!O197</f>
        <v>CONVENIO</v>
      </c>
      <c r="AC198" s="3" t="str">
        <f>OBRA!P197</f>
        <v>REHABILITACION DE RED DE AGUA POTABLE EN CALLE GUADALUPE VICTORIA ENTRE HIDALGO Y ZONA FEDERAL DEL LAGO, EN LA LOCALIDAD DE SAN PEDRO TESISTAN</v>
      </c>
      <c r="AD198" s="4">
        <f>OBRA!R197</f>
        <v>245400</v>
      </c>
      <c r="AE198" s="6">
        <f>OBRA!S197</f>
        <v>42583</v>
      </c>
      <c r="AF198" s="5" t="str">
        <f>OBRA!T197</f>
        <v>-</v>
      </c>
      <c r="AG198" s="390" t="str">
        <f>OBRA!U197</f>
        <v>-</v>
      </c>
      <c r="AH198" s="52"/>
      <c r="AI198" s="211"/>
      <c r="AJ198" s="242"/>
      <c r="AK198" s="242"/>
      <c r="AL198" s="394"/>
      <c r="AM198" s="519" t="str">
        <f>GRAL!B199</f>
        <v>2015-2018</v>
      </c>
    </row>
    <row r="199" spans="1:39" ht="30" hidden="1" customHeight="1" thickTop="1">
      <c r="A199" s="158">
        <f>OBRA!J198</f>
        <v>2016</v>
      </c>
      <c r="B199" s="1683"/>
      <c r="C199" s="395"/>
      <c r="D199" s="146"/>
      <c r="E199" s="148"/>
      <c r="F199" s="148"/>
      <c r="G199" s="398"/>
      <c r="H199" s="404" t="str">
        <f>OBRA!AF198</f>
        <v>-</v>
      </c>
      <c r="I199" s="400"/>
      <c r="J199" s="406" t="str">
        <f>OBRA!AG198</f>
        <v>-</v>
      </c>
      <c r="K199" s="401"/>
      <c r="L199" s="404" t="str">
        <f>OBRA!AH198</f>
        <v>-</v>
      </c>
      <c r="M199" s="402"/>
      <c r="N199" s="404" t="str">
        <f>OBRA!AI198</f>
        <v>-</v>
      </c>
      <c r="O199" s="144"/>
      <c r="P199" s="144"/>
      <c r="Q199" s="401"/>
      <c r="R199" s="407" t="str">
        <f>OBRA!AJ198</f>
        <v>-</v>
      </c>
      <c r="S199" s="385"/>
      <c r="T199" s="399" t="str">
        <f>OBRA!W198</f>
        <v>-</v>
      </c>
      <c r="U199" s="408" t="str">
        <f>OBRA!X198</f>
        <v>-</v>
      </c>
      <c r="V199" s="1090"/>
      <c r="W199" s="33" t="str">
        <f>OBRA!N198</f>
        <v>P3X1-14-PIS-0559-16</v>
      </c>
      <c r="X199" s="12"/>
      <c r="Y199" s="12"/>
      <c r="Z199" s="409" t="str">
        <f>OBRA!M198</f>
        <v>3X1 PARA MIGRANTES</v>
      </c>
      <c r="AA199" s="12"/>
      <c r="AB199" s="2" t="str">
        <f>OBRA!O198</f>
        <v>CONVENIO</v>
      </c>
      <c r="AC199" s="3" t="str">
        <f>OBRA!P198</f>
        <v>REHABILITACION DE RED DE AGUA POTABLE EN CALLE RAMON CORONA DESDE PINO SUAREZ HASTA ZONA FEDERAL DEL LAGO, EN LA LOCALIDAD DE SAN PEDRO TESISTAN</v>
      </c>
      <c r="AD199" s="4">
        <f>OBRA!R198</f>
        <v>100336</v>
      </c>
      <c r="AE199" s="6">
        <f>OBRA!S198</f>
        <v>42583</v>
      </c>
      <c r="AF199" s="5" t="str">
        <f>OBRA!T198</f>
        <v>-</v>
      </c>
      <c r="AG199" s="390" t="str">
        <f>OBRA!U198</f>
        <v>-</v>
      </c>
      <c r="AH199" s="52"/>
      <c r="AI199" s="211"/>
      <c r="AJ199" s="242"/>
      <c r="AK199" s="242"/>
      <c r="AL199" s="394"/>
      <c r="AM199" s="519" t="str">
        <f>GRAL!B200</f>
        <v>2015-2018</v>
      </c>
    </row>
    <row r="200" spans="1:39" ht="30" hidden="1" customHeight="1" thickTop="1">
      <c r="A200" s="158">
        <f>OBRA!J199</f>
        <v>2016</v>
      </c>
      <c r="B200" s="1683"/>
      <c r="C200" s="395"/>
      <c r="D200" s="146"/>
      <c r="E200" s="148"/>
      <c r="F200" s="148"/>
      <c r="G200" s="398"/>
      <c r="H200" s="404" t="str">
        <f>OBRA!AF199</f>
        <v>-</v>
      </c>
      <c r="I200" s="400"/>
      <c r="J200" s="406" t="str">
        <f>OBRA!AG199</f>
        <v>-</v>
      </c>
      <c r="K200" s="401"/>
      <c r="L200" s="404" t="str">
        <f>OBRA!AH199</f>
        <v>-</v>
      </c>
      <c r="M200" s="402"/>
      <c r="N200" s="404" t="str">
        <f>OBRA!AI199</f>
        <v>-</v>
      </c>
      <c r="O200" s="144"/>
      <c r="P200" s="144"/>
      <c r="Q200" s="401"/>
      <c r="R200" s="407" t="str">
        <f>OBRA!AJ199</f>
        <v>-</v>
      </c>
      <c r="S200" s="385"/>
      <c r="T200" s="399" t="str">
        <f>OBRA!W199</f>
        <v>-</v>
      </c>
      <c r="U200" s="408" t="str">
        <f>OBRA!X199</f>
        <v>-</v>
      </c>
      <c r="V200" s="1090"/>
      <c r="W200" s="33" t="str">
        <f>OBRA!N199</f>
        <v>P3X1-14-PIS-0564-16</v>
      </c>
      <c r="X200" s="12"/>
      <c r="Y200" s="12"/>
      <c r="Z200" s="409" t="str">
        <f>OBRA!M199</f>
        <v>3X1 PARA MIGRANTES</v>
      </c>
      <c r="AA200" s="12"/>
      <c r="AB200" s="2" t="str">
        <f>OBRA!O199</f>
        <v>CONVENIO</v>
      </c>
      <c r="AC200" s="3" t="str">
        <f>OBRA!P199</f>
        <v xml:space="preserve">REHABILITACION DE RED DE DRENAJE EN CALLE GUADALUPE VICTORIA DESDE HIDALGO HASTA ZONA FEDERAL DEL LAGO, EN LA LOCALIDAD DE SAN PEDRO TESISTAN </v>
      </c>
      <c r="AD200" s="4">
        <f>OBRA!R199</f>
        <v>214516</v>
      </c>
      <c r="AE200" s="6">
        <f>OBRA!S199</f>
        <v>42583</v>
      </c>
      <c r="AF200" s="5" t="str">
        <f>OBRA!T199</f>
        <v>-</v>
      </c>
      <c r="AG200" s="390" t="str">
        <f>OBRA!U199</f>
        <v>-</v>
      </c>
      <c r="AH200" s="52"/>
      <c r="AI200" s="211"/>
      <c r="AJ200" s="242"/>
      <c r="AK200" s="242"/>
      <c r="AL200" s="394"/>
      <c r="AM200" s="519" t="str">
        <f>GRAL!B201</f>
        <v>2015-2018</v>
      </c>
    </row>
    <row r="201" spans="1:39" ht="30" hidden="1" customHeight="1" thickTop="1">
      <c r="A201" s="158">
        <f>OBRA!J200</f>
        <v>2016</v>
      </c>
      <c r="B201" s="1683"/>
      <c r="C201" s="395"/>
      <c r="D201" s="146"/>
      <c r="E201" s="148"/>
      <c r="F201" s="148"/>
      <c r="G201" s="398"/>
      <c r="H201" s="404" t="str">
        <f>OBRA!AF200</f>
        <v>-</v>
      </c>
      <c r="I201" s="400"/>
      <c r="J201" s="406" t="str">
        <f>OBRA!AG200</f>
        <v>-</v>
      </c>
      <c r="K201" s="401"/>
      <c r="L201" s="404" t="str">
        <f>OBRA!AH200</f>
        <v>-</v>
      </c>
      <c r="M201" s="402"/>
      <c r="N201" s="404" t="str">
        <f>OBRA!AI200</f>
        <v>-</v>
      </c>
      <c r="O201" s="144"/>
      <c r="P201" s="144"/>
      <c r="Q201" s="401"/>
      <c r="R201" s="407" t="str">
        <f>OBRA!AJ200</f>
        <v>-</v>
      </c>
      <c r="S201" s="385"/>
      <c r="T201" s="399" t="str">
        <f>OBRA!W200</f>
        <v>-</v>
      </c>
      <c r="U201" s="408" t="str">
        <f>OBRA!X200</f>
        <v>-</v>
      </c>
      <c r="V201" s="1090"/>
      <c r="W201" s="33" t="str">
        <f>OBRA!N200</f>
        <v>P3X1-14-PIS-0562-16</v>
      </c>
      <c r="X201" s="12"/>
      <c r="Y201" s="12"/>
      <c r="Z201" s="409" t="str">
        <f>OBRA!M200</f>
        <v>3X1 PARA MIGRANTES</v>
      </c>
      <c r="AA201" s="12"/>
      <c r="AB201" s="2" t="str">
        <f>OBRA!O200</f>
        <v>CONVENIO</v>
      </c>
      <c r="AC201" s="3" t="str">
        <f>OBRA!P200</f>
        <v>CONSTRUCCION DE DRENAJE PLUVIAL EN CALLE PRIVADA CAMICHINES EN LA LOCALIDAD DE JOCOTEPEC DEL MUNICIPIO JOCOTEPEC, JALISCO</v>
      </c>
      <c r="AD201" s="4">
        <f>OBRA!R200</f>
        <v>233400</v>
      </c>
      <c r="AE201" s="6">
        <f>OBRA!S200</f>
        <v>42583</v>
      </c>
      <c r="AF201" s="5" t="str">
        <f>OBRA!T200</f>
        <v>-</v>
      </c>
      <c r="AG201" s="390" t="str">
        <f>OBRA!U200</f>
        <v>-</v>
      </c>
      <c r="AH201" s="52"/>
      <c r="AI201" s="211"/>
      <c r="AJ201" s="242"/>
      <c r="AK201" s="242"/>
      <c r="AL201" s="394"/>
      <c r="AM201" s="519" t="str">
        <f>GRAL!B202</f>
        <v>2015-2018</v>
      </c>
    </row>
    <row r="202" spans="1:39" ht="30" hidden="1" customHeight="1" thickTop="1">
      <c r="A202" s="158">
        <f>OBRA!J201</f>
        <v>2016</v>
      </c>
      <c r="B202" s="1683"/>
      <c r="C202" s="395"/>
      <c r="D202" s="146"/>
      <c r="E202" s="148"/>
      <c r="F202" s="148"/>
      <c r="G202" s="398"/>
      <c r="H202" s="404" t="str">
        <f>OBRA!AF201</f>
        <v>-</v>
      </c>
      <c r="I202" s="400"/>
      <c r="J202" s="406" t="str">
        <f>OBRA!AG201</f>
        <v>-</v>
      </c>
      <c r="K202" s="401"/>
      <c r="L202" s="404" t="str">
        <f>OBRA!AH201</f>
        <v>-</v>
      </c>
      <c r="M202" s="402"/>
      <c r="N202" s="404" t="str">
        <f>OBRA!AI201</f>
        <v>-</v>
      </c>
      <c r="O202" s="144"/>
      <c r="P202" s="144"/>
      <c r="Q202" s="401"/>
      <c r="R202" s="407" t="str">
        <f>OBRA!AJ201</f>
        <v>-</v>
      </c>
      <c r="S202" s="385"/>
      <c r="T202" s="399" t="str">
        <f>OBRA!W201</f>
        <v>-</v>
      </c>
      <c r="U202" s="408" t="str">
        <f>OBRA!X201</f>
        <v>-</v>
      </c>
      <c r="V202" s="1090"/>
      <c r="W202" s="33" t="str">
        <f>OBRA!N201</f>
        <v>P3X1-14-PIS-0558-16</v>
      </c>
      <c r="X202" s="12"/>
      <c r="Y202" s="12"/>
      <c r="Z202" s="409" t="str">
        <f>OBRA!M201</f>
        <v>3X1 PARA MIGRANTES</v>
      </c>
      <c r="AA202" s="12"/>
      <c r="AB202" s="2" t="str">
        <f>OBRA!O201</f>
        <v>CONVENIO</v>
      </c>
      <c r="AC202" s="3" t="str">
        <f>OBRA!P201</f>
        <v xml:space="preserve">REHABILITACION DE RED DE DRENAJE EN CALLE GUADALUPE VICTORIA DESDE HIDALGO HASTA ZONA FEDERAL DEL LAGO, EN LA LOCALIDAD DE SAN PEDRO TESISTAN </v>
      </c>
      <c r="AD202" s="4">
        <f>OBRA!R201</f>
        <v>136120</v>
      </c>
      <c r="AE202" s="6">
        <f>OBRA!S201</f>
        <v>42583</v>
      </c>
      <c r="AF202" s="5" t="str">
        <f>OBRA!T201</f>
        <v>-</v>
      </c>
      <c r="AG202" s="390" t="str">
        <f>OBRA!U201</f>
        <v>-</v>
      </c>
      <c r="AH202" s="52"/>
      <c r="AI202" s="211"/>
      <c r="AJ202" s="242"/>
      <c r="AK202" s="242"/>
      <c r="AL202" s="394"/>
      <c r="AM202" s="519" t="str">
        <f>GRAL!B203</f>
        <v>2015-2018</v>
      </c>
    </row>
    <row r="203" spans="1:39" ht="30" hidden="1" customHeight="1" thickTop="1">
      <c r="A203" s="158">
        <f>OBRA!J202</f>
        <v>2016</v>
      </c>
      <c r="B203" s="1683"/>
      <c r="C203" s="395"/>
      <c r="D203" s="146"/>
      <c r="E203" s="148"/>
      <c r="F203" s="148"/>
      <c r="G203" s="398"/>
      <c r="H203" s="404" t="str">
        <f>OBRA!AF202</f>
        <v>-</v>
      </c>
      <c r="I203" s="400"/>
      <c r="J203" s="406" t="str">
        <f>OBRA!AG202</f>
        <v>-</v>
      </c>
      <c r="K203" s="401"/>
      <c r="L203" s="404" t="str">
        <f>OBRA!AH202</f>
        <v>-</v>
      </c>
      <c r="M203" s="402"/>
      <c r="N203" s="404" t="str">
        <f>OBRA!AI202</f>
        <v>-</v>
      </c>
      <c r="O203" s="144"/>
      <c r="P203" s="144"/>
      <c r="Q203" s="401"/>
      <c r="R203" s="407" t="str">
        <f>OBRA!AJ202</f>
        <v>-</v>
      </c>
      <c r="S203" s="385"/>
      <c r="T203" s="399" t="str">
        <f>OBRA!W202</f>
        <v>-</v>
      </c>
      <c r="U203" s="408" t="str">
        <f>OBRA!X202</f>
        <v>-</v>
      </c>
      <c r="V203" s="1090"/>
      <c r="W203" s="33" t="str">
        <f>OBRA!N202</f>
        <v>P3X1-14-PIS-0566-16</v>
      </c>
      <c r="X203" s="12"/>
      <c r="Y203" s="12"/>
      <c r="Z203" s="409" t="str">
        <f>OBRA!M202</f>
        <v>3X1 PARA MIGRANTES</v>
      </c>
      <c r="AA203" s="12"/>
      <c r="AB203" s="2" t="str">
        <f>OBRA!O202</f>
        <v>CONVENIO</v>
      </c>
      <c r="AC203" s="3" t="str">
        <f>OBRA!P202</f>
        <v>REHABILITACION DE RED DE DRENAJE EN CALLE RIVERA DEL LAGO DEL PARQUE LINEAL HASTA CALLE CHUECA EN LA LOCALIDAD DE CHANTEPEC (EL CHANTE) DEL MUNICIPIO JOCOTEPEC, JALISCO</v>
      </c>
      <c r="AD203" s="4">
        <f>OBRA!R202</f>
        <v>525186</v>
      </c>
      <c r="AE203" s="6">
        <f>OBRA!S202</f>
        <v>42583</v>
      </c>
      <c r="AF203" s="5" t="str">
        <f>OBRA!T202</f>
        <v>-</v>
      </c>
      <c r="AG203" s="390" t="str">
        <f>OBRA!U202</f>
        <v>-</v>
      </c>
      <c r="AH203" s="52"/>
      <c r="AI203" s="211"/>
      <c r="AJ203" s="242"/>
      <c r="AK203" s="242"/>
      <c r="AL203" s="394"/>
      <c r="AM203" s="519" t="str">
        <f>GRAL!B204</f>
        <v>2015-2018</v>
      </c>
    </row>
    <row r="204" spans="1:39" ht="30" hidden="1" customHeight="1" thickTop="1">
      <c r="A204" s="158">
        <f>OBRA!J203</f>
        <v>2016</v>
      </c>
      <c r="B204" s="1683"/>
      <c r="C204" s="395"/>
      <c r="D204" s="146"/>
      <c r="E204" s="148"/>
      <c r="F204" s="148"/>
      <c r="G204" s="398"/>
      <c r="H204" s="404" t="str">
        <f>OBRA!AF203</f>
        <v>-</v>
      </c>
      <c r="I204" s="400"/>
      <c r="J204" s="406" t="str">
        <f>OBRA!AG203</f>
        <v>-</v>
      </c>
      <c r="K204" s="401"/>
      <c r="L204" s="404" t="str">
        <f>OBRA!AH203</f>
        <v>-</v>
      </c>
      <c r="M204" s="402"/>
      <c r="N204" s="404" t="str">
        <f>OBRA!AI203</f>
        <v>-</v>
      </c>
      <c r="O204" s="144"/>
      <c r="P204" s="144"/>
      <c r="Q204" s="401"/>
      <c r="R204" s="407" t="str">
        <f>OBRA!AJ203</f>
        <v>-</v>
      </c>
      <c r="S204" s="385"/>
      <c r="T204" s="399" t="str">
        <f>OBRA!W203</f>
        <v>-</v>
      </c>
      <c r="U204" s="408" t="str">
        <f>OBRA!X203</f>
        <v>-</v>
      </c>
      <c r="V204" s="1090"/>
      <c r="W204" s="33" t="str">
        <f>OBRA!N203</f>
        <v>P3X1-14-PIS-0556-16</v>
      </c>
      <c r="X204" s="12"/>
      <c r="Y204" s="12"/>
      <c r="Z204" s="409" t="str">
        <f>OBRA!M203</f>
        <v>3X1 PARA MIGRANTES</v>
      </c>
      <c r="AA204" s="12"/>
      <c r="AB204" s="2" t="str">
        <f>OBRA!O203</f>
        <v>CONVENIO</v>
      </c>
      <c r="AC204" s="3" t="str">
        <f>OBRA!P203</f>
        <v>REHABILITACION DE RED DE DRENAJE CALLE INSURGENTES PRIMERA ETAPA EN LA LOCALIDAD DE ZAPOTITAN DE HIDALGO DEL MUNICIPIO JOCOTEPEC, JALISCO</v>
      </c>
      <c r="AD204" s="4">
        <f>OBRA!R203</f>
        <v>678342</v>
      </c>
      <c r="AE204" s="6">
        <f>OBRA!S203</f>
        <v>42583</v>
      </c>
      <c r="AF204" s="5" t="str">
        <f>OBRA!T203</f>
        <v>-</v>
      </c>
      <c r="AG204" s="390" t="str">
        <f>OBRA!U203</f>
        <v>-</v>
      </c>
      <c r="AH204" s="52"/>
      <c r="AI204" s="211"/>
      <c r="AJ204" s="242"/>
      <c r="AK204" s="242"/>
      <c r="AL204" s="394"/>
      <c r="AM204" s="519" t="str">
        <f>GRAL!B205</f>
        <v>2015-2018</v>
      </c>
    </row>
    <row r="205" spans="1:39" ht="30" hidden="1" customHeight="1" thickTop="1">
      <c r="A205" s="158">
        <f>OBRA!J204</f>
        <v>2016</v>
      </c>
      <c r="B205" s="1683"/>
      <c r="C205" s="395"/>
      <c r="D205" s="146"/>
      <c r="E205" s="148"/>
      <c r="F205" s="148"/>
      <c r="G205" s="398"/>
      <c r="H205" s="404" t="str">
        <f>OBRA!AF204</f>
        <v>-</v>
      </c>
      <c r="I205" s="400"/>
      <c r="J205" s="406" t="str">
        <f>OBRA!AG204</f>
        <v>-</v>
      </c>
      <c r="K205" s="401"/>
      <c r="L205" s="404" t="str">
        <f>OBRA!AH204</f>
        <v>-</v>
      </c>
      <c r="M205" s="402"/>
      <c r="N205" s="404" t="str">
        <f>OBRA!AI204</f>
        <v>-</v>
      </c>
      <c r="O205" s="144"/>
      <c r="P205" s="144"/>
      <c r="Q205" s="401"/>
      <c r="R205" s="407" t="str">
        <f>OBRA!AJ204</f>
        <v>-</v>
      </c>
      <c r="S205" s="385"/>
      <c r="T205" s="399" t="str">
        <f>OBRA!W204</f>
        <v>-</v>
      </c>
      <c r="U205" s="408" t="str">
        <f>OBRA!X204</f>
        <v>-</v>
      </c>
      <c r="V205" s="1090"/>
      <c r="W205" s="33" t="str">
        <f>OBRA!N204</f>
        <v>P3X1-14-PIS-0560-16</v>
      </c>
      <c r="X205" s="12"/>
      <c r="Y205" s="12"/>
      <c r="Z205" s="409" t="str">
        <f>OBRA!M204</f>
        <v>3X1 PARA MIGRANTES</v>
      </c>
      <c r="AA205" s="12"/>
      <c r="AB205" s="2" t="str">
        <f>OBRA!O204</f>
        <v>CONVENIO</v>
      </c>
      <c r="AC205" s="3" t="str">
        <f>OBRA!P204</f>
        <v>EMPEDRADO AHOGADO EN CEMENTO EN CALLE INSURGENTES PRIMERA ETAPA, ZAPOTITAN DE HIDALGO</v>
      </c>
      <c r="AD205" s="4">
        <f>OBRA!R204</f>
        <v>2426000</v>
      </c>
      <c r="AE205" s="6">
        <f>OBRA!S204</f>
        <v>42583</v>
      </c>
      <c r="AF205" s="5" t="str">
        <f>OBRA!T204</f>
        <v>-</v>
      </c>
      <c r="AG205" s="390" t="str">
        <f>OBRA!U204</f>
        <v>-</v>
      </c>
      <c r="AH205" s="52"/>
      <c r="AI205" s="211"/>
      <c r="AJ205" s="242"/>
      <c r="AK205" s="242"/>
      <c r="AL205" s="394"/>
      <c r="AM205" s="519" t="str">
        <f>GRAL!B206</f>
        <v>2015-2018</v>
      </c>
    </row>
    <row r="206" spans="1:39" ht="30" hidden="1" customHeight="1" thickTop="1">
      <c r="A206" s="158">
        <f>OBRA!J205</f>
        <v>2016</v>
      </c>
      <c r="B206" s="1683"/>
      <c r="C206" s="395"/>
      <c r="D206" s="146"/>
      <c r="E206" s="148"/>
      <c r="F206" s="148"/>
      <c r="G206" s="398"/>
      <c r="H206" s="404" t="str">
        <f>OBRA!AF205</f>
        <v>-</v>
      </c>
      <c r="I206" s="400"/>
      <c r="J206" s="406" t="str">
        <f>OBRA!AG205</f>
        <v>-</v>
      </c>
      <c r="K206" s="401"/>
      <c r="L206" s="404" t="str">
        <f>OBRA!AH205</f>
        <v>-</v>
      </c>
      <c r="M206" s="402"/>
      <c r="N206" s="404" t="str">
        <f>OBRA!AI205</f>
        <v>-</v>
      </c>
      <c r="O206" s="144"/>
      <c r="P206" s="144"/>
      <c r="Q206" s="401"/>
      <c r="R206" s="407" t="str">
        <f>OBRA!AJ205</f>
        <v>-</v>
      </c>
      <c r="S206" s="385"/>
      <c r="T206" s="399" t="str">
        <f>OBRA!W205</f>
        <v>-</v>
      </c>
      <c r="U206" s="408" t="str">
        <f>OBRA!X205</f>
        <v>-</v>
      </c>
      <c r="V206" s="1090"/>
      <c r="W206" s="33" t="str">
        <f>OBRA!N205</f>
        <v>P3X1-14-PIS-0567-16</v>
      </c>
      <c r="X206" s="12"/>
      <c r="Y206" s="12"/>
      <c r="Z206" s="409" t="str">
        <f>OBRA!M205</f>
        <v>3X1 PARA MIGRANTES</v>
      </c>
      <c r="AA206" s="12"/>
      <c r="AB206" s="2" t="str">
        <f>OBRA!O205</f>
        <v>CONVENIO</v>
      </c>
      <c r="AC206" s="3" t="str">
        <f>OBRA!P205</f>
        <v>COLOCACION DE EMPEDRADO AHOGADO EN CEMENTO EN CALLE RAMON CORONA DESDE PINO SUAREZ HASTA ZONA FEDERAL DEL LAGO EN LA LOCALIDAD DE SAN PEDRO TESISTAN DEL MUNICIPIO JOCOTEPEC, JALISCO</v>
      </c>
      <c r="AD206" s="4">
        <f>OBRA!R205</f>
        <v>236752</v>
      </c>
      <c r="AE206" s="6">
        <f>OBRA!S205</f>
        <v>42583</v>
      </c>
      <c r="AF206" s="5" t="str">
        <f>OBRA!T205</f>
        <v>-</v>
      </c>
      <c r="AG206" s="390" t="str">
        <f>OBRA!U205</f>
        <v>-</v>
      </c>
      <c r="AH206" s="52"/>
      <c r="AI206" s="211"/>
      <c r="AJ206" s="242"/>
      <c r="AK206" s="242"/>
      <c r="AL206" s="394"/>
      <c r="AM206" s="519" t="str">
        <f>GRAL!B207</f>
        <v>2015-2018</v>
      </c>
    </row>
    <row r="207" spans="1:39" ht="43.5" hidden="1" customHeight="1" thickTop="1">
      <c r="A207" s="158">
        <f>OBRA!J206</f>
        <v>2016</v>
      </c>
      <c r="B207" s="1683"/>
      <c r="C207" s="395"/>
      <c r="D207" s="146"/>
      <c r="E207" s="148"/>
      <c r="F207" s="148"/>
      <c r="G207" s="398"/>
      <c r="H207" s="404" t="str">
        <f>OBRA!AF206</f>
        <v>-</v>
      </c>
      <c r="I207" s="400"/>
      <c r="J207" s="406" t="str">
        <f>OBRA!AG206</f>
        <v>-</v>
      </c>
      <c r="K207" s="401"/>
      <c r="L207" s="404" t="str">
        <f>OBRA!AH206</f>
        <v>-</v>
      </c>
      <c r="M207" s="402"/>
      <c r="N207" s="404" t="str">
        <f>OBRA!AI206</f>
        <v>-</v>
      </c>
      <c r="O207" s="144"/>
      <c r="P207" s="144"/>
      <c r="Q207" s="401"/>
      <c r="R207" s="407" t="str">
        <f>OBRA!AJ206</f>
        <v>-</v>
      </c>
      <c r="S207" s="385"/>
      <c r="T207" s="399" t="str">
        <f>OBRA!W206</f>
        <v>-</v>
      </c>
      <c r="U207" s="408" t="str">
        <f>OBRA!X206</f>
        <v>-</v>
      </c>
      <c r="V207" s="1090"/>
      <c r="W207" s="33" t="str">
        <f>OBRA!N206</f>
        <v>P3X1-14-PIS-0561-16</v>
      </c>
      <c r="X207" s="12"/>
      <c r="Y207" s="12"/>
      <c r="Z207" s="409" t="str">
        <f>OBRA!M206</f>
        <v>3X1 PARA MIGRANTES</v>
      </c>
      <c r="AA207" s="12"/>
      <c r="AB207" s="2" t="str">
        <f>OBRA!O206</f>
        <v>CONVENIO</v>
      </c>
      <c r="AC207" s="3" t="str">
        <f>OBRA!P206</f>
        <v>COLOCACIÓN DE EMPEDRADO AHOGADO EN CEMENTO EN CALLE GUADALUPE VICTORIA DESDE HIDALGO HASTA ZONA FEDERAL DEL LAGO, EN LA LOCALIDAD DE SAN PEDRO TESISTAN</v>
      </c>
      <c r="AD207" s="4">
        <f>OBRA!R206</f>
        <v>259860</v>
      </c>
      <c r="AE207" s="6">
        <f>OBRA!S206</f>
        <v>42583</v>
      </c>
      <c r="AF207" s="5" t="str">
        <f>OBRA!T206</f>
        <v>-</v>
      </c>
      <c r="AG207" s="390" t="str">
        <f>OBRA!U206</f>
        <v>-</v>
      </c>
      <c r="AH207" s="52"/>
      <c r="AI207" s="211"/>
      <c r="AJ207" s="242"/>
      <c r="AK207" s="242"/>
      <c r="AL207" s="394"/>
      <c r="AM207" s="519" t="str">
        <f>GRAL!B208</f>
        <v>2015-2018</v>
      </c>
    </row>
    <row r="208" spans="1:39" ht="30" hidden="1" customHeight="1" thickTop="1">
      <c r="A208" s="158">
        <f>OBRA!J207</f>
        <v>2017</v>
      </c>
      <c r="B208" s="1683"/>
      <c r="C208" s="395"/>
      <c r="D208" s="146"/>
      <c r="E208" s="148"/>
      <c r="F208" s="148"/>
      <c r="G208" s="398"/>
      <c r="H208" s="404" t="str">
        <f>OBRA!AF207</f>
        <v>-</v>
      </c>
      <c r="I208" s="400"/>
      <c r="J208" s="406" t="str">
        <f>OBRA!AG207</f>
        <v>-</v>
      </c>
      <c r="K208" s="401"/>
      <c r="L208" s="404" t="str">
        <f>OBRA!AH207</f>
        <v>-</v>
      </c>
      <c r="M208" s="402"/>
      <c r="N208" s="404" t="str">
        <f>OBRA!AI207</f>
        <v>-</v>
      </c>
      <c r="O208" s="144"/>
      <c r="P208" s="144"/>
      <c r="Q208" s="401"/>
      <c r="R208" s="407" t="str">
        <f>OBRA!AJ207</f>
        <v>-</v>
      </c>
      <c r="S208" s="385"/>
      <c r="T208" s="399" t="str">
        <f>OBRA!W207</f>
        <v>N/A</v>
      </c>
      <c r="U208" s="408" t="str">
        <f>OBRA!X207</f>
        <v>-</v>
      </c>
      <c r="V208" s="1090"/>
      <c r="W208" s="33" t="str">
        <f>OBRA!N207</f>
        <v>FONDEREG 2017/05 SURESTE/121</v>
      </c>
      <c r="X208" s="12"/>
      <c r="Y208" s="12"/>
      <c r="Z208" s="409" t="str">
        <f>OBRA!M207</f>
        <v>FONDEREG</v>
      </c>
      <c r="AA208" s="12"/>
      <c r="AB208" s="2" t="str">
        <f>OBRA!O207</f>
        <v>CONVENIO</v>
      </c>
      <c r="AC208" s="3" t="str">
        <f>OBRA!P207</f>
        <v>REHABILITACIÓN DE IMAGEN URBANA DE LA CALLE DONATO GUERRA, ENTRE CALLE HIDALGO Y CALLE INDEPENDENCIA 1 ERA ETAPA EN LA CABECERA MUNICIPAL DE JOCOTEPEC</v>
      </c>
      <c r="AD208" s="4">
        <f>OBRA!R207</f>
        <v>2068965.52</v>
      </c>
      <c r="AE208" s="6">
        <f>OBRA!S207</f>
        <v>42898</v>
      </c>
      <c r="AF208" s="5" t="str">
        <f>OBRA!T207</f>
        <v>-</v>
      </c>
      <c r="AG208" s="390" t="str">
        <f>OBRA!U207</f>
        <v>-</v>
      </c>
      <c r="AH208" s="52"/>
      <c r="AI208" s="211"/>
      <c r="AJ208" s="242"/>
      <c r="AK208" s="242"/>
      <c r="AL208" s="394"/>
      <c r="AM208" s="519" t="str">
        <f>GRAL!B209</f>
        <v>2015-2018</v>
      </c>
    </row>
    <row r="209" spans="1:39" ht="30" hidden="1" customHeight="1" thickTop="1">
      <c r="A209" s="158">
        <f>OBRA!J208</f>
        <v>2017</v>
      </c>
      <c r="B209" s="1683"/>
      <c r="C209" s="395"/>
      <c r="D209" s="146"/>
      <c r="E209" s="148"/>
      <c r="F209" s="148"/>
      <c r="G209" s="398"/>
      <c r="H209" s="404" t="str">
        <f>OBRA!AF208</f>
        <v>-</v>
      </c>
      <c r="I209" s="400"/>
      <c r="J209" s="406" t="str">
        <f>OBRA!AG208</f>
        <v>-</v>
      </c>
      <c r="K209" s="401"/>
      <c r="L209" s="404" t="str">
        <f>OBRA!AH208</f>
        <v>-</v>
      </c>
      <c r="M209" s="402"/>
      <c r="N209" s="404" t="str">
        <f>OBRA!AI208</f>
        <v>-</v>
      </c>
      <c r="O209" s="144"/>
      <c r="P209" s="144"/>
      <c r="Q209" s="401"/>
      <c r="R209" s="407" t="str">
        <f>OBRA!AJ208</f>
        <v>-</v>
      </c>
      <c r="S209" s="385"/>
      <c r="T209" s="399" t="str">
        <f>OBRA!W208</f>
        <v>N/A</v>
      </c>
      <c r="U209" s="408" t="str">
        <f>OBRA!X208</f>
        <v>-</v>
      </c>
      <c r="V209" s="1090"/>
      <c r="W209" s="33" t="str">
        <f>OBRA!N208</f>
        <v>-</v>
      </c>
      <c r="X209" s="12"/>
      <c r="Y209" s="12"/>
      <c r="Z209" s="409" t="str">
        <f>OBRA!M208</f>
        <v>FOCOCI</v>
      </c>
      <c r="AA209" s="12"/>
      <c r="AB209" s="2" t="str">
        <f>OBRA!O208</f>
        <v>CONVENIO</v>
      </c>
      <c r="AC209" s="3" t="str">
        <f>OBRA!P208</f>
        <v>REHABILITACIÓN DE IMAGEN URBANA DE CALLE DONATO GUERRA ENTRE HIDALGO Y GUADALUPE VICTORIA EN LA CABECERA MUNICIPAL, MUNICIPIO DE JOCOTEPEC, JALISCO</v>
      </c>
      <c r="AD209" s="4">
        <f>OBRA!R208</f>
        <v>2940000</v>
      </c>
      <c r="AE209" s="6">
        <f>OBRA!S208</f>
        <v>42879</v>
      </c>
      <c r="AF209" s="5" t="str">
        <f>OBRA!T208</f>
        <v>-</v>
      </c>
      <c r="AG209" s="390" t="str">
        <f>OBRA!U208</f>
        <v>-</v>
      </c>
      <c r="AH209" s="52"/>
      <c r="AI209" s="211"/>
      <c r="AJ209" s="242"/>
      <c r="AK209" s="242"/>
      <c r="AL209" s="394"/>
      <c r="AM209" s="519" t="str">
        <f>GRAL!B210</f>
        <v>2015-2018</v>
      </c>
    </row>
    <row r="210" spans="1:39" ht="30" hidden="1" customHeight="1" thickTop="1">
      <c r="A210" s="158">
        <f>OBRA!J209</f>
        <v>2017</v>
      </c>
      <c r="B210" s="1683"/>
      <c r="C210" s="395"/>
      <c r="D210" s="146"/>
      <c r="E210" s="148"/>
      <c r="F210" s="148"/>
      <c r="G210" s="398"/>
      <c r="H210" s="404" t="str">
        <f>OBRA!AF209</f>
        <v>-</v>
      </c>
      <c r="I210" s="400"/>
      <c r="J210" s="406" t="str">
        <f>OBRA!AG209</f>
        <v>-</v>
      </c>
      <c r="K210" s="401"/>
      <c r="L210" s="404" t="str">
        <f>OBRA!AH209</f>
        <v>-</v>
      </c>
      <c r="M210" s="402"/>
      <c r="N210" s="404" t="str">
        <f>OBRA!AI209</f>
        <v>-</v>
      </c>
      <c r="O210" s="144"/>
      <c r="P210" s="144"/>
      <c r="Q210" s="401"/>
      <c r="R210" s="407" t="str">
        <f>OBRA!AJ209</f>
        <v>-</v>
      </c>
      <c r="S210" s="385"/>
      <c r="T210" s="399" t="str">
        <f>OBRA!W209</f>
        <v>N/A</v>
      </c>
      <c r="U210" s="408" t="str">
        <f>OBRA!X209</f>
        <v>-</v>
      </c>
      <c r="V210" s="1090"/>
      <c r="W210" s="33" t="str">
        <f>OBRA!N209</f>
        <v xml:space="preserve">PROYECTOS DESARROLLO REGIONAL </v>
      </c>
      <c r="X210" s="12"/>
      <c r="Y210" s="12"/>
      <c r="Z210" s="409" t="str">
        <f>OBRA!M209</f>
        <v xml:space="preserve">PROYECTOS DESARROLLO REGIONAL </v>
      </c>
      <c r="AA210" s="12"/>
      <c r="AB210" s="2" t="str">
        <f>OBRA!O209</f>
        <v>CONVENIO</v>
      </c>
      <c r="AC210" s="3" t="str">
        <f>OBRA!P209</f>
        <v>-</v>
      </c>
      <c r="AD210" s="4">
        <f>OBRA!R209</f>
        <v>2910056.73</v>
      </c>
      <c r="AE210" s="6">
        <f>OBRA!S209</f>
        <v>42863</v>
      </c>
      <c r="AF210" s="5" t="str">
        <f>OBRA!T209</f>
        <v>-</v>
      </c>
      <c r="AG210" s="390" t="str">
        <f>OBRA!U209</f>
        <v>-</v>
      </c>
      <c r="AH210" s="52"/>
      <c r="AI210" s="211"/>
      <c r="AJ210" s="242"/>
      <c r="AK210" s="242"/>
      <c r="AL210" s="394"/>
      <c r="AM210" s="519" t="str">
        <f>GRAL!B211</f>
        <v>2015-2018</v>
      </c>
    </row>
    <row r="211" spans="1:39" ht="30" hidden="1" customHeight="1" thickTop="1">
      <c r="A211" s="158">
        <f>OBRA!J210</f>
        <v>2017</v>
      </c>
      <c r="B211" s="1683"/>
      <c r="C211" s="395"/>
      <c r="D211" s="146"/>
      <c r="E211" s="148"/>
      <c r="F211" s="148"/>
      <c r="G211" s="398"/>
      <c r="H211" s="404" t="str">
        <f>OBRA!AF210</f>
        <v>-</v>
      </c>
      <c r="I211" s="400"/>
      <c r="J211" s="406" t="str">
        <f>OBRA!AG210</f>
        <v>-</v>
      </c>
      <c r="K211" s="401"/>
      <c r="L211" s="404" t="str">
        <f>OBRA!AH210</f>
        <v>-</v>
      </c>
      <c r="M211" s="402"/>
      <c r="N211" s="404" t="str">
        <f>OBRA!AI210</f>
        <v>-</v>
      </c>
      <c r="O211" s="144"/>
      <c r="P211" s="144"/>
      <c r="Q211" s="401"/>
      <c r="R211" s="407" t="str">
        <f>OBRA!AJ210</f>
        <v>-</v>
      </c>
      <c r="S211" s="385"/>
      <c r="T211" s="399" t="str">
        <f>OBRA!W210</f>
        <v>N/A</v>
      </c>
      <c r="U211" s="408" t="str">
        <f>OBRA!X210</f>
        <v>-</v>
      </c>
      <c r="V211" s="1090"/>
      <c r="W211" s="33" t="str">
        <f>OBRA!N210</f>
        <v>PROYECTOS DESARROLLO REGIONAL B</v>
      </c>
      <c r="X211" s="12"/>
      <c r="Y211" s="12"/>
      <c r="Z211" s="409" t="str">
        <f>OBRA!M210</f>
        <v xml:space="preserve">PROYECTOS DESARROLLO REGIONAL </v>
      </c>
      <c r="AA211" s="12"/>
      <c r="AB211" s="2" t="str">
        <f>OBRA!O210</f>
        <v>CONVENIO</v>
      </c>
      <c r="AC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OBRA!R210</f>
        <v>3089943.27</v>
      </c>
      <c r="AE211" s="6">
        <f>OBRA!S210</f>
        <v>42885</v>
      </c>
      <c r="AF211" s="5" t="str">
        <f>OBRA!T210</f>
        <v>-</v>
      </c>
      <c r="AG211" s="390" t="str">
        <f>OBRA!U210</f>
        <v>-</v>
      </c>
      <c r="AH211" s="52"/>
      <c r="AI211" s="211"/>
      <c r="AJ211" s="242"/>
      <c r="AK211" s="242"/>
      <c r="AL211" s="394"/>
      <c r="AM211" s="519" t="str">
        <f>GRAL!B212</f>
        <v>2015-2018</v>
      </c>
    </row>
    <row r="212" spans="1:39" ht="30" hidden="1" customHeight="1" thickTop="1">
      <c r="A212" s="158">
        <f>OBRA!J211</f>
        <v>2017</v>
      </c>
      <c r="B212" s="1683"/>
      <c r="C212" s="395"/>
      <c r="D212" s="146"/>
      <c r="E212" s="148"/>
      <c r="F212" s="148"/>
      <c r="G212" s="398"/>
      <c r="H212" s="404" t="str">
        <f>OBRA!AF211</f>
        <v>-</v>
      </c>
      <c r="I212" s="400"/>
      <c r="J212" s="406" t="str">
        <f>OBRA!AG211</f>
        <v>-</v>
      </c>
      <c r="K212" s="401"/>
      <c r="L212" s="404" t="str">
        <f>OBRA!AH211</f>
        <v>-</v>
      </c>
      <c r="M212" s="402"/>
      <c r="N212" s="404" t="str">
        <f>OBRA!AI211</f>
        <v>-</v>
      </c>
      <c r="O212" s="144"/>
      <c r="P212" s="144"/>
      <c r="Q212" s="401"/>
      <c r="R212" s="407" t="str">
        <f>OBRA!AJ211</f>
        <v>-</v>
      </c>
      <c r="S212" s="385"/>
      <c r="T212" s="399" t="str">
        <f>OBRA!W211</f>
        <v>N/A</v>
      </c>
      <c r="U212" s="408" t="str">
        <f>OBRA!X211</f>
        <v>ARQ. JAIME CONDE GOMEZ</v>
      </c>
      <c r="V212" s="1090"/>
      <c r="W212" s="33" t="str">
        <f>OBRA!N211</f>
        <v>DOP/AD/001/2017</v>
      </c>
      <c r="X212" s="12"/>
      <c r="Y212" s="12"/>
      <c r="Z212" s="409" t="str">
        <f>OBRA!M211</f>
        <v>CUENTA CORRIENTE</v>
      </c>
      <c r="AA212" s="12"/>
      <c r="AB212" s="2" t="str">
        <f>OBRA!O211</f>
        <v>ADMINISTRACIÓN DIRECTA</v>
      </c>
      <c r="AC212" s="3" t="str">
        <f>OBRA!P211</f>
        <v>CONSTRUCCIÓN DE BANQUETAS, MACHUELOS Y AREA DE DESACELERACIÓN 1ERA. ETAPA EN C. VICENTE GUERRERO ENTRE PRIVADA CAMICHINES Y C. CHURUBUSCO, LADO NORTE, EN LA CABECERA MUNICIPAL, DEL MUNICIPIO DE JOCOTEPEC, JALISCO</v>
      </c>
      <c r="AD212" s="4">
        <f>OBRA!R211</f>
        <v>162823.91</v>
      </c>
      <c r="AE212" s="6">
        <f>OBRA!S211</f>
        <v>42755</v>
      </c>
      <c r="AF212" s="5">
        <f>OBRA!T211</f>
        <v>42740</v>
      </c>
      <c r="AG212" s="390">
        <f>OBRA!U211</f>
        <v>42746</v>
      </c>
      <c r="AH212" s="52"/>
      <c r="AI212" s="211"/>
      <c r="AJ212" s="242"/>
      <c r="AK212" s="242"/>
      <c r="AL212" s="394"/>
      <c r="AM212" s="519" t="str">
        <f>GRAL!B213</f>
        <v>2015-2018</v>
      </c>
    </row>
    <row r="213" spans="1:39" ht="30" hidden="1" customHeight="1" thickTop="1">
      <c r="A213" s="158">
        <f>OBRA!J212</f>
        <v>2017</v>
      </c>
      <c r="B213" s="1683"/>
      <c r="C213" s="395"/>
      <c r="D213" s="146"/>
      <c r="E213" s="148"/>
      <c r="F213" s="148"/>
      <c r="G213" s="398"/>
      <c r="H213" s="404" t="str">
        <f>OBRA!AF212</f>
        <v>-</v>
      </c>
      <c r="I213" s="400"/>
      <c r="J213" s="406" t="str">
        <f>OBRA!AG212</f>
        <v>-</v>
      </c>
      <c r="K213" s="401"/>
      <c r="L213" s="404" t="str">
        <f>OBRA!AH212</f>
        <v>-</v>
      </c>
      <c r="M213" s="402"/>
      <c r="N213" s="404" t="str">
        <f>OBRA!AI212</f>
        <v>-</v>
      </c>
      <c r="O213" s="144"/>
      <c r="P213" s="144"/>
      <c r="Q213" s="401"/>
      <c r="R213" s="407" t="str">
        <f>OBRA!AJ212</f>
        <v>-</v>
      </c>
      <c r="S213" s="385"/>
      <c r="T213" s="399" t="str">
        <f>OBRA!W212</f>
        <v>N/A</v>
      </c>
      <c r="U213" s="408" t="str">
        <f>OBRA!X212</f>
        <v>ARQ. JAIME CONDE GOMEZ</v>
      </c>
      <c r="V213" s="1090"/>
      <c r="W213" s="33" t="str">
        <f>OBRA!N212</f>
        <v>DOP/AD/002/2017</v>
      </c>
      <c r="X213" s="12"/>
      <c r="Y213" s="12"/>
      <c r="Z213" s="409" t="str">
        <f>OBRA!M212</f>
        <v>CUENTA CORRIENTE</v>
      </c>
      <c r="AA213" s="12"/>
      <c r="AB213" s="2" t="str">
        <f>OBRA!O212</f>
        <v>ADMINISTRACIÓN DIRECTA</v>
      </c>
      <c r="AC213" s="3" t="str">
        <f>OBRA!P212</f>
        <v>CONSTRUCCION DE 80 URNAS PARA RESTOS Y CENIZAS HUMANAS EN EL PANTEÓN DE SAN JUAN COSALA, DEL MUNICIPIO DE JOCOTEPEC, JALISCO</v>
      </c>
      <c r="AD213" s="4">
        <f>OBRA!R212</f>
        <v>313594.21000000002</v>
      </c>
      <c r="AE213" s="6">
        <f>OBRA!S212</f>
        <v>42872</v>
      </c>
      <c r="AF213" s="5">
        <f>OBRA!T212</f>
        <v>42893</v>
      </c>
      <c r="AG213" s="390">
        <f>OBRA!U212</f>
        <v>43046</v>
      </c>
      <c r="AH213" s="52"/>
      <c r="AI213" s="211"/>
      <c r="AJ213" s="242"/>
      <c r="AK213" s="242"/>
      <c r="AL213" s="394"/>
      <c r="AM213" s="519" t="str">
        <f>GRAL!B214</f>
        <v>2015-2018</v>
      </c>
    </row>
    <row r="214" spans="1:39" ht="30" hidden="1" customHeight="1" thickTop="1">
      <c r="A214" s="158">
        <f>OBRA!J213</f>
        <v>2017</v>
      </c>
      <c r="B214" s="1683"/>
      <c r="C214" s="395"/>
      <c r="D214" s="146"/>
      <c r="E214" s="148"/>
      <c r="F214" s="148"/>
      <c r="G214" s="398"/>
      <c r="H214" s="404" t="str">
        <f>OBRA!AF213</f>
        <v>-</v>
      </c>
      <c r="I214" s="400"/>
      <c r="J214" s="406" t="str">
        <f>OBRA!AG213</f>
        <v>-</v>
      </c>
      <c r="K214" s="401"/>
      <c r="L214" s="404" t="str">
        <f>OBRA!AH213</f>
        <v>-</v>
      </c>
      <c r="M214" s="402"/>
      <c r="N214" s="404" t="str">
        <f>OBRA!AI213</f>
        <v>-</v>
      </c>
      <c r="O214" s="144"/>
      <c r="P214" s="144"/>
      <c r="Q214" s="401"/>
      <c r="R214" s="407" t="str">
        <f>OBRA!AJ213</f>
        <v>-</v>
      </c>
      <c r="S214" s="385"/>
      <c r="T214" s="399" t="str">
        <f>OBRA!W213</f>
        <v>N/A</v>
      </c>
      <c r="U214" s="408" t="str">
        <f>OBRA!X213</f>
        <v>ING. RIGOBERTO OLMEDO RAMOS</v>
      </c>
      <c r="V214" s="1090"/>
      <c r="W214" s="33" t="str">
        <f>OBRA!N213</f>
        <v>DOP/AD/003/2017</v>
      </c>
      <c r="X214" s="12"/>
      <c r="Y214" s="12"/>
      <c r="Z214" s="409" t="str">
        <f>OBRA!M213</f>
        <v>CUENTA CORRIENTE</v>
      </c>
      <c r="AA214" s="12"/>
      <c r="AB214" s="2" t="str">
        <f>OBRA!O213</f>
        <v>ADMINISTRACIÓN DIRECTA</v>
      </c>
      <c r="AC214" s="3" t="str">
        <f>OBRA!P213</f>
        <v>CONCLUSION DE COLECTOR DE ALEJAMIENTO DEL DRENAJE SANITARIO, EN LA LOCALIDAD DE HUEJOTITAN, DEL MUNICIPIO DE JOCOTEPEC, JALISCO</v>
      </c>
      <c r="AD214" s="4">
        <f>OBRA!R213</f>
        <v>129065</v>
      </c>
      <c r="AE214" s="6">
        <f>OBRA!S213</f>
        <v>42947</v>
      </c>
      <c r="AF214" s="5">
        <f>OBRA!T213</f>
        <v>42948</v>
      </c>
      <c r="AG214" s="390">
        <f>OBRA!U213</f>
        <v>42959</v>
      </c>
      <c r="AH214" s="52"/>
      <c r="AI214" s="211"/>
      <c r="AJ214" s="242"/>
      <c r="AK214" s="242"/>
      <c r="AL214" s="394"/>
      <c r="AM214" s="519" t="str">
        <f>GRAL!B215</f>
        <v>2015-2018</v>
      </c>
    </row>
    <row r="215" spans="1:39" ht="30" hidden="1" customHeight="1" thickTop="1">
      <c r="A215" s="158">
        <f>OBRA!J214</f>
        <v>2017</v>
      </c>
      <c r="B215" s="1683"/>
      <c r="C215" s="395"/>
      <c r="D215" s="146"/>
      <c r="E215" s="148"/>
      <c r="F215" s="148"/>
      <c r="G215" s="398"/>
      <c r="H215" s="404" t="str">
        <f>OBRA!AF214</f>
        <v>-</v>
      </c>
      <c r="I215" s="400"/>
      <c r="J215" s="406" t="str">
        <f>OBRA!AG214</f>
        <v>-</v>
      </c>
      <c r="K215" s="401"/>
      <c r="L215" s="404" t="str">
        <f>OBRA!AH214</f>
        <v>-</v>
      </c>
      <c r="M215" s="402"/>
      <c r="N215" s="404" t="str">
        <f>OBRA!AI214</f>
        <v>-</v>
      </c>
      <c r="O215" s="144"/>
      <c r="P215" s="144"/>
      <c r="Q215" s="401"/>
      <c r="R215" s="407" t="str">
        <f>OBRA!AJ214</f>
        <v>-</v>
      </c>
      <c r="S215" s="385"/>
      <c r="T215" s="399" t="str">
        <f>OBRA!W214</f>
        <v>N/A</v>
      </c>
      <c r="U215" s="408" t="str">
        <f>OBRA!X214</f>
        <v>ING. RIGOBERTO OLMEDO RAMOS</v>
      </c>
      <c r="V215" s="1090"/>
      <c r="W215" s="33" t="str">
        <f>OBRA!N214</f>
        <v>DOP/AD/004/2017</v>
      </c>
      <c r="X215" s="12"/>
      <c r="Y215" s="12"/>
      <c r="Z215" s="409" t="str">
        <f>OBRA!M214</f>
        <v>CUENTA CORRIENTE</v>
      </c>
      <c r="AA215" s="12"/>
      <c r="AB215" s="2" t="str">
        <f>OBRA!O214</f>
        <v>ADMINISTRACIÓN DIRECTA</v>
      </c>
      <c r="AC215" s="3" t="str">
        <f>OBRA!P214</f>
        <v>CONSTRUCCION DE RED DE AGUA POTABLE EN CALLE PRIVADA MUNICIPAL SAN BARTOLOME EN EL CONDOMINO VISTAS DEL ANGEL EN LA DELEGACION DE SAN JUAN COSALA, DEL MUNICIPIO DE JOCOTEPEC, JALISCO.</v>
      </c>
      <c r="AD215" s="4">
        <f>OBRA!R214</f>
        <v>75540.72</v>
      </c>
      <c r="AE215" s="6">
        <f>OBRA!S214</f>
        <v>42947</v>
      </c>
      <c r="AF215" s="5">
        <f>OBRA!T214</f>
        <v>42947</v>
      </c>
      <c r="AG215" s="390">
        <f>OBRA!U214</f>
        <v>42959</v>
      </c>
      <c r="AH215" s="52"/>
      <c r="AI215" s="211"/>
      <c r="AJ215" s="242"/>
      <c r="AK215" s="242"/>
      <c r="AL215" s="394"/>
      <c r="AM215" s="519" t="str">
        <f>GRAL!B216</f>
        <v>2015-2018</v>
      </c>
    </row>
    <row r="216" spans="1:39" ht="30" hidden="1" customHeight="1" thickTop="1">
      <c r="A216" s="158">
        <f>OBRA!J215</f>
        <v>2017</v>
      </c>
      <c r="B216" s="1683"/>
      <c r="C216" s="395"/>
      <c r="D216" s="146"/>
      <c r="E216" s="148"/>
      <c r="F216" s="148"/>
      <c r="G216" s="398"/>
      <c r="H216" s="404" t="str">
        <f>OBRA!AF215</f>
        <v>-</v>
      </c>
      <c r="I216" s="400"/>
      <c r="J216" s="406" t="str">
        <f>OBRA!AG215</f>
        <v>-</v>
      </c>
      <c r="K216" s="401"/>
      <c r="L216" s="404" t="str">
        <f>OBRA!AH215</f>
        <v>-</v>
      </c>
      <c r="M216" s="402"/>
      <c r="N216" s="404" t="str">
        <f>OBRA!AI215</f>
        <v>-</v>
      </c>
      <c r="O216" s="144"/>
      <c r="P216" s="144"/>
      <c r="Q216" s="401"/>
      <c r="R216" s="407" t="str">
        <f>OBRA!AJ215</f>
        <v>-</v>
      </c>
      <c r="S216" s="385"/>
      <c r="T216" s="399" t="str">
        <f>OBRA!W215</f>
        <v>N/A</v>
      </c>
      <c r="U216" s="408" t="str">
        <f>OBRA!X215</f>
        <v>ING. J. GUADALUPE IBARRA RAMIREZ</v>
      </c>
      <c r="V216" s="1090"/>
      <c r="W216" s="33" t="str">
        <f>OBRA!N215</f>
        <v>DOP/AD/005/2017</v>
      </c>
      <c r="X216" s="12"/>
      <c r="Y216" s="12"/>
      <c r="Z216" s="409" t="str">
        <f>OBRA!M215</f>
        <v>CUENTA CORRIENTE</v>
      </c>
      <c r="AA216" s="12"/>
      <c r="AB216" s="2" t="str">
        <f>OBRA!O215</f>
        <v>ADMINISTRACIÓN DIRECTA</v>
      </c>
      <c r="AC216" s="3" t="str">
        <f>OBRA!P215</f>
        <v>ADECUACION DEL PARQUE EN CAMPO DE FUTBOL UBICADO EN LA CALLE BENITO JUAREZ, EN LA LOCALIDAD DE POTRERILLOS, DEL MUNICIPIO DE JOCOTEPEC, JALISCO</v>
      </c>
      <c r="AD216" s="4">
        <f>OBRA!R215</f>
        <v>266570.25</v>
      </c>
      <c r="AE216" s="6">
        <f>OBRA!S215</f>
        <v>42947</v>
      </c>
      <c r="AF216" s="5">
        <f>OBRA!T215</f>
        <v>42947</v>
      </c>
      <c r="AG216" s="390">
        <f>OBRA!U215</f>
        <v>43008</v>
      </c>
      <c r="AH216" s="52"/>
      <c r="AI216" s="211"/>
      <c r="AJ216" s="242"/>
      <c r="AK216" s="242"/>
      <c r="AL216" s="394"/>
      <c r="AM216" s="519" t="str">
        <f>GRAL!B217</f>
        <v>2015-2018</v>
      </c>
    </row>
    <row r="217" spans="1:39" s="104" customFormat="1" ht="30" hidden="1" customHeight="1" thickTop="1">
      <c r="A217" s="830">
        <f>OBRA!J216</f>
        <v>2017</v>
      </c>
      <c r="B217" s="1684"/>
      <c r="C217" s="831"/>
      <c r="D217" s="147"/>
      <c r="E217" s="149"/>
      <c r="F217" s="149"/>
      <c r="G217" s="832"/>
      <c r="H217" s="150" t="str">
        <f>OBRA!AF216</f>
        <v>-</v>
      </c>
      <c r="I217" s="417"/>
      <c r="J217" s="110" t="str">
        <f>OBRA!AG216</f>
        <v>-</v>
      </c>
      <c r="K217" s="834"/>
      <c r="L217" s="150" t="str">
        <f>OBRA!AH216</f>
        <v>-</v>
      </c>
      <c r="M217" s="833"/>
      <c r="N217" s="150" t="str">
        <f>OBRA!AI216</f>
        <v>-</v>
      </c>
      <c r="O217" s="150"/>
      <c r="P217" s="150"/>
      <c r="Q217" s="834"/>
      <c r="R217" s="420" t="str">
        <f>OBRA!AJ216</f>
        <v>-</v>
      </c>
      <c r="S217" s="103"/>
      <c r="T217" s="149" t="str">
        <f>OBRA!W216</f>
        <v>-</v>
      </c>
      <c r="U217" s="152">
        <f>OBRA!X216</f>
        <v>0</v>
      </c>
      <c r="V217" s="147"/>
      <c r="W217" s="33" t="str">
        <f>OBRA!N216</f>
        <v>DOP/AD/006/2017</v>
      </c>
      <c r="X217" s="103"/>
      <c r="Y217" s="103"/>
      <c r="Z217" s="103">
        <f>OBRA!M216</f>
        <v>0</v>
      </c>
      <c r="AA217" s="103"/>
      <c r="AB217" s="186" t="str">
        <f>OBRA!O216</f>
        <v>CANCELADA</v>
      </c>
      <c r="AC217" s="106">
        <f>OBRA!P216</f>
        <v>0</v>
      </c>
      <c r="AD217" s="86">
        <f>OBRA!R216</f>
        <v>0</v>
      </c>
      <c r="AE217" s="87">
        <f>OBRA!S216</f>
        <v>0</v>
      </c>
      <c r="AF217" s="88">
        <f>OBRA!T216</f>
        <v>0</v>
      </c>
      <c r="AG217" s="391">
        <f>OBRA!U216</f>
        <v>0</v>
      </c>
      <c r="AH217" s="101"/>
      <c r="AI217" s="84"/>
      <c r="AJ217" s="96"/>
      <c r="AK217" s="96"/>
      <c r="AL217" s="97"/>
      <c r="AM217" s="354" t="str">
        <f>GRAL!B218</f>
        <v>2012-2015</v>
      </c>
    </row>
    <row r="218" spans="1:39" ht="30" hidden="1" customHeight="1" thickTop="1">
      <c r="A218" s="158">
        <f>OBRA!J217</f>
        <v>2017</v>
      </c>
      <c r="B218" s="1683"/>
      <c r="C218" s="395"/>
      <c r="D218" s="146"/>
      <c r="E218" s="148"/>
      <c r="F218" s="148"/>
      <c r="G218" s="398"/>
      <c r="H218" s="404" t="str">
        <f>OBRA!AF217</f>
        <v>-</v>
      </c>
      <c r="I218" s="400"/>
      <c r="J218" s="406" t="str">
        <f>OBRA!AG217</f>
        <v>-</v>
      </c>
      <c r="K218" s="401"/>
      <c r="L218" s="404" t="str">
        <f>OBRA!AH217</f>
        <v>-</v>
      </c>
      <c r="M218" s="402"/>
      <c r="N218" s="404" t="str">
        <f>OBRA!AI217</f>
        <v>-</v>
      </c>
      <c r="O218" s="144"/>
      <c r="P218" s="144"/>
      <c r="Q218" s="401"/>
      <c r="R218" s="407" t="str">
        <f>OBRA!AJ217</f>
        <v>-</v>
      </c>
      <c r="S218" s="385"/>
      <c r="T218" s="399" t="str">
        <f>OBRA!W217</f>
        <v>N/A</v>
      </c>
      <c r="U218" s="408" t="str">
        <f>OBRA!X217</f>
        <v>ING. JUAN MANUEL GARCIA ESCOTO</v>
      </c>
      <c r="V218" s="1090"/>
      <c r="W218" s="33" t="str">
        <f>OBRA!N217</f>
        <v>DOP/AD/007/2017</v>
      </c>
      <c r="X218" s="12"/>
      <c r="Y218" s="12"/>
      <c r="Z218" s="409" t="str">
        <f>OBRA!M217</f>
        <v>CUENTA CORRIENTE</v>
      </c>
      <c r="AA218" s="12"/>
      <c r="AB218" s="2" t="str">
        <f>OBRA!O217</f>
        <v>ADMINISTRACIÓN DIRECTA</v>
      </c>
      <c r="AC218" s="3" t="str">
        <f>OBRA!P217</f>
        <v>CONSTRUCCION DE LINEA DE AGUA POTABLE EN LA CALLE CUAUHTEMOC, EN LA LOCALIDAD DE POTRERILLOS DEL MUNICIPIO DE JOCOTEPEC, JALISCO</v>
      </c>
      <c r="AD218" s="4">
        <f>OBRA!R217</f>
        <v>80202.34</v>
      </c>
      <c r="AE218" s="6">
        <f>OBRA!S217</f>
        <v>43046</v>
      </c>
      <c r="AF218" s="5">
        <f>OBRA!T217</f>
        <v>43054</v>
      </c>
      <c r="AG218" s="390">
        <f>OBRA!U217</f>
        <v>43084</v>
      </c>
      <c r="AH218" s="52"/>
      <c r="AI218" s="211"/>
      <c r="AJ218" s="242"/>
      <c r="AK218" s="242"/>
      <c r="AL218" s="394"/>
      <c r="AM218" s="519" t="str">
        <f>GRAL!B219</f>
        <v>2015-2018</v>
      </c>
    </row>
    <row r="219" spans="1:39" ht="30" hidden="1" customHeight="1" thickTop="1">
      <c r="A219" s="158">
        <f>OBRA!J218</f>
        <v>2017</v>
      </c>
      <c r="B219" s="1683"/>
      <c r="C219" s="395"/>
      <c r="D219" s="146"/>
      <c r="E219" s="148"/>
      <c r="F219" s="148"/>
      <c r="G219" s="398"/>
      <c r="H219" s="404" t="str">
        <f>OBRA!AF218</f>
        <v>-</v>
      </c>
      <c r="I219" s="400"/>
      <c r="J219" s="406" t="str">
        <f>OBRA!AG218</f>
        <v>-</v>
      </c>
      <c r="K219" s="401"/>
      <c r="L219" s="404" t="str">
        <f>OBRA!AH218</f>
        <v>-</v>
      </c>
      <c r="M219" s="402"/>
      <c r="N219" s="404" t="str">
        <f>OBRA!AI218</f>
        <v>-</v>
      </c>
      <c r="O219" s="144"/>
      <c r="P219" s="144"/>
      <c r="Q219" s="401"/>
      <c r="R219" s="407" t="str">
        <f>OBRA!AJ218</f>
        <v>-</v>
      </c>
      <c r="S219" s="385"/>
      <c r="T219" s="399" t="str">
        <f>OBRA!W218</f>
        <v>N/A</v>
      </c>
      <c r="U219" s="408" t="str">
        <f>OBRA!X218</f>
        <v>ING. ANGEL ALBERTO HERNANDEZ MORA</v>
      </c>
      <c r="V219" s="1090"/>
      <c r="W219" s="33" t="str">
        <f>OBRA!N218</f>
        <v>DOP/AD/008/2017</v>
      </c>
      <c r="X219" s="12"/>
      <c r="Y219" s="12"/>
      <c r="Z219" s="409" t="str">
        <f>OBRA!M218</f>
        <v>RAMO 33</v>
      </c>
      <c r="AA219" s="12"/>
      <c r="AB219" s="2" t="str">
        <f>OBRA!O218</f>
        <v>ADMINISTRACIÓN DIRECTA</v>
      </c>
      <c r="AC219" s="3" t="str">
        <f>OBRA!P218</f>
        <v>CONSTRUCCION DE RED DE DRENAJE EN C. ZARAGOZA PARA CONECTARLO A CALLE VICENTE GUERRERO PONIENTE EN LA CABECERA MUNICIPAL DEL MUNICIPIO DE JOCOTEPEC, JALISCO</v>
      </c>
      <c r="AD219" s="4">
        <f>OBRA!R218</f>
        <v>121598.89</v>
      </c>
      <c r="AE219" s="6">
        <f>OBRA!S218</f>
        <v>43054</v>
      </c>
      <c r="AF219" s="5">
        <f>OBRA!T218</f>
        <v>43052</v>
      </c>
      <c r="AG219" s="390">
        <f>OBRA!U218</f>
        <v>43066</v>
      </c>
      <c r="AH219" s="52"/>
      <c r="AI219" s="211"/>
      <c r="AJ219" s="242"/>
      <c r="AK219" s="242"/>
      <c r="AL219" s="394"/>
      <c r="AM219" s="519" t="str">
        <f>GRAL!B220</f>
        <v>2015-2018</v>
      </c>
    </row>
    <row r="220" spans="1:39" ht="30" hidden="1" customHeight="1" thickTop="1">
      <c r="A220" s="158">
        <f>OBRA!J219</f>
        <v>2017</v>
      </c>
      <c r="B220" s="1683"/>
      <c r="C220" s="395"/>
      <c r="D220" s="146"/>
      <c r="E220" s="148"/>
      <c r="F220" s="148"/>
      <c r="G220" s="398"/>
      <c r="H220" s="404" t="str">
        <f>OBRA!AF219</f>
        <v>-</v>
      </c>
      <c r="I220" s="400"/>
      <c r="J220" s="406" t="str">
        <f>OBRA!AG219</f>
        <v>-</v>
      </c>
      <c r="K220" s="401"/>
      <c r="L220" s="404" t="str">
        <f>OBRA!AH219</f>
        <v>-</v>
      </c>
      <c r="M220" s="402"/>
      <c r="N220" s="404" t="str">
        <f>OBRA!AI219</f>
        <v>-</v>
      </c>
      <c r="O220" s="144"/>
      <c r="P220" s="144"/>
      <c r="Q220" s="401"/>
      <c r="R220" s="407" t="str">
        <f>OBRA!AJ219</f>
        <v>-</v>
      </c>
      <c r="S220" s="385"/>
      <c r="T220" s="399" t="str">
        <f>OBRA!W219</f>
        <v>N/A</v>
      </c>
      <c r="U220" s="408" t="str">
        <f>OBRA!X219</f>
        <v>ING. ANGEL ALBERTO HERNANDEZ MORA</v>
      </c>
      <c r="V220" s="1090"/>
      <c r="W220" s="33" t="str">
        <f>OBRA!N219</f>
        <v>DOP/AD/009/2017</v>
      </c>
      <c r="X220" s="12"/>
      <c r="Y220" s="12"/>
      <c r="Z220" s="409" t="str">
        <f>OBRA!M219</f>
        <v>RAMO 33</v>
      </c>
      <c r="AA220" s="12"/>
      <c r="AB220" s="2" t="str">
        <f>OBRA!O219</f>
        <v>ADMINISTRACIÓN DIRECTA</v>
      </c>
      <c r="AC220" s="3" t="str">
        <f>OBRA!P219</f>
        <v>CONSTRUCCION DE LINEA DE AGUA POTABLE EN CALLE EMILIANO ZAPATA ENTRE PIPILA Y SANTA ISABEL DE LA LOCALIDAD DE ZAPOTITAN DE HIDALGO, DEL MUNICIPIO DE JOCOTEPEC, JALISCO</v>
      </c>
      <c r="AD220" s="4">
        <f>OBRA!R219</f>
        <v>54161.63</v>
      </c>
      <c r="AE220" s="6">
        <f>OBRA!S219</f>
        <v>43078</v>
      </c>
      <c r="AF220" s="5">
        <f>OBRA!T219</f>
        <v>43078</v>
      </c>
      <c r="AG220" s="390">
        <f>OBRA!U219</f>
        <v>43099</v>
      </c>
      <c r="AH220" s="52"/>
      <c r="AI220" s="211"/>
      <c r="AJ220" s="242"/>
      <c r="AK220" s="242"/>
      <c r="AL220" s="394"/>
      <c r="AM220" s="519" t="str">
        <f>GRAL!B221</f>
        <v>2015-2018</v>
      </c>
    </row>
    <row r="221" spans="1:39" ht="30" hidden="1" customHeight="1" thickTop="1">
      <c r="A221" s="158">
        <f>OBRA!J220</f>
        <v>2017</v>
      </c>
      <c r="B221" s="1683"/>
      <c r="C221" s="395"/>
      <c r="D221" s="146"/>
      <c r="E221" s="148"/>
      <c r="F221" s="148"/>
      <c r="G221" s="398"/>
      <c r="H221" s="404" t="str">
        <f>OBRA!AF220</f>
        <v>-</v>
      </c>
      <c r="I221" s="400"/>
      <c r="J221" s="406" t="str">
        <f>OBRA!AG220</f>
        <v>-</v>
      </c>
      <c r="K221" s="401"/>
      <c r="L221" s="404" t="str">
        <f>OBRA!AH220</f>
        <v>-</v>
      </c>
      <c r="M221" s="402"/>
      <c r="N221" s="404" t="str">
        <f>OBRA!AI220</f>
        <v>-</v>
      </c>
      <c r="O221" s="144"/>
      <c r="P221" s="144"/>
      <c r="Q221" s="401"/>
      <c r="R221" s="407" t="str">
        <f>OBRA!AJ220</f>
        <v>-</v>
      </c>
      <c r="S221" s="385"/>
      <c r="T221" s="399" t="str">
        <f>OBRA!W220</f>
        <v>N/A</v>
      </c>
      <c r="U221" s="408" t="str">
        <f>OBRA!X220</f>
        <v>ING. ANGEL ALBERTO HERNANDEZ MORA</v>
      </c>
      <c r="V221" s="1090"/>
      <c r="W221" s="33" t="str">
        <f>OBRA!N220</f>
        <v>DOP/AD/010/2017</v>
      </c>
      <c r="X221" s="12"/>
      <c r="Y221" s="12"/>
      <c r="Z221" s="409" t="str">
        <f>OBRA!M220</f>
        <v>RAMO 33</v>
      </c>
      <c r="AA221" s="12"/>
      <c r="AB221" s="2" t="str">
        <f>OBRA!O220</f>
        <v>ADMINISTRACIÓN DIRECTA</v>
      </c>
      <c r="AC221" s="3" t="str">
        <f>OBRA!P220</f>
        <v>CONSTRUCCIÓN DE LINEA DE DRENAJE EN CALLE EMILIANO ZAPATA ENTRE PIPILA Y SANTA ISABEL DE LA LOCALIDAD DE ZAPOTITAN DE HIDALGO, DEL MUNICIPIO, JALISCO.</v>
      </c>
      <c r="AD221" s="4">
        <f>OBRA!R220</f>
        <v>72083.75</v>
      </c>
      <c r="AE221" s="6">
        <f>OBRA!S220</f>
        <v>43078</v>
      </c>
      <c r="AF221" s="5">
        <f>OBRA!T220</f>
        <v>43078</v>
      </c>
      <c r="AG221" s="390">
        <f>OBRA!U220</f>
        <v>43099</v>
      </c>
      <c r="AH221" s="52"/>
      <c r="AI221" s="211"/>
      <c r="AJ221" s="242"/>
      <c r="AK221" s="242"/>
      <c r="AL221" s="394"/>
      <c r="AM221" s="519" t="str">
        <f>GRAL!B222</f>
        <v>2015-2018</v>
      </c>
    </row>
    <row r="222" spans="1:39" ht="30" hidden="1" customHeight="1" thickTop="1">
      <c r="A222" s="158">
        <f>OBRA!J221</f>
        <v>2017</v>
      </c>
      <c r="B222" s="1683"/>
      <c r="C222" s="395"/>
      <c r="D222" s="146"/>
      <c r="E222" s="148"/>
      <c r="F222" s="148"/>
      <c r="G222" s="398"/>
      <c r="H222" s="404" t="str">
        <f>OBRA!AF221</f>
        <v>-</v>
      </c>
      <c r="I222" s="400"/>
      <c r="J222" s="406" t="str">
        <f>OBRA!AG221</f>
        <v>-</v>
      </c>
      <c r="K222" s="401"/>
      <c r="L222" s="404" t="str">
        <f>OBRA!AH221</f>
        <v>-</v>
      </c>
      <c r="M222" s="402"/>
      <c r="N222" s="404" t="str">
        <f>OBRA!AI221</f>
        <v>-</v>
      </c>
      <c r="O222" s="144"/>
      <c r="P222" s="144"/>
      <c r="Q222" s="401"/>
      <c r="R222" s="407" t="str">
        <f>OBRA!AJ221</f>
        <v>-</v>
      </c>
      <c r="S222" s="385"/>
      <c r="T222" s="399" t="str">
        <f>OBRA!W221</f>
        <v>N/A</v>
      </c>
      <c r="U222" s="408" t="str">
        <f>OBRA!X221</f>
        <v>ARQ. JAIME CONDE GOMEZ</v>
      </c>
      <c r="V222" s="1090"/>
      <c r="W222" s="33" t="str">
        <f>OBRA!N221</f>
        <v>DOP/AD/011/2017</v>
      </c>
      <c r="X222" s="12"/>
      <c r="Y222" s="12"/>
      <c r="Z222" s="409" t="str">
        <f>OBRA!M221</f>
        <v>CUENTA CORRIENTE</v>
      </c>
      <c r="AA222" s="12"/>
      <c r="AB222" s="2" t="str">
        <f>OBRA!O221</f>
        <v>ADMINISTRACIÓN DIRECTA</v>
      </c>
      <c r="AC222" s="3" t="str">
        <f>OBRA!P221</f>
        <v>MEJORAMIENTO DEL MALECON DE LA LOCALIDAD DE SAN JUAN COSALA, DEL MUNICIPIO DE JOCOTEPEC, JALISCO</v>
      </c>
      <c r="AD222" s="4">
        <f>OBRA!R221</f>
        <v>574043.4</v>
      </c>
      <c r="AE222" s="6">
        <f>OBRA!S221</f>
        <v>42986</v>
      </c>
      <c r="AF222" s="5">
        <f>OBRA!T221</f>
        <v>42989</v>
      </c>
      <c r="AG222" s="390">
        <f>OBRA!U221</f>
        <v>43099</v>
      </c>
      <c r="AH222" s="52"/>
      <c r="AI222" s="211"/>
      <c r="AJ222" s="242"/>
      <c r="AK222" s="242"/>
      <c r="AL222" s="394"/>
      <c r="AM222" s="519" t="str">
        <f>GRAL!B223</f>
        <v>2015-2018</v>
      </c>
    </row>
    <row r="223" spans="1:39" s="104" customFormat="1" ht="30" hidden="1" customHeight="1" thickTop="1">
      <c r="A223" s="830">
        <f>OBRA!J222</f>
        <v>2017</v>
      </c>
      <c r="B223" s="1684"/>
      <c r="C223" s="831"/>
      <c r="D223" s="147"/>
      <c r="E223" s="149"/>
      <c r="F223" s="149"/>
      <c r="G223" s="832"/>
      <c r="H223" s="150">
        <f>OBRA!AF222</f>
        <v>0</v>
      </c>
      <c r="I223" s="417"/>
      <c r="J223" s="110">
        <f>OBRA!AG222</f>
        <v>0</v>
      </c>
      <c r="K223" s="834"/>
      <c r="L223" s="150">
        <f>OBRA!AH222</f>
        <v>0</v>
      </c>
      <c r="M223" s="833"/>
      <c r="N223" s="150">
        <f>OBRA!AI222</f>
        <v>0</v>
      </c>
      <c r="O223" s="150"/>
      <c r="P223" s="150"/>
      <c r="Q223" s="834"/>
      <c r="R223" s="420">
        <f>OBRA!AJ222</f>
        <v>0</v>
      </c>
      <c r="S223" s="103"/>
      <c r="T223" s="149" t="str">
        <f>OBRA!W222</f>
        <v>-</v>
      </c>
      <c r="U223" s="152">
        <f>OBRA!X222</f>
        <v>0</v>
      </c>
      <c r="V223" s="147"/>
      <c r="W223" s="33" t="str">
        <f>OBRA!N222</f>
        <v>DOP/AD/012/2017</v>
      </c>
      <c r="X223" s="103"/>
      <c r="Y223" s="103"/>
      <c r="Z223" s="103" t="str">
        <f>OBRA!M222</f>
        <v>RAMO 33</v>
      </c>
      <c r="AA223" s="103"/>
      <c r="AB223" s="186" t="str">
        <f>OBRA!O222</f>
        <v>CANCELADA</v>
      </c>
      <c r="AC223" s="106" t="str">
        <f>OBRA!P222</f>
        <v>REHABILITACION DE LINEA DE AGUA POTABLE EN CALLE INDEPENDENCIA ENTRE CARRETERA Y CERRADA, EN LA LOCALIDAD DE SAN JUAN COSALA, DEL MUNICIPIO DE JOCOTEPEC, JALISCO</v>
      </c>
      <c r="AD223" s="86">
        <f>OBRA!R222</f>
        <v>46522.58</v>
      </c>
      <c r="AE223" s="87">
        <f>OBRA!S222</f>
        <v>0</v>
      </c>
      <c r="AF223" s="88">
        <f>OBRA!T222</f>
        <v>42979</v>
      </c>
      <c r="AG223" s="391">
        <f>OBRA!U222</f>
        <v>42734</v>
      </c>
      <c r="AH223" s="101"/>
      <c r="AI223" s="84"/>
      <c r="AJ223" s="96"/>
      <c r="AK223" s="96"/>
      <c r="AL223" s="97"/>
      <c r="AM223" s="354" t="str">
        <f>GRAL!B224</f>
        <v>2012-2015</v>
      </c>
    </row>
    <row r="224" spans="1:39" s="104" customFormat="1" ht="30" hidden="1" customHeight="1" thickTop="1">
      <c r="A224" s="830">
        <f>OBRA!J223</f>
        <v>2017</v>
      </c>
      <c r="B224" s="1684"/>
      <c r="C224" s="831"/>
      <c r="D224" s="147"/>
      <c r="E224" s="149"/>
      <c r="F224" s="149"/>
      <c r="G224" s="832"/>
      <c r="H224" s="150">
        <f>OBRA!AF223</f>
        <v>0</v>
      </c>
      <c r="I224" s="417"/>
      <c r="J224" s="110">
        <f>OBRA!AG223</f>
        <v>0</v>
      </c>
      <c r="K224" s="834"/>
      <c r="L224" s="150">
        <f>OBRA!AH223</f>
        <v>0</v>
      </c>
      <c r="M224" s="833"/>
      <c r="N224" s="150">
        <f>OBRA!AI223</f>
        <v>0</v>
      </c>
      <c r="O224" s="150"/>
      <c r="P224" s="150"/>
      <c r="Q224" s="834"/>
      <c r="R224" s="420">
        <f>OBRA!AJ223</f>
        <v>0</v>
      </c>
      <c r="S224" s="103"/>
      <c r="T224" s="149" t="str">
        <f>OBRA!W223</f>
        <v>-</v>
      </c>
      <c r="U224" s="152">
        <f>OBRA!X223</f>
        <v>0</v>
      </c>
      <c r="V224" s="147"/>
      <c r="W224" s="33" t="str">
        <f>OBRA!N223</f>
        <v>DOP/AD/013/2017</v>
      </c>
      <c r="X224" s="103"/>
      <c r="Y224" s="103"/>
      <c r="Z224" s="103" t="str">
        <f>OBRA!M223</f>
        <v>RAMO 33</v>
      </c>
      <c r="AA224" s="103"/>
      <c r="AB224" s="186" t="str">
        <f>OBRA!O223</f>
        <v>CANCELADA</v>
      </c>
      <c r="AC224" s="106" t="str">
        <f>OBRA!P223</f>
        <v>FABRICACION DE EMPEDRADO AHOGADO EN CEMENTO EN CALLE INDEPENDENCIA, EN LA LOCALIDAD DE SAN JUAN COSALA, DEL MUNICIPIO DE JOCOTEPEC, JALISCO</v>
      </c>
      <c r="AD224" s="86">
        <f>OBRA!R223</f>
        <v>107544.91</v>
      </c>
      <c r="AE224" s="87">
        <f>OBRA!S223</f>
        <v>0</v>
      </c>
      <c r="AF224" s="88">
        <f>OBRA!T223</f>
        <v>43070</v>
      </c>
      <c r="AG224" s="391">
        <f>OBRA!U223</f>
        <v>43099</v>
      </c>
      <c r="AH224" s="101"/>
      <c r="AI224" s="84"/>
      <c r="AJ224" s="96"/>
      <c r="AK224" s="96"/>
      <c r="AL224" s="97"/>
      <c r="AM224" s="354" t="str">
        <f>GRAL!B225</f>
        <v>2012-2015</v>
      </c>
    </row>
    <row r="225" spans="1:39" ht="30" hidden="1" customHeight="1" thickTop="1">
      <c r="A225" s="158">
        <f>OBRA!J224</f>
        <v>2017</v>
      </c>
      <c r="B225" s="1683"/>
      <c r="C225" s="395"/>
      <c r="D225" s="146"/>
      <c r="E225" s="148"/>
      <c r="F225" s="148"/>
      <c r="G225" s="398"/>
      <c r="H225" s="404" t="str">
        <f>OBRA!AF224</f>
        <v>-</v>
      </c>
      <c r="I225" s="400"/>
      <c r="J225" s="406" t="str">
        <f>OBRA!AG224</f>
        <v>-</v>
      </c>
      <c r="K225" s="401"/>
      <c r="L225" s="404" t="str">
        <f>OBRA!AH224</f>
        <v>-</v>
      </c>
      <c r="M225" s="402"/>
      <c r="N225" s="404" t="str">
        <f>OBRA!AI224</f>
        <v>-</v>
      </c>
      <c r="O225" s="144"/>
      <c r="P225" s="144"/>
      <c r="Q225" s="401"/>
      <c r="R225" s="407" t="str">
        <f>OBRA!AJ224</f>
        <v>-</v>
      </c>
      <c r="S225" s="385"/>
      <c r="T225" s="399" t="str">
        <f>OBRA!W224</f>
        <v>N/A</v>
      </c>
      <c r="U225" s="408" t="str">
        <f>OBRA!X224</f>
        <v>ING. JUAN MANUEL GARCIA ESCOTO</v>
      </c>
      <c r="V225" s="1090"/>
      <c r="W225" s="33" t="str">
        <f>OBRA!N224</f>
        <v>DOP/AD/014/2017</v>
      </c>
      <c r="X225" s="12"/>
      <c r="Y225" s="12"/>
      <c r="Z225" s="409" t="str">
        <f>OBRA!M224</f>
        <v>CUENTA CORRIENTE</v>
      </c>
      <c r="AA225" s="12"/>
      <c r="AB225" s="2" t="str">
        <f>OBRA!O224</f>
        <v>ADMINISTRACIÓN DIRECTA</v>
      </c>
      <c r="AC225" s="3" t="str">
        <f>OBRA!P224</f>
        <v>OBRA CIVIL COMPLEMENTARIA PARA LA INSTALACIÓN DE CARCAMO DE BOMBEO DE LA PLANTA DE TRATAMIENTO DEL MALECON,  EN LA CABECERA MUNICIPAL, DEÑ MUNICIPIO DE JOCOTEPEC, JALISCO</v>
      </c>
      <c r="AD225" s="4">
        <f>OBRA!R224</f>
        <v>60000</v>
      </c>
      <c r="AE225" s="6">
        <f>OBRA!S224</f>
        <v>43078</v>
      </c>
      <c r="AF225" s="5">
        <f>OBRA!T224</f>
        <v>43078</v>
      </c>
      <c r="AG225" s="390">
        <f>OBRA!U224</f>
        <v>43099</v>
      </c>
      <c r="AH225" s="52"/>
      <c r="AI225" s="211"/>
      <c r="AJ225" s="242"/>
      <c r="AK225" s="242"/>
      <c r="AL225" s="394"/>
      <c r="AM225" s="519" t="str">
        <f>GRAL!B226</f>
        <v>2015-2018</v>
      </c>
    </row>
    <row r="226" spans="1:39" s="104" customFormat="1" ht="30" hidden="1" customHeight="1" thickTop="1">
      <c r="A226" s="830">
        <f>OBRA!J225</f>
        <v>2017</v>
      </c>
      <c r="B226" s="1684"/>
      <c r="C226" s="831"/>
      <c r="D226" s="147"/>
      <c r="E226" s="149"/>
      <c r="F226" s="149"/>
      <c r="G226" s="832"/>
      <c r="H226" s="150">
        <f>OBRA!AF225</f>
        <v>0</v>
      </c>
      <c r="I226" s="417"/>
      <c r="J226" s="110">
        <f>OBRA!AG225</f>
        <v>0</v>
      </c>
      <c r="K226" s="834"/>
      <c r="L226" s="150">
        <f>OBRA!AH225</f>
        <v>0</v>
      </c>
      <c r="M226" s="833"/>
      <c r="N226" s="150">
        <f>OBRA!AI225</f>
        <v>0</v>
      </c>
      <c r="O226" s="150"/>
      <c r="P226" s="150"/>
      <c r="Q226" s="834"/>
      <c r="R226" s="420">
        <f>OBRA!AJ225</f>
        <v>0</v>
      </c>
      <c r="S226" s="103"/>
      <c r="T226" s="149" t="str">
        <f>OBRA!W225</f>
        <v>-</v>
      </c>
      <c r="U226" s="152">
        <f>OBRA!X225</f>
        <v>0</v>
      </c>
      <c r="V226" s="147"/>
      <c r="W226" s="33" t="str">
        <f>OBRA!N225</f>
        <v>DOP/AD/015/2017</v>
      </c>
      <c r="X226" s="103"/>
      <c r="Y226" s="103"/>
      <c r="Z226" s="103">
        <f>OBRA!M225</f>
        <v>0</v>
      </c>
      <c r="AA226" s="103"/>
      <c r="AB226" s="186" t="str">
        <f>OBRA!O225</f>
        <v>CANCELADA</v>
      </c>
      <c r="AC226" s="106">
        <f>OBRA!P225</f>
        <v>0</v>
      </c>
      <c r="AD226" s="86">
        <f>OBRA!R225</f>
        <v>0</v>
      </c>
      <c r="AE226" s="87">
        <f>OBRA!S225</f>
        <v>0</v>
      </c>
      <c r="AF226" s="88">
        <f>OBRA!T225</f>
        <v>0</v>
      </c>
      <c r="AG226" s="391">
        <f>OBRA!U225</f>
        <v>0</v>
      </c>
      <c r="AH226" s="101"/>
      <c r="AI226" s="84"/>
      <c r="AJ226" s="96"/>
      <c r="AK226" s="96"/>
      <c r="AL226" s="97"/>
      <c r="AM226" s="354" t="str">
        <f>GRAL!B227</f>
        <v>2012-2015</v>
      </c>
    </row>
    <row r="227" spans="1:39" ht="30" hidden="1" customHeight="1" thickTop="1">
      <c r="A227" s="158">
        <f>OBRA!J226</f>
        <v>2017</v>
      </c>
      <c r="B227" s="1683"/>
      <c r="C227" s="395"/>
      <c r="D227" s="146"/>
      <c r="E227" s="148"/>
      <c r="F227" s="148"/>
      <c r="G227" s="398"/>
      <c r="H227" s="404" t="str">
        <f>OBRA!AF226</f>
        <v>-</v>
      </c>
      <c r="I227" s="400"/>
      <c r="J227" s="406" t="str">
        <f>OBRA!AG226</f>
        <v>-</v>
      </c>
      <c r="K227" s="401"/>
      <c r="L227" s="404" t="str">
        <f>OBRA!AH226</f>
        <v>-</v>
      </c>
      <c r="M227" s="402"/>
      <c r="N227" s="404" t="str">
        <f>OBRA!AI226</f>
        <v>-</v>
      </c>
      <c r="O227" s="144"/>
      <c r="P227" s="144"/>
      <c r="Q227" s="401"/>
      <c r="R227" s="407" t="str">
        <f>OBRA!AJ226</f>
        <v>-</v>
      </c>
      <c r="S227" s="385"/>
      <c r="T227" s="399" t="str">
        <f>OBRA!W226</f>
        <v>ASFALTOS GUADALAJARA, S.A.P.I. DE C.V.</v>
      </c>
      <c r="U227" s="408" t="str">
        <f>OBRA!X226</f>
        <v>ING. ANGEL ALBERTO HERNANDEZ MORA</v>
      </c>
      <c r="V227" s="1090"/>
      <c r="W227" s="33" t="str">
        <f>OBRA!N226</f>
        <v>GMJ 001C OP/2017</v>
      </c>
      <c r="X227" s="12"/>
      <c r="Y227" s="12"/>
      <c r="Z227" s="409" t="str">
        <f>OBRA!M226</f>
        <v>CUENTA CORRIENTE</v>
      </c>
      <c r="AA227" s="12"/>
      <c r="AB227" s="2" t="str">
        <f>OBRA!O226</f>
        <v>ADJUDICACIÓN DIRECTA</v>
      </c>
      <c r="AC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OBRA!R226</f>
        <v>1499890.33</v>
      </c>
      <c r="AE227" s="6">
        <f>OBRA!S226</f>
        <v>42737</v>
      </c>
      <c r="AF227" s="5">
        <f>OBRA!T226</f>
        <v>42740</v>
      </c>
      <c r="AG227" s="390">
        <f>OBRA!U226</f>
        <v>42746</v>
      </c>
      <c r="AH227" s="52"/>
      <c r="AI227" s="211"/>
      <c r="AJ227" s="242"/>
      <c r="AK227" s="242"/>
      <c r="AL227" s="394"/>
      <c r="AM227" s="519" t="str">
        <f>GRAL!B228</f>
        <v>2015-2018</v>
      </c>
    </row>
    <row r="228" spans="1:39" ht="30" hidden="1" customHeight="1" thickTop="1">
      <c r="A228" s="158">
        <f>OBRA!J227</f>
        <v>2017</v>
      </c>
      <c r="B228" s="1683"/>
      <c r="C228" s="395"/>
      <c r="D228" s="146"/>
      <c r="E228" s="148"/>
      <c r="F228" s="148"/>
      <c r="G228" s="398"/>
      <c r="H228" s="404" t="str">
        <f>OBRA!AF227</f>
        <v>-</v>
      </c>
      <c r="I228" s="400"/>
      <c r="J228" s="406" t="str">
        <f>OBRA!AG227</f>
        <v>-</v>
      </c>
      <c r="K228" s="401"/>
      <c r="L228" s="404" t="str">
        <f>OBRA!AH227</f>
        <v>-</v>
      </c>
      <c r="M228" s="402"/>
      <c r="N228" s="404" t="str">
        <f>OBRA!AI227</f>
        <v>-</v>
      </c>
      <c r="O228" s="144"/>
      <c r="P228" s="144"/>
      <c r="Q228" s="401"/>
      <c r="R228" s="407" t="str">
        <f>OBRA!AJ227</f>
        <v>-</v>
      </c>
      <c r="S228" s="385"/>
      <c r="T228" s="399" t="str">
        <f>OBRA!W227</f>
        <v>ASFALTOS GUADALAJARA, S.A.P.I. DE C.V.</v>
      </c>
      <c r="U228" s="408" t="str">
        <f>OBRA!X227</f>
        <v>ING. ANGEL ALBERTO HERNANDEZ MORA</v>
      </c>
      <c r="V228" s="1090"/>
      <c r="W228" s="33" t="str">
        <f>OBRA!N227</f>
        <v>GMJ 002C OP/2017</v>
      </c>
      <c r="X228" s="12"/>
      <c r="Y228" s="12"/>
      <c r="Z228" s="409" t="str">
        <f>OBRA!M227</f>
        <v>CUENTA CORRIENTE</v>
      </c>
      <c r="AA228" s="12"/>
      <c r="AB228" s="2" t="str">
        <f>OBRA!O227</f>
        <v>ADJUDICACIÓN DIRECTA</v>
      </c>
      <c r="AC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OBRA!R227</f>
        <v>1316020.1499999999</v>
      </c>
      <c r="AE228" s="6">
        <f>OBRA!S227</f>
        <v>42747</v>
      </c>
      <c r="AF228" s="5">
        <f>OBRA!T227</f>
        <v>42747</v>
      </c>
      <c r="AG228" s="390">
        <f>OBRA!U227</f>
        <v>42837</v>
      </c>
      <c r="AH228" s="52"/>
      <c r="AI228" s="211"/>
      <c r="AJ228" s="242"/>
      <c r="AK228" s="242"/>
      <c r="AL228" s="394"/>
      <c r="AM228" s="519" t="str">
        <f>GRAL!B229</f>
        <v>2015-2018</v>
      </c>
    </row>
    <row r="229" spans="1:39" ht="30" hidden="1" customHeight="1" thickTop="1">
      <c r="A229" s="158">
        <f>OBRA!J228</f>
        <v>2017</v>
      </c>
      <c r="B229" s="1683"/>
      <c r="C229" s="395"/>
      <c r="D229" s="146"/>
      <c r="E229" s="148"/>
      <c r="F229" s="148"/>
      <c r="G229" s="398"/>
      <c r="H229" s="404" t="str">
        <f>OBRA!AF228</f>
        <v>-</v>
      </c>
      <c r="I229" s="400"/>
      <c r="J229" s="406" t="str">
        <f>OBRA!AG228</f>
        <v>-</v>
      </c>
      <c r="K229" s="401"/>
      <c r="L229" s="404" t="str">
        <f>OBRA!AH228</f>
        <v>-</v>
      </c>
      <c r="M229" s="402"/>
      <c r="N229" s="404" t="str">
        <f>OBRA!AI228</f>
        <v>-</v>
      </c>
      <c r="O229" s="144"/>
      <c r="P229" s="144"/>
      <c r="Q229" s="401"/>
      <c r="R229" s="407" t="str">
        <f>OBRA!AJ228</f>
        <v>-</v>
      </c>
      <c r="S229" s="385"/>
      <c r="T229" s="399" t="str">
        <f>OBRA!W228</f>
        <v>ING. SERGIO CABRERA</v>
      </c>
      <c r="U229" s="408" t="str">
        <f>OBRA!X228</f>
        <v>ING. ANGEL ALBERTO HERNANDEZ MORA</v>
      </c>
      <c r="V229" s="1090"/>
      <c r="W229" s="33" t="str">
        <f>OBRA!N228</f>
        <v>GMJ 003C OP/2017</v>
      </c>
      <c r="X229" s="12"/>
      <c r="Y229" s="12"/>
      <c r="Z229" s="409" t="str">
        <f>OBRA!M228</f>
        <v>RAMO 33</v>
      </c>
      <c r="AA229" s="12"/>
      <c r="AB229" s="2" t="str">
        <f>OBRA!O228</f>
        <v>ADJUDICACIÓN DIRECTA</v>
      </c>
      <c r="AC229" s="3" t="str">
        <f>OBRA!P228</f>
        <v>REHABILITACIÓN DE LÍNEA DE DRENAJE EN CALLES PROLONGACIÓN GONZALEZ ORTEGA, CABECERA MUNICIPAL DE JOCOTEPEC JALISCO</v>
      </c>
      <c r="AD229" s="4">
        <f>OBRA!R228</f>
        <v>626112.69999999995</v>
      </c>
      <c r="AE229" s="6">
        <f>OBRA!S228</f>
        <v>42857</v>
      </c>
      <c r="AF229" s="5">
        <f>OBRA!T228</f>
        <v>42860</v>
      </c>
      <c r="AG229" s="390">
        <f>OBRA!U228</f>
        <v>42880</v>
      </c>
      <c r="AH229" s="52"/>
      <c r="AI229" s="211"/>
      <c r="AJ229" s="242"/>
      <c r="AK229" s="242"/>
      <c r="AL229" s="394"/>
      <c r="AM229" s="519" t="str">
        <f>GRAL!B230</f>
        <v>2015-2018</v>
      </c>
    </row>
    <row r="230" spans="1:39" ht="30" hidden="1" customHeight="1" thickTop="1">
      <c r="A230" s="158">
        <f>OBRA!J229</f>
        <v>2017</v>
      </c>
      <c r="B230" s="809"/>
      <c r="C230" s="397"/>
      <c r="D230" s="146"/>
      <c r="E230" s="148"/>
      <c r="F230" s="148"/>
      <c r="G230" s="398"/>
      <c r="H230" s="404" t="str">
        <f>OBRA!AF229</f>
        <v>-</v>
      </c>
      <c r="I230" s="400"/>
      <c r="J230" s="406" t="str">
        <f>OBRA!AG229</f>
        <v>-</v>
      </c>
      <c r="K230" s="401"/>
      <c r="L230" s="404" t="str">
        <f>OBRA!AH229</f>
        <v>-</v>
      </c>
      <c r="M230" s="402"/>
      <c r="N230" s="404" t="str">
        <f>OBRA!AI229</f>
        <v>-</v>
      </c>
      <c r="O230" s="144"/>
      <c r="P230" s="144"/>
      <c r="Q230" s="401"/>
      <c r="R230" s="407" t="str">
        <f>OBRA!AJ229</f>
        <v>-</v>
      </c>
      <c r="S230" s="385"/>
      <c r="T230" s="399" t="str">
        <f>OBRA!W229</f>
        <v>ING. SERGIO CABRERA</v>
      </c>
      <c r="U230" s="408" t="str">
        <f>OBRA!X229</f>
        <v>ING. ANGEL ALBERTO HERNANDEZ MORA</v>
      </c>
      <c r="V230" s="1090"/>
      <c r="W230" s="33" t="str">
        <f>OBRA!N229</f>
        <v>GMJ 004C OP/2017</v>
      </c>
      <c r="X230" s="12"/>
      <c r="Y230" s="12"/>
      <c r="Z230" s="409" t="str">
        <f>OBRA!M229</f>
        <v>RAMO 33</v>
      </c>
      <c r="AA230" s="12"/>
      <c r="AB230" s="2" t="str">
        <f>OBRA!O229</f>
        <v>ADJUDICACIÓN DIRECTA</v>
      </c>
      <c r="AC230" s="3" t="str">
        <f>OBRA!P229</f>
        <v>REHABILITACIÓN DE RED DE AGUA POTABLE EN CALLE PROLONGACIÓN GONZÁLEZ ORTEGA, CABECERA MUNICIPAL DE JOCOTEPEC JALISCO</v>
      </c>
      <c r="AD230" s="4">
        <f>OBRA!R229</f>
        <v>475018.98</v>
      </c>
      <c r="AE230" s="6">
        <f>OBRA!S229</f>
        <v>42857</v>
      </c>
      <c r="AF230" s="5">
        <f>OBRA!T229</f>
        <v>42860</v>
      </c>
      <c r="AG230" s="390">
        <f>OBRA!U229</f>
        <v>42885</v>
      </c>
      <c r="AH230" s="52"/>
      <c r="AI230" s="211"/>
      <c r="AJ230" s="242"/>
      <c r="AK230" s="242"/>
      <c r="AL230" s="394"/>
      <c r="AM230" s="519" t="str">
        <f>GRAL!B231</f>
        <v>2015-2018</v>
      </c>
    </row>
    <row r="231" spans="1:39" ht="30" hidden="1" customHeight="1" thickTop="1">
      <c r="A231" s="158">
        <f>OBRA!J230</f>
        <v>2017</v>
      </c>
      <c r="B231" s="1683"/>
      <c r="C231" s="395"/>
      <c r="D231" s="146"/>
      <c r="E231" s="148"/>
      <c r="F231" s="148"/>
      <c r="G231" s="398"/>
      <c r="H231" s="404" t="str">
        <f>OBRA!AF230</f>
        <v>-</v>
      </c>
      <c r="I231" s="400"/>
      <c r="J231" s="406" t="str">
        <f>OBRA!AG230</f>
        <v>-</v>
      </c>
      <c r="K231" s="401"/>
      <c r="L231" s="404" t="str">
        <f>OBRA!AH230</f>
        <v>-</v>
      </c>
      <c r="M231" s="402"/>
      <c r="N231" s="404" t="str">
        <f>OBRA!AI230</f>
        <v>-</v>
      </c>
      <c r="O231" s="144"/>
      <c r="P231" s="144"/>
      <c r="Q231" s="401"/>
      <c r="R231" s="407" t="str">
        <f>OBRA!AJ230</f>
        <v>-</v>
      </c>
      <c r="S231" s="385"/>
      <c r="T231" s="399" t="str">
        <f>OBRA!W230</f>
        <v>ING. SERGIO CABRERA</v>
      </c>
      <c r="U231" s="408" t="str">
        <f>OBRA!X230</f>
        <v>ING. ANGEL ALBERTO HERNANDEZ MORA</v>
      </c>
      <c r="V231" s="1090"/>
      <c r="W231" s="33" t="str">
        <f>OBRA!N230</f>
        <v>GMJ 005C OP/2017</v>
      </c>
      <c r="X231" s="12"/>
      <c r="Y231" s="12"/>
      <c r="Z231" s="409" t="str">
        <f>OBRA!M230</f>
        <v>RAMO 33</v>
      </c>
      <c r="AA231" s="12"/>
      <c r="AB231" s="2" t="str">
        <f>OBRA!O230</f>
        <v>ADJUDICACIÓN DIRECTA</v>
      </c>
      <c r="AC231" s="3" t="str">
        <f>OBRA!P230</f>
        <v>CONSTRUCCIÓN DE HUELLAS DE CONCRETO EN CALLE PROLONGACIÓN GONZALEZ ORTEGA, CABECERA MUNICIPAL DE JOCOTEPEC JALISCO</v>
      </c>
      <c r="AD231" s="4">
        <f>OBRA!R230</f>
        <v>383419.34</v>
      </c>
      <c r="AE231" s="6">
        <f>OBRA!S230</f>
        <v>42857</v>
      </c>
      <c r="AF231" s="5">
        <f>OBRA!T230</f>
        <v>42861</v>
      </c>
      <c r="AG231" s="390">
        <f>OBRA!U230</f>
        <v>42901</v>
      </c>
      <c r="AH231" s="52"/>
      <c r="AI231" s="211"/>
      <c r="AJ231" s="242"/>
      <c r="AK231" s="242"/>
      <c r="AL231" s="394"/>
      <c r="AM231" s="519" t="str">
        <f>GRAL!B232</f>
        <v>2015-2018</v>
      </c>
    </row>
    <row r="232" spans="1:39" ht="30" hidden="1" customHeight="1" thickTop="1">
      <c r="A232" s="158">
        <f>OBRA!J231</f>
        <v>2017</v>
      </c>
      <c r="B232" s="1683"/>
      <c r="C232" s="395"/>
      <c r="D232" s="146"/>
      <c r="E232" s="148"/>
      <c r="F232" s="148"/>
      <c r="G232" s="398"/>
      <c r="H232" s="404" t="str">
        <f>OBRA!AF231</f>
        <v>-</v>
      </c>
      <c r="I232" s="400"/>
      <c r="J232" s="406" t="str">
        <f>OBRA!AG231</f>
        <v>-</v>
      </c>
      <c r="K232" s="401"/>
      <c r="L232" s="404" t="str">
        <f>OBRA!AH231</f>
        <v>-</v>
      </c>
      <c r="M232" s="402"/>
      <c r="N232" s="404" t="str">
        <f>OBRA!AI231</f>
        <v>-</v>
      </c>
      <c r="O232" s="144"/>
      <c r="P232" s="144"/>
      <c r="Q232" s="401"/>
      <c r="R232" s="407" t="str">
        <f>OBRA!AJ231</f>
        <v>-</v>
      </c>
      <c r="S232" s="385"/>
      <c r="T232" s="399" t="str">
        <f>OBRA!W231</f>
        <v xml:space="preserve">GRUPO DESARROLLADOR INMOBILIARIO CEMERAMA S.A. DE C.V. </v>
      </c>
      <c r="U232" s="408" t="str">
        <f>OBRA!X231</f>
        <v>LIC. SALVADOR CONTRERAS OLGUÍN</v>
      </c>
      <c r="V232" s="1090"/>
      <c r="W232" s="33" t="str">
        <f>OBRA!N231</f>
        <v>GMJ 006C OP/2017</v>
      </c>
      <c r="X232" s="12"/>
      <c r="Y232" s="12"/>
      <c r="Z232" s="409" t="str">
        <f>OBRA!M231</f>
        <v>RAMO 33</v>
      </c>
      <c r="AA232" s="12"/>
      <c r="AB232" s="2" t="str">
        <f>OBRA!O231</f>
        <v>ADJUDICACIÓN DIRECTA</v>
      </c>
      <c r="AC232" s="3" t="str">
        <f>OBRA!P231</f>
        <v>CONSTRUCCIÓN DE RED DE DRENAJE DE POZO A CALLE JUAREZ</v>
      </c>
      <c r="AD232" s="4">
        <f>OBRA!R231</f>
        <v>167666.94</v>
      </c>
      <c r="AE232" s="6">
        <f>OBRA!S231</f>
        <v>42858</v>
      </c>
      <c r="AF232" s="5">
        <f>OBRA!T231</f>
        <v>42859</v>
      </c>
      <c r="AG232" s="390">
        <f>OBRA!U231</f>
        <v>42875</v>
      </c>
      <c r="AH232" s="52"/>
      <c r="AI232" s="211"/>
      <c r="AJ232" s="242"/>
      <c r="AK232" s="242"/>
      <c r="AL232" s="394"/>
      <c r="AM232" s="519" t="str">
        <f>GRAL!B233</f>
        <v>2015-2018</v>
      </c>
    </row>
    <row r="233" spans="1:39" ht="30" hidden="1" customHeight="1" thickTop="1">
      <c r="A233" s="158">
        <f>OBRA!J232</f>
        <v>2017</v>
      </c>
      <c r="B233" s="1683"/>
      <c r="C233" s="395"/>
      <c r="D233" s="146"/>
      <c r="E233" s="148"/>
      <c r="F233" s="148"/>
      <c r="G233" s="398"/>
      <c r="H233" s="404" t="str">
        <f>OBRA!AF232</f>
        <v>-</v>
      </c>
      <c r="I233" s="400"/>
      <c r="J233" s="406" t="str">
        <f>OBRA!AG232</f>
        <v>-</v>
      </c>
      <c r="K233" s="401"/>
      <c r="L233" s="404" t="str">
        <f>OBRA!AH232</f>
        <v>-</v>
      </c>
      <c r="M233" s="402"/>
      <c r="N233" s="404" t="str">
        <f>OBRA!AI232</f>
        <v>-</v>
      </c>
      <c r="O233" s="144"/>
      <c r="P233" s="144"/>
      <c r="Q233" s="401"/>
      <c r="R233" s="407" t="str">
        <f>OBRA!AJ232</f>
        <v>-</v>
      </c>
      <c r="S233" s="385"/>
      <c r="T233" s="399" t="str">
        <f>OBRA!W232</f>
        <v xml:space="preserve">GRUPO DESARROLLADOR INMOBILIARIO CEMERAMA S.A. DE C.V. </v>
      </c>
      <c r="U233" s="408" t="str">
        <f>OBRA!X232</f>
        <v>LIC. SALVADOR CONTRERAS OLGUÍN</v>
      </c>
      <c r="V233" s="1090"/>
      <c r="W233" s="33" t="str">
        <f>OBRA!N232</f>
        <v>GMJ 007C OP/2017</v>
      </c>
      <c r="X233" s="12"/>
      <c r="Y233" s="12"/>
      <c r="Z233" s="409" t="str">
        <f>OBRA!M232</f>
        <v>RAMO 33</v>
      </c>
      <c r="AA233" s="12"/>
      <c r="AB233" s="2" t="str">
        <f>OBRA!O232</f>
        <v>ADJUDICACIÓN DIRECTA</v>
      </c>
      <c r="AC233" s="3" t="str">
        <f>OBRA!P232</f>
        <v>CONSTRUCCIÓN DE LÍNEA ALIMENTADORA DE AGUA POTABLE DEL POZO A LA RED MUNICIPAL DE LA CALLE MORELOS DELEGACION DEL CHANTE</v>
      </c>
      <c r="AD233" s="4">
        <f>OBRA!R232</f>
        <v>336153.85</v>
      </c>
      <c r="AE233" s="6">
        <f>OBRA!S232</f>
        <v>42857</v>
      </c>
      <c r="AF233" s="5">
        <f>OBRA!T232</f>
        <v>42868</v>
      </c>
      <c r="AG233" s="390">
        <f>OBRA!U232</f>
        <v>42899</v>
      </c>
      <c r="AH233" s="52"/>
      <c r="AI233" s="211"/>
      <c r="AJ233" s="242"/>
      <c r="AK233" s="242"/>
      <c r="AL233" s="394"/>
      <c r="AM233" s="519" t="str">
        <f>GRAL!B234</f>
        <v>2015-2018</v>
      </c>
    </row>
    <row r="234" spans="1:39" ht="30" hidden="1" customHeight="1" thickTop="1">
      <c r="A234" s="158">
        <f>OBRA!J233</f>
        <v>2017</v>
      </c>
      <c r="B234" s="1683"/>
      <c r="C234" s="395"/>
      <c r="D234" s="146"/>
      <c r="E234" s="148"/>
      <c r="F234" s="148"/>
      <c r="G234" s="398"/>
      <c r="H234" s="404" t="str">
        <f>OBRA!AF233</f>
        <v>-</v>
      </c>
      <c r="I234" s="400"/>
      <c r="J234" s="406" t="str">
        <f>OBRA!AG233</f>
        <v>-</v>
      </c>
      <c r="K234" s="401"/>
      <c r="L234" s="404" t="str">
        <f>OBRA!AH233</f>
        <v>-</v>
      </c>
      <c r="M234" s="402"/>
      <c r="N234" s="404" t="str">
        <f>OBRA!AI233</f>
        <v>-</v>
      </c>
      <c r="O234" s="144"/>
      <c r="P234" s="144"/>
      <c r="Q234" s="403"/>
      <c r="R234" s="407" t="str">
        <f>OBRA!AJ233</f>
        <v>-</v>
      </c>
      <c r="S234" s="385"/>
      <c r="T234" s="399" t="str">
        <f>OBRA!W233</f>
        <v>CONSTRUCCIONES VIKBRAK, S.A. DE C.V.</v>
      </c>
      <c r="U234" s="408" t="str">
        <f>OBRA!X233</f>
        <v>ARQ. JAIME CONDE GOMEZ</v>
      </c>
      <c r="V234" s="1090"/>
      <c r="W234" s="33" t="str">
        <f>OBRA!N233</f>
        <v>GMJ 008C OP/2017</v>
      </c>
      <c r="X234" s="12"/>
      <c r="Y234" s="12"/>
      <c r="Z234" s="409" t="str">
        <f>OBRA!M233</f>
        <v>RAMO 33</v>
      </c>
      <c r="AA234" s="12"/>
      <c r="AB234" s="2" t="str">
        <f>OBRA!O233</f>
        <v>ADJUDICACIÓN DIRECTA</v>
      </c>
      <c r="AC234" s="3" t="str">
        <f>OBRA!P233</f>
        <v>REHABILITACIÓN DE RED DE DRENAJE EN CALLE NIÑOS HEROES DE INVIERNO A PROLONGACIÓN ALDAMA, EN LA CABECERA MUNICIPAL DE JOCOTEPEC JALISCO</v>
      </c>
      <c r="AD234" s="4">
        <f>OBRA!R233</f>
        <v>177076.07</v>
      </c>
      <c r="AE234" s="6">
        <f>OBRA!S233</f>
        <v>42857</v>
      </c>
      <c r="AF234" s="5">
        <f>OBRA!T233</f>
        <v>42859</v>
      </c>
      <c r="AG234" s="390">
        <f>OBRA!U233</f>
        <v>42890</v>
      </c>
      <c r="AH234" s="52"/>
      <c r="AI234" s="211"/>
      <c r="AJ234" s="242"/>
      <c r="AK234" s="242"/>
      <c r="AL234" s="394"/>
      <c r="AM234" s="519" t="str">
        <f>GRAL!B235</f>
        <v>2015-2018</v>
      </c>
    </row>
    <row r="235" spans="1:39" ht="30" hidden="1" customHeight="1" thickTop="1">
      <c r="A235" s="158">
        <f>OBRA!J234</f>
        <v>2017</v>
      </c>
      <c r="B235" s="1683"/>
      <c r="C235" s="395"/>
      <c r="D235" s="146"/>
      <c r="E235" s="148"/>
      <c r="F235" s="148"/>
      <c r="G235" s="398"/>
      <c r="H235" s="404" t="str">
        <f>OBRA!AF234</f>
        <v>-</v>
      </c>
      <c r="I235" s="400"/>
      <c r="J235" s="406" t="str">
        <f>OBRA!AG234</f>
        <v>-</v>
      </c>
      <c r="K235" s="401"/>
      <c r="L235" s="404" t="str">
        <f>OBRA!AH234</f>
        <v>-</v>
      </c>
      <c r="M235" s="402"/>
      <c r="N235" s="404" t="str">
        <f>OBRA!AI234</f>
        <v>-</v>
      </c>
      <c r="O235" s="144"/>
      <c r="P235" s="144"/>
      <c r="Q235" s="403"/>
      <c r="R235" s="407" t="str">
        <f>OBRA!AJ234</f>
        <v>-</v>
      </c>
      <c r="S235" s="385"/>
      <c r="T235" s="399" t="str">
        <f>OBRA!W234</f>
        <v>CONSTRUCCIONES VIKBRAK, S.A. DE C.V.</v>
      </c>
      <c r="U235" s="408" t="str">
        <f>OBRA!X234</f>
        <v>ARQ. JAIME CONDE GOMEZ</v>
      </c>
      <c r="V235" s="1090"/>
      <c r="W235" s="33" t="str">
        <f>OBRA!N234</f>
        <v>GMJ 009C OP/2017</v>
      </c>
      <c r="X235" s="12"/>
      <c r="Y235" s="12"/>
      <c r="Z235" s="409" t="str">
        <f>OBRA!M234</f>
        <v>RAMO 33</v>
      </c>
      <c r="AA235" s="12"/>
      <c r="AB235" s="2" t="str">
        <f>OBRA!O234</f>
        <v>ADJUDICACIÓN DIRECTA</v>
      </c>
      <c r="AC235" s="3" t="str">
        <f>OBRA!P234</f>
        <v>REHABILITACIÓN DE RED DE AGUA POTABLE EN CALLE NIÑOS HEROES, DE INVIERNO A PROLONGACIÓN ALDAMA, EN LA CABECERA MUNICIPAL DE JOCOTEPEC, JALISCO</v>
      </c>
      <c r="AD235" s="4">
        <f>OBRA!R234</f>
        <v>113674.93</v>
      </c>
      <c r="AE235" s="6">
        <f>OBRA!S234</f>
        <v>42858</v>
      </c>
      <c r="AF235" s="5">
        <f>OBRA!T234</f>
        <v>42870</v>
      </c>
      <c r="AG235" s="390">
        <f>OBRA!U234</f>
        <v>42886</v>
      </c>
      <c r="AH235" s="52"/>
      <c r="AI235" s="211"/>
      <c r="AJ235" s="242"/>
      <c r="AK235" s="242"/>
      <c r="AL235" s="394"/>
      <c r="AM235" s="519" t="str">
        <f>GRAL!B236</f>
        <v>2015-2018</v>
      </c>
    </row>
    <row r="236" spans="1:39" ht="30" hidden="1" customHeight="1" thickTop="1">
      <c r="A236" s="158">
        <f>OBRA!J235</f>
        <v>2017</v>
      </c>
      <c r="B236" s="1683"/>
      <c r="C236" s="395"/>
      <c r="D236" s="146"/>
      <c r="E236" s="148"/>
      <c r="F236" s="148"/>
      <c r="G236" s="398"/>
      <c r="H236" s="404" t="str">
        <f>OBRA!AF235</f>
        <v>-</v>
      </c>
      <c r="I236" s="400"/>
      <c r="J236" s="406" t="str">
        <f>OBRA!AG235</f>
        <v>-</v>
      </c>
      <c r="K236" s="401"/>
      <c r="L236" s="404" t="str">
        <f>OBRA!AH235</f>
        <v>-</v>
      </c>
      <c r="M236" s="402"/>
      <c r="N236" s="404" t="str">
        <f>OBRA!AI235</f>
        <v>-</v>
      </c>
      <c r="O236" s="144"/>
      <c r="P236" s="144"/>
      <c r="Q236" s="403"/>
      <c r="R236" s="407" t="str">
        <f>OBRA!AJ235</f>
        <v>-</v>
      </c>
      <c r="S236" s="385"/>
      <c r="T236" s="399" t="str">
        <f>OBRA!W235</f>
        <v>CONSTRUCCIONES VIKBRAK, S.A. DE C.V.</v>
      </c>
      <c r="U236" s="408" t="str">
        <f>OBRA!X235</f>
        <v>ARQ. JAIME CONDE GOMEZ</v>
      </c>
      <c r="V236" s="1090"/>
      <c r="W236" s="33" t="str">
        <f>OBRA!N235</f>
        <v>GMJ 010C OP/2017</v>
      </c>
      <c r="X236" s="12"/>
      <c r="Y236" s="12"/>
      <c r="Z236" s="409" t="str">
        <f>OBRA!M235</f>
        <v>RAMO 33</v>
      </c>
      <c r="AA236" s="12"/>
      <c r="AB236" s="2" t="str">
        <f>OBRA!O235</f>
        <v>ADJUDICACIÓN DIRECTA</v>
      </c>
      <c r="AC236" s="3" t="str">
        <f>OBRA!P235</f>
        <v>REHABILITACIÓN DE RED DE DRENAJE EN CALLE INVIERNO DE NIÑOS HEROES A ZARAGOZA, EN LA CABECERA MUNICIPAL</v>
      </c>
      <c r="AD236" s="4">
        <f>OBRA!R235</f>
        <v>228407.58</v>
      </c>
      <c r="AE236" s="6">
        <f>OBRA!S235</f>
        <v>42857</v>
      </c>
      <c r="AF236" s="5">
        <f>OBRA!T235</f>
        <v>42859</v>
      </c>
      <c r="AG236" s="390">
        <f>OBRA!U235</f>
        <v>42890</v>
      </c>
      <c r="AH236" s="52"/>
      <c r="AI236" s="211"/>
      <c r="AJ236" s="242"/>
      <c r="AK236" s="242"/>
      <c r="AL236" s="394"/>
      <c r="AM236" s="519" t="str">
        <f>GRAL!B237</f>
        <v>2015-2018</v>
      </c>
    </row>
    <row r="237" spans="1:39" ht="30" hidden="1" customHeight="1" thickTop="1">
      <c r="A237" s="158">
        <f>OBRA!J236</f>
        <v>2017</v>
      </c>
      <c r="B237" s="1683"/>
      <c r="C237" s="395"/>
      <c r="D237" s="146"/>
      <c r="E237" s="148"/>
      <c r="F237" s="148"/>
      <c r="G237" s="398"/>
      <c r="H237" s="404" t="str">
        <f>OBRA!AF236</f>
        <v>-</v>
      </c>
      <c r="I237" s="400"/>
      <c r="J237" s="406" t="str">
        <f>OBRA!AG236</f>
        <v>-</v>
      </c>
      <c r="K237" s="401"/>
      <c r="L237" s="404" t="str">
        <f>OBRA!AH236</f>
        <v>-</v>
      </c>
      <c r="M237" s="402"/>
      <c r="N237" s="404" t="str">
        <f>OBRA!AI236</f>
        <v>-</v>
      </c>
      <c r="O237" s="144"/>
      <c r="P237" s="144"/>
      <c r="Q237" s="403"/>
      <c r="R237" s="407" t="str">
        <f>OBRA!AJ236</f>
        <v>-</v>
      </c>
      <c r="S237" s="385"/>
      <c r="T237" s="399" t="str">
        <f>OBRA!W236</f>
        <v>CONSTRUCCIONES VIKBRAK, S.A. DE C.V.</v>
      </c>
      <c r="U237" s="408" t="str">
        <f>OBRA!X236</f>
        <v>ARQ. JAIME CONDE GOMEZ</v>
      </c>
      <c r="V237" s="1090"/>
      <c r="W237" s="33" t="str">
        <f>OBRA!N236</f>
        <v>GMJ 011C OP/2017</v>
      </c>
      <c r="X237" s="12"/>
      <c r="Y237" s="12"/>
      <c r="Z237" s="409" t="str">
        <f>OBRA!M236</f>
        <v>RAMO 33</v>
      </c>
      <c r="AA237" s="12"/>
      <c r="AB237" s="2" t="str">
        <f>OBRA!O236</f>
        <v>ADJUDICACIÓN DIRECTA</v>
      </c>
      <c r="AC237" s="3" t="str">
        <f>OBRA!P236</f>
        <v>REHABILITACIÓN DE RED DE AGUA POTABLE EN CALLE INVIERNO, DE NIÑOS HEROES A ZARAGOZA, EN LA CABECERA MUNICIPAL DE JOCOTEPEC, JALISCO</v>
      </c>
      <c r="AD237" s="4">
        <f>OBRA!R236</f>
        <v>147033.21</v>
      </c>
      <c r="AE237" s="6">
        <f>OBRA!S236</f>
        <v>42858</v>
      </c>
      <c r="AF237" s="5">
        <f>OBRA!T236</f>
        <v>42870</v>
      </c>
      <c r="AG237" s="390">
        <f>OBRA!U236</f>
        <v>42886</v>
      </c>
      <c r="AH237" s="52"/>
      <c r="AI237" s="211"/>
      <c r="AJ237" s="242"/>
      <c r="AK237" s="242"/>
      <c r="AL237" s="394"/>
      <c r="AM237" s="519" t="str">
        <f>GRAL!B238</f>
        <v>2015-2018</v>
      </c>
    </row>
    <row r="238" spans="1:39" ht="30" hidden="1" customHeight="1" thickTop="1">
      <c r="A238" s="158">
        <f>OBRA!J237</f>
        <v>2017</v>
      </c>
      <c r="B238" s="1683"/>
      <c r="C238" s="395"/>
      <c r="D238" s="146"/>
      <c r="E238" s="148"/>
      <c r="F238" s="148"/>
      <c r="G238" s="398"/>
      <c r="H238" s="404" t="str">
        <f>OBRA!AF237</f>
        <v>-</v>
      </c>
      <c r="I238" s="400"/>
      <c r="J238" s="406" t="str">
        <f>OBRA!AG237</f>
        <v>-</v>
      </c>
      <c r="K238" s="401"/>
      <c r="L238" s="404" t="str">
        <f>OBRA!AH237</f>
        <v>-</v>
      </c>
      <c r="M238" s="402"/>
      <c r="N238" s="404" t="str">
        <f>OBRA!AI237</f>
        <v>-</v>
      </c>
      <c r="O238" s="144"/>
      <c r="P238" s="144"/>
      <c r="Q238" s="403"/>
      <c r="R238" s="407" t="str">
        <f>OBRA!AJ237</f>
        <v>-</v>
      </c>
      <c r="S238" s="201"/>
      <c r="T238" s="399" t="str">
        <f>OBRA!W237</f>
        <v>CONSTRUCCIONES VIKBRAK, S.A. DE C.V.</v>
      </c>
      <c r="U238" s="408" t="str">
        <f>OBRA!X237</f>
        <v>ARQ. JAIME CONDE GOMEZ</v>
      </c>
      <c r="V238" s="1090"/>
      <c r="W238" s="33" t="str">
        <f>OBRA!N237</f>
        <v>GMJ 012C OP/2017</v>
      </c>
      <c r="X238" s="12"/>
      <c r="Y238" s="12"/>
      <c r="Z238" s="409" t="str">
        <f>OBRA!M237</f>
        <v>RAMO 33</v>
      </c>
      <c r="AA238" s="12"/>
      <c r="AB238" s="2" t="str">
        <f>OBRA!O237</f>
        <v>ADJUDICACIÓN DIRECTA</v>
      </c>
      <c r="AC238" s="3" t="str">
        <f>OBRA!P237</f>
        <v>REHABILITACIÓN DE RED DE DRENAJE EN CALLE ZARAGOZA DE INVIERNO A OTOÑO, EN LA CABECERA MUNICIPAL DE JOCOTEPEC JALISCO</v>
      </c>
      <c r="AD238" s="4">
        <f>OBRA!R237</f>
        <v>81517.39</v>
      </c>
      <c r="AE238" s="6">
        <f>OBRA!S237</f>
        <v>42858</v>
      </c>
      <c r="AF238" s="5">
        <f>OBRA!T237</f>
        <v>42859</v>
      </c>
      <c r="AG238" s="390">
        <f>OBRA!U237</f>
        <v>42890</v>
      </c>
      <c r="AH238" s="52"/>
      <c r="AI238" s="211"/>
      <c r="AJ238" s="242"/>
      <c r="AK238" s="242"/>
      <c r="AL238" s="394"/>
      <c r="AM238" s="519" t="str">
        <f>GRAL!B239</f>
        <v>2015-2018</v>
      </c>
    </row>
    <row r="239" spans="1:39" ht="30" hidden="1" customHeight="1" thickTop="1">
      <c r="A239" s="158">
        <f>OBRA!J238</f>
        <v>2017</v>
      </c>
      <c r="B239" s="1683"/>
      <c r="C239" s="395"/>
      <c r="D239" s="146"/>
      <c r="E239" s="148"/>
      <c r="F239" s="148"/>
      <c r="G239" s="398"/>
      <c r="H239" s="404" t="str">
        <f>OBRA!AF238</f>
        <v>-</v>
      </c>
      <c r="I239" s="400"/>
      <c r="J239" s="406" t="str">
        <f>OBRA!AG238</f>
        <v>-</v>
      </c>
      <c r="K239" s="401"/>
      <c r="L239" s="404" t="str">
        <f>OBRA!AH238</f>
        <v>-</v>
      </c>
      <c r="M239" s="402"/>
      <c r="N239" s="404" t="str">
        <f>OBRA!AI238</f>
        <v>-</v>
      </c>
      <c r="O239" s="144"/>
      <c r="P239" s="144"/>
      <c r="Q239" s="403"/>
      <c r="R239" s="407" t="str">
        <f>OBRA!AJ238</f>
        <v>-</v>
      </c>
      <c r="S239" s="201"/>
      <c r="T239" s="399" t="str">
        <f>OBRA!W238</f>
        <v>CONSTRUCCIONES VIKBRAK, S.A. DE C.V.</v>
      </c>
      <c r="U239" s="408" t="str">
        <f>OBRA!X238</f>
        <v>ARQ. JAIME CONDE GOMEZ</v>
      </c>
      <c r="V239" s="1090"/>
      <c r="W239" s="33" t="str">
        <f>OBRA!N238</f>
        <v>GMJ 013C OP/2017</v>
      </c>
      <c r="X239" s="12"/>
      <c r="Y239" s="12"/>
      <c r="Z239" s="409" t="str">
        <f>OBRA!M238</f>
        <v>RAMO 33</v>
      </c>
      <c r="AA239" s="12"/>
      <c r="AB239" s="2" t="str">
        <f>OBRA!O238</f>
        <v>ADJUDICACIÓN DIRECTA</v>
      </c>
      <c r="AC239" s="3" t="str">
        <f>OBRA!P238</f>
        <v>REHABILITACIÓN DE RED DE AGUA POTABLE EN CALLE ZARAGOZA DE INVIERNO A OTOÑO, EN LA CABECERA MUNICIPAL DE JOCOTEPEC, JALISCO</v>
      </c>
      <c r="AD239" s="4">
        <f>OBRA!R238</f>
        <v>52148.39</v>
      </c>
      <c r="AE239" s="6">
        <f>OBRA!S238</f>
        <v>42858</v>
      </c>
      <c r="AF239" s="5">
        <f>OBRA!T238</f>
        <v>42870</v>
      </c>
      <c r="AG239" s="390">
        <f>OBRA!U238</f>
        <v>42886</v>
      </c>
      <c r="AH239" s="52"/>
      <c r="AI239" s="211"/>
      <c r="AJ239" s="242"/>
      <c r="AK239" s="242"/>
      <c r="AL239" s="394"/>
      <c r="AM239" s="519" t="str">
        <f>GRAL!B240</f>
        <v>2015-2018</v>
      </c>
    </row>
    <row r="240" spans="1:39" ht="30" hidden="1" customHeight="1" thickTop="1">
      <c r="A240" s="158">
        <f>OBRA!J239</f>
        <v>2017</v>
      </c>
      <c r="B240" s="1683"/>
      <c r="C240" s="395"/>
      <c r="D240" s="146"/>
      <c r="E240" s="148"/>
      <c r="F240" s="148"/>
      <c r="G240" s="398"/>
      <c r="H240" s="404" t="str">
        <f>OBRA!AF239</f>
        <v>-</v>
      </c>
      <c r="I240" s="400"/>
      <c r="J240" s="406" t="str">
        <f>OBRA!AG239</f>
        <v>-</v>
      </c>
      <c r="K240" s="401"/>
      <c r="L240" s="404" t="str">
        <f>OBRA!AH239</f>
        <v>-</v>
      </c>
      <c r="M240" s="402"/>
      <c r="N240" s="404" t="str">
        <f>OBRA!AI239</f>
        <v>-</v>
      </c>
      <c r="O240" s="144"/>
      <c r="P240" s="144"/>
      <c r="Q240" s="403"/>
      <c r="R240" s="407" t="str">
        <f>OBRA!AJ239</f>
        <v>-</v>
      </c>
      <c r="S240" s="201"/>
      <c r="T240" s="399" t="str">
        <f>OBRA!W239</f>
        <v>SERVICIOS ARQUITECTÓNICOS MOAPAL S.A. DE C.V.</v>
      </c>
      <c r="U240" s="408" t="str">
        <f>OBRA!X239</f>
        <v>ING. J. GUADALUPE IBARRA RAMIREZ</v>
      </c>
      <c r="V240" s="1090"/>
      <c r="W240" s="33" t="str">
        <f>OBRA!N239</f>
        <v>GMJ 014C OP/2017</v>
      </c>
      <c r="X240" s="12"/>
      <c r="Y240" s="12"/>
      <c r="Z240" s="409" t="str">
        <f>OBRA!M239</f>
        <v>RAMO 33</v>
      </c>
      <c r="AA240" s="12"/>
      <c r="AB240" s="2" t="str">
        <f>OBRA!O239</f>
        <v>ADJUDICACIÓN DIRECTA</v>
      </c>
      <c r="AC240" s="3" t="str">
        <f>OBRA!P239</f>
        <v>REHABILITACIÓN DE RED DE DRENAJE EN CALLE VENUSTIANO CARRANZA DE PRIMAVERA A ITURBIDE, EN LA CABECERA MUNICIPAL DE JOCOTEPEC, JALISCO</v>
      </c>
      <c r="AD240" s="4">
        <f>OBRA!R239</f>
        <v>206557.32</v>
      </c>
      <c r="AE240" s="6">
        <f>OBRA!S239</f>
        <v>42888</v>
      </c>
      <c r="AF240" s="5">
        <f>OBRA!T239</f>
        <v>42888</v>
      </c>
      <c r="AG240" s="390">
        <f>OBRA!U239</f>
        <v>42902</v>
      </c>
      <c r="AH240" s="52"/>
      <c r="AI240" s="211"/>
      <c r="AJ240" s="242"/>
      <c r="AK240" s="242"/>
      <c r="AL240" s="394"/>
      <c r="AM240" s="519" t="str">
        <f>GRAL!B241</f>
        <v>2015-2018</v>
      </c>
    </row>
    <row r="241" spans="1:39" ht="30" hidden="1" customHeight="1" thickTop="1">
      <c r="A241" s="158">
        <f>OBRA!J240</f>
        <v>2017</v>
      </c>
      <c r="B241" s="1683"/>
      <c r="C241" s="395"/>
      <c r="D241" s="146"/>
      <c r="E241" s="148"/>
      <c r="F241" s="148"/>
      <c r="G241" s="398"/>
      <c r="H241" s="404" t="str">
        <f>OBRA!AF240</f>
        <v>-</v>
      </c>
      <c r="I241" s="400"/>
      <c r="J241" s="406" t="str">
        <f>OBRA!AG240</f>
        <v>-</v>
      </c>
      <c r="K241" s="401"/>
      <c r="L241" s="404" t="str">
        <f>OBRA!AH240</f>
        <v>-</v>
      </c>
      <c r="M241" s="402"/>
      <c r="N241" s="404" t="str">
        <f>OBRA!AI240</f>
        <v>-</v>
      </c>
      <c r="O241" s="144"/>
      <c r="P241" s="144"/>
      <c r="Q241" s="403"/>
      <c r="R241" s="407" t="str">
        <f>OBRA!AJ240</f>
        <v>-</v>
      </c>
      <c r="S241" s="201"/>
      <c r="T241" s="399" t="str">
        <f>OBRA!W240</f>
        <v>SERVICIOS ARQUITECTÓNICOS MOAPAL S.A. DE C.V.</v>
      </c>
      <c r="U241" s="408" t="str">
        <f>OBRA!X240</f>
        <v>ING. J. GUADALUPE IBARRA RAMIREZ</v>
      </c>
      <c r="V241" s="1090"/>
      <c r="W241" s="33" t="str">
        <f>OBRA!N240</f>
        <v>GMJ 015C OP/2017</v>
      </c>
      <c r="X241" s="12"/>
      <c r="Y241" s="12"/>
      <c r="Z241" s="409" t="str">
        <f>OBRA!M240</f>
        <v>RAMO 33</v>
      </c>
      <c r="AA241" s="12"/>
      <c r="AB241" s="2" t="str">
        <f>OBRA!O240</f>
        <v>ADJUDICACIÓN DIRECTA</v>
      </c>
      <c r="AC241" s="3" t="str">
        <f>OBRA!P240</f>
        <v>REHABILITACIÓN DE RED DE AGUA POTABLE EN CALLE VENUSTIANO CARRANZA DE PRIMAVERA A ITURBIDE, EN LA CABECERA MUNICIPAL DE JOCOTEPEC, JALISCO</v>
      </c>
      <c r="AD241" s="4">
        <f>OBRA!R240</f>
        <v>125546.81</v>
      </c>
      <c r="AE241" s="6">
        <f>OBRA!S240</f>
        <v>42887</v>
      </c>
      <c r="AF241" s="5">
        <f>OBRA!T240</f>
        <v>42888</v>
      </c>
      <c r="AG241" s="390">
        <f>OBRA!U240</f>
        <v>42902</v>
      </c>
      <c r="AH241" s="52"/>
      <c r="AI241" s="211"/>
      <c r="AJ241" s="242"/>
      <c r="AK241" s="242"/>
      <c r="AL241" s="394"/>
      <c r="AM241" s="519" t="str">
        <f>GRAL!B242</f>
        <v>2015-2018</v>
      </c>
    </row>
    <row r="242" spans="1:39" ht="30" hidden="1" customHeight="1" thickTop="1">
      <c r="A242" s="158">
        <f>OBRA!J241</f>
        <v>2017</v>
      </c>
      <c r="B242" s="1683"/>
      <c r="C242" s="395"/>
      <c r="D242" s="146"/>
      <c r="E242" s="148"/>
      <c r="F242" s="148"/>
      <c r="G242" s="398"/>
      <c r="H242" s="404" t="str">
        <f>OBRA!AF241</f>
        <v>-</v>
      </c>
      <c r="I242" s="400"/>
      <c r="J242" s="406" t="str">
        <f>OBRA!AG241</f>
        <v>-</v>
      </c>
      <c r="K242" s="401"/>
      <c r="L242" s="404" t="str">
        <f>OBRA!AH241</f>
        <v>-</v>
      </c>
      <c r="M242" s="402"/>
      <c r="N242" s="404" t="str">
        <f>OBRA!AI241</f>
        <v>-</v>
      </c>
      <c r="O242" s="144"/>
      <c r="P242" s="144"/>
      <c r="Q242" s="403"/>
      <c r="R242" s="407" t="str">
        <f>OBRA!AJ241</f>
        <v>-</v>
      </c>
      <c r="S242" s="201"/>
      <c r="T242" s="399" t="str">
        <f>OBRA!W241</f>
        <v>ARGUELLES ARQUITECTOS S.A. DE C.V.</v>
      </c>
      <c r="U242" s="408" t="str">
        <f>OBRA!X241</f>
        <v>ARQ. JAIME CONDE GOMEZ</v>
      </c>
      <c r="V242" s="1090"/>
      <c r="W242" s="33" t="str">
        <f>OBRA!N241</f>
        <v>GMJ 016C OP/2017</v>
      </c>
      <c r="X242" s="12"/>
      <c r="Y242" s="12"/>
      <c r="Z242" s="409" t="str">
        <f>OBRA!M241</f>
        <v>CUENTA CORRIENTE</v>
      </c>
      <c r="AA242" s="12"/>
      <c r="AB242" s="2" t="str">
        <f>OBRA!O241</f>
        <v>ADJUDICACIÓN DIRECTA</v>
      </c>
      <c r="AC242" s="3" t="str">
        <f>OBRA!P241</f>
        <v>CONSTRUCCIÓN DE LA AMPLIACIÓN DEL PANTEON MUNICIPAL, PRIMERA ETAPA EN LA CABECERA MUNICIPAL DE JOCOTEPEC, JALISCO</v>
      </c>
      <c r="AD242" s="4">
        <f>OBRA!R241</f>
        <v>1570967.83</v>
      </c>
      <c r="AE242" s="6">
        <f>OBRA!S241</f>
        <v>42893</v>
      </c>
      <c r="AF242" s="5">
        <f>OBRA!T241</f>
        <v>42905</v>
      </c>
      <c r="AG242" s="390">
        <f>OBRA!U241</f>
        <v>43027</v>
      </c>
      <c r="AH242" s="52"/>
      <c r="AI242" s="211"/>
      <c r="AJ242" s="242"/>
      <c r="AK242" s="242"/>
      <c r="AL242" s="394"/>
      <c r="AM242" s="519" t="str">
        <f>GRAL!B243</f>
        <v>2015-2018</v>
      </c>
    </row>
    <row r="243" spans="1:39" ht="30" hidden="1" customHeight="1" thickTop="1">
      <c r="A243" s="158">
        <f>OBRA!J242</f>
        <v>2017</v>
      </c>
      <c r="B243" s="1683"/>
      <c r="C243" s="395"/>
      <c r="D243" s="146"/>
      <c r="E243" s="148"/>
      <c r="F243" s="148"/>
      <c r="G243" s="398"/>
      <c r="H243" s="404" t="str">
        <f>OBRA!AF242</f>
        <v>-</v>
      </c>
      <c r="I243" s="400"/>
      <c r="J243" s="406" t="str">
        <f>OBRA!AG242</f>
        <v>-</v>
      </c>
      <c r="K243" s="401"/>
      <c r="L243" s="404" t="str">
        <f>OBRA!AH242</f>
        <v>-</v>
      </c>
      <c r="M243" s="402"/>
      <c r="N243" s="404" t="str">
        <f>OBRA!AI242</f>
        <v>-</v>
      </c>
      <c r="O243" s="144"/>
      <c r="P243" s="144"/>
      <c r="Q243" s="403"/>
      <c r="R243" s="407" t="str">
        <f>OBRA!AJ242</f>
        <v>-</v>
      </c>
      <c r="S243" s="201"/>
      <c r="T243" s="399" t="str">
        <f>OBRA!W242</f>
        <v>ING. SERGIO CABRERA</v>
      </c>
      <c r="U243" s="408" t="str">
        <f>OBRA!X242</f>
        <v>ING. J. GUADALUPE IBARRA RAMIREZ</v>
      </c>
      <c r="V243" s="1090"/>
      <c r="W243" s="33" t="str">
        <f>OBRA!N242</f>
        <v>GMJ 017C OP/2017</v>
      </c>
      <c r="X243" s="12"/>
      <c r="Y243" s="12"/>
      <c r="Z243" s="409" t="str">
        <f>OBRA!M242</f>
        <v>RAMO 33</v>
      </c>
      <c r="AA243" s="12"/>
      <c r="AB243" s="2" t="str">
        <f>OBRA!O242</f>
        <v>ADJUDICACIÓN DIRECTA</v>
      </c>
      <c r="AC243" s="3" t="str">
        <f>OBRA!P242</f>
        <v>REHABILITACIÓN DE RED DE DRENAJE EN CALLE VERNANO DE ANDADOR JESÚS MORALES A 21 DE MARZO, EN LA CABECERA MUNICIPAL DE JOCOTEPEC, JALISCO</v>
      </c>
      <c r="AD243" s="4">
        <f>OBRA!R242</f>
        <v>143878.99</v>
      </c>
      <c r="AE243" s="6">
        <f>OBRA!S242</f>
        <v>42902</v>
      </c>
      <c r="AF243" s="5">
        <f>OBRA!T242</f>
        <v>42907</v>
      </c>
      <c r="AG243" s="390">
        <f>OBRA!U242</f>
        <v>42968</v>
      </c>
      <c r="AH243" s="52"/>
      <c r="AI243" s="211"/>
      <c r="AJ243" s="242"/>
      <c r="AK243" s="242"/>
      <c r="AL243" s="394"/>
      <c r="AM243" s="519" t="str">
        <f>GRAL!B244</f>
        <v>2015-2018</v>
      </c>
    </row>
    <row r="244" spans="1:39" ht="30" hidden="1" customHeight="1" thickTop="1">
      <c r="A244" s="158">
        <f>OBRA!J243</f>
        <v>2017</v>
      </c>
      <c r="B244" s="1683"/>
      <c r="C244" s="395"/>
      <c r="D244" s="146"/>
      <c r="E244" s="148"/>
      <c r="F244" s="148"/>
      <c r="G244" s="398"/>
      <c r="H244" s="404" t="str">
        <f>OBRA!AF243</f>
        <v>-</v>
      </c>
      <c r="I244" s="400"/>
      <c r="J244" s="406" t="str">
        <f>OBRA!AG243</f>
        <v>-</v>
      </c>
      <c r="K244" s="401"/>
      <c r="L244" s="404" t="str">
        <f>OBRA!AH243</f>
        <v>-</v>
      </c>
      <c r="M244" s="402"/>
      <c r="N244" s="404" t="str">
        <f>OBRA!AI243</f>
        <v>-</v>
      </c>
      <c r="O244" s="144"/>
      <c r="P244" s="144"/>
      <c r="Q244" s="403"/>
      <c r="R244" s="407" t="str">
        <f>OBRA!AJ243</f>
        <v>-</v>
      </c>
      <c r="S244" s="201"/>
      <c r="T244" s="399" t="str">
        <f>OBRA!W243</f>
        <v>ING. SERGIO CABRERA</v>
      </c>
      <c r="U244" s="408" t="str">
        <f>OBRA!X243</f>
        <v>ING. J. GUADALUPE IBARRA RAMIREZ</v>
      </c>
      <c r="V244" s="1090"/>
      <c r="W244" s="33" t="str">
        <f>OBRA!N243</f>
        <v>GMJ 018C OP/2017</v>
      </c>
      <c r="X244" s="12"/>
      <c r="Y244" s="12"/>
      <c r="Z244" s="409" t="str">
        <f>OBRA!M243</f>
        <v>RAMO 33</v>
      </c>
      <c r="AA244" s="12"/>
      <c r="AB244" s="2" t="str">
        <f>OBRA!O243</f>
        <v>ADJUDICACIÓN DIRECTA</v>
      </c>
      <c r="AC244" s="3" t="str">
        <f>OBRA!P243</f>
        <v>REHABILITACIÓN DE RED DE AGUA POTABLE EN CALLE VERANO DE ANDADOR JESÚS MORALES A 21 DE MARZO, EN LA CABECERA MUNICIPAL DE JOCOTEPEC, JALISCO</v>
      </c>
      <c r="AD244" s="4">
        <f>OBRA!R243</f>
        <v>88991.13</v>
      </c>
      <c r="AE244" s="6">
        <f>OBRA!S243</f>
        <v>42902</v>
      </c>
      <c r="AF244" s="5">
        <f>OBRA!T243</f>
        <v>42907</v>
      </c>
      <c r="AG244" s="390">
        <f>OBRA!U243</f>
        <v>42968</v>
      </c>
      <c r="AH244" s="52"/>
      <c r="AI244" s="211"/>
      <c r="AJ244" s="242"/>
      <c r="AK244" s="242"/>
      <c r="AL244" s="394"/>
      <c r="AM244" s="519" t="str">
        <f>GRAL!B245</f>
        <v>2015-2018</v>
      </c>
    </row>
    <row r="245" spans="1:39" ht="30" hidden="1" customHeight="1" thickTop="1">
      <c r="A245" s="158">
        <f>OBRA!J244</f>
        <v>2017</v>
      </c>
      <c r="B245" s="1683"/>
      <c r="C245" s="395"/>
      <c r="D245" s="146"/>
      <c r="E245" s="148"/>
      <c r="F245" s="148"/>
      <c r="G245" s="398"/>
      <c r="H245" s="404" t="str">
        <f>OBRA!AF244</f>
        <v>-</v>
      </c>
      <c r="I245" s="400"/>
      <c r="J245" s="406" t="str">
        <f>OBRA!AG244</f>
        <v>-</v>
      </c>
      <c r="K245" s="401"/>
      <c r="L245" s="404" t="str">
        <f>OBRA!AH244</f>
        <v>-</v>
      </c>
      <c r="M245" s="402"/>
      <c r="N245" s="404" t="str">
        <f>OBRA!AI244</f>
        <v>-</v>
      </c>
      <c r="O245" s="144"/>
      <c r="P245" s="144"/>
      <c r="Q245" s="403"/>
      <c r="R245" s="407" t="str">
        <f>OBRA!AJ244</f>
        <v>-</v>
      </c>
      <c r="S245" s="201"/>
      <c r="T245" s="399" t="str">
        <f>OBRA!W244</f>
        <v>ING. SERGIO CABRERA</v>
      </c>
      <c r="U245" s="408" t="str">
        <f>OBRA!X244</f>
        <v>ING. J. GUADALUPE IBARRA RAMIREZ</v>
      </c>
      <c r="V245" s="1090"/>
      <c r="W245" s="33" t="str">
        <f>OBRA!N244</f>
        <v>GMJ 019C OP/2017</v>
      </c>
      <c r="X245" s="12"/>
      <c r="Y245" s="12"/>
      <c r="Z245" s="409" t="str">
        <f>OBRA!M244</f>
        <v>RAMO 33</v>
      </c>
      <c r="AA245" s="12"/>
      <c r="AB245" s="2" t="str">
        <f>OBRA!O244</f>
        <v>ADJUDICACIÓN DIRECTA</v>
      </c>
      <c r="AC245" s="3" t="str">
        <f>OBRA!P244</f>
        <v>REHABILITACIÓN DE RED DE DRENAJE EN CALLE VERANO, DE 21 DE MARZO A 20 DE NOVIEMBRE, EN LA CABECERA MUNICIPAL DE JOCOTEPEC, JALISCO</v>
      </c>
      <c r="AD245" s="4">
        <f>OBRA!R244</f>
        <v>120964.57</v>
      </c>
      <c r="AE245" s="6">
        <f>OBRA!S244</f>
        <v>42902</v>
      </c>
      <c r="AF245" s="5">
        <f>OBRA!T244</f>
        <v>42907</v>
      </c>
      <c r="AG245" s="390">
        <f>OBRA!U244</f>
        <v>42968</v>
      </c>
      <c r="AH245" s="52"/>
      <c r="AI245" s="211"/>
      <c r="AJ245" s="242"/>
      <c r="AK245" s="242"/>
      <c r="AL245" s="394"/>
      <c r="AM245" s="519" t="str">
        <f>GRAL!B246</f>
        <v>2015-2018</v>
      </c>
    </row>
    <row r="246" spans="1:39" ht="30" hidden="1" customHeight="1" thickTop="1">
      <c r="A246" s="158">
        <f>OBRA!J245</f>
        <v>2017</v>
      </c>
      <c r="B246" s="1683"/>
      <c r="C246" s="395"/>
      <c r="D246" s="146"/>
      <c r="E246" s="148"/>
      <c r="F246" s="148"/>
      <c r="G246" s="398"/>
      <c r="H246" s="404" t="str">
        <f>OBRA!AF245</f>
        <v>-</v>
      </c>
      <c r="I246" s="400"/>
      <c r="J246" s="406" t="str">
        <f>OBRA!AG245</f>
        <v>-</v>
      </c>
      <c r="K246" s="401"/>
      <c r="L246" s="404" t="str">
        <f>OBRA!AH245</f>
        <v>-</v>
      </c>
      <c r="M246" s="402"/>
      <c r="N246" s="404" t="str">
        <f>OBRA!AI245</f>
        <v>-</v>
      </c>
      <c r="O246" s="144"/>
      <c r="P246" s="144"/>
      <c r="Q246" s="403"/>
      <c r="R246" s="407" t="str">
        <f>OBRA!AJ245</f>
        <v>-</v>
      </c>
      <c r="S246" s="201"/>
      <c r="T246" s="399" t="str">
        <f>OBRA!W245</f>
        <v>ING. SERGIO CABRERA</v>
      </c>
      <c r="U246" s="408" t="str">
        <f>OBRA!X245</f>
        <v>ING. J. GUADALUPE IBARRA RAMIREZ</v>
      </c>
      <c r="V246" s="1090"/>
      <c r="W246" s="33" t="str">
        <f>OBRA!N245</f>
        <v>GMJ 020C OP/2017</v>
      </c>
      <c r="X246" s="12"/>
      <c r="Y246" s="12"/>
      <c r="Z246" s="409" t="str">
        <f>OBRA!M245</f>
        <v>RAMO 33</v>
      </c>
      <c r="AA246" s="12"/>
      <c r="AB246" s="2" t="str">
        <f>OBRA!O245</f>
        <v>ADJUDICACIÓN DIRECTA</v>
      </c>
      <c r="AC246" s="3" t="str">
        <f>OBRA!P245</f>
        <v>REHABILITACIÓN DE RED DE AGUA POTABLE EN CALLE VERANO, DE 21 DE MARZO A 20 DE NOVIEMBRE, EN LA CABECERA MUNICIPAL DE JOCOTEPEC, JALISCO</v>
      </c>
      <c r="AD246" s="4">
        <f>OBRA!R245</f>
        <v>77992.240000000005</v>
      </c>
      <c r="AE246" s="6">
        <f>OBRA!S245</f>
        <v>42902</v>
      </c>
      <c r="AF246" s="5">
        <f>OBRA!T245</f>
        <v>42907</v>
      </c>
      <c r="AG246" s="390">
        <f>OBRA!U245</f>
        <v>42968</v>
      </c>
      <c r="AH246" s="52"/>
      <c r="AI246" s="211"/>
      <c r="AJ246" s="242"/>
      <c r="AK246" s="242"/>
      <c r="AL246" s="394"/>
      <c r="AM246" s="519" t="str">
        <f>GRAL!B247</f>
        <v>2015-2018</v>
      </c>
    </row>
    <row r="247" spans="1:39" ht="30" hidden="1" customHeight="1" thickTop="1">
      <c r="A247" s="158">
        <f>OBRA!J246</f>
        <v>2017</v>
      </c>
      <c r="B247" s="1683"/>
      <c r="C247" s="395"/>
      <c r="D247" s="146"/>
      <c r="E247" s="148"/>
      <c r="F247" s="148"/>
      <c r="G247" s="398"/>
      <c r="H247" s="404" t="str">
        <f>OBRA!AF246</f>
        <v>-</v>
      </c>
      <c r="I247" s="400"/>
      <c r="J247" s="406" t="str">
        <f>OBRA!AG246</f>
        <v>-</v>
      </c>
      <c r="K247" s="401"/>
      <c r="L247" s="404" t="str">
        <f>OBRA!AH246</f>
        <v>-</v>
      </c>
      <c r="M247" s="402"/>
      <c r="N247" s="404" t="str">
        <f>OBRA!AI246</f>
        <v>-</v>
      </c>
      <c r="O247" s="144"/>
      <c r="P247" s="144"/>
      <c r="Q247" s="403"/>
      <c r="R247" s="407" t="str">
        <f>OBRA!AJ246</f>
        <v>-</v>
      </c>
      <c r="S247" s="201"/>
      <c r="T247" s="399" t="str">
        <f>OBRA!W246</f>
        <v>GILCO INGENIERIA S.A. DE C.V.</v>
      </c>
      <c r="U247" s="408" t="str">
        <f>OBRA!X246</f>
        <v>ING. J. GUADALUPE IBARRA RAMIREZ</v>
      </c>
      <c r="V247" s="1090"/>
      <c r="W247" s="33" t="str">
        <f>OBRA!N246</f>
        <v>GMJ 021C OP/2017</v>
      </c>
      <c r="X247" s="12"/>
      <c r="Y247" s="12"/>
      <c r="Z247" s="409" t="str">
        <f>OBRA!M246</f>
        <v>RAMO 33</v>
      </c>
      <c r="AA247" s="12"/>
      <c r="AB247" s="2" t="str">
        <f>OBRA!O246</f>
        <v>ADJUDICACIÓN DIRECTA</v>
      </c>
      <c r="AC247" s="3" t="str">
        <f>OBRA!P246</f>
        <v>REHABILITACIÓN DE RED DE DRENAJE EN CALLE VERANO DE 20 DE NOVIEMBRE A VENUSTIANO CARRANZA EN LA CABECERA MUNICIPAL, DE JOCOTEPEC, JALISCO</v>
      </c>
      <c r="AD247" s="4">
        <f>OBRA!R246</f>
        <v>125684.46</v>
      </c>
      <c r="AE247" s="6">
        <f>OBRA!S246</f>
        <v>42944</v>
      </c>
      <c r="AF247" s="5">
        <f>OBRA!T246</f>
        <v>42948</v>
      </c>
      <c r="AG247" s="390">
        <f>OBRA!U246</f>
        <v>42978</v>
      </c>
      <c r="AH247" s="52"/>
      <c r="AI247" s="211"/>
      <c r="AJ247" s="242"/>
      <c r="AK247" s="242"/>
      <c r="AL247" s="394"/>
      <c r="AM247" s="519" t="str">
        <f>GRAL!B248</f>
        <v>2015-2018</v>
      </c>
    </row>
    <row r="248" spans="1:39" ht="30" hidden="1" customHeight="1" thickTop="1">
      <c r="A248" s="158">
        <f>OBRA!J247</f>
        <v>2017</v>
      </c>
      <c r="B248" s="1683"/>
      <c r="C248" s="395"/>
      <c r="D248" s="146"/>
      <c r="E248" s="148"/>
      <c r="F248" s="148"/>
      <c r="G248" s="398"/>
      <c r="H248" s="404" t="str">
        <f>OBRA!AF247</f>
        <v>-</v>
      </c>
      <c r="I248" s="400"/>
      <c r="J248" s="406" t="str">
        <f>OBRA!AG247</f>
        <v>-</v>
      </c>
      <c r="K248" s="401"/>
      <c r="L248" s="404" t="str">
        <f>OBRA!AH247</f>
        <v>-</v>
      </c>
      <c r="M248" s="402"/>
      <c r="N248" s="404" t="str">
        <f>OBRA!AI247</f>
        <v>-</v>
      </c>
      <c r="O248" s="144"/>
      <c r="P248" s="144"/>
      <c r="Q248" s="403"/>
      <c r="R248" s="407" t="str">
        <f>OBRA!AJ247</f>
        <v>-</v>
      </c>
      <c r="S248" s="201"/>
      <c r="T248" s="399" t="str">
        <f>OBRA!W247</f>
        <v>GILCO INGENIERIA S.A. DE C.V.</v>
      </c>
      <c r="U248" s="408" t="str">
        <f>OBRA!X247</f>
        <v>ING. J. GUADALUPE IBARRA RAMIREZ</v>
      </c>
      <c r="V248" s="1090"/>
      <c r="W248" s="33" t="str">
        <f>OBRA!N247</f>
        <v>GMJ 022C OP/2017</v>
      </c>
      <c r="X248" s="12"/>
      <c r="Y248" s="12"/>
      <c r="Z248" s="409" t="str">
        <f>OBRA!M247</f>
        <v>RAMO 33</v>
      </c>
      <c r="AA248" s="12"/>
      <c r="AB248" s="2" t="str">
        <f>OBRA!O247</f>
        <v>ADJUDICACIÓN DIRECTA</v>
      </c>
      <c r="AC248" s="3" t="str">
        <f>OBRA!P247</f>
        <v>REHABILITACIÓN DE RED DE AGUA POTABLE EN CALLE VERANO DE 20 DE NOVIEMBRE A VENUSTIANO CARRANZA, EN LA CABECERA MUNICIPAL, DE JOCOTEPEC, JALISCO</v>
      </c>
      <c r="AD248" s="4">
        <f>OBRA!R247</f>
        <v>79897.39</v>
      </c>
      <c r="AE248" s="6">
        <f>OBRA!S247</f>
        <v>42944</v>
      </c>
      <c r="AF248" s="5">
        <f>OBRA!T247</f>
        <v>42948</v>
      </c>
      <c r="AG248" s="390">
        <f>OBRA!U247</f>
        <v>42978</v>
      </c>
      <c r="AH248" s="52"/>
      <c r="AI248" s="211"/>
      <c r="AJ248" s="242"/>
      <c r="AK248" s="242"/>
      <c r="AL248" s="394"/>
      <c r="AM248" s="519" t="str">
        <f>GRAL!B249</f>
        <v>2015-2018</v>
      </c>
    </row>
    <row r="249" spans="1:39" ht="30" hidden="1" customHeight="1" thickTop="1">
      <c r="A249" s="158">
        <f>OBRA!J248</f>
        <v>2017</v>
      </c>
      <c r="B249" s="1683"/>
      <c r="C249" s="395"/>
      <c r="D249" s="146"/>
      <c r="E249" s="148"/>
      <c r="F249" s="148"/>
      <c r="G249" s="398"/>
      <c r="H249" s="404" t="str">
        <f>OBRA!AF248</f>
        <v>-</v>
      </c>
      <c r="I249" s="400"/>
      <c r="J249" s="406" t="str">
        <f>OBRA!AG248</f>
        <v>-</v>
      </c>
      <c r="K249" s="401"/>
      <c r="L249" s="404" t="str">
        <f>OBRA!AH248</f>
        <v>-</v>
      </c>
      <c r="M249" s="402"/>
      <c r="N249" s="404" t="str">
        <f>OBRA!AI248</f>
        <v>-</v>
      </c>
      <c r="O249" s="144"/>
      <c r="P249" s="144"/>
      <c r="Q249" s="403"/>
      <c r="R249" s="407" t="str">
        <f>OBRA!AJ248</f>
        <v>-</v>
      </c>
      <c r="S249" s="201"/>
      <c r="T249" s="399" t="str">
        <f>OBRA!W248</f>
        <v>GILCO INGENIERIA S.A. DE C.V.</v>
      </c>
      <c r="U249" s="408" t="str">
        <f>OBRA!X248</f>
        <v>ING. J. GUADALUPE IBARRA RAMIREZ</v>
      </c>
      <c r="V249" s="1090"/>
      <c r="W249" s="33" t="str">
        <f>OBRA!N248</f>
        <v>GMJ 023C OP/2017</v>
      </c>
      <c r="X249" s="12"/>
      <c r="Y249" s="12"/>
      <c r="Z249" s="409" t="str">
        <f>OBRA!M248</f>
        <v>RAMO 33</v>
      </c>
      <c r="AA249" s="12"/>
      <c r="AB249" s="2" t="str">
        <f>OBRA!O248</f>
        <v>ADJUDICACIÓN DIRECTA</v>
      </c>
      <c r="AC249" s="3" t="str">
        <f>OBRA!P248</f>
        <v>REHABILITACIÓN DE RED DE DRENAJE EN CALLE VERANO DE VENUSTIANO CARRANZA A FRANCISCO VILLA, EN LA CABECERA MUNICIPAL, DE JOCOTEPEC, JALISCO</v>
      </c>
      <c r="AD249" s="4">
        <f>OBRA!R248</f>
        <v>119278.43</v>
      </c>
      <c r="AE249" s="6">
        <f>OBRA!S248</f>
        <v>42957</v>
      </c>
      <c r="AF249" s="5">
        <f>OBRA!T248</f>
        <v>42961</v>
      </c>
      <c r="AG249" s="390">
        <f>OBRA!U248</f>
        <v>42994</v>
      </c>
      <c r="AH249" s="52"/>
      <c r="AI249" s="211"/>
      <c r="AJ249" s="242"/>
      <c r="AK249" s="242"/>
      <c r="AL249" s="394"/>
      <c r="AM249" s="519" t="str">
        <f>GRAL!B250</f>
        <v>2015-2018</v>
      </c>
    </row>
    <row r="250" spans="1:39" ht="30" hidden="1" customHeight="1" thickTop="1">
      <c r="A250" s="158">
        <f>OBRA!J249</f>
        <v>2017</v>
      </c>
      <c r="B250" s="1683"/>
      <c r="C250" s="395"/>
      <c r="D250" s="146"/>
      <c r="E250" s="148"/>
      <c r="F250" s="148"/>
      <c r="G250" s="398"/>
      <c r="H250" s="404" t="str">
        <f>OBRA!AF249</f>
        <v>-</v>
      </c>
      <c r="I250" s="400"/>
      <c r="J250" s="406" t="str">
        <f>OBRA!AG249</f>
        <v>-</v>
      </c>
      <c r="K250" s="401"/>
      <c r="L250" s="404" t="str">
        <f>OBRA!AH249</f>
        <v>-</v>
      </c>
      <c r="M250" s="402"/>
      <c r="N250" s="404" t="str">
        <f>OBRA!AI249</f>
        <v>-</v>
      </c>
      <c r="O250" s="144"/>
      <c r="P250" s="144"/>
      <c r="Q250" s="403"/>
      <c r="R250" s="407" t="str">
        <f>OBRA!AJ249</f>
        <v>-</v>
      </c>
      <c r="S250" s="201"/>
      <c r="T250" s="399" t="str">
        <f>OBRA!W249</f>
        <v>GILCO INGENIERIA S.A. DE C.V.</v>
      </c>
      <c r="U250" s="408" t="str">
        <f>OBRA!X249</f>
        <v>ING. J. GUADALUPE IBARRA RAMIREZ</v>
      </c>
      <c r="V250" s="1090"/>
      <c r="W250" s="33" t="str">
        <f>OBRA!N249</f>
        <v>GMJ 024C OP/2017</v>
      </c>
      <c r="X250" s="12"/>
      <c r="Y250" s="12"/>
      <c r="Z250" s="409" t="str">
        <f>OBRA!M249</f>
        <v>RAMO 33</v>
      </c>
      <c r="AA250" s="12"/>
      <c r="AB250" s="2" t="str">
        <f>OBRA!O249</f>
        <v>ADJUDICACIÓN DIRECTA</v>
      </c>
      <c r="AC250" s="3" t="str">
        <f>OBRA!P249</f>
        <v>REHABILITACIÓN DE RED DE AGUA POTABLE EN CALLE VERANO DE VENUSTIANO CARRANZA A FRANCISCO VILLA, EN LA CABECERA MUNICIPAL, DE JOCOTEPEC, JALISCO</v>
      </c>
      <c r="AD250" s="4">
        <f>OBRA!R249</f>
        <v>77217.95</v>
      </c>
      <c r="AE250" s="6">
        <f>OBRA!S249</f>
        <v>42957</v>
      </c>
      <c r="AF250" s="5">
        <f>OBRA!T249</f>
        <v>42961</v>
      </c>
      <c r="AG250" s="390">
        <f>OBRA!U249</f>
        <v>42994</v>
      </c>
      <c r="AH250" s="52"/>
      <c r="AI250" s="211"/>
      <c r="AJ250" s="242"/>
      <c r="AK250" s="242"/>
      <c r="AL250" s="394"/>
      <c r="AM250" s="519" t="str">
        <f>GRAL!B251</f>
        <v>2015-2018</v>
      </c>
    </row>
    <row r="251" spans="1:39" ht="30" hidden="1" customHeight="1" thickTop="1">
      <c r="A251" s="158">
        <f>OBRA!J250</f>
        <v>2017</v>
      </c>
      <c r="B251" s="1683"/>
      <c r="C251" s="395"/>
      <c r="D251" s="146"/>
      <c r="E251" s="148"/>
      <c r="F251" s="148"/>
      <c r="G251" s="398"/>
      <c r="H251" s="404" t="str">
        <f>OBRA!AF250</f>
        <v>-</v>
      </c>
      <c r="I251" s="400"/>
      <c r="J251" s="406" t="str">
        <f>OBRA!AG250</f>
        <v>-</v>
      </c>
      <c r="K251" s="401"/>
      <c r="L251" s="404" t="str">
        <f>OBRA!AH250</f>
        <v>-</v>
      </c>
      <c r="M251" s="402"/>
      <c r="N251" s="404" t="str">
        <f>OBRA!AI250</f>
        <v>-</v>
      </c>
      <c r="O251" s="144"/>
      <c r="P251" s="144"/>
      <c r="Q251" s="403"/>
      <c r="R251" s="407" t="str">
        <f>OBRA!AJ250</f>
        <v>-</v>
      </c>
      <c r="S251" s="201"/>
      <c r="T251" s="399" t="str">
        <f>OBRA!W250</f>
        <v>GILCO INGENIERIA S.A. DE C.V.</v>
      </c>
      <c r="U251" s="408" t="str">
        <f>OBRA!X250</f>
        <v>ING. J. GUADALUPE IBARRA RAMIREZ</v>
      </c>
      <c r="V251" s="1090"/>
      <c r="W251" s="33" t="str">
        <f>OBRA!N250</f>
        <v>GMJ 025C OP/2017</v>
      </c>
      <c r="X251" s="12"/>
      <c r="Y251" s="12"/>
      <c r="Z251" s="409" t="str">
        <f>OBRA!M250</f>
        <v>RAMO 33</v>
      </c>
      <c r="AA251" s="12"/>
      <c r="AB251" s="2" t="str">
        <f>OBRA!O250</f>
        <v>ADJUDICACIÓN DIRECTA</v>
      </c>
      <c r="AC251" s="3" t="str">
        <f>OBRA!P250</f>
        <v>REHABILITACIÓN DE RED DE DRENAJE EN CALLE VERANO DE FRANCISCO VILLA A LAZARO CARDENAS, EN LA CABECERA MUNICIPAL, DE JOCOTEPEC, JALISCO</v>
      </c>
      <c r="AD251" s="4">
        <f>OBRA!R250</f>
        <v>101100.81</v>
      </c>
      <c r="AE251" s="6">
        <f>OBRA!S250</f>
        <v>42977</v>
      </c>
      <c r="AF251" s="5">
        <f>OBRA!T250</f>
        <v>42982</v>
      </c>
      <c r="AG251" s="390">
        <f>OBRA!U250</f>
        <v>43008</v>
      </c>
      <c r="AH251" s="52"/>
      <c r="AI251" s="211"/>
      <c r="AJ251" s="242"/>
      <c r="AK251" s="242"/>
      <c r="AL251" s="394"/>
      <c r="AM251" s="519" t="str">
        <f>GRAL!B252</f>
        <v>2015-2018</v>
      </c>
    </row>
    <row r="252" spans="1:39" ht="30" hidden="1" customHeight="1" thickTop="1">
      <c r="A252" s="158">
        <f>OBRA!J251</f>
        <v>2017</v>
      </c>
      <c r="B252" s="1683"/>
      <c r="C252" s="395"/>
      <c r="D252" s="146"/>
      <c r="E252" s="148"/>
      <c r="F252" s="148"/>
      <c r="G252" s="398"/>
      <c r="H252" s="404" t="str">
        <f>OBRA!AF251</f>
        <v>-</v>
      </c>
      <c r="I252" s="400"/>
      <c r="J252" s="406" t="str">
        <f>OBRA!AG251</f>
        <v>-</v>
      </c>
      <c r="K252" s="401"/>
      <c r="L252" s="404" t="str">
        <f>OBRA!AH251</f>
        <v>-</v>
      </c>
      <c r="M252" s="402"/>
      <c r="N252" s="404" t="str">
        <f>OBRA!AI251</f>
        <v>-</v>
      </c>
      <c r="O252" s="144"/>
      <c r="P252" s="144"/>
      <c r="Q252" s="403"/>
      <c r="R252" s="407" t="str">
        <f>OBRA!AJ251</f>
        <v>-</v>
      </c>
      <c r="S252" s="201"/>
      <c r="T252" s="399" t="str">
        <f>OBRA!W251</f>
        <v>GILCO INGENIERIA S.A. DE C.V.</v>
      </c>
      <c r="U252" s="408" t="str">
        <f>OBRA!X251</f>
        <v>ING. J. GUADALUPE IBARRA RAMIREZ</v>
      </c>
      <c r="V252" s="1090"/>
      <c r="W252" s="33" t="str">
        <f>OBRA!N251</f>
        <v>GMJ 026C OP/2017</v>
      </c>
      <c r="X252" s="12"/>
      <c r="Y252" s="12"/>
      <c r="Z252" s="409" t="str">
        <f>OBRA!M251</f>
        <v>RAMO 33</v>
      </c>
      <c r="AA252" s="12"/>
      <c r="AB252" s="2" t="str">
        <f>OBRA!O251</f>
        <v>ADJUDICACIÓN DIRECTA</v>
      </c>
      <c r="AC252" s="3" t="str">
        <f>OBRA!P251</f>
        <v>REHABILITACIÓN DE RED DE AGUA POTABLE EN CALLE VERANO DE FRANCISCO VILLA  A LAZARO CARDENAS, EN LA CABECERA MUNICIPAL, DE JOCOTEPEC, JALISCO</v>
      </c>
      <c r="AD252" s="4">
        <f>OBRA!R251</f>
        <v>62348.13</v>
      </c>
      <c r="AE252" s="6">
        <f>OBRA!S251</f>
        <v>42977</v>
      </c>
      <c r="AF252" s="5">
        <f>OBRA!T251</f>
        <v>42982</v>
      </c>
      <c r="AG252" s="390">
        <f>OBRA!U251</f>
        <v>43008</v>
      </c>
      <c r="AH252" s="52"/>
      <c r="AI252" s="211"/>
      <c r="AJ252" s="242"/>
      <c r="AK252" s="242"/>
      <c r="AL252" s="394"/>
      <c r="AM252" s="519" t="str">
        <f>GRAL!B253</f>
        <v>2015-2018</v>
      </c>
    </row>
    <row r="253" spans="1:39" ht="30" hidden="1" customHeight="1" thickTop="1">
      <c r="A253" s="158">
        <f>OBRA!J252</f>
        <v>2017</v>
      </c>
      <c r="B253" s="1683"/>
      <c r="C253" s="395"/>
      <c r="D253" s="146"/>
      <c r="E253" s="148"/>
      <c r="F253" s="148"/>
      <c r="G253" s="398"/>
      <c r="H253" s="404" t="str">
        <f>OBRA!AF252</f>
        <v>-</v>
      </c>
      <c r="I253" s="400"/>
      <c r="J253" s="406" t="str">
        <f>OBRA!AG252</f>
        <v>-</v>
      </c>
      <c r="K253" s="401"/>
      <c r="L253" s="404" t="str">
        <f>OBRA!AH252</f>
        <v>-</v>
      </c>
      <c r="M253" s="402"/>
      <c r="N253" s="404" t="str">
        <f>OBRA!AI252</f>
        <v>-</v>
      </c>
      <c r="O253" s="144"/>
      <c r="P253" s="144"/>
      <c r="Q253" s="403"/>
      <c r="R253" s="407" t="str">
        <f>OBRA!AJ252</f>
        <v>-</v>
      </c>
      <c r="S253" s="201"/>
      <c r="T253" s="399" t="str">
        <f>OBRA!W252</f>
        <v>SERVICIOS ARQUITECTÓNICOS MOAPAL S.A. DE C.V.</v>
      </c>
      <c r="U253" s="408" t="str">
        <f>OBRA!X252</f>
        <v>ING. J. GUADALUPE IBARRA RAMIREZ</v>
      </c>
      <c r="V253" s="1090"/>
      <c r="W253" s="33" t="str">
        <f>OBRA!N252</f>
        <v>GMJ 027C OP/2017</v>
      </c>
      <c r="X253" s="12"/>
      <c r="Y253" s="12"/>
      <c r="Z253" s="409" t="str">
        <f>OBRA!M252</f>
        <v>Fondo de proyectos para el Desarrollo Regional</v>
      </c>
      <c r="AA253" s="12"/>
      <c r="AB253" s="2" t="str">
        <f>OBRA!O252</f>
        <v>ADJUDICACIÓN DIRECTA</v>
      </c>
      <c r="AC253" s="3" t="str">
        <f>OBRA!P252</f>
        <v>PROYECTO CONSTRUCCIÓN DE EMPEDRADO AHOGADO EN CEMENTO CON HUELLAS DE CONCRETO HIDRÁULICO Y CONSTRUCCIÓN DE  BANQUETAS  EN LA CALLE VENUSTIANO CARRANZA, DE ITURBIDE A PRIMAVERA, EN LA CABECERA MUNICIPAL DE JOCOTEPEC, JALISCO</v>
      </c>
      <c r="AD253" s="4">
        <f>OBRA!R252</f>
        <v>527048.46</v>
      </c>
      <c r="AE253" s="6">
        <f>OBRA!S252</f>
        <v>42895</v>
      </c>
      <c r="AF253" s="5">
        <f>OBRA!T252</f>
        <v>42901</v>
      </c>
      <c r="AG253" s="390">
        <f>OBRA!U252</f>
        <v>42922</v>
      </c>
      <c r="AH253" s="52"/>
      <c r="AI253" s="211"/>
      <c r="AJ253" s="242"/>
      <c r="AK253" s="242"/>
      <c r="AL253" s="394"/>
      <c r="AM253" s="519" t="str">
        <f>GRAL!B254</f>
        <v>2015-2018</v>
      </c>
    </row>
    <row r="254" spans="1:39" ht="30" hidden="1" customHeight="1" thickTop="1">
      <c r="A254" s="158">
        <f>OBRA!J253</f>
        <v>2017</v>
      </c>
      <c r="B254" s="1683"/>
      <c r="C254" s="395"/>
      <c r="D254" s="146"/>
      <c r="E254" s="148"/>
      <c r="F254" s="148"/>
      <c r="G254" s="398"/>
      <c r="H254" s="404" t="str">
        <f>OBRA!AF253</f>
        <v>-</v>
      </c>
      <c r="I254" s="400"/>
      <c r="J254" s="406" t="str">
        <f>OBRA!AG253</f>
        <v>-</v>
      </c>
      <c r="K254" s="401"/>
      <c r="L254" s="404" t="str">
        <f>OBRA!AH253</f>
        <v>-</v>
      </c>
      <c r="M254" s="402"/>
      <c r="N254" s="404" t="str">
        <f>OBRA!AI253</f>
        <v>-</v>
      </c>
      <c r="O254" s="144"/>
      <c r="P254" s="144"/>
      <c r="Q254" s="403"/>
      <c r="R254" s="407" t="str">
        <f>OBRA!AJ253</f>
        <v>-</v>
      </c>
      <c r="S254" s="201"/>
      <c r="T254" s="399" t="str">
        <f>OBRA!W253</f>
        <v>ING. SERGIO CABRERA</v>
      </c>
      <c r="U254" s="408" t="str">
        <f>OBRA!X253</f>
        <v>ING. J. GUADALUPE IBARRA RAMIREZ</v>
      </c>
      <c r="V254" s="1090"/>
      <c r="W254" s="33" t="str">
        <f>OBRA!N253</f>
        <v>GMJ 028C OP/2017</v>
      </c>
      <c r="X254" s="12"/>
      <c r="Y254" s="12"/>
      <c r="Z254" s="409" t="str">
        <f>OBRA!M253</f>
        <v>Fondo de proyectos para el Desarrollo Regional</v>
      </c>
      <c r="AA254" s="12"/>
      <c r="AB254" s="2" t="str">
        <f>OBRA!O253</f>
        <v>ADJUDICACIÓN DIRECTA</v>
      </c>
      <c r="AC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OBRA!R253</f>
        <v>887214.12</v>
      </c>
      <c r="AE254" s="6">
        <f>OBRA!S253</f>
        <v>42951</v>
      </c>
      <c r="AF254" s="5">
        <f>OBRA!T253</f>
        <v>42955</v>
      </c>
      <c r="AG254" s="390">
        <f>OBRA!U253</f>
        <v>42986</v>
      </c>
      <c r="AH254" s="52"/>
      <c r="AI254" s="211"/>
      <c r="AJ254" s="242"/>
      <c r="AK254" s="242"/>
      <c r="AL254" s="394"/>
      <c r="AM254" s="519" t="str">
        <f>GRAL!B255</f>
        <v>2015-2018</v>
      </c>
    </row>
    <row r="255" spans="1:39" ht="30" hidden="1" customHeight="1" thickTop="1">
      <c r="A255" s="158">
        <f>OBRA!J254</f>
        <v>2017</v>
      </c>
      <c r="B255" s="1683"/>
      <c r="C255" s="395"/>
      <c r="D255" s="146"/>
      <c r="E255" s="148"/>
      <c r="F255" s="148"/>
      <c r="G255" s="398"/>
      <c r="H255" s="404" t="str">
        <f>OBRA!AF254</f>
        <v>-</v>
      </c>
      <c r="I255" s="400"/>
      <c r="J255" s="406" t="str">
        <f>OBRA!AG254</f>
        <v>-</v>
      </c>
      <c r="K255" s="401"/>
      <c r="L255" s="404" t="str">
        <f>OBRA!AH254</f>
        <v>-</v>
      </c>
      <c r="M255" s="402"/>
      <c r="N255" s="404" t="str">
        <f>OBRA!AI254</f>
        <v>-</v>
      </c>
      <c r="O255" s="144"/>
      <c r="P255" s="144"/>
      <c r="Q255" s="403"/>
      <c r="R255" s="407" t="str">
        <f>OBRA!AJ254</f>
        <v>-</v>
      </c>
      <c r="S255" s="201"/>
      <c r="T255" s="399" t="str">
        <f>OBRA!W254</f>
        <v>GILCO INGENIERIA S.A. DE C.V.</v>
      </c>
      <c r="U255" s="408" t="str">
        <f>OBRA!X254</f>
        <v>ING. J. GUADALUPE IBARRA RAMIREZ</v>
      </c>
      <c r="V255" s="1090"/>
      <c r="W255" s="33" t="str">
        <f>OBRA!N254</f>
        <v>GMJ 029C OP/2017</v>
      </c>
      <c r="X255" s="12"/>
      <c r="Y255" s="12"/>
      <c r="Z255" s="409" t="str">
        <f>OBRA!M254</f>
        <v>Fondo de proyectos para el Desarrollo Regional</v>
      </c>
      <c r="AA255" s="12"/>
      <c r="AB255" s="2" t="str">
        <f>OBRA!O254</f>
        <v>ADJUDICACIÓN DIRECTA</v>
      </c>
      <c r="AC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OBRA!R254</f>
        <v>197219.12</v>
      </c>
      <c r="AE255" s="6">
        <f>OBRA!S254</f>
        <v>43021</v>
      </c>
      <c r="AF255" s="5">
        <f>OBRA!T254</f>
        <v>43038</v>
      </c>
      <c r="AG255" s="390">
        <f>OBRA!U254</f>
        <v>43100</v>
      </c>
      <c r="AH255" s="52"/>
      <c r="AI255" s="211"/>
      <c r="AJ255" s="242"/>
      <c r="AK255" s="242"/>
      <c r="AL255" s="394"/>
      <c r="AM255" s="519" t="str">
        <f>GRAL!B256</f>
        <v>2015-2018</v>
      </c>
    </row>
    <row r="256" spans="1:39" ht="30" hidden="1" customHeight="1" thickTop="1">
      <c r="A256" s="158">
        <f>OBRA!J255</f>
        <v>2017</v>
      </c>
      <c r="B256" s="1683"/>
      <c r="C256" s="395"/>
      <c r="D256" s="146"/>
      <c r="E256" s="148"/>
      <c r="F256" s="148"/>
      <c r="G256" s="398"/>
      <c r="H256" s="404" t="str">
        <f>OBRA!AF255</f>
        <v>-</v>
      </c>
      <c r="I256" s="400"/>
      <c r="J256" s="406" t="str">
        <f>OBRA!AG255</f>
        <v>-</v>
      </c>
      <c r="K256" s="401"/>
      <c r="L256" s="404" t="str">
        <f>OBRA!AH255</f>
        <v>-</v>
      </c>
      <c r="M256" s="402"/>
      <c r="N256" s="404" t="str">
        <f>OBRA!AI255</f>
        <v>-</v>
      </c>
      <c r="O256" s="144"/>
      <c r="P256" s="144"/>
      <c r="Q256" s="403"/>
      <c r="R256" s="407" t="str">
        <f>OBRA!AJ255</f>
        <v>-</v>
      </c>
      <c r="S256" s="201"/>
      <c r="T256" s="399" t="str">
        <f>OBRA!W255</f>
        <v>A&amp;G URBANIZADORA S.A. DE C.V.</v>
      </c>
      <c r="U256" s="408" t="str">
        <f>OBRA!X255</f>
        <v>ING. J. GUADALUPE IBARRA RAMIREZ</v>
      </c>
      <c r="V256" s="1090"/>
      <c r="W256" s="33" t="str">
        <f>OBRA!N255</f>
        <v>GMJ 030C OP/2017</v>
      </c>
      <c r="X256" s="12"/>
      <c r="Y256" s="12"/>
      <c r="Z256" s="409" t="str">
        <f>OBRA!M255</f>
        <v>Fondo de proyectos para el Desarrollo Regional</v>
      </c>
      <c r="AA256" s="12"/>
      <c r="AB256" s="2" t="str">
        <f>OBRA!O255</f>
        <v>ADJUDICACIÓN DIRECTA</v>
      </c>
      <c r="AC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OBRA!R255</f>
        <v>1185389.8899999999</v>
      </c>
      <c r="AE256" s="6">
        <f>OBRA!S255</f>
        <v>43021</v>
      </c>
      <c r="AF256" s="5">
        <f>OBRA!T255</f>
        <v>43031</v>
      </c>
      <c r="AG256" s="390">
        <f>OBRA!U255</f>
        <v>43100</v>
      </c>
      <c r="AH256" s="52"/>
      <c r="AI256" s="211"/>
      <c r="AJ256" s="242"/>
      <c r="AK256" s="242"/>
      <c r="AL256" s="394"/>
      <c r="AM256" s="519" t="str">
        <f>GRAL!B257</f>
        <v>2015-2018</v>
      </c>
    </row>
    <row r="257" spans="1:39" ht="30" hidden="1" customHeight="1" thickTop="1">
      <c r="A257" s="158">
        <f>OBRA!J256</f>
        <v>2017</v>
      </c>
      <c r="B257" s="1683"/>
      <c r="C257" s="395"/>
      <c r="D257" s="146"/>
      <c r="E257" s="148"/>
      <c r="F257" s="148"/>
      <c r="G257" s="398"/>
      <c r="H257" s="404" t="str">
        <f>OBRA!AF256</f>
        <v>-</v>
      </c>
      <c r="I257" s="400"/>
      <c r="J257" s="406" t="str">
        <f>OBRA!AG256</f>
        <v>-</v>
      </c>
      <c r="K257" s="401"/>
      <c r="L257" s="404" t="str">
        <f>OBRA!AH256</f>
        <v>-</v>
      </c>
      <c r="M257" s="402"/>
      <c r="N257" s="404" t="str">
        <f>OBRA!AI256</f>
        <v>-</v>
      </c>
      <c r="O257" s="144"/>
      <c r="P257" s="144"/>
      <c r="Q257" s="403"/>
      <c r="R257" s="407" t="str">
        <f>OBRA!AJ256</f>
        <v>-</v>
      </c>
      <c r="S257" s="201"/>
      <c r="T257" s="399" t="str">
        <f>OBRA!W256</f>
        <v>CONSTRUCCIONES VIKBRAK, S.A. DE C.V.</v>
      </c>
      <c r="U257" s="408" t="str">
        <f>OBRA!X256</f>
        <v>ING. J. GUADALUPE IBARRA RAMIREZ</v>
      </c>
      <c r="V257" s="1090"/>
      <c r="W257" s="33" t="str">
        <f>OBRA!N256</f>
        <v>GMJ 031C OP/2017</v>
      </c>
      <c r="X257" s="12"/>
      <c r="Y257" s="12"/>
      <c r="Z257" s="409" t="str">
        <f>OBRA!M256</f>
        <v>Fondo de proyectos para el Desarrollo Regional</v>
      </c>
      <c r="AA257" s="12"/>
      <c r="AB257" s="2" t="str">
        <f>OBRA!O256</f>
        <v>ADJUDICACIÓN DIRECTA</v>
      </c>
      <c r="AC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OBRA!R256</f>
        <v>227599.71</v>
      </c>
      <c r="AE257" s="6">
        <f>OBRA!S256</f>
        <v>42926</v>
      </c>
      <c r="AF257" s="5">
        <f>OBRA!T256</f>
        <v>42928</v>
      </c>
      <c r="AG257" s="390">
        <f>OBRA!U256</f>
        <v>43035</v>
      </c>
      <c r="AH257" s="52"/>
      <c r="AI257" s="211"/>
      <c r="AJ257" s="242"/>
      <c r="AK257" s="242"/>
      <c r="AL257" s="394"/>
      <c r="AM257" s="519" t="str">
        <f>GRAL!B258</f>
        <v>2015-2018</v>
      </c>
    </row>
    <row r="258" spans="1:39" ht="30" hidden="1" customHeight="1" thickTop="1">
      <c r="A258" s="158">
        <f>OBRA!J257</f>
        <v>2017</v>
      </c>
      <c r="B258" s="1683"/>
      <c r="C258" s="395"/>
      <c r="D258" s="146"/>
      <c r="E258" s="148"/>
      <c r="F258" s="148"/>
      <c r="G258" s="398"/>
      <c r="H258" s="404" t="str">
        <f>OBRA!AF257</f>
        <v>-</v>
      </c>
      <c r="I258" s="400"/>
      <c r="J258" s="406" t="str">
        <f>OBRA!AG257</f>
        <v>-</v>
      </c>
      <c r="K258" s="401"/>
      <c r="L258" s="404" t="str">
        <f>OBRA!AH257</f>
        <v>-</v>
      </c>
      <c r="M258" s="402"/>
      <c r="N258" s="404" t="str">
        <f>OBRA!AI257</f>
        <v>-</v>
      </c>
      <c r="O258" s="144"/>
      <c r="P258" s="144"/>
      <c r="Q258" s="403"/>
      <c r="R258" s="407" t="str">
        <f>OBRA!AJ257</f>
        <v>-</v>
      </c>
      <c r="S258" s="201"/>
      <c r="T258" s="399" t="str">
        <f>OBRA!W257</f>
        <v>COLYEST S.A. DE C.V.</v>
      </c>
      <c r="U258" s="408" t="str">
        <f>OBRA!X257</f>
        <v>ING. J. GUADALUPE IBARRA RAMIREZ</v>
      </c>
      <c r="V258" s="1090"/>
      <c r="W258" s="33" t="str">
        <f>OBRA!N257</f>
        <v>GMJ 032C OP/2017</v>
      </c>
      <c r="X258" s="12"/>
      <c r="Y258" s="12"/>
      <c r="Z258" s="409" t="str">
        <f>OBRA!M257</f>
        <v>Fondo de proyectos para el Desarrollo Regional</v>
      </c>
      <c r="AA258" s="12"/>
      <c r="AB258" s="2" t="str">
        <f>OBRA!O257</f>
        <v>ADJUDICACIÓN DIRECTA</v>
      </c>
      <c r="AC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OBRA!R257</f>
        <v>1522376.56</v>
      </c>
      <c r="AE258" s="6">
        <f>OBRA!S257</f>
        <v>42927</v>
      </c>
      <c r="AF258" s="5">
        <f>OBRA!T257</f>
        <v>42928</v>
      </c>
      <c r="AG258" s="390">
        <f>OBRA!U257</f>
        <v>43035</v>
      </c>
      <c r="AH258" s="52"/>
      <c r="AI258" s="211"/>
      <c r="AJ258" s="242"/>
      <c r="AK258" s="242"/>
      <c r="AL258" s="394"/>
      <c r="AM258" s="519" t="str">
        <f>GRAL!B259</f>
        <v>2015-2018</v>
      </c>
    </row>
    <row r="259" spans="1:39" ht="30" hidden="1" customHeight="1" thickTop="1">
      <c r="A259" s="158">
        <f>OBRA!J258</f>
        <v>2017</v>
      </c>
      <c r="B259" s="1683"/>
      <c r="C259" s="395"/>
      <c r="D259" s="146"/>
      <c r="E259" s="148"/>
      <c r="F259" s="148"/>
      <c r="G259" s="398"/>
      <c r="H259" s="404" t="str">
        <f>OBRA!AF258</f>
        <v>-</v>
      </c>
      <c r="I259" s="400"/>
      <c r="J259" s="406" t="str">
        <f>OBRA!AG258</f>
        <v>-</v>
      </c>
      <c r="K259" s="401"/>
      <c r="L259" s="404" t="str">
        <f>OBRA!AH258</f>
        <v>-</v>
      </c>
      <c r="M259" s="402"/>
      <c r="N259" s="404" t="str">
        <f>OBRA!AI258</f>
        <v>-</v>
      </c>
      <c r="O259" s="144"/>
      <c r="P259" s="144"/>
      <c r="Q259" s="403"/>
      <c r="R259" s="407" t="str">
        <f>OBRA!AJ258</f>
        <v>-</v>
      </c>
      <c r="S259" s="201"/>
      <c r="T259" s="399" t="str">
        <f>OBRA!W258</f>
        <v>ING. SERGIO CABRERA</v>
      </c>
      <c r="U259" s="408" t="str">
        <f>OBRA!X258</f>
        <v>ING. J. GUADALUPE IBARRA RAMIREZ</v>
      </c>
      <c r="V259" s="1090"/>
      <c r="W259" s="33" t="str">
        <f>OBRA!N258</f>
        <v>GMJ 033C OP/2017</v>
      </c>
      <c r="X259" s="12"/>
      <c r="Y259" s="12"/>
      <c r="Z259" s="409" t="str">
        <f>OBRA!M258</f>
        <v>RAMO 33</v>
      </c>
      <c r="AA259" s="12"/>
      <c r="AB259" s="2" t="str">
        <f>OBRA!O258</f>
        <v>ADJUDICACIÓN DIRECTA</v>
      </c>
      <c r="AC259" s="3" t="str">
        <f>OBRA!P258</f>
        <v>REHABILITACION DE RED DE DRENAJE EN CALLE 21 DE MARZO, DE OTOÑO A PRIMAVERA, EN EL MUNICIPIO DE JOCOTEPEC, JALISCO</v>
      </c>
      <c r="AD259" s="4">
        <f>OBRA!R258</f>
        <v>275105.09999999998</v>
      </c>
      <c r="AE259" s="6">
        <f>OBRA!S258</f>
        <v>43028</v>
      </c>
      <c r="AF259" s="5">
        <f>OBRA!T258</f>
        <v>43031</v>
      </c>
      <c r="AG259" s="390">
        <f>OBRA!U258</f>
        <v>43039</v>
      </c>
      <c r="AH259" s="52"/>
      <c r="AI259" s="211"/>
      <c r="AJ259" s="242"/>
      <c r="AK259" s="242"/>
      <c r="AL259" s="394"/>
      <c r="AM259" s="519" t="str">
        <f>GRAL!B260</f>
        <v>2015-2018</v>
      </c>
    </row>
    <row r="260" spans="1:39" ht="30" hidden="1" customHeight="1" thickTop="1">
      <c r="A260" s="158">
        <f>OBRA!J259</f>
        <v>2017</v>
      </c>
      <c r="B260" s="1683"/>
      <c r="C260" s="395"/>
      <c r="D260" s="146"/>
      <c r="E260" s="148"/>
      <c r="F260" s="148"/>
      <c r="G260" s="398"/>
      <c r="H260" s="404" t="str">
        <f>OBRA!AF259</f>
        <v>-</v>
      </c>
      <c r="I260" s="400"/>
      <c r="J260" s="406" t="str">
        <f>OBRA!AG259</f>
        <v>-</v>
      </c>
      <c r="K260" s="401"/>
      <c r="L260" s="404" t="str">
        <f>OBRA!AH259</f>
        <v>-</v>
      </c>
      <c r="M260" s="402"/>
      <c r="N260" s="404" t="str">
        <f>OBRA!AI259</f>
        <v>-</v>
      </c>
      <c r="O260" s="144"/>
      <c r="P260" s="144"/>
      <c r="Q260" s="403"/>
      <c r="R260" s="407" t="str">
        <f>OBRA!AJ259</f>
        <v>-</v>
      </c>
      <c r="S260" s="201"/>
      <c r="T260" s="399" t="str">
        <f>OBRA!W259</f>
        <v>ING. SERGIO CABRERA</v>
      </c>
      <c r="U260" s="408" t="str">
        <f>OBRA!X259</f>
        <v>ING. J. GUADALUPE IBARRA RAMIREZ</v>
      </c>
      <c r="V260" s="1090"/>
      <c r="W260" s="33" t="str">
        <f>OBRA!N259</f>
        <v>GMJ 034C OP/2017</v>
      </c>
      <c r="X260" s="12"/>
      <c r="Y260" s="12"/>
      <c r="Z260" s="409" t="str">
        <f>OBRA!M259</f>
        <v>RAMO 33</v>
      </c>
      <c r="AA260" s="12"/>
      <c r="AB260" s="2" t="str">
        <f>OBRA!O259</f>
        <v>ADJUDICACIÓN DIRECTA</v>
      </c>
      <c r="AC260" s="3" t="str">
        <f>OBRA!P259</f>
        <v>REHABILITACIÓN DE RED DE AGUA POTABLE EN CALLE 21 DE MARZO DE OTOÑO A PRIMAVERA, EN EL MUNICIPIO DE JOCOTEPEC, JALISCO</v>
      </c>
      <c r="AD260" s="4">
        <f>OBRA!R259</f>
        <v>185828.12</v>
      </c>
      <c r="AE260" s="6">
        <f>OBRA!S259</f>
        <v>43028</v>
      </c>
      <c r="AF260" s="5">
        <f>OBRA!T259</f>
        <v>43035</v>
      </c>
      <c r="AG260" s="390">
        <f>OBRA!U259</f>
        <v>43041</v>
      </c>
      <c r="AH260" s="52"/>
      <c r="AI260" s="211"/>
      <c r="AJ260" s="242"/>
      <c r="AK260" s="242"/>
      <c r="AL260" s="394"/>
      <c r="AM260" s="519" t="str">
        <f>GRAL!B261</f>
        <v>2015-2018</v>
      </c>
    </row>
    <row r="261" spans="1:39" ht="30" hidden="1" customHeight="1" thickTop="1">
      <c r="A261" s="158">
        <f>OBRA!J260</f>
        <v>2017</v>
      </c>
      <c r="B261" s="1683"/>
      <c r="C261" s="395"/>
      <c r="D261" s="146"/>
      <c r="E261" s="148"/>
      <c r="F261" s="148"/>
      <c r="G261" s="398"/>
      <c r="H261" s="404" t="str">
        <f>OBRA!AF260</f>
        <v>-</v>
      </c>
      <c r="I261" s="400"/>
      <c r="J261" s="406" t="str">
        <f>OBRA!AG260</f>
        <v>-</v>
      </c>
      <c r="K261" s="401"/>
      <c r="L261" s="404" t="str">
        <f>OBRA!AH260</f>
        <v>-</v>
      </c>
      <c r="M261" s="402"/>
      <c r="N261" s="404" t="str">
        <f>OBRA!AI260</f>
        <v>-</v>
      </c>
      <c r="O261" s="144"/>
      <c r="P261" s="144"/>
      <c r="Q261" s="403"/>
      <c r="R261" s="407" t="str">
        <f>OBRA!AJ260</f>
        <v>-</v>
      </c>
      <c r="S261" s="201"/>
      <c r="T261" s="399" t="str">
        <f>OBRA!W260</f>
        <v>ING. SERGIO CABRERA</v>
      </c>
      <c r="U261" s="408" t="str">
        <f>OBRA!X260</f>
        <v>ING. ANGEL ALBERTO HERNANDEZ MORA</v>
      </c>
      <c r="V261" s="1090"/>
      <c r="W261" s="33" t="str">
        <f>OBRA!N260</f>
        <v>GMJ 035C OP/2017</v>
      </c>
      <c r="X261" s="12"/>
      <c r="Y261" s="12"/>
      <c r="Z261" s="409" t="str">
        <f>OBRA!M260</f>
        <v>RAMO 33</v>
      </c>
      <c r="AA261" s="12"/>
      <c r="AB261" s="2" t="str">
        <f>OBRA!O260</f>
        <v>ADJUDICACIÓN DIRECTA</v>
      </c>
      <c r="AC261" s="3" t="str">
        <f>OBRA!P260</f>
        <v>REHABILITACIÓN DE RED DE DRENAJE EN PRIVADA LIBERTAD, EN LA AGENCIA MUNICIPAL DE NEXTIPAC, DEL MUNICIPIO DE JOCOTEPEC, JALISCO</v>
      </c>
      <c r="AD261" s="4">
        <f>OBRA!R260</f>
        <v>181893.05</v>
      </c>
      <c r="AE261" s="6">
        <f>OBRA!S260</f>
        <v>42954</v>
      </c>
      <c r="AF261" s="5">
        <f>OBRA!T260</f>
        <v>42956</v>
      </c>
      <c r="AG261" s="390">
        <f>OBRA!U260</f>
        <v>42970</v>
      </c>
      <c r="AH261" s="52"/>
      <c r="AI261" s="211"/>
      <c r="AJ261" s="242"/>
      <c r="AK261" s="242"/>
      <c r="AL261" s="394"/>
      <c r="AM261" s="519" t="str">
        <f>GRAL!B262</f>
        <v>2015-2018</v>
      </c>
    </row>
    <row r="262" spans="1:39" ht="30" hidden="1" customHeight="1" thickTop="1">
      <c r="A262" s="158">
        <f>OBRA!J261</f>
        <v>2017</v>
      </c>
      <c r="B262" s="1683"/>
      <c r="C262" s="395"/>
      <c r="D262" s="146"/>
      <c r="E262" s="148"/>
      <c r="F262" s="148"/>
      <c r="G262" s="398"/>
      <c r="H262" s="404" t="str">
        <f>OBRA!AF261</f>
        <v>-</v>
      </c>
      <c r="I262" s="400"/>
      <c r="J262" s="406" t="str">
        <f>OBRA!AG261</f>
        <v>-</v>
      </c>
      <c r="K262" s="401"/>
      <c r="L262" s="404" t="str">
        <f>OBRA!AH261</f>
        <v>-</v>
      </c>
      <c r="M262" s="402"/>
      <c r="N262" s="404" t="str">
        <f>OBRA!AI261</f>
        <v>-</v>
      </c>
      <c r="O262" s="144"/>
      <c r="P262" s="144"/>
      <c r="Q262" s="403"/>
      <c r="R262" s="407" t="str">
        <f>OBRA!AJ261</f>
        <v>-</v>
      </c>
      <c r="S262" s="201"/>
      <c r="T262" s="399" t="str">
        <f>OBRA!W261</f>
        <v>ING. SERGIO CABRERA</v>
      </c>
      <c r="U262" s="408" t="str">
        <f>OBRA!X261</f>
        <v>ING. ANGEL ALBERTO HERNANDEZ MORA</v>
      </c>
      <c r="V262" s="1090"/>
      <c r="W262" s="33" t="str">
        <f>OBRA!N261</f>
        <v>GMJ 036C OP/2017</v>
      </c>
      <c r="X262" s="12"/>
      <c r="Y262" s="12"/>
      <c r="Z262" s="409" t="str">
        <f>OBRA!M261</f>
        <v>RAMO 33</v>
      </c>
      <c r="AA262" s="12"/>
      <c r="AB262" s="2" t="str">
        <f>OBRA!O261</f>
        <v>ADJUDICACIÓN DIRECTA</v>
      </c>
      <c r="AC262" s="3" t="str">
        <f>OBRA!P261</f>
        <v>CONSTRUCCIÓN DE EMPEDRADO ECOLOGICO EN PRIVADA LIBERTAD, EN LA AGENCIA MUNICIPAL DE NEXTIPAC, DEL MUNICIPIO DE JOCOTEPEC, JALISCO</v>
      </c>
      <c r="AD262" s="4">
        <f>OBRA!R261</f>
        <v>237009.82</v>
      </c>
      <c r="AE262" s="6">
        <f>OBRA!S261</f>
        <v>42968</v>
      </c>
      <c r="AF262" s="5">
        <f>OBRA!T261</f>
        <v>42970</v>
      </c>
      <c r="AG262" s="390">
        <f>OBRA!U261</f>
        <v>42985</v>
      </c>
      <c r="AH262" s="52"/>
      <c r="AI262" s="211"/>
      <c r="AJ262" s="242"/>
      <c r="AK262" s="242"/>
      <c r="AL262" s="394"/>
      <c r="AM262" s="519" t="str">
        <f>GRAL!B263</f>
        <v>2015-2018</v>
      </c>
    </row>
    <row r="263" spans="1:39" ht="30" hidden="1" customHeight="1" thickTop="1">
      <c r="A263" s="158">
        <f>OBRA!J262</f>
        <v>2017</v>
      </c>
      <c r="B263" s="1683"/>
      <c r="C263" s="395"/>
      <c r="D263" s="146"/>
      <c r="E263" s="148"/>
      <c r="F263" s="148"/>
      <c r="G263" s="398"/>
      <c r="H263" s="404" t="str">
        <f>OBRA!AF262</f>
        <v>-</v>
      </c>
      <c r="I263" s="400"/>
      <c r="J263" s="406" t="str">
        <f>OBRA!AG262</f>
        <v>-</v>
      </c>
      <c r="K263" s="401"/>
      <c r="L263" s="404" t="str">
        <f>OBRA!AH262</f>
        <v>-</v>
      </c>
      <c r="M263" s="402"/>
      <c r="N263" s="404" t="str">
        <f>OBRA!AI262</f>
        <v>-</v>
      </c>
      <c r="O263" s="144"/>
      <c r="P263" s="144"/>
      <c r="Q263" s="403"/>
      <c r="R263" s="407" t="str">
        <f>OBRA!AJ262</f>
        <v>-</v>
      </c>
      <c r="S263" s="201"/>
      <c r="T263" s="399" t="str">
        <f>OBRA!W262</f>
        <v>ING. SERGIO CABRERA</v>
      </c>
      <c r="U263" s="408" t="str">
        <f>OBRA!X262</f>
        <v>ING. ANGEL ALBERTO HERNANDEZ MORA</v>
      </c>
      <c r="V263" s="1090"/>
      <c r="W263" s="33" t="str">
        <f>OBRA!N262</f>
        <v>GMJ 037C OP/2017</v>
      </c>
      <c r="X263" s="12"/>
      <c r="Y263" s="12"/>
      <c r="Z263" s="409" t="str">
        <f>OBRA!M262</f>
        <v>RAMO 33</v>
      </c>
      <c r="AA263" s="12"/>
      <c r="AB263" s="2" t="str">
        <f>OBRA!O262</f>
        <v>ADJUDICACIÓN DIRECTA</v>
      </c>
      <c r="AC263" s="3" t="str">
        <f>OBRA!P262</f>
        <v>REHABILITACIÓN DE RED DE DRENAJE EN CALLE LIBERTAD, EN LA AGENCIA MUNICIPAL DE NEXTIPAC, DEL MUNICIPIO DE JOCOTEPEC</v>
      </c>
      <c r="AD263" s="4">
        <f>OBRA!R262</f>
        <v>93422.64</v>
      </c>
      <c r="AE263" s="6">
        <f>OBRA!S262</f>
        <v>42948</v>
      </c>
      <c r="AF263" s="5">
        <f>OBRA!T262</f>
        <v>42950</v>
      </c>
      <c r="AG263" s="390">
        <f>OBRA!U262</f>
        <v>42957</v>
      </c>
      <c r="AH263" s="52"/>
      <c r="AI263" s="211"/>
      <c r="AJ263" s="242"/>
      <c r="AK263" s="242"/>
      <c r="AL263" s="394"/>
      <c r="AM263" s="519" t="str">
        <f>GRAL!B264</f>
        <v>2015-2018</v>
      </c>
    </row>
    <row r="264" spans="1:39" ht="30" hidden="1" customHeight="1" thickTop="1">
      <c r="A264" s="158">
        <f>OBRA!J263</f>
        <v>2017</v>
      </c>
      <c r="B264" s="1683"/>
      <c r="C264" s="395"/>
      <c r="D264" s="146"/>
      <c r="E264" s="148"/>
      <c r="F264" s="148"/>
      <c r="G264" s="398"/>
      <c r="H264" s="404" t="str">
        <f>OBRA!AF263</f>
        <v>-</v>
      </c>
      <c r="I264" s="400"/>
      <c r="J264" s="406" t="str">
        <f>OBRA!AG263</f>
        <v>-</v>
      </c>
      <c r="K264" s="401"/>
      <c r="L264" s="404" t="str">
        <f>OBRA!AH263</f>
        <v>-</v>
      </c>
      <c r="M264" s="402"/>
      <c r="N264" s="404" t="str">
        <f>OBRA!AI263</f>
        <v>-</v>
      </c>
      <c r="O264" s="144"/>
      <c r="P264" s="144"/>
      <c r="Q264" s="403"/>
      <c r="R264" s="407" t="str">
        <f>OBRA!AJ263</f>
        <v>-</v>
      </c>
      <c r="S264" s="201"/>
      <c r="T264" s="399" t="str">
        <f>OBRA!W263</f>
        <v>ING. SERGIO CABRERA</v>
      </c>
      <c r="U264" s="408" t="str">
        <f>OBRA!X263</f>
        <v>ING. ANGEL ALBERTO HERNANDEZ MORA</v>
      </c>
      <c r="V264" s="1090"/>
      <c r="W264" s="33" t="str">
        <f>OBRA!N263</f>
        <v>GMJ 038C OP/2017</v>
      </c>
      <c r="X264" s="12"/>
      <c r="Y264" s="12"/>
      <c r="Z264" s="409" t="str">
        <f>OBRA!M263</f>
        <v>RAMO 33</v>
      </c>
      <c r="AA264" s="12"/>
      <c r="AB264" s="2" t="str">
        <f>OBRA!O263</f>
        <v>ADJUDICACIÓN DIRECTA</v>
      </c>
      <c r="AC264" s="3" t="str">
        <f>OBRA!P263</f>
        <v xml:space="preserve">CONSTRUCCIÓN DE EMPEDRADO AHOGADO EN CEMENTO EN CALLE LIBERTAD, EN LA AGENCIA MUNICIPAL DE NEXTIPAC, DEL MUNICIPIO DE JOCOTEPEC, JALISCO </v>
      </c>
      <c r="AD264" s="4">
        <f>OBRA!R263</f>
        <v>329150.28999999998</v>
      </c>
      <c r="AE264" s="6">
        <f>OBRA!S263</f>
        <v>42983</v>
      </c>
      <c r="AF264" s="5">
        <f>OBRA!T263</f>
        <v>42985</v>
      </c>
      <c r="AG264" s="390">
        <f>OBRA!U263</f>
        <v>42995</v>
      </c>
      <c r="AH264" s="52"/>
      <c r="AI264" s="211"/>
      <c r="AJ264" s="242"/>
      <c r="AK264" s="242"/>
      <c r="AL264" s="394"/>
      <c r="AM264" s="519" t="str">
        <f>GRAL!B265</f>
        <v>2015-2018</v>
      </c>
    </row>
    <row r="265" spans="1:39" s="104" customFormat="1" ht="30" hidden="1" customHeight="1" thickTop="1">
      <c r="A265" s="830">
        <f>OBRA!J264</f>
        <v>2017</v>
      </c>
      <c r="B265" s="1684"/>
      <c r="C265" s="831"/>
      <c r="D265" s="147"/>
      <c r="E265" s="149"/>
      <c r="F265" s="149"/>
      <c r="G265" s="832"/>
      <c r="H265" s="150">
        <f>OBRA!AF264</f>
        <v>0</v>
      </c>
      <c r="I265" s="417"/>
      <c r="J265" s="110">
        <f>OBRA!AG264</f>
        <v>0</v>
      </c>
      <c r="K265" s="834"/>
      <c r="L265" s="150">
        <f>OBRA!AH264</f>
        <v>0</v>
      </c>
      <c r="M265" s="833"/>
      <c r="N265" s="150">
        <f>OBRA!AI264</f>
        <v>0</v>
      </c>
      <c r="O265" s="150"/>
      <c r="P265" s="150"/>
      <c r="Q265" s="834"/>
      <c r="R265" s="420">
        <f>OBRA!AJ264</f>
        <v>0</v>
      </c>
      <c r="S265" s="840"/>
      <c r="T265" s="149">
        <f>OBRA!W264</f>
        <v>0</v>
      </c>
      <c r="U265" s="152">
        <f>OBRA!X264</f>
        <v>0</v>
      </c>
      <c r="V265" s="147"/>
      <c r="W265" s="33" t="str">
        <f>OBRA!N264</f>
        <v>GMJ 039C OP/2017</v>
      </c>
      <c r="X265" s="103"/>
      <c r="Y265" s="103"/>
      <c r="Z265" s="103">
        <f>OBRA!M264</f>
        <v>0</v>
      </c>
      <c r="AA265" s="103"/>
      <c r="AB265" s="186" t="str">
        <f>OBRA!O264</f>
        <v>CANCELADA</v>
      </c>
      <c r="AC265" s="106" t="str">
        <f>OBRA!P264</f>
        <v>CANCELADO</v>
      </c>
      <c r="AD265" s="86">
        <f>OBRA!R264</f>
        <v>0</v>
      </c>
      <c r="AE265" s="87">
        <f>OBRA!S264</f>
        <v>0</v>
      </c>
      <c r="AF265" s="88">
        <f>OBRA!T264</f>
        <v>0</v>
      </c>
      <c r="AG265" s="391">
        <f>OBRA!U264</f>
        <v>0</v>
      </c>
      <c r="AH265" s="101"/>
      <c r="AI265" s="84"/>
      <c r="AJ265" s="96"/>
      <c r="AK265" s="96"/>
      <c r="AL265" s="97"/>
      <c r="AM265" s="354" t="str">
        <f>GRAL!B266</f>
        <v>2012-2015</v>
      </c>
    </row>
    <row r="266" spans="1:39" ht="30" hidden="1" customHeight="1" thickTop="1">
      <c r="A266" s="158">
        <f>OBRA!J265</f>
        <v>2017</v>
      </c>
      <c r="B266" s="1683"/>
      <c r="C266" s="395"/>
      <c r="D266" s="146"/>
      <c r="E266" s="148"/>
      <c r="F266" s="148"/>
      <c r="G266" s="398"/>
      <c r="H266" s="404" t="str">
        <f>OBRA!AF265</f>
        <v>-</v>
      </c>
      <c r="I266" s="400"/>
      <c r="J266" s="406" t="str">
        <f>OBRA!AG265</f>
        <v>-</v>
      </c>
      <c r="K266" s="401"/>
      <c r="L266" s="404" t="str">
        <f>OBRA!AH265</f>
        <v>-</v>
      </c>
      <c r="M266" s="402"/>
      <c r="N266" s="404" t="str">
        <f>OBRA!AI265</f>
        <v>-</v>
      </c>
      <c r="O266" s="144"/>
      <c r="P266" s="144"/>
      <c r="Q266" s="403"/>
      <c r="R266" s="407" t="str">
        <f>OBRA!AJ265</f>
        <v>-</v>
      </c>
      <c r="S266" s="201"/>
      <c r="T266" s="399" t="str">
        <f>OBRA!W265</f>
        <v>SERVICIOS ARQUITECTÓNICOS MOAPAL S.A. DE C.V.</v>
      </c>
      <c r="U266" s="408" t="str">
        <f>OBRA!X265</f>
        <v>ING. ANGEL ALBERTO HERNANDEZ MORA</v>
      </c>
      <c r="V266" s="1090"/>
      <c r="W266" s="33" t="str">
        <f>OBRA!N265</f>
        <v>GMJ 040C OP/2017</v>
      </c>
      <c r="X266" s="12"/>
      <c r="Y266" s="12"/>
      <c r="Z266" s="409" t="str">
        <f>OBRA!M265</f>
        <v>RAMO 33</v>
      </c>
      <c r="AA266" s="12"/>
      <c r="AB266" s="2" t="str">
        <f>OBRA!O265</f>
        <v>ADJUDICACIÓN DIRECTA</v>
      </c>
      <c r="AC266" s="3" t="str">
        <f>OBRA!P265</f>
        <v>CONSTRUCCIÓN DE RED DE DRENAJE EN EL BARRIO CONOCIDO COMO EL TORIL EN LA LOCALIDAD DE ZAPOTITAN DE HIDALGO DEL MUNICIPIO DE JOCOTEPEC, JALISCO</v>
      </c>
      <c r="AD266" s="4">
        <f>OBRA!R265</f>
        <v>965876.67</v>
      </c>
      <c r="AE266" s="6">
        <f>OBRA!S265</f>
        <v>42965</v>
      </c>
      <c r="AF266" s="5">
        <f>OBRA!T265</f>
        <v>42968</v>
      </c>
      <c r="AG266" s="390">
        <f>OBRA!U265</f>
        <v>43000</v>
      </c>
      <c r="AH266" s="52"/>
      <c r="AI266" s="211"/>
      <c r="AJ266" s="242"/>
      <c r="AK266" s="242"/>
      <c r="AL266" s="394"/>
      <c r="AM266" s="519" t="str">
        <f>GRAL!B267</f>
        <v>2015-2018</v>
      </c>
    </row>
    <row r="267" spans="1:39" ht="30" hidden="1" customHeight="1" thickTop="1">
      <c r="A267" s="158">
        <f>OBRA!J266</f>
        <v>2017</v>
      </c>
      <c r="B267" s="1683"/>
      <c r="C267" s="395"/>
      <c r="D267" s="146"/>
      <c r="E267" s="148"/>
      <c r="F267" s="148"/>
      <c r="G267" s="398"/>
      <c r="H267" s="404" t="str">
        <f>OBRA!AF266</f>
        <v>-</v>
      </c>
      <c r="I267" s="400"/>
      <c r="J267" s="406" t="str">
        <f>OBRA!AG266</f>
        <v>-</v>
      </c>
      <c r="K267" s="401"/>
      <c r="L267" s="404" t="str">
        <f>OBRA!AH266</f>
        <v>-</v>
      </c>
      <c r="M267" s="402"/>
      <c r="N267" s="404" t="str">
        <f>OBRA!AI266</f>
        <v>-</v>
      </c>
      <c r="O267" s="144"/>
      <c r="P267" s="144"/>
      <c r="Q267" s="403"/>
      <c r="R267" s="407" t="str">
        <f>OBRA!AJ266</f>
        <v>-</v>
      </c>
      <c r="S267" s="201"/>
      <c r="T267" s="399" t="str">
        <f>OBRA!W266</f>
        <v xml:space="preserve">GRUPO DESARROLLADOR INMOBILIARIO CEMERAMA S.A. DE C.V. </v>
      </c>
      <c r="U267" s="408" t="str">
        <f>OBRA!X266</f>
        <v>LIC. SALVADOR CONTRERAS OLGUÍN</v>
      </c>
      <c r="V267" s="1090"/>
      <c r="W267" s="33" t="str">
        <f>OBRA!N266</f>
        <v>GMJ 041C OP/2017</v>
      </c>
      <c r="X267" s="12"/>
      <c r="Y267" s="12"/>
      <c r="Z267" s="409" t="str">
        <f>OBRA!M266</f>
        <v>RAMO 33</v>
      </c>
      <c r="AA267" s="12"/>
      <c r="AB267" s="2" t="str">
        <f>OBRA!O266</f>
        <v>ADJUDICACIÓN DIRECTA</v>
      </c>
      <c r="AC267" s="3" t="str">
        <f>OBRA!P266</f>
        <v>CONSTRUCCIÓN DE CASETA DE CONTROL Y CUARTO DE CLORACIÓN PARA EL POZO DE LA PLAZOLETA EL CHANTE, DELEGACIÓN DE CHANTEPEC, JOCOTEPEC JALISCO</v>
      </c>
      <c r="AD267" s="4">
        <f>OBRA!R266</f>
        <v>185695.33</v>
      </c>
      <c r="AE267" s="6">
        <f>OBRA!S266</f>
        <v>42948</v>
      </c>
      <c r="AF267" s="5">
        <f>OBRA!T266</f>
        <v>42950</v>
      </c>
      <c r="AG267" s="390">
        <f>OBRA!U266</f>
        <v>42978</v>
      </c>
      <c r="AH267" s="52"/>
      <c r="AI267" s="211"/>
      <c r="AJ267" s="242"/>
      <c r="AK267" s="242"/>
      <c r="AL267" s="394"/>
      <c r="AM267" s="519" t="str">
        <f>GRAL!B268</f>
        <v>2015-2018</v>
      </c>
    </row>
    <row r="268" spans="1:39" ht="60.75" hidden="1" thickTop="1">
      <c r="A268" s="158">
        <f>OBRA!J267</f>
        <v>-2016</v>
      </c>
      <c r="B268" s="1683"/>
      <c r="C268" s="395"/>
      <c r="D268" s="146"/>
      <c r="E268" s="148"/>
      <c r="F268" s="148"/>
      <c r="G268" s="398"/>
      <c r="H268" s="404" t="str">
        <f>OBRA!AF267</f>
        <v>-</v>
      </c>
      <c r="I268" s="400"/>
      <c r="J268" s="406" t="str">
        <f>OBRA!AG267</f>
        <v>-</v>
      </c>
      <c r="K268" s="401"/>
      <c r="L268" s="404" t="str">
        <f>OBRA!AH267</f>
        <v>-</v>
      </c>
      <c r="M268" s="402"/>
      <c r="N268" s="404" t="str">
        <f>OBRA!AI267</f>
        <v>-</v>
      </c>
      <c r="O268" s="144"/>
      <c r="P268" s="144"/>
      <c r="Q268" s="403"/>
      <c r="R268" s="407" t="str">
        <f>OBRA!AJ267</f>
        <v>-</v>
      </c>
      <c r="S268" s="201"/>
      <c r="T268" s="399" t="str">
        <f>OBRA!W267</f>
        <v>ENERGIAS RENOVABLES DE LA RIVERA S.A. DE C.V</v>
      </c>
      <c r="U268" s="408" t="str">
        <f>OBRA!X267</f>
        <v>ING. RIGOBERTO OLMEDO RAMOS</v>
      </c>
      <c r="V268" s="1090"/>
      <c r="W268" s="33" t="str">
        <f>OBRA!N267</f>
        <v>GMJ 042C OP/2017</v>
      </c>
      <c r="X268" s="12"/>
      <c r="Y268" s="12"/>
      <c r="Z268" s="409" t="str">
        <f>OBRA!M267</f>
        <v>RAMO 33</v>
      </c>
      <c r="AA268" s="12"/>
      <c r="AB268" s="2" t="str">
        <f>OBRA!O267</f>
        <v>ADJUDICACIÓN DIRECTA</v>
      </c>
      <c r="AC268" s="3" t="str">
        <f>OBRA!P267</f>
        <v>ELECTRIFICACIÓN DE MEDIA Y BAJA TENSIÓN Y TRANSFORMADOR PARA EL POZO DE LA PLAZOLETA, EN LA LOCALIDAD DE CHANTEPEC,  DEL MUNICIPIO DE  JOCOTEPEC, JALISCO</v>
      </c>
      <c r="AD268" s="4">
        <f>OBRA!R267</f>
        <v>360000</v>
      </c>
      <c r="AE268" s="6">
        <f>OBRA!S267</f>
        <v>42951</v>
      </c>
      <c r="AF268" s="5">
        <f>OBRA!T267</f>
        <v>42954</v>
      </c>
      <c r="AG268" s="390">
        <f>OBRA!U267</f>
        <v>42973</v>
      </c>
      <c r="AH268" s="52"/>
      <c r="AI268" s="211"/>
      <c r="AJ268" s="242"/>
      <c r="AK268" s="242"/>
      <c r="AL268" s="394"/>
      <c r="AM268" s="519" t="str">
        <f>GRAL!B269</f>
        <v>2015-2018</v>
      </c>
    </row>
    <row r="269" spans="1:39" ht="30" hidden="1" customHeight="1" thickTop="1">
      <c r="A269" s="158">
        <f>OBRA!J268</f>
        <v>2017</v>
      </c>
      <c r="B269" s="1683"/>
      <c r="C269" s="395"/>
      <c r="D269" s="146"/>
      <c r="E269" s="148"/>
      <c r="F269" s="148"/>
      <c r="G269" s="398"/>
      <c r="H269" s="404" t="str">
        <f>OBRA!AF268</f>
        <v>-</v>
      </c>
      <c r="I269" s="400"/>
      <c r="J269" s="406" t="str">
        <f>OBRA!AG268</f>
        <v>-</v>
      </c>
      <c r="K269" s="401"/>
      <c r="L269" s="404" t="str">
        <f>OBRA!AH268</f>
        <v>-</v>
      </c>
      <c r="M269" s="402"/>
      <c r="N269" s="404" t="str">
        <f>OBRA!AI268</f>
        <v>-</v>
      </c>
      <c r="O269" s="144"/>
      <c r="P269" s="144"/>
      <c r="Q269" s="403"/>
      <c r="R269" s="407" t="str">
        <f>OBRA!AJ268</f>
        <v>-</v>
      </c>
      <c r="S269" s="201"/>
      <c r="T269" s="399" t="str">
        <f>OBRA!W268</f>
        <v>ELECTRIFICACIONES MUGA, S.A. DE C.V.</v>
      </c>
      <c r="U269" s="408" t="str">
        <f>OBRA!X268</f>
        <v>C. DANIEL RODRIGUEZ VALENZUELA</v>
      </c>
      <c r="V269" s="1090"/>
      <c r="W269" s="33" t="str">
        <f>OBRA!N268</f>
        <v>GMJ 043C OP/2017</v>
      </c>
      <c r="X269" s="12"/>
      <c r="Y269" s="12"/>
      <c r="Z269" s="409" t="str">
        <f>OBRA!M268</f>
        <v>CUENTA CORRIENTE</v>
      </c>
      <c r="AA269" s="12"/>
      <c r="AB269" s="2" t="str">
        <f>OBRA!O268</f>
        <v>ADJUDICACIÓN DIRECTA</v>
      </c>
      <c r="AC269" s="3" t="str">
        <f>OBRA!P268</f>
        <v>ELECTRIFICACIÓN DE LA SUBDIVICION DE LAS AREAS DE CESION DE VISTA DEL ANGEL, EN LA LOCALIDAD DE SAN JUAN COSALA DEL MUNICIPIO DE JOCOTEPEC, JALISCO</v>
      </c>
      <c r="AD269" s="4">
        <f>OBRA!R268</f>
        <v>729291.31</v>
      </c>
      <c r="AE269" s="6">
        <f>OBRA!S268</f>
        <v>42916</v>
      </c>
      <c r="AF269" s="5">
        <f>OBRA!T268</f>
        <v>42917</v>
      </c>
      <c r="AG269" s="390">
        <f>OBRA!U268</f>
        <v>43158</v>
      </c>
      <c r="AH269" s="52"/>
      <c r="AI269" s="211"/>
      <c r="AJ269" s="242"/>
      <c r="AK269" s="242"/>
      <c r="AL269" s="394"/>
      <c r="AM269" s="519" t="str">
        <f>GRAL!B270</f>
        <v>2015-2018</v>
      </c>
    </row>
    <row r="270" spans="1:39" s="104" customFormat="1" ht="30" hidden="1" customHeight="1" thickTop="1">
      <c r="A270" s="830">
        <f>OBRA!J269</f>
        <v>2017</v>
      </c>
      <c r="B270" s="1684"/>
      <c r="C270" s="831"/>
      <c r="D270" s="147"/>
      <c r="E270" s="149"/>
      <c r="F270" s="149"/>
      <c r="G270" s="832"/>
      <c r="H270" s="150">
        <f>OBRA!AF269</f>
        <v>0</v>
      </c>
      <c r="I270" s="417"/>
      <c r="J270" s="110">
        <f>OBRA!AG269</f>
        <v>0</v>
      </c>
      <c r="K270" s="834"/>
      <c r="L270" s="150">
        <f>OBRA!AH269</f>
        <v>0</v>
      </c>
      <c r="M270" s="833"/>
      <c r="N270" s="150">
        <f>OBRA!AI269</f>
        <v>0</v>
      </c>
      <c r="O270" s="150"/>
      <c r="P270" s="150"/>
      <c r="Q270" s="834"/>
      <c r="R270" s="420">
        <f>OBRA!AJ269</f>
        <v>0</v>
      </c>
      <c r="S270" s="840"/>
      <c r="T270" s="149" t="str">
        <f>OBRA!W269</f>
        <v>-</v>
      </c>
      <c r="U270" s="152" t="str">
        <f>OBRA!X269</f>
        <v>-</v>
      </c>
      <c r="V270" s="147"/>
      <c r="W270" s="33" t="str">
        <f>OBRA!N269</f>
        <v>GMJ 044C OP/2017</v>
      </c>
      <c r="X270" s="103"/>
      <c r="Y270" s="103"/>
      <c r="Z270" s="103">
        <f>OBRA!M269</f>
        <v>0</v>
      </c>
      <c r="AA270" s="103"/>
      <c r="AB270" s="186" t="str">
        <f>OBRA!O269</f>
        <v>CANCELADA</v>
      </c>
      <c r="AC270" s="106">
        <f>OBRA!P269</f>
        <v>0</v>
      </c>
      <c r="AD270" s="86">
        <f>OBRA!R269</f>
        <v>0</v>
      </c>
      <c r="AE270" s="87">
        <f>OBRA!S269</f>
        <v>0</v>
      </c>
      <c r="AF270" s="88">
        <f>OBRA!T269</f>
        <v>0</v>
      </c>
      <c r="AG270" s="391">
        <f>OBRA!U269</f>
        <v>0</v>
      </c>
      <c r="AH270" s="101"/>
      <c r="AI270" s="84"/>
      <c r="AJ270" s="96"/>
      <c r="AK270" s="96"/>
      <c r="AL270" s="97"/>
      <c r="AM270" s="354" t="str">
        <f>GRAL!B271</f>
        <v>2012-2015</v>
      </c>
    </row>
    <row r="271" spans="1:39" ht="178.5" hidden="1" customHeight="1" thickTop="1">
      <c r="A271" s="158">
        <f>OBRA!J270</f>
        <v>2017</v>
      </c>
      <c r="B271" s="1683"/>
      <c r="C271" s="411"/>
      <c r="D271" s="146" t="s">
        <v>2421</v>
      </c>
      <c r="E271" s="148" t="s">
        <v>2422</v>
      </c>
      <c r="F271" s="148" t="s">
        <v>2387</v>
      </c>
      <c r="G271" s="413"/>
      <c r="H271" s="580">
        <f>OBRA!AF270</f>
        <v>42970</v>
      </c>
      <c r="I271" s="413"/>
      <c r="J271" s="581">
        <f>OBRA!AG270</f>
        <v>42971</v>
      </c>
      <c r="K271" s="413"/>
      <c r="L271" s="580">
        <f>OBRA!AH270</f>
        <v>42972</v>
      </c>
      <c r="M271" s="875"/>
      <c r="N271" s="580">
        <f>OBRA!AI270</f>
        <v>42975</v>
      </c>
      <c r="O271" s="166" t="s">
        <v>2350</v>
      </c>
      <c r="P271" s="585">
        <v>0.3888888888888889</v>
      </c>
      <c r="Q271" s="413"/>
      <c r="R271" s="205">
        <f>OBRA!AJ270</f>
        <v>42976</v>
      </c>
      <c r="S271" s="531" t="s">
        <v>2382</v>
      </c>
      <c r="T271" s="399" t="str">
        <f>OBRA!W270</f>
        <v xml:space="preserve">GRUPO DESARROLLADOR INMOBILIARIO CEMERAMA S.A. DE C.V. </v>
      </c>
      <c r="U271" s="408" t="str">
        <f>OBRA!X270</f>
        <v xml:space="preserve">LIC. SALVADOR CONTRERAS </v>
      </c>
      <c r="V271" s="1090"/>
      <c r="W271" s="33" t="str">
        <f>OBRA!N270</f>
        <v>GMJ 045C OP/2017</v>
      </c>
      <c r="X271" s="414"/>
      <c r="Y271" s="600" t="s">
        <v>2423</v>
      </c>
      <c r="Z271" s="409" t="str">
        <f>OBRA!M270</f>
        <v>FONDEREG</v>
      </c>
      <c r="AA271" s="412" t="s">
        <v>2424</v>
      </c>
      <c r="AB271" s="2" t="str">
        <f>OBRA!O270</f>
        <v>INVITACIÓN</v>
      </c>
      <c r="AC271" s="3" t="str">
        <f>OBRA!P270</f>
        <v>REHABILITACIÓN DE IMAGEN URBANA Y ACONDICIONAMIENTO DE LA CALLE DONATO GUERRA ENTRE CALLE HIDALGO Y CALLE INDEPENDENCIA 1ERA ETAPA EN LA CABECERA MUNICIPAL DE JOCOTEPEC, JALISCO, DEL PROGRAMA FONDEREG 2017</v>
      </c>
      <c r="AD271" s="4">
        <f>OBRA!R270</f>
        <v>3445881.8</v>
      </c>
      <c r="AE271" s="6">
        <f>OBRA!S270</f>
        <v>42976</v>
      </c>
      <c r="AF271" s="5">
        <f>OBRA!T270</f>
        <v>42979</v>
      </c>
      <c r="AG271" s="390">
        <f>OBRA!U270</f>
        <v>43054</v>
      </c>
      <c r="AH271" s="52"/>
      <c r="AI271" s="241" t="s">
        <v>2310</v>
      </c>
      <c r="AJ271" s="878"/>
      <c r="AK271" s="878"/>
      <c r="AL271" s="877"/>
      <c r="AM271" s="519" t="str">
        <f>GRAL!B272</f>
        <v>2015-2018</v>
      </c>
    </row>
    <row r="272" spans="1:39" ht="179.25" hidden="1" customHeight="1" thickTop="1">
      <c r="A272" s="158">
        <f>OBRA!J271</f>
        <v>2017</v>
      </c>
      <c r="B272" s="1683"/>
      <c r="C272" s="599"/>
      <c r="D272" s="146" t="s">
        <v>2421</v>
      </c>
      <c r="E272" s="148" t="s">
        <v>2422</v>
      </c>
      <c r="F272" s="148" t="s">
        <v>2387</v>
      </c>
      <c r="G272" s="413"/>
      <c r="H272" s="580">
        <f>OBRA!AF271</f>
        <v>42936</v>
      </c>
      <c r="I272" s="503"/>
      <c r="J272" s="581">
        <f>OBRA!AG271</f>
        <v>42961</v>
      </c>
      <c r="K272" s="503"/>
      <c r="L272" s="580">
        <f>OBRA!AH271</f>
        <v>42963</v>
      </c>
      <c r="M272" s="503"/>
      <c r="N272" s="580">
        <f>OBRA!AI271</f>
        <v>42970</v>
      </c>
      <c r="O272" s="166" t="s">
        <v>2350</v>
      </c>
      <c r="P272" s="585">
        <v>0.3888888888888889</v>
      </c>
      <c r="Q272" s="413"/>
      <c r="R272" s="205">
        <f>OBRA!AJ271</f>
        <v>42975</v>
      </c>
      <c r="S272" s="531" t="s">
        <v>2425</v>
      </c>
      <c r="T272" s="399" t="str">
        <f>OBRA!W271</f>
        <v>PROYECCION INTEGRAL ZURE S.A. DE C.V.</v>
      </c>
      <c r="U272" s="408" t="str">
        <f>OBRA!X271</f>
        <v xml:space="preserve">LIC. SALVADOR CONTRERAS </v>
      </c>
      <c r="V272" s="1090"/>
      <c r="W272" s="33" t="str">
        <f>OBRA!N271</f>
        <v>GMJ 046C OP/2017</v>
      </c>
      <c r="X272" s="414"/>
      <c r="Y272" s="600" t="s">
        <v>2426</v>
      </c>
      <c r="Z272" s="409" t="str">
        <f>OBRA!M271</f>
        <v>FOCOCI</v>
      </c>
      <c r="AA272" s="12" t="s">
        <v>2427</v>
      </c>
      <c r="AB272" s="2" t="str">
        <f>OBRA!O271</f>
        <v>INVITACIÓN</v>
      </c>
      <c r="AC272" s="3" t="str">
        <f>OBRA!P271</f>
        <v>REHABILITACIÓN DE IMAGEN URBANA Y ACONDICIONAMIENTO DE LA CALLE DONATO GUERRA ENTRE CALLE HIDALGO Y CALLE GUADALUPE VICTORIA, 1ER ETAPA, EN LA CABECERA MUNICIPAL DEL MUNICIPIO DE JOCOTEPEC, JALISCO</v>
      </c>
      <c r="AD272" s="4">
        <f>OBRA!R271</f>
        <v>2995704.85</v>
      </c>
      <c r="AE272" s="6">
        <f>OBRA!S271</f>
        <v>42949</v>
      </c>
      <c r="AF272" s="5">
        <f>OBRA!T271</f>
        <v>42982</v>
      </c>
      <c r="AG272" s="390">
        <f>OBRA!U271</f>
        <v>43049</v>
      </c>
      <c r="AH272" s="52"/>
      <c r="AI272" s="241" t="s">
        <v>2310</v>
      </c>
      <c r="AJ272" s="878"/>
      <c r="AK272" s="878"/>
      <c r="AL272" s="877"/>
      <c r="AM272" s="519" t="str">
        <f>GRAL!B273</f>
        <v>2015-2018</v>
      </c>
    </row>
    <row r="273" spans="1:39" ht="120" hidden="1" customHeight="1" thickTop="1">
      <c r="A273" s="158">
        <f>OBRA!J272</f>
        <v>-2016</v>
      </c>
      <c r="B273" s="1683"/>
      <c r="C273" s="395"/>
      <c r="D273" s="146"/>
      <c r="E273" s="148"/>
      <c r="F273" s="148"/>
      <c r="G273" s="398"/>
      <c r="H273" s="404" t="str">
        <f>OBRA!AF272</f>
        <v>-</v>
      </c>
      <c r="I273" s="400"/>
      <c r="J273" s="406" t="str">
        <f>OBRA!AG272</f>
        <v>-</v>
      </c>
      <c r="K273" s="401"/>
      <c r="L273" s="404" t="str">
        <f>OBRA!AH272</f>
        <v>-</v>
      </c>
      <c r="M273" s="402"/>
      <c r="N273" s="404" t="str">
        <f>OBRA!AI272</f>
        <v>-</v>
      </c>
      <c r="O273" s="144"/>
      <c r="P273" s="144"/>
      <c r="Q273" s="403"/>
      <c r="R273" s="407" t="str">
        <f>OBRA!AJ272</f>
        <v>-</v>
      </c>
      <c r="S273" s="201"/>
      <c r="T273" s="399" t="str">
        <f>OBRA!W272</f>
        <v>CONSTRUCTORA DALMA S.A. DE C.V.</v>
      </c>
      <c r="U273" s="408" t="str">
        <f>OBRA!X272</f>
        <v>ARQ. FRANCISCO SALAZAR</v>
      </c>
      <c r="V273" s="1090"/>
      <c r="W273" s="19" t="str">
        <f>OBRA!N272</f>
        <v>GMJ 047C OP/2017</v>
      </c>
      <c r="X273" s="12"/>
      <c r="Y273" s="12" t="s">
        <v>2428</v>
      </c>
      <c r="Z273" s="409" t="str">
        <f>OBRA!M272</f>
        <v>FOREMODA</v>
      </c>
      <c r="AA273" s="12"/>
      <c r="AB273" s="2" t="str">
        <f>OBRA!O272</f>
        <v>ADJUDICACIÓN DIRECTA</v>
      </c>
      <c r="AC273" s="3" t="str">
        <f>OBRA!P272</f>
        <v>AMPLIACION DE LA PRIMERA TEMPORADA DEL PROYECTO DE RESTAURACIÓN Y CONSERVACION DEL ANTIGUO TEMPLO DE INDIOS (HOSPITALITO DE SAN JUAN COSALA) EN LA DELEGACION DE SAN JUAN COSALA, DEL MUNICIPIO DE JOCOTEPEC</v>
      </c>
      <c r="AD273" s="4">
        <f>OBRA!R272</f>
        <v>440000</v>
      </c>
      <c r="AE273" s="6">
        <f>OBRA!S272</f>
        <v>42943</v>
      </c>
      <c r="AF273" s="5">
        <f>OBRA!T272</f>
        <v>43017</v>
      </c>
      <c r="AG273" s="390">
        <f>OBRA!U272</f>
        <v>43087</v>
      </c>
      <c r="AH273" s="52"/>
      <c r="AI273" s="211"/>
      <c r="AJ273" s="242"/>
      <c r="AK273" s="242"/>
      <c r="AL273" s="394"/>
      <c r="AM273" s="519" t="str">
        <f>GRAL!B274</f>
        <v>2015-2018</v>
      </c>
    </row>
    <row r="274" spans="1:39" ht="30" hidden="1" customHeight="1" thickTop="1">
      <c r="A274" s="158">
        <f>OBRA!J273</f>
        <v>2017</v>
      </c>
      <c r="B274" s="1683"/>
      <c r="C274" s="395"/>
      <c r="D274" s="146"/>
      <c r="E274" s="148"/>
      <c r="F274" s="148"/>
      <c r="G274" s="398"/>
      <c r="H274" s="404" t="str">
        <f>OBRA!AF273</f>
        <v>-</v>
      </c>
      <c r="I274" s="400"/>
      <c r="J274" s="406" t="str">
        <f>OBRA!AG273</f>
        <v>-</v>
      </c>
      <c r="K274" s="401"/>
      <c r="L274" s="404" t="str">
        <f>OBRA!AH273</f>
        <v>-</v>
      </c>
      <c r="M274" s="402"/>
      <c r="N274" s="404" t="str">
        <f>OBRA!AI273</f>
        <v>-</v>
      </c>
      <c r="O274" s="144"/>
      <c r="P274" s="144"/>
      <c r="Q274" s="403"/>
      <c r="R274" s="407" t="str">
        <f>OBRA!AJ273</f>
        <v>-</v>
      </c>
      <c r="S274" s="201"/>
      <c r="T274" s="399" t="str">
        <f>OBRA!W273</f>
        <v>ASFALTOS GUADALAJARA, S.A.P.I. DE C.V.</v>
      </c>
      <c r="U274" s="408" t="str">
        <f>OBRA!X273</f>
        <v>ING. ANGEL ALBERTO HERNANDEZ MORA</v>
      </c>
      <c r="V274" s="1090"/>
      <c r="W274" s="19" t="str">
        <f>OBRA!N273</f>
        <v>GMJ 048C OP/2017</v>
      </c>
      <c r="X274" s="12"/>
      <c r="Y274" s="12" t="s">
        <v>2429</v>
      </c>
      <c r="Z274" s="409" t="str">
        <f>OBRA!M273</f>
        <v>CUENTA CORRIENTE</v>
      </c>
      <c r="AA274" s="12"/>
      <c r="AB274" s="2" t="str">
        <f>OBRA!O273</f>
        <v>ADJUDICACIÓN DIRECTA</v>
      </c>
      <c r="AC274" s="3" t="str">
        <f>OBRA!P273</f>
        <v>REENCARPETAMIENTO Y BACHEO EN VARIAS CALLES EN LA LOCALIDAD DE ZAPOTITAN DE HIDALGO, MUNICIPIO DE JOCOTEPEC, JALISCO</v>
      </c>
      <c r="AD274" s="4">
        <f>OBRA!R273</f>
        <v>1254850.92</v>
      </c>
      <c r="AE274" s="6">
        <f>OBRA!S273</f>
        <v>42977</v>
      </c>
      <c r="AF274" s="5">
        <f>OBRA!T273</f>
        <v>42977</v>
      </c>
      <c r="AG274" s="390">
        <f>OBRA!U273</f>
        <v>43008</v>
      </c>
      <c r="AH274" s="52"/>
      <c r="AI274" s="211"/>
      <c r="AJ274" s="242"/>
      <c r="AK274" s="242"/>
      <c r="AL274" s="394"/>
      <c r="AM274" s="519" t="str">
        <f>GRAL!B275</f>
        <v>2015-2018</v>
      </c>
    </row>
    <row r="275" spans="1:39" ht="30" hidden="1" customHeight="1" thickTop="1">
      <c r="A275" s="158">
        <f>OBRA!J274</f>
        <v>2017</v>
      </c>
      <c r="B275" s="1683"/>
      <c r="C275" s="395"/>
      <c r="D275" s="146"/>
      <c r="E275" s="148"/>
      <c r="F275" s="148"/>
      <c r="G275" s="398"/>
      <c r="H275" s="404" t="str">
        <f>OBRA!AF274</f>
        <v>-</v>
      </c>
      <c r="I275" s="400"/>
      <c r="J275" s="406" t="str">
        <f>OBRA!AG274</f>
        <v>-</v>
      </c>
      <c r="K275" s="401"/>
      <c r="L275" s="404" t="str">
        <f>OBRA!AH274</f>
        <v>-</v>
      </c>
      <c r="M275" s="402"/>
      <c r="N275" s="404" t="str">
        <f>OBRA!AI274</f>
        <v>-</v>
      </c>
      <c r="O275" s="144"/>
      <c r="P275" s="144"/>
      <c r="Q275" s="403"/>
      <c r="R275" s="407" t="str">
        <f>OBRA!AJ274</f>
        <v>-</v>
      </c>
      <c r="S275" s="201"/>
      <c r="T275" s="399" t="str">
        <f>OBRA!W274</f>
        <v>ASFALTOS GUADALAJARA, S.A.P.I. DE C.V.</v>
      </c>
      <c r="U275" s="408" t="str">
        <f>OBRA!X274</f>
        <v>ING. ANGEL ALBERTO HERNANDEZ MORA</v>
      </c>
      <c r="V275" s="1090"/>
      <c r="W275" s="19" t="str">
        <f>OBRA!N274</f>
        <v>GMJ 049C OP/2017</v>
      </c>
      <c r="X275" s="12"/>
      <c r="Y275" s="12"/>
      <c r="Z275" s="409" t="str">
        <f>OBRA!M274</f>
        <v>CUENTA CORRIENTE</v>
      </c>
      <c r="AA275" s="12"/>
      <c r="AB275" s="2" t="str">
        <f>OBRA!O274</f>
        <v>ADJUDICACIÓN DIRECTA</v>
      </c>
      <c r="AC275" s="3" t="str">
        <f>OBRA!P274</f>
        <v>REENCARPETAMIENTO Y BACHEO EN VARIAS CALLES DE LA CABECERA MUNICIPAL, DEL MUNICIPIO DE JOCOTEPEC, JALISCO</v>
      </c>
      <c r="AD275" s="4">
        <f>OBRA!R274</f>
        <v>1053156.1299999999</v>
      </c>
      <c r="AE275" s="6">
        <f>OBRA!S274</f>
        <v>42977</v>
      </c>
      <c r="AF275" s="5">
        <f>OBRA!T274</f>
        <v>42977</v>
      </c>
      <c r="AG275" s="390">
        <f>OBRA!U274</f>
        <v>43053</v>
      </c>
      <c r="AH275" s="52"/>
      <c r="AI275" s="211"/>
      <c r="AJ275" s="242"/>
      <c r="AK275" s="242"/>
      <c r="AL275" s="394"/>
      <c r="AM275" s="519" t="str">
        <f>GRAL!B276</f>
        <v>2015-2018</v>
      </c>
    </row>
    <row r="276" spans="1:39" ht="30" hidden="1" customHeight="1" thickTop="1">
      <c r="A276" s="158">
        <f>OBRA!J275</f>
        <v>2017</v>
      </c>
      <c r="B276" s="1683"/>
      <c r="C276" s="395"/>
      <c r="D276" s="146"/>
      <c r="E276" s="148"/>
      <c r="F276" s="148"/>
      <c r="G276" s="398"/>
      <c r="H276" s="404" t="str">
        <f>OBRA!AF275</f>
        <v>-</v>
      </c>
      <c r="I276" s="400"/>
      <c r="J276" s="406" t="str">
        <f>OBRA!AG275</f>
        <v>-</v>
      </c>
      <c r="K276" s="401"/>
      <c r="L276" s="404" t="str">
        <f>OBRA!AH275</f>
        <v>-</v>
      </c>
      <c r="M276" s="402"/>
      <c r="N276" s="404" t="str">
        <f>OBRA!AI275</f>
        <v>-</v>
      </c>
      <c r="O276" s="144"/>
      <c r="P276" s="144"/>
      <c r="Q276" s="403"/>
      <c r="R276" s="407" t="str">
        <f>OBRA!AJ275</f>
        <v>-</v>
      </c>
      <c r="S276" s="201"/>
      <c r="T276" s="399" t="str">
        <f>OBRA!W275</f>
        <v>ASFALTOS GUADALAJARA, S.A.P.I. DE C.V.</v>
      </c>
      <c r="U276" s="408" t="str">
        <f>OBRA!X275</f>
        <v>ING. ANGEL ALBERTO HERNANDEZ MORA</v>
      </c>
      <c r="V276" s="1090"/>
      <c r="W276" s="19" t="str">
        <f>OBRA!N275</f>
        <v>GMJ 050C OP/2017</v>
      </c>
      <c r="X276" s="12"/>
      <c r="Y276" s="12"/>
      <c r="Z276" s="409" t="str">
        <f>OBRA!M275</f>
        <v>CUENTA CORRIENTE</v>
      </c>
      <c r="AA276" s="12"/>
      <c r="AB276" s="2" t="str">
        <f>OBRA!O275</f>
        <v>ADJUDICACIÓN DIRECTA</v>
      </c>
      <c r="AC276" s="3" t="str">
        <f>OBRA!P275</f>
        <v>REENCARPETAMIENTO Y BACHEO EN VARIAS CALLES EN LA LOCALIDAD DE SAN CRISTOBAL ZAPOTITLAN, DEL MUNICIPIO DE JOCOTEPEC, JALISCO</v>
      </c>
      <c r="AD276" s="4">
        <f>OBRA!R275</f>
        <v>614358.76</v>
      </c>
      <c r="AE276" s="6">
        <f>OBRA!S275</f>
        <v>43007</v>
      </c>
      <c r="AF276" s="5">
        <f>OBRA!T275</f>
        <v>43010</v>
      </c>
      <c r="AG276" s="390">
        <f>OBRA!U275</f>
        <v>43017</v>
      </c>
      <c r="AH276" s="52"/>
      <c r="AI276" s="211"/>
      <c r="AJ276" s="242"/>
      <c r="AK276" s="242"/>
      <c r="AL276" s="394"/>
      <c r="AM276" s="519" t="str">
        <f>GRAL!B277</f>
        <v>2015-2018</v>
      </c>
    </row>
    <row r="277" spans="1:39" ht="30" hidden="1" customHeight="1" thickTop="1">
      <c r="A277" s="158">
        <f>OBRA!J276</f>
        <v>2017</v>
      </c>
      <c r="B277" s="1683"/>
      <c r="C277" s="395"/>
      <c r="D277" s="146"/>
      <c r="E277" s="148"/>
      <c r="F277" s="148"/>
      <c r="G277" s="398"/>
      <c r="H277" s="404" t="str">
        <f>OBRA!AF276</f>
        <v>-</v>
      </c>
      <c r="I277" s="400"/>
      <c r="J277" s="406" t="str">
        <f>OBRA!AG276</f>
        <v>-</v>
      </c>
      <c r="K277" s="401"/>
      <c r="L277" s="404" t="str">
        <f>OBRA!AH276</f>
        <v>-</v>
      </c>
      <c r="M277" s="402"/>
      <c r="N277" s="404" t="str">
        <f>OBRA!AI276</f>
        <v>-</v>
      </c>
      <c r="O277" s="144"/>
      <c r="P277" s="144"/>
      <c r="Q277" s="403"/>
      <c r="R277" s="407" t="str">
        <f>OBRA!AJ276</f>
        <v>-</v>
      </c>
      <c r="S277" s="201"/>
      <c r="T277" s="399" t="str">
        <f>OBRA!W276</f>
        <v>ING. SERGIO CABRERA</v>
      </c>
      <c r="U277" s="408" t="str">
        <f>OBRA!X276</f>
        <v>ING. J. GUADALUPE IBARRA RAMIREZ</v>
      </c>
      <c r="V277" s="1090"/>
      <c r="W277" s="19" t="str">
        <f>OBRA!N276</f>
        <v>GMJ 051C OP/2017</v>
      </c>
      <c r="X277" s="12"/>
      <c r="Y277" s="12"/>
      <c r="Z277" s="409" t="str">
        <f>OBRA!M276</f>
        <v>Fondo de proyectos para el Desarrollo Regional</v>
      </c>
      <c r="AA277" s="12"/>
      <c r="AB277" s="2" t="str">
        <f>OBRA!O276</f>
        <v>ADJUDICACIÓN DIRECTA</v>
      </c>
      <c r="AC277" s="3" t="str">
        <f>OBRA!P276</f>
        <v>PROYECTO CONSTRUCCIÓN DE ASFALTO, CONSTRUCCION CUNETAS Y CONSTRUCCIÓN DE BANQUETAS EN LA CALLE NIÑOS HEROES DEL LIBRAMIENTO A CALLE PROL. ALDAMA, EN LA CABECERA MUNICIPAL DEL JOCOTEPEC, JALISCO.</v>
      </c>
      <c r="AD277" s="4">
        <f>OBRA!R276</f>
        <v>607706.15</v>
      </c>
      <c r="AE277" s="6">
        <f>OBRA!S276</f>
        <v>42992</v>
      </c>
      <c r="AF277" s="5">
        <f>OBRA!T276</f>
        <v>43059</v>
      </c>
      <c r="AG277" s="390">
        <f>OBRA!U276</f>
        <v>43084</v>
      </c>
      <c r="AH277" s="52"/>
      <c r="AI277" s="211"/>
      <c r="AJ277" s="242"/>
      <c r="AK277" s="242"/>
      <c r="AL277" s="394"/>
      <c r="AM277" s="519" t="str">
        <f>GRAL!B278</f>
        <v>2015-2018</v>
      </c>
    </row>
    <row r="278" spans="1:39" s="104" customFormat="1" ht="30" hidden="1" customHeight="1" thickTop="1">
      <c r="A278" s="830">
        <f>OBRA!J277</f>
        <v>2017</v>
      </c>
      <c r="B278" s="1684"/>
      <c r="C278" s="831"/>
      <c r="D278" s="147"/>
      <c r="E278" s="149"/>
      <c r="F278" s="149"/>
      <c r="G278" s="832"/>
      <c r="H278" s="150">
        <f>OBRA!AF277</f>
        <v>0</v>
      </c>
      <c r="I278" s="417"/>
      <c r="J278" s="110">
        <f>OBRA!AG277</f>
        <v>0</v>
      </c>
      <c r="K278" s="834"/>
      <c r="L278" s="150">
        <f>OBRA!AH277</f>
        <v>0</v>
      </c>
      <c r="M278" s="833"/>
      <c r="N278" s="150">
        <f>OBRA!AI277</f>
        <v>0</v>
      </c>
      <c r="O278" s="150"/>
      <c r="P278" s="150"/>
      <c r="Q278" s="834"/>
      <c r="R278" s="420">
        <f>OBRA!AJ277</f>
        <v>0</v>
      </c>
      <c r="S278" s="840"/>
      <c r="T278" s="149">
        <f>OBRA!W277</f>
        <v>0</v>
      </c>
      <c r="U278" s="152">
        <f>OBRA!X277</f>
        <v>0</v>
      </c>
      <c r="V278" s="147"/>
      <c r="W278" s="829" t="str">
        <f>OBRA!N277</f>
        <v>GMJ 052C OP/2017</v>
      </c>
      <c r="X278" s="103"/>
      <c r="Y278" s="103"/>
      <c r="Z278" s="103">
        <f>OBRA!M277</f>
        <v>0</v>
      </c>
      <c r="AA278" s="103"/>
      <c r="AB278" s="186" t="str">
        <f>OBRA!O277</f>
        <v>CANCELADA</v>
      </c>
      <c r="AC278" s="106" t="str">
        <f>OBRA!P277</f>
        <v>CANCELADO</v>
      </c>
      <c r="AD278" s="86">
        <f>OBRA!R277</f>
        <v>0</v>
      </c>
      <c r="AE278" s="87">
        <f>OBRA!S277</f>
        <v>0</v>
      </c>
      <c r="AF278" s="88">
        <f>OBRA!T277</f>
        <v>0</v>
      </c>
      <c r="AG278" s="391">
        <f>OBRA!U277</f>
        <v>0</v>
      </c>
      <c r="AH278" s="101"/>
      <c r="AI278" s="84"/>
      <c r="AJ278" s="96"/>
      <c r="AK278" s="96"/>
      <c r="AL278" s="97"/>
      <c r="AM278" s="354" t="str">
        <f>GRAL!B279</f>
        <v>2012-2015</v>
      </c>
    </row>
    <row r="279" spans="1:39" ht="45.75" hidden="1" thickTop="1">
      <c r="A279" s="158">
        <f>OBRA!J278</f>
        <v>-2016</v>
      </c>
      <c r="B279" s="1683"/>
      <c r="C279" s="395"/>
      <c r="D279" s="146"/>
      <c r="E279" s="148"/>
      <c r="F279" s="148"/>
      <c r="G279" s="398"/>
      <c r="H279" s="404" t="str">
        <f>OBRA!AF278</f>
        <v>-</v>
      </c>
      <c r="I279" s="400"/>
      <c r="J279" s="406" t="str">
        <f>OBRA!AG278</f>
        <v>-</v>
      </c>
      <c r="K279" s="401"/>
      <c r="L279" s="404" t="str">
        <f>OBRA!AH278</f>
        <v>-</v>
      </c>
      <c r="M279" s="402"/>
      <c r="N279" s="404" t="str">
        <f>OBRA!AI278</f>
        <v>-</v>
      </c>
      <c r="O279" s="144"/>
      <c r="P279" s="144"/>
      <c r="Q279" s="403"/>
      <c r="R279" s="407" t="str">
        <f>OBRA!AJ278</f>
        <v>-</v>
      </c>
      <c r="S279" s="201"/>
      <c r="T279" s="399" t="str">
        <f>OBRA!W278</f>
        <v>C. JESSICA MONSERRAT RIVERA TORRES</v>
      </c>
      <c r="U279" s="408" t="str">
        <f>OBRA!X278</f>
        <v>ING. RIGOBERTO OLMEDO RAMOS</v>
      </c>
      <c r="V279" s="1090"/>
      <c r="W279" s="19" t="str">
        <f>OBRA!N278</f>
        <v>GMJ 053C OP/2017</v>
      </c>
      <c r="X279" s="12"/>
      <c r="Y279" s="12"/>
      <c r="Z279" s="409" t="str">
        <f>OBRA!M278</f>
        <v>RAMO 33</v>
      </c>
      <c r="AA279" s="12"/>
      <c r="AB279" s="2" t="str">
        <f>OBRA!O278</f>
        <v>ADJUDICACIÓN DIRECTA</v>
      </c>
      <c r="AC279" s="3" t="str">
        <f>OBRA!P278</f>
        <v>EQUIPAMIENTO  DE POZO PROFUNDO EN LA CALLE JUAREZ, EN LA LOCALIDAD DE CHANTEPEC, DEL MUNICIPIO DE JOCOTEPEC, JALISCO</v>
      </c>
      <c r="AD279" s="4">
        <f>OBRA!R278</f>
        <v>335569.36</v>
      </c>
      <c r="AE279" s="6">
        <f>OBRA!S278</f>
        <v>43000</v>
      </c>
      <c r="AF279" s="5">
        <f>OBRA!T278</f>
        <v>43003</v>
      </c>
      <c r="AG279" s="390">
        <f>OBRA!U278</f>
        <v>43023</v>
      </c>
      <c r="AH279" s="52"/>
      <c r="AI279" s="211"/>
      <c r="AJ279" s="242"/>
      <c r="AK279" s="242"/>
      <c r="AL279" s="394"/>
      <c r="AM279" s="519" t="str">
        <f>GRAL!B280</f>
        <v>2015-2018</v>
      </c>
    </row>
    <row r="280" spans="1:39" ht="30" hidden="1" customHeight="1" thickTop="1">
      <c r="A280" s="158">
        <f>OBRA!J279</f>
        <v>2017</v>
      </c>
      <c r="B280" s="1683"/>
      <c r="C280" s="395"/>
      <c r="D280" s="146"/>
      <c r="E280" s="148"/>
      <c r="F280" s="148"/>
      <c r="G280" s="398"/>
      <c r="H280" s="404" t="str">
        <f>OBRA!AF279</f>
        <v>-</v>
      </c>
      <c r="I280" s="400"/>
      <c r="J280" s="406" t="str">
        <f>OBRA!AG279</f>
        <v>-</v>
      </c>
      <c r="K280" s="401"/>
      <c r="L280" s="404" t="str">
        <f>OBRA!AH279</f>
        <v>-</v>
      </c>
      <c r="M280" s="402"/>
      <c r="N280" s="404" t="str">
        <f>OBRA!AI279</f>
        <v>-</v>
      </c>
      <c r="O280" s="144"/>
      <c r="P280" s="144"/>
      <c r="Q280" s="403"/>
      <c r="R280" s="407" t="str">
        <f>OBRA!AJ279</f>
        <v>-</v>
      </c>
      <c r="S280" s="201"/>
      <c r="T280" s="399" t="str">
        <f>OBRA!W279</f>
        <v>ING. MANUEL PALOS VACA</v>
      </c>
      <c r="U280" s="408" t="str">
        <f>OBRA!X279</f>
        <v>ING. ANGEL ALBERTO HERNANDEZ MORA</v>
      </c>
      <c r="V280" s="1090"/>
      <c r="W280" s="19" t="str">
        <f>OBRA!N279</f>
        <v>GMJ 054C OP/2017</v>
      </c>
      <c r="X280" s="12"/>
      <c r="Y280" s="12"/>
      <c r="Z280" s="409" t="str">
        <f>OBRA!M279</f>
        <v>CUENTA CORRIENTE</v>
      </c>
      <c r="AA280" s="12"/>
      <c r="AB280" s="2" t="str">
        <f>OBRA!O279</f>
        <v>ADJUDICACIÓN DIRECTA</v>
      </c>
      <c r="AC280" s="3" t="str">
        <f>OBRA!P279</f>
        <v>ADECUACION DE CUNETA Y REEMPEDRADO AHOGADO EN CEMENTO EN LA CALLE LOS GUAYABOS EN LA AGENCIA MUNICIPAL DE NEXTIPAC, DEL MUNICIPIO DE JOCOTEPEC, JALISCO</v>
      </c>
      <c r="AD280" s="4">
        <f>OBRA!R279</f>
        <v>240397.92</v>
      </c>
      <c r="AE280" s="6">
        <f>OBRA!S279</f>
        <v>42979</v>
      </c>
      <c r="AF280" s="5">
        <f>OBRA!T279</f>
        <v>42980</v>
      </c>
      <c r="AG280" s="390">
        <f>OBRA!U279</f>
        <v>43007</v>
      </c>
      <c r="AH280" s="52"/>
      <c r="AI280" s="211"/>
      <c r="AJ280" s="242"/>
      <c r="AK280" s="242"/>
      <c r="AL280" s="394"/>
      <c r="AM280" s="519" t="str">
        <f>GRAL!B281</f>
        <v>2015-2018</v>
      </c>
    </row>
    <row r="281" spans="1:39" ht="30" hidden="1" customHeight="1" thickTop="1">
      <c r="A281" s="158">
        <f>OBRA!J280</f>
        <v>2017</v>
      </c>
      <c r="B281" s="1683"/>
      <c r="C281" s="395"/>
      <c r="D281" s="146"/>
      <c r="E281" s="148"/>
      <c r="F281" s="148"/>
      <c r="G281" s="398"/>
      <c r="H281" s="404" t="str">
        <f>OBRA!AF280</f>
        <v>-</v>
      </c>
      <c r="I281" s="400"/>
      <c r="J281" s="406" t="str">
        <f>OBRA!AG280</f>
        <v>-</v>
      </c>
      <c r="K281" s="401"/>
      <c r="L281" s="404" t="str">
        <f>OBRA!AH280</f>
        <v>-</v>
      </c>
      <c r="M281" s="402"/>
      <c r="N281" s="404" t="str">
        <f>OBRA!AI280</f>
        <v>-</v>
      </c>
      <c r="O281" s="144"/>
      <c r="P281" s="144"/>
      <c r="Q281" s="403"/>
      <c r="R281" s="407" t="str">
        <f>OBRA!AJ280</f>
        <v>-</v>
      </c>
      <c r="S281" s="201"/>
      <c r="T281" s="399" t="str">
        <f>OBRA!W280</f>
        <v>AGUA Y SANEAMIENTO AMBIENTAL S.A. DE C.V.</v>
      </c>
      <c r="U281" s="408" t="str">
        <f>OBRA!X280</f>
        <v>ING. JUAN MANUEL GARCIA ESCOTO</v>
      </c>
      <c r="V281" s="1090"/>
      <c r="W281" s="19" t="str">
        <f>OBRA!N280</f>
        <v>GMJ 055C OP/2017</v>
      </c>
      <c r="X281" s="12"/>
      <c r="Y281" s="12"/>
      <c r="Z281" s="409" t="str">
        <f>OBRA!M280</f>
        <v>CUENTA CORRIENTE</v>
      </c>
      <c r="AA281" s="12"/>
      <c r="AB281" s="2" t="str">
        <f>OBRA!O280</f>
        <v>ADJUDICACIÓN DIRECTA</v>
      </c>
      <c r="AC281" s="3" t="str">
        <f>OBRA!P280</f>
        <v>SUMINISTRO Y COLOCACION DE CARCAMO DE BOMBEO PREFABRICADO DE CONCRETO ARMADO MARCA ASA-JET, PARA EL COLECTOR SANITARIO DEL MALECON EN LA CABECERA MUNICIPAL DEL MUNICIPIO DE JOCOTEPEC, JALISCO</v>
      </c>
      <c r="AD281" s="4">
        <f>OBRA!R280</f>
        <v>743056.9</v>
      </c>
      <c r="AE281" s="6">
        <f>OBRA!S280</f>
        <v>43052</v>
      </c>
      <c r="AF281" s="5">
        <f>OBRA!T280</f>
        <v>43061</v>
      </c>
      <c r="AG281" s="390">
        <f>OBRA!U280</f>
        <v>43084</v>
      </c>
      <c r="AH281" s="52"/>
      <c r="AI281" s="211"/>
      <c r="AJ281" s="242"/>
      <c r="AK281" s="242"/>
      <c r="AL281" s="394"/>
      <c r="AM281" s="519" t="str">
        <f>GRAL!B282</f>
        <v>2015-2018</v>
      </c>
    </row>
    <row r="282" spans="1:39" ht="30" hidden="1" customHeight="1" thickTop="1">
      <c r="A282" s="158">
        <f>OBRA!J281</f>
        <v>2017</v>
      </c>
      <c r="B282" s="1683"/>
      <c r="C282" s="395"/>
      <c r="D282" s="146"/>
      <c r="E282" s="148"/>
      <c r="F282" s="148"/>
      <c r="G282" s="398"/>
      <c r="H282" s="404" t="str">
        <f>OBRA!AF281</f>
        <v>-</v>
      </c>
      <c r="I282" s="400"/>
      <c r="J282" s="406" t="str">
        <f>OBRA!AG281</f>
        <v>-</v>
      </c>
      <c r="K282" s="401"/>
      <c r="L282" s="404" t="str">
        <f>OBRA!AH281</f>
        <v>-</v>
      </c>
      <c r="M282" s="402"/>
      <c r="N282" s="404" t="str">
        <f>OBRA!AI281</f>
        <v>-</v>
      </c>
      <c r="O282" s="144"/>
      <c r="P282" s="144"/>
      <c r="Q282" s="403"/>
      <c r="R282" s="407" t="str">
        <f>OBRA!AJ281</f>
        <v>-</v>
      </c>
      <c r="S282" s="201"/>
      <c r="T282" s="399" t="str">
        <f>OBRA!W281</f>
        <v>C. JOSÉ MIGUEL GARCIA VALLE</v>
      </c>
      <c r="U282" s="408" t="str">
        <f>OBRA!X281</f>
        <v>ARQ. JAIME CONDE GOMEZ</v>
      </c>
      <c r="V282" s="1090"/>
      <c r="W282" s="19" t="str">
        <f>OBRA!N281</f>
        <v>GMJ 056C OP/2017</v>
      </c>
      <c r="X282" s="12"/>
      <c r="Y282" s="12"/>
      <c r="Z282" s="409" t="str">
        <f>OBRA!M281</f>
        <v>RAMO 33</v>
      </c>
      <c r="AA282" s="12"/>
      <c r="AB282" s="2" t="str">
        <f>OBRA!O281</f>
        <v>ADJUDICACIÓN DIRECTA</v>
      </c>
      <c r="AC282" s="3" t="str">
        <f>OBRA!P281</f>
        <v>REHABILITACION DE LINEA DE DRENAJE EN CALLE VICENTE GUERRERO ENTRE CARRETERA E HIDALGO CON REPOSICIÓN DE SUPERFICIE DE RODAMIENTO, EN LA LOCALIDAD DE SAN JUAN COSALA, ºDEL MUNICIPIO DE JOCOTEPEC, JALISCO</v>
      </c>
      <c r="AD282" s="4">
        <f>OBRA!R281</f>
        <v>493878.63</v>
      </c>
      <c r="AE282" s="6">
        <f>OBRA!S281</f>
        <v>43047</v>
      </c>
      <c r="AF282" s="5">
        <f>OBRA!T281</f>
        <v>43048</v>
      </c>
      <c r="AG282" s="390">
        <f>OBRA!U281</f>
        <v>43086</v>
      </c>
      <c r="AH282" s="52"/>
      <c r="AI282" s="211"/>
      <c r="AJ282" s="242"/>
      <c r="AK282" s="242"/>
      <c r="AL282" s="394"/>
      <c r="AM282" s="519" t="str">
        <f>GRAL!B283</f>
        <v>2015-2018</v>
      </c>
    </row>
    <row r="283" spans="1:39" ht="30" hidden="1" customHeight="1" thickTop="1">
      <c r="A283" s="158">
        <f>OBRA!J282</f>
        <v>2017</v>
      </c>
      <c r="B283" s="1683"/>
      <c r="C283" s="395"/>
      <c r="D283" s="146"/>
      <c r="E283" s="148"/>
      <c r="F283" s="148"/>
      <c r="G283" s="398"/>
      <c r="H283" s="404" t="str">
        <f>OBRA!AF282</f>
        <v>-</v>
      </c>
      <c r="I283" s="400"/>
      <c r="J283" s="406" t="str">
        <f>OBRA!AG282</f>
        <v>-</v>
      </c>
      <c r="K283" s="401"/>
      <c r="L283" s="404" t="str">
        <f>OBRA!AH282</f>
        <v>-</v>
      </c>
      <c r="M283" s="402"/>
      <c r="N283" s="404" t="str">
        <f>OBRA!AI282</f>
        <v>-</v>
      </c>
      <c r="O283" s="144"/>
      <c r="P283" s="144"/>
      <c r="Q283" s="403"/>
      <c r="R283" s="407" t="str">
        <f>OBRA!AJ282</f>
        <v>-</v>
      </c>
      <c r="S283" s="201"/>
      <c r="T283" s="399" t="str">
        <f>OBRA!W282</f>
        <v>C. JOSÉ MIGUEL GARCIA VALLE</v>
      </c>
      <c r="U283" s="408" t="str">
        <f>OBRA!X282</f>
        <v>ARQ. JAIME CONDE GOMEZ</v>
      </c>
      <c r="V283" s="1090"/>
      <c r="W283" s="19" t="str">
        <f>OBRA!N282</f>
        <v>GMJ 057C OP/2017</v>
      </c>
      <c r="X283" s="12"/>
      <c r="Y283" s="12"/>
      <c r="Z283" s="409" t="str">
        <f>OBRA!M282</f>
        <v>RAMO 33</v>
      </c>
      <c r="AA283" s="12"/>
      <c r="AB283" s="2" t="str">
        <f>OBRA!O282</f>
        <v>ADJUDICACIÓN DIRECTA</v>
      </c>
      <c r="AC283" s="3" t="str">
        <f>OBRA!P282</f>
        <v>REHABILITACION DE LINEA DE AGUA POTABLE EN CALLE VICENTE GUERRERO ENTRE CARRETERA E HIDALGO CON REPOSICIÓN DE SUPERFICIE DE RODAMIENTO, EN LA LOCALIDAD DE SAN JUAN COSALA, DEL MUNICIPIO DE JOCOTEPEC, JALISCO</v>
      </c>
      <c r="AD283" s="4">
        <f>OBRA!R282</f>
        <v>515747.25</v>
      </c>
      <c r="AE283" s="6">
        <f>OBRA!S282</f>
        <v>43047</v>
      </c>
      <c r="AF283" s="5">
        <f>OBRA!T282</f>
        <v>43048</v>
      </c>
      <c r="AG283" s="390">
        <f>OBRA!U282</f>
        <v>43081</v>
      </c>
      <c r="AH283" s="52"/>
      <c r="AI283" s="211"/>
      <c r="AJ283" s="242"/>
      <c r="AK283" s="242"/>
      <c r="AL283" s="394"/>
      <c r="AM283" s="519" t="str">
        <f>GRAL!B284</f>
        <v>2015-2018</v>
      </c>
    </row>
    <row r="284" spans="1:39" ht="30" hidden="1" customHeight="1" thickTop="1">
      <c r="A284" s="158">
        <f>OBRA!J283</f>
        <v>2017</v>
      </c>
      <c r="B284" s="1683"/>
      <c r="C284" s="395"/>
      <c r="D284" s="146"/>
      <c r="E284" s="148"/>
      <c r="F284" s="148"/>
      <c r="G284" s="398"/>
      <c r="H284" s="404" t="str">
        <f>OBRA!AF283</f>
        <v>-</v>
      </c>
      <c r="I284" s="400"/>
      <c r="J284" s="406" t="str">
        <f>OBRA!AG283</f>
        <v>-</v>
      </c>
      <c r="K284" s="401"/>
      <c r="L284" s="404" t="str">
        <f>OBRA!AH283</f>
        <v>-</v>
      </c>
      <c r="M284" s="402"/>
      <c r="N284" s="404" t="str">
        <f>OBRA!AI283</f>
        <v>-</v>
      </c>
      <c r="O284" s="144"/>
      <c r="P284" s="144"/>
      <c r="Q284" s="403"/>
      <c r="R284" s="407" t="str">
        <f>OBRA!AJ283</f>
        <v>-</v>
      </c>
      <c r="S284" s="201"/>
      <c r="T284" s="399" t="str">
        <f>OBRA!W283</f>
        <v>ING. PEDRO TOPETE LOPEZ</v>
      </c>
      <c r="U284" s="408" t="str">
        <f>OBRA!X283</f>
        <v>ING. ANGEL ALBERTO HERNANDEZ MORA</v>
      </c>
      <c r="V284" s="1090"/>
      <c r="W284" s="19" t="str">
        <f>OBRA!N283</f>
        <v>GMJ 058C OP/2017</v>
      </c>
      <c r="X284" s="12"/>
      <c r="Y284" s="12"/>
      <c r="Z284" s="409" t="str">
        <f>OBRA!M283</f>
        <v>RAMO 33</v>
      </c>
      <c r="AA284" s="12"/>
      <c r="AB284" s="2" t="str">
        <f>OBRA!O283</f>
        <v>ADJUDICACIÓN DIRECTA</v>
      </c>
      <c r="AC284" s="3" t="str">
        <f>OBRA!P283</f>
        <v>REHABILITACIÓN DE LINEA DE AGUA POTABLE EN CALLE CHAPULTEPEC ENTRE PRIVADA SAN MIGUEL Y CALLE CERRADA, EN LA AGENCIA MUNICIPAL "LA LOMA"</v>
      </c>
      <c r="AD284" s="4">
        <f>OBRA!R283</f>
        <v>392640.25</v>
      </c>
      <c r="AE284" s="6">
        <f>OBRA!S283</f>
        <v>43046</v>
      </c>
      <c r="AF284" s="5">
        <f>OBRA!T283</f>
        <v>43047</v>
      </c>
      <c r="AG284" s="390">
        <f>OBRA!U283</f>
        <v>43078</v>
      </c>
      <c r="AH284" s="52"/>
      <c r="AI284" s="211"/>
      <c r="AJ284" s="242"/>
      <c r="AK284" s="242"/>
      <c r="AL284" s="394"/>
      <c r="AM284" s="519" t="str">
        <f>GRAL!B285</f>
        <v>2015-2018</v>
      </c>
    </row>
    <row r="285" spans="1:39" ht="30" hidden="1" customHeight="1" thickTop="1">
      <c r="A285" s="158">
        <f>OBRA!J284</f>
        <v>2017</v>
      </c>
      <c r="B285" s="1683"/>
      <c r="C285" s="395"/>
      <c r="D285" s="146"/>
      <c r="E285" s="148"/>
      <c r="F285" s="148"/>
      <c r="G285" s="398"/>
      <c r="H285" s="404" t="str">
        <f>OBRA!AF284</f>
        <v>-</v>
      </c>
      <c r="I285" s="400"/>
      <c r="J285" s="406" t="str">
        <f>OBRA!AG284</f>
        <v>-</v>
      </c>
      <c r="K285" s="401"/>
      <c r="L285" s="404" t="str">
        <f>OBRA!AH284</f>
        <v>-</v>
      </c>
      <c r="M285" s="402"/>
      <c r="N285" s="404" t="str">
        <f>OBRA!AI284</f>
        <v>-</v>
      </c>
      <c r="O285" s="144"/>
      <c r="P285" s="144"/>
      <c r="Q285" s="403"/>
      <c r="R285" s="407" t="str">
        <f>OBRA!AJ284</f>
        <v>-</v>
      </c>
      <c r="S285" s="201"/>
      <c r="T285" s="399" t="str">
        <f>OBRA!W284</f>
        <v>ING. SERGIO CABRERA</v>
      </c>
      <c r="U285" s="408" t="str">
        <f>OBRA!X284</f>
        <v>ING. J. GUADALUPE IBARRA RAMIREZ</v>
      </c>
      <c r="V285" s="1090"/>
      <c r="W285" s="19" t="str">
        <f>OBRA!N284</f>
        <v>GMJ 059C OP/2017</v>
      </c>
      <c r="X285" s="12"/>
      <c r="Y285" s="12"/>
      <c r="Z285" s="409" t="str">
        <f>OBRA!M284</f>
        <v>Fondo de proyectos para el Desarrollo Regional</v>
      </c>
      <c r="AA285" s="12"/>
      <c r="AB285" s="2" t="str">
        <f>OBRA!O284</f>
        <v>ADJUDICACIÓN DIRECTA</v>
      </c>
      <c r="AC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OBRA!R284</f>
        <v>794788.72</v>
      </c>
      <c r="AE285" s="6">
        <f>OBRA!S284</f>
        <v>43038</v>
      </c>
      <c r="AF285" s="5">
        <f>OBRA!T284</f>
        <v>43061</v>
      </c>
      <c r="AG285" s="390">
        <f>OBRA!U284</f>
        <v>43084</v>
      </c>
      <c r="AH285" s="52"/>
      <c r="AI285" s="211"/>
      <c r="AJ285" s="242"/>
      <c r="AK285" s="242"/>
      <c r="AL285" s="394"/>
      <c r="AM285" s="519" t="str">
        <f>GRAL!B286</f>
        <v>2015-2018</v>
      </c>
    </row>
    <row r="286" spans="1:39" ht="30" hidden="1" customHeight="1" thickTop="1">
      <c r="A286" s="158">
        <f>OBRA!J285</f>
        <v>2017</v>
      </c>
      <c r="B286" s="1683"/>
      <c r="C286" s="395"/>
      <c r="D286" s="146"/>
      <c r="E286" s="148"/>
      <c r="F286" s="148"/>
      <c r="G286" s="398"/>
      <c r="H286" s="404" t="str">
        <f>OBRA!AF285</f>
        <v>-</v>
      </c>
      <c r="I286" s="400"/>
      <c r="J286" s="406" t="str">
        <f>OBRA!AG285</f>
        <v>-</v>
      </c>
      <c r="K286" s="401"/>
      <c r="L286" s="404" t="str">
        <f>OBRA!AH285</f>
        <v>-</v>
      </c>
      <c r="M286" s="402"/>
      <c r="N286" s="404" t="str">
        <f>OBRA!AI285</f>
        <v>-</v>
      </c>
      <c r="O286" s="144"/>
      <c r="P286" s="144"/>
      <c r="Q286" s="403"/>
      <c r="R286" s="407" t="str">
        <f>OBRA!AJ285</f>
        <v>-</v>
      </c>
      <c r="S286" s="201"/>
      <c r="T286" s="399" t="str">
        <f>OBRA!W285</f>
        <v>ASFALTOS GUADALAJARA, S.A.P.I. DE C.V.</v>
      </c>
      <c r="U286" s="408" t="str">
        <f>OBRA!X285</f>
        <v>ING. ANGEL ALBERTO HERNANDEZ MORA</v>
      </c>
      <c r="V286" s="1090"/>
      <c r="W286" s="19" t="str">
        <f>OBRA!N285</f>
        <v>GMJ 060C OP/2017</v>
      </c>
      <c r="X286" s="12"/>
      <c r="Y286" s="12"/>
      <c r="Z286" s="409" t="str">
        <f>OBRA!M285</f>
        <v>CUENTA CORRIENTE</v>
      </c>
      <c r="AA286" s="12"/>
      <c r="AB286" s="2" t="str">
        <f>OBRA!O285</f>
        <v>ADJUDICACIÓN DIRECTA</v>
      </c>
      <c r="AC286" s="3" t="str">
        <f>OBRA!P285</f>
        <v>REENCARPETAMIENTO Y BACHEO ASFALTICO EN VARIAS CALLES EN LA CABECERA MUNICIPAL, DE JOCOTEPEC, JALISCO</v>
      </c>
      <c r="AD286" s="4">
        <f>OBRA!R285</f>
        <v>773560.6</v>
      </c>
      <c r="AE286" s="6">
        <f>OBRA!S285</f>
        <v>43059</v>
      </c>
      <c r="AF286" s="5">
        <f>OBRA!T285</f>
        <v>43059</v>
      </c>
      <c r="AG286" s="390">
        <f>OBRA!U285</f>
        <v>43075</v>
      </c>
      <c r="AH286" s="52"/>
      <c r="AI286" s="211"/>
      <c r="AJ286" s="242"/>
      <c r="AK286" s="242"/>
      <c r="AL286" s="394"/>
      <c r="AM286" s="519" t="str">
        <f>GRAL!B287</f>
        <v>2015-2018</v>
      </c>
    </row>
    <row r="287" spans="1:39" ht="30" hidden="1" customHeight="1" thickTop="1">
      <c r="A287" s="158">
        <f>OBRA!J286</f>
        <v>2017</v>
      </c>
      <c r="B287" s="1683"/>
      <c r="C287" s="395"/>
      <c r="D287" s="146"/>
      <c r="E287" s="148"/>
      <c r="F287" s="148"/>
      <c r="G287" s="398"/>
      <c r="H287" s="404" t="str">
        <f>OBRA!AF286</f>
        <v>-</v>
      </c>
      <c r="I287" s="400"/>
      <c r="J287" s="406" t="str">
        <f>OBRA!AG286</f>
        <v>-</v>
      </c>
      <c r="K287" s="401"/>
      <c r="L287" s="404" t="str">
        <f>OBRA!AH286</f>
        <v>-</v>
      </c>
      <c r="M287" s="402"/>
      <c r="N287" s="404" t="str">
        <f>OBRA!AI286</f>
        <v>-</v>
      </c>
      <c r="O287" s="144"/>
      <c r="P287" s="144"/>
      <c r="Q287" s="403"/>
      <c r="R287" s="407" t="str">
        <f>OBRA!AJ286</f>
        <v>-</v>
      </c>
      <c r="S287" s="201"/>
      <c r="T287" s="399" t="str">
        <f>OBRA!W286</f>
        <v>C. NORMA GORETY DOMINGUEZ CALVARIO</v>
      </c>
      <c r="U287" s="408" t="str">
        <f>OBRA!X286</f>
        <v>ING. JUAN MANUEL GARCIA ESCOTO</v>
      </c>
      <c r="V287" s="1090"/>
      <c r="W287" s="19" t="str">
        <f>OBRA!N286</f>
        <v>GMJ 061C OP/2017</v>
      </c>
      <c r="X287" s="12"/>
      <c r="Y287" s="12"/>
      <c r="Z287" s="409" t="str">
        <f>OBRA!M286</f>
        <v>RAMO 33</v>
      </c>
      <c r="AA287" s="12"/>
      <c r="AB287" s="2" t="str">
        <f>OBRA!O286</f>
        <v>ADJUDICACIÓN DIRECTA</v>
      </c>
      <c r="AC287" s="3" t="str">
        <f>OBRA!P286</f>
        <v>REHABILITACION DE LINEA DE DRENAJE EN CALLE MORELOS PONIENTE ENTRE ZARAGOZA Y PANTEON  CON REPOSICIÓN DE SUPERFICIE DE RODAMIENTO EN LA CABECERA MUNICIPAL DEL MUNICIPIO DE JOCOTEPEC, JALISCO</v>
      </c>
      <c r="AD287" s="4">
        <f>OBRA!R286</f>
        <v>928575.62</v>
      </c>
      <c r="AE287" s="6">
        <f>OBRA!S286</f>
        <v>43078</v>
      </c>
      <c r="AF287" s="5">
        <f>OBRA!T286</f>
        <v>43078</v>
      </c>
      <c r="AG287" s="390">
        <f>OBRA!U286</f>
        <v>43099</v>
      </c>
      <c r="AH287" s="52"/>
      <c r="AI287" s="211"/>
      <c r="AJ287" s="242"/>
      <c r="AK287" s="242"/>
      <c r="AL287" s="394"/>
      <c r="AM287" s="519" t="str">
        <f>GRAL!B288</f>
        <v>2015-2018</v>
      </c>
    </row>
    <row r="288" spans="1:39" ht="30" hidden="1" customHeight="1" thickTop="1">
      <c r="A288" s="158">
        <f>OBRA!J287</f>
        <v>2017</v>
      </c>
      <c r="B288" s="1683"/>
      <c r="C288" s="395"/>
      <c r="D288" s="146"/>
      <c r="E288" s="148"/>
      <c r="F288" s="148"/>
      <c r="G288" s="398"/>
      <c r="H288" s="404" t="str">
        <f>OBRA!AF287</f>
        <v>-</v>
      </c>
      <c r="I288" s="400"/>
      <c r="J288" s="406" t="str">
        <f>OBRA!AG287</f>
        <v>-</v>
      </c>
      <c r="K288" s="401"/>
      <c r="L288" s="404" t="str">
        <f>OBRA!AH287</f>
        <v>-</v>
      </c>
      <c r="M288" s="402"/>
      <c r="N288" s="404" t="str">
        <f>OBRA!AI287</f>
        <v>-</v>
      </c>
      <c r="O288" s="144"/>
      <c r="P288" s="144"/>
      <c r="Q288" s="403"/>
      <c r="R288" s="407" t="str">
        <f>OBRA!AJ287</f>
        <v>-</v>
      </c>
      <c r="S288" s="201"/>
      <c r="T288" s="399" t="str">
        <f>OBRA!W287</f>
        <v>C. NORMA GORETY DOMINGUEZ CALVARIO</v>
      </c>
      <c r="U288" s="408" t="str">
        <f>OBRA!X287</f>
        <v>ING. JUAN MANUEL GARCIA ESCOTO</v>
      </c>
      <c r="V288" s="1090"/>
      <c r="W288" s="19" t="str">
        <f>OBRA!N287</f>
        <v>GMJ 062C OP/2017</v>
      </c>
      <c r="X288" s="12"/>
      <c r="Y288" s="12"/>
      <c r="Z288" s="409" t="str">
        <f>OBRA!M287</f>
        <v>RAMO 33</v>
      </c>
      <c r="AA288" s="12"/>
      <c r="AB288" s="2" t="str">
        <f>OBRA!O287</f>
        <v>ADJUDICACIÓN DIRECTA</v>
      </c>
      <c r="AC288" s="3" t="str">
        <f>OBRA!P287</f>
        <v>REHABILITACION DE LINEA DE  AGUA POTABLE EN CALLE MORELOS PONIENTE ENTRE ZARAGOZA Y PANTEON  CON REPOSICIÓN DE SUPERFICIE DE RODAMIENTO EN LA CABECERA MUNICIPAL DEL MUNICIPIO DE JOCOTEPEC, JALISCO</v>
      </c>
      <c r="AD288" s="4">
        <f>OBRA!R287</f>
        <v>831598.75</v>
      </c>
      <c r="AE288" s="6">
        <f>OBRA!S287</f>
        <v>43078</v>
      </c>
      <c r="AF288" s="5">
        <f>OBRA!T287</f>
        <v>43078</v>
      </c>
      <c r="AG288" s="390">
        <f>OBRA!U287</f>
        <v>43099</v>
      </c>
      <c r="AH288" s="52"/>
      <c r="AI288" s="211"/>
      <c r="AJ288" s="242"/>
      <c r="AK288" s="242"/>
      <c r="AL288" s="394"/>
      <c r="AM288" s="519" t="str">
        <f>GRAL!B289</f>
        <v>2015-2018</v>
      </c>
    </row>
    <row r="289" spans="1:39" ht="30" hidden="1" customHeight="1" thickTop="1">
      <c r="A289" s="158">
        <f>OBRA!J288</f>
        <v>2017</v>
      </c>
      <c r="B289" s="1683"/>
      <c r="C289" s="395"/>
      <c r="D289" s="146"/>
      <c r="E289" s="148"/>
      <c r="F289" s="148"/>
      <c r="G289" s="398"/>
      <c r="H289" s="404" t="str">
        <f>OBRA!AF288</f>
        <v>-</v>
      </c>
      <c r="I289" s="400"/>
      <c r="J289" s="406" t="str">
        <f>OBRA!AG288</f>
        <v>-</v>
      </c>
      <c r="K289" s="401"/>
      <c r="L289" s="404" t="str">
        <f>OBRA!AH288</f>
        <v>-</v>
      </c>
      <c r="M289" s="402"/>
      <c r="N289" s="404" t="str">
        <f>OBRA!AI288</f>
        <v>-</v>
      </c>
      <c r="O289" s="144"/>
      <c r="P289" s="144"/>
      <c r="Q289" s="403"/>
      <c r="R289" s="407" t="str">
        <f>OBRA!AJ288</f>
        <v>-</v>
      </c>
      <c r="S289" s="201"/>
      <c r="T289" s="399" t="str">
        <f>OBRA!W288</f>
        <v>ING. PEDRO TOPETE LOPEZ</v>
      </c>
      <c r="U289" s="408" t="str">
        <f>OBRA!X288</f>
        <v>ING. ANGEL ALBERTO HERNANDEZ MORA</v>
      </c>
      <c r="V289" s="1090"/>
      <c r="W289" s="19" t="str">
        <f>OBRA!N288</f>
        <v>GMJ 063C OP/2017</v>
      </c>
      <c r="X289" s="12"/>
      <c r="Y289" s="12"/>
      <c r="Z289" s="409" t="str">
        <f>OBRA!M288</f>
        <v>RAMO 33</v>
      </c>
      <c r="AA289" s="12"/>
      <c r="AB289" s="2" t="str">
        <f>OBRA!O288</f>
        <v>ADJUDICACIÓN DIRECTA</v>
      </c>
      <c r="AC289" s="3" t="str">
        <f>OBRA!P288</f>
        <v>REHABILITACION DE LINEA DE AGUA POTABLE EN CALLE CHAPULTEPEC ENTRE DEPOSITO Y  PRIVADA SAN MIGUEL 2DA ETAPA EN LA AGENCIA MUNCIPAL “LA LOMA”  DEL MUNICIPIO DE JOCOTEPEC, JALISCO</v>
      </c>
      <c r="AD289" s="4">
        <f>OBRA!R288</f>
        <v>394058.8</v>
      </c>
      <c r="AE289" s="6">
        <f>OBRA!S288</f>
        <v>43078</v>
      </c>
      <c r="AF289" s="5">
        <f>OBRA!T288</f>
        <v>43078</v>
      </c>
      <c r="AG289" s="390">
        <f>OBRA!U288</f>
        <v>43099</v>
      </c>
      <c r="AH289" s="52"/>
      <c r="AI289" s="211"/>
      <c r="AJ289" s="242"/>
      <c r="AK289" s="242"/>
      <c r="AL289" s="394"/>
      <c r="AM289" s="519" t="str">
        <f>GRAL!B290</f>
        <v>2015-2018</v>
      </c>
    </row>
    <row r="290" spans="1:39" ht="30" hidden="1" customHeight="1" thickTop="1">
      <c r="A290" s="158">
        <f>OBRA!J289</f>
        <v>2017</v>
      </c>
      <c r="B290" s="1683"/>
      <c r="C290" s="395"/>
      <c r="D290" s="146"/>
      <c r="E290" s="148"/>
      <c r="F290" s="148"/>
      <c r="G290" s="398"/>
      <c r="H290" s="404" t="str">
        <f>OBRA!AF289</f>
        <v>-</v>
      </c>
      <c r="I290" s="400"/>
      <c r="J290" s="406" t="str">
        <f>OBRA!AG289</f>
        <v>-</v>
      </c>
      <c r="K290" s="401"/>
      <c r="L290" s="404" t="str">
        <f>OBRA!AH289</f>
        <v>-</v>
      </c>
      <c r="M290" s="402"/>
      <c r="N290" s="404" t="str">
        <f>OBRA!AI289</f>
        <v>-</v>
      </c>
      <c r="O290" s="144"/>
      <c r="P290" s="144"/>
      <c r="Q290" s="403"/>
      <c r="R290" s="407" t="str">
        <f>OBRA!AJ289</f>
        <v>-</v>
      </c>
      <c r="S290" s="201"/>
      <c r="T290" s="399" t="str">
        <f>OBRA!W289</f>
        <v>C. JOSÉ MIGUEL GARCIA VALLE</v>
      </c>
      <c r="U290" s="408" t="str">
        <f>OBRA!X289</f>
        <v>LIC. SALVADOR CONTRERAS OLGUÍN</v>
      </c>
      <c r="V290" s="1090"/>
      <c r="W290" s="19" t="str">
        <f>OBRA!N289</f>
        <v>GMJ 064C OP/2017</v>
      </c>
      <c r="X290" s="12"/>
      <c r="Y290" s="12"/>
      <c r="Z290" s="409" t="str">
        <f>OBRA!M289</f>
        <v>RAMO 33</v>
      </c>
      <c r="AA290" s="12"/>
      <c r="AB290" s="2" t="str">
        <f>OBRA!O289</f>
        <v>ADJUDICACIÓN DIRECTA</v>
      </c>
      <c r="AC290" s="3" t="str">
        <f>OBRA!P289</f>
        <v>REHABILITACION DE LINEA DE AGUA POTABLE EN CALLE INDEPENDENCIA ENTRE CARRETERA Y CERRADA EN LA LOCALIDAD DE SAN JUAN COSALA, DEL MUNICIPIO DE JOCOTEPEC, JALISCO</v>
      </c>
      <c r="AD290" s="4">
        <f>OBRA!R289</f>
        <v>46522.28</v>
      </c>
      <c r="AE290" s="6">
        <f>OBRA!S289</f>
        <v>43077</v>
      </c>
      <c r="AF290" s="5">
        <f>OBRA!T289</f>
        <v>43078</v>
      </c>
      <c r="AG290" s="390">
        <f>OBRA!U289</f>
        <v>43099</v>
      </c>
      <c r="AH290" s="52"/>
      <c r="AI290" s="211"/>
      <c r="AJ290" s="242"/>
      <c r="AK290" s="242"/>
      <c r="AL290" s="394"/>
      <c r="AM290" s="519" t="str">
        <f>GRAL!B291</f>
        <v>2015-2018</v>
      </c>
    </row>
    <row r="291" spans="1:39" ht="30" hidden="1" customHeight="1" thickTop="1">
      <c r="A291" s="158">
        <f>OBRA!J290</f>
        <v>2017</v>
      </c>
      <c r="B291" s="1683"/>
      <c r="C291" s="395"/>
      <c r="D291" s="146"/>
      <c r="E291" s="148"/>
      <c r="F291" s="148"/>
      <c r="G291" s="398"/>
      <c r="H291" s="404" t="str">
        <f>OBRA!AF290</f>
        <v>-</v>
      </c>
      <c r="I291" s="400"/>
      <c r="J291" s="406" t="str">
        <f>OBRA!AG290</f>
        <v>-</v>
      </c>
      <c r="K291" s="401"/>
      <c r="L291" s="404" t="str">
        <f>OBRA!AH290</f>
        <v>-</v>
      </c>
      <c r="M291" s="402"/>
      <c r="N291" s="404" t="str">
        <f>OBRA!AI290</f>
        <v>-</v>
      </c>
      <c r="O291" s="144"/>
      <c r="P291" s="144"/>
      <c r="Q291" s="403"/>
      <c r="R291" s="407" t="str">
        <f>OBRA!AJ290</f>
        <v>-</v>
      </c>
      <c r="S291" s="201"/>
      <c r="T291" s="399" t="str">
        <f>OBRA!W290</f>
        <v>C. JOSÉ MIGUEL GARCIA VALLE</v>
      </c>
      <c r="U291" s="408" t="str">
        <f>OBRA!X290</f>
        <v>LIC. SALVADOR CONTRERAS OLGUÍN</v>
      </c>
      <c r="V291" s="1090"/>
      <c r="W291" s="19" t="str">
        <f>OBRA!N290</f>
        <v>GMJ 065C OP/2017</v>
      </c>
      <c r="X291" s="12"/>
      <c r="Y291" s="12"/>
      <c r="Z291" s="409" t="str">
        <f>OBRA!M290</f>
        <v>RAMO 33</v>
      </c>
      <c r="AA291" s="12"/>
      <c r="AB291" s="2" t="str">
        <f>OBRA!O290</f>
        <v>ADJUDICACIÓN DIRECTA</v>
      </c>
      <c r="AC291" s="3" t="str">
        <f>OBRA!P290</f>
        <v>FABRICACION DE EMPEDRADO AHOGADO EN CONCRETO EN CALLE INDEPENDENCIA, EN  LA LOCALIDAD  DE SAN JUAN COSALA, DEL MUNICIPIO DE JOCOTEPEC, JALISCO</v>
      </c>
      <c r="AD291" s="4">
        <f>OBRA!R290</f>
        <v>107544.91</v>
      </c>
      <c r="AE291" s="6">
        <f>OBRA!S290</f>
        <v>43077</v>
      </c>
      <c r="AF291" s="5">
        <f>OBRA!T290</f>
        <v>43078</v>
      </c>
      <c r="AG291" s="390">
        <f>OBRA!U290</f>
        <v>43099</v>
      </c>
      <c r="AH291" s="52"/>
      <c r="AI291" s="211"/>
      <c r="AJ291" s="242"/>
      <c r="AK291" s="242"/>
      <c r="AL291" s="394"/>
      <c r="AM291" s="519" t="str">
        <f>GRAL!B292</f>
        <v>2015-2018</v>
      </c>
    </row>
    <row r="292" spans="1:39" ht="30" hidden="1" customHeight="1" thickTop="1">
      <c r="A292" s="158">
        <f>OBRA!J291</f>
        <v>2018</v>
      </c>
      <c r="B292" s="1683"/>
      <c r="C292" s="395"/>
      <c r="D292" s="146"/>
      <c r="E292" s="148"/>
      <c r="F292" s="148"/>
      <c r="G292" s="398"/>
      <c r="H292" s="404" t="str">
        <f>OBRA!AF291</f>
        <v>-</v>
      </c>
      <c r="I292" s="400"/>
      <c r="J292" s="406" t="str">
        <f>OBRA!AG291</f>
        <v>-</v>
      </c>
      <c r="K292" s="401"/>
      <c r="L292" s="404" t="str">
        <f>OBRA!AH291</f>
        <v>-</v>
      </c>
      <c r="M292" s="402"/>
      <c r="N292" s="404" t="str">
        <f>OBRA!AI291</f>
        <v>-</v>
      </c>
      <c r="O292" s="144"/>
      <c r="P292" s="144"/>
      <c r="Q292" s="403"/>
      <c r="R292" s="407" t="str">
        <f>OBRA!AJ291</f>
        <v>-</v>
      </c>
      <c r="S292" s="201"/>
      <c r="T292" s="399" t="str">
        <f>OBRA!W291</f>
        <v>N/A</v>
      </c>
      <c r="U292" s="408" t="str">
        <f>OBRA!X291</f>
        <v>-</v>
      </c>
      <c r="V292" s="1090"/>
      <c r="W292" s="19" t="str">
        <f>OBRA!N291</f>
        <v>FONDEREG 2018/05 SURESTE/054</v>
      </c>
      <c r="X292" s="12"/>
      <c r="Y292" s="12"/>
      <c r="Z292" s="409" t="str">
        <f>OBRA!M291</f>
        <v>FONDEREG</v>
      </c>
      <c r="AA292" s="12"/>
      <c r="AB292" s="2" t="str">
        <f>OBRA!O291</f>
        <v>CONVENIO</v>
      </c>
      <c r="AC292" s="3" t="str">
        <f>OBRA!P291</f>
        <v>"REHABILITACIÓN DE IMAGEN URBANA DE CALLE VICENTE GUERRERO EN EL INGRESO PONIENTE A JOCOTEPEC, DE LA CALLE INDEPENDENCIA A LA CALLE PASEOS DE LA ROSAS, EN LA CABECERA MUNICIPAL DE JOCOTEPEC, JALISCO.</v>
      </c>
      <c r="AD292" s="4">
        <f>OBRA!R291</f>
        <v>1634531.02</v>
      </c>
      <c r="AE292" s="6">
        <f>OBRA!S291</f>
        <v>43223</v>
      </c>
      <c r="AF292" s="5" t="str">
        <f>OBRA!T291</f>
        <v>-</v>
      </c>
      <c r="AG292" s="390" t="str">
        <f>OBRA!U291</f>
        <v>-</v>
      </c>
      <c r="AH292" s="52"/>
      <c r="AI292" s="211"/>
      <c r="AJ292" s="242"/>
      <c r="AK292" s="242"/>
      <c r="AL292" s="394"/>
      <c r="AM292" s="519" t="str">
        <f>GRAL!B293</f>
        <v>2015-2018</v>
      </c>
    </row>
    <row r="293" spans="1:39" ht="30" hidden="1" customHeight="1" thickTop="1">
      <c r="A293" s="158">
        <f>OBRA!J292</f>
        <v>2018</v>
      </c>
      <c r="B293" s="1683"/>
      <c r="C293" s="395"/>
      <c r="D293" s="146"/>
      <c r="E293" s="148"/>
      <c r="F293" s="148"/>
      <c r="G293" s="398"/>
      <c r="H293" s="404" t="str">
        <f>OBRA!AF292</f>
        <v>-</v>
      </c>
      <c r="I293" s="400"/>
      <c r="J293" s="406" t="str">
        <f>OBRA!AG292</f>
        <v>-</v>
      </c>
      <c r="K293" s="401"/>
      <c r="L293" s="404" t="str">
        <f>OBRA!AH292</f>
        <v>-</v>
      </c>
      <c r="M293" s="402"/>
      <c r="N293" s="404" t="str">
        <f>OBRA!AI292</f>
        <v>-</v>
      </c>
      <c r="O293" s="144"/>
      <c r="P293" s="144"/>
      <c r="Q293" s="403"/>
      <c r="R293" s="407" t="str">
        <f>OBRA!AJ292</f>
        <v>-</v>
      </c>
      <c r="S293" s="201"/>
      <c r="T293" s="399" t="str">
        <f>OBRA!W292</f>
        <v>N/A</v>
      </c>
      <c r="U293" s="408" t="str">
        <f>OBRA!X292</f>
        <v>-</v>
      </c>
      <c r="V293" s="1090"/>
      <c r="W293" s="19" t="str">
        <f>OBRA!N292</f>
        <v>FONDEREG 2018/05 SURESTE/055</v>
      </c>
      <c r="X293" s="12"/>
      <c r="Y293" s="12"/>
      <c r="Z293" s="409" t="str">
        <f>OBRA!M292</f>
        <v>FONDEREG</v>
      </c>
      <c r="AA293" s="12"/>
      <c r="AB293" s="2" t="str">
        <f>OBRA!O292</f>
        <v>CONVENIO</v>
      </c>
      <c r="AC293" s="3" t="str">
        <f>OBRA!P292</f>
        <v xml:space="preserve">CONSTRUCCIÓN DE ALUMBRADO PÚBLICO EN LA CARRETERA JOCOTEPEC-CHAPALA DE LA CALLE LIBERTAD (NEXTIPAC) HASTA CALLE JUÁREZ (CHANTEPEC), 1RA. ETAPA EN EL INGRESO ORIENTE A LA CABECERA MUNICIPAL DE JOCOTEPEC, JALISCO. </v>
      </c>
      <c r="AD293" s="4">
        <f>OBRA!R292</f>
        <v>724057.5</v>
      </c>
      <c r="AE293" s="6">
        <f>OBRA!S292</f>
        <v>43223</v>
      </c>
      <c r="AF293" s="5" t="str">
        <f>OBRA!T292</f>
        <v>-</v>
      </c>
      <c r="AG293" s="390" t="str">
        <f>OBRA!U292</f>
        <v>-</v>
      </c>
      <c r="AH293" s="52"/>
      <c r="AI293" s="211"/>
      <c r="AJ293" s="242"/>
      <c r="AK293" s="242"/>
      <c r="AL293" s="394"/>
      <c r="AM293" s="519" t="str">
        <f>GRAL!B294</f>
        <v>2015-2018</v>
      </c>
    </row>
    <row r="294" spans="1:39" ht="30" hidden="1" customHeight="1" thickTop="1">
      <c r="A294" s="158">
        <f>OBRA!J293</f>
        <v>2018</v>
      </c>
      <c r="B294" s="1683"/>
      <c r="C294" s="395"/>
      <c r="D294" s="146"/>
      <c r="E294" s="148"/>
      <c r="F294" s="148"/>
      <c r="G294" s="398"/>
      <c r="H294" s="404" t="str">
        <f>OBRA!AF293</f>
        <v>-</v>
      </c>
      <c r="I294" s="400"/>
      <c r="J294" s="406" t="str">
        <f>OBRA!AG293</f>
        <v>-</v>
      </c>
      <c r="K294" s="401"/>
      <c r="L294" s="404" t="str">
        <f>OBRA!AH293</f>
        <v>-</v>
      </c>
      <c r="M294" s="402"/>
      <c r="N294" s="404" t="str">
        <f>OBRA!AI293</f>
        <v>-</v>
      </c>
      <c r="O294" s="144"/>
      <c r="P294" s="144"/>
      <c r="Q294" s="403"/>
      <c r="R294" s="407" t="str">
        <f>OBRA!AJ293</f>
        <v>-</v>
      </c>
      <c r="S294" s="201"/>
      <c r="T294" s="399" t="str">
        <f>OBRA!W293</f>
        <v>N/A</v>
      </c>
      <c r="U294" s="408" t="str">
        <f>OBRA!X293</f>
        <v>-</v>
      </c>
      <c r="V294" s="1090"/>
      <c r="W294" s="19" t="str">
        <f>OBRA!N293</f>
        <v>-</v>
      </c>
      <c r="X294" s="12"/>
      <c r="Y294" s="12"/>
      <c r="Z294" s="409" t="str">
        <f>OBRA!M293</f>
        <v xml:space="preserve">PROYECTOS DESARROLLO REGIONAL </v>
      </c>
      <c r="AA294" s="12"/>
      <c r="AB294" s="2" t="str">
        <f>OBRA!O293</f>
        <v>CONVENIO</v>
      </c>
      <c r="AC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OBRA!R293</f>
        <v>2900000</v>
      </c>
      <c r="AE294" s="6">
        <f>OBRA!S293</f>
        <v>43199</v>
      </c>
      <c r="AF294" s="5" t="str">
        <f>OBRA!T293</f>
        <v>-</v>
      </c>
      <c r="AG294" s="390" t="str">
        <f>OBRA!U293</f>
        <v>-</v>
      </c>
      <c r="AH294" s="52"/>
      <c r="AI294" s="211"/>
      <c r="AJ294" s="242"/>
      <c r="AK294" s="242"/>
      <c r="AL294" s="394"/>
      <c r="AM294" s="519" t="str">
        <f>GRAL!B295</f>
        <v>2015-2018</v>
      </c>
    </row>
    <row r="295" spans="1:39" ht="30" hidden="1" customHeight="1" thickTop="1">
      <c r="A295" s="158">
        <f>OBRA!J294</f>
        <v>2018</v>
      </c>
      <c r="B295" s="1683"/>
      <c r="C295" s="395"/>
      <c r="D295" s="146"/>
      <c r="E295" s="148"/>
      <c r="F295" s="148"/>
      <c r="G295" s="398"/>
      <c r="H295" s="404" t="str">
        <f>OBRA!AF294</f>
        <v>-</v>
      </c>
      <c r="I295" s="400"/>
      <c r="J295" s="406" t="str">
        <f>OBRA!AG294</f>
        <v>-</v>
      </c>
      <c r="K295" s="401"/>
      <c r="L295" s="404" t="str">
        <f>OBRA!AH294</f>
        <v>-</v>
      </c>
      <c r="M295" s="402"/>
      <c r="N295" s="404" t="str">
        <f>OBRA!AI294</f>
        <v>-</v>
      </c>
      <c r="O295" s="144"/>
      <c r="P295" s="144"/>
      <c r="Q295" s="403"/>
      <c r="R295" s="407" t="str">
        <f>OBRA!AJ294</f>
        <v>-</v>
      </c>
      <c r="S295" s="201"/>
      <c r="T295" s="399" t="str">
        <f>OBRA!W294</f>
        <v>N/A</v>
      </c>
      <c r="U295" s="408" t="str">
        <f>OBRA!X294</f>
        <v>ING. JUAN MANUEL GARCIA ESCOTO</v>
      </c>
      <c r="V295" s="1090"/>
      <c r="W295" s="19" t="str">
        <f>OBRA!N294</f>
        <v>DOP/AD/001/2018</v>
      </c>
      <c r="X295" s="12"/>
      <c r="Y295" s="12"/>
      <c r="Z295" s="409" t="str">
        <f>OBRA!M294</f>
        <v>CUENTA CORRIENTE</v>
      </c>
      <c r="AA295" s="12"/>
      <c r="AB295" s="2" t="str">
        <f>OBRA!O294</f>
        <v>ADMINISTRACIÓN DIRECTA</v>
      </c>
      <c r="AC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OBRA!R294</f>
        <v>89200</v>
      </c>
      <c r="AE295" s="6">
        <f>OBRA!S294</f>
        <v>43133</v>
      </c>
      <c r="AF295" s="5">
        <f>OBRA!T294</f>
        <v>43143</v>
      </c>
      <c r="AG295" s="390">
        <f>OBRA!U294</f>
        <v>43210</v>
      </c>
      <c r="AH295" s="52"/>
      <c r="AI295" s="211"/>
      <c r="AJ295" s="242"/>
      <c r="AK295" s="242"/>
      <c r="AL295" s="394"/>
      <c r="AM295" s="519" t="str">
        <f>GRAL!B293</f>
        <v>2015-2018</v>
      </c>
    </row>
    <row r="296" spans="1:39" ht="30" hidden="1" customHeight="1" thickTop="1">
      <c r="A296" s="158">
        <f>OBRA!J295</f>
        <v>2018</v>
      </c>
      <c r="B296" s="1683"/>
      <c r="C296" s="395"/>
      <c r="D296" s="146"/>
      <c r="E296" s="148"/>
      <c r="F296" s="148"/>
      <c r="G296" s="398"/>
      <c r="H296" s="404" t="str">
        <f>OBRA!AF295</f>
        <v>-</v>
      </c>
      <c r="I296" s="400"/>
      <c r="J296" s="406" t="str">
        <f>OBRA!AG295</f>
        <v>-</v>
      </c>
      <c r="K296" s="401"/>
      <c r="L296" s="404" t="str">
        <f>OBRA!AH295</f>
        <v>-</v>
      </c>
      <c r="M296" s="402"/>
      <c r="N296" s="404" t="str">
        <f>OBRA!AI295</f>
        <v>-</v>
      </c>
      <c r="O296" s="144"/>
      <c r="P296" s="144"/>
      <c r="Q296" s="403"/>
      <c r="R296" s="407" t="str">
        <f>OBRA!AJ295</f>
        <v>-</v>
      </c>
      <c r="S296" s="201"/>
      <c r="T296" s="399" t="str">
        <f>OBRA!W295</f>
        <v>N/A</v>
      </c>
      <c r="U296" s="408" t="str">
        <f>OBRA!X295</f>
        <v>ING. JUAN MANUEL GARCIA ESCOTO</v>
      </c>
      <c r="V296" s="1090"/>
      <c r="W296" s="19" t="str">
        <f>OBRA!N295</f>
        <v>DOP/AD/002/2018</v>
      </c>
      <c r="X296" s="12"/>
      <c r="Y296" s="12"/>
      <c r="Z296" s="409" t="str">
        <f>OBRA!M295</f>
        <v>CUENTA CORRIENTE</v>
      </c>
      <c r="AA296" s="12"/>
      <c r="AB296" s="2" t="str">
        <f>OBRA!O295</f>
        <v>ADMINISTRACIÓN DIRECTA</v>
      </c>
      <c r="AC296" s="3" t="str">
        <f>OBRA!P295</f>
        <v>MOTOCONFORMACION DE VARIAS CALLES Y FABRICACION DE EMPEDRADO EN CALLE MORELOS, EN LA AGENCIA MUNICIPAL DEL EL SAUZ, DEL MUNICIPIO DE JOCOTEPEC, JALISCO</v>
      </c>
      <c r="AD296" s="4">
        <f>OBRA!R295</f>
        <v>187043.52</v>
      </c>
      <c r="AE296" s="6">
        <f>OBRA!S295</f>
        <v>43133</v>
      </c>
      <c r="AF296" s="5">
        <f>OBRA!T295</f>
        <v>43137</v>
      </c>
      <c r="AG296" s="390">
        <f>OBRA!U295</f>
        <v>43210</v>
      </c>
      <c r="AH296" s="52"/>
      <c r="AI296" s="211"/>
      <c r="AJ296" s="242"/>
      <c r="AK296" s="242"/>
      <c r="AL296" s="394"/>
      <c r="AM296" s="519" t="str">
        <f>GRAL!B297</f>
        <v>2015-2018</v>
      </c>
    </row>
    <row r="297" spans="1:39" ht="30" hidden="1" customHeight="1" thickTop="1">
      <c r="A297" s="158">
        <f>OBRA!J296</f>
        <v>2018</v>
      </c>
      <c r="B297" s="1683"/>
      <c r="C297" s="395"/>
      <c r="D297" s="146"/>
      <c r="E297" s="148"/>
      <c r="F297" s="148"/>
      <c r="G297" s="398"/>
      <c r="H297" s="404" t="str">
        <f>OBRA!AF296</f>
        <v>-</v>
      </c>
      <c r="I297" s="400"/>
      <c r="J297" s="406" t="str">
        <f>OBRA!AG296</f>
        <v>-</v>
      </c>
      <c r="K297" s="401"/>
      <c r="L297" s="404" t="str">
        <f>OBRA!AH296</f>
        <v>-</v>
      </c>
      <c r="M297" s="402"/>
      <c r="N297" s="404" t="str">
        <f>OBRA!AI296</f>
        <v>-</v>
      </c>
      <c r="O297" s="144"/>
      <c r="P297" s="144"/>
      <c r="Q297" s="403"/>
      <c r="R297" s="407" t="str">
        <f>OBRA!AJ296</f>
        <v>-</v>
      </c>
      <c r="S297" s="201"/>
      <c r="T297" s="399" t="str">
        <f>OBRA!W296</f>
        <v>N/A</v>
      </c>
      <c r="U297" s="408" t="str">
        <f>OBRA!X296</f>
        <v>ING. JUAN MANUEL GARCIA ESCOTO</v>
      </c>
      <c r="V297" s="1090"/>
      <c r="W297" s="19" t="str">
        <f>OBRA!N296</f>
        <v>DOP/AD/003/2018</v>
      </c>
      <c r="X297" s="12"/>
      <c r="Y297" s="12"/>
      <c r="Z297" s="409" t="str">
        <f>OBRA!M296</f>
        <v>CUENTA CORRIENTE</v>
      </c>
      <c r="AA297" s="12"/>
      <c r="AB297" s="2" t="str">
        <f>OBRA!O296</f>
        <v>ADMINISTRACIÓN DIRECTA</v>
      </c>
      <c r="AC297" s="3" t="str">
        <f>OBRA!P296</f>
        <v>MANO DE OBRA PARA LA SUSTITUCIÓN DE LINEA DE CONDUCCIÓN DE AGUA POTABLE DE 3" EN LA CALLE CHAPULTEPEC DE CHURUBUSCO AL TANQUE DE DEPOSITO, EN LA AGENCIA MUNICIPAL DE LA LOMA, EN LA CABECERA MUNICIPAL DEL MUNICIPIO DE JOCOTEPEC, JALISCO</v>
      </c>
      <c r="AD297" s="4">
        <f>OBRA!R296</f>
        <v>22000</v>
      </c>
      <c r="AE297" s="6">
        <f>OBRA!S296</f>
        <v>43130</v>
      </c>
      <c r="AF297" s="5">
        <f>OBRA!T296</f>
        <v>43131</v>
      </c>
      <c r="AG297" s="390">
        <f>OBRA!U296</f>
        <v>43159</v>
      </c>
      <c r="AH297" s="52"/>
      <c r="AI297" s="211"/>
      <c r="AJ297" s="242"/>
      <c r="AK297" s="242"/>
      <c r="AL297" s="394"/>
      <c r="AM297" s="519" t="str">
        <f>GRAL!B298</f>
        <v>2015-2018</v>
      </c>
    </row>
    <row r="298" spans="1:39" ht="30" hidden="1" customHeight="1" thickTop="1">
      <c r="A298" s="158">
        <f>OBRA!J297</f>
        <v>2018</v>
      </c>
      <c r="B298" s="1683"/>
      <c r="C298" s="395"/>
      <c r="D298" s="146"/>
      <c r="E298" s="148"/>
      <c r="F298" s="148"/>
      <c r="G298" s="398"/>
      <c r="H298" s="404" t="str">
        <f>OBRA!AF297</f>
        <v>-</v>
      </c>
      <c r="I298" s="400"/>
      <c r="J298" s="406" t="str">
        <f>OBRA!AG297</f>
        <v>-</v>
      </c>
      <c r="K298" s="401"/>
      <c r="L298" s="404" t="str">
        <f>OBRA!AH297</f>
        <v>-</v>
      </c>
      <c r="M298" s="402"/>
      <c r="N298" s="404" t="str">
        <f>OBRA!AI297</f>
        <v>-</v>
      </c>
      <c r="O298" s="144"/>
      <c r="P298" s="144"/>
      <c r="Q298" s="403"/>
      <c r="R298" s="407" t="str">
        <f>OBRA!AJ297</f>
        <v>-</v>
      </c>
      <c r="S298" s="201"/>
      <c r="T298" s="399" t="str">
        <f>OBRA!W297</f>
        <v>N/A</v>
      </c>
      <c r="U298" s="408" t="str">
        <f>OBRA!X297</f>
        <v>ARQ. JAIME CONDE GOMEZ</v>
      </c>
      <c r="V298" s="1090"/>
      <c r="W298" s="19" t="str">
        <f>OBRA!N297</f>
        <v>DOP/AD/004/2018</v>
      </c>
      <c r="X298" s="12"/>
      <c r="Y298" s="12"/>
      <c r="Z298" s="409" t="str">
        <f>OBRA!M297</f>
        <v>CUENTA CORRIENTE</v>
      </c>
      <c r="AA298" s="12"/>
      <c r="AB298" s="2" t="str">
        <f>OBRA!O297</f>
        <v>ADMINISTRACIÓN DIRECTA</v>
      </c>
      <c r="AC298" s="3" t="str">
        <f>OBRA!P297</f>
        <v>REHABILITACION DE AREA DE MATANZA EN EL RASTRO MUNICIPAL, EN LA CABECERA MUNICIPAL DEL MUNICIPIO DE JOCOTEPEC, JALISCO</v>
      </c>
      <c r="AD298" s="4">
        <f>OBRA!R297</f>
        <v>187044.63</v>
      </c>
      <c r="AE298" s="6">
        <f>OBRA!S297</f>
        <v>43140</v>
      </c>
      <c r="AF298" s="5">
        <f>OBRA!T297</f>
        <v>43143</v>
      </c>
      <c r="AG298" s="390">
        <f>OBRA!U297</f>
        <v>43245</v>
      </c>
      <c r="AH298" s="52"/>
      <c r="AI298" s="211"/>
      <c r="AJ298" s="242"/>
      <c r="AK298" s="242"/>
      <c r="AL298" s="394"/>
      <c r="AM298" s="519" t="str">
        <f>GRAL!B299</f>
        <v>2015-2018</v>
      </c>
    </row>
    <row r="299" spans="1:39" s="104" customFormat="1" ht="30" hidden="1" customHeight="1" thickTop="1">
      <c r="A299" s="830">
        <f>OBRA!J298</f>
        <v>2018</v>
      </c>
      <c r="B299" s="1684"/>
      <c r="C299" s="831"/>
      <c r="D299" s="147"/>
      <c r="E299" s="149"/>
      <c r="F299" s="149"/>
      <c r="G299" s="832"/>
      <c r="H299" s="150" t="str">
        <f>OBRA!AF298</f>
        <v>-</v>
      </c>
      <c r="I299" s="417"/>
      <c r="J299" s="110" t="str">
        <f>OBRA!AG298</f>
        <v>-</v>
      </c>
      <c r="K299" s="834"/>
      <c r="L299" s="150" t="str">
        <f>OBRA!AH298</f>
        <v>-</v>
      </c>
      <c r="M299" s="833"/>
      <c r="N299" s="150" t="str">
        <f>OBRA!AI298</f>
        <v>-</v>
      </c>
      <c r="O299" s="150"/>
      <c r="P299" s="150"/>
      <c r="Q299" s="834"/>
      <c r="R299" s="420" t="str">
        <f>OBRA!AJ298</f>
        <v>-</v>
      </c>
      <c r="S299" s="840"/>
      <c r="T299" s="149" t="str">
        <f>OBRA!W298</f>
        <v>-</v>
      </c>
      <c r="U299" s="152">
        <f>OBRA!X298</f>
        <v>0</v>
      </c>
      <c r="V299" s="147"/>
      <c r="W299" s="829" t="str">
        <f>OBRA!N298</f>
        <v>DOP/AD/005/2018</v>
      </c>
      <c r="X299" s="103"/>
      <c r="Y299" s="103"/>
      <c r="Z299" s="103">
        <f>OBRA!M298</f>
        <v>0</v>
      </c>
      <c r="AA299" s="103"/>
      <c r="AB299" s="186" t="str">
        <f>OBRA!O298</f>
        <v>CANCELADA</v>
      </c>
      <c r="AC299" s="106">
        <f>OBRA!P298</f>
        <v>0</v>
      </c>
      <c r="AD299" s="86">
        <f>OBRA!R298</f>
        <v>0</v>
      </c>
      <c r="AE299" s="87">
        <f>OBRA!S298</f>
        <v>0</v>
      </c>
      <c r="AF299" s="88">
        <f>OBRA!T298</f>
        <v>0</v>
      </c>
      <c r="AG299" s="391">
        <f>OBRA!U298</f>
        <v>0</v>
      </c>
      <c r="AH299" s="101"/>
      <c r="AI299" s="84"/>
      <c r="AJ299" s="96"/>
      <c r="AK299" s="96"/>
      <c r="AL299" s="97"/>
      <c r="AM299" s="354" t="str">
        <f>GRAL!B300</f>
        <v>2015-2018</v>
      </c>
    </row>
    <row r="300" spans="1:39" ht="30" hidden="1" customHeight="1" thickTop="1">
      <c r="A300" s="158">
        <f>OBRA!J299</f>
        <v>2018</v>
      </c>
      <c r="B300" s="1683"/>
      <c r="C300" s="395"/>
      <c r="D300" s="146"/>
      <c r="E300" s="148"/>
      <c r="F300" s="148"/>
      <c r="G300" s="398"/>
      <c r="H300" s="404" t="str">
        <f>OBRA!AF299</f>
        <v>-</v>
      </c>
      <c r="I300" s="400"/>
      <c r="J300" s="406" t="str">
        <f>OBRA!AG299</f>
        <v>-</v>
      </c>
      <c r="K300" s="401"/>
      <c r="L300" s="404" t="str">
        <f>OBRA!AH299</f>
        <v>-</v>
      </c>
      <c r="M300" s="402"/>
      <c r="N300" s="404" t="str">
        <f>OBRA!AI299</f>
        <v>-</v>
      </c>
      <c r="O300" s="144"/>
      <c r="P300" s="144"/>
      <c r="Q300" s="403"/>
      <c r="R300" s="407" t="str">
        <f>OBRA!AJ299</f>
        <v>-</v>
      </c>
      <c r="S300" s="201"/>
      <c r="T300" s="399" t="str">
        <f>OBRA!W299</f>
        <v>N/A</v>
      </c>
      <c r="U300" s="408" t="str">
        <f>OBRA!X299</f>
        <v>-</v>
      </c>
      <c r="V300" s="1090"/>
      <c r="W300" s="19" t="str">
        <f>OBRA!N299</f>
        <v>DOP/AD/006/2018</v>
      </c>
      <c r="X300" s="12"/>
      <c r="Y300" s="12"/>
      <c r="Z300" s="409" t="str">
        <f>OBRA!M299</f>
        <v>CUENTA CORRIENTE</v>
      </c>
      <c r="AA300" s="12"/>
      <c r="AB300" s="2" t="str">
        <f>OBRA!O299</f>
        <v>ADMINISTRACIÓN DIRECTA</v>
      </c>
      <c r="AC300" s="3" t="str">
        <f>OBRA!P299</f>
        <v>CONSTRUCCION DE LINEA DE DRENAJE EN LA CALLE AV DEL TRABAJO Y CALLES SIN NOMBRE, EN EL BARRIO DEL POTRERITO, EN LA LOCALIDAD DE HUEJOTITAN</v>
      </c>
      <c r="AD300" s="4">
        <f>OBRA!R299</f>
        <v>2900000</v>
      </c>
      <c r="AE300" s="6">
        <f>OBRA!S299</f>
        <v>43199</v>
      </c>
      <c r="AF300" s="5" t="str">
        <f>OBRA!T299</f>
        <v>-</v>
      </c>
      <c r="AG300" s="390" t="str">
        <f>OBRA!U299</f>
        <v>-</v>
      </c>
      <c r="AH300" s="52"/>
      <c r="AI300" s="211"/>
      <c r="AJ300" s="242"/>
      <c r="AK300" s="242"/>
      <c r="AL300" s="394"/>
      <c r="AM300" s="519" t="str">
        <f>GRAL!B301</f>
        <v>2015-2018</v>
      </c>
    </row>
    <row r="301" spans="1:39" s="104" customFormat="1" ht="30" hidden="1" customHeight="1" thickTop="1">
      <c r="A301" s="830">
        <f>OBRA!J300</f>
        <v>2018</v>
      </c>
      <c r="B301" s="1684"/>
      <c r="C301" s="831"/>
      <c r="D301" s="147"/>
      <c r="E301" s="149"/>
      <c r="F301" s="149"/>
      <c r="G301" s="832"/>
      <c r="H301" s="150">
        <f>OBRA!AF300</f>
        <v>0</v>
      </c>
      <c r="I301" s="417"/>
      <c r="J301" s="110">
        <f>OBRA!AG300</f>
        <v>0</v>
      </c>
      <c r="K301" s="834"/>
      <c r="L301" s="150">
        <f>OBRA!AH300</f>
        <v>0</v>
      </c>
      <c r="M301" s="833"/>
      <c r="N301" s="150">
        <f>OBRA!AI300</f>
        <v>0</v>
      </c>
      <c r="O301" s="150"/>
      <c r="P301" s="150"/>
      <c r="Q301" s="834"/>
      <c r="R301" s="420">
        <f>OBRA!AJ300</f>
        <v>0</v>
      </c>
      <c r="S301" s="840"/>
      <c r="T301" s="149" t="str">
        <f>OBRA!W300</f>
        <v>-</v>
      </c>
      <c r="U301" s="152" t="str">
        <f>OBRA!X300</f>
        <v>ING. J. GUADALUPE IBARRA RAMIREZ</v>
      </c>
      <c r="V301" s="147"/>
      <c r="W301" s="829" t="str">
        <f>OBRA!N300</f>
        <v>DOP/AD/007/2018</v>
      </c>
      <c r="X301" s="103"/>
      <c r="Y301" s="103"/>
      <c r="Z301" s="103" t="str">
        <f>OBRA!M300</f>
        <v>RAMO 33</v>
      </c>
      <c r="AA301" s="103"/>
      <c r="AB301" s="186" t="str">
        <f>OBRA!O300</f>
        <v>CANCELADA</v>
      </c>
      <c r="AC301" s="106" t="str">
        <f>OBRA!P300</f>
        <v>PUENTE PEATONAL, C. LIBERTAD, ZDH</v>
      </c>
      <c r="AD301" s="86">
        <f>OBRA!R300</f>
        <v>0</v>
      </c>
      <c r="AE301" s="87">
        <f>OBRA!S300</f>
        <v>0</v>
      </c>
      <c r="AF301" s="88">
        <f>OBRA!T300</f>
        <v>0</v>
      </c>
      <c r="AG301" s="391">
        <f>OBRA!U300</f>
        <v>0</v>
      </c>
      <c r="AH301" s="101"/>
      <c r="AI301" s="84"/>
      <c r="AJ301" s="96"/>
      <c r="AK301" s="96"/>
      <c r="AL301" s="97"/>
      <c r="AM301" s="354" t="str">
        <f>GRAL!B302</f>
        <v>2015-2018</v>
      </c>
    </row>
    <row r="302" spans="1:39" s="104" customFormat="1" ht="30" hidden="1" customHeight="1" thickTop="1">
      <c r="A302" s="830">
        <f>OBRA!J301</f>
        <v>2018</v>
      </c>
      <c r="B302" s="1684"/>
      <c r="C302" s="831"/>
      <c r="D302" s="147"/>
      <c r="E302" s="149"/>
      <c r="F302" s="149"/>
      <c r="G302" s="832"/>
      <c r="H302" s="150" t="str">
        <f>OBRA!AF301</f>
        <v>-</v>
      </c>
      <c r="I302" s="417"/>
      <c r="J302" s="110" t="str">
        <f>OBRA!AG301</f>
        <v>-</v>
      </c>
      <c r="K302" s="834"/>
      <c r="L302" s="150" t="str">
        <f>OBRA!AH301</f>
        <v>-</v>
      </c>
      <c r="M302" s="833"/>
      <c r="N302" s="150" t="str">
        <f>OBRA!AI301</f>
        <v>-</v>
      </c>
      <c r="O302" s="150"/>
      <c r="P302" s="150"/>
      <c r="Q302" s="834"/>
      <c r="R302" s="420" t="str">
        <f>OBRA!AJ301</f>
        <v>-</v>
      </c>
      <c r="S302" s="840"/>
      <c r="T302" s="149" t="str">
        <f>OBRA!W301</f>
        <v>-</v>
      </c>
      <c r="U302" s="152">
        <f>OBRA!X301</f>
        <v>0</v>
      </c>
      <c r="V302" s="147"/>
      <c r="W302" s="829" t="str">
        <f>OBRA!N301</f>
        <v>DOP/AD/008/2018</v>
      </c>
      <c r="X302" s="103"/>
      <c r="Y302" s="103"/>
      <c r="Z302" s="103">
        <f>OBRA!M301</f>
        <v>0</v>
      </c>
      <c r="AA302" s="103"/>
      <c r="AB302" s="186" t="str">
        <f>OBRA!O301</f>
        <v>CANCELADA</v>
      </c>
      <c r="AC302" s="106">
        <f>OBRA!P301</f>
        <v>0</v>
      </c>
      <c r="AD302" s="86">
        <f>OBRA!R301</f>
        <v>0</v>
      </c>
      <c r="AE302" s="87">
        <f>OBRA!S301</f>
        <v>0</v>
      </c>
      <c r="AF302" s="88">
        <f>OBRA!T301</f>
        <v>0</v>
      </c>
      <c r="AG302" s="391">
        <f>OBRA!U301</f>
        <v>0</v>
      </c>
      <c r="AH302" s="101"/>
      <c r="AI302" s="84"/>
      <c r="AJ302" s="96"/>
      <c r="AK302" s="96"/>
      <c r="AL302" s="97"/>
      <c r="AM302" s="354" t="str">
        <f>GRAL!B303</f>
        <v>2015-2018</v>
      </c>
    </row>
    <row r="303" spans="1:39" s="104" customFormat="1" ht="30" hidden="1" customHeight="1" thickTop="1">
      <c r="A303" s="830">
        <f>OBRA!J302</f>
        <v>2018</v>
      </c>
      <c r="B303" s="1684"/>
      <c r="C303" s="831"/>
      <c r="D303" s="147"/>
      <c r="E303" s="149"/>
      <c r="F303" s="149"/>
      <c r="G303" s="832"/>
      <c r="H303" s="150" t="str">
        <f>OBRA!AF302</f>
        <v>-</v>
      </c>
      <c r="I303" s="417"/>
      <c r="J303" s="110" t="str">
        <f>OBRA!AG302</f>
        <v>-</v>
      </c>
      <c r="K303" s="834"/>
      <c r="L303" s="150" t="str">
        <f>OBRA!AH302</f>
        <v>-</v>
      </c>
      <c r="M303" s="833"/>
      <c r="N303" s="150" t="str">
        <f>OBRA!AI302</f>
        <v>-</v>
      </c>
      <c r="O303" s="150"/>
      <c r="P303" s="150"/>
      <c r="Q303" s="834"/>
      <c r="R303" s="420" t="str">
        <f>OBRA!AJ302</f>
        <v>-</v>
      </c>
      <c r="S303" s="840"/>
      <c r="T303" s="149" t="str">
        <f>OBRA!W302</f>
        <v>-</v>
      </c>
      <c r="U303" s="152">
        <f>OBRA!X302</f>
        <v>0</v>
      </c>
      <c r="V303" s="147"/>
      <c r="W303" s="829" t="str">
        <f>OBRA!N302</f>
        <v>DOP/AD/009/2018</v>
      </c>
      <c r="X303" s="103"/>
      <c r="Y303" s="103"/>
      <c r="Z303" s="103">
        <f>OBRA!M302</f>
        <v>0</v>
      </c>
      <c r="AA303" s="103"/>
      <c r="AB303" s="186" t="str">
        <f>OBRA!O302</f>
        <v>CANCELADA</v>
      </c>
      <c r="AC303" s="106">
        <f>OBRA!P302</f>
        <v>0</v>
      </c>
      <c r="AD303" s="86">
        <f>OBRA!R302</f>
        <v>0</v>
      </c>
      <c r="AE303" s="87">
        <f>OBRA!S302</f>
        <v>0</v>
      </c>
      <c r="AF303" s="88">
        <f>OBRA!T302</f>
        <v>0</v>
      </c>
      <c r="AG303" s="391">
        <f>OBRA!U302</f>
        <v>0</v>
      </c>
      <c r="AH303" s="101"/>
      <c r="AI303" s="84"/>
      <c r="AJ303" s="96"/>
      <c r="AK303" s="96"/>
      <c r="AL303" s="97"/>
      <c r="AM303" s="354" t="str">
        <f>GRAL!B304</f>
        <v>2015-2018</v>
      </c>
    </row>
    <row r="304" spans="1:39" ht="30" hidden="1" customHeight="1" thickTop="1">
      <c r="A304" s="158">
        <f>OBRA!J303</f>
        <v>2018</v>
      </c>
      <c r="B304" s="1683"/>
      <c r="C304" s="395"/>
      <c r="D304" s="146"/>
      <c r="E304" s="148"/>
      <c r="F304" s="148"/>
      <c r="G304" s="398"/>
      <c r="H304" s="404" t="str">
        <f>OBRA!AF303</f>
        <v>-</v>
      </c>
      <c r="I304" s="400"/>
      <c r="J304" s="406" t="str">
        <f>OBRA!AG303</f>
        <v>-</v>
      </c>
      <c r="K304" s="401"/>
      <c r="L304" s="404" t="str">
        <f>OBRA!AH303</f>
        <v>-</v>
      </c>
      <c r="M304" s="402"/>
      <c r="N304" s="404" t="str">
        <f>OBRA!AI303</f>
        <v>-</v>
      </c>
      <c r="O304" s="144"/>
      <c r="P304" s="144"/>
      <c r="Q304" s="403"/>
      <c r="R304" s="407" t="str">
        <f>OBRA!AJ303</f>
        <v>-</v>
      </c>
      <c r="S304" s="201"/>
      <c r="T304" s="399" t="str">
        <f>OBRA!W303</f>
        <v>N/A</v>
      </c>
      <c r="U304" s="408" t="str">
        <f>OBRA!X303</f>
        <v>ING. J. GUADALUPE IBARRA RAMIREZ</v>
      </c>
      <c r="V304" s="1090"/>
      <c r="W304" s="19" t="str">
        <f>OBRA!N303</f>
        <v>DOP/AD/010/2018</v>
      </c>
      <c r="X304" s="12"/>
      <c r="Y304" s="12"/>
      <c r="Z304" s="409" t="str">
        <f>OBRA!M303</f>
        <v>RAMO 33</v>
      </c>
      <c r="AA304" s="12"/>
      <c r="AB304" s="2" t="str">
        <f>OBRA!O303</f>
        <v>ADMINISTRACIÓN DIRECTA</v>
      </c>
      <c r="AC304" s="3" t="str">
        <f>OBRA!P303</f>
        <v>FABRICACION DE EMPEDRADO AHOGADO EN CEMENTO EN CALLE VERANO ENTRE NIÑOS HEROES Y ZARAGOZA, EN LA CABECERA MUNICIPAL DEL MUNICIPIO DE JOCOTEPEC, JALISCO</v>
      </c>
      <c r="AD304" s="4">
        <f>OBRA!R303</f>
        <v>606708.96</v>
      </c>
      <c r="AE304" s="6">
        <f>OBRA!S303</f>
        <v>43228</v>
      </c>
      <c r="AF304" s="5">
        <f>OBRA!T303</f>
        <v>43229</v>
      </c>
      <c r="AG304" s="390">
        <f>OBRA!U303</f>
        <v>43262</v>
      </c>
      <c r="AH304" s="52"/>
      <c r="AI304" s="211"/>
      <c r="AJ304" s="242"/>
      <c r="AK304" s="242"/>
      <c r="AL304" s="394"/>
      <c r="AM304" s="519" t="str">
        <f>GRAL!B305</f>
        <v>2015-2018</v>
      </c>
    </row>
    <row r="305" spans="1:39" ht="30" hidden="1" customHeight="1" thickTop="1">
      <c r="A305" s="158">
        <f>OBRA!J304</f>
        <v>2018</v>
      </c>
      <c r="B305" s="1683"/>
      <c r="C305" s="395"/>
      <c r="D305" s="146"/>
      <c r="E305" s="148"/>
      <c r="F305" s="148"/>
      <c r="G305" s="398"/>
      <c r="H305" s="404" t="str">
        <f>OBRA!AF304</f>
        <v>-</v>
      </c>
      <c r="I305" s="400"/>
      <c r="J305" s="406" t="str">
        <f>OBRA!AG304</f>
        <v>-</v>
      </c>
      <c r="K305" s="401"/>
      <c r="L305" s="404" t="str">
        <f>OBRA!AH304</f>
        <v>-</v>
      </c>
      <c r="M305" s="402"/>
      <c r="N305" s="404" t="str">
        <f>OBRA!AI304</f>
        <v>-</v>
      </c>
      <c r="O305" s="144"/>
      <c r="P305" s="144"/>
      <c r="Q305" s="403"/>
      <c r="R305" s="407" t="str">
        <f>OBRA!AJ304</f>
        <v>-</v>
      </c>
      <c r="S305" s="201"/>
      <c r="T305" s="399" t="str">
        <f>OBRA!W304</f>
        <v>N/A</v>
      </c>
      <c r="U305" s="408" t="str">
        <f>OBRA!X304</f>
        <v>ING. J. GUADALUPE IBARRA RAMIREZ</v>
      </c>
      <c r="V305" s="1090"/>
      <c r="W305" s="19" t="str">
        <f>OBRA!N304</f>
        <v>DOP/AD/011/2018</v>
      </c>
      <c r="X305" s="12"/>
      <c r="Y305" s="12"/>
      <c r="Z305" s="409" t="str">
        <f>OBRA!M304</f>
        <v>Fondo de proyectos para el Desarrollo Regional</v>
      </c>
      <c r="AA305" s="12"/>
      <c r="AB305" s="2" t="str">
        <f>OBRA!O304</f>
        <v>ADMINISTRACIÓN DIRECTA</v>
      </c>
      <c r="AC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AD305" s="4">
        <f>OBRA!R304</f>
        <v>989000</v>
      </c>
      <c r="AE305" s="6">
        <f>OBRA!S304</f>
        <v>43241</v>
      </c>
      <c r="AF305" s="5">
        <f>OBRA!T304</f>
        <v>43257</v>
      </c>
      <c r="AG305" s="390">
        <f>OBRA!U304</f>
        <v>43322</v>
      </c>
      <c r="AH305" s="52"/>
      <c r="AI305" s="211"/>
      <c r="AJ305" s="242"/>
      <c r="AK305" s="242"/>
      <c r="AL305" s="394"/>
      <c r="AM305" s="519" t="str">
        <f>GRAL!B306</f>
        <v>2015-2018</v>
      </c>
    </row>
    <row r="306" spans="1:39" ht="30" hidden="1" customHeight="1" thickTop="1">
      <c r="A306" s="158">
        <f>OBRA!J305</f>
        <v>2018</v>
      </c>
      <c r="B306" s="1683"/>
      <c r="C306" s="395"/>
      <c r="D306" s="146"/>
      <c r="E306" s="148"/>
      <c r="F306" s="148"/>
      <c r="G306" s="398"/>
      <c r="H306" s="404" t="str">
        <f>OBRA!AF305</f>
        <v>-</v>
      </c>
      <c r="I306" s="400"/>
      <c r="J306" s="406" t="str">
        <f>OBRA!AG305</f>
        <v>-</v>
      </c>
      <c r="K306" s="401"/>
      <c r="L306" s="404" t="str">
        <f>OBRA!AH305</f>
        <v>-</v>
      </c>
      <c r="M306" s="402"/>
      <c r="N306" s="404" t="str">
        <f>OBRA!AI305</f>
        <v>-</v>
      </c>
      <c r="O306" s="144"/>
      <c r="P306" s="144"/>
      <c r="Q306" s="403"/>
      <c r="R306" s="407" t="str">
        <f>OBRA!AJ305</f>
        <v>-</v>
      </c>
      <c r="S306" s="201"/>
      <c r="T306" s="399" t="str">
        <f>OBRA!W305</f>
        <v>N/A</v>
      </c>
      <c r="U306" s="408" t="str">
        <f>OBRA!X305</f>
        <v>ING. J. GUADALUPE IBARRA RAMIREZ</v>
      </c>
      <c r="V306" s="1090"/>
      <c r="W306" s="19" t="str">
        <f>OBRA!N305</f>
        <v>DOP/AD/012/2018</v>
      </c>
      <c r="X306" s="12"/>
      <c r="Y306" s="12"/>
      <c r="Z306" s="409" t="str">
        <f>OBRA!M305</f>
        <v>CUENTA CORRIENTE</v>
      </c>
      <c r="AA306" s="12"/>
      <c r="AB306" s="2" t="str">
        <f>OBRA!O305</f>
        <v>ADMINISTRACIÓN DIRECTA</v>
      </c>
      <c r="AC306" s="3" t="str">
        <f>OBRA!P305</f>
        <v>REHABILITACIÓN DE RED DE DRENAJE EN LA CALLE JUAREZ Y 24 DE FEBRERO EN LA DELEGACION DE HUEJOTITAN, DEL MUNICIPIO DE JOCOTEPEC, JALISCO.</v>
      </c>
      <c r="AD306" s="4">
        <f>OBRA!R305</f>
        <v>354409.68</v>
      </c>
      <c r="AE306" s="6">
        <f>OBRA!S305</f>
        <v>43257</v>
      </c>
      <c r="AF306" s="5">
        <f>OBRA!T305</f>
        <v>43257</v>
      </c>
      <c r="AG306" s="390">
        <f>OBRA!U305</f>
        <v>43318</v>
      </c>
      <c r="AH306" s="52"/>
      <c r="AI306" s="211"/>
      <c r="AJ306" s="242"/>
      <c r="AK306" s="242"/>
      <c r="AL306" s="394"/>
      <c r="AM306" s="519" t="str">
        <f>GRAL!B307</f>
        <v>2015-2018</v>
      </c>
    </row>
    <row r="307" spans="1:39" ht="30" hidden="1" customHeight="1" thickTop="1">
      <c r="A307" s="158">
        <f>OBRA!J306</f>
        <v>2018</v>
      </c>
      <c r="B307" s="1683"/>
      <c r="C307" s="395"/>
      <c r="D307" s="146"/>
      <c r="E307" s="148"/>
      <c r="F307" s="148"/>
      <c r="G307" s="398"/>
      <c r="H307" s="404" t="str">
        <f>OBRA!AF306</f>
        <v>-</v>
      </c>
      <c r="I307" s="400"/>
      <c r="J307" s="406" t="str">
        <f>OBRA!AG306</f>
        <v>-</v>
      </c>
      <c r="K307" s="401"/>
      <c r="L307" s="404" t="str">
        <f>OBRA!AH306</f>
        <v>-</v>
      </c>
      <c r="M307" s="402"/>
      <c r="N307" s="404" t="str">
        <f>OBRA!AI306</f>
        <v>-</v>
      </c>
      <c r="O307" s="144"/>
      <c r="P307" s="144"/>
      <c r="Q307" s="403"/>
      <c r="R307" s="407" t="str">
        <f>OBRA!AJ306</f>
        <v>-</v>
      </c>
      <c r="S307" s="201"/>
      <c r="T307" s="399" t="str">
        <f>OBRA!W306</f>
        <v>N/A</v>
      </c>
      <c r="U307" s="408" t="str">
        <f>OBRA!X306</f>
        <v>ING. J. GUADALUPE IBARRA RAMIREZ</v>
      </c>
      <c r="V307" s="1090"/>
      <c r="W307" s="19" t="str">
        <f>OBRA!N306</f>
        <v>DOP/AD/013/2018</v>
      </c>
      <c r="X307" s="12"/>
      <c r="Y307" s="12"/>
      <c r="Z307" s="409" t="str">
        <f>OBRA!M306</f>
        <v>CUENTA CORRIENTE</v>
      </c>
      <c r="AA307" s="12"/>
      <c r="AB307" s="2" t="str">
        <f>OBRA!O306</f>
        <v>ADMINISTRACIÓN DIRECTA</v>
      </c>
      <c r="AC307" s="3" t="str">
        <f>OBRA!P306</f>
        <v>REHABILITACION DE RED DE AGUA POTABLE EN LA CALLE JUAREZ Y 24 DE FEBRERO EN LA DELEGACION DE HUEJOTITAN, DEL MUNICIPIO DE JOCOTEPEC, JALISCO.</v>
      </c>
      <c r="AD307" s="4">
        <f>OBRA!R306</f>
        <v>95341.6</v>
      </c>
      <c r="AE307" s="6">
        <f>OBRA!S306</f>
        <v>43257</v>
      </c>
      <c r="AF307" s="5">
        <f>OBRA!T306</f>
        <v>43257</v>
      </c>
      <c r="AG307" s="390">
        <f>OBRA!U306</f>
        <v>43318</v>
      </c>
      <c r="AH307" s="52"/>
      <c r="AI307" s="211"/>
      <c r="AJ307" s="242"/>
      <c r="AK307" s="242"/>
      <c r="AL307" s="394"/>
      <c r="AM307" s="519" t="str">
        <f>GRAL!B308</f>
        <v>2015-2018</v>
      </c>
    </row>
    <row r="308" spans="1:39" ht="30" hidden="1" customHeight="1" thickTop="1">
      <c r="A308" s="158">
        <f>OBRA!J307</f>
        <v>2018</v>
      </c>
      <c r="B308" s="1683"/>
      <c r="C308" s="395"/>
      <c r="D308" s="146"/>
      <c r="E308" s="148"/>
      <c r="F308" s="148"/>
      <c r="G308" s="398"/>
      <c r="H308" s="404" t="str">
        <f>OBRA!AF307</f>
        <v>-</v>
      </c>
      <c r="I308" s="400"/>
      <c r="J308" s="406" t="str">
        <f>OBRA!AG307</f>
        <v>-</v>
      </c>
      <c r="K308" s="401"/>
      <c r="L308" s="404" t="str">
        <f>OBRA!AH307</f>
        <v>-</v>
      </c>
      <c r="M308" s="402"/>
      <c r="N308" s="404" t="str">
        <f>OBRA!AI307</f>
        <v>-</v>
      </c>
      <c r="O308" s="144"/>
      <c r="P308" s="144"/>
      <c r="Q308" s="403"/>
      <c r="R308" s="407" t="str">
        <f>OBRA!AJ307</f>
        <v>-</v>
      </c>
      <c r="S308" s="201"/>
      <c r="T308" s="399" t="str">
        <f>OBRA!W307</f>
        <v>N/A</v>
      </c>
      <c r="U308" s="408" t="str">
        <f>OBRA!X307</f>
        <v>ARQ. CESAR ANTONIO ALONSO JIMENEZ</v>
      </c>
      <c r="V308" s="1090"/>
      <c r="W308" s="19" t="str">
        <f>OBRA!N307</f>
        <v>DOP/AD/014/2018</v>
      </c>
      <c r="X308" s="12"/>
      <c r="Y308" s="12"/>
      <c r="Z308" s="409" t="str">
        <f>OBRA!M307</f>
        <v>RAMO 33</v>
      </c>
      <c r="AA308" s="12"/>
      <c r="AB308" s="2" t="str">
        <f>OBRA!O307</f>
        <v>ADMINISTRACIÓN DIRECTA</v>
      </c>
      <c r="AC308" s="3" t="str">
        <f>OBRA!P307</f>
        <v>CONSTRUCCIÓN DE LINEA DE DRENAJE EN CALLE DAVID MIRANDA 120 ML DE CALLE VENUSTIANO CARRANZA HACIA EL PONIENTE, EN LA LOCALIDAD DE ZAPOTITAN DE HIDALGO, DEL MUNICIPIO DE JOCOTEPEC, JALISCO.</v>
      </c>
      <c r="AD308" s="4">
        <f>OBRA!R307</f>
        <v>114935.87</v>
      </c>
      <c r="AE308" s="6">
        <f>OBRA!S307</f>
        <v>43257</v>
      </c>
      <c r="AF308" s="5">
        <f>OBRA!T307</f>
        <v>43273</v>
      </c>
      <c r="AG308" s="390">
        <f>OBRA!U307</f>
        <v>43294</v>
      </c>
      <c r="AH308" s="52"/>
      <c r="AI308" s="211"/>
      <c r="AJ308" s="242"/>
      <c r="AK308" s="242"/>
      <c r="AL308" s="394"/>
      <c r="AM308" s="519" t="str">
        <f>GRAL!B309</f>
        <v>2015-2018</v>
      </c>
    </row>
    <row r="309" spans="1:39" s="104" customFormat="1" ht="30" hidden="1" customHeight="1" thickTop="1">
      <c r="A309" s="830">
        <f>OBRA!J308</f>
        <v>2018</v>
      </c>
      <c r="B309" s="1684"/>
      <c r="C309" s="831"/>
      <c r="D309" s="147"/>
      <c r="E309" s="149"/>
      <c r="F309" s="149"/>
      <c r="G309" s="832"/>
      <c r="H309" s="150" t="str">
        <f>OBRA!AF308</f>
        <v>-</v>
      </c>
      <c r="I309" s="417"/>
      <c r="J309" s="110" t="str">
        <f>OBRA!AG308</f>
        <v>-</v>
      </c>
      <c r="K309" s="834"/>
      <c r="L309" s="150" t="str">
        <f>OBRA!AH308</f>
        <v>-</v>
      </c>
      <c r="M309" s="833"/>
      <c r="N309" s="150" t="str">
        <f>OBRA!AI308</f>
        <v>-</v>
      </c>
      <c r="O309" s="150"/>
      <c r="P309" s="150"/>
      <c r="Q309" s="834"/>
      <c r="R309" s="420" t="str">
        <f>OBRA!AJ308</f>
        <v>-</v>
      </c>
      <c r="S309" s="840"/>
      <c r="T309" s="149" t="str">
        <f>OBRA!W308</f>
        <v>-</v>
      </c>
      <c r="U309" s="152" t="str">
        <f>OBRA!X308</f>
        <v>-</v>
      </c>
      <c r="V309" s="147"/>
      <c r="W309" s="829" t="str">
        <f>OBRA!N308</f>
        <v>DOP/AD/015/2018</v>
      </c>
      <c r="X309" s="103"/>
      <c r="Y309" s="103"/>
      <c r="Z309" s="103" t="str">
        <f>OBRA!M308</f>
        <v>RAMO 33</v>
      </c>
      <c r="AA309" s="103"/>
      <c r="AB309" s="186" t="str">
        <f>OBRA!O308</f>
        <v>CANCELADA</v>
      </c>
      <c r="AC309" s="106" t="str">
        <f>OBRA!P308</f>
        <v>FABRICACION DE BANQUETAS EN CALLE "EL HUASOYO" EN LA LOCALIDAD DE CHANTEPEC, DEL MUNICIPIO DE JOCOTEPEC, JALISCO</v>
      </c>
      <c r="AD309" s="86">
        <f>OBRA!R308</f>
        <v>88593.05</v>
      </c>
      <c r="AE309" s="87">
        <f>OBRA!S308</f>
        <v>43276</v>
      </c>
      <c r="AF309" s="88">
        <f>OBRA!T308</f>
        <v>43276</v>
      </c>
      <c r="AG309" s="391">
        <f>OBRA!U308</f>
        <v>43288</v>
      </c>
      <c r="AH309" s="101"/>
      <c r="AI309" s="84"/>
      <c r="AJ309" s="96"/>
      <c r="AK309" s="96"/>
      <c r="AL309" s="97"/>
      <c r="AM309" s="354" t="str">
        <f>GRAL!B310</f>
        <v>2015-2018</v>
      </c>
    </row>
    <row r="310" spans="1:39" ht="30" hidden="1" customHeight="1" thickTop="1">
      <c r="A310" s="158">
        <f>OBRA!J309</f>
        <v>2018</v>
      </c>
      <c r="B310" s="1683"/>
      <c r="C310" s="395"/>
      <c r="D310" s="146"/>
      <c r="E310" s="148"/>
      <c r="F310" s="148"/>
      <c r="G310" s="398"/>
      <c r="H310" s="404" t="str">
        <f>OBRA!AF309</f>
        <v>-</v>
      </c>
      <c r="I310" s="400"/>
      <c r="J310" s="406" t="str">
        <f>OBRA!AG309</f>
        <v>-</v>
      </c>
      <c r="K310" s="401"/>
      <c r="L310" s="404" t="str">
        <f>OBRA!AH309</f>
        <v>-</v>
      </c>
      <c r="M310" s="402"/>
      <c r="N310" s="404" t="str">
        <f>OBRA!AI309</f>
        <v>-</v>
      </c>
      <c r="O310" s="144"/>
      <c r="P310" s="144"/>
      <c r="Q310" s="403"/>
      <c r="R310" s="407" t="str">
        <f>OBRA!AJ309</f>
        <v>-</v>
      </c>
      <c r="S310" s="201"/>
      <c r="T310" s="399" t="str">
        <f>OBRA!W309</f>
        <v>N/A</v>
      </c>
      <c r="U310" s="408" t="str">
        <f>OBRA!X309</f>
        <v>ING. J. GUADALUPE IBARRA RAMIREZ</v>
      </c>
      <c r="V310" s="1090"/>
      <c r="W310" s="19" t="str">
        <f>OBRA!N309</f>
        <v>DOP/AD/016/2018</v>
      </c>
      <c r="X310" s="12"/>
      <c r="Y310" s="12"/>
      <c r="Z310" s="409" t="str">
        <f>OBRA!M309</f>
        <v>Fondo de proyectos para el Desarrollo Regional</v>
      </c>
      <c r="AA310" s="12"/>
      <c r="AB310" s="2" t="str">
        <f>OBRA!O309</f>
        <v>ADMINISTRACIÓN DIRECTA</v>
      </c>
      <c r="AC310" s="3" t="str">
        <f>OBRA!P309</f>
        <v>CONSTRUCCION DE EMPEDRADO AHOGADO EN  CEMENTO, CONSTRUCCION DE HUELLAS DE CONCRETO, Y CONSTRUCCION DE GUARNICION DE LA CALLE CUAUHTEMOC, EN LA LOCALIDAD DE POTRERILLOS DEL MUNICIPIO DE JOCOTEPEC, JALISCO</v>
      </c>
      <c r="AD310" s="4">
        <f>OBRA!R309</f>
        <v>989000</v>
      </c>
      <c r="AE310" s="6">
        <f>OBRA!S309</f>
        <v>43251</v>
      </c>
      <c r="AF310" s="5">
        <f>OBRA!T309</f>
        <v>43252</v>
      </c>
      <c r="AG310" s="390">
        <f>OBRA!U309</f>
        <v>43311</v>
      </c>
      <c r="AH310" s="52"/>
      <c r="AI310" s="211"/>
      <c r="AJ310" s="242"/>
      <c r="AK310" s="242"/>
      <c r="AL310" s="394"/>
      <c r="AM310" s="519" t="str">
        <f>GRAL!B311</f>
        <v>2015-2018</v>
      </c>
    </row>
    <row r="311" spans="1:39" ht="30" hidden="1" customHeight="1" thickTop="1">
      <c r="A311" s="158">
        <f>OBRA!J310</f>
        <v>2018</v>
      </c>
      <c r="B311" s="1683"/>
      <c r="C311" s="395"/>
      <c r="D311" s="146"/>
      <c r="E311" s="148"/>
      <c r="F311" s="148"/>
      <c r="G311" s="398"/>
      <c r="H311" s="404" t="str">
        <f>OBRA!AF310</f>
        <v>-</v>
      </c>
      <c r="I311" s="400"/>
      <c r="J311" s="406" t="str">
        <f>OBRA!AG310</f>
        <v>-</v>
      </c>
      <c r="K311" s="401"/>
      <c r="L311" s="404" t="str">
        <f>OBRA!AH310</f>
        <v>-</v>
      </c>
      <c r="M311" s="402"/>
      <c r="N311" s="404" t="str">
        <f>OBRA!AI310</f>
        <v>-</v>
      </c>
      <c r="O311" s="144"/>
      <c r="P311" s="144"/>
      <c r="Q311" s="403"/>
      <c r="R311" s="407" t="str">
        <f>OBRA!AJ310</f>
        <v>-</v>
      </c>
      <c r="S311" s="201"/>
      <c r="T311" s="399" t="str">
        <f>OBRA!W310</f>
        <v>N/A</v>
      </c>
      <c r="U311" s="408" t="str">
        <f>OBRA!X310</f>
        <v>ING. JUAN MANUEL GARCIA ESCOTO</v>
      </c>
      <c r="V311" s="1090"/>
      <c r="W311" s="19" t="str">
        <f>OBRA!N310</f>
        <v>DOP/AD/017/2018</v>
      </c>
      <c r="X311" s="12"/>
      <c r="Y311" s="12"/>
      <c r="Z311" s="409" t="str">
        <f>OBRA!M310</f>
        <v>Fondo de proyectos para el Desarrollo Regional</v>
      </c>
      <c r="AA311" s="12"/>
      <c r="AB311" s="2" t="str">
        <f>OBRA!O310</f>
        <v>ADMINISTRACIÓN DIRECTA</v>
      </c>
      <c r="AC311" s="3" t="str">
        <f>OBRA!P310</f>
        <v>PROYECTO CONSTRUCCION DE EMPEDRADO AHOGADO EN CEMENTO, CONSTRUCCION DE FRANJA DE ADOQUIN Y CONSTRUCCIÓN DE GUARNICIÓN DE LA CALLE RAMON CORONA DE LA LOCALIDAD DE SAN CRISTOBAL ZAPOTITLAN, DEL MUNICIPIO DE JOCOTEPEC, JALISCO</v>
      </c>
      <c r="AD311" s="4">
        <f>OBRA!R310</f>
        <v>900000</v>
      </c>
      <c r="AE311" s="6">
        <f>OBRA!S310</f>
        <v>43262</v>
      </c>
      <c r="AF311" s="5">
        <f>OBRA!T310</f>
        <v>43266</v>
      </c>
      <c r="AG311" s="390">
        <f>OBRA!U310</f>
        <v>43329</v>
      </c>
      <c r="AH311" s="52"/>
      <c r="AI311" s="211"/>
      <c r="AJ311" s="242"/>
      <c r="AK311" s="242"/>
      <c r="AL311" s="394"/>
      <c r="AM311" s="519" t="str">
        <f>GRAL!B312</f>
        <v>2015-2018</v>
      </c>
    </row>
    <row r="312" spans="1:39" ht="30" hidden="1" customHeight="1" thickTop="1">
      <c r="A312" s="158">
        <f>OBRA!J311</f>
        <v>2018</v>
      </c>
      <c r="B312" s="1683"/>
      <c r="C312" s="395"/>
      <c r="D312" s="146"/>
      <c r="E312" s="148"/>
      <c r="F312" s="148"/>
      <c r="G312" s="398"/>
      <c r="H312" s="404" t="str">
        <f>OBRA!AF311</f>
        <v>-</v>
      </c>
      <c r="I312" s="400"/>
      <c r="J312" s="406" t="str">
        <f>OBRA!AG311</f>
        <v>-</v>
      </c>
      <c r="K312" s="401"/>
      <c r="L312" s="404" t="str">
        <f>OBRA!AH311</f>
        <v>-</v>
      </c>
      <c r="M312" s="402"/>
      <c r="N312" s="404" t="str">
        <f>OBRA!AI311</f>
        <v>-</v>
      </c>
      <c r="O312" s="144"/>
      <c r="P312" s="144"/>
      <c r="Q312" s="403"/>
      <c r="R312" s="407" t="str">
        <f>OBRA!AJ311</f>
        <v>-</v>
      </c>
      <c r="S312" s="201"/>
      <c r="T312" s="399" t="str">
        <f>OBRA!W311</f>
        <v>N/A</v>
      </c>
      <c r="U312" s="408" t="str">
        <f>OBRA!X311</f>
        <v>-</v>
      </c>
      <c r="V312" s="1090"/>
      <c r="W312" s="19" t="str">
        <f>OBRA!N311</f>
        <v>DOP/AD/018/2018</v>
      </c>
      <c r="X312" s="12"/>
      <c r="Y312" s="12"/>
      <c r="Z312" s="409" t="str">
        <f>OBRA!M311</f>
        <v>RAMO 33</v>
      </c>
      <c r="AA312" s="12"/>
      <c r="AB312" s="2" t="str">
        <f>OBRA!O311</f>
        <v>CANCELADA</v>
      </c>
      <c r="AC312" s="3" t="str">
        <f>OBRA!P311</f>
        <v>CONSTRUCCION DE EMPEDRADO ECOLOGICO EN LA PRIVADA LA VAQUITA EN LA LOCALIDAD DE CHANTEPEC, DEL MUNICIPIO DE JOCOTEPEC, JALISCO".</v>
      </c>
      <c r="AD312" s="4">
        <f>OBRA!R311</f>
        <v>46185.599999999999</v>
      </c>
      <c r="AE312" s="6">
        <f>OBRA!S311</f>
        <v>43326</v>
      </c>
      <c r="AF312" s="5">
        <f>OBRA!T311</f>
        <v>43326</v>
      </c>
      <c r="AG312" s="390">
        <f>OBRA!U311</f>
        <v>43357</v>
      </c>
      <c r="AH312" s="52"/>
      <c r="AI312" s="211"/>
      <c r="AJ312" s="242"/>
      <c r="AK312" s="242"/>
      <c r="AL312" s="394"/>
      <c r="AM312" s="519" t="str">
        <f>GRAL!B313</f>
        <v>2015-2018</v>
      </c>
    </row>
    <row r="313" spans="1:39" s="104" customFormat="1" ht="30" hidden="1" customHeight="1" thickTop="1">
      <c r="A313" s="830">
        <f>OBRA!J312</f>
        <v>2018</v>
      </c>
      <c r="B313" s="1684"/>
      <c r="C313" s="831"/>
      <c r="D313" s="147"/>
      <c r="E313" s="149"/>
      <c r="F313" s="149"/>
      <c r="G313" s="832"/>
      <c r="H313" s="150" t="str">
        <f>OBRA!AF312</f>
        <v>-</v>
      </c>
      <c r="I313" s="417"/>
      <c r="J313" s="110" t="str">
        <f>OBRA!AG312</f>
        <v>-</v>
      </c>
      <c r="K313" s="834"/>
      <c r="L313" s="150" t="str">
        <f>OBRA!AH312</f>
        <v>-</v>
      </c>
      <c r="M313" s="833"/>
      <c r="N313" s="150" t="str">
        <f>OBRA!AI312</f>
        <v>-</v>
      </c>
      <c r="O313" s="150"/>
      <c r="P313" s="150"/>
      <c r="Q313" s="834"/>
      <c r="R313" s="420" t="str">
        <f>OBRA!AJ312</f>
        <v>-</v>
      </c>
      <c r="S313" s="840"/>
      <c r="T313" s="149" t="str">
        <f>OBRA!W312</f>
        <v>N/A</v>
      </c>
      <c r="U313" s="152" t="str">
        <f>OBRA!X312</f>
        <v>-</v>
      </c>
      <c r="V313" s="147"/>
      <c r="W313" s="829" t="str">
        <f>OBRA!N312</f>
        <v>DOP/AD/019/2018</v>
      </c>
      <c r="X313" s="103"/>
      <c r="Y313" s="103"/>
      <c r="Z313" s="103">
        <f>OBRA!M312</f>
        <v>0</v>
      </c>
      <c r="AA313" s="103"/>
      <c r="AB313" s="186" t="str">
        <f>OBRA!O312</f>
        <v>CANCELADA</v>
      </c>
      <c r="AC313" s="106">
        <f>OBRA!P312</f>
        <v>0</v>
      </c>
      <c r="AD313" s="86">
        <f>OBRA!R312</f>
        <v>0</v>
      </c>
      <c r="AE313" s="87">
        <f>OBRA!S312</f>
        <v>0</v>
      </c>
      <c r="AF313" s="88">
        <f>OBRA!T312</f>
        <v>0</v>
      </c>
      <c r="AG313" s="391">
        <f>OBRA!U312</f>
        <v>0</v>
      </c>
      <c r="AH313" s="101"/>
      <c r="AI313" s="84"/>
      <c r="AJ313" s="96"/>
      <c r="AK313" s="96"/>
      <c r="AL313" s="97"/>
      <c r="AM313" s="354" t="str">
        <f>GRAL!B314</f>
        <v>2015-2018</v>
      </c>
    </row>
    <row r="314" spans="1:39" ht="30" hidden="1" customHeight="1" thickTop="1">
      <c r="A314" s="158">
        <f>OBRA!J313</f>
        <v>2018</v>
      </c>
      <c r="B314" s="1683"/>
      <c r="C314" s="395"/>
      <c r="D314" s="146"/>
      <c r="E314" s="148"/>
      <c r="F314" s="148"/>
      <c r="G314" s="398"/>
      <c r="H314" s="404" t="str">
        <f>OBRA!AF313</f>
        <v>-</v>
      </c>
      <c r="I314" s="400"/>
      <c r="J314" s="406" t="str">
        <f>OBRA!AG313</f>
        <v>-</v>
      </c>
      <c r="K314" s="401"/>
      <c r="L314" s="404" t="str">
        <f>OBRA!AH313</f>
        <v>-</v>
      </c>
      <c r="M314" s="402"/>
      <c r="N314" s="404" t="str">
        <f>OBRA!AI313</f>
        <v>-</v>
      </c>
      <c r="O314" s="144"/>
      <c r="P314" s="144"/>
      <c r="Q314" s="403"/>
      <c r="R314" s="407" t="str">
        <f>OBRA!AJ313</f>
        <v>-</v>
      </c>
      <c r="S314" s="201"/>
      <c r="T314" s="399" t="str">
        <f>OBRA!W313</f>
        <v>N/A</v>
      </c>
      <c r="U314" s="408" t="str">
        <f>OBRA!X313</f>
        <v>-</v>
      </c>
      <c r="V314" s="1090"/>
      <c r="W314" s="19" t="str">
        <f>OBRA!N313</f>
        <v>DOP/AD/020/2018</v>
      </c>
      <c r="X314" s="12"/>
      <c r="Y314" s="12"/>
      <c r="Z314" s="409" t="str">
        <f>OBRA!M313</f>
        <v>CUENTA CORRIENTE</v>
      </c>
      <c r="AA314" s="12"/>
      <c r="AB314" s="2" t="str">
        <f>OBRA!O313</f>
        <v>ADMINISTRACIÓN DIRECTA</v>
      </c>
      <c r="AC314" s="3" t="str">
        <f>OBRA!P313</f>
        <v>TRABAJOS DE DESASOLVE EN LOS ARROYOS DEL MUNICIPIO DE JOCOTEPEC, JALISCO</v>
      </c>
      <c r="AD314" s="4">
        <f>OBRA!R313</f>
        <v>33408</v>
      </c>
      <c r="AE314" s="6">
        <f>OBRA!S313</f>
        <v>43349</v>
      </c>
      <c r="AF314" s="5">
        <f>OBRA!T313</f>
        <v>43350</v>
      </c>
      <c r="AG314" s="390">
        <f>OBRA!U313</f>
        <v>43365</v>
      </c>
      <c r="AH314" s="52"/>
      <c r="AI314" s="211"/>
      <c r="AJ314" s="242"/>
      <c r="AK314" s="242"/>
      <c r="AL314" s="394"/>
      <c r="AM314" s="519" t="str">
        <f>GRAL!B315</f>
        <v>2015-2018</v>
      </c>
    </row>
    <row r="315" spans="1:39" ht="30" hidden="1" customHeight="1" thickTop="1">
      <c r="A315" s="158">
        <f>OBRA!J314</f>
        <v>2018</v>
      </c>
      <c r="B315" s="1683"/>
      <c r="C315" s="395"/>
      <c r="D315" s="146"/>
      <c r="E315" s="148"/>
      <c r="F315" s="148"/>
      <c r="G315" s="398"/>
      <c r="H315" s="404" t="str">
        <f>OBRA!AF314</f>
        <v>-</v>
      </c>
      <c r="I315" s="400"/>
      <c r="J315" s="406" t="str">
        <f>OBRA!AG314</f>
        <v>-</v>
      </c>
      <c r="K315" s="401"/>
      <c r="L315" s="404" t="str">
        <f>OBRA!AH314</f>
        <v>-</v>
      </c>
      <c r="M315" s="402"/>
      <c r="N315" s="404" t="str">
        <f>OBRA!AI314</f>
        <v>-</v>
      </c>
      <c r="O315" s="144"/>
      <c r="P315" s="144"/>
      <c r="Q315" s="403"/>
      <c r="R315" s="407" t="str">
        <f>OBRA!AJ314</f>
        <v>-</v>
      </c>
      <c r="S315" s="201"/>
      <c r="T315" s="399" t="str">
        <f>OBRA!W314</f>
        <v>C. NORMA GORETY DOMINGUEZ CALVARIO</v>
      </c>
      <c r="U315" s="408" t="str">
        <f>OBRA!X314</f>
        <v>ING. JUAN MANUEL GARCIA ESCOTO</v>
      </c>
      <c r="V315" s="1090"/>
      <c r="W315" s="19" t="str">
        <f>OBRA!N314</f>
        <v>GMJ 001C OP/2018</v>
      </c>
      <c r="X315" s="12"/>
      <c r="Y315" s="12"/>
      <c r="Z315" s="409" t="str">
        <f>OBRA!M314</f>
        <v>RAMO 33</v>
      </c>
      <c r="AA315" s="12"/>
      <c r="AB315" s="2" t="str">
        <f>OBRA!O314</f>
        <v>ADJUDICACIÓN DIRECTA</v>
      </c>
      <c r="AC315" s="3" t="str">
        <f>OBRA!P314</f>
        <v>SUSTITUCIÓN DE SUPERFICIE DE RODAMIENTO EN LA CALLE MORELOS ENTRE ZARAGOZA Y PANTEON, CAMBIO DE EMPEDRADO NORMAL POR ADOQUIN, EN LA CABECERA MUNICIPAL DEL MUNICIPIO DE JOCOTEPEC, JALISCO</v>
      </c>
      <c r="AD315" s="4">
        <f>OBRA!R314</f>
        <v>844622.8</v>
      </c>
      <c r="AE315" s="6">
        <f>OBRA!S314</f>
        <v>43137</v>
      </c>
      <c r="AF315" s="5">
        <f>OBRA!T314</f>
        <v>43137</v>
      </c>
      <c r="AG315" s="390">
        <f>OBRA!U314</f>
        <v>43168</v>
      </c>
      <c r="AH315" s="52"/>
      <c r="AI315" s="211"/>
      <c r="AJ315" s="242"/>
      <c r="AK315" s="242"/>
      <c r="AL315" s="394"/>
      <c r="AM315" s="519" t="str">
        <f>GRAL!B316</f>
        <v>2015-2018</v>
      </c>
    </row>
    <row r="316" spans="1:39" ht="213.75" hidden="1" customHeight="1" thickTop="1">
      <c r="A316" s="158">
        <f>OBRA!J315</f>
        <v>2018</v>
      </c>
      <c r="B316" s="1683"/>
      <c r="C316" s="599" t="s">
        <v>3689</v>
      </c>
      <c r="D316" s="146" t="s">
        <v>2430</v>
      </c>
      <c r="E316" s="148" t="s">
        <v>2431</v>
      </c>
      <c r="F316" s="148" t="s">
        <v>2432</v>
      </c>
      <c r="G316" s="546" t="s">
        <v>3689</v>
      </c>
      <c r="H316" s="580">
        <f>OBRA!AF315</f>
        <v>43192</v>
      </c>
      <c r="I316" s="546" t="s">
        <v>3689</v>
      </c>
      <c r="J316" s="581">
        <f>OBRA!AG315</f>
        <v>43200</v>
      </c>
      <c r="K316" s="546" t="s">
        <v>3689</v>
      </c>
      <c r="L316" s="580">
        <f>OBRA!AH315</f>
        <v>43200</v>
      </c>
      <c r="M316" s="546" t="s">
        <v>3689</v>
      </c>
      <c r="N316" s="580">
        <f>OBRA!AI315</f>
        <v>43207</v>
      </c>
      <c r="O316" s="166" t="s">
        <v>3812</v>
      </c>
      <c r="P316" s="585">
        <v>0.41666666666666669</v>
      </c>
      <c r="Q316" s="546" t="s">
        <v>3689</v>
      </c>
      <c r="R316" s="205">
        <f>OBRA!AJ315</f>
        <v>43207</v>
      </c>
      <c r="S316" s="874" t="s">
        <v>2433</v>
      </c>
      <c r="T316" s="148" t="str">
        <f>OBRA!W315</f>
        <v xml:space="preserve">DRABSA CONSTRUCTORA S.A. DE C.V. </v>
      </c>
      <c r="U316" s="55" t="str">
        <f>OBRA!X315</f>
        <v>ING. JUAN MANUEL GARCIA ESCOTO</v>
      </c>
      <c r="V316" s="1454"/>
      <c r="W316" s="33" t="str">
        <f>OBRA!N315</f>
        <v>GMJ 002C OP/2018</v>
      </c>
      <c r="X316" s="464" t="s">
        <v>3488</v>
      </c>
      <c r="Y316" s="410" t="s">
        <v>2434</v>
      </c>
      <c r="Z316" s="409" t="str">
        <f>OBRA!M315</f>
        <v>RAMO 33</v>
      </c>
      <c r="AA316" s="409" t="s">
        <v>2320</v>
      </c>
      <c r="AB316" s="2" t="str">
        <f>OBRA!O315</f>
        <v>POR INVITACION RESTRINGIDA</v>
      </c>
      <c r="AC316" s="3" t="str">
        <f>OBRA!P315</f>
        <v>REHABILITACION DE LINEA DE DRENAJE EN CALLE ZARAGOZA ENTRE AVENIDA DEL TRABAJO Y CERRADA, (CAMPO DE FUTBOL), CON REPOSICION DE SUPERFICIE DE RODAMIENTO, EN LA LOCALIDAD DE ZAPOTITAN DE HIDALGO DEL MUNICIPIO DE JOCOTEPEC, JALISCO</v>
      </c>
      <c r="AD316" s="4">
        <f>OBRA!R315</f>
        <v>1341538.44</v>
      </c>
      <c r="AE316" s="6">
        <f>OBRA!S315</f>
        <v>43208</v>
      </c>
      <c r="AF316" s="5">
        <f>OBRA!T315</f>
        <v>43209</v>
      </c>
      <c r="AG316" s="1351">
        <f>OBRA!U315</f>
        <v>43239</v>
      </c>
      <c r="AH316" s="1353" t="s">
        <v>3816</v>
      </c>
      <c r="AI316" s="211" t="s">
        <v>2310</v>
      </c>
      <c r="AJ316" s="242" t="s">
        <v>1428</v>
      </c>
      <c r="AK316" s="466" t="s">
        <v>3689</v>
      </c>
      <c r="AL316" s="699" t="s">
        <v>3689</v>
      </c>
      <c r="AM316" s="862" t="str">
        <f>GRAL!B317</f>
        <v>2015-2018</v>
      </c>
    </row>
    <row r="317" spans="1:39" ht="205.5" hidden="1" customHeight="1" thickTop="1">
      <c r="A317" s="158">
        <f>OBRA!J316</f>
        <v>2018</v>
      </c>
      <c r="B317" s="1683"/>
      <c r="C317" s="599" t="s">
        <v>3690</v>
      </c>
      <c r="D317" s="146" t="s">
        <v>2430</v>
      </c>
      <c r="E317" s="148" t="s">
        <v>2431</v>
      </c>
      <c r="F317" s="148" t="s">
        <v>2432</v>
      </c>
      <c r="G317" s="546" t="s">
        <v>3690</v>
      </c>
      <c r="H317" s="580">
        <f>OBRA!AF316</f>
        <v>43192</v>
      </c>
      <c r="I317" s="546" t="s">
        <v>3690</v>
      </c>
      <c r="J317" s="581">
        <f>OBRA!AG316</f>
        <v>43200</v>
      </c>
      <c r="K317" s="546" t="s">
        <v>3690</v>
      </c>
      <c r="L317" s="580">
        <f>OBRA!AH316</f>
        <v>43200</v>
      </c>
      <c r="M317" s="546" t="s">
        <v>3690</v>
      </c>
      <c r="N317" s="580">
        <f>OBRA!AI316</f>
        <v>43207</v>
      </c>
      <c r="O317" s="166" t="s">
        <v>3812</v>
      </c>
      <c r="P317" s="585">
        <v>0.41666666666666669</v>
      </c>
      <c r="Q317" s="546" t="s">
        <v>3690</v>
      </c>
      <c r="R317" s="205">
        <f>OBRA!AJ316</f>
        <v>43207</v>
      </c>
      <c r="S317" s="874" t="s">
        <v>2433</v>
      </c>
      <c r="T317" s="148" t="str">
        <f>OBRA!W316</f>
        <v xml:space="preserve">DRABSA CONSTRUCTORA S.A. DE C.V. </v>
      </c>
      <c r="U317" s="55" t="str">
        <f>OBRA!X316</f>
        <v>ING. JUAN MANUEL GARCIA ESCOTO</v>
      </c>
      <c r="V317" s="1454"/>
      <c r="W317" s="33" t="str">
        <f>OBRA!N316</f>
        <v>GMJ 003C OP/2018</v>
      </c>
      <c r="X317" s="464" t="s">
        <v>3488</v>
      </c>
      <c r="Y317" s="410" t="s">
        <v>2435</v>
      </c>
      <c r="Z317" s="409" t="str">
        <f>OBRA!M316</f>
        <v>RAMO 33</v>
      </c>
      <c r="AA317" s="409" t="s">
        <v>2320</v>
      </c>
      <c r="AB317" s="2" t="str">
        <f>OBRA!O316</f>
        <v>POR INVITACION RESTRINGIDA</v>
      </c>
      <c r="AC317" s="3" t="str">
        <f>OBRA!P316</f>
        <v>REHABILITACION DE LINEA DE AGUA POTABLE EN CALLE ZARAGOZA ENTRE AVENIDA DEL TRABAJO Y CERRADA, (CAMPO DE FUTBOL), CON REPOSICION DE SUPERFICIE DE RODAMIENTO, EN LA LOCALIDAD DE ZAPOTITAN DE HIDALGO, DEL MUNICIPIO DE JOCOTEPEC, JALISCO</v>
      </c>
      <c r="AD317" s="4">
        <f>OBRA!R316</f>
        <v>1303478.02</v>
      </c>
      <c r="AE317" s="6">
        <f>OBRA!S316</f>
        <v>43208</v>
      </c>
      <c r="AF317" s="5">
        <f>OBRA!T316</f>
        <v>43208</v>
      </c>
      <c r="AG317" s="1351">
        <f>OBRA!U316</f>
        <v>43239</v>
      </c>
      <c r="AH317" s="1353" t="s">
        <v>3816</v>
      </c>
      <c r="AI317" s="211" t="s">
        <v>2310</v>
      </c>
      <c r="AJ317" s="242" t="s">
        <v>1428</v>
      </c>
      <c r="AK317" s="466" t="s">
        <v>3690</v>
      </c>
      <c r="AL317" s="546" t="s">
        <v>3690</v>
      </c>
      <c r="AM317" s="863" t="str">
        <f>GRAL!B318</f>
        <v>2015-2018</v>
      </c>
    </row>
    <row r="318" spans="1:39" ht="30" hidden="1" customHeight="1" thickTop="1">
      <c r="A318" s="158">
        <f>OBRA!J317</f>
        <v>2018</v>
      </c>
      <c r="B318" s="1683"/>
      <c r="C318" s="395"/>
      <c r="D318" s="146"/>
      <c r="E318" s="148"/>
      <c r="F318" s="148"/>
      <c r="G318" s="398"/>
      <c r="H318" s="404" t="str">
        <f>OBRA!AF317</f>
        <v>-</v>
      </c>
      <c r="I318" s="400"/>
      <c r="J318" s="406" t="str">
        <f>OBRA!AG317</f>
        <v>-</v>
      </c>
      <c r="K318" s="401"/>
      <c r="L318" s="404" t="str">
        <f>OBRA!AH317</f>
        <v>-</v>
      </c>
      <c r="M318" s="402"/>
      <c r="N318" s="404" t="str">
        <f>OBRA!AI317</f>
        <v>-</v>
      </c>
      <c r="O318" s="144"/>
      <c r="P318" s="144"/>
      <c r="Q318" s="403"/>
      <c r="R318" s="407" t="str">
        <f>OBRA!AJ317</f>
        <v>-</v>
      </c>
      <c r="S318" s="201"/>
      <c r="T318" s="399" t="str">
        <f>OBRA!W317</f>
        <v>JOSE LUIS RANGEL GALVEZ</v>
      </c>
      <c r="U318" s="408" t="str">
        <f>OBRA!X317</f>
        <v>ARQ. CESAR ANTONIO ALONSO JIMENEZ</v>
      </c>
      <c r="V318" s="1090"/>
      <c r="W318" s="33" t="str">
        <f>OBRA!N317</f>
        <v>GMJ 004C OP/2018</v>
      </c>
      <c r="X318" s="464"/>
      <c r="Y318" s="12"/>
      <c r="Z318" s="409" t="str">
        <f>OBRA!M317</f>
        <v>CUENTA CORRIENTE</v>
      </c>
      <c r="AA318" s="12"/>
      <c r="AB318" s="2" t="str">
        <f>OBRA!O317</f>
        <v>ADJUDICACIÓN DIRECTA</v>
      </c>
      <c r="AC318" s="3" t="str">
        <f>OBRA!P317</f>
        <v>CONSTRUCCION DE AMPLIACIÓN DEL PANTEON 2DA ETAPA EN LA CABECERA MUNICIPAL, DEL MUNICIPIO DE JOCOTEPEC, JALISCO</v>
      </c>
      <c r="AD318" s="4">
        <f>OBRA!R317</f>
        <v>500000</v>
      </c>
      <c r="AE318" s="6">
        <f>OBRA!S317</f>
        <v>43224</v>
      </c>
      <c r="AF318" s="5">
        <f>OBRA!T317</f>
        <v>43228</v>
      </c>
      <c r="AG318" s="390">
        <f>OBRA!U317</f>
        <v>43321</v>
      </c>
      <c r="AH318" s="52"/>
      <c r="AI318" s="211"/>
      <c r="AJ318" s="242"/>
      <c r="AK318" s="242"/>
      <c r="AL318" s="394"/>
      <c r="AM318" s="519" t="str">
        <f>GRAL!B319</f>
        <v>2015-2018</v>
      </c>
    </row>
    <row r="319" spans="1:39" ht="30" hidden="1" customHeight="1" thickTop="1">
      <c r="A319" s="158">
        <f>OBRA!J318</f>
        <v>2018</v>
      </c>
      <c r="B319" s="1683"/>
      <c r="C319" s="395"/>
      <c r="D319" s="146"/>
      <c r="E319" s="148"/>
      <c r="F319" s="148"/>
      <c r="G319" s="398"/>
      <c r="H319" s="404" t="str">
        <f>OBRA!AF318</f>
        <v>-</v>
      </c>
      <c r="I319" s="400"/>
      <c r="J319" s="406" t="str">
        <f>OBRA!AG318</f>
        <v>-</v>
      </c>
      <c r="K319" s="401"/>
      <c r="L319" s="404" t="str">
        <f>OBRA!AH318</f>
        <v>-</v>
      </c>
      <c r="M319" s="402"/>
      <c r="N319" s="404" t="str">
        <f>OBRA!AI318</f>
        <v>-</v>
      </c>
      <c r="O319" s="144"/>
      <c r="P319" s="144"/>
      <c r="Q319" s="403"/>
      <c r="R319" s="407" t="str">
        <f>OBRA!AJ318</f>
        <v>-</v>
      </c>
      <c r="S319" s="201"/>
      <c r="T319" s="399" t="str">
        <f>OBRA!W318</f>
        <v xml:space="preserve">GRUPO DESARROLLADOR INMOBILIARIO CEMERAMA S.A. DE C.V. </v>
      </c>
      <c r="U319" s="408" t="str">
        <f>OBRA!X318</f>
        <v>LIC. SALVADOR CONTRERAS OLGUÍN</v>
      </c>
      <c r="V319" s="1090"/>
      <c r="W319" s="33" t="str">
        <f>OBRA!N318</f>
        <v>GMJ 005C OP/2018</v>
      </c>
      <c r="X319" s="464"/>
      <c r="Y319" s="12"/>
      <c r="Z319" s="409" t="str">
        <f>OBRA!M318</f>
        <v>RAMO 33</v>
      </c>
      <c r="AA319" s="12"/>
      <c r="AB319" s="2" t="str">
        <f>OBRA!O318</f>
        <v>ADJUDICACIÓN DIRECTA</v>
      </c>
      <c r="AC319" s="3" t="str">
        <f>OBRA!P318</f>
        <v>AMPLIACION DE RED DE AGUA POTABLE DE 2 I/2" A 4" EN LA LATERAL DE CARRETERA CHAPALA-JOCOTEPEC, ENTRE LA CALLE ITURBIDE A CALLE NARCIZO MENDOZA EN LA LOCALIDAD DE SAN JUAN COSALA, DEL MUNICIPIO DE JOCOTEPEC, JALISCO</v>
      </c>
      <c r="AD319" s="4">
        <f>OBRA!R318</f>
        <v>688990.42</v>
      </c>
      <c r="AE319" s="6">
        <f>OBRA!S318</f>
        <v>43221</v>
      </c>
      <c r="AF319" s="5">
        <f>OBRA!T318</f>
        <v>43224</v>
      </c>
      <c r="AG319" s="390">
        <f>OBRA!U318</f>
        <v>43285</v>
      </c>
      <c r="AH319" s="52"/>
      <c r="AI319" s="211"/>
      <c r="AJ319" s="242"/>
      <c r="AK319" s="242"/>
      <c r="AL319" s="394"/>
      <c r="AM319" s="519" t="str">
        <f>GRAL!B320</f>
        <v>2015-2018</v>
      </c>
    </row>
    <row r="320" spans="1:39" ht="30" hidden="1" customHeight="1" thickTop="1">
      <c r="A320" s="158">
        <f>OBRA!J319</f>
        <v>2018</v>
      </c>
      <c r="B320" s="1683"/>
      <c r="C320" s="395"/>
      <c r="D320" s="146"/>
      <c r="E320" s="148"/>
      <c r="F320" s="148"/>
      <c r="G320" s="398"/>
      <c r="H320" s="404" t="str">
        <f>OBRA!AF319</f>
        <v>-</v>
      </c>
      <c r="I320" s="400"/>
      <c r="J320" s="406" t="str">
        <f>OBRA!AG319</f>
        <v>-</v>
      </c>
      <c r="K320" s="401"/>
      <c r="L320" s="404" t="str">
        <f>OBRA!AH319</f>
        <v>-</v>
      </c>
      <c r="M320" s="402"/>
      <c r="N320" s="404" t="str">
        <f>OBRA!AI319</f>
        <v>-</v>
      </c>
      <c r="O320" s="144"/>
      <c r="P320" s="144"/>
      <c r="Q320" s="403"/>
      <c r="R320" s="407" t="str">
        <f>OBRA!AJ319</f>
        <v>-</v>
      </c>
      <c r="S320" s="201"/>
      <c r="T320" s="399" t="str">
        <f>OBRA!W319</f>
        <v>ING. MACIEL MOZQUEDA GONZALEZ</v>
      </c>
      <c r="U320" s="408" t="str">
        <f>OBRA!X319</f>
        <v>ARQ. CESAR ANTONIO ALONSO JIMENEZ</v>
      </c>
      <c r="V320" s="1090"/>
      <c r="W320" s="33" t="str">
        <f>OBRA!N319</f>
        <v>GMJ 006C OP/2018</v>
      </c>
      <c r="X320" s="464"/>
      <c r="Y320" s="12"/>
      <c r="Z320" s="409" t="str">
        <f>OBRA!M319</f>
        <v>RAMO 33</v>
      </c>
      <c r="AA320" s="12"/>
      <c r="AB320" s="2" t="str">
        <f>OBRA!O319</f>
        <v>ADJUDICACIÓN DIRECTA</v>
      </c>
      <c r="AC320" s="3" t="str">
        <f>OBRA!P319</f>
        <v>REHABILITACION DE LINEA DE AGUA POTABLE EN CALLE CARDENAL DESDE CARRETERA AL PANTEON, CON REPOSICION DE EMPEDRADO NORMAL EN LA LOCALIDAD DE SAN JUAN COSALA, DEL MUNICIPIO DE JOCOTEPEC, JALISCO</v>
      </c>
      <c r="AD320" s="4">
        <f>OBRA!R319</f>
        <v>343705.8</v>
      </c>
      <c r="AE320" s="6">
        <f>OBRA!S319</f>
        <v>43255</v>
      </c>
      <c r="AF320" s="5">
        <f>OBRA!T319</f>
        <v>43257</v>
      </c>
      <c r="AG320" s="390">
        <f>OBRA!U319</f>
        <v>43322</v>
      </c>
      <c r="AH320" s="52"/>
      <c r="AI320" s="211"/>
      <c r="AJ320" s="242"/>
      <c r="AK320" s="242"/>
      <c r="AL320" s="394"/>
      <c r="AM320" s="519" t="str">
        <f>GRAL!B321</f>
        <v>2015-2018</v>
      </c>
    </row>
    <row r="321" spans="1:39" s="104" customFormat="1" ht="30" hidden="1" customHeight="1" thickTop="1">
      <c r="A321" s="830">
        <f>OBRA!J320</f>
        <v>2018</v>
      </c>
      <c r="B321" s="1684"/>
      <c r="C321" s="151"/>
      <c r="D321" s="147"/>
      <c r="E321" s="149"/>
      <c r="F321" s="149"/>
      <c r="G321" s="832"/>
      <c r="H321" s="150">
        <f>OBRA!AF320</f>
        <v>0</v>
      </c>
      <c r="I321" s="417"/>
      <c r="J321" s="110">
        <f>OBRA!AG320</f>
        <v>0</v>
      </c>
      <c r="K321" s="834"/>
      <c r="L321" s="150">
        <f>OBRA!AH320</f>
        <v>0</v>
      </c>
      <c r="M321" s="833"/>
      <c r="N321" s="150">
        <f>OBRA!AI320</f>
        <v>0</v>
      </c>
      <c r="O321" s="150"/>
      <c r="P321" s="150"/>
      <c r="Q321" s="834"/>
      <c r="R321" s="420">
        <f>OBRA!AJ320</f>
        <v>0</v>
      </c>
      <c r="S321" s="840"/>
      <c r="T321" s="149" t="str">
        <f>OBRA!W320</f>
        <v>-</v>
      </c>
      <c r="U321" s="152" t="str">
        <f>OBRA!X320</f>
        <v>-</v>
      </c>
      <c r="V321" s="147"/>
      <c r="W321" s="308" t="str">
        <f>OBRA!N320</f>
        <v>GMJ 007C OP/2018</v>
      </c>
      <c r="X321" s="811"/>
      <c r="Y321" s="103"/>
      <c r="Z321" s="103">
        <f>OBRA!M320</f>
        <v>0</v>
      </c>
      <c r="AA321" s="103"/>
      <c r="AB321" s="186" t="str">
        <f>OBRA!O320</f>
        <v>CANCELADA</v>
      </c>
      <c r="AC321" s="106">
        <f>OBRA!P320</f>
        <v>0</v>
      </c>
      <c r="AD321" s="86">
        <f>OBRA!R320</f>
        <v>0</v>
      </c>
      <c r="AE321" s="87">
        <f>OBRA!S320</f>
        <v>0</v>
      </c>
      <c r="AF321" s="88">
        <f>OBRA!T320</f>
        <v>0</v>
      </c>
      <c r="AG321" s="391">
        <f>OBRA!U320</f>
        <v>0</v>
      </c>
      <c r="AH321" s="101"/>
      <c r="AI321" s="84"/>
      <c r="AJ321" s="96"/>
      <c r="AK321" s="96"/>
      <c r="AL321" s="97"/>
      <c r="AM321" s="354" t="str">
        <f>GRAL!B322</f>
        <v>2015-2018</v>
      </c>
    </row>
    <row r="322" spans="1:39" ht="30" hidden="1" customHeight="1" thickTop="1">
      <c r="A322" s="158">
        <f>OBRA!J321</f>
        <v>2018</v>
      </c>
      <c r="B322" s="1683"/>
      <c r="C322" s="395"/>
      <c r="D322" s="146"/>
      <c r="E322" s="148"/>
      <c r="F322" s="148"/>
      <c r="G322" s="398"/>
      <c r="H322" s="404" t="str">
        <f>OBRA!AF321</f>
        <v>-</v>
      </c>
      <c r="I322" s="400"/>
      <c r="J322" s="406" t="str">
        <f>OBRA!AG321</f>
        <v>-</v>
      </c>
      <c r="K322" s="401"/>
      <c r="L322" s="404" t="str">
        <f>OBRA!AH321</f>
        <v>-</v>
      </c>
      <c r="M322" s="402"/>
      <c r="N322" s="404" t="str">
        <f>OBRA!AI321</f>
        <v>-</v>
      </c>
      <c r="O322" s="144"/>
      <c r="P322" s="144"/>
      <c r="Q322" s="403"/>
      <c r="R322" s="407" t="str">
        <f>OBRA!AJ321</f>
        <v>-</v>
      </c>
      <c r="S322" s="201"/>
      <c r="T322" s="399" t="str">
        <f>OBRA!W321</f>
        <v xml:space="preserve">GRUPO DESARROLLADOR INMOBILIARIO CEMERAMA S.A. DE C.V. </v>
      </c>
      <c r="U322" s="408" t="str">
        <f>OBRA!X321</f>
        <v>LIC. SALVADOR CONTRERAS OLGUÍN</v>
      </c>
      <c r="V322" s="1090"/>
      <c r="W322" s="33" t="str">
        <f>OBRA!N321</f>
        <v>GMJ 008C OP/2018</v>
      </c>
      <c r="X322" s="464"/>
      <c r="Y322" s="12"/>
      <c r="Z322" s="409" t="str">
        <f>OBRA!M321</f>
        <v>RAMO 33</v>
      </c>
      <c r="AA322" s="12"/>
      <c r="AB322" s="2" t="str">
        <f>OBRA!O321</f>
        <v>ADJUDICACIÓN DIRECTA</v>
      </c>
      <c r="AC322" s="3" t="str">
        <f>OBRA!P321</f>
        <v>REHABILITACION DE LA LINEA DE DRENAJE EN LA CALLE HIDALGO DESDE CALLE VICENTE GUERRERO HASTA EMPEDRADO AHOGADO EXISTENTE EN LA LOCALIDAD DE SAN JUAN COSALA, DEL MUNICIPIO DE JOCOTEPEC, JALISCO</v>
      </c>
      <c r="AD322" s="4">
        <f>OBRA!R321</f>
        <v>142361.85</v>
      </c>
      <c r="AE322" s="6">
        <f>OBRA!S321</f>
        <v>43222</v>
      </c>
      <c r="AF322" s="5">
        <f>OBRA!T321</f>
        <v>43224</v>
      </c>
      <c r="AG322" s="390">
        <f>OBRA!U321</f>
        <v>43255</v>
      </c>
      <c r="AH322" s="52"/>
      <c r="AI322" s="211"/>
      <c r="AJ322" s="242"/>
      <c r="AK322" s="242"/>
      <c r="AL322" s="394"/>
      <c r="AM322" s="519" t="str">
        <f>GRAL!B323</f>
        <v>2015-2018</v>
      </c>
    </row>
    <row r="323" spans="1:39" ht="30" hidden="1" customHeight="1" thickTop="1">
      <c r="A323" s="158">
        <f>OBRA!J322</f>
        <v>2018</v>
      </c>
      <c r="B323" s="1683"/>
      <c r="C323" s="395"/>
      <c r="D323" s="146"/>
      <c r="E323" s="148"/>
      <c r="F323" s="148"/>
      <c r="G323" s="398"/>
      <c r="H323" s="404" t="str">
        <f>OBRA!AF322</f>
        <v>-</v>
      </c>
      <c r="I323" s="400"/>
      <c r="J323" s="406" t="str">
        <f>OBRA!AG322</f>
        <v>-</v>
      </c>
      <c r="K323" s="401"/>
      <c r="L323" s="404" t="str">
        <f>OBRA!AH322</f>
        <v>-</v>
      </c>
      <c r="M323" s="402"/>
      <c r="N323" s="404" t="str">
        <f>OBRA!AI322</f>
        <v>-</v>
      </c>
      <c r="O323" s="144"/>
      <c r="P323" s="144"/>
      <c r="Q323" s="403"/>
      <c r="R323" s="407" t="str">
        <f>OBRA!AJ322</f>
        <v>-</v>
      </c>
      <c r="S323" s="201"/>
      <c r="T323" s="399" t="str">
        <f>OBRA!W322</f>
        <v>ING. JOSE VALENTIN ZARATE RIVERA</v>
      </c>
      <c r="U323" s="408" t="str">
        <f>OBRA!X322</f>
        <v>ING. JUAN MANUEL GARCIA ESCOTO</v>
      </c>
      <c r="V323" s="1090"/>
      <c r="W323" s="33" t="str">
        <f>OBRA!N322</f>
        <v>GMJ 009C OP/2018</v>
      </c>
      <c r="X323" s="464"/>
      <c r="Y323" s="12"/>
      <c r="Z323" s="409" t="str">
        <f>OBRA!M322</f>
        <v>FONDEREG</v>
      </c>
      <c r="AA323" s="12"/>
      <c r="AB323" s="2" t="str">
        <f>OBRA!O322</f>
        <v>ADJUDICACIÓN DIRECTA</v>
      </c>
      <c r="AC323" s="3" t="str">
        <f>OBRA!P322</f>
        <v>REHABILITACION DE IMAGEN URBANA DE CALLE VICENTE GUERRERO, EN EL INGRESO PONIENTE A JOCOTEPEC, DE LA CALLE INDEPENDENCIA A LA CALLE PASEO DE LAS ROSAS (ALUMBRADO PUBLICO) EN LA CABECERA MUNICIPAL DEL MUNICIPIO DE JOCOTEPEC, JALISCO</v>
      </c>
      <c r="AD323" s="4">
        <f>OBRA!R322</f>
        <v>526676.22</v>
      </c>
      <c r="AE323" s="6">
        <f>OBRA!S322</f>
        <v>43253</v>
      </c>
      <c r="AF323" s="5">
        <f>OBRA!T322</f>
        <v>43261</v>
      </c>
      <c r="AG323" s="390">
        <f>OBRA!U322</f>
        <v>43322</v>
      </c>
      <c r="AH323" s="52"/>
      <c r="AI323" s="211"/>
      <c r="AJ323" s="242"/>
      <c r="AK323" s="242"/>
      <c r="AL323" s="394"/>
      <c r="AM323" s="519" t="str">
        <f>GRAL!B324</f>
        <v>2015-2018</v>
      </c>
    </row>
    <row r="324" spans="1:39" ht="30" hidden="1" customHeight="1" thickTop="1">
      <c r="A324" s="158">
        <f>OBRA!J323</f>
        <v>2018</v>
      </c>
      <c r="B324" s="1683"/>
      <c r="C324" s="395"/>
      <c r="D324" s="146"/>
      <c r="E324" s="148"/>
      <c r="F324" s="148"/>
      <c r="G324" s="398"/>
      <c r="H324" s="404" t="str">
        <f>OBRA!AF323</f>
        <v>-</v>
      </c>
      <c r="I324" s="400"/>
      <c r="J324" s="406" t="str">
        <f>OBRA!AG323</f>
        <v>-</v>
      </c>
      <c r="K324" s="401"/>
      <c r="L324" s="404" t="str">
        <f>OBRA!AH323</f>
        <v>-</v>
      </c>
      <c r="M324" s="402"/>
      <c r="N324" s="404" t="str">
        <f>OBRA!AI323</f>
        <v>-</v>
      </c>
      <c r="O324" s="144"/>
      <c r="P324" s="144"/>
      <c r="Q324" s="403"/>
      <c r="R324" s="407" t="str">
        <f>OBRA!AJ323</f>
        <v>-</v>
      </c>
      <c r="S324" s="201"/>
      <c r="T324" s="399" t="str">
        <f>OBRA!W323</f>
        <v>LIC. CARLOS MANUEL PELAYO CERVERA</v>
      </c>
      <c r="U324" s="408" t="str">
        <f>OBRA!X323</f>
        <v>ARQ. CESAR ANTONIO ALONSO JIMENEZ</v>
      </c>
      <c r="V324" s="1090"/>
      <c r="W324" s="33" t="str">
        <f>OBRA!N323</f>
        <v>GMJ 010C OP/2018</v>
      </c>
      <c r="X324" s="464"/>
      <c r="Y324" s="12"/>
      <c r="Z324" s="409" t="str">
        <f>OBRA!M323</f>
        <v>RAMO 33</v>
      </c>
      <c r="AA324" s="12"/>
      <c r="AB324" s="2" t="str">
        <f>OBRA!O323</f>
        <v>ADJUDICACIÓN DIRECTA</v>
      </c>
      <c r="AC324" s="3" t="str">
        <f>OBRA!P323</f>
        <v>REHABILITACION DE RED DE AGUA POTABLE EN LA CALLE EMILIANO ZAPATA, EN LA LOCALIDAD DE ZAPOTITAN DE HIDALGO DEL MUNICIPIO DE JOCOTEPEC, JALISCO</v>
      </c>
      <c r="AD324" s="4">
        <f>OBRA!R323</f>
        <v>177478.77</v>
      </c>
      <c r="AE324" s="6">
        <f>OBRA!S323</f>
        <v>43242</v>
      </c>
      <c r="AF324" s="5">
        <f>OBRA!T323</f>
        <v>43243</v>
      </c>
      <c r="AG324" s="390">
        <f>OBRA!U323</f>
        <v>43283</v>
      </c>
      <c r="AH324" s="52"/>
      <c r="AI324" s="211"/>
      <c r="AJ324" s="242"/>
      <c r="AK324" s="242"/>
      <c r="AL324" s="394"/>
      <c r="AM324" s="519" t="str">
        <f>GRAL!B325</f>
        <v>2015-2018</v>
      </c>
    </row>
    <row r="325" spans="1:39" ht="30" hidden="1" customHeight="1" thickTop="1">
      <c r="A325" s="158">
        <f>OBRA!J324</f>
        <v>2018</v>
      </c>
      <c r="B325" s="1683"/>
      <c r="C325" s="395"/>
      <c r="D325" s="146"/>
      <c r="E325" s="148"/>
      <c r="F325" s="148"/>
      <c r="G325" s="398"/>
      <c r="H325" s="404" t="str">
        <f>OBRA!AF324</f>
        <v>-</v>
      </c>
      <c r="I325" s="400"/>
      <c r="J325" s="406" t="str">
        <f>OBRA!AG324</f>
        <v>-</v>
      </c>
      <c r="K325" s="401"/>
      <c r="L325" s="404" t="str">
        <f>OBRA!AH324</f>
        <v>-</v>
      </c>
      <c r="M325" s="402"/>
      <c r="N325" s="404" t="str">
        <f>OBRA!AI324</f>
        <v>-</v>
      </c>
      <c r="O325" s="144"/>
      <c r="P325" s="144"/>
      <c r="Q325" s="403"/>
      <c r="R325" s="407" t="str">
        <f>OBRA!AJ324</f>
        <v>-</v>
      </c>
      <c r="S325" s="201"/>
      <c r="T325" s="399" t="str">
        <f>OBRA!W324</f>
        <v>LIC. CARLOS MANUEL PELAYO CERVERA</v>
      </c>
      <c r="U325" s="408" t="str">
        <f>OBRA!X324</f>
        <v>ARQ. CESAR ANTONIO ALONSO JIMENEZ</v>
      </c>
      <c r="V325" s="1090"/>
      <c r="W325" s="33" t="str">
        <f>OBRA!N324</f>
        <v>GMJ 011C OP/2018</v>
      </c>
      <c r="X325" s="464"/>
      <c r="Y325" s="12"/>
      <c r="Z325" s="409" t="str">
        <f>OBRA!M324</f>
        <v>RAMO 33</v>
      </c>
      <c r="AA325" s="12"/>
      <c r="AB325" s="2" t="str">
        <f>OBRA!O324</f>
        <v>ADJUDICACIÓN DIRECTA</v>
      </c>
      <c r="AC325" s="3" t="str">
        <f>OBRA!P324</f>
        <v>REHABILITACION DE LINEA DE DRENAJE EN LA CALLE EMILIANO ZAPATA, EN LA LOCALIDAD DE ZAPOTITAN DE HIDALGO DEL MUNICIPIO DE JOCOTEPEC, JALISCO</v>
      </c>
      <c r="AD325" s="4">
        <f>OBRA!R324</f>
        <v>247048.85</v>
      </c>
      <c r="AE325" s="6">
        <f>OBRA!S324</f>
        <v>43242</v>
      </c>
      <c r="AF325" s="5">
        <f>OBRA!T324</f>
        <v>43243</v>
      </c>
      <c r="AG325" s="390">
        <f>OBRA!U324</f>
        <v>43283</v>
      </c>
      <c r="AH325" s="52"/>
      <c r="AI325" s="211"/>
      <c r="AJ325" s="242"/>
      <c r="AK325" s="242"/>
      <c r="AL325" s="394"/>
      <c r="AM325" s="519" t="str">
        <f>GRAL!B326</f>
        <v>2015-2018</v>
      </c>
    </row>
    <row r="326" spans="1:39" ht="30" hidden="1" customHeight="1" thickTop="1">
      <c r="A326" s="158">
        <f>OBRA!J325</f>
        <v>2018</v>
      </c>
      <c r="B326" s="1683"/>
      <c r="C326" s="661"/>
      <c r="D326" s="146"/>
      <c r="E326" s="148"/>
      <c r="F326" s="148"/>
      <c r="G326" s="398"/>
      <c r="H326" s="404" t="str">
        <f>OBRA!AF325</f>
        <v>-</v>
      </c>
      <c r="I326" s="400"/>
      <c r="J326" s="406" t="str">
        <f>OBRA!AG325</f>
        <v>-</v>
      </c>
      <c r="K326" s="401"/>
      <c r="L326" s="404" t="str">
        <f>OBRA!AH325</f>
        <v>-</v>
      </c>
      <c r="M326" s="402"/>
      <c r="N326" s="404" t="str">
        <f>OBRA!AI325</f>
        <v>-</v>
      </c>
      <c r="O326" s="144"/>
      <c r="P326" s="144"/>
      <c r="Q326" s="403"/>
      <c r="R326" s="407" t="str">
        <f>OBRA!AJ325</f>
        <v>-</v>
      </c>
      <c r="S326" s="201"/>
      <c r="T326" s="399" t="str">
        <f>OBRA!W325</f>
        <v>BIRMEK CONSTRUCCIONES S.A. DE C.V.</v>
      </c>
      <c r="U326" s="408" t="str">
        <f>OBRA!X325</f>
        <v>ING. RIGOBERTO OLMEDO RAMOS</v>
      </c>
      <c r="V326" s="1090"/>
      <c r="W326" s="33" t="str">
        <f>OBRA!N325</f>
        <v>GMJ 012C OP/2018</v>
      </c>
      <c r="X326" s="464"/>
      <c r="Y326" s="12"/>
      <c r="Z326" s="409" t="str">
        <f>OBRA!M325</f>
        <v>FONDEREG</v>
      </c>
      <c r="AA326" s="12"/>
      <c r="AB326" s="2" t="str">
        <f>OBRA!O325</f>
        <v>ADJUDICACIÓN DIRECTA</v>
      </c>
      <c r="AC326" s="3" t="str">
        <f>OBRA!P325</f>
        <v>CONSTRUCCION DE ALUMBRADO PUBLICO EN  LA CARRETERA JOCOTEPEC-CHAPALA DE LA CALLE LIBERTAD (NEXTIPAC), HASTA CALLE JUAREZ (CHANTEPEC), 1RA ETAPA EN EL INGRESO ORIENTE, A LA CABECERA MUNICIPAL, DEL MUNICIPIO DE  JOCOTEPEC, JALISCO,</v>
      </c>
      <c r="AD326" s="4">
        <f>OBRA!R325</f>
        <v>724057.5</v>
      </c>
      <c r="AE326" s="6">
        <f>OBRA!S325</f>
        <v>43304</v>
      </c>
      <c r="AF326" s="5">
        <f>OBRA!T325</f>
        <v>43306</v>
      </c>
      <c r="AG326" s="390">
        <f>OBRA!U325</f>
        <v>43342</v>
      </c>
      <c r="AH326" s="52"/>
      <c r="AI326" s="211"/>
      <c r="AJ326" s="242"/>
      <c r="AK326" s="242"/>
      <c r="AL326" s="394"/>
      <c r="AM326" s="519" t="str">
        <f>GRAL!B327</f>
        <v>2015-2018</v>
      </c>
    </row>
    <row r="327" spans="1:39" ht="187.5" hidden="1" customHeight="1" thickTop="1">
      <c r="A327" s="158">
        <f>OBRA!J326</f>
        <v>2018</v>
      </c>
      <c r="B327" s="1683"/>
      <c r="C327" s="599" t="s">
        <v>3691</v>
      </c>
      <c r="D327" s="146" t="s">
        <v>2430</v>
      </c>
      <c r="E327" s="148" t="s">
        <v>2431</v>
      </c>
      <c r="F327" s="148" t="s">
        <v>2432</v>
      </c>
      <c r="G327" s="546" t="s">
        <v>3691</v>
      </c>
      <c r="H327" s="580">
        <f>OBRA!AF326</f>
        <v>43192</v>
      </c>
      <c r="I327" s="546" t="s">
        <v>3691</v>
      </c>
      <c r="J327" s="581">
        <f>OBRA!AG326</f>
        <v>43200</v>
      </c>
      <c r="K327" s="546" t="s">
        <v>3691</v>
      </c>
      <c r="L327" s="580">
        <f>OBRA!AH326</f>
        <v>43200</v>
      </c>
      <c r="M327" s="546" t="s">
        <v>3691</v>
      </c>
      <c r="N327" s="580">
        <f>OBRA!AI326</f>
        <v>43203</v>
      </c>
      <c r="O327" s="166" t="s">
        <v>3812</v>
      </c>
      <c r="P327" s="585" t="s">
        <v>2436</v>
      </c>
      <c r="Q327" s="546" t="s">
        <v>3691</v>
      </c>
      <c r="R327" s="205">
        <f>OBRA!AJ326</f>
        <v>43207</v>
      </c>
      <c r="S327" s="874" t="s">
        <v>2437</v>
      </c>
      <c r="T327" s="148" t="str">
        <f>OBRA!W326</f>
        <v>ING. SERGIO CABRERA</v>
      </c>
      <c r="U327" s="55" t="str">
        <f>OBRA!X326</f>
        <v>ING. JUAN MANUEL GARCIA ESCOTO</v>
      </c>
      <c r="V327" s="1454"/>
      <c r="W327" s="33" t="str">
        <f>OBRA!N326</f>
        <v>GMJ 013C OP/2018</v>
      </c>
      <c r="X327" s="464" t="s">
        <v>3489</v>
      </c>
      <c r="Y327" s="410" t="s">
        <v>2438</v>
      </c>
      <c r="Z327" s="409" t="str">
        <f>OBRA!M326</f>
        <v>FONDEREG</v>
      </c>
      <c r="AA327" s="409" t="s">
        <v>2439</v>
      </c>
      <c r="AB327" s="2" t="str">
        <f>OBRA!O326</f>
        <v>POR INVITACION RESTRINGIDA</v>
      </c>
      <c r="AC327" s="3" t="str">
        <f>OBRA!P326</f>
        <v>REHABILITACION DE IMAGEN URBANA DE LA CALLE VICENTE GUERRERO EN EL INGRESO PONIENTE A JOCOTEPEC, DE LA CALLE INDEPENDENCIA A LA CALLE PASEO DE LAS ROSAS, EN LA CABECERA MUNICIPAL DEL MUNICIPIO DE JOCOTEPEC, JALISCO</v>
      </c>
      <c r="AD327" s="4">
        <f>OBRA!R326</f>
        <v>2197542.15</v>
      </c>
      <c r="AE327" s="6">
        <f>OBRA!S326</f>
        <v>43240</v>
      </c>
      <c r="AF327" s="5">
        <f>OBRA!T326</f>
        <v>43248</v>
      </c>
      <c r="AG327" s="1351">
        <f>OBRA!U326</f>
        <v>43288</v>
      </c>
      <c r="AH327" s="1353" t="s">
        <v>3816</v>
      </c>
      <c r="AI327" s="211" t="s">
        <v>2310</v>
      </c>
      <c r="AJ327" s="466" t="s">
        <v>3691</v>
      </c>
      <c r="AK327" s="466" t="s">
        <v>3691</v>
      </c>
      <c r="AL327" s="466" t="s">
        <v>3691</v>
      </c>
      <c r="AM327" s="862" t="str">
        <f>GRAL!B328</f>
        <v>2015-2018</v>
      </c>
    </row>
    <row r="328" spans="1:39" s="104" customFormat="1" ht="30" hidden="1" customHeight="1" thickTop="1">
      <c r="A328" s="830">
        <f>OBRA!J327</f>
        <v>2018</v>
      </c>
      <c r="B328" s="1684"/>
      <c r="C328" s="151"/>
      <c r="D328" s="147"/>
      <c r="E328" s="149"/>
      <c r="F328" s="149"/>
      <c r="G328" s="832"/>
      <c r="H328" s="150" t="str">
        <f>OBRA!AF327</f>
        <v>FALTA</v>
      </c>
      <c r="I328" s="417"/>
      <c r="J328" s="110">
        <f>OBRA!AG327</f>
        <v>0</v>
      </c>
      <c r="K328" s="834"/>
      <c r="L328" s="150">
        <f>OBRA!AH327</f>
        <v>0</v>
      </c>
      <c r="M328" s="833"/>
      <c r="N328" s="150">
        <f>OBRA!AI327</f>
        <v>0</v>
      </c>
      <c r="O328" s="150"/>
      <c r="P328" s="150"/>
      <c r="Q328" s="834"/>
      <c r="R328" s="420">
        <f>OBRA!AJ327</f>
        <v>0</v>
      </c>
      <c r="S328" s="840"/>
      <c r="T328" s="149" t="str">
        <f>OBRA!W327</f>
        <v>ING. SERGIO CABRERA</v>
      </c>
      <c r="U328" s="152" t="str">
        <f>OBRA!X327</f>
        <v>ING. J. GUADALUPE IBARRA RAMIREZ</v>
      </c>
      <c r="V328" s="147"/>
      <c r="W328" s="308" t="str">
        <f>OBRA!N327</f>
        <v>GMJ 014C OP/2018</v>
      </c>
      <c r="X328" s="103"/>
      <c r="Y328" s="103"/>
      <c r="Z328" s="421" t="str">
        <f>OBRA!M327</f>
        <v>Fondo de proyectos para el Desarrollo Regional</v>
      </c>
      <c r="AA328" s="103"/>
      <c r="AB328" s="186" t="str">
        <f>OBRA!O327</f>
        <v>CANCELADA</v>
      </c>
      <c r="AC328" s="106" t="str">
        <f>OBRA!P327</f>
        <v>CONSTRUCCION DE EMPEDRADO AHOGADO EN CEMENTO, CONSTRUCCION DE HUELLAS DE CONCRETO Y CONSTRUCCION DE GUARNICIÓN DE LA CALLE CUAUHTEMOC, EN LA LOCALIDAD DE POTRERILLOS DEL MUNICIPIO DE JOCOTEPEC, JALISCO.</v>
      </c>
      <c r="AD328" s="86">
        <f>OBRA!R327</f>
        <v>989000</v>
      </c>
      <c r="AE328" s="87">
        <f>OBRA!S327</f>
        <v>43251</v>
      </c>
      <c r="AF328" s="88">
        <f>OBRA!T327</f>
        <v>43252</v>
      </c>
      <c r="AG328" s="391">
        <f>OBRA!U327</f>
        <v>43301</v>
      </c>
      <c r="AH328" s="101"/>
      <c r="AI328" s="84"/>
      <c r="AJ328" s="96" t="s">
        <v>1428</v>
      </c>
      <c r="AK328" s="96"/>
      <c r="AL328" s="97"/>
      <c r="AM328" s="354" t="str">
        <f>GRAL!B329</f>
        <v>2015-2018</v>
      </c>
    </row>
    <row r="329" spans="1:39" ht="30" hidden="1" customHeight="1" thickTop="1">
      <c r="A329" s="158">
        <f>OBRA!J328</f>
        <v>2018</v>
      </c>
      <c r="B329" s="1683"/>
      <c r="C329" s="395"/>
      <c r="D329" s="146"/>
      <c r="E329" s="148"/>
      <c r="F329" s="148"/>
      <c r="G329" s="398"/>
      <c r="H329" s="404" t="str">
        <f>OBRA!AF328</f>
        <v>-</v>
      </c>
      <c r="I329" s="400"/>
      <c r="J329" s="406" t="str">
        <f>OBRA!AG328</f>
        <v>-</v>
      </c>
      <c r="K329" s="401"/>
      <c r="L329" s="404" t="str">
        <f>OBRA!AH328</f>
        <v>-</v>
      </c>
      <c r="M329" s="402"/>
      <c r="N329" s="404" t="str">
        <f>OBRA!AI328</f>
        <v>-</v>
      </c>
      <c r="O329" s="144"/>
      <c r="P329" s="144"/>
      <c r="Q329" s="403"/>
      <c r="R329" s="407" t="str">
        <f>OBRA!AJ328</f>
        <v>-</v>
      </c>
      <c r="S329" s="201"/>
      <c r="T329" s="399" t="str">
        <f>OBRA!W328</f>
        <v>ING. MACIEL MOZQUEDA GONZALEZ</v>
      </c>
      <c r="U329" s="408" t="str">
        <f>OBRA!X328</f>
        <v>ARQ. CESAR ANTONIO ALONSO JIMENEZ</v>
      </c>
      <c r="V329" s="1090"/>
      <c r="W329" s="33" t="str">
        <f>OBRA!N328</f>
        <v>GMJ 015C OP/2018</v>
      </c>
      <c r="X329" s="12"/>
      <c r="Y329" s="12"/>
      <c r="Z329" s="409" t="str">
        <f>OBRA!M328</f>
        <v>RAMO 33</v>
      </c>
      <c r="AA329" s="12"/>
      <c r="AB329" s="2" t="str">
        <f>OBRA!O328</f>
        <v>ADJUDICACIÓN DIRECTA</v>
      </c>
      <c r="AC329" s="3" t="str">
        <f>OBRA!P328</f>
        <v>REHABILITACION DE LINEA DE DRENAJE EN CALLE CARDENAL DESDE CARRETERA AL PANTEON, CON REPOSICION DE EMPEDRADO NORMAL EN LA LOCALIDAD DE SAN JUAN COSALA, DEL MUNICIPIO DE JOCOTEPEC, JALISCO.</v>
      </c>
      <c r="AD329" s="4">
        <f>OBRA!R328</f>
        <v>398019.86</v>
      </c>
      <c r="AE329" s="6">
        <f>OBRA!S328</f>
        <v>43255</v>
      </c>
      <c r="AF329" s="5">
        <f>OBRA!T328</f>
        <v>43257</v>
      </c>
      <c r="AG329" s="390">
        <f>OBRA!U328</f>
        <v>43322</v>
      </c>
      <c r="AH329" s="52"/>
      <c r="AI329" s="211"/>
      <c r="AJ329" s="242"/>
      <c r="AK329" s="242"/>
      <c r="AL329" s="394"/>
      <c r="AM329" s="519" t="str">
        <f>GRAL!B330</f>
        <v>2015-2018</v>
      </c>
    </row>
    <row r="330" spans="1:39" ht="30" hidden="1" customHeight="1" thickTop="1">
      <c r="A330" s="158">
        <f>OBRA!J329</f>
        <v>2018</v>
      </c>
      <c r="B330" s="1683"/>
      <c r="C330" s="395"/>
      <c r="D330" s="146"/>
      <c r="E330" s="148"/>
      <c r="F330" s="148"/>
      <c r="G330" s="398"/>
      <c r="H330" s="404" t="str">
        <f>OBRA!AF329</f>
        <v>-</v>
      </c>
      <c r="I330" s="400"/>
      <c r="J330" s="406" t="str">
        <f>OBRA!AG329</f>
        <v>-</v>
      </c>
      <c r="K330" s="401"/>
      <c r="L330" s="404" t="str">
        <f>OBRA!AH329</f>
        <v>-</v>
      </c>
      <c r="M330" s="402"/>
      <c r="N330" s="404" t="str">
        <f>OBRA!AI329</f>
        <v>-</v>
      </c>
      <c r="O330" s="144"/>
      <c r="P330" s="144"/>
      <c r="Q330" s="403"/>
      <c r="R330" s="407" t="str">
        <f>OBRA!AJ329</f>
        <v>-</v>
      </c>
      <c r="S330" s="201"/>
      <c r="T330" s="399" t="str">
        <f>OBRA!W329</f>
        <v>C. NORMA GORETY DOMINGUEZ CALVARIO</v>
      </c>
      <c r="U330" s="408" t="str">
        <f>OBRA!X329</f>
        <v>ING. JUAN MANUEL GARCIA ESCOTO</v>
      </c>
      <c r="V330" s="1090"/>
      <c r="W330" s="33" t="str">
        <f>OBRA!N329</f>
        <v>GMJ 016C OP/2018</v>
      </c>
      <c r="X330" s="12"/>
      <c r="Y330" s="12"/>
      <c r="Z330" s="409" t="str">
        <f>OBRA!M329</f>
        <v>CUENTA CORRIENTE</v>
      </c>
      <c r="AA330" s="12"/>
      <c r="AB330" s="2" t="str">
        <f>OBRA!O329</f>
        <v>ADJUDICACIÓN DIRECTA</v>
      </c>
      <c r="AC330" s="3" t="str">
        <f>OBRA!P329</f>
        <v>OBRAS COMPLEMENTARIAS PARA LA CONSTRUCCION DE LA SUPERFICIE DE RODAMIENTO DE LA CALLE MORELOS PONIENTE ENTRE ZARAGOZA Y PANTEON, EN LA CABECERA MUNICIPAL</v>
      </c>
      <c r="AD330" s="4">
        <f>OBRA!R329</f>
        <v>816694.91</v>
      </c>
      <c r="AE330" s="6">
        <f>OBRA!S329</f>
        <v>43102</v>
      </c>
      <c r="AF330" s="5">
        <f>OBRA!T329</f>
        <v>43104</v>
      </c>
      <c r="AG330" s="390">
        <f>OBRA!U329</f>
        <v>43120</v>
      </c>
      <c r="AH330" s="52"/>
      <c r="AI330" s="211"/>
      <c r="AJ330" s="242"/>
      <c r="AK330" s="242"/>
      <c r="AL330" s="394"/>
      <c r="AM330" s="519" t="str">
        <f>GRAL!B331</f>
        <v>2015-2018</v>
      </c>
    </row>
    <row r="331" spans="1:39" ht="30" hidden="1" customHeight="1" thickTop="1">
      <c r="A331" s="158">
        <f>OBRA!J330</f>
        <v>2018</v>
      </c>
      <c r="B331" s="1683"/>
      <c r="C331" s="395"/>
      <c r="D331" s="146"/>
      <c r="E331" s="148"/>
      <c r="F331" s="148"/>
      <c r="G331" s="398"/>
      <c r="H331" s="404" t="str">
        <f>OBRA!AF330</f>
        <v>-</v>
      </c>
      <c r="I331" s="400"/>
      <c r="J331" s="406" t="str">
        <f>OBRA!AG330</f>
        <v>-</v>
      </c>
      <c r="K331" s="401"/>
      <c r="L331" s="404" t="str">
        <f>OBRA!AH330</f>
        <v>-</v>
      </c>
      <c r="M331" s="402"/>
      <c r="N331" s="404" t="str">
        <f>OBRA!AI330</f>
        <v>-</v>
      </c>
      <c r="O331" s="144"/>
      <c r="P331" s="144"/>
      <c r="Q331" s="403"/>
      <c r="R331" s="407" t="str">
        <f>OBRA!AJ330</f>
        <v>-</v>
      </c>
      <c r="S331" s="201"/>
      <c r="T331" s="399" t="str">
        <f>OBRA!W330</f>
        <v>C. JOSÉ MIGUEL GARCIA VALLE</v>
      </c>
      <c r="U331" s="408" t="str">
        <f>OBRA!X330</f>
        <v>ING. JUAN MANUEL GARCIA ESCOTO</v>
      </c>
      <c r="V331" s="1090"/>
      <c r="W331" s="33" t="str">
        <f>OBRA!N330</f>
        <v>GMJ 017C OP/2018</v>
      </c>
      <c r="X331" s="12"/>
      <c r="Y331" s="12"/>
      <c r="Z331" s="409" t="str">
        <f>OBRA!M330</f>
        <v>CUENTA CORRIENTE</v>
      </c>
      <c r="AA331" s="12"/>
      <c r="AB331" s="2" t="str">
        <f>OBRA!O330</f>
        <v>ADJUDICACIÓN DIRECTA</v>
      </c>
      <c r="AC331" s="3" t="str">
        <f>OBRA!P330</f>
        <v>CONSTRUCCION DE MACHUELOS Y BANQUETAS EN LA CALLE MORELOS DE ZARAGOZA AL PANTEON EN LA CABECERA MUNICIPAL, DEL MUNICIPIO DE JOCOTEPEC, JALISCO</v>
      </c>
      <c r="AD331" s="4">
        <f>OBRA!R330</f>
        <v>1079507.02</v>
      </c>
      <c r="AE331" s="6">
        <f>OBRA!S330</f>
        <v>43116</v>
      </c>
      <c r="AF331" s="5">
        <f>OBRA!T330</f>
        <v>43117</v>
      </c>
      <c r="AG331" s="390">
        <f>OBRA!U330</f>
        <v>43155</v>
      </c>
      <c r="AH331" s="52"/>
      <c r="AI331" s="211"/>
      <c r="AJ331" s="242"/>
      <c r="AK331" s="242"/>
      <c r="AL331" s="394"/>
      <c r="AM331" s="519" t="str">
        <f>GRAL!B332</f>
        <v>2015-2018</v>
      </c>
    </row>
    <row r="332" spans="1:39" ht="30" hidden="1" customHeight="1" thickTop="1">
      <c r="A332" s="158">
        <f>OBRA!J331</f>
        <v>2018</v>
      </c>
      <c r="B332" s="1683"/>
      <c r="C332" s="395"/>
      <c r="D332" s="146"/>
      <c r="E332" s="148"/>
      <c r="F332" s="148"/>
      <c r="G332" s="398"/>
      <c r="H332" s="404" t="str">
        <f>OBRA!AF331</f>
        <v>-</v>
      </c>
      <c r="I332" s="400"/>
      <c r="J332" s="406" t="str">
        <f>OBRA!AG331</f>
        <v>-</v>
      </c>
      <c r="K332" s="401"/>
      <c r="L332" s="404" t="str">
        <f>OBRA!AH331</f>
        <v>-</v>
      </c>
      <c r="M332" s="402"/>
      <c r="N332" s="404" t="str">
        <f>OBRA!AI331</f>
        <v>-</v>
      </c>
      <c r="O332" s="144"/>
      <c r="P332" s="144"/>
      <c r="Q332" s="403"/>
      <c r="R332" s="407" t="str">
        <f>OBRA!AJ331</f>
        <v>-</v>
      </c>
      <c r="S332" s="201"/>
      <c r="T332" s="399" t="str">
        <f>OBRA!W331</f>
        <v>C. NORMA GORETY DOMINGUEZ CALVARIO</v>
      </c>
      <c r="U332" s="408" t="str">
        <f>OBRA!X331</f>
        <v>ING. JUAN MANUEL GARCIA ESCOTO</v>
      </c>
      <c r="V332" s="1090"/>
      <c r="W332" s="33" t="str">
        <f>OBRA!N331</f>
        <v>GMJ 018C OP/2018</v>
      </c>
      <c r="X332" s="12"/>
      <c r="Y332" s="12"/>
      <c r="Z332" s="409" t="str">
        <f>OBRA!M331</f>
        <v>CUENTA CORRIENTE</v>
      </c>
      <c r="AA332" s="12"/>
      <c r="AB332" s="2" t="str">
        <f>OBRA!O331</f>
        <v>ADJUDICACIÓN DIRECTA</v>
      </c>
      <c r="AC332" s="3" t="str">
        <f>OBRA!P331</f>
        <v>REHABILITACION DE IMAGEN URBANA EN CALLE MORELOS PONIENTE ENTRE ZARAGOZA Y PANTEON, EN LA CABECERA MUNICIPAL DEL MUNICIPIO DE JOCOTEPEC, JALISCO</v>
      </c>
      <c r="AD332" s="4">
        <f>OBRA!R331</f>
        <v>550277.97</v>
      </c>
      <c r="AE332" s="6">
        <f>OBRA!S331</f>
        <v>43123</v>
      </c>
      <c r="AF332" s="5">
        <f>OBRA!T331</f>
        <v>43157</v>
      </c>
      <c r="AG332" s="390">
        <f>OBRA!U331</f>
        <v>43169</v>
      </c>
      <c r="AH332" s="52"/>
      <c r="AI332" s="211"/>
      <c r="AJ332" s="242"/>
      <c r="AK332" s="242"/>
      <c r="AL332" s="394"/>
      <c r="AM332" s="519" t="str">
        <f>GRAL!B333</f>
        <v>2015-2018</v>
      </c>
    </row>
    <row r="333" spans="1:39" ht="30" hidden="1" customHeight="1" thickTop="1">
      <c r="A333" s="158">
        <f>OBRA!J332</f>
        <v>2018</v>
      </c>
      <c r="B333" s="1683"/>
      <c r="C333" s="395"/>
      <c r="D333" s="146"/>
      <c r="E333" s="148"/>
      <c r="F333" s="148"/>
      <c r="G333" s="398"/>
      <c r="H333" s="404" t="str">
        <f>OBRA!AF332</f>
        <v>-</v>
      </c>
      <c r="I333" s="400"/>
      <c r="J333" s="406" t="str">
        <f>OBRA!AG332</f>
        <v>-</v>
      </c>
      <c r="K333" s="401"/>
      <c r="L333" s="404" t="str">
        <f>OBRA!AH332</f>
        <v>-</v>
      </c>
      <c r="M333" s="402"/>
      <c r="N333" s="404" t="str">
        <f>OBRA!AI332</f>
        <v>-</v>
      </c>
      <c r="O333" s="144"/>
      <c r="P333" s="144"/>
      <c r="Q333" s="403"/>
      <c r="R333" s="407" t="str">
        <f>OBRA!AJ332</f>
        <v>-</v>
      </c>
      <c r="S333" s="201"/>
      <c r="T333" s="399" t="str">
        <f>OBRA!W332</f>
        <v>C. NORMA GORETY DOMINGUEZ CALVARIO</v>
      </c>
      <c r="U333" s="408" t="str">
        <f>OBRA!X332</f>
        <v>ING. JUAN MANUEL GARCIA ESCOTO</v>
      </c>
      <c r="V333" s="1090"/>
      <c r="W333" s="33" t="str">
        <f>OBRA!N332</f>
        <v>GMJ 019C OP/2018</v>
      </c>
      <c r="X333" s="12"/>
      <c r="Y333" s="12"/>
      <c r="Z333" s="409" t="str">
        <f>OBRA!M332</f>
        <v>RAMO 33</v>
      </c>
      <c r="AA333" s="12"/>
      <c r="AB333" s="2" t="str">
        <f>OBRA!O332</f>
        <v>ADJUDICACIÓN DIRECTA</v>
      </c>
      <c r="AC333" s="3" t="str">
        <f>OBRA!P332</f>
        <v>REHABILITACION DE LINEA DE AGUA POTABLE EN CALLE MORELOS PONIENTE ENTRE ZARAGOZA Y PANTEON CON REPOSICION DE SUPERFICIE DE RODAMIENTO, (OBRAS COMPLEMENTARIAS) EN LA CABECERA MUNICIPAL, DEL MUNICIPIO DE JOCOTEPEC, JALISCO</v>
      </c>
      <c r="AD333" s="4">
        <f>OBRA!R332</f>
        <v>35653.230000000003</v>
      </c>
      <c r="AE333" s="6">
        <f>OBRA!S332</f>
        <v>43105</v>
      </c>
      <c r="AF333" s="5">
        <f>OBRA!T332</f>
        <v>43108</v>
      </c>
      <c r="AG333" s="390">
        <f>OBRA!U332</f>
        <v>43120</v>
      </c>
      <c r="AH333" s="52"/>
      <c r="AI333" s="211"/>
      <c r="AJ333" s="242"/>
      <c r="AK333" s="242"/>
      <c r="AL333" s="394"/>
      <c r="AM333" s="519" t="str">
        <f>GRAL!B334</f>
        <v>2015-2018</v>
      </c>
    </row>
    <row r="334" spans="1:39" ht="30" hidden="1" customHeight="1" thickTop="1">
      <c r="A334" s="158">
        <f>OBRA!J333</f>
        <v>2018</v>
      </c>
      <c r="B334" s="1683"/>
      <c r="C334" s="395"/>
      <c r="D334" s="146"/>
      <c r="E334" s="148"/>
      <c r="F334" s="148"/>
      <c r="G334" s="398"/>
      <c r="H334" s="404" t="str">
        <f>OBRA!AF333</f>
        <v>-</v>
      </c>
      <c r="I334" s="400"/>
      <c r="J334" s="406" t="str">
        <f>OBRA!AG333</f>
        <v>-</v>
      </c>
      <c r="K334" s="401"/>
      <c r="L334" s="404" t="str">
        <f>OBRA!AH333</f>
        <v>-</v>
      </c>
      <c r="M334" s="402"/>
      <c r="N334" s="404" t="str">
        <f>OBRA!AI333</f>
        <v>-</v>
      </c>
      <c r="O334" s="144"/>
      <c r="P334" s="144"/>
      <c r="Q334" s="403"/>
      <c r="R334" s="407" t="str">
        <f>OBRA!AJ333</f>
        <v>-</v>
      </c>
      <c r="S334" s="201"/>
      <c r="T334" s="399" t="str">
        <f>OBRA!W333</f>
        <v>C. JOSÉ MIGUEL GARCIA VALLE</v>
      </c>
      <c r="U334" s="408" t="str">
        <f>OBRA!X333</f>
        <v>ARQ. JAIME CONDE GOMEZ</v>
      </c>
      <c r="V334" s="1090"/>
      <c r="W334" s="33" t="str">
        <f>OBRA!N333</f>
        <v>GMJ 020C OP/2018</v>
      </c>
      <c r="X334" s="12"/>
      <c r="Y334" s="12"/>
      <c r="Z334" s="409" t="str">
        <f>OBRA!M333</f>
        <v>RAMO 33</v>
      </c>
      <c r="AA334" s="12"/>
      <c r="AB334" s="2" t="str">
        <f>OBRA!O333</f>
        <v>ADJUDICACIÓN DIRECTA</v>
      </c>
      <c r="AC334" s="3" t="str">
        <f>OBRA!P333</f>
        <v>REHABILITACION DE LINEA DE ABASTECIMIENTO DE AGUA POTABLE DE 8" EN LA CALLE VICENTE GUERRERO ENTRE CARRETERA E HIDALGO EN LA LOCALIDAD DE SAN JUAN COSALA DEL MUNICIPIO DE JOCOTEPEC, JALISCO</v>
      </c>
      <c r="AD334" s="4">
        <f>OBRA!R333</f>
        <v>142196.43</v>
      </c>
      <c r="AE334" s="6">
        <f>OBRA!S333</f>
        <v>43258</v>
      </c>
      <c r="AF334" s="5">
        <f>OBRA!T333</f>
        <v>43258</v>
      </c>
      <c r="AG334" s="390">
        <f>OBRA!U333</f>
        <v>43287</v>
      </c>
      <c r="AH334" s="52"/>
      <c r="AI334" s="211"/>
      <c r="AJ334" s="242"/>
      <c r="AK334" s="242"/>
      <c r="AL334" s="394"/>
      <c r="AM334" s="519" t="str">
        <f>GRAL!B335</f>
        <v>2015-2018</v>
      </c>
    </row>
    <row r="335" spans="1:39" ht="30" hidden="1" customHeight="1" thickTop="1">
      <c r="A335" s="158">
        <f>OBRA!J334</f>
        <v>2018</v>
      </c>
      <c r="B335" s="1683"/>
      <c r="C335" s="661"/>
      <c r="D335" s="146"/>
      <c r="E335" s="148"/>
      <c r="F335" s="148"/>
      <c r="G335" s="398"/>
      <c r="H335" s="404" t="str">
        <f>OBRA!AF334</f>
        <v>-</v>
      </c>
      <c r="I335" s="400"/>
      <c r="J335" s="406" t="str">
        <f>OBRA!AG334</f>
        <v>-</v>
      </c>
      <c r="K335" s="401"/>
      <c r="L335" s="404" t="str">
        <f>OBRA!AH334</f>
        <v>-</v>
      </c>
      <c r="M335" s="402"/>
      <c r="N335" s="404" t="str">
        <f>OBRA!AI334</f>
        <v>-</v>
      </c>
      <c r="O335" s="144"/>
      <c r="P335" s="144"/>
      <c r="Q335" s="403"/>
      <c r="R335" s="407" t="str">
        <f>OBRA!AJ334</f>
        <v>-</v>
      </c>
      <c r="S335" s="201"/>
      <c r="T335" s="399" t="str">
        <f>OBRA!W334</f>
        <v>C. JOSÉ MIGUEL GARCIA VALLE</v>
      </c>
      <c r="U335" s="408" t="str">
        <f>OBRA!X334</f>
        <v>LIC. SALVADOR CONTRERAS OLGUÍN</v>
      </c>
      <c r="V335" s="1090"/>
      <c r="W335" s="33" t="str">
        <f>OBRA!N334</f>
        <v>GMJ 021C OP/2018</v>
      </c>
      <c r="X335" s="12"/>
      <c r="Y335" s="12"/>
      <c r="Z335" s="409" t="str">
        <f>OBRA!M334</f>
        <v>RAMO 33</v>
      </c>
      <c r="AA335" s="12"/>
      <c r="AB335" s="2" t="str">
        <f>OBRA!O334</f>
        <v>ADJUDICACIÓN DIRECTA</v>
      </c>
      <c r="AC335" s="3" t="str">
        <f>OBRA!P334</f>
        <v>REHABILITACION DE LINEA DE AGUA POTABLE EN CALLE INDEPENDENCIA EN LA LOCALIDAD DE SAN JUAN COSALA DEL MUNICIPIO DE JOCOTEPEC, JALISCO.</v>
      </c>
      <c r="AD335" s="4">
        <f>OBRA!R334</f>
        <v>32872.07</v>
      </c>
      <c r="AE335" s="6">
        <f>OBRA!S334</f>
        <v>43258</v>
      </c>
      <c r="AF335" s="5">
        <f>OBRA!T334</f>
        <v>43262</v>
      </c>
      <c r="AG335" s="390">
        <f>OBRA!U334</f>
        <v>43267</v>
      </c>
      <c r="AH335" s="52"/>
      <c r="AI335" s="211"/>
      <c r="AJ335" s="242"/>
      <c r="AK335" s="242"/>
      <c r="AL335" s="394"/>
      <c r="AM335" s="519" t="str">
        <f>GRAL!B336</f>
        <v>2015-2018</v>
      </c>
    </row>
    <row r="336" spans="1:39" ht="30" hidden="1" customHeight="1" thickTop="1">
      <c r="A336" s="158">
        <f>OBRA!J335</f>
        <v>2018</v>
      </c>
      <c r="B336" s="1683"/>
      <c r="C336" s="661"/>
      <c r="D336" s="146"/>
      <c r="E336" s="148"/>
      <c r="F336" s="148"/>
      <c r="G336" s="398"/>
      <c r="H336" s="404" t="str">
        <f>OBRA!AF335</f>
        <v>-</v>
      </c>
      <c r="I336" s="400"/>
      <c r="J336" s="406" t="str">
        <f>OBRA!AG335</f>
        <v>-</v>
      </c>
      <c r="K336" s="401"/>
      <c r="L336" s="404" t="str">
        <f>OBRA!AH335</f>
        <v>-</v>
      </c>
      <c r="M336" s="402"/>
      <c r="N336" s="404" t="str">
        <f>OBRA!AI335</f>
        <v>-</v>
      </c>
      <c r="O336" s="144"/>
      <c r="P336" s="144"/>
      <c r="Q336" s="403"/>
      <c r="R336" s="407" t="str">
        <f>OBRA!AJ335</f>
        <v>-</v>
      </c>
      <c r="S336" s="201"/>
      <c r="T336" s="399" t="str">
        <f>OBRA!W335</f>
        <v xml:space="preserve">GRUPO DESARROLLADOR INMOBILIARIO CEMERAMA S.A. DE C.V. </v>
      </c>
      <c r="U336" s="408" t="str">
        <f>OBRA!X335</f>
        <v>ING. JUAN MANUEL GARCIA ESCOTO</v>
      </c>
      <c r="V336" s="1090"/>
      <c r="W336" s="33" t="str">
        <f>OBRA!N335</f>
        <v>GMJ 022C OP/2018</v>
      </c>
      <c r="X336" s="12"/>
      <c r="Y336" s="12"/>
      <c r="Z336" s="409" t="str">
        <f>OBRA!M335</f>
        <v>CUENTA CORRIENTE</v>
      </c>
      <c r="AA336" s="12"/>
      <c r="AB336" s="2" t="str">
        <f>OBRA!O335</f>
        <v>ADJUDICACIÓN DIRECTA</v>
      </c>
      <c r="AC336" s="3" t="str">
        <f>OBRA!P335</f>
        <v>OBRAS COMPLEMENTARIAS EN LA CALLE DONATO GUERRA DE CALLE HIDALGO A CALLE INDEPENDENCIA (URBANIZACIÓN, AGUA POTABLE Y DRENAJE), EN LA CABECERA MUNICIPAL DEL MUNICIPIO DE JOCOTEPEC, JALISCO</v>
      </c>
      <c r="AD336" s="4">
        <f>OBRA!R335</f>
        <v>243028.37</v>
      </c>
      <c r="AE336" s="6">
        <f>OBRA!S335</f>
        <v>43274</v>
      </c>
      <c r="AF336" s="5">
        <f>OBRA!T335</f>
        <v>43274</v>
      </c>
      <c r="AG336" s="390">
        <f>OBRA!U335</f>
        <v>43304</v>
      </c>
      <c r="AH336" s="52"/>
      <c r="AI336" s="211"/>
      <c r="AJ336" s="242"/>
      <c r="AK336" s="242"/>
      <c r="AL336" s="394"/>
      <c r="AM336" s="519" t="str">
        <f>GRAL!B337</f>
        <v>2015-2018</v>
      </c>
    </row>
    <row r="337" spans="1:39" ht="30" hidden="1" customHeight="1" thickTop="1">
      <c r="A337" s="158">
        <f>OBRA!J336</f>
        <v>2018</v>
      </c>
      <c r="B337" s="1683"/>
      <c r="C337" s="395"/>
      <c r="D337" s="146"/>
      <c r="E337" s="148"/>
      <c r="F337" s="148"/>
      <c r="G337" s="398"/>
      <c r="H337" s="404" t="str">
        <f>OBRA!AF336</f>
        <v>-</v>
      </c>
      <c r="I337" s="400"/>
      <c r="J337" s="406" t="str">
        <f>OBRA!AG336</f>
        <v>-</v>
      </c>
      <c r="K337" s="401"/>
      <c r="L337" s="404" t="str">
        <f>OBRA!AH336</f>
        <v>-</v>
      </c>
      <c r="M337" s="402"/>
      <c r="N337" s="404" t="str">
        <f>OBRA!AI336</f>
        <v>-</v>
      </c>
      <c r="O337" s="144"/>
      <c r="P337" s="144"/>
      <c r="Q337" s="403"/>
      <c r="R337" s="407" t="str">
        <f>OBRA!AJ336</f>
        <v>-</v>
      </c>
      <c r="S337" s="201"/>
      <c r="T337" s="399" t="str">
        <f>OBRA!W336</f>
        <v xml:space="preserve">DRABSA CONSTRUCTORA S.A. DE C.V. </v>
      </c>
      <c r="U337" s="408" t="str">
        <f>OBRA!X336</f>
        <v>ING. JUAN MANUEL GARCIA ESCOTO</v>
      </c>
      <c r="V337" s="1090"/>
      <c r="W337" s="33" t="str">
        <f>OBRA!N336</f>
        <v>GMJ 023C OP/2018</v>
      </c>
      <c r="X337" s="12"/>
      <c r="Y337" s="12"/>
      <c r="Z337" s="409" t="str">
        <f>OBRA!M336</f>
        <v>CUENTA CORRIENTE</v>
      </c>
      <c r="AA337" s="12"/>
      <c r="AB337" s="2" t="str">
        <f>OBRA!O336</f>
        <v>ADJUDICACIÓN DIRECTA</v>
      </c>
      <c r="AC337" s="3" t="str">
        <f>OBRA!P336</f>
        <v>CONSTRUCCION DE EMPEDRADO AHOGADO EN CEMENTO CON HUELLA DE ADOQUIN, BANQUETAS Y GUARNICIONES, EN CALLE RAMON CORONA 2DA. ETAPA(DEL CRUCE DEL CALLEJON RAMON CORONA AL PANTEON), EN LA LOCALIDAD DE SAN CRISTOBAL ZAPOTITLAN, DEL MUNICIPIO DE JOCOTEPEC, JALISCO</v>
      </c>
      <c r="AD337" s="4">
        <f>OBRA!R336</f>
        <v>1099823.45</v>
      </c>
      <c r="AE337" s="6">
        <f>OBRA!S336</f>
        <v>43300</v>
      </c>
      <c r="AF337" s="5">
        <f>OBRA!T336</f>
        <v>43300</v>
      </c>
      <c r="AG337" s="390">
        <f>OBRA!U336</f>
        <v>43364</v>
      </c>
      <c r="AH337" s="52"/>
      <c r="AI337" s="211"/>
      <c r="AJ337" s="242"/>
      <c r="AK337" s="242"/>
      <c r="AL337" s="394"/>
      <c r="AM337" s="519" t="str">
        <f>GRAL!B338</f>
        <v>2015-2018</v>
      </c>
    </row>
    <row r="338" spans="1:39" ht="190.5" hidden="1" customHeight="1" thickTop="1">
      <c r="A338" s="158">
        <f>OBRA!J337</f>
        <v>2018</v>
      </c>
      <c r="B338" s="1683"/>
      <c r="C338" s="599" t="s">
        <v>3692</v>
      </c>
      <c r="D338" s="146" t="s">
        <v>2430</v>
      </c>
      <c r="E338" s="148" t="s">
        <v>2431</v>
      </c>
      <c r="F338" s="148" t="s">
        <v>2432</v>
      </c>
      <c r="G338" s="524" t="s">
        <v>3692</v>
      </c>
      <c r="H338" s="584">
        <f>OBRA!AF337</f>
        <v>43291</v>
      </c>
      <c r="I338" s="524" t="s">
        <v>3692</v>
      </c>
      <c r="J338" s="584">
        <f>OBRA!AG337</f>
        <v>43293</v>
      </c>
      <c r="K338" s="524" t="s">
        <v>3692</v>
      </c>
      <c r="L338" s="584">
        <f>OBRA!AH337</f>
        <v>43293</v>
      </c>
      <c r="M338" s="524" t="s">
        <v>3692</v>
      </c>
      <c r="N338" s="584">
        <f>OBRA!AI337</f>
        <v>43298</v>
      </c>
      <c r="O338" s="166" t="s">
        <v>3812</v>
      </c>
      <c r="P338" s="585">
        <v>0.41666666666666669</v>
      </c>
      <c r="Q338" s="524" t="s">
        <v>3692</v>
      </c>
      <c r="R338" s="205">
        <f>OBRA!AJ337</f>
        <v>43299</v>
      </c>
      <c r="S338" s="874" t="s">
        <v>2440</v>
      </c>
      <c r="T338" s="399" t="str">
        <f>OBRA!W337</f>
        <v>DRABSA CONSTRUCTORA S.A. DE C.V.</v>
      </c>
      <c r="U338" s="408" t="str">
        <f>OBRA!X337</f>
        <v>ING. RIGOBERTO OLMEDO RAMOS</v>
      </c>
      <c r="V338" s="1455"/>
      <c r="W338" s="33" t="str">
        <f>OBRA!N337</f>
        <v>GMJ 024C OP/2018</v>
      </c>
      <c r="X338" s="464" t="s">
        <v>3490</v>
      </c>
      <c r="Y338" s="410" t="s">
        <v>2441</v>
      </c>
      <c r="Z338" s="409" t="str">
        <f>OBRA!M337</f>
        <v>FOCOCI</v>
      </c>
      <c r="AA338" s="409" t="s">
        <v>2439</v>
      </c>
      <c r="AB338" s="2" t="str">
        <f>OBRA!O337</f>
        <v>POR INVITACION RESTRINGIDA</v>
      </c>
      <c r="AC338" s="3" t="str">
        <f>OBRA!P337</f>
        <v>REHABILITACION DE IMAGEN URBANA DE CALLE HIDALGO SUR, ENTRE VICENTE GUERRERO Y DONATO GUERRA EN LA CABECERA MUNICIPAL,DEL MUNICIPIO DE JOCOTEPEC, JALISCO</v>
      </c>
      <c r="AD338" s="4">
        <f>OBRA!R337</f>
        <v>2940000</v>
      </c>
      <c r="AE338" s="6">
        <f>OBRA!S337</f>
        <v>43307</v>
      </c>
      <c r="AF338" s="5">
        <f>OBRA!T337</f>
        <v>43311</v>
      </c>
      <c r="AG338" s="1351">
        <f>OBRA!U337</f>
        <v>43373</v>
      </c>
      <c r="AH338" s="1353" t="s">
        <v>3816</v>
      </c>
      <c r="AI338" s="19" t="s">
        <v>2310</v>
      </c>
      <c r="AJ338" s="524" t="s">
        <v>3692</v>
      </c>
      <c r="AK338" s="524" t="s">
        <v>3692</v>
      </c>
      <c r="AL338" s="502" t="s">
        <v>3692</v>
      </c>
      <c r="AM338" s="862" t="str">
        <f>GRAL!B339</f>
        <v>2015-2018</v>
      </c>
    </row>
    <row r="339" spans="1:39" ht="30" hidden="1" customHeight="1" thickTop="1">
      <c r="A339" s="158">
        <f>OBRA!J338</f>
        <v>2018</v>
      </c>
      <c r="B339" s="1683"/>
      <c r="C339" s="395"/>
      <c r="D339" s="146"/>
      <c r="E339" s="148"/>
      <c r="F339" s="148"/>
      <c r="G339" s="398"/>
      <c r="H339" s="404" t="str">
        <f>OBRA!AF338</f>
        <v>-</v>
      </c>
      <c r="I339" s="400"/>
      <c r="J339" s="406" t="str">
        <f>OBRA!AG338</f>
        <v>-</v>
      </c>
      <c r="K339" s="401"/>
      <c r="L339" s="404" t="str">
        <f>OBRA!AH338</f>
        <v>-</v>
      </c>
      <c r="M339" s="402"/>
      <c r="N339" s="404" t="str">
        <f>OBRA!AI338</f>
        <v>-</v>
      </c>
      <c r="O339" s="144"/>
      <c r="P339" s="144"/>
      <c r="Q339" s="403"/>
      <c r="R339" s="407" t="str">
        <f>OBRA!AJ338</f>
        <v>-</v>
      </c>
      <c r="S339" s="201"/>
      <c r="T339" s="399" t="str">
        <f>OBRA!W338</f>
        <v>BIRMEK CONSTRUCCIONES S.A. DE C.V.</v>
      </c>
      <c r="U339" s="408" t="str">
        <f>OBRA!X338</f>
        <v>ING. LUIS RIGOBERTO OLMEDO NAVARRO</v>
      </c>
      <c r="V339" s="1090"/>
      <c r="W339" s="19" t="str">
        <f>OBRA!N338</f>
        <v>GMJ 025C OP/2018</v>
      </c>
      <c r="X339" s="12"/>
      <c r="Y339" s="12"/>
      <c r="Z339" s="409" t="str">
        <f>OBRA!M338</f>
        <v>RAMO 33</v>
      </c>
      <c r="AA339" s="12"/>
      <c r="AB339" s="2" t="str">
        <f>OBRA!O338</f>
        <v>ADJUDICACIÓN DIRECTA</v>
      </c>
      <c r="AC339" s="3" t="str">
        <f>OBRA!P338</f>
        <v>ELECTRIFICACION DE POZO DE PROFUNDO EL DOMINGUILLO EN LA LOCALIDAD DE SAN JUAN COSALA, DEL MUNICIPIO DE JOCOTEPEC, JALISCO</v>
      </c>
      <c r="AD339" s="4">
        <f>OBRA!R338</f>
        <v>452456.16</v>
      </c>
      <c r="AE339" s="6">
        <f>OBRA!S338</f>
        <v>43326</v>
      </c>
      <c r="AF339" s="5">
        <f>OBRA!T338</f>
        <v>43326</v>
      </c>
      <c r="AG339" s="390">
        <f>OBRA!U338</f>
        <v>43357</v>
      </c>
      <c r="AH339" s="52"/>
      <c r="AI339" s="211"/>
      <c r="AJ339" s="242"/>
      <c r="AK339" s="242"/>
      <c r="AL339" s="394"/>
      <c r="AM339" s="519" t="str">
        <f>GRAL!B340</f>
        <v>2015-2018</v>
      </c>
    </row>
    <row r="340" spans="1:39" ht="30" hidden="1" customHeight="1" thickTop="1">
      <c r="A340" s="158">
        <f>OBRA!J339</f>
        <v>2018</v>
      </c>
      <c r="B340" s="1683"/>
      <c r="C340" s="395"/>
      <c r="D340" s="146"/>
      <c r="E340" s="148"/>
      <c r="F340" s="148"/>
      <c r="G340" s="398"/>
      <c r="H340" s="404" t="str">
        <f>OBRA!AF339</f>
        <v>-</v>
      </c>
      <c r="I340" s="400"/>
      <c r="J340" s="406" t="str">
        <f>OBRA!AG339</f>
        <v>-</v>
      </c>
      <c r="K340" s="401"/>
      <c r="L340" s="404" t="str">
        <f>OBRA!AH339</f>
        <v>-</v>
      </c>
      <c r="M340" s="402"/>
      <c r="N340" s="404" t="str">
        <f>OBRA!AI339</f>
        <v>-</v>
      </c>
      <c r="O340" s="144"/>
      <c r="P340" s="144"/>
      <c r="Q340" s="403"/>
      <c r="R340" s="407" t="str">
        <f>OBRA!AJ339</f>
        <v>-</v>
      </c>
      <c r="S340" s="201"/>
      <c r="T340" s="399" t="str">
        <f>OBRA!W339</f>
        <v xml:space="preserve">OBRAS Y EQUIPAMIENTOS HIDRAULICOS S.A. DE C.V. </v>
      </c>
      <c r="U340" s="408" t="str">
        <f>OBRA!X339</f>
        <v>ING. LUIS RIGOBERTO OLMEDO NAVARRO</v>
      </c>
      <c r="V340" s="1090"/>
      <c r="W340" s="19" t="str">
        <f>OBRA!N339</f>
        <v>GMJ 026C OP/2018</v>
      </c>
      <c r="X340" s="12"/>
      <c r="Y340" s="12"/>
      <c r="Z340" s="409" t="str">
        <f>OBRA!M339</f>
        <v>RAMO 33</v>
      </c>
      <c r="AA340" s="12"/>
      <c r="AB340" s="2" t="str">
        <f>OBRA!O339</f>
        <v>ADJUDICACIÓN DIRECTA</v>
      </c>
      <c r="AC340" s="3" t="str">
        <f>OBRA!P339</f>
        <v>EQUIPAMIENTO  DE POZO PROFUNDO EL DOMINGUILLO EN LA LOCALIDAD DE SAN JUAN COSALA, DEL MUNICIPIO DE JOCOTEPEC, JALISCO</v>
      </c>
      <c r="AD340" s="4">
        <f>OBRA!R339</f>
        <v>412725.64</v>
      </c>
      <c r="AE340" s="6">
        <f>OBRA!S339</f>
        <v>43326</v>
      </c>
      <c r="AF340" s="5">
        <f>OBRA!T339</f>
        <v>43326</v>
      </c>
      <c r="AG340" s="390">
        <f>OBRA!U339</f>
        <v>43357</v>
      </c>
      <c r="AH340" s="52"/>
      <c r="AI340" s="211"/>
      <c r="AJ340" s="242"/>
      <c r="AK340" s="242"/>
      <c r="AL340" s="394"/>
      <c r="AM340" s="519" t="str">
        <f>GRAL!B341</f>
        <v>2015-2018</v>
      </c>
    </row>
    <row r="341" spans="1:39" ht="30" hidden="1" customHeight="1" thickTop="1">
      <c r="A341" s="158">
        <f>OBRA!J340</f>
        <v>2018</v>
      </c>
      <c r="B341" s="1683"/>
      <c r="C341" s="395"/>
      <c r="D341" s="146"/>
      <c r="E341" s="148"/>
      <c r="F341" s="148"/>
      <c r="G341" s="398"/>
      <c r="H341" s="404" t="str">
        <f>OBRA!AF340</f>
        <v>-</v>
      </c>
      <c r="I341" s="400"/>
      <c r="J341" s="406" t="str">
        <f>OBRA!AG340</f>
        <v>-</v>
      </c>
      <c r="K341" s="401"/>
      <c r="L341" s="404" t="str">
        <f>OBRA!AH340</f>
        <v>-</v>
      </c>
      <c r="M341" s="402"/>
      <c r="N341" s="404" t="str">
        <f>OBRA!AI340</f>
        <v>-</v>
      </c>
      <c r="O341" s="144"/>
      <c r="P341" s="144"/>
      <c r="Q341" s="403"/>
      <c r="R341" s="407" t="str">
        <f>OBRA!AJ340</f>
        <v>-</v>
      </c>
      <c r="S341" s="201"/>
      <c r="T341" s="399" t="str">
        <f>OBRA!W340</f>
        <v>BRAILOGA CONSTRUCTORES S.A. DE C.V.</v>
      </c>
      <c r="U341" s="408" t="str">
        <f>OBRA!X340</f>
        <v>ARQ. CESAR ANTONIO ALONSO JIMENEZ</v>
      </c>
      <c r="V341" s="1090"/>
      <c r="W341" s="19" t="str">
        <f>OBRA!N340</f>
        <v>GMJ 027C OP/2018</v>
      </c>
      <c r="X341" s="12"/>
      <c r="Y341" s="12"/>
      <c r="Z341" s="409" t="str">
        <f>OBRA!M340</f>
        <v>RAMO 33</v>
      </c>
      <c r="AA341" s="12"/>
      <c r="AB341" s="2" t="str">
        <f>OBRA!O340</f>
        <v>ADJUDICACIÓN DIRECTA</v>
      </c>
      <c r="AC341" s="3" t="str">
        <f>OBRA!P340</f>
        <v>REHABILITACION DE LINEA DE DRENAJE EN CALLE XOCHILT DE CARRETERA A C. CUAUHTEMOC, PRIMERA ETAPA CON REPOSICION DE SUPERFICIE DE RODAMIENO EN LA LOCALIDAD DE CHANTEPEC, DEL MUNICIPIO DE JOCOTEPEC, JALISCO</v>
      </c>
      <c r="AD341" s="4">
        <f>OBRA!R340</f>
        <v>732027.5</v>
      </c>
      <c r="AE341" s="6">
        <f>OBRA!S340</f>
        <v>43326</v>
      </c>
      <c r="AF341" s="5">
        <f>OBRA!T340</f>
        <v>43326</v>
      </c>
      <c r="AG341" s="390">
        <f>OBRA!U340</f>
        <v>43348</v>
      </c>
      <c r="AH341" s="52"/>
      <c r="AI341" s="211"/>
      <c r="AJ341" s="242"/>
      <c r="AK341" s="242"/>
      <c r="AL341" s="394"/>
      <c r="AM341" s="519" t="str">
        <f>GRAL!B342</f>
        <v>2015-2018</v>
      </c>
    </row>
    <row r="342" spans="1:39" ht="30" hidden="1" customHeight="1" thickTop="1">
      <c r="A342" s="158">
        <f>OBRA!J341</f>
        <v>2018</v>
      </c>
      <c r="B342" s="1683"/>
      <c r="C342" s="395"/>
      <c r="D342" s="146"/>
      <c r="E342" s="148"/>
      <c r="F342" s="148"/>
      <c r="G342" s="398"/>
      <c r="H342" s="404" t="str">
        <f>OBRA!AF341</f>
        <v>-</v>
      </c>
      <c r="I342" s="400"/>
      <c r="J342" s="406" t="str">
        <f>OBRA!AG341</f>
        <v>-</v>
      </c>
      <c r="K342" s="401"/>
      <c r="L342" s="404" t="str">
        <f>OBRA!AH341</f>
        <v>-</v>
      </c>
      <c r="M342" s="402"/>
      <c r="N342" s="404" t="str">
        <f>OBRA!AI341</f>
        <v>-</v>
      </c>
      <c r="O342" s="144"/>
      <c r="P342" s="144"/>
      <c r="Q342" s="403"/>
      <c r="R342" s="407" t="str">
        <f>OBRA!AJ341</f>
        <v>-</v>
      </c>
      <c r="S342" s="201"/>
      <c r="T342" s="399" t="str">
        <f>OBRA!W341</f>
        <v xml:space="preserve">GRUPO DESARROLLADOR INMOBILIARIO CEMERAMA S.A. DE C.V. </v>
      </c>
      <c r="U342" s="408" t="str">
        <f>OBRA!X341</f>
        <v>LIC. SALVADOR CONTRERAS OLGUÍN</v>
      </c>
      <c r="V342" s="1090"/>
      <c r="W342" s="19" t="str">
        <f>OBRA!N341</f>
        <v>GMJ 028C OP/2018</v>
      </c>
      <c r="X342" s="12"/>
      <c r="Y342" s="12"/>
      <c r="Z342" s="409" t="str">
        <f>OBRA!M341</f>
        <v>RAMO 33</v>
      </c>
      <c r="AA342" s="12"/>
      <c r="AB342" s="2" t="str">
        <f>OBRA!O341</f>
        <v>ADJUDICACIÓN DIRECTA</v>
      </c>
      <c r="AC342" s="3" t="str">
        <f>OBRA!P341</f>
        <v>CONSTRUCCION DE CASETA DE CONTROL Y CLORACIÓN EN EL POZO EL DOMINGUILLO EN LA LOCALIDAD DE SAN JUAN COSALA, DEL MUNICIPIO DE JOCOTEPEC, JALISCO</v>
      </c>
      <c r="AD342" s="4">
        <f>OBRA!R341</f>
        <v>87399.62</v>
      </c>
      <c r="AE342" s="6">
        <f>OBRA!S341</f>
        <v>43326</v>
      </c>
      <c r="AF342" s="5">
        <f>OBRA!T341</f>
        <v>43333</v>
      </c>
      <c r="AG342" s="390">
        <f>OBRA!U341</f>
        <v>43358</v>
      </c>
      <c r="AH342" s="52"/>
      <c r="AI342" s="211"/>
      <c r="AJ342" s="242"/>
      <c r="AK342" s="242"/>
      <c r="AL342" s="394"/>
      <c r="AM342" s="519" t="str">
        <f>GRAL!B343</f>
        <v>2015-2018</v>
      </c>
    </row>
    <row r="343" spans="1:39" ht="30" hidden="1" customHeight="1" thickTop="1">
      <c r="A343" s="158">
        <f>OBRA!J342</f>
        <v>2018</v>
      </c>
      <c r="B343" s="1683"/>
      <c r="C343" s="395"/>
      <c r="D343" s="146"/>
      <c r="E343" s="148"/>
      <c r="F343" s="148"/>
      <c r="G343" s="398"/>
      <c r="H343" s="404" t="str">
        <f>OBRA!AF342</f>
        <v>-</v>
      </c>
      <c r="I343" s="400"/>
      <c r="J343" s="406" t="str">
        <f>OBRA!AG342</f>
        <v>-</v>
      </c>
      <c r="K343" s="401"/>
      <c r="L343" s="404" t="str">
        <f>OBRA!AH342</f>
        <v>-</v>
      </c>
      <c r="M343" s="402"/>
      <c r="N343" s="404" t="str">
        <f>OBRA!AI342</f>
        <v>-</v>
      </c>
      <c r="O343" s="144"/>
      <c r="P343" s="144"/>
      <c r="Q343" s="403"/>
      <c r="R343" s="407" t="str">
        <f>OBRA!AJ342</f>
        <v>-</v>
      </c>
      <c r="S343" s="201"/>
      <c r="T343" s="399" t="str">
        <f>OBRA!W342</f>
        <v>BRAILOGA CONSTRUCTORES S.A. DE C.V.</v>
      </c>
      <c r="U343" s="408" t="str">
        <f>OBRA!X342</f>
        <v>ARQ. CESAR ANTONIO ALONSO JIMENEZ</v>
      </c>
      <c r="V343" s="1090"/>
      <c r="W343" s="19" t="str">
        <f>OBRA!N342</f>
        <v>GMJ 029C OP/2018</v>
      </c>
      <c r="X343" s="12"/>
      <c r="Y343" s="12"/>
      <c r="Z343" s="409" t="str">
        <f>OBRA!M342</f>
        <v>RAMO 33</v>
      </c>
      <c r="AA343" s="12"/>
      <c r="AB343" s="2" t="str">
        <f>OBRA!O342</f>
        <v>ADJUDICACIÓN DIRECTA</v>
      </c>
      <c r="AC343" s="3" t="str">
        <f>OBRA!P342</f>
        <v>REHABILITACION DE LINEA DE ABASTECIMIENTO DE AGUA POTABLE DE 4" EN CALLE XOCHILT DE CARRETERA A C. CUAUHTEMOC, PRIMERA ETAPA CON REPOSICION DE SUPERFICIE DE RODAMIENTO EN LA LOCALIDAD DE CHANTEPEC, DEL MUNICIPIO DE JOCOTEPEC, JALISCO</v>
      </c>
      <c r="AD343" s="4">
        <f>OBRA!R342</f>
        <v>458709.95</v>
      </c>
      <c r="AE343" s="6">
        <f>OBRA!S342</f>
        <v>43346</v>
      </c>
      <c r="AF343" s="5">
        <f>OBRA!T342</f>
        <v>43349</v>
      </c>
      <c r="AG343" s="390">
        <f>OBRA!U342</f>
        <v>43367</v>
      </c>
      <c r="AH343" s="52"/>
      <c r="AI343" s="211"/>
      <c r="AJ343" s="242"/>
      <c r="AK343" s="242"/>
      <c r="AL343" s="394"/>
      <c r="AM343" s="519" t="str">
        <f>GRAL!B344</f>
        <v>2015-2018</v>
      </c>
    </row>
    <row r="344" spans="1:39" ht="30" hidden="1" customHeight="1" thickTop="1">
      <c r="A344" s="158">
        <f>OBRA!J343</f>
        <v>2018</v>
      </c>
      <c r="B344" s="1683"/>
      <c r="C344" s="395"/>
      <c r="D344" s="146"/>
      <c r="E344" s="148"/>
      <c r="F344" s="148"/>
      <c r="G344" s="398"/>
      <c r="H344" s="404" t="str">
        <f>OBRA!AF343</f>
        <v>-</v>
      </c>
      <c r="I344" s="400"/>
      <c r="J344" s="406" t="str">
        <f>OBRA!AG343</f>
        <v>-</v>
      </c>
      <c r="K344" s="401"/>
      <c r="L344" s="404" t="str">
        <f>OBRA!AH343</f>
        <v>-</v>
      </c>
      <c r="M344" s="402"/>
      <c r="N344" s="404" t="str">
        <f>OBRA!AI343</f>
        <v>-</v>
      </c>
      <c r="O344" s="144"/>
      <c r="P344" s="144"/>
      <c r="Q344" s="403"/>
      <c r="R344" s="407" t="str">
        <f>OBRA!AJ343</f>
        <v>-</v>
      </c>
      <c r="S344" s="201"/>
      <c r="T344" s="399" t="str">
        <f>OBRA!W343</f>
        <v>C. JOSÉ MIGUEL GARCIA VALLE</v>
      </c>
      <c r="U344" s="408" t="str">
        <f>OBRA!X343</f>
        <v>ARQ. CESAR ANTONIO ALONSO JIMENEZ</v>
      </c>
      <c r="V344" s="1090"/>
      <c r="W344" s="19" t="str">
        <f>OBRA!N343</f>
        <v>GMJ 030C OP/2018</v>
      </c>
      <c r="X344" s="12"/>
      <c r="Y344" s="12"/>
      <c r="Z344" s="409" t="str">
        <f>OBRA!M343</f>
        <v>RAMO 33</v>
      </c>
      <c r="AA344" s="12"/>
      <c r="AB344" s="2" t="str">
        <f>OBRA!O343</f>
        <v>ADJUDICACIÓN DIRECTA</v>
      </c>
      <c r="AC344" s="3" t="str">
        <f>OBRA!P343</f>
        <v>REHABILITACION DE LINEA DE AGUA POTABLE EN CALLE XOCHILT DE CARRETERA A CALLE CUAUHTEMOC, PRIMERA ETAPA CON REPOSICION DE SUPERFICIE DE RODAMIENTO LA LOCALIDAD DE CHANTEPEC, DEL MUNICIPIO DE JOCOTPEC, JALISCO</v>
      </c>
      <c r="AD344" s="4">
        <f>OBRA!R343</f>
        <v>615855.56999999995</v>
      </c>
      <c r="AE344" s="6">
        <f>OBRA!S343</f>
        <v>43326</v>
      </c>
      <c r="AF344" s="5">
        <f>OBRA!T343</f>
        <v>43326</v>
      </c>
      <c r="AG344" s="390">
        <f>OBRA!U343</f>
        <v>43348</v>
      </c>
      <c r="AH344" s="52"/>
      <c r="AI344" s="211"/>
      <c r="AJ344" s="242"/>
      <c r="AK344" s="242"/>
      <c r="AL344" s="394"/>
      <c r="AM344" s="519" t="str">
        <f>GRAL!B345</f>
        <v>2015-2018</v>
      </c>
    </row>
    <row r="345" spans="1:39" ht="30" hidden="1" customHeight="1" thickTop="1">
      <c r="A345" s="158">
        <f>OBRA!J344</f>
        <v>2018</v>
      </c>
      <c r="B345" s="1683"/>
      <c r="C345" s="395"/>
      <c r="D345" s="146"/>
      <c r="E345" s="148"/>
      <c r="F345" s="148"/>
      <c r="G345" s="398"/>
      <c r="H345" s="404" t="str">
        <f>OBRA!AF344</f>
        <v>-</v>
      </c>
      <c r="I345" s="400"/>
      <c r="J345" s="406" t="str">
        <f>OBRA!AG344</f>
        <v>-</v>
      </c>
      <c r="K345" s="401"/>
      <c r="L345" s="404" t="str">
        <f>OBRA!AH344</f>
        <v>-</v>
      </c>
      <c r="M345" s="402"/>
      <c r="N345" s="404" t="str">
        <f>OBRA!AI344</f>
        <v>-</v>
      </c>
      <c r="O345" s="144"/>
      <c r="P345" s="144"/>
      <c r="Q345" s="403"/>
      <c r="R345" s="407" t="str">
        <f>OBRA!AJ344</f>
        <v>-</v>
      </c>
      <c r="S345" s="201"/>
      <c r="T345" s="399" t="str">
        <f>OBRA!W344</f>
        <v>C. NORMA GORETY DOMINGUEZ CALVARIO</v>
      </c>
      <c r="U345" s="408" t="str">
        <f>OBRA!X344</f>
        <v>ING. JUAN MANUEL GARCIA ESCOTO</v>
      </c>
      <c r="V345" s="1090"/>
      <c r="W345" s="19" t="str">
        <f>OBRA!N344</f>
        <v>GMJ 031C OP/2018</v>
      </c>
      <c r="X345" s="12"/>
      <c r="Y345" s="12"/>
      <c r="Z345" s="409" t="str">
        <f>OBRA!M344</f>
        <v>RAMO 33</v>
      </c>
      <c r="AA345" s="12"/>
      <c r="AB345" s="2" t="str">
        <f>OBRA!O344</f>
        <v>ADJUDICACIÓN DIRECTA</v>
      </c>
      <c r="AC345" s="3" t="str">
        <f>OBRA!P344</f>
        <v>REHABILITACION DE LINEA DE AGUA POTABLE EN CALLE CHURUBUSCO ENTRE CHAPULTEPEC Y CERRADA CON REPOSICION DE EMPEDRADO EXISTENTE EN LA LOCALIDAD DE LA LOMA DEL MUNICIPIO DE JOCOTEPEC, JALISCO</v>
      </c>
      <c r="AD345" s="4">
        <f>OBRA!R344</f>
        <v>413195.74</v>
      </c>
      <c r="AE345" s="6">
        <f>OBRA!S344</f>
        <v>43320</v>
      </c>
      <c r="AF345" s="5">
        <f>OBRA!T344</f>
        <v>43322</v>
      </c>
      <c r="AG345" s="390">
        <f>OBRA!U344</f>
        <v>43341</v>
      </c>
      <c r="AH345" s="52"/>
      <c r="AI345" s="211"/>
      <c r="AJ345" s="242"/>
      <c r="AK345" s="242"/>
      <c r="AL345" s="394"/>
      <c r="AM345" s="519" t="str">
        <f>GRAL!B346</f>
        <v>2015-2018</v>
      </c>
    </row>
    <row r="346" spans="1:39" ht="30" hidden="1" customHeight="1" thickTop="1">
      <c r="A346" s="158">
        <f>OBRA!J345</f>
        <v>2018</v>
      </c>
      <c r="B346" s="1683"/>
      <c r="C346" s="395"/>
      <c r="D346" s="146"/>
      <c r="E346" s="148"/>
      <c r="F346" s="148"/>
      <c r="G346" s="398"/>
      <c r="H346" s="404" t="str">
        <f>OBRA!AF345</f>
        <v>-</v>
      </c>
      <c r="I346" s="400"/>
      <c r="J346" s="406" t="str">
        <f>OBRA!AG345</f>
        <v>-</v>
      </c>
      <c r="K346" s="401"/>
      <c r="L346" s="404" t="str">
        <f>OBRA!AH345</f>
        <v>-</v>
      </c>
      <c r="M346" s="402"/>
      <c r="N346" s="404" t="str">
        <f>OBRA!AI345</f>
        <v>-</v>
      </c>
      <c r="O346" s="144"/>
      <c r="P346" s="144"/>
      <c r="Q346" s="403"/>
      <c r="R346" s="407" t="str">
        <f>OBRA!AJ345</f>
        <v>-</v>
      </c>
      <c r="S346" s="201"/>
      <c r="T346" s="399" t="str">
        <f>OBRA!W345</f>
        <v>ING. SERGIO CABRERA</v>
      </c>
      <c r="U346" s="408" t="str">
        <f>OBRA!X345</f>
        <v>ING. JUAN MANUEL GARCIA ESCOTO</v>
      </c>
      <c r="V346" s="1090"/>
      <c r="W346" s="19" t="str">
        <f>OBRA!N345</f>
        <v>GMJ 032C OP/2018</v>
      </c>
      <c r="X346" s="12"/>
      <c r="Y346" s="12"/>
      <c r="Z346" s="409" t="str">
        <f>OBRA!M345</f>
        <v>RAMO 33</v>
      </c>
      <c r="AA346" s="12"/>
      <c r="AB346" s="2" t="str">
        <f>OBRA!O345</f>
        <v>ADJUDICACIÓN DIRECTA</v>
      </c>
      <c r="AC346" s="3" t="str">
        <f>OBRA!P345</f>
        <v>CONSTRUCCION DE LINEA DE DRENAJE DE 125 ML QUE VA A CONECTAR POR LA PARTE ORIENTE AL FRACCIONAMIENTO PASEO DEL CARDENAL EN SAN JUAN COSALA</v>
      </c>
      <c r="AD346" s="4">
        <f>OBRA!R345</f>
        <v>229200</v>
      </c>
      <c r="AE346" s="6">
        <f>OBRA!S345</f>
        <v>43329</v>
      </c>
      <c r="AF346" s="5">
        <f>OBRA!T345</f>
        <v>43332</v>
      </c>
      <c r="AG346" s="390">
        <f>OBRA!U345</f>
        <v>43353</v>
      </c>
      <c r="AH346" s="52"/>
      <c r="AI346" s="211"/>
      <c r="AJ346" s="242"/>
      <c r="AK346" s="242"/>
      <c r="AL346" s="394"/>
      <c r="AM346" s="519" t="str">
        <f>GRAL!B347</f>
        <v>2015-2018</v>
      </c>
    </row>
    <row r="347" spans="1:39" ht="21.95" hidden="1" customHeight="1" thickTop="1">
      <c r="A347" s="158">
        <f>OBRA!J346</f>
        <v>2018</v>
      </c>
      <c r="B347" s="1683"/>
      <c r="C347" s="395"/>
      <c r="D347" s="146"/>
      <c r="E347" s="148"/>
      <c r="F347" s="148"/>
      <c r="G347" s="398"/>
      <c r="H347" s="404" t="str">
        <f>OBRA!AF346</f>
        <v>-</v>
      </c>
      <c r="I347" s="400"/>
      <c r="J347" s="406" t="str">
        <f>OBRA!AG346</f>
        <v>-</v>
      </c>
      <c r="K347" s="401"/>
      <c r="L347" s="404" t="str">
        <f>OBRA!AH346</f>
        <v>-</v>
      </c>
      <c r="M347" s="402"/>
      <c r="N347" s="404" t="str">
        <f>OBRA!AI346</f>
        <v>-</v>
      </c>
      <c r="O347" s="144"/>
      <c r="P347" s="144"/>
      <c r="Q347" s="403"/>
      <c r="R347" s="407" t="str">
        <f>OBRA!AJ346</f>
        <v>-</v>
      </c>
      <c r="S347" s="201"/>
      <c r="T347" s="399" t="str">
        <f>OBRA!W346</f>
        <v>N/A</v>
      </c>
      <c r="U347" s="408" t="str">
        <f>OBRA!X346</f>
        <v>ARQ. JAIME CONDE GOMEZ</v>
      </c>
      <c r="V347" s="1090"/>
      <c r="W347" s="19" t="str">
        <f>OBRA!N346</f>
        <v>DOP/AD/001/2018</v>
      </c>
      <c r="X347" s="12"/>
      <c r="Y347" s="12"/>
      <c r="Z347" s="409" t="str">
        <f>OBRA!M346</f>
        <v>RAMO 33</v>
      </c>
      <c r="AA347" s="12"/>
      <c r="AB347" s="2" t="str">
        <f>OBRA!O346</f>
        <v>ADMINISTRACIÓN DIRECTA</v>
      </c>
      <c r="AC347" s="3" t="str">
        <f>OBRA!P346</f>
        <v>"CONSTRUCCIÓN DE LÍNEA DE AGUA POTABLE EN CALLE EL DOMINGUILLO (RED DE ABASTECIMIENTO)", EN LA LOCALIDAD DE SAN JUAN COSALA, DEL MUNICIPIO DE JOCOTEPEC, JALISCO</v>
      </c>
      <c r="AD347" s="4">
        <f>OBRA!R346</f>
        <v>257552.49</v>
      </c>
      <c r="AE347" s="6">
        <f>OBRA!S346</f>
        <v>43431</v>
      </c>
      <c r="AF347" s="5">
        <f>OBRA!T346</f>
        <v>43431</v>
      </c>
      <c r="AG347" s="390">
        <f>OBRA!U346</f>
        <v>43456</v>
      </c>
      <c r="AH347" s="52"/>
      <c r="AI347" s="211"/>
      <c r="AJ347" s="242"/>
      <c r="AK347" s="242"/>
      <c r="AL347" s="394"/>
      <c r="AM347" s="519" t="str">
        <f>GRAL!B348</f>
        <v>2018-2021</v>
      </c>
    </row>
    <row r="348" spans="1:39" ht="21.95" hidden="1" customHeight="1" thickTop="1">
      <c r="A348" s="158">
        <f>OBRA!J347</f>
        <v>2018</v>
      </c>
      <c r="B348" s="1683"/>
      <c r="C348" s="395"/>
      <c r="D348" s="146"/>
      <c r="E348" s="148"/>
      <c r="F348" s="148"/>
      <c r="G348" s="398"/>
      <c r="H348" s="404" t="str">
        <f>OBRA!AF347</f>
        <v>-</v>
      </c>
      <c r="I348" s="400"/>
      <c r="J348" s="406" t="str">
        <f>OBRA!AG347</f>
        <v>-</v>
      </c>
      <c r="K348" s="401"/>
      <c r="L348" s="404" t="str">
        <f>OBRA!AH347</f>
        <v>-</v>
      </c>
      <c r="M348" s="402"/>
      <c r="N348" s="404" t="str">
        <f>OBRA!AI347</f>
        <v>-</v>
      </c>
      <c r="O348" s="144"/>
      <c r="P348" s="144"/>
      <c r="Q348" s="403"/>
      <c r="R348" s="407" t="str">
        <f>OBRA!AJ347</f>
        <v>-</v>
      </c>
      <c r="S348" s="201"/>
      <c r="T348" s="399" t="str">
        <f>OBRA!W347</f>
        <v>N/A</v>
      </c>
      <c r="U348" s="408" t="str">
        <f>OBRA!X347</f>
        <v>ARQ. JAIME CONDE GOMEZ</v>
      </c>
      <c r="V348" s="1090"/>
      <c r="W348" s="19" t="str">
        <f>OBRA!N347</f>
        <v>DOP/AD/002/2018</v>
      </c>
      <c r="X348" s="12"/>
      <c r="Y348" s="12"/>
      <c r="Z348" s="409" t="str">
        <f>OBRA!M347</f>
        <v>RAMO 33</v>
      </c>
      <c r="AA348" s="12"/>
      <c r="AB348" s="2" t="str">
        <f>OBRA!O347</f>
        <v>ADMINISTRACIÓN DIRECTA</v>
      </c>
      <c r="AC348" s="3" t="str">
        <f>OBRA!P347</f>
        <v>"CONSTRUCCIÓN DE LÍNEA DE AGUA POTABLE EN CALLE EL DOMINGUILLO (RED DE DISTRIBUCCIÓN)", EN LA LOCALIDAD DE SAN JUAN COSALA, DEL MUNICIPIO DE JOCOTEPEC, JALISCO</v>
      </c>
      <c r="AD348" s="4">
        <f>OBRA!R347</f>
        <v>352132.79</v>
      </c>
      <c r="AE348" s="6">
        <f>OBRA!S347</f>
        <v>43434</v>
      </c>
      <c r="AF348" s="5">
        <f>OBRA!T347</f>
        <v>43434</v>
      </c>
      <c r="AG348" s="390">
        <f>OBRA!U347</f>
        <v>43456</v>
      </c>
      <c r="AH348" s="52"/>
      <c r="AI348" s="211"/>
      <c r="AJ348" s="242"/>
      <c r="AK348" s="242"/>
      <c r="AL348" s="394"/>
      <c r="AM348" s="519" t="str">
        <f>GRAL!B349</f>
        <v>2018-2021</v>
      </c>
    </row>
    <row r="349" spans="1:39" ht="21.95" hidden="1" customHeight="1" thickTop="1">
      <c r="A349" s="158">
        <f>OBRA!J348</f>
        <v>2018</v>
      </c>
      <c r="B349" s="1683"/>
      <c r="C349" s="395"/>
      <c r="D349" s="146"/>
      <c r="E349" s="148"/>
      <c r="F349" s="148"/>
      <c r="G349" s="398"/>
      <c r="H349" s="404" t="str">
        <f>OBRA!AF348</f>
        <v>-</v>
      </c>
      <c r="I349" s="400"/>
      <c r="J349" s="406" t="str">
        <f>OBRA!AG348</f>
        <v>-</v>
      </c>
      <c r="K349" s="401"/>
      <c r="L349" s="404" t="str">
        <f>OBRA!AH348</f>
        <v>-</v>
      </c>
      <c r="M349" s="402"/>
      <c r="N349" s="404" t="str">
        <f>OBRA!AI348</f>
        <v>-</v>
      </c>
      <c r="O349" s="144"/>
      <c r="P349" s="144"/>
      <c r="Q349" s="403"/>
      <c r="R349" s="407" t="str">
        <f>OBRA!AJ348</f>
        <v>-</v>
      </c>
      <c r="S349" s="201"/>
      <c r="T349" s="399" t="str">
        <f>OBRA!W348</f>
        <v>N/A</v>
      </c>
      <c r="U349" s="408" t="str">
        <f>OBRA!X348</f>
        <v>ARQ. JAIME CONDE GOMEZ</v>
      </c>
      <c r="V349" s="1090"/>
      <c r="W349" s="19" t="str">
        <f>OBRA!N348</f>
        <v>DOP/AD/003/2018</v>
      </c>
      <c r="X349" s="12"/>
      <c r="Y349" s="12"/>
      <c r="Z349" s="409" t="str">
        <f>OBRA!M348</f>
        <v>RAMO 33</v>
      </c>
      <c r="AA349" s="12"/>
      <c r="AB349" s="2" t="str">
        <f>OBRA!O348</f>
        <v>ADMINISTRACIÓN DIRECTA</v>
      </c>
      <c r="AC349" s="3" t="str">
        <f>OBRA!P348</f>
        <v>"REHABILITACIÓN DE RED DE DRENAJE EN CALLE PLAYAS DE LA LAGUNA CON REPOSICIÓN DE EMPEDRADO", EN LA AGENCIA MUNICIPAL DE CHANTEPEC, DEL MUNICIPIO DE JOCOTEPEC, JALISCO</v>
      </c>
      <c r="AD349" s="4">
        <f>OBRA!R348</f>
        <v>301076.28999999998</v>
      </c>
      <c r="AE349" s="6">
        <f>OBRA!S348</f>
        <v>43449</v>
      </c>
      <c r="AF349" s="5">
        <f>OBRA!T348</f>
        <v>43449</v>
      </c>
      <c r="AG349" s="390">
        <f>OBRA!U348</f>
        <v>43465</v>
      </c>
      <c r="AH349" s="52"/>
      <c r="AI349" s="211"/>
      <c r="AJ349" s="242"/>
      <c r="AK349" s="242"/>
      <c r="AL349" s="394"/>
      <c r="AM349" s="519" t="str">
        <f>GRAL!B350</f>
        <v>2018-2021</v>
      </c>
    </row>
    <row r="350" spans="1:39" ht="21.95" hidden="1" customHeight="1" thickTop="1">
      <c r="A350" s="158">
        <f>OBRA!J349</f>
        <v>2018</v>
      </c>
      <c r="B350" s="1683"/>
      <c r="C350" s="395"/>
      <c r="D350" s="146"/>
      <c r="E350" s="148"/>
      <c r="F350" s="148"/>
      <c r="G350" s="398"/>
      <c r="H350" s="404" t="str">
        <f>OBRA!AF349</f>
        <v>-</v>
      </c>
      <c r="I350" s="400"/>
      <c r="J350" s="406" t="str">
        <f>OBRA!AG349</f>
        <v>-</v>
      </c>
      <c r="K350" s="401"/>
      <c r="L350" s="404" t="str">
        <f>OBRA!AH349</f>
        <v>-</v>
      </c>
      <c r="M350" s="402"/>
      <c r="N350" s="404" t="str">
        <f>OBRA!AI349</f>
        <v>-</v>
      </c>
      <c r="O350" s="144"/>
      <c r="P350" s="144"/>
      <c r="Q350" s="403"/>
      <c r="R350" s="407" t="str">
        <f>OBRA!AJ349</f>
        <v>-</v>
      </c>
      <c r="S350" s="201"/>
      <c r="T350" s="399" t="str">
        <f>OBRA!W349</f>
        <v>N/A</v>
      </c>
      <c r="U350" s="408" t="str">
        <f>OBRA!X349</f>
        <v>ARQ. JAIME CONDE GOMEZ</v>
      </c>
      <c r="V350" s="1090"/>
      <c r="W350" s="19" t="str">
        <f>OBRA!N349</f>
        <v>DOP/AD/004/2018</v>
      </c>
      <c r="X350" s="12"/>
      <c r="Y350" s="12"/>
      <c r="Z350" s="409" t="str">
        <f>OBRA!M349</f>
        <v>RAMO 33</v>
      </c>
      <c r="AA350" s="12"/>
      <c r="AB350" s="2" t="str">
        <f>OBRA!O349</f>
        <v>ADMINISTRACIÓN DIRECTA</v>
      </c>
      <c r="AC350" s="3" t="str">
        <f>OBRA!P349</f>
        <v>"REHABILITACIÓN DE LÍNEA DE AGUA POTABLE EN CALLE PLAYAS DE LA LAGUNA CON REPOSICIÓN DE SUPERFICIE DE RODAMIENTO", EN LA AGENCIA MUNICIPAL DE CHANTEPEC, DEL MUNICIPIO DE JOCOTEPEC, JALISCO</v>
      </c>
      <c r="AD350" s="4">
        <f>OBRA!R349</f>
        <v>212579.41</v>
      </c>
      <c r="AE350" s="6">
        <f>OBRA!S349</f>
        <v>43449</v>
      </c>
      <c r="AF350" s="5">
        <f>OBRA!T349</f>
        <v>43449</v>
      </c>
      <c r="AG350" s="390">
        <f>OBRA!U349</f>
        <v>43465</v>
      </c>
      <c r="AH350" s="52"/>
      <c r="AI350" s="211"/>
      <c r="AJ350" s="242"/>
      <c r="AK350" s="242"/>
      <c r="AL350" s="394"/>
      <c r="AM350" s="519" t="str">
        <f>GRAL!B351</f>
        <v>2018-2021</v>
      </c>
    </row>
    <row r="351" spans="1:39" ht="21.95" hidden="1" customHeight="1" thickTop="1">
      <c r="A351" s="158">
        <f>OBRA!J350</f>
        <v>2019</v>
      </c>
      <c r="B351" s="1683"/>
      <c r="C351" s="395"/>
      <c r="D351" s="146"/>
      <c r="E351" s="148"/>
      <c r="F351" s="148"/>
      <c r="G351" s="398"/>
      <c r="H351" s="404" t="str">
        <f>OBRA!AF350</f>
        <v>-</v>
      </c>
      <c r="I351" s="400"/>
      <c r="J351" s="406" t="str">
        <f>OBRA!AG350</f>
        <v>-</v>
      </c>
      <c r="K351" s="401"/>
      <c r="L351" s="404" t="str">
        <f>OBRA!AH350</f>
        <v>-</v>
      </c>
      <c r="M351" s="402"/>
      <c r="N351" s="404" t="str">
        <f>OBRA!AI350</f>
        <v>-</v>
      </c>
      <c r="O351" s="144"/>
      <c r="P351" s="144"/>
      <c r="Q351" s="403"/>
      <c r="R351" s="407" t="str">
        <f>OBRA!AJ350</f>
        <v>-</v>
      </c>
      <c r="S351" s="201"/>
      <c r="T351" s="399" t="str">
        <f>OBRA!W350</f>
        <v>N/A</v>
      </c>
      <c r="U351" s="408" t="str">
        <f>OBRA!X350</f>
        <v>ING. JUAN MANUEL GARCIA ESCOTO</v>
      </c>
      <c r="V351" s="1090"/>
      <c r="W351" s="19" t="str">
        <f>OBRA!N350</f>
        <v>CEA-PERF-003/2019</v>
      </c>
      <c r="X351" s="12"/>
      <c r="Y351" s="12"/>
      <c r="Z351" s="409" t="str">
        <f>OBRA!M350</f>
        <v>C.E.A.</v>
      </c>
      <c r="AA351" s="12"/>
      <c r="AB351" s="2" t="str">
        <f>OBRA!O350</f>
        <v>CONVENIO</v>
      </c>
      <c r="AC351" s="3" t="str">
        <f>OBRA!P350</f>
        <v>PERFORACIÓN DE POZO PROFUNDO PARA AGUA POTABLE EN LA LOCALIDAD DE EL MOLINO, MUNICIPIO DE JOCOTEPEC, JALISCO".</v>
      </c>
      <c r="AD351" s="4">
        <f>OBRA!R350</f>
        <v>885535.63</v>
      </c>
      <c r="AE351" s="6">
        <f>OBRA!S350</f>
        <v>43689</v>
      </c>
      <c r="AF351" s="5">
        <f>OBRA!T350</f>
        <v>43690</v>
      </c>
      <c r="AG351" s="390">
        <f>OBRA!U350</f>
        <v>43812</v>
      </c>
      <c r="AH351" s="52"/>
      <c r="AI351" s="211"/>
      <c r="AJ351" s="242"/>
      <c r="AK351" s="242"/>
      <c r="AL351" s="394"/>
      <c r="AM351" s="519" t="str">
        <f>GRAL!B352</f>
        <v>2018-2021</v>
      </c>
    </row>
    <row r="352" spans="1:39" ht="21.95" hidden="1" customHeight="1" thickTop="1">
      <c r="A352" s="158">
        <f>OBRA!J351</f>
        <v>2019</v>
      </c>
      <c r="B352" s="1683"/>
      <c r="C352" s="395"/>
      <c r="D352" s="146"/>
      <c r="E352" s="148"/>
      <c r="F352" s="148"/>
      <c r="G352" s="398"/>
      <c r="H352" s="404" t="str">
        <f>OBRA!AF351</f>
        <v>-</v>
      </c>
      <c r="I352" s="400"/>
      <c r="J352" s="406" t="str">
        <f>OBRA!AG351</f>
        <v>-</v>
      </c>
      <c r="K352" s="401"/>
      <c r="L352" s="404" t="str">
        <f>OBRA!AH351</f>
        <v>-</v>
      </c>
      <c r="M352" s="402"/>
      <c r="N352" s="404" t="str">
        <f>OBRA!AI351</f>
        <v>-</v>
      </c>
      <c r="O352" s="144"/>
      <c r="P352" s="144"/>
      <c r="Q352" s="403"/>
      <c r="R352" s="407" t="str">
        <f>OBRA!AJ351</f>
        <v>-</v>
      </c>
      <c r="S352" s="201"/>
      <c r="T352" s="399" t="str">
        <f>OBRA!W351</f>
        <v>N/A</v>
      </c>
      <c r="U352" s="408" t="str">
        <f>OBRA!X351</f>
        <v>-</v>
      </c>
      <c r="V352" s="1090"/>
      <c r="W352" s="19" t="str">
        <f>OBRA!N351</f>
        <v>CONVENIO JOCOTEPEC PID 2019</v>
      </c>
      <c r="X352" s="12"/>
      <c r="Y352" s="12"/>
      <c r="Z352" s="409" t="str">
        <f>OBRA!M351</f>
        <v>P.I.D.</v>
      </c>
      <c r="AA352" s="12"/>
      <c r="AB352" s="2" t="str">
        <f>OBRA!O351</f>
        <v>CONVENIO</v>
      </c>
      <c r="AC352" s="3" t="str">
        <f>OBRA!P351</f>
        <v>ESTABLECIMIENTO DE DOS PUNTOS INOCUOS DE DESEMBARQUE (PID)"</v>
      </c>
      <c r="AD352" s="4">
        <f>OBRA!R351</f>
        <v>2551506.64</v>
      </c>
      <c r="AE352" s="6">
        <f>OBRA!S351</f>
        <v>43677</v>
      </c>
      <c r="AF352" s="5">
        <f>OBRA!T351</f>
        <v>43677</v>
      </c>
      <c r="AG352" s="390">
        <f>OBRA!U351</f>
        <v>43830</v>
      </c>
      <c r="AH352" s="52"/>
      <c r="AI352" s="211"/>
      <c r="AJ352" s="242"/>
      <c r="AK352" s="242"/>
      <c r="AL352" s="394"/>
      <c r="AM352" s="519" t="str">
        <f>GRAL!B353</f>
        <v>2018-2021</v>
      </c>
    </row>
    <row r="353" spans="1:39" ht="21.95" hidden="1" customHeight="1" thickTop="1">
      <c r="A353" s="158">
        <f>OBRA!J352</f>
        <v>2019</v>
      </c>
      <c r="B353" s="1683"/>
      <c r="C353" s="395"/>
      <c r="D353" s="146"/>
      <c r="E353" s="148"/>
      <c r="F353" s="148"/>
      <c r="G353" s="398"/>
      <c r="H353" s="404" t="str">
        <f>OBRA!AF352</f>
        <v>-</v>
      </c>
      <c r="I353" s="400"/>
      <c r="J353" s="406" t="str">
        <f>OBRA!AG352</f>
        <v>-</v>
      </c>
      <c r="K353" s="401"/>
      <c r="L353" s="404" t="str">
        <f>OBRA!AH352</f>
        <v>-</v>
      </c>
      <c r="M353" s="402"/>
      <c r="N353" s="404" t="str">
        <f>OBRA!AI352</f>
        <v>-</v>
      </c>
      <c r="O353" s="144"/>
      <c r="P353" s="144"/>
      <c r="Q353" s="403"/>
      <c r="R353" s="407" t="str">
        <f>OBRA!AJ352</f>
        <v>-</v>
      </c>
      <c r="S353" s="201"/>
      <c r="T353" s="399" t="str">
        <f>OBRA!W352</f>
        <v>N/A</v>
      </c>
      <c r="U353" s="408" t="str">
        <f>OBRA!X352</f>
        <v>ARQ. JAIME CONDE GOMEZ</v>
      </c>
      <c r="V353" s="1090"/>
      <c r="W353" s="19" t="str">
        <f>OBRA!N352</f>
        <v>CONVENIO RASTRO DIGNO 2019</v>
      </c>
      <c r="X353" s="12"/>
      <c r="Y353" s="12"/>
      <c r="Z353" s="409" t="str">
        <f>OBRA!M352</f>
        <v>RASTRO DIGNO / CTA-CTE</v>
      </c>
      <c r="AA353" s="12"/>
      <c r="AB353" s="2" t="str">
        <f>OBRA!O352</f>
        <v>CONVENIO</v>
      </c>
      <c r="AC353" s="3" t="str">
        <f>OBRA!P352</f>
        <v>PROGRAMA DE MEJORAMIENTO DE INSTALACIONES DE SACRIFICIO DE GANADO "RASTRO DIGNO" EJERCICIO FISCAL 2019</v>
      </c>
      <c r="AD353" s="4">
        <f>OBRA!R352</f>
        <v>4496816.92</v>
      </c>
      <c r="AE353" s="6">
        <f>OBRA!S352</f>
        <v>43687</v>
      </c>
      <c r="AF353" s="5" t="str">
        <f>OBRA!T352</f>
        <v>-</v>
      </c>
      <c r="AG353" s="390">
        <f>OBRA!U352</f>
        <v>43830</v>
      </c>
      <c r="AH353" s="52"/>
      <c r="AI353" s="211"/>
      <c r="AJ353" s="242"/>
      <c r="AK353" s="242"/>
      <c r="AL353" s="394"/>
      <c r="AM353" s="519" t="str">
        <f>GRAL!B354</f>
        <v>2018-2021</v>
      </c>
    </row>
    <row r="354" spans="1:39" ht="21.95" hidden="1" customHeight="1" thickTop="1">
      <c r="A354" s="158">
        <f>OBRA!J353</f>
        <v>2019</v>
      </c>
      <c r="B354" s="1683"/>
      <c r="C354" s="395"/>
      <c r="D354" s="146"/>
      <c r="E354" s="148"/>
      <c r="F354" s="148"/>
      <c r="G354" s="398"/>
      <c r="H354" s="404" t="str">
        <f>OBRA!AF353</f>
        <v>-</v>
      </c>
      <c r="I354" s="400"/>
      <c r="J354" s="406" t="str">
        <f>OBRA!AG353</f>
        <v>-</v>
      </c>
      <c r="K354" s="401"/>
      <c r="L354" s="404" t="str">
        <f>OBRA!AH353</f>
        <v>-</v>
      </c>
      <c r="M354" s="402"/>
      <c r="N354" s="404" t="str">
        <f>OBRA!AI353</f>
        <v>-</v>
      </c>
      <c r="O354" s="144"/>
      <c r="P354" s="144"/>
      <c r="Q354" s="403"/>
      <c r="R354" s="407" t="str">
        <f>OBRA!AJ353</f>
        <v>-</v>
      </c>
      <c r="S354" s="201"/>
      <c r="T354" s="399" t="str">
        <f>OBRA!W353</f>
        <v>N/A</v>
      </c>
      <c r="U354" s="408" t="str">
        <f>OBRA!X353</f>
        <v>ING. RIGOBERTO OLMEDO RAMOS</v>
      </c>
      <c r="V354" s="1090"/>
      <c r="W354" s="19" t="str">
        <f>OBRA!N353</f>
        <v>DOP/AD/001/2019</v>
      </c>
      <c r="X354" s="12"/>
      <c r="Y354" s="12"/>
      <c r="Z354" s="409" t="str">
        <f>OBRA!M353</f>
        <v>CUENTA CORRIENTE</v>
      </c>
      <c r="AA354" s="12"/>
      <c r="AB354" s="2" t="str">
        <f>OBRA!O353</f>
        <v>ADMINISTRACIÓN DIRECTA</v>
      </c>
      <c r="AC354" s="3" t="str">
        <f>OBRA!P353</f>
        <v>DEMOLICIÓN DE UN BIEN INMUEBLE UBICADO EN LA CALLE PEDRO MORENO NORTE NÚMERO 183, CRUCE CON CALLE LIBERTAD Y AVENIDA DE LOS MAESTROS CONOCIDO COMO UBR "UNIDAD BÁSICA DE REHABILITACIÓN" EN LA CABECERA MUNICIPAL DE JOCOTEPEC, JALISCO.</v>
      </c>
      <c r="AD354" s="4">
        <f>OBRA!R353</f>
        <v>250000</v>
      </c>
      <c r="AE354" s="6">
        <f>OBRA!S353</f>
        <v>43524</v>
      </c>
      <c r="AF354" s="5">
        <f>OBRA!T353</f>
        <v>43529</v>
      </c>
      <c r="AG354" s="390">
        <f>OBRA!U353</f>
        <v>43555</v>
      </c>
      <c r="AH354" s="52"/>
      <c r="AI354" s="211"/>
      <c r="AJ354" s="242"/>
      <c r="AK354" s="242"/>
      <c r="AL354" s="394"/>
      <c r="AM354" s="519" t="str">
        <f>GRAL!B355</f>
        <v>2018-2021</v>
      </c>
    </row>
    <row r="355" spans="1:39" ht="21.95" hidden="1" customHeight="1" thickTop="1">
      <c r="A355" s="158">
        <f>OBRA!J354</f>
        <v>2019</v>
      </c>
      <c r="B355" s="1683"/>
      <c r="C355" s="395"/>
      <c r="D355" s="146"/>
      <c r="E355" s="148"/>
      <c r="F355" s="148"/>
      <c r="G355" s="398"/>
      <c r="H355" s="404" t="str">
        <f>OBRA!AF354</f>
        <v>-</v>
      </c>
      <c r="I355" s="400"/>
      <c r="J355" s="406" t="str">
        <f>OBRA!AG354</f>
        <v>-</v>
      </c>
      <c r="K355" s="401"/>
      <c r="L355" s="404" t="str">
        <f>OBRA!AH354</f>
        <v>-</v>
      </c>
      <c r="M355" s="402"/>
      <c r="N355" s="404" t="str">
        <f>OBRA!AI354</f>
        <v>-</v>
      </c>
      <c r="O355" s="144"/>
      <c r="P355" s="144"/>
      <c r="Q355" s="403"/>
      <c r="R355" s="407" t="str">
        <f>OBRA!AJ354</f>
        <v>-</v>
      </c>
      <c r="S355" s="201"/>
      <c r="T355" s="399" t="str">
        <f>OBRA!W354</f>
        <v>-</v>
      </c>
      <c r="U355" s="408" t="str">
        <f>OBRA!X354</f>
        <v>LIC. SALVADOR CONTRERAS OLGUÍN</v>
      </c>
      <c r="V355" s="1090"/>
      <c r="W355" s="19" t="str">
        <f>OBRA!N354</f>
        <v>DOP/AD/002/2019</v>
      </c>
      <c r="X355" s="12"/>
      <c r="Y355" s="12"/>
      <c r="Z355" s="409" t="str">
        <f>OBRA!M354</f>
        <v>CUENTA CORRIENTE</v>
      </c>
      <c r="AA355" s="12"/>
      <c r="AB355" s="2" t="str">
        <f>OBRA!O354</f>
        <v>CANCELADA</v>
      </c>
      <c r="AC355" s="3" t="str">
        <f>OBRA!P354</f>
        <v>"CONSERVACIÓN Y MANTENIMIENTO DE HUELLAS DE ADOQUÍN EN CALLE MATAMOROS SUR DE C. DONATO GUERRA A HOSPITAL DE URGENCIAS" EN LA CABECERA MUNICIPAL DE JOCOTEPEPC, JALISCO"</v>
      </c>
      <c r="AD355" s="4">
        <f>OBRA!R354</f>
        <v>75251.929999999993</v>
      </c>
      <c r="AE355" s="6" t="str">
        <f>OBRA!S354</f>
        <v>-</v>
      </c>
      <c r="AF355" s="5" t="str">
        <f>OBRA!T354</f>
        <v>-</v>
      </c>
      <c r="AG355" s="390" t="str">
        <f>OBRA!U354</f>
        <v>-</v>
      </c>
      <c r="AH355" s="52"/>
      <c r="AI355" s="211"/>
      <c r="AJ355" s="242"/>
      <c r="AK355" s="242"/>
      <c r="AL355" s="394"/>
      <c r="AM355" s="519" t="str">
        <f>GRAL!B356</f>
        <v>2018-2021</v>
      </c>
    </row>
    <row r="356" spans="1:39" ht="21.95" hidden="1" customHeight="1" thickTop="1">
      <c r="A356" s="158">
        <f>OBRA!J355</f>
        <v>2019</v>
      </c>
      <c r="B356" s="1683"/>
      <c r="C356" s="395"/>
      <c r="D356" s="146"/>
      <c r="E356" s="148"/>
      <c r="F356" s="148"/>
      <c r="G356" s="398"/>
      <c r="H356" s="404" t="str">
        <f>OBRA!AF355</f>
        <v>-</v>
      </c>
      <c r="I356" s="400"/>
      <c r="J356" s="406" t="str">
        <f>OBRA!AG355</f>
        <v>-</v>
      </c>
      <c r="K356" s="401"/>
      <c r="L356" s="404" t="str">
        <f>OBRA!AH355</f>
        <v>-</v>
      </c>
      <c r="M356" s="402"/>
      <c r="N356" s="404" t="str">
        <f>OBRA!AI355</f>
        <v>-</v>
      </c>
      <c r="O356" s="144"/>
      <c r="P356" s="144"/>
      <c r="Q356" s="403"/>
      <c r="R356" s="407" t="str">
        <f>OBRA!AJ355</f>
        <v>-</v>
      </c>
      <c r="S356" s="201"/>
      <c r="T356" s="399" t="str">
        <f>OBRA!W355</f>
        <v>-</v>
      </c>
      <c r="U356" s="408" t="str">
        <f>OBRA!X355</f>
        <v>LIC. SALVADOR CONTRERAS OLGUÍN</v>
      </c>
      <c r="V356" s="1090"/>
      <c r="W356" s="19" t="str">
        <f>OBRA!N355</f>
        <v>DOP/AD/003/2019</v>
      </c>
      <c r="X356" s="12"/>
      <c r="Y356" s="12"/>
      <c r="Z356" s="409" t="str">
        <f>OBRA!M355</f>
        <v>CUENTA CORRIENTE</v>
      </c>
      <c r="AA356" s="12"/>
      <c r="AB356" s="2" t="str">
        <f>OBRA!O355</f>
        <v>CANCELADA</v>
      </c>
      <c r="AC356" s="3" t="str">
        <f>OBRA!P355</f>
        <v>CONSERVACIÓN Y MANTENIMIENTO INCLUYENTE DE BANQUETA Y ACCESO HOSPITAL DE URGENCIAS" EN LA CABECERA MUNICIPAL DE JOCOTEPEC, JALISCO</v>
      </c>
      <c r="AD356" s="4">
        <f>OBRA!R355</f>
        <v>140710.85999999999</v>
      </c>
      <c r="AE356" s="6" t="str">
        <f>OBRA!S355</f>
        <v>-</v>
      </c>
      <c r="AF356" s="5" t="str">
        <f>OBRA!T355</f>
        <v>-</v>
      </c>
      <c r="AG356" s="390" t="str">
        <f>OBRA!U355</f>
        <v>-</v>
      </c>
      <c r="AH356" s="52"/>
      <c r="AI356" s="211"/>
      <c r="AJ356" s="242"/>
      <c r="AK356" s="242"/>
      <c r="AL356" s="394"/>
      <c r="AM356" s="519" t="str">
        <f>GRAL!B357</f>
        <v>2018-2021</v>
      </c>
    </row>
    <row r="357" spans="1:39" ht="21.95" hidden="1" customHeight="1" thickTop="1">
      <c r="A357" s="158">
        <f>OBRA!J356</f>
        <v>2019</v>
      </c>
      <c r="B357" s="1683"/>
      <c r="C357" s="395"/>
      <c r="D357" s="146"/>
      <c r="E357" s="148"/>
      <c r="F357" s="148"/>
      <c r="G357" s="398"/>
      <c r="H357" s="404" t="str">
        <f>OBRA!AF356</f>
        <v>-</v>
      </c>
      <c r="I357" s="400"/>
      <c r="J357" s="406" t="str">
        <f>OBRA!AG356</f>
        <v>-</v>
      </c>
      <c r="K357" s="401"/>
      <c r="L357" s="404" t="str">
        <f>OBRA!AH356</f>
        <v>-</v>
      </c>
      <c r="M357" s="402"/>
      <c r="N357" s="404" t="str">
        <f>OBRA!AI356</f>
        <v>-</v>
      </c>
      <c r="O357" s="144"/>
      <c r="P357" s="144"/>
      <c r="Q357" s="403"/>
      <c r="R357" s="407" t="str">
        <f>OBRA!AJ356</f>
        <v>-</v>
      </c>
      <c r="S357" s="201"/>
      <c r="T357" s="399" t="str">
        <f>OBRA!W356</f>
        <v>N/A</v>
      </c>
      <c r="U357" s="408" t="str">
        <f>OBRA!X356</f>
        <v>LIC. SALVADOR CONTRERAS OLGUÍN</v>
      </c>
      <c r="V357" s="1090"/>
      <c r="W357" s="19" t="str">
        <f>OBRA!N356</f>
        <v>DOP/AD/004/2019</v>
      </c>
      <c r="X357" s="12"/>
      <c r="Y357" s="12"/>
      <c r="Z357" s="409" t="str">
        <f>OBRA!M356</f>
        <v>CUENTA CORRIENTE</v>
      </c>
      <c r="AA357" s="12"/>
      <c r="AB357" s="2" t="str">
        <f>OBRA!O356</f>
        <v>ADMINISTRACIÓN DIRECTA</v>
      </c>
      <c r="AC357" s="3" t="str">
        <f>OBRA!P356</f>
        <v>CONSTRUCCIÓN DE RAMPAS INCLUYENTES EN LA DELEGACIÓN, DE SAN JUAN COSALA" DE LA CABECERA MUNICIPAL DE JOCOTEPEC, JALISCO.</v>
      </c>
      <c r="AD357" s="4">
        <f>OBRA!R356</f>
        <v>22876.2</v>
      </c>
      <c r="AE357" s="6">
        <f>OBRA!S356</f>
        <v>43588</v>
      </c>
      <c r="AF357" s="5">
        <f>OBRA!T356</f>
        <v>43592</v>
      </c>
      <c r="AG357" s="390">
        <f>OBRA!U356</f>
        <v>43623</v>
      </c>
      <c r="AH357" s="52"/>
      <c r="AI357" s="211"/>
      <c r="AJ357" s="242"/>
      <c r="AK357" s="242"/>
      <c r="AL357" s="394"/>
      <c r="AM357" s="519" t="str">
        <f>GRAL!B358</f>
        <v>2018-2021</v>
      </c>
    </row>
    <row r="358" spans="1:39" ht="21.95" hidden="1" customHeight="1" thickTop="1">
      <c r="A358" s="158">
        <f>OBRA!J357</f>
        <v>2019</v>
      </c>
      <c r="B358" s="1683"/>
      <c r="C358" s="395"/>
      <c r="D358" s="146"/>
      <c r="E358" s="148"/>
      <c r="F358" s="148"/>
      <c r="G358" s="398"/>
      <c r="H358" s="404" t="str">
        <f>OBRA!AF357</f>
        <v>-</v>
      </c>
      <c r="I358" s="400"/>
      <c r="J358" s="406" t="str">
        <f>OBRA!AG357</f>
        <v>-</v>
      </c>
      <c r="K358" s="401"/>
      <c r="L358" s="404" t="str">
        <f>OBRA!AH357</f>
        <v>-</v>
      </c>
      <c r="M358" s="402"/>
      <c r="N358" s="404" t="str">
        <f>OBRA!AI357</f>
        <v>-</v>
      </c>
      <c r="O358" s="144"/>
      <c r="P358" s="144"/>
      <c r="Q358" s="403"/>
      <c r="R358" s="407" t="str">
        <f>OBRA!AJ357</f>
        <v>-</v>
      </c>
      <c r="S358" s="201"/>
      <c r="T358" s="399" t="str">
        <f>OBRA!W357</f>
        <v>N/A</v>
      </c>
      <c r="U358" s="408" t="str">
        <f>OBRA!X357</f>
        <v>LIC. SALVADOR CONTRERAS OLGUÍN</v>
      </c>
      <c r="V358" s="1090"/>
      <c r="W358" s="19" t="str">
        <f>OBRA!N357</f>
        <v>DOP/AD/005/2019</v>
      </c>
      <c r="X358" s="12"/>
      <c r="Y358" s="12"/>
      <c r="Z358" s="409" t="str">
        <f>OBRA!M357</f>
        <v>CUENTA CORRIENTE</v>
      </c>
      <c r="AA358" s="12"/>
      <c r="AB358" s="2" t="str">
        <f>OBRA!O357</f>
        <v>ADMINISTRACIÓN DIRECTA</v>
      </c>
      <c r="AC358" s="3" t="str">
        <f>OBRA!P357</f>
        <v>CONSTRUCCIÓN DE ASTA DE BANDERA DE 10 MTS DE ALURA EN LA PLAZA PRINCIPAL" EN LA DELEGACIÓN DE SAN JUAN COSALA, DE LA CABECERA MUNICIPAL DE JOCOTEPEC, JALISCO.</v>
      </c>
      <c r="AD358" s="4">
        <f>OBRA!R357</f>
        <v>18491.009999999998</v>
      </c>
      <c r="AE358" s="6">
        <f>OBRA!S357</f>
        <v>43588</v>
      </c>
      <c r="AF358" s="5">
        <f>OBRA!T357</f>
        <v>43592</v>
      </c>
      <c r="AG358" s="390">
        <f>OBRA!U357</f>
        <v>43623</v>
      </c>
      <c r="AH358" s="52"/>
      <c r="AI358" s="211"/>
      <c r="AJ358" s="242"/>
      <c r="AK358" s="242"/>
      <c r="AL358" s="394"/>
      <c r="AM358" s="519" t="str">
        <f>GRAL!B359</f>
        <v>2018-2021</v>
      </c>
    </row>
    <row r="359" spans="1:39" ht="21.95" hidden="1" customHeight="1" thickTop="1">
      <c r="A359" s="158">
        <f>OBRA!J358</f>
        <v>2019</v>
      </c>
      <c r="B359" s="1683"/>
      <c r="C359" s="395"/>
      <c r="D359" s="146"/>
      <c r="E359" s="148"/>
      <c r="F359" s="148"/>
      <c r="G359" s="398"/>
      <c r="H359" s="404" t="str">
        <f>OBRA!AF358</f>
        <v>-</v>
      </c>
      <c r="I359" s="400"/>
      <c r="J359" s="406" t="str">
        <f>OBRA!AG358</f>
        <v>-</v>
      </c>
      <c r="K359" s="401"/>
      <c r="L359" s="404" t="str">
        <f>OBRA!AH358</f>
        <v>-</v>
      </c>
      <c r="M359" s="402"/>
      <c r="N359" s="404" t="str">
        <f>OBRA!AI358</f>
        <v>-</v>
      </c>
      <c r="O359" s="144"/>
      <c r="P359" s="144"/>
      <c r="Q359" s="403"/>
      <c r="R359" s="407" t="str">
        <f>OBRA!AJ358</f>
        <v>-</v>
      </c>
      <c r="S359" s="201"/>
      <c r="T359" s="399" t="str">
        <f>OBRA!W358</f>
        <v>N/A</v>
      </c>
      <c r="U359" s="408" t="str">
        <f>OBRA!X358</f>
        <v>LIC. SALVADOR CONTRERAS OLGUÍN</v>
      </c>
      <c r="V359" s="1090"/>
      <c r="W359" s="19" t="str">
        <f>OBRA!N358</f>
        <v>DOP/AD/006/2019</v>
      </c>
      <c r="X359" s="12"/>
      <c r="Y359" s="12"/>
      <c r="Z359" s="409" t="str">
        <f>OBRA!M358</f>
        <v>CUENTA CORRIENTE</v>
      </c>
      <c r="AA359" s="12"/>
      <c r="AB359" s="2" t="str">
        <f>OBRA!O358</f>
        <v>ADMINISTRACIÓN DIRECTA</v>
      </c>
      <c r="AC359" s="3" t="str">
        <f>OBRA!P358</f>
        <v>"FABRICACIÓN DE APLANADO EN MURO PONIENTE DE LA PLAZA PRINCIPAL" EN LA DELEGACIÓN, DE SAN JUAN COSALA, DE LA CABECERA MUNICIPAL DE JOCOTEPEC, JALISCO</v>
      </c>
      <c r="AD359" s="4">
        <f>OBRA!R358</f>
        <v>13050.14</v>
      </c>
      <c r="AE359" s="6">
        <f>OBRA!S358</f>
        <v>43588</v>
      </c>
      <c r="AF359" s="5">
        <f>OBRA!T358</f>
        <v>43592</v>
      </c>
      <c r="AG359" s="390">
        <f>OBRA!U358</f>
        <v>43623</v>
      </c>
      <c r="AH359" s="52"/>
      <c r="AI359" s="211"/>
      <c r="AJ359" s="242"/>
      <c r="AK359" s="242"/>
      <c r="AL359" s="394"/>
      <c r="AM359" s="519" t="str">
        <f>GRAL!B360</f>
        <v>2018-2021</v>
      </c>
    </row>
    <row r="360" spans="1:39" ht="21.95" hidden="1" customHeight="1" thickTop="1">
      <c r="A360" s="158">
        <f>OBRA!J359</f>
        <v>2019</v>
      </c>
      <c r="B360" s="1683"/>
      <c r="C360" s="395"/>
      <c r="D360" s="146"/>
      <c r="E360" s="148"/>
      <c r="F360" s="148"/>
      <c r="G360" s="398"/>
      <c r="H360" s="404" t="str">
        <f>OBRA!AF359</f>
        <v>-</v>
      </c>
      <c r="I360" s="400"/>
      <c r="J360" s="406" t="str">
        <f>OBRA!AG359</f>
        <v>-</v>
      </c>
      <c r="K360" s="401"/>
      <c r="L360" s="404" t="str">
        <f>OBRA!AH359</f>
        <v>-</v>
      </c>
      <c r="M360" s="402"/>
      <c r="N360" s="404" t="str">
        <f>OBRA!AI359</f>
        <v>-</v>
      </c>
      <c r="O360" s="144"/>
      <c r="P360" s="144"/>
      <c r="Q360" s="403"/>
      <c r="R360" s="407" t="str">
        <f>OBRA!AJ359</f>
        <v>-</v>
      </c>
      <c r="S360" s="201"/>
      <c r="T360" s="399" t="str">
        <f>OBRA!W359</f>
        <v>N/A</v>
      </c>
      <c r="U360" s="408" t="str">
        <f>OBRA!X359</f>
        <v>ING. LUIS RIGOBERTO OLMEDO NAVARRO</v>
      </c>
      <c r="V360" s="1090"/>
      <c r="W360" s="19" t="str">
        <f>OBRA!N359</f>
        <v>DOP/AD/007/2019</v>
      </c>
      <c r="X360" s="12"/>
      <c r="Y360" s="12"/>
      <c r="Z360" s="409" t="str">
        <f>OBRA!M359</f>
        <v>CUENTA CORRIENTE</v>
      </c>
      <c r="AA360" s="12"/>
      <c r="AB360" s="2" t="str">
        <f>OBRA!O359</f>
        <v>ADMINISTRACIÓN DIRECTA</v>
      </c>
      <c r="AC360" s="3" t="str">
        <f>OBRA!P359</f>
        <v>"MANTENIMIENTO Y CONSERVACIÓN CON MAQUINARIA PESADA DE CALLES Y CAMINOS EN LAS AGENCIAS, DELEGACIONES Y CABECERA DEL MUNICIPIO DE JOCOTEPEC, JALISCO"</v>
      </c>
      <c r="AD360" s="4">
        <f>OBRA!R359</f>
        <v>200000</v>
      </c>
      <c r="AE360" s="6">
        <f>OBRA!S359</f>
        <v>43647</v>
      </c>
      <c r="AF360" s="5">
        <f>OBRA!T359</f>
        <v>43647</v>
      </c>
      <c r="AG360" s="390">
        <f>OBRA!U359</f>
        <v>43830</v>
      </c>
      <c r="AH360" s="52"/>
      <c r="AI360" s="211"/>
      <c r="AJ360" s="242"/>
      <c r="AK360" s="242"/>
      <c r="AL360" s="394"/>
      <c r="AM360" s="519" t="str">
        <f>GRAL!B361</f>
        <v>2018-2021</v>
      </c>
    </row>
    <row r="361" spans="1:39" ht="21.95" hidden="1" customHeight="1" thickTop="1">
      <c r="A361" s="158">
        <f>OBRA!J360</f>
        <v>2019</v>
      </c>
      <c r="B361" s="1683"/>
      <c r="C361" s="395"/>
      <c r="D361" s="146"/>
      <c r="E361" s="148"/>
      <c r="F361" s="148"/>
      <c r="G361" s="398"/>
      <c r="H361" s="404" t="str">
        <f>OBRA!AF360</f>
        <v>-</v>
      </c>
      <c r="I361" s="400"/>
      <c r="J361" s="406" t="str">
        <f>OBRA!AG360</f>
        <v>-</v>
      </c>
      <c r="K361" s="401"/>
      <c r="L361" s="404" t="str">
        <f>OBRA!AH360</f>
        <v>-</v>
      </c>
      <c r="M361" s="402"/>
      <c r="N361" s="404" t="str">
        <f>OBRA!AI360</f>
        <v>-</v>
      </c>
      <c r="O361" s="144"/>
      <c r="P361" s="144"/>
      <c r="Q361" s="403"/>
      <c r="R361" s="407" t="str">
        <f>OBRA!AJ360</f>
        <v>-</v>
      </c>
      <c r="S361" s="201"/>
      <c r="T361" s="399" t="str">
        <f>OBRA!W360</f>
        <v>N/A</v>
      </c>
      <c r="U361" s="408" t="str">
        <f>OBRA!X360</f>
        <v>ING. JUAN MANUEL GARCIA ESCOTO</v>
      </c>
      <c r="V361" s="1090"/>
      <c r="W361" s="19" t="str">
        <f>OBRA!N360</f>
        <v>DOP/AD/008/2019</v>
      </c>
      <c r="X361" s="12"/>
      <c r="Y361" s="12"/>
      <c r="Z361" s="409" t="str">
        <f>OBRA!M360</f>
        <v>CEA / CUENTA CORRIENTE</v>
      </c>
      <c r="AA361" s="12"/>
      <c r="AB361" s="2" t="str">
        <f>OBRA!O360</f>
        <v>ADMINISTRACIÓN DIRECTA</v>
      </c>
      <c r="AC361" s="3" t="str">
        <f>OBRA!P360</f>
        <v>"LA COMPRA DE MATERIALES E INSUMOS NECESARIOS" PARA LA PERFORACIÓN DE POZO PROFUNDO EN LA AGENCIA MUNICIPAL DE EL MOLINO, DEL MUNICIPIO DE JOCOTEPEC, JALISCO.</v>
      </c>
      <c r="AD361" s="4">
        <f>OBRA!R360</f>
        <v>800000</v>
      </c>
      <c r="AE361" s="6">
        <f>OBRA!S360</f>
        <v>43683</v>
      </c>
      <c r="AF361" s="5">
        <f>OBRA!T360</f>
        <v>43689</v>
      </c>
      <c r="AG361" s="390">
        <f>OBRA!U360</f>
        <v>43830</v>
      </c>
      <c r="AH361" s="52"/>
      <c r="AI361" s="211"/>
      <c r="AJ361" s="242"/>
      <c r="AK361" s="242"/>
      <c r="AL361" s="394"/>
      <c r="AM361" s="519" t="str">
        <f>GRAL!B362</f>
        <v>2018-2021</v>
      </c>
    </row>
    <row r="362" spans="1:39" ht="21.95" hidden="1" customHeight="1" thickTop="1">
      <c r="A362" s="158">
        <f>OBRA!J361</f>
        <v>2019</v>
      </c>
      <c r="B362" s="1683"/>
      <c r="C362" s="395"/>
      <c r="D362" s="146"/>
      <c r="E362" s="148"/>
      <c r="F362" s="148"/>
      <c r="G362" s="398"/>
      <c r="H362" s="404" t="str">
        <f>OBRA!AF361</f>
        <v>-</v>
      </c>
      <c r="I362" s="400"/>
      <c r="J362" s="406" t="str">
        <f>OBRA!AG361</f>
        <v>-</v>
      </c>
      <c r="K362" s="401"/>
      <c r="L362" s="404" t="str">
        <f>OBRA!AH361</f>
        <v>-</v>
      </c>
      <c r="M362" s="402"/>
      <c r="N362" s="404" t="str">
        <f>OBRA!AI361</f>
        <v>-</v>
      </c>
      <c r="O362" s="144"/>
      <c r="P362" s="144"/>
      <c r="Q362" s="403"/>
      <c r="R362" s="407" t="str">
        <f>OBRA!AJ361</f>
        <v>-</v>
      </c>
      <c r="S362" s="201"/>
      <c r="T362" s="399" t="str">
        <f>OBRA!W361</f>
        <v>N/A</v>
      </c>
      <c r="U362" s="408" t="str">
        <f>OBRA!X361</f>
        <v>ING. JUAN MANUEL GARCIA ESCOTO</v>
      </c>
      <c r="V362" s="1090"/>
      <c r="W362" s="19" t="str">
        <f>OBRA!N361</f>
        <v>DOP/AD/009/2019</v>
      </c>
      <c r="X362" s="12"/>
      <c r="Y362" s="12"/>
      <c r="Z362" s="409" t="str">
        <f>OBRA!M361</f>
        <v>CUENTA CORRIENTE</v>
      </c>
      <c r="AA362" s="12"/>
      <c r="AB362" s="2" t="str">
        <f>OBRA!O361</f>
        <v>ADMINISTRACIÓN DIRECTA</v>
      </c>
      <c r="AC362" s="3" t="str">
        <f>OBRA!P361</f>
        <v>"CONSTRUCCION DE EMPEDRADOS ECOLÓGICOS, AHOGADOS EN CEMENTO Y CON HUELLAS, EN VARIAS CALLES DE LA AGENCIA MUNICIPAL DE EL MOLINO". DEL MUNICIPIO DE JOCOTEPEC, JALISCO.</v>
      </c>
      <c r="AD362" s="4">
        <f>OBRA!R361</f>
        <v>750000</v>
      </c>
      <c r="AE362" s="6">
        <f>OBRA!S361</f>
        <v>43686</v>
      </c>
      <c r="AF362" s="5">
        <f>OBRA!T361</f>
        <v>43689</v>
      </c>
      <c r="AG362" s="390">
        <f>OBRA!U361</f>
        <v>43830</v>
      </c>
      <c r="AH362" s="52"/>
      <c r="AI362" s="211"/>
      <c r="AJ362" s="242"/>
      <c r="AK362" s="242"/>
      <c r="AL362" s="394"/>
      <c r="AM362" s="519" t="str">
        <f>GRAL!B363</f>
        <v>2018-2021</v>
      </c>
    </row>
    <row r="363" spans="1:39" ht="21.95" hidden="1" customHeight="1" thickTop="1">
      <c r="A363" s="158">
        <f>OBRA!J362</f>
        <v>2019</v>
      </c>
      <c r="B363" s="1683"/>
      <c r="C363" s="395"/>
      <c r="D363" s="146"/>
      <c r="E363" s="148"/>
      <c r="F363" s="148"/>
      <c r="G363" s="398"/>
      <c r="H363" s="404" t="str">
        <f>OBRA!AF362</f>
        <v>-</v>
      </c>
      <c r="I363" s="400"/>
      <c r="J363" s="406" t="str">
        <f>OBRA!AG362</f>
        <v>-</v>
      </c>
      <c r="K363" s="401"/>
      <c r="L363" s="404" t="str">
        <f>OBRA!AH362</f>
        <v>-</v>
      </c>
      <c r="M363" s="402"/>
      <c r="N363" s="404" t="str">
        <f>OBRA!AI362</f>
        <v>-</v>
      </c>
      <c r="O363" s="144"/>
      <c r="P363" s="144"/>
      <c r="Q363" s="403"/>
      <c r="R363" s="407" t="str">
        <f>OBRA!AJ362</f>
        <v>-</v>
      </c>
      <c r="S363" s="201"/>
      <c r="T363" s="399" t="str">
        <f>OBRA!W362</f>
        <v>N/A</v>
      </c>
      <c r="U363" s="408" t="str">
        <f>OBRA!X362</f>
        <v>ING. J. GUADALUPE IBARRA RAMIREZ</v>
      </c>
      <c r="V363" s="1090"/>
      <c r="W363" s="19" t="str">
        <f>OBRA!N362</f>
        <v>DOP/AD/010/2019</v>
      </c>
      <c r="X363" s="12"/>
      <c r="Y363" s="12"/>
      <c r="Z363" s="409" t="str">
        <f>OBRA!M362</f>
        <v>CUENTA CORRIENTE</v>
      </c>
      <c r="AA363" s="12"/>
      <c r="AB363" s="2" t="str">
        <f>OBRA!O362</f>
        <v>ADMINISTRACIÓN DIRECTA</v>
      </c>
      <c r="AC363" s="3" t="str">
        <f>OBRA!P362</f>
        <v>"CONSTRUCCIÓN DE LÍNEAS HIDROSANITARIAS EN CALLE EXTRAMUROS DE PRIVADA A CARRETERA," EN SAN PEDRO TESISTAN, DEL MUNICIPIO DE JOCOTEPEC, JALISCO.</v>
      </c>
      <c r="AD363" s="4">
        <f>OBRA!R362</f>
        <v>518279.12</v>
      </c>
      <c r="AE363" s="6">
        <f>OBRA!S362</f>
        <v>43707</v>
      </c>
      <c r="AF363" s="5">
        <f>OBRA!T362</f>
        <v>43710</v>
      </c>
      <c r="AG363" s="390">
        <f>OBRA!U362</f>
        <v>43798</v>
      </c>
      <c r="AH363" s="52"/>
      <c r="AI363" s="211"/>
      <c r="AJ363" s="242"/>
      <c r="AK363" s="242"/>
      <c r="AL363" s="394"/>
      <c r="AM363" s="519" t="str">
        <f>GRAL!B364</f>
        <v>2018-2021</v>
      </c>
    </row>
    <row r="364" spans="1:39" ht="21.95" hidden="1" customHeight="1" thickTop="1">
      <c r="A364" s="158">
        <f>OBRA!J363</f>
        <v>2019</v>
      </c>
      <c r="B364" s="1683"/>
      <c r="C364" s="395"/>
      <c r="D364" s="146"/>
      <c r="E364" s="148"/>
      <c r="F364" s="148"/>
      <c r="G364" s="398"/>
      <c r="H364" s="404" t="str">
        <f>OBRA!AF363</f>
        <v>-</v>
      </c>
      <c r="I364" s="400"/>
      <c r="J364" s="406" t="str">
        <f>OBRA!AG363</f>
        <v>-</v>
      </c>
      <c r="K364" s="401"/>
      <c r="L364" s="404" t="str">
        <f>OBRA!AH363</f>
        <v>-</v>
      </c>
      <c r="M364" s="402"/>
      <c r="N364" s="404" t="str">
        <f>OBRA!AI363</f>
        <v>-</v>
      </c>
      <c r="O364" s="144"/>
      <c r="P364" s="144"/>
      <c r="Q364" s="403"/>
      <c r="R364" s="407" t="str">
        <f>OBRA!AJ363</f>
        <v>-</v>
      </c>
      <c r="S364" s="201"/>
      <c r="T364" s="399" t="str">
        <f>OBRA!W363</f>
        <v>N/A</v>
      </c>
      <c r="U364" s="408" t="str">
        <f>OBRA!X363</f>
        <v>ING. J. GUADALUPE IBARRA RAMIREZ</v>
      </c>
      <c r="V364" s="1090"/>
      <c r="W364" s="19" t="str">
        <f>OBRA!N363</f>
        <v>DOP/AD/011/2019</v>
      </c>
      <c r="X364" s="12"/>
      <c r="Y364" s="12"/>
      <c r="Z364" s="409" t="str">
        <f>OBRA!M363</f>
        <v>RAMO 33</v>
      </c>
      <c r="AA364" s="12"/>
      <c r="AB364" s="2" t="str">
        <f>OBRA!O363</f>
        <v>ADMINISTRACIÓN DIRECTA</v>
      </c>
      <c r="AC364" s="3" t="str">
        <f>OBRA!P363</f>
        <v>"REHABILITACIÓN DE RED DE AGUA POTABLE CON REPOSICIÓN DE SUPERFICIE DE RODAMIENTO EN CALLE HIDALGO ENTRE ALDAMA Y FILOSOFOS", EN LA CABECERA MUNICIPAL DE JOCOTEPEC, JALISCO.</v>
      </c>
      <c r="AD364" s="4">
        <f>OBRA!R363</f>
        <v>661528.31999999995</v>
      </c>
      <c r="AE364" s="6">
        <f>OBRA!S363</f>
        <v>43754</v>
      </c>
      <c r="AF364" s="5">
        <f>OBRA!T363</f>
        <v>43759</v>
      </c>
      <c r="AG364" s="390">
        <f>OBRA!U363</f>
        <v>43814</v>
      </c>
      <c r="AH364" s="52"/>
      <c r="AI364" s="211"/>
      <c r="AJ364" s="242"/>
      <c r="AK364" s="242"/>
      <c r="AL364" s="394"/>
      <c r="AM364" s="519" t="str">
        <f>GRAL!B365</f>
        <v>2018-2021</v>
      </c>
    </row>
    <row r="365" spans="1:39" ht="21.95" hidden="1" customHeight="1" thickTop="1">
      <c r="A365" s="158">
        <f>OBRA!J364</f>
        <v>2019</v>
      </c>
      <c r="B365" s="1683"/>
      <c r="C365" s="395"/>
      <c r="D365" s="146"/>
      <c r="E365" s="148"/>
      <c r="F365" s="148"/>
      <c r="G365" s="398"/>
      <c r="H365" s="404" t="str">
        <f>OBRA!AF364</f>
        <v>-</v>
      </c>
      <c r="I365" s="400"/>
      <c r="J365" s="406" t="str">
        <f>OBRA!AG364</f>
        <v>-</v>
      </c>
      <c r="K365" s="401"/>
      <c r="L365" s="404" t="str">
        <f>OBRA!AH364</f>
        <v>-</v>
      </c>
      <c r="M365" s="402"/>
      <c r="N365" s="404" t="str">
        <f>OBRA!AI364</f>
        <v>-</v>
      </c>
      <c r="O365" s="144"/>
      <c r="P365" s="144"/>
      <c r="Q365" s="403"/>
      <c r="R365" s="407" t="str">
        <f>OBRA!AJ364</f>
        <v>-</v>
      </c>
      <c r="S365" s="201"/>
      <c r="T365" s="399" t="str">
        <f>OBRA!W364</f>
        <v>N/A</v>
      </c>
      <c r="U365" s="408" t="str">
        <f>OBRA!X364</f>
        <v>ING. J. GUADALUPE IBARRA RAMIREZ</v>
      </c>
      <c r="V365" s="1090"/>
      <c r="W365" s="19" t="str">
        <f>OBRA!N364</f>
        <v>DOP/AD/012/2019</v>
      </c>
      <c r="X365" s="12"/>
      <c r="Y365" s="12"/>
      <c r="Z365" s="409" t="str">
        <f>OBRA!M364</f>
        <v>RAMO 33</v>
      </c>
      <c r="AA365" s="12"/>
      <c r="AB365" s="2" t="str">
        <f>OBRA!O364</f>
        <v>ADMINISTRACIÓN DIRECTA</v>
      </c>
      <c r="AC365" s="3" t="str">
        <f>OBRA!P364</f>
        <v>"REHABILITACIÓN DE RED DE DRENAJE CON REPOSICIÓN DE SUPERFICIE DE RODAMIENTO EN CALLE HIDALGO ENTRE ALDAMA Y FILOSOFOS", EN LA CABECERA MUNICIPAL DE JOCOTEPEC, JALISCO.</v>
      </c>
      <c r="AD365" s="4">
        <f>OBRA!R364</f>
        <v>886200.09</v>
      </c>
      <c r="AE365" s="6">
        <f>OBRA!S364</f>
        <v>43754</v>
      </c>
      <c r="AF365" s="5">
        <f>OBRA!T364</f>
        <v>43759</v>
      </c>
      <c r="AG365" s="390">
        <f>OBRA!U364</f>
        <v>43814</v>
      </c>
      <c r="AH365" s="52"/>
      <c r="AI365" s="211"/>
      <c r="AJ365" s="242"/>
      <c r="AK365" s="242"/>
      <c r="AL365" s="394"/>
      <c r="AM365" s="519" t="str">
        <f>GRAL!B366</f>
        <v>2018-2021</v>
      </c>
    </row>
    <row r="366" spans="1:39" ht="21.95" hidden="1" customHeight="1" thickTop="1">
      <c r="A366" s="158">
        <f>OBRA!J365</f>
        <v>2019</v>
      </c>
      <c r="B366" s="1683"/>
      <c r="C366" s="395"/>
      <c r="D366" s="146"/>
      <c r="E366" s="148"/>
      <c r="F366" s="148"/>
      <c r="G366" s="398"/>
      <c r="H366" s="404" t="str">
        <f>OBRA!AF365</f>
        <v>-</v>
      </c>
      <c r="I366" s="400"/>
      <c r="J366" s="406" t="str">
        <f>OBRA!AG365</f>
        <v>-</v>
      </c>
      <c r="K366" s="401"/>
      <c r="L366" s="404" t="str">
        <f>OBRA!AH365</f>
        <v>-</v>
      </c>
      <c r="M366" s="402"/>
      <c r="N366" s="404" t="str">
        <f>OBRA!AI365</f>
        <v>-</v>
      </c>
      <c r="O366" s="144"/>
      <c r="P366" s="144"/>
      <c r="Q366" s="403"/>
      <c r="R366" s="407" t="str">
        <f>OBRA!AJ365</f>
        <v>-</v>
      </c>
      <c r="S366" s="201"/>
      <c r="T366" s="399" t="str">
        <f>OBRA!W365</f>
        <v>N/A</v>
      </c>
      <c r="U366" s="408" t="str">
        <f>OBRA!X365</f>
        <v>ING. J. GUADALUPE IBARRA RAMIREZ</v>
      </c>
      <c r="V366" s="1090"/>
      <c r="W366" s="19" t="str">
        <f>OBRA!N365</f>
        <v>DOP/AD/013/2019</v>
      </c>
      <c r="X366" s="12"/>
      <c r="Y366" s="12"/>
      <c r="Z366" s="409" t="str">
        <f>OBRA!M365</f>
        <v>RAMO 33</v>
      </c>
      <c r="AA366" s="12"/>
      <c r="AB366" s="2" t="str">
        <f>OBRA!O365</f>
        <v>ADMINISTRACIÓN DIRECTA</v>
      </c>
      <c r="AC366" s="3" t="str">
        <f>OBRA!P365</f>
        <v>"REHABILITACIÓN DE TOMAS DOMICILIARIAS CON REPOSICIÓN DE SUPERFICIE DE RODAMIENTO EN CALLE LA PAZ ENTRE CALLES ITURBIDE E INDEPENDENCIA" EN LA LOCALIDAD DE SAN JUAN CÓSALA, DEL MUNICIPIO DE JOCOTEPEC, JALISCO.</v>
      </c>
      <c r="AD366" s="4">
        <f>OBRA!R365</f>
        <v>316991.96999999997</v>
      </c>
      <c r="AE366" s="6">
        <f>OBRA!S365</f>
        <v>43773</v>
      </c>
      <c r="AF366" s="5">
        <f>OBRA!T365</f>
        <v>43775</v>
      </c>
      <c r="AG366" s="390">
        <f>OBRA!U365</f>
        <v>43798</v>
      </c>
      <c r="AH366" s="52"/>
      <c r="AI366" s="211"/>
      <c r="AJ366" s="242"/>
      <c r="AK366" s="242"/>
      <c r="AL366" s="394"/>
      <c r="AM366" s="519" t="str">
        <f>GRAL!B367</f>
        <v>2018-2021</v>
      </c>
    </row>
    <row r="367" spans="1:39" ht="21.95" hidden="1" customHeight="1" thickTop="1">
      <c r="A367" s="158">
        <f>OBRA!J366</f>
        <v>2019</v>
      </c>
      <c r="B367" s="1683"/>
      <c r="C367" s="395"/>
      <c r="D367" s="146"/>
      <c r="E367" s="148"/>
      <c r="F367" s="148"/>
      <c r="G367" s="398"/>
      <c r="H367" s="404" t="str">
        <f>OBRA!AF366</f>
        <v>-</v>
      </c>
      <c r="I367" s="400"/>
      <c r="J367" s="406" t="str">
        <f>OBRA!AG366</f>
        <v>-</v>
      </c>
      <c r="K367" s="401"/>
      <c r="L367" s="404" t="str">
        <f>OBRA!AH366</f>
        <v>-</v>
      </c>
      <c r="M367" s="402"/>
      <c r="N367" s="404" t="str">
        <f>OBRA!AI366</f>
        <v>-</v>
      </c>
      <c r="O367" s="144"/>
      <c r="P367" s="144"/>
      <c r="Q367" s="403"/>
      <c r="R367" s="407" t="str">
        <f>OBRA!AJ366</f>
        <v>-</v>
      </c>
      <c r="S367" s="201"/>
      <c r="T367" s="399" t="str">
        <f>OBRA!W366</f>
        <v>N/A</v>
      </c>
      <c r="U367" s="408" t="str">
        <f>OBRA!X366</f>
        <v>ING. J. GUADALUPE IBARRA RAMIREZ</v>
      </c>
      <c r="V367" s="1090"/>
      <c r="W367" s="19" t="str">
        <f>OBRA!N366</f>
        <v>DOP/AD/014/2019</v>
      </c>
      <c r="X367" s="12"/>
      <c r="Y367" s="12"/>
      <c r="Z367" s="409" t="str">
        <f>OBRA!M366</f>
        <v>RAMO 33</v>
      </c>
      <c r="AA367" s="12"/>
      <c r="AB367" s="2" t="str">
        <f>OBRA!O366</f>
        <v>ADMINISTRACIÓN DIRECTA</v>
      </c>
      <c r="AC367" s="3" t="str">
        <f>OBRA!P366</f>
        <v>"REHABILITACIÓN DE DESCARGAS DOMICILIARIAS DE DRENAJE SANITARIO CON REPOSICIÓN DE SUPERFICIE DE RODAMIENTO EN CALLE LA PAZ ENTRE CALLES ITURBIDE E INDEPENDENCIA", EN LA LOCALIDAD DE SAN JUAN CÓSALA, DEL MUNICIPIO DE JOCOTEPEC, JALISCO.</v>
      </c>
      <c r="AD367" s="4">
        <f>OBRA!R366</f>
        <v>387742.07</v>
      </c>
      <c r="AE367" s="6">
        <f>OBRA!S366</f>
        <v>43773</v>
      </c>
      <c r="AF367" s="5">
        <f>OBRA!T366</f>
        <v>43775</v>
      </c>
      <c r="AG367" s="390">
        <f>OBRA!U366</f>
        <v>43798</v>
      </c>
      <c r="AH367" s="52"/>
      <c r="AI367" s="211"/>
      <c r="AJ367" s="242"/>
      <c r="AK367" s="242"/>
      <c r="AL367" s="394"/>
      <c r="AM367" s="519" t="str">
        <f>GRAL!B368</f>
        <v>2018-2021</v>
      </c>
    </row>
    <row r="368" spans="1:39" ht="21.95" hidden="1" customHeight="1" thickTop="1">
      <c r="A368" s="158">
        <f>OBRA!J367</f>
        <v>2019</v>
      </c>
      <c r="B368" s="1683"/>
      <c r="C368" s="395"/>
      <c r="D368" s="146"/>
      <c r="E368" s="148"/>
      <c r="F368" s="148"/>
      <c r="G368" s="398"/>
      <c r="H368" s="404" t="str">
        <f>OBRA!AF367</f>
        <v>-</v>
      </c>
      <c r="I368" s="400"/>
      <c r="J368" s="406" t="str">
        <f>OBRA!AG367</f>
        <v>-</v>
      </c>
      <c r="K368" s="401"/>
      <c r="L368" s="404" t="str">
        <f>OBRA!AH367</f>
        <v>-</v>
      </c>
      <c r="M368" s="402"/>
      <c r="N368" s="404" t="str">
        <f>OBRA!AI367</f>
        <v>-</v>
      </c>
      <c r="O368" s="144"/>
      <c r="P368" s="144"/>
      <c r="Q368" s="403"/>
      <c r="R368" s="407" t="str">
        <f>OBRA!AJ367</f>
        <v>-</v>
      </c>
      <c r="S368" s="201"/>
      <c r="T368" s="399" t="str">
        <f>OBRA!W367</f>
        <v>N/A</v>
      </c>
      <c r="U368" s="408" t="str">
        <f>OBRA!X367</f>
        <v>ING. J. GUADALUPE IBARRA RAMIREZ</v>
      </c>
      <c r="V368" s="1090"/>
      <c r="W368" s="19" t="str">
        <f>OBRA!N367</f>
        <v>DOP/AD/015/2019</v>
      </c>
      <c r="X368" s="12"/>
      <c r="Y368" s="12"/>
      <c r="Z368" s="409" t="str">
        <f>OBRA!M367</f>
        <v>RAMO 33</v>
      </c>
      <c r="AA368" s="12"/>
      <c r="AB368" s="2" t="str">
        <f>OBRA!O367</f>
        <v>ADMINISTRACIÓN DIRECTA</v>
      </c>
      <c r="AC368" s="3" t="str">
        <f>OBRA!P367</f>
        <v>"REHABILITACIÓN DE RED DE AGUA POTABLE CON REPOSICIÓN DE SUPERFICIE DE RODAMIENTO EN CALLE LA PAZ ENTRE CALLES ITURBIDE E INDEPENDENCIA", EN LA LOCALIDAD DE SAN JUAN CÓSALA, DEL MUNICIPIO DE JOCOTEPEC, JALISCO.</v>
      </c>
      <c r="AD368" s="4">
        <f>OBRA!R367</f>
        <v>758777.4</v>
      </c>
      <c r="AE368" s="6">
        <f>OBRA!S367</f>
        <v>43773</v>
      </c>
      <c r="AF368" s="5">
        <f>OBRA!T367</f>
        <v>43775</v>
      </c>
      <c r="AG368" s="390">
        <f>OBRA!U367</f>
        <v>43798</v>
      </c>
      <c r="AH368" s="52"/>
      <c r="AI368" s="211"/>
      <c r="AJ368" s="242"/>
      <c r="AK368" s="242"/>
      <c r="AL368" s="394"/>
      <c r="AM368" s="519" t="str">
        <f>GRAL!B369</f>
        <v>2018-2021</v>
      </c>
    </row>
    <row r="369" spans="1:39" ht="21.95" hidden="1" customHeight="1" thickTop="1">
      <c r="A369" s="158">
        <f>OBRA!J368</f>
        <v>2019</v>
      </c>
      <c r="B369" s="1683"/>
      <c r="C369" s="395"/>
      <c r="D369" s="146"/>
      <c r="E369" s="148"/>
      <c r="F369" s="148"/>
      <c r="G369" s="398"/>
      <c r="H369" s="404" t="str">
        <f>OBRA!AF368</f>
        <v>-</v>
      </c>
      <c r="I369" s="400"/>
      <c r="J369" s="406" t="str">
        <f>OBRA!AG368</f>
        <v>-</v>
      </c>
      <c r="K369" s="401"/>
      <c r="L369" s="404" t="str">
        <f>OBRA!AH368</f>
        <v>-</v>
      </c>
      <c r="M369" s="402"/>
      <c r="N369" s="404" t="str">
        <f>OBRA!AI368</f>
        <v>-</v>
      </c>
      <c r="O369" s="144"/>
      <c r="P369" s="144"/>
      <c r="Q369" s="403"/>
      <c r="R369" s="407" t="str">
        <f>OBRA!AJ368</f>
        <v>-</v>
      </c>
      <c r="S369" s="201"/>
      <c r="T369" s="399" t="str">
        <f>OBRA!W368</f>
        <v>-</v>
      </c>
      <c r="U369" s="408">
        <f>OBRA!X368</f>
        <v>0</v>
      </c>
      <c r="V369" s="1090"/>
      <c r="W369" s="19" t="str">
        <f>OBRA!N368</f>
        <v>DOP/AD/016/2019</v>
      </c>
      <c r="X369" s="12"/>
      <c r="Y369" s="12"/>
      <c r="Z369" s="409">
        <f>OBRA!M368</f>
        <v>0</v>
      </c>
      <c r="AA369" s="12"/>
      <c r="AB369" s="2" t="str">
        <f>OBRA!O368</f>
        <v>CANCELADA</v>
      </c>
      <c r="AC369" s="3">
        <f>OBRA!P368</f>
        <v>0</v>
      </c>
      <c r="AD369" s="4">
        <f>OBRA!R368</f>
        <v>0</v>
      </c>
      <c r="AE369" s="6">
        <f>OBRA!S368</f>
        <v>0</v>
      </c>
      <c r="AF369" s="5">
        <f>OBRA!T368</f>
        <v>0</v>
      </c>
      <c r="AG369" s="390">
        <f>OBRA!U368</f>
        <v>0</v>
      </c>
      <c r="AH369" s="52"/>
      <c r="AI369" s="211"/>
      <c r="AJ369" s="242"/>
      <c r="AK369" s="242"/>
      <c r="AL369" s="394"/>
      <c r="AM369" s="519" t="str">
        <f>GRAL!B370</f>
        <v>2018-2021</v>
      </c>
    </row>
    <row r="370" spans="1:39" ht="21.95" hidden="1" customHeight="1" thickTop="1">
      <c r="A370" s="158">
        <f>OBRA!J369</f>
        <v>2019</v>
      </c>
      <c r="B370" s="1683"/>
      <c r="C370" s="395"/>
      <c r="D370" s="146"/>
      <c r="E370" s="148"/>
      <c r="F370" s="148"/>
      <c r="G370" s="398"/>
      <c r="H370" s="404" t="str">
        <f>OBRA!AF369</f>
        <v>-</v>
      </c>
      <c r="I370" s="400"/>
      <c r="J370" s="406" t="str">
        <f>OBRA!AG369</f>
        <v>-</v>
      </c>
      <c r="K370" s="401"/>
      <c r="L370" s="404" t="str">
        <f>OBRA!AH369</f>
        <v>-</v>
      </c>
      <c r="M370" s="402"/>
      <c r="N370" s="404" t="str">
        <f>OBRA!AI369</f>
        <v>-</v>
      </c>
      <c r="O370" s="144"/>
      <c r="P370" s="144"/>
      <c r="Q370" s="403"/>
      <c r="R370" s="407" t="str">
        <f>OBRA!AJ369</f>
        <v>-</v>
      </c>
      <c r="S370" s="201"/>
      <c r="T370" s="399" t="str">
        <f>OBRA!W369</f>
        <v>N/A</v>
      </c>
      <c r="U370" s="408" t="str">
        <f>OBRA!X369</f>
        <v>ARQ. CESAR ANTONIO ALONSO JIMENEZ</v>
      </c>
      <c r="V370" s="1090"/>
      <c r="W370" s="19" t="str">
        <f>OBRA!N369</f>
        <v>DOP/AD/017/2019</v>
      </c>
      <c r="X370" s="12"/>
      <c r="Y370" s="12"/>
      <c r="Z370" s="409" t="str">
        <f>OBRA!M369</f>
        <v>P.I.D.</v>
      </c>
      <c r="AA370" s="12"/>
      <c r="AB370" s="2" t="str">
        <f>OBRA!O369</f>
        <v>ADMINISTRACIÓN DIRECTA</v>
      </c>
      <c r="AC370" s="3" t="str">
        <f>OBRA!P369</f>
        <v>"CONSTRUCCIÓN DE PUNTO INOCUO DE DESEMBARQUE EN LA CALLE 5 DE MAYO" EN LA LOCALIDAD DE SAN JUAN COSALA, DEL MUNICIPIO DE JOCOTEPEC, JALISCO.</v>
      </c>
      <c r="AD370" s="4">
        <f>OBRA!R369</f>
        <v>1248920.79</v>
      </c>
      <c r="AE370" s="6">
        <f>OBRA!S369</f>
        <v>43784</v>
      </c>
      <c r="AF370" s="5">
        <f>OBRA!T369</f>
        <v>43784</v>
      </c>
      <c r="AG370" s="390">
        <f>OBRA!U369</f>
        <v>43814</v>
      </c>
      <c r="AH370" s="52"/>
      <c r="AI370" s="211"/>
      <c r="AJ370" s="242"/>
      <c r="AK370" s="242"/>
      <c r="AL370" s="394"/>
      <c r="AM370" s="519" t="str">
        <f>GRAL!B371</f>
        <v>2018-2021</v>
      </c>
    </row>
    <row r="371" spans="1:39" ht="21.95" hidden="1" customHeight="1" thickTop="1">
      <c r="A371" s="158">
        <f>OBRA!J370</f>
        <v>2019</v>
      </c>
      <c r="B371" s="1683"/>
      <c r="C371" s="395"/>
      <c r="D371" s="146"/>
      <c r="E371" s="148"/>
      <c r="F371" s="148"/>
      <c r="G371" s="398"/>
      <c r="H371" s="404" t="str">
        <f>OBRA!AF370</f>
        <v>-</v>
      </c>
      <c r="I371" s="400"/>
      <c r="J371" s="406" t="str">
        <f>OBRA!AG370</f>
        <v>-</v>
      </c>
      <c r="K371" s="401"/>
      <c r="L371" s="404" t="str">
        <f>OBRA!AH370</f>
        <v>-</v>
      </c>
      <c r="M371" s="402"/>
      <c r="N371" s="404" t="str">
        <f>OBRA!AI370</f>
        <v>-</v>
      </c>
      <c r="O371" s="144"/>
      <c r="P371" s="144"/>
      <c r="Q371" s="403"/>
      <c r="R371" s="407" t="str">
        <f>OBRA!AJ370</f>
        <v>-</v>
      </c>
      <c r="S371" s="201"/>
      <c r="T371" s="399" t="str">
        <f>OBRA!W370</f>
        <v>N/A</v>
      </c>
      <c r="U371" s="408" t="str">
        <f>OBRA!X370</f>
        <v>ING. J. GUADALUPE IBARRA RAMIREZ</v>
      </c>
      <c r="V371" s="1090"/>
      <c r="W371" s="19" t="str">
        <f>OBRA!N370</f>
        <v>DOP/AD/018/2019</v>
      </c>
      <c r="X371" s="12"/>
      <c r="Y371" s="12"/>
      <c r="Z371" s="409" t="str">
        <f>OBRA!M370</f>
        <v>RAMO 33</v>
      </c>
      <c r="AA371" s="12"/>
      <c r="AB371" s="2" t="str">
        <f>OBRA!O370</f>
        <v>ADMINISTRACIÓN DIRECTA</v>
      </c>
      <c r="AC371" s="3" t="str">
        <f>OBRA!P370</f>
        <v>"REHABILITACIÓN DE LÍNEA DE DISTRIBUCIÓN DE 6" DE AGUA POTABLE, EN CALLE NIÑOS HÉROES DE CALLE ITURBIDE A CALLE VERANO", EN LA CABECERA MUNICIPAL DE JOCOTEPEC, JALISCO.</v>
      </c>
      <c r="AD371" s="4">
        <f>OBRA!R370</f>
        <v>125964.92</v>
      </c>
      <c r="AE371" s="6">
        <f>OBRA!S370</f>
        <v>43791</v>
      </c>
      <c r="AF371" s="5">
        <f>OBRA!T370</f>
        <v>43792</v>
      </c>
      <c r="AG371" s="390">
        <f>OBRA!U370</f>
        <v>43814</v>
      </c>
      <c r="AH371" s="52"/>
      <c r="AI371" s="211"/>
      <c r="AJ371" s="242"/>
      <c r="AK371" s="242"/>
      <c r="AL371" s="394"/>
      <c r="AM371" s="519" t="str">
        <f>GRAL!B372</f>
        <v>2018-2021</v>
      </c>
    </row>
    <row r="372" spans="1:39" ht="21.95" hidden="1" customHeight="1" thickTop="1">
      <c r="A372" s="158">
        <f>OBRA!J371</f>
        <v>2019</v>
      </c>
      <c r="B372" s="1683"/>
      <c r="C372" s="395"/>
      <c r="D372" s="146"/>
      <c r="E372" s="148"/>
      <c r="F372" s="148"/>
      <c r="G372" s="398"/>
      <c r="H372" s="404" t="str">
        <f>OBRA!AF371</f>
        <v>-</v>
      </c>
      <c r="I372" s="400"/>
      <c r="J372" s="406" t="str">
        <f>OBRA!AG371</f>
        <v>-</v>
      </c>
      <c r="K372" s="401"/>
      <c r="L372" s="404" t="str">
        <f>OBRA!AH371</f>
        <v>-</v>
      </c>
      <c r="M372" s="402"/>
      <c r="N372" s="404" t="str">
        <f>OBRA!AI371</f>
        <v>-</v>
      </c>
      <c r="O372" s="144"/>
      <c r="P372" s="144"/>
      <c r="Q372" s="403"/>
      <c r="R372" s="407" t="str">
        <f>OBRA!AJ371</f>
        <v>-</v>
      </c>
      <c r="S372" s="201"/>
      <c r="T372" s="399" t="str">
        <f>OBRA!W371</f>
        <v>-</v>
      </c>
      <c r="U372" s="408">
        <f>OBRA!X371</f>
        <v>0</v>
      </c>
      <c r="V372" s="1090"/>
      <c r="W372" s="19" t="str">
        <f>OBRA!N371</f>
        <v>DOP/AD/019/2019</v>
      </c>
      <c r="X372" s="12"/>
      <c r="Y372" s="12"/>
      <c r="Z372" s="409">
        <f>OBRA!M371</f>
        <v>0</v>
      </c>
      <c r="AA372" s="12"/>
      <c r="AB372" s="2" t="str">
        <f>OBRA!O371</f>
        <v>CANCELADA</v>
      </c>
      <c r="AC372" s="3">
        <f>OBRA!P371</f>
        <v>0</v>
      </c>
      <c r="AD372" s="4">
        <f>OBRA!R371</f>
        <v>0</v>
      </c>
      <c r="AE372" s="6">
        <f>OBRA!S371</f>
        <v>0</v>
      </c>
      <c r="AF372" s="5">
        <f>OBRA!T371</f>
        <v>0</v>
      </c>
      <c r="AG372" s="390">
        <f>OBRA!U371</f>
        <v>0</v>
      </c>
      <c r="AH372" s="52"/>
      <c r="AI372" s="211"/>
      <c r="AJ372" s="242"/>
      <c r="AK372" s="242"/>
      <c r="AL372" s="394"/>
      <c r="AM372" s="519" t="str">
        <f>GRAL!B373</f>
        <v>2018-2021</v>
      </c>
    </row>
    <row r="373" spans="1:39" ht="21.95" hidden="1" customHeight="1" thickTop="1">
      <c r="A373" s="158">
        <f>OBRA!J372</f>
        <v>2019</v>
      </c>
      <c r="B373" s="1683"/>
      <c r="C373" s="395"/>
      <c r="D373" s="146"/>
      <c r="E373" s="148"/>
      <c r="F373" s="148"/>
      <c r="G373" s="398"/>
      <c r="H373" s="404" t="str">
        <f>OBRA!AF372</f>
        <v>-</v>
      </c>
      <c r="I373" s="400"/>
      <c r="J373" s="406" t="str">
        <f>OBRA!AG372</f>
        <v>-</v>
      </c>
      <c r="K373" s="401"/>
      <c r="L373" s="404" t="str">
        <f>OBRA!AH372</f>
        <v>-</v>
      </c>
      <c r="M373" s="402"/>
      <c r="N373" s="404" t="str">
        <f>OBRA!AI372</f>
        <v>-</v>
      </c>
      <c r="O373" s="144"/>
      <c r="P373" s="144"/>
      <c r="Q373" s="403"/>
      <c r="R373" s="407" t="str">
        <f>OBRA!AJ372</f>
        <v>-</v>
      </c>
      <c r="S373" s="201"/>
      <c r="T373" s="399" t="str">
        <f>OBRA!W372</f>
        <v>N/A</v>
      </c>
      <c r="U373" s="408" t="str">
        <f>OBRA!X372</f>
        <v>ING. JUAN MANUEL GARCIA ESCOTO</v>
      </c>
      <c r="V373" s="1090"/>
      <c r="W373" s="19" t="str">
        <f>OBRA!N372</f>
        <v>DOP/AD/020/2019</v>
      </c>
      <c r="X373" s="12"/>
      <c r="Y373" s="12"/>
      <c r="Z373" s="409" t="str">
        <f>OBRA!M372</f>
        <v>RAMO 33</v>
      </c>
      <c r="AA373" s="12"/>
      <c r="AB373" s="2" t="str">
        <f>OBRA!O372</f>
        <v>ADMINISTRACIÓN DIRECTA</v>
      </c>
      <c r="AC373" s="3" t="str">
        <f>OBRA!P372</f>
        <v>"REPOSICIÓN DE TOMAS DOMICILIARIAS DE AGUA POTABLE EN CALLE VERANO ENTRE CALLES NIÑOS HÉROES Y LÓPEZ RAYÓN EN LA CABECERA MUNICIPAL DE JOCOTEPEC, JALISCO.</v>
      </c>
      <c r="AD373" s="4">
        <f>OBRA!R372</f>
        <v>24608.01</v>
      </c>
      <c r="AE373" s="6">
        <f>OBRA!S372</f>
        <v>43791</v>
      </c>
      <c r="AF373" s="5">
        <f>OBRA!T372</f>
        <v>43792</v>
      </c>
      <c r="AG373" s="390">
        <f>OBRA!U372</f>
        <v>43814</v>
      </c>
      <c r="AH373" s="52"/>
      <c r="AI373" s="211"/>
      <c r="AJ373" s="242"/>
      <c r="AK373" s="242"/>
      <c r="AL373" s="394"/>
      <c r="AM373" s="519" t="str">
        <f>GRAL!B374</f>
        <v>2018-2021</v>
      </c>
    </row>
    <row r="374" spans="1:39" ht="21.95" hidden="1" customHeight="1" thickTop="1">
      <c r="A374" s="158">
        <f>OBRA!J373</f>
        <v>2019</v>
      </c>
      <c r="B374" s="1683"/>
      <c r="C374" s="395"/>
      <c r="D374" s="146"/>
      <c r="E374" s="148"/>
      <c r="F374" s="148"/>
      <c r="G374" s="398"/>
      <c r="H374" s="404" t="str">
        <f>OBRA!AF373</f>
        <v>-</v>
      </c>
      <c r="I374" s="400"/>
      <c r="J374" s="406" t="str">
        <f>OBRA!AG373</f>
        <v>-</v>
      </c>
      <c r="K374" s="401"/>
      <c r="L374" s="404" t="str">
        <f>OBRA!AH373</f>
        <v>-</v>
      </c>
      <c r="M374" s="402"/>
      <c r="N374" s="404" t="str">
        <f>OBRA!AI373</f>
        <v>-</v>
      </c>
      <c r="O374" s="144"/>
      <c r="P374" s="144"/>
      <c r="Q374" s="403"/>
      <c r="R374" s="407" t="str">
        <f>OBRA!AJ373</f>
        <v>-</v>
      </c>
      <c r="S374" s="201"/>
      <c r="T374" s="399" t="str">
        <f>OBRA!W373</f>
        <v>N/A</v>
      </c>
      <c r="U374" s="408">
        <f>OBRA!X373</f>
        <v>0</v>
      </c>
      <c r="V374" s="1090"/>
      <c r="W374" s="19" t="str">
        <f>OBRA!N373</f>
        <v>DOP/AD/021/2019</v>
      </c>
      <c r="X374" s="12"/>
      <c r="Y374" s="12"/>
      <c r="Z374" s="409" t="str">
        <f>OBRA!M373</f>
        <v>P.I.D.</v>
      </c>
      <c r="AA374" s="12"/>
      <c r="AB374" s="2" t="str">
        <f>OBRA!O373</f>
        <v>CANCELADA</v>
      </c>
      <c r="AC374" s="3" t="str">
        <f>OBRA!P373</f>
        <v>"CONSTRUCCIÓN DE PUNTO INOCUO DE DESEMBARQUE EN LA CALLE MORELOS" EN EL ÁREA DE DONACIÓN DEL FRACCIONAMIENTO "JARDINES DE JOCOTEPEC" EN LA CABECERA MUNICIPAL DE JOCOTEPEC, JALISCO.</v>
      </c>
      <c r="AD374" s="4">
        <f>OBRA!R373</f>
        <v>1302585.8500000001</v>
      </c>
      <c r="AE374" s="6">
        <f>OBRA!S373</f>
        <v>0</v>
      </c>
      <c r="AF374" s="5">
        <f>OBRA!T373</f>
        <v>0</v>
      </c>
      <c r="AG374" s="390">
        <f>OBRA!U373</f>
        <v>0</v>
      </c>
      <c r="AH374" s="52"/>
      <c r="AI374" s="211"/>
      <c r="AJ374" s="242"/>
      <c r="AK374" s="242"/>
      <c r="AL374" s="394"/>
      <c r="AM374" s="519" t="str">
        <f>GRAL!B375</f>
        <v>2018-2021</v>
      </c>
    </row>
    <row r="375" spans="1:39" ht="21.95" hidden="1" customHeight="1" thickTop="1">
      <c r="A375" s="158">
        <f>OBRA!J374</f>
        <v>2019</v>
      </c>
      <c r="B375" s="1683"/>
      <c r="C375" s="395"/>
      <c r="D375" s="146"/>
      <c r="E375" s="148"/>
      <c r="F375" s="148"/>
      <c r="G375" s="398"/>
      <c r="H375" s="404" t="str">
        <f>OBRA!AF374</f>
        <v>-</v>
      </c>
      <c r="I375" s="400"/>
      <c r="J375" s="406" t="str">
        <f>OBRA!AG374</f>
        <v>-</v>
      </c>
      <c r="K375" s="401"/>
      <c r="L375" s="404" t="str">
        <f>OBRA!AH374</f>
        <v>-</v>
      </c>
      <c r="M375" s="402"/>
      <c r="N375" s="404" t="str">
        <f>OBRA!AI374</f>
        <v>-</v>
      </c>
      <c r="O375" s="144"/>
      <c r="P375" s="144"/>
      <c r="Q375" s="403"/>
      <c r="R375" s="407" t="str">
        <f>OBRA!AJ374</f>
        <v>-</v>
      </c>
      <c r="S375" s="201"/>
      <c r="T375" s="399" t="str">
        <f>OBRA!W374</f>
        <v>N/A</v>
      </c>
      <c r="U375" s="408" t="str">
        <f>OBRA!X374</f>
        <v>ING. J. GUADALUPE IBARRA RAMIREZ</v>
      </c>
      <c r="V375" s="1090"/>
      <c r="W375" s="19" t="str">
        <f>OBRA!N374</f>
        <v>DOP/AD/022/2019</v>
      </c>
      <c r="X375" s="12"/>
      <c r="Y375" s="12"/>
      <c r="Z375" s="409" t="str">
        <f>OBRA!M374</f>
        <v>RAMO 33</v>
      </c>
      <c r="AA375" s="12"/>
      <c r="AB375" s="2" t="str">
        <f>OBRA!O374</f>
        <v>ADMINISTRACIÓN DIRECTA</v>
      </c>
      <c r="AC375" s="3" t="str">
        <f>OBRA!P374</f>
        <v>REHABILITACIÓN DE RED DE DRENAJE SANITARIO EN CALLE LA PAZ ENTRE TACUBA Y VICENTE GUERRERO", EN LA LOCALIDAD DE SAN JUAN CÓSALA, DEL MUNICIPIO DE JOCOTEPEC, JALISCO.</v>
      </c>
      <c r="AD375" s="4">
        <f>OBRA!R374</f>
        <v>232200.43</v>
      </c>
      <c r="AE375" s="6">
        <f>OBRA!S374</f>
        <v>43819</v>
      </c>
      <c r="AF375" s="5">
        <f>OBRA!T374</f>
        <v>43819</v>
      </c>
      <c r="AG375" s="390">
        <f>OBRA!U374</f>
        <v>43830</v>
      </c>
      <c r="AH375" s="52"/>
      <c r="AI375" s="211"/>
      <c r="AJ375" s="242"/>
      <c r="AK375" s="242"/>
      <c r="AL375" s="394"/>
      <c r="AM375" s="519" t="str">
        <f>GRAL!B376</f>
        <v>2018-2021</v>
      </c>
    </row>
    <row r="376" spans="1:39" ht="21.95" hidden="1" customHeight="1" thickTop="1">
      <c r="A376" s="158">
        <f>OBRA!J375</f>
        <v>2019</v>
      </c>
      <c r="B376" s="1683"/>
      <c r="C376" s="395"/>
      <c r="D376" s="146"/>
      <c r="E376" s="148"/>
      <c r="F376" s="148"/>
      <c r="G376" s="398"/>
      <c r="H376" s="404" t="str">
        <f>OBRA!AF375</f>
        <v>-</v>
      </c>
      <c r="I376" s="400"/>
      <c r="J376" s="406" t="str">
        <f>OBRA!AG375</f>
        <v>-</v>
      </c>
      <c r="K376" s="401"/>
      <c r="L376" s="404" t="str">
        <f>OBRA!AH375</f>
        <v>-</v>
      </c>
      <c r="M376" s="402"/>
      <c r="N376" s="404" t="str">
        <f>OBRA!AI375</f>
        <v>-</v>
      </c>
      <c r="O376" s="144"/>
      <c r="P376" s="144"/>
      <c r="Q376" s="403"/>
      <c r="R376" s="407" t="str">
        <f>OBRA!AJ375</f>
        <v>-</v>
      </c>
      <c r="S376" s="201"/>
      <c r="T376" s="399" t="str">
        <f>OBRA!W375</f>
        <v>N/A</v>
      </c>
      <c r="U376" s="408">
        <f>OBRA!X375</f>
        <v>0</v>
      </c>
      <c r="V376" s="1090"/>
      <c r="W376" s="19" t="str">
        <f>OBRA!N375</f>
        <v>DOP/AD/023/2019</v>
      </c>
      <c r="X376" s="12"/>
      <c r="Y376" s="12"/>
      <c r="Z376" s="409">
        <f>OBRA!M375</f>
        <v>0</v>
      </c>
      <c r="AA376" s="12"/>
      <c r="AB376" s="2" t="str">
        <f>OBRA!O375</f>
        <v>CANCELADA</v>
      </c>
      <c r="AC376" s="3">
        <f>OBRA!P375</f>
        <v>0</v>
      </c>
      <c r="AD376" s="4">
        <f>OBRA!R375</f>
        <v>0</v>
      </c>
      <c r="AE376" s="6">
        <f>OBRA!S375</f>
        <v>0</v>
      </c>
      <c r="AF376" s="5">
        <f>OBRA!T375</f>
        <v>0</v>
      </c>
      <c r="AG376" s="390">
        <f>OBRA!U375</f>
        <v>0</v>
      </c>
      <c r="AH376" s="52"/>
      <c r="AI376" s="211"/>
      <c r="AJ376" s="242"/>
      <c r="AK376" s="242"/>
      <c r="AL376" s="394"/>
      <c r="AM376" s="519" t="str">
        <f>GRAL!B377</f>
        <v>2018-2021</v>
      </c>
    </row>
    <row r="377" spans="1:39" ht="21.95" hidden="1" customHeight="1" thickTop="1">
      <c r="A377" s="158">
        <f>OBRA!J376</f>
        <v>2019</v>
      </c>
      <c r="B377" s="1683"/>
      <c r="C377" s="395"/>
      <c r="D377" s="146"/>
      <c r="E377" s="148"/>
      <c r="F377" s="148"/>
      <c r="G377" s="398"/>
      <c r="H377" s="404" t="str">
        <f>OBRA!AF376</f>
        <v>-</v>
      </c>
      <c r="I377" s="400"/>
      <c r="J377" s="406" t="str">
        <f>OBRA!AG376</f>
        <v>-</v>
      </c>
      <c r="K377" s="401"/>
      <c r="L377" s="404" t="str">
        <f>OBRA!AH376</f>
        <v>-</v>
      </c>
      <c r="M377" s="402"/>
      <c r="N377" s="404" t="str">
        <f>OBRA!AI376</f>
        <v>-</v>
      </c>
      <c r="O377" s="144"/>
      <c r="P377" s="144"/>
      <c r="Q377" s="403"/>
      <c r="R377" s="407" t="str">
        <f>OBRA!AJ376</f>
        <v>-</v>
      </c>
      <c r="S377" s="201"/>
      <c r="T377" s="399" t="str">
        <f>OBRA!W376</f>
        <v>N/A</v>
      </c>
      <c r="U377" s="408" t="str">
        <f>OBRA!X376</f>
        <v>LIC. SALVADOR CONTRERAS OLGUÍN</v>
      </c>
      <c r="V377" s="1090"/>
      <c r="W377" s="19" t="str">
        <f>OBRA!N376</f>
        <v>DOP/AD/024/2019</v>
      </c>
      <c r="X377" s="12"/>
      <c r="Y377" s="12"/>
      <c r="Z377" s="409" t="str">
        <f>OBRA!M376</f>
        <v>RAMO 33</v>
      </c>
      <c r="AA377" s="12"/>
      <c r="AB377" s="2" t="str">
        <f>OBRA!O376</f>
        <v>ADMINISTRACIÓN DIRECTA</v>
      </c>
      <c r="AC377" s="3" t="str">
        <f>OBRA!P376</f>
        <v>"CONSTRUCCIÓN DE BANQUETAS 2DA. ETAPA EN LA CALLE MORELOS", EN LA LOCALIDAD DE CHANTEPEC, DEL MUNICIPIO DE JOCOTEPEC, JALISCO.</v>
      </c>
      <c r="AD377" s="4">
        <f>OBRA!R376</f>
        <v>11470</v>
      </c>
      <c r="AE377" s="6">
        <f>OBRA!S376</f>
        <v>43801</v>
      </c>
      <c r="AF377" s="5">
        <f>OBRA!T376</f>
        <v>43825</v>
      </c>
      <c r="AG377" s="390">
        <f>OBRA!U376</f>
        <v>43830</v>
      </c>
      <c r="AH377" s="52"/>
      <c r="AI377" s="211"/>
      <c r="AJ377" s="242"/>
      <c r="AK377" s="242"/>
      <c r="AL377" s="394"/>
      <c r="AM377" s="519" t="str">
        <f>GRAL!B378</f>
        <v>2018-2021</v>
      </c>
    </row>
    <row r="378" spans="1:39" ht="21.95" hidden="1" customHeight="1" thickTop="1">
      <c r="A378" s="158">
        <f>OBRA!J377</f>
        <v>2019</v>
      </c>
      <c r="B378" s="1683"/>
      <c r="C378" s="395"/>
      <c r="D378" s="146"/>
      <c r="E378" s="148"/>
      <c r="F378" s="148"/>
      <c r="G378" s="398"/>
      <c r="H378" s="404" t="str">
        <f>OBRA!AF377</f>
        <v>-</v>
      </c>
      <c r="I378" s="400"/>
      <c r="J378" s="406" t="str">
        <f>OBRA!AG377</f>
        <v>-</v>
      </c>
      <c r="K378" s="401"/>
      <c r="L378" s="404" t="str">
        <f>OBRA!AH377</f>
        <v>-</v>
      </c>
      <c r="M378" s="402"/>
      <c r="N378" s="404" t="str">
        <f>OBRA!AI377</f>
        <v>-</v>
      </c>
      <c r="O378" s="144"/>
      <c r="P378" s="144"/>
      <c r="Q378" s="403"/>
      <c r="R378" s="407" t="str">
        <f>OBRA!AJ377</f>
        <v>-</v>
      </c>
      <c r="S378" s="201"/>
      <c r="T378" s="399" t="str">
        <f>OBRA!W377</f>
        <v>-</v>
      </c>
      <c r="U378" s="408">
        <f>OBRA!X377</f>
        <v>0</v>
      </c>
      <c r="V378" s="1090"/>
      <c r="W378" s="19" t="str">
        <f>OBRA!N377</f>
        <v>DOP/AD/025/2019</v>
      </c>
      <c r="X378" s="12"/>
      <c r="Y378" s="12"/>
      <c r="Z378" s="409">
        <f>OBRA!M377</f>
        <v>0</v>
      </c>
      <c r="AA378" s="12"/>
      <c r="AB378" s="2" t="str">
        <f>OBRA!O377</f>
        <v>CANCELADA</v>
      </c>
      <c r="AC378" s="3">
        <f>OBRA!P377</f>
        <v>0</v>
      </c>
      <c r="AD378" s="4">
        <f>OBRA!R377</f>
        <v>0</v>
      </c>
      <c r="AE378" s="6">
        <f>OBRA!S377</f>
        <v>0</v>
      </c>
      <c r="AF378" s="5">
        <f>OBRA!T377</f>
        <v>0</v>
      </c>
      <c r="AG378" s="390">
        <f>OBRA!U377</f>
        <v>0</v>
      </c>
      <c r="AH378" s="52"/>
      <c r="AI378" s="211"/>
      <c r="AJ378" s="242"/>
      <c r="AK378" s="242"/>
      <c r="AL378" s="394"/>
      <c r="AM378" s="519" t="str">
        <f>GRAL!B379</f>
        <v>2018-2021</v>
      </c>
    </row>
    <row r="379" spans="1:39" ht="21.95" hidden="1" customHeight="1" thickTop="1">
      <c r="A379" s="158">
        <f>OBRA!J378</f>
        <v>2019</v>
      </c>
      <c r="B379" s="1683"/>
      <c r="C379" s="395"/>
      <c r="D379" s="146"/>
      <c r="E379" s="148"/>
      <c r="F379" s="148"/>
      <c r="G379" s="398"/>
      <c r="H379" s="404" t="str">
        <f>OBRA!AF378</f>
        <v>-</v>
      </c>
      <c r="I379" s="400"/>
      <c r="J379" s="406" t="str">
        <f>OBRA!AG378</f>
        <v>-</v>
      </c>
      <c r="K379" s="401"/>
      <c r="L379" s="404" t="str">
        <f>OBRA!AH378</f>
        <v>-</v>
      </c>
      <c r="M379" s="402"/>
      <c r="N379" s="404" t="str">
        <f>OBRA!AI378</f>
        <v>-</v>
      </c>
      <c r="O379" s="144"/>
      <c r="P379" s="144"/>
      <c r="Q379" s="403"/>
      <c r="R379" s="407" t="str">
        <f>OBRA!AJ378</f>
        <v>-</v>
      </c>
      <c r="S379" s="201"/>
      <c r="T379" s="399" t="str">
        <f>OBRA!W378</f>
        <v>BIOESTERES DE MÉXICO S.A. DE C.V.</v>
      </c>
      <c r="U379" s="408" t="str">
        <f>OBRA!X378</f>
        <v>ARQ. JAIME CONDE GOMEZ</v>
      </c>
      <c r="V379" s="1090"/>
      <c r="W379" s="19" t="str">
        <f>OBRA!N378</f>
        <v>RASTRO DIGNO 2019</v>
      </c>
      <c r="X379" s="12"/>
      <c r="Y379" s="12"/>
      <c r="Z379" s="409" t="str">
        <f>OBRA!M378</f>
        <v>RASTRO DIGNO / CTA-CTE</v>
      </c>
      <c r="AA379" s="12"/>
      <c r="AB379" s="2" t="str">
        <f>OBRA!O378</f>
        <v>ADQUISICIÓN</v>
      </c>
      <c r="AC379" s="3" t="str">
        <f>OBRA!P378</f>
        <v>ADQUISICIÓN DE: "UN REACTOR ANAEROBIO UASB-IC, PARA EL SISTEMA DE AGUAS RESIDUALES DEL RASTRO MUNICIPAL" DE LA CABECERA MUNICIPAL DE JOCOTEPEC, JALISCO.</v>
      </c>
      <c r="AD379" s="4">
        <f>OBRA!R378</f>
        <v>1688681.79</v>
      </c>
      <c r="AE379" s="6">
        <f>OBRA!S378</f>
        <v>43776</v>
      </c>
      <c r="AF379" s="5">
        <f>OBRA!T378</f>
        <v>43783</v>
      </c>
      <c r="AG379" s="390">
        <f>OBRA!U378</f>
        <v>43814</v>
      </c>
      <c r="AH379" s="52"/>
      <c r="AI379" s="211"/>
      <c r="AJ379" s="242"/>
      <c r="AK379" s="242"/>
      <c r="AL379" s="394"/>
      <c r="AM379" s="519" t="str">
        <f>GRAL!B380</f>
        <v>2018-2021</v>
      </c>
    </row>
    <row r="380" spans="1:39" ht="21.95" hidden="1" customHeight="1" thickTop="1">
      <c r="A380" s="158">
        <f>OBRA!J379</f>
        <v>2019</v>
      </c>
      <c r="B380" s="1683"/>
      <c r="C380" s="395"/>
      <c r="D380" s="146"/>
      <c r="E380" s="148"/>
      <c r="F380" s="148"/>
      <c r="G380" s="398"/>
      <c r="H380" s="404" t="str">
        <f>OBRA!AF379</f>
        <v>-</v>
      </c>
      <c r="I380" s="400"/>
      <c r="J380" s="406" t="str">
        <f>OBRA!AG379</f>
        <v>-</v>
      </c>
      <c r="K380" s="401"/>
      <c r="L380" s="404" t="str">
        <f>OBRA!AH379</f>
        <v>-</v>
      </c>
      <c r="M380" s="402"/>
      <c r="N380" s="404" t="str">
        <f>OBRA!AI379</f>
        <v>-</v>
      </c>
      <c r="O380" s="144"/>
      <c r="P380" s="144"/>
      <c r="Q380" s="403"/>
      <c r="R380" s="407" t="str">
        <f>OBRA!AJ379</f>
        <v>-</v>
      </c>
      <c r="S380" s="201"/>
      <c r="T380" s="399" t="str">
        <f>OBRA!W379</f>
        <v>C. JESÚS RAMÍREZ JIMÉNEZ</v>
      </c>
      <c r="U380" s="408" t="str">
        <f>OBRA!X379</f>
        <v>LIC. SALVADOR CONTRERAS OLGUÍN</v>
      </c>
      <c r="V380" s="1090"/>
      <c r="W380" s="19" t="str">
        <f>OBRA!N379</f>
        <v>PID/2019 - NEXTIPAC</v>
      </c>
      <c r="X380" s="12"/>
      <c r="Y380" s="12"/>
      <c r="Z380" s="409" t="str">
        <f>OBRA!M379</f>
        <v>P.I.D.</v>
      </c>
      <c r="AA380" s="12"/>
      <c r="AB380" s="2" t="str">
        <f>OBRA!O379</f>
        <v>ADQUISICIÓN</v>
      </c>
      <c r="AC380" s="3" t="str">
        <f>OBRA!P379</f>
        <v>ADQUISICIÓN DE: UN MUELLE FLOTANTE Y ESTACIÓN DE RECICLADO, PARA LA LOCALIDAD DE NEXTIPAC.</v>
      </c>
      <c r="AD380" s="4">
        <f>OBRA!R379</f>
        <v>256520.08</v>
      </c>
      <c r="AE380" s="6">
        <f>OBRA!S379</f>
        <v>43759</v>
      </c>
      <c r="AF380" s="5" t="str">
        <f>OBRA!T379</f>
        <v>-</v>
      </c>
      <c r="AG380" s="390" t="str">
        <f>OBRA!U379</f>
        <v>-</v>
      </c>
      <c r="AH380" s="52"/>
      <c r="AI380" s="211"/>
      <c r="AJ380" s="242"/>
      <c r="AK380" s="242"/>
      <c r="AL380" s="394"/>
      <c r="AM380" s="519" t="str">
        <f>GRAL!B381</f>
        <v>2018-2021</v>
      </c>
    </row>
    <row r="381" spans="1:39" ht="21.95" hidden="1" customHeight="1" thickTop="1">
      <c r="A381" s="158">
        <f>OBRA!J380</f>
        <v>2019</v>
      </c>
      <c r="B381" s="1683"/>
      <c r="C381" s="395"/>
      <c r="D381" s="146"/>
      <c r="E381" s="148"/>
      <c r="F381" s="148"/>
      <c r="G381" s="398"/>
      <c r="H381" s="404" t="str">
        <f>OBRA!AF380</f>
        <v>-</v>
      </c>
      <c r="I381" s="400"/>
      <c r="J381" s="406" t="str">
        <f>OBRA!AG380</f>
        <v>-</v>
      </c>
      <c r="K381" s="401"/>
      <c r="L381" s="404" t="str">
        <f>OBRA!AH380</f>
        <v>-</v>
      </c>
      <c r="M381" s="402"/>
      <c r="N381" s="404" t="str">
        <f>OBRA!AI380</f>
        <v>-</v>
      </c>
      <c r="O381" s="144"/>
      <c r="P381" s="144"/>
      <c r="Q381" s="403"/>
      <c r="R381" s="407" t="str">
        <f>OBRA!AJ380</f>
        <v>-</v>
      </c>
      <c r="S381" s="201"/>
      <c r="T381" s="399" t="str">
        <f>OBRA!W380</f>
        <v>C. JESÚS RAMÍREZ JIMÉNEZ</v>
      </c>
      <c r="U381" s="408" t="str">
        <f>OBRA!X380</f>
        <v>ARQ. CESAR ANTONIO ALONSO JIMENEZ</v>
      </c>
      <c r="V381" s="1090"/>
      <c r="W381" s="19" t="str">
        <f>OBRA!N380</f>
        <v>PID/2019 - SJC</v>
      </c>
      <c r="X381" s="12"/>
      <c r="Y381" s="12"/>
      <c r="Z381" s="409" t="str">
        <f>OBRA!M380</f>
        <v>P.I.D.</v>
      </c>
      <c r="AA381" s="12"/>
      <c r="AB381" s="2" t="str">
        <f>OBRA!O380</f>
        <v>ADQUISICIÓN</v>
      </c>
      <c r="AC381" s="3" t="str">
        <f>OBRA!P380</f>
        <v>ADQUISICIÓN DE: UN MUELLE FLOTANTE Y ESTACIÓN DE RECICLADO, PARA LA LOCALIDAD DE SAN JUAN CÓSALA.</v>
      </c>
      <c r="AD381" s="4">
        <f>OBRA!R380</f>
        <v>256520.08</v>
      </c>
      <c r="AE381" s="6">
        <f>OBRA!S380</f>
        <v>43759</v>
      </c>
      <c r="AF381" s="5" t="str">
        <f>OBRA!T380</f>
        <v>-</v>
      </c>
      <c r="AG381" s="390" t="str">
        <f>OBRA!U380</f>
        <v>-</v>
      </c>
      <c r="AH381" s="52"/>
      <c r="AI381" s="211"/>
      <c r="AJ381" s="242"/>
      <c r="AK381" s="242"/>
      <c r="AL381" s="394"/>
      <c r="AM381" s="519" t="str">
        <f>GRAL!B382</f>
        <v>2018-2021</v>
      </c>
    </row>
    <row r="382" spans="1:39" ht="21.95" hidden="1" customHeight="1" thickTop="1">
      <c r="A382" s="158">
        <f>OBRA!J381</f>
        <v>2019</v>
      </c>
      <c r="B382" s="1683"/>
      <c r="C382" s="395"/>
      <c r="D382" s="146"/>
      <c r="E382" s="148"/>
      <c r="F382" s="148"/>
      <c r="G382" s="398"/>
      <c r="H382" s="404" t="str">
        <f>OBRA!AF381</f>
        <v>-</v>
      </c>
      <c r="I382" s="400"/>
      <c r="J382" s="406" t="str">
        <f>OBRA!AG381</f>
        <v>-</v>
      </c>
      <c r="K382" s="401"/>
      <c r="L382" s="404" t="str">
        <f>OBRA!AH381</f>
        <v>-</v>
      </c>
      <c r="M382" s="402"/>
      <c r="N382" s="404" t="str">
        <f>OBRA!AI381</f>
        <v>-</v>
      </c>
      <c r="O382" s="144"/>
      <c r="P382" s="144"/>
      <c r="Q382" s="403"/>
      <c r="R382" s="407" t="str">
        <f>OBRA!AJ381</f>
        <v>-</v>
      </c>
      <c r="S382" s="201"/>
      <c r="T382" s="399" t="str">
        <f>OBRA!W381</f>
        <v>C. VICENTE NAVARRO RUIZ</v>
      </c>
      <c r="U382" s="408" t="str">
        <f>OBRA!X381</f>
        <v>-</v>
      </c>
      <c r="V382" s="1090"/>
      <c r="W382" s="19" t="str">
        <f>OBRA!N381</f>
        <v>CTA-CTE/2019</v>
      </c>
      <c r="X382" s="12"/>
      <c r="Y382" s="12"/>
      <c r="Z382" s="409" t="str">
        <f>OBRA!M381</f>
        <v>CUENTA CORRIENTE</v>
      </c>
      <c r="AA382" s="12"/>
      <c r="AB382" s="2" t="str">
        <f>OBRA!O381</f>
        <v>ARRENDAMIENTO</v>
      </c>
      <c r="AC382" s="3" t="str">
        <f>OBRA!P381</f>
        <v>ARRENTAMIENTO DEL: INMUEBLE UBICADO EN CALLE HIDALGO Nº 12, EN LA LOCALIDAD DEL MOLINO, PERTENECIENTE AL MUNICIPIO DE JOCOTEPEC, JALISCO.</v>
      </c>
      <c r="AD382" s="4">
        <f>OBRA!R381</f>
        <v>4800</v>
      </c>
      <c r="AE382" s="6">
        <f>OBRA!S381</f>
        <v>43699</v>
      </c>
      <c r="AF382" s="5">
        <f>OBRA!T381</f>
        <v>43699</v>
      </c>
      <c r="AG382" s="390">
        <f>OBRA!U381</f>
        <v>43821</v>
      </c>
      <c r="AH382" s="52"/>
      <c r="AI382" s="211"/>
      <c r="AJ382" s="242"/>
      <c r="AK382" s="242"/>
      <c r="AL382" s="394"/>
      <c r="AM382" s="519" t="str">
        <f>GRAL!B383</f>
        <v>2018-2021</v>
      </c>
    </row>
    <row r="383" spans="1:39" ht="21.95" hidden="1" customHeight="1" thickTop="1">
      <c r="A383" s="158">
        <f>OBRA!J382</f>
        <v>2019</v>
      </c>
      <c r="B383" s="1683"/>
      <c r="C383" s="395"/>
      <c r="D383" s="146"/>
      <c r="E383" s="148"/>
      <c r="F383" s="148"/>
      <c r="G383" s="398"/>
      <c r="H383" s="404" t="str">
        <f>OBRA!AF382</f>
        <v>-</v>
      </c>
      <c r="I383" s="400"/>
      <c r="J383" s="406" t="str">
        <f>OBRA!AG382</f>
        <v>-</v>
      </c>
      <c r="K383" s="401"/>
      <c r="L383" s="404" t="str">
        <f>OBRA!AH382</f>
        <v>-</v>
      </c>
      <c r="M383" s="402"/>
      <c r="N383" s="404" t="str">
        <f>OBRA!AI382</f>
        <v>-</v>
      </c>
      <c r="O383" s="144"/>
      <c r="P383" s="144"/>
      <c r="Q383" s="403"/>
      <c r="R383" s="407" t="str">
        <f>OBRA!AJ382</f>
        <v>-</v>
      </c>
      <c r="S383" s="201"/>
      <c r="T383" s="399" t="str">
        <f>OBRA!W382</f>
        <v>CONSTRUCTORA PIMONT S.A. DE C.V.</v>
      </c>
      <c r="U383" s="408" t="str">
        <f>OBRA!X382</f>
        <v>-</v>
      </c>
      <c r="V383" s="1090"/>
      <c r="W383" s="19" t="str">
        <f>OBRA!N382</f>
        <v>LEVANTAMIENTOS TOPOGRAFICOS</v>
      </c>
      <c r="X383" s="12"/>
      <c r="Y383" s="12"/>
      <c r="Z383" s="409" t="str">
        <f>OBRA!M382</f>
        <v>RAMO 33</v>
      </c>
      <c r="AA383" s="12"/>
      <c r="AB383" s="2" t="str">
        <f>OBRA!O382</f>
        <v>SERVICIOS</v>
      </c>
      <c r="AC383" s="3" t="str">
        <f>OBRA!P382</f>
        <v>CONTRATACIÓN DE LA PRESTACIÓN DE SERVICIOS PROFECIONALES para realización de levantamientos topograficos y propuestas de rasantes, en los proyectos del programa FAIS RAMO 33-Ejercicio Fiscal-2019, en las ZONAS ZAP del Municipio de Jocotepec, Jalisco.</v>
      </c>
      <c r="AD383" s="4">
        <f>OBRA!R382</f>
        <v>250096</v>
      </c>
      <c r="AE383" s="6">
        <f>OBRA!S382</f>
        <v>43637</v>
      </c>
      <c r="AF383" s="5">
        <f>OBRA!T382</f>
        <v>43640</v>
      </c>
      <c r="AG383" s="390">
        <f>OBRA!U382</f>
        <v>43830</v>
      </c>
      <c r="AH383" s="52"/>
      <c r="AI383" s="211"/>
      <c r="AJ383" s="242"/>
      <c r="AK383" s="242"/>
      <c r="AL383" s="394"/>
      <c r="AM383" s="519" t="str">
        <f>GRAL!B384</f>
        <v>2018-2021</v>
      </c>
    </row>
    <row r="384" spans="1:39" ht="21.95" hidden="1" customHeight="1" thickTop="1">
      <c r="A384" s="158">
        <f>OBRA!J383</f>
        <v>2019</v>
      </c>
      <c r="B384" s="1683"/>
      <c r="C384" s="395"/>
      <c r="D384" s="146"/>
      <c r="E384" s="148"/>
      <c r="F384" s="148"/>
      <c r="G384" s="398"/>
      <c r="H384" s="404" t="str">
        <f>OBRA!AF383</f>
        <v>-</v>
      </c>
      <c r="I384" s="400"/>
      <c r="J384" s="406" t="str">
        <f>OBRA!AG383</f>
        <v>-</v>
      </c>
      <c r="K384" s="401"/>
      <c r="L384" s="404" t="str">
        <f>OBRA!AH383</f>
        <v>-</v>
      </c>
      <c r="M384" s="402"/>
      <c r="N384" s="404" t="str">
        <f>OBRA!AI383</f>
        <v>-</v>
      </c>
      <c r="O384" s="144"/>
      <c r="P384" s="144"/>
      <c r="Q384" s="403"/>
      <c r="R384" s="407" t="str">
        <f>OBRA!AJ383</f>
        <v>-</v>
      </c>
      <c r="S384" s="201"/>
      <c r="T384" s="399" t="str">
        <f>OBRA!W383</f>
        <v>CONSTRUCTORA PIMONT S.A. DE C.V.</v>
      </c>
      <c r="U384" s="408" t="str">
        <f>OBRA!X383</f>
        <v>ING. J. GUADALUPE IBARRA RAMIREZ</v>
      </c>
      <c r="V384" s="1090"/>
      <c r="W384" s="19" t="str">
        <f>OBRA!N383</f>
        <v>GMJ 001 C-OP/2019</v>
      </c>
      <c r="X384" s="12"/>
      <c r="Y384" s="12"/>
      <c r="Z384" s="409" t="str">
        <f>OBRA!M383</f>
        <v>RAMO 33</v>
      </c>
      <c r="AA384" s="12"/>
      <c r="AB384" s="2" t="str">
        <f>OBRA!O383</f>
        <v>ADJUDICACIÓN DIRECTA</v>
      </c>
      <c r="AC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OBRA!R383</f>
        <v>731445.69</v>
      </c>
      <c r="AE384" s="6">
        <f>OBRA!S383</f>
        <v>43529</v>
      </c>
      <c r="AF384" s="5">
        <f>OBRA!T383</f>
        <v>43530</v>
      </c>
      <c r="AG384" s="390">
        <f>OBRA!U383</f>
        <v>43616</v>
      </c>
      <c r="AH384" s="52"/>
      <c r="AI384" s="211"/>
      <c r="AJ384" s="242"/>
      <c r="AK384" s="242"/>
      <c r="AL384" s="394"/>
      <c r="AM384" s="519" t="str">
        <f>GRAL!B385</f>
        <v>2018-2021</v>
      </c>
    </row>
    <row r="385" spans="1:39" ht="21.95" hidden="1" customHeight="1" thickTop="1">
      <c r="A385" s="158">
        <f>OBRA!J384</f>
        <v>2019</v>
      </c>
      <c r="B385" s="1683"/>
      <c r="C385" s="395"/>
      <c r="D385" s="146"/>
      <c r="E385" s="148"/>
      <c r="F385" s="148"/>
      <c r="G385" s="398"/>
      <c r="H385" s="404" t="str">
        <f>OBRA!AF384</f>
        <v>-</v>
      </c>
      <c r="I385" s="400"/>
      <c r="J385" s="406" t="str">
        <f>OBRA!AG384</f>
        <v>-</v>
      </c>
      <c r="K385" s="401"/>
      <c r="L385" s="404" t="str">
        <f>OBRA!AH384</f>
        <v>-</v>
      </c>
      <c r="M385" s="402"/>
      <c r="N385" s="404" t="str">
        <f>OBRA!AI384</f>
        <v>-</v>
      </c>
      <c r="O385" s="144"/>
      <c r="P385" s="144"/>
      <c r="Q385" s="403"/>
      <c r="R385" s="407" t="str">
        <f>OBRA!AJ384</f>
        <v>-</v>
      </c>
      <c r="S385" s="201"/>
      <c r="T385" s="399" t="str">
        <f>OBRA!W384</f>
        <v>CONSTRUCTORA PIMONT S.A. DE C.V.</v>
      </c>
      <c r="U385" s="408" t="str">
        <f>OBRA!X384</f>
        <v>LIC. SALVADOR CONTRERAS OLGUÍN</v>
      </c>
      <c r="V385" s="1090"/>
      <c r="W385" s="19" t="str">
        <f>OBRA!N384</f>
        <v>GMJ 002 C-OP/2019</v>
      </c>
      <c r="X385" s="12"/>
      <c r="Y385" s="12"/>
      <c r="Z385" s="409" t="str">
        <f>OBRA!M384</f>
        <v>CUENTA CORRIENTE</v>
      </c>
      <c r="AA385" s="12"/>
      <c r="AB385" s="2" t="str">
        <f>OBRA!O384</f>
        <v>ADJUDICACIÓN DIRECTA</v>
      </c>
      <c r="AC385" s="3" t="str">
        <f>OBRA!P384</f>
        <v>"CONSERVACIÓN Y MANTENIMIENTO INCLUYENTE DE BANQUETA Y ACCESO A HOSPITAL DE URGENCIAS EN LA CABECERA MUNICIPAL DE JOCOTEPEC, JALISCO"</v>
      </c>
      <c r="AD385" s="4">
        <f>OBRA!R384</f>
        <v>140710.85999999999</v>
      </c>
      <c r="AE385" s="6">
        <f>OBRA!S384</f>
        <v>43592</v>
      </c>
      <c r="AF385" s="5">
        <f>OBRA!T384</f>
        <v>43593</v>
      </c>
      <c r="AG385" s="390">
        <f>OBRA!U384</f>
        <v>43624</v>
      </c>
      <c r="AH385" s="52"/>
      <c r="AI385" s="211"/>
      <c r="AJ385" s="242"/>
      <c r="AK385" s="242"/>
      <c r="AL385" s="394"/>
      <c r="AM385" s="519" t="str">
        <f>GRAL!B386</f>
        <v>2018-2021</v>
      </c>
    </row>
    <row r="386" spans="1:39" ht="21.95" hidden="1" customHeight="1" thickTop="1">
      <c r="A386" s="158">
        <f>OBRA!J385</f>
        <v>2019</v>
      </c>
      <c r="B386" s="1683"/>
      <c r="C386" s="395"/>
      <c r="D386" s="146"/>
      <c r="E386" s="148"/>
      <c r="F386" s="148"/>
      <c r="G386" s="398"/>
      <c r="H386" s="404" t="str">
        <f>OBRA!AF385</f>
        <v>-</v>
      </c>
      <c r="I386" s="400"/>
      <c r="J386" s="406" t="str">
        <f>OBRA!AG385</f>
        <v>-</v>
      </c>
      <c r="K386" s="401"/>
      <c r="L386" s="404" t="str">
        <f>OBRA!AH385</f>
        <v>-</v>
      </c>
      <c r="M386" s="402"/>
      <c r="N386" s="404" t="str">
        <f>OBRA!AI385</f>
        <v>-</v>
      </c>
      <c r="O386" s="144"/>
      <c r="P386" s="144"/>
      <c r="Q386" s="403"/>
      <c r="R386" s="407" t="str">
        <f>OBRA!AJ385</f>
        <v>-</v>
      </c>
      <c r="S386" s="201"/>
      <c r="T386" s="399" t="str">
        <f>OBRA!W385</f>
        <v>ARQUITECTURA INGENIERÍA MENDPAD S.A. DE C.V.</v>
      </c>
      <c r="U386" s="408" t="str">
        <f>OBRA!X385</f>
        <v>LIC. SALVADOR CONTRERAS OLGUÍN</v>
      </c>
      <c r="V386" s="1090"/>
      <c r="W386" s="19" t="str">
        <f>OBRA!N385</f>
        <v>GMJ 003 C-OP/2019</v>
      </c>
      <c r="X386" s="12"/>
      <c r="Y386" s="12"/>
      <c r="Z386" s="409" t="str">
        <f>OBRA!M385</f>
        <v>RAMO 33</v>
      </c>
      <c r="AA386" s="12"/>
      <c r="AB386" s="2" t="str">
        <f>OBRA!O385</f>
        <v>CANCELADA</v>
      </c>
      <c r="AC386" s="3" t="str">
        <f>OBRA!P385</f>
        <v>"REHABILITACIÓN DE LÍNEAS HIDROSANITARIAS EN LA CALLE PRIVADA MORELOS DELEGACIÓN DE SAN JUAN COSALA MUNICIPIO DE JOCOTEPEC, JALISCO".</v>
      </c>
      <c r="AD386" s="4">
        <f>OBRA!R385</f>
        <v>400650.13</v>
      </c>
      <c r="AE386" s="6">
        <f>OBRA!S385</f>
        <v>43609</v>
      </c>
      <c r="AF386" s="5">
        <f>OBRA!T385</f>
        <v>43612</v>
      </c>
      <c r="AG386" s="390">
        <f>OBRA!U385</f>
        <v>43629</v>
      </c>
      <c r="AH386" s="52"/>
      <c r="AI386" s="211"/>
      <c r="AJ386" s="242"/>
      <c r="AK386" s="242"/>
      <c r="AL386" s="394"/>
      <c r="AM386" s="519" t="str">
        <f>GRAL!B387</f>
        <v>2018-2021</v>
      </c>
    </row>
    <row r="387" spans="1:39" ht="21.95" hidden="1" customHeight="1" thickTop="1">
      <c r="A387" s="158">
        <f>OBRA!J386</f>
        <v>2019</v>
      </c>
      <c r="B387" s="1683"/>
      <c r="C387" s="395"/>
      <c r="D387" s="146"/>
      <c r="E387" s="148"/>
      <c r="F387" s="148"/>
      <c r="G387" s="398"/>
      <c r="H387" s="404" t="str">
        <f>OBRA!AF386</f>
        <v>-</v>
      </c>
      <c r="I387" s="400"/>
      <c r="J387" s="406" t="str">
        <f>OBRA!AG386</f>
        <v>-</v>
      </c>
      <c r="K387" s="401"/>
      <c r="L387" s="404" t="str">
        <f>OBRA!AH386</f>
        <v>-</v>
      </c>
      <c r="M387" s="402"/>
      <c r="N387" s="404" t="str">
        <f>OBRA!AI386</f>
        <v>-</v>
      </c>
      <c r="O387" s="144"/>
      <c r="P387" s="144"/>
      <c r="Q387" s="403"/>
      <c r="R387" s="407" t="str">
        <f>OBRA!AJ386</f>
        <v>-</v>
      </c>
      <c r="S387" s="201"/>
      <c r="T387" s="399" t="str">
        <f>OBRA!W386</f>
        <v>CONSTRUCTORA PIMONT S.A. DE C.V.</v>
      </c>
      <c r="U387" s="408" t="str">
        <f>OBRA!X386</f>
        <v>LIC. SALVADOR CONTRERAS OLGUÍN</v>
      </c>
      <c r="V387" s="1090"/>
      <c r="W387" s="19" t="str">
        <f>OBRA!N386</f>
        <v>GMJ 004 C-OP/2019</v>
      </c>
      <c r="X387" s="12"/>
      <c r="Y387" s="12"/>
      <c r="Z387" s="409" t="str">
        <f>OBRA!M386</f>
        <v>RAMO 33</v>
      </c>
      <c r="AA387" s="12"/>
      <c r="AB387" s="2" t="str">
        <f>OBRA!O386</f>
        <v>ADJUDICACIÓN DIRECTA</v>
      </c>
      <c r="AC387" s="3" t="str">
        <f>OBRA!P386</f>
        <v>"CONSTRUCCIÓN DE BANQUETAS EN CALLE CUAUHTÉMOC, DELEGACIÓN DEL CHANTE, MUNICIPIO DE JOCOTEPEC, JALISCO</v>
      </c>
      <c r="AD387" s="4">
        <f>OBRA!R386</f>
        <v>149018.54</v>
      </c>
      <c r="AE387" s="6">
        <f>OBRA!S386</f>
        <v>43609</v>
      </c>
      <c r="AF387" s="5">
        <f>OBRA!T386</f>
        <v>43612</v>
      </c>
      <c r="AG387" s="390">
        <f>OBRA!U386</f>
        <v>43626</v>
      </c>
      <c r="AH387" s="52"/>
      <c r="AI387" s="211"/>
      <c r="AJ387" s="242"/>
      <c r="AK387" s="242"/>
      <c r="AL387" s="394"/>
      <c r="AM387" s="519" t="str">
        <f>GRAL!B388</f>
        <v>2018-2021</v>
      </c>
    </row>
    <row r="388" spans="1:39" ht="21.95" hidden="1" customHeight="1" thickTop="1">
      <c r="A388" s="158">
        <f>OBRA!J387</f>
        <v>2019</v>
      </c>
      <c r="B388" s="1683"/>
      <c r="C388" s="395"/>
      <c r="D388" s="146"/>
      <c r="E388" s="148"/>
      <c r="F388" s="148"/>
      <c r="G388" s="398"/>
      <c r="H388" s="404" t="str">
        <f>OBRA!AF387</f>
        <v>-</v>
      </c>
      <c r="I388" s="400"/>
      <c r="J388" s="406" t="str">
        <f>OBRA!AG387</f>
        <v>-</v>
      </c>
      <c r="K388" s="401"/>
      <c r="L388" s="404" t="str">
        <f>OBRA!AH387</f>
        <v>-</v>
      </c>
      <c r="M388" s="402"/>
      <c r="N388" s="404" t="str">
        <f>OBRA!AI387</f>
        <v>-</v>
      </c>
      <c r="O388" s="144"/>
      <c r="P388" s="144"/>
      <c r="Q388" s="403"/>
      <c r="R388" s="407" t="str">
        <f>OBRA!AJ387</f>
        <v>-</v>
      </c>
      <c r="S388" s="201"/>
      <c r="T388" s="399" t="str">
        <f>OBRA!W387</f>
        <v>SIFRAL INGENIERIA S.A. DE C.V.</v>
      </c>
      <c r="U388" s="408" t="str">
        <f>OBRA!X387</f>
        <v>ING. J. GUADALUPE IBARRA RAMIREZ</v>
      </c>
      <c r="V388" s="1090"/>
      <c r="W388" s="19" t="str">
        <f>OBRA!N387</f>
        <v>GMJ 005 C-OP/2019</v>
      </c>
      <c r="X388" s="12"/>
      <c r="Y388" s="12"/>
      <c r="Z388" s="409" t="str">
        <f>OBRA!M387</f>
        <v>RAMO 33</v>
      </c>
      <c r="AA388" s="12"/>
      <c r="AB388" s="2" t="str">
        <f>OBRA!O387</f>
        <v>ADJUDICACIÓN DIRECTA</v>
      </c>
      <c r="AC388" s="3" t="str">
        <f>OBRA!P387</f>
        <v xml:space="preserve">"REHABILITACIÓN DE LINEAS DE AGUA POTABLE EN CALLE 20 DE NOVIEMBRE DE ITURBIDE A PRIMAVERA CON REPOSICIÓN DE SUPERFICIE DE RODAMIENTO", CABECERA MUNICIPAL DEL MUNICIPIO DE JOCOTEPEC, JALISCO. </v>
      </c>
      <c r="AD388" s="4">
        <f>OBRA!R387</f>
        <v>603785.16</v>
      </c>
      <c r="AE388" s="6">
        <f>OBRA!S387</f>
        <v>43606</v>
      </c>
      <c r="AF388" s="5">
        <f>OBRA!T387</f>
        <v>43608</v>
      </c>
      <c r="AG388" s="390">
        <f>OBRA!U387</f>
        <v>43677</v>
      </c>
      <c r="AH388" s="52"/>
      <c r="AI388" s="211"/>
      <c r="AJ388" s="242"/>
      <c r="AK388" s="242"/>
      <c r="AL388" s="394"/>
      <c r="AM388" s="519" t="str">
        <f>GRAL!B389</f>
        <v>2018-2021</v>
      </c>
    </row>
    <row r="389" spans="1:39" ht="21.95" hidden="1" customHeight="1" thickTop="1">
      <c r="A389" s="158">
        <f>OBRA!J388</f>
        <v>2019</v>
      </c>
      <c r="B389" s="1683"/>
      <c r="C389" s="395"/>
      <c r="D389" s="146"/>
      <c r="E389" s="148"/>
      <c r="F389" s="148"/>
      <c r="G389" s="398"/>
      <c r="H389" s="404" t="str">
        <f>OBRA!AF388</f>
        <v>-</v>
      </c>
      <c r="I389" s="400"/>
      <c r="J389" s="406" t="str">
        <f>OBRA!AG388</f>
        <v>-</v>
      </c>
      <c r="K389" s="401"/>
      <c r="L389" s="404" t="str">
        <f>OBRA!AH388</f>
        <v>-</v>
      </c>
      <c r="M389" s="402"/>
      <c r="N389" s="404" t="str">
        <f>OBRA!AI388</f>
        <v>-</v>
      </c>
      <c r="O389" s="144"/>
      <c r="P389" s="144"/>
      <c r="Q389" s="403"/>
      <c r="R389" s="407" t="str">
        <f>OBRA!AJ388</f>
        <v>-</v>
      </c>
      <c r="S389" s="201"/>
      <c r="T389" s="399" t="str">
        <f>OBRA!W388</f>
        <v>SIFRAL INGENIERIA S.A. DE C.V.</v>
      </c>
      <c r="U389" s="408" t="str">
        <f>OBRA!X388</f>
        <v>ING. J. GUADALUPE IBARRA RAMIREZ</v>
      </c>
      <c r="V389" s="1090"/>
      <c r="W389" s="19" t="str">
        <f>OBRA!N388</f>
        <v>GMJ 006 C-OP/2019</v>
      </c>
      <c r="X389" s="12"/>
      <c r="Y389" s="12"/>
      <c r="Z389" s="409" t="str">
        <f>OBRA!M388</f>
        <v>RAMO 33</v>
      </c>
      <c r="AA389" s="12"/>
      <c r="AB389" s="2" t="str">
        <f>OBRA!O388</f>
        <v>ADJUDICACIÓN DIRECTA</v>
      </c>
      <c r="AC389" s="3" t="str">
        <f>OBRA!P388</f>
        <v>"REHABILITACIÓN DE LÍNEA DE DRENAJE SANITARIO EN CALLE 20 DE NOVIEMBRE DE ITURBIDE A PRIMAVERA CON REPOSICIÓN DE SUPERFICIE DE RODAMIENTO", EN CABECERA MUNICIPAL DEL MUNICIPIO DE JOCOTEPEC, JALISCO.</v>
      </c>
      <c r="AD389" s="4">
        <f>OBRA!R388</f>
        <v>619003.23</v>
      </c>
      <c r="AE389" s="6">
        <f>OBRA!S388</f>
        <v>43606</v>
      </c>
      <c r="AF389" s="5">
        <f>OBRA!T388</f>
        <v>43608</v>
      </c>
      <c r="AG389" s="390">
        <f>OBRA!U388</f>
        <v>43677</v>
      </c>
      <c r="AH389" s="52"/>
      <c r="AI389" s="211"/>
      <c r="AJ389" s="242"/>
      <c r="AK389" s="242"/>
      <c r="AL389" s="394"/>
      <c r="AM389" s="519" t="str">
        <f>GRAL!B390</f>
        <v>2018-2021</v>
      </c>
    </row>
    <row r="390" spans="1:39" ht="21.95" hidden="1" customHeight="1" thickTop="1">
      <c r="A390" s="158">
        <f>OBRA!J389</f>
        <v>2019</v>
      </c>
      <c r="B390" s="1683"/>
      <c r="C390" s="395"/>
      <c r="D390" s="146"/>
      <c r="E390" s="148"/>
      <c r="F390" s="148"/>
      <c r="G390" s="398"/>
      <c r="H390" s="404" t="str">
        <f>OBRA!AF389</f>
        <v>-</v>
      </c>
      <c r="I390" s="400"/>
      <c r="J390" s="406" t="str">
        <f>OBRA!AG389</f>
        <v>-</v>
      </c>
      <c r="K390" s="401"/>
      <c r="L390" s="404" t="str">
        <f>OBRA!AH389</f>
        <v>-</v>
      </c>
      <c r="M390" s="402"/>
      <c r="N390" s="404" t="str">
        <f>OBRA!AI389</f>
        <v>-</v>
      </c>
      <c r="O390" s="144"/>
      <c r="P390" s="144"/>
      <c r="Q390" s="403"/>
      <c r="R390" s="407" t="str">
        <f>OBRA!AJ389</f>
        <v>-</v>
      </c>
      <c r="S390" s="201"/>
      <c r="T390" s="399" t="str">
        <f>OBRA!W389</f>
        <v>ING. OCTAVIO AUGUSTO GONZALEZ TREJO</v>
      </c>
      <c r="U390" s="408" t="str">
        <f>OBRA!X389</f>
        <v>LIC. SALVADOR CONTRERAS OLGUÍN</v>
      </c>
      <c r="V390" s="1090"/>
      <c r="W390" s="19" t="str">
        <f>OBRA!N389</f>
        <v>GMJ 007 C-OP/2019</v>
      </c>
      <c r="X390" s="12"/>
      <c r="Y390" s="12"/>
      <c r="Z390" s="409" t="str">
        <f>OBRA!M389</f>
        <v>RAMO 33</v>
      </c>
      <c r="AA390" s="12"/>
      <c r="AB390" s="2" t="str">
        <f>OBRA!O389</f>
        <v>CANCELADA</v>
      </c>
      <c r="AC390" s="3" t="str">
        <f>OBRA!P389</f>
        <v>"CONSTRUCCIÓN DE EMPEDRADO AHOGADO EN HUELLAS DE CONCRETO MR-42 EN CALLE CARDENAL NORTE", EN LA LOCALIDAD DE SAN JUAN COSALA, MUNICIPIO DE JOCOTEPEC, JALISCO.</v>
      </c>
      <c r="AD390" s="4">
        <f>OBRA!R389</f>
        <v>949742.46</v>
      </c>
      <c r="AE390" s="6">
        <f>OBRA!S389</f>
        <v>43606</v>
      </c>
      <c r="AF390" s="5">
        <f>OBRA!T389</f>
        <v>43612</v>
      </c>
      <c r="AG390" s="390">
        <f>OBRA!U389</f>
        <v>43643</v>
      </c>
      <c r="AH390" s="52"/>
      <c r="AI390" s="211"/>
      <c r="AJ390" s="242"/>
      <c r="AK390" s="242"/>
      <c r="AL390" s="394"/>
      <c r="AM390" s="519" t="str">
        <f>GRAL!B391</f>
        <v>2018-2021</v>
      </c>
    </row>
    <row r="391" spans="1:39" ht="21.95" hidden="1" customHeight="1" thickTop="1">
      <c r="A391" s="158">
        <f>OBRA!J390</f>
        <v>2019</v>
      </c>
      <c r="B391" s="1683"/>
      <c r="C391" s="395"/>
      <c r="D391" s="146"/>
      <c r="E391" s="148"/>
      <c r="F391" s="148"/>
      <c r="G391" s="398"/>
      <c r="H391" s="404" t="str">
        <f>OBRA!AF390</f>
        <v>-</v>
      </c>
      <c r="I391" s="400"/>
      <c r="J391" s="406" t="str">
        <f>OBRA!AG390</f>
        <v>-</v>
      </c>
      <c r="K391" s="401"/>
      <c r="L391" s="404" t="str">
        <f>OBRA!AH390</f>
        <v>-</v>
      </c>
      <c r="M391" s="402"/>
      <c r="N391" s="404" t="str">
        <f>OBRA!AI390</f>
        <v>-</v>
      </c>
      <c r="O391" s="144"/>
      <c r="P391" s="144"/>
      <c r="Q391" s="403"/>
      <c r="R391" s="407" t="str">
        <f>OBRA!AJ390</f>
        <v>-</v>
      </c>
      <c r="S391" s="201"/>
      <c r="T391" s="399" t="str">
        <f>OBRA!W390</f>
        <v>ING. OCTAVIO AUGUSTO GONZALEZ TREJO</v>
      </c>
      <c r="U391" s="408" t="str">
        <f>OBRA!X390</f>
        <v>ING. RIGOBERTO OLMEDO RAMOS</v>
      </c>
      <c r="V391" s="1090"/>
      <c r="W391" s="19" t="str">
        <f>OBRA!N390</f>
        <v>GMJ 008 C-OP/2019</v>
      </c>
      <c r="X391" s="12"/>
      <c r="Y391" s="12"/>
      <c r="Z391" s="409" t="str">
        <f>OBRA!M390</f>
        <v>CUENTA CORRIENTE</v>
      </c>
      <c r="AA391" s="12"/>
      <c r="AB391" s="2" t="str">
        <f>OBRA!O390</f>
        <v>ADJUDICACIÓN DIRECTA</v>
      </c>
      <c r="AC391" s="3" t="str">
        <f>OBRA!P390</f>
        <v>"CONSTRUCCION DE DEPOSITO PARA ALMACENAMIENTO DE AGUA POTABLE", EN LA LOCALIDAD DE HUEJOTITAN, MUNICIPIO DE JOCOTEPEC, JALISCO.</v>
      </c>
      <c r="AD391" s="4">
        <f>OBRA!R390</f>
        <v>643537.42000000004</v>
      </c>
      <c r="AE391" s="6">
        <f>OBRA!S390</f>
        <v>43606</v>
      </c>
      <c r="AF391" s="5">
        <f>OBRA!T390</f>
        <v>43614</v>
      </c>
      <c r="AG391" s="390">
        <f>OBRA!U390</f>
        <v>43675</v>
      </c>
      <c r="AH391" s="52"/>
      <c r="AI391" s="211"/>
      <c r="AJ391" s="242"/>
      <c r="AK391" s="242"/>
      <c r="AL391" s="394"/>
      <c r="AM391" s="519" t="str">
        <f>GRAL!B392</f>
        <v>2018-2021</v>
      </c>
    </row>
    <row r="392" spans="1:39" ht="21.95" hidden="1" customHeight="1" thickTop="1">
      <c r="A392" s="158">
        <f>OBRA!J391</f>
        <v>2019</v>
      </c>
      <c r="B392" s="1683"/>
      <c r="C392" s="395"/>
      <c r="D392" s="146"/>
      <c r="E392" s="148"/>
      <c r="F392" s="148"/>
      <c r="G392" s="398"/>
      <c r="H392" s="404" t="str">
        <f>OBRA!AF391</f>
        <v>-</v>
      </c>
      <c r="I392" s="400"/>
      <c r="J392" s="406" t="str">
        <f>OBRA!AG391</f>
        <v>-</v>
      </c>
      <c r="K392" s="401"/>
      <c r="L392" s="404" t="str">
        <f>OBRA!AH391</f>
        <v>-</v>
      </c>
      <c r="M392" s="402"/>
      <c r="N392" s="404" t="str">
        <f>OBRA!AI391</f>
        <v>-</v>
      </c>
      <c r="O392" s="144"/>
      <c r="P392" s="144"/>
      <c r="Q392" s="403"/>
      <c r="R392" s="407" t="str">
        <f>OBRA!AJ391</f>
        <v>-</v>
      </c>
      <c r="S392" s="201"/>
      <c r="T392" s="399" t="str">
        <f>OBRA!W391</f>
        <v>ING. OCTAVIO AUGUSTO GONZALEZ TREJO</v>
      </c>
      <c r="U392" s="408" t="str">
        <f>OBRA!X391</f>
        <v>ING. JUAN MANUEL GARCIA ESCOTO</v>
      </c>
      <c r="V392" s="1090"/>
      <c r="W392" s="19" t="str">
        <f>OBRA!N391</f>
        <v>GMJ 009 C-OP/2019</v>
      </c>
      <c r="X392" s="12"/>
      <c r="Y392" s="12"/>
      <c r="Z392" s="409" t="str">
        <f>OBRA!M391</f>
        <v>CUENTA CORRIENTE</v>
      </c>
      <c r="AA392" s="12"/>
      <c r="AB392" s="2" t="str">
        <f>OBRA!O391</f>
        <v>ADJUDICACIÓN DIRECTA</v>
      </c>
      <c r="AC392" s="3" t="str">
        <f>OBRA!P391</f>
        <v>CONSTRUCCIÓN DE PLATAFORMA Y CAMINO DE ACCESO AL PREDIO DEL DEPOSITO DE AGUA EN ZONA NORTE DE LA CABECERA MUNICIPAL DE JOCOTEPEC, JALISCO.</v>
      </c>
      <c r="AD392" s="4">
        <f>OBRA!R391</f>
        <v>413006.4</v>
      </c>
      <c r="AE392" s="6">
        <f>OBRA!S391</f>
        <v>43607</v>
      </c>
      <c r="AF392" s="5">
        <f>OBRA!T391</f>
        <v>43619</v>
      </c>
      <c r="AG392" s="390">
        <f>OBRA!U391</f>
        <v>43645</v>
      </c>
      <c r="AH392" s="52"/>
      <c r="AI392" s="211"/>
      <c r="AJ392" s="242"/>
      <c r="AK392" s="242"/>
      <c r="AL392" s="394"/>
      <c r="AM392" s="519" t="str">
        <f>GRAL!B393</f>
        <v>2018-2021</v>
      </c>
    </row>
    <row r="393" spans="1:39" ht="21.95" hidden="1" customHeight="1" thickTop="1">
      <c r="A393" s="158">
        <f>OBRA!J392</f>
        <v>2019</v>
      </c>
      <c r="B393" s="1683"/>
      <c r="C393" s="395"/>
      <c r="D393" s="146"/>
      <c r="E393" s="148"/>
      <c r="F393" s="148"/>
      <c r="G393" s="398"/>
      <c r="H393" s="404" t="str">
        <f>OBRA!AF392</f>
        <v>-</v>
      </c>
      <c r="I393" s="400"/>
      <c r="J393" s="406" t="str">
        <f>OBRA!AG392</f>
        <v>-</v>
      </c>
      <c r="K393" s="401"/>
      <c r="L393" s="404" t="str">
        <f>OBRA!AH392</f>
        <v>-</v>
      </c>
      <c r="M393" s="402"/>
      <c r="N393" s="404" t="str">
        <f>OBRA!AI392</f>
        <v>-</v>
      </c>
      <c r="O393" s="144"/>
      <c r="P393" s="144"/>
      <c r="Q393" s="403"/>
      <c r="R393" s="407" t="str">
        <f>OBRA!AJ392</f>
        <v>-</v>
      </c>
      <c r="S393" s="201"/>
      <c r="T393" s="399" t="str">
        <f>OBRA!W392</f>
        <v>CONSTRUCTORA PIMONT S.A. DE C.V.</v>
      </c>
      <c r="U393" s="408" t="str">
        <f>OBRA!X392</f>
        <v>ING. J. GUADALUPE IBARRA RAMIREZ</v>
      </c>
      <c r="V393" s="1090"/>
      <c r="W393" s="19" t="str">
        <f>OBRA!N392</f>
        <v>GMJ 010 C-OP/2019</v>
      </c>
      <c r="X393" s="12"/>
      <c r="Y393" s="12"/>
      <c r="Z393" s="409" t="str">
        <f>OBRA!M392</f>
        <v>CUENTA CORRIENTE</v>
      </c>
      <c r="AA393" s="12"/>
      <c r="AB393" s="2" t="str">
        <f>OBRA!O392</f>
        <v>ADJUDICACIÓN DIRECTA</v>
      </c>
      <c r="AC393" s="3" t="str">
        <f>OBRA!P392</f>
        <v>"CONSTRUCCIÓN DE DEPOSITO PARA ALMACENAMIENTO DE AGUA POTABLE", EN LA ZONA NORTE DE LA CABECERA MUNICIPAL DE JOCOTEPEC, JALISCO.</v>
      </c>
      <c r="AD393" s="4">
        <f>OBRA!R392</f>
        <v>1649201.51</v>
      </c>
      <c r="AE393" s="6">
        <f>OBRA!S392</f>
        <v>43637</v>
      </c>
      <c r="AF393" s="5">
        <f>OBRA!T392</f>
        <v>43640</v>
      </c>
      <c r="AG393" s="390">
        <f>OBRA!U392</f>
        <v>43707</v>
      </c>
      <c r="AH393" s="52"/>
      <c r="AI393" s="211"/>
      <c r="AJ393" s="242"/>
      <c r="AK393" s="242"/>
      <c r="AL393" s="394"/>
      <c r="AM393" s="519" t="str">
        <f>GRAL!B394</f>
        <v>2018-2021</v>
      </c>
    </row>
    <row r="394" spans="1:39" ht="21.95" hidden="1" customHeight="1" thickTop="1">
      <c r="A394" s="158">
        <f>OBRA!J393</f>
        <v>2019</v>
      </c>
      <c r="B394" s="1683"/>
      <c r="C394" s="395"/>
      <c r="D394" s="146"/>
      <c r="E394" s="148"/>
      <c r="F394" s="148"/>
      <c r="G394" s="398"/>
      <c r="H394" s="404" t="str">
        <f>OBRA!AF393</f>
        <v>-</v>
      </c>
      <c r="I394" s="400"/>
      <c r="J394" s="406" t="str">
        <f>OBRA!AG393</f>
        <v>-</v>
      </c>
      <c r="K394" s="401"/>
      <c r="L394" s="404" t="str">
        <f>OBRA!AH393</f>
        <v>-</v>
      </c>
      <c r="M394" s="402"/>
      <c r="N394" s="404" t="str">
        <f>OBRA!AI393</f>
        <v>-</v>
      </c>
      <c r="O394" s="144"/>
      <c r="P394" s="144"/>
      <c r="Q394" s="403"/>
      <c r="R394" s="407" t="str">
        <f>OBRA!AJ393</f>
        <v>-</v>
      </c>
      <c r="S394" s="201"/>
      <c r="T394" s="399" t="str">
        <f>OBRA!W393</f>
        <v xml:space="preserve">CONSTRUCTORA Y EDIFICACIONES REMI Y ASOCIADOS S.A. DE C.V. </v>
      </c>
      <c r="U394" s="408" t="str">
        <f>OBRA!X393</f>
        <v>ING. RIGOBERTO OLMEDO RAMOS</v>
      </c>
      <c r="V394" s="1090"/>
      <c r="W394" s="19" t="str">
        <f>OBRA!N393</f>
        <v>GMJ 011 C-OP/2019</v>
      </c>
      <c r="X394" s="12"/>
      <c r="Y394" s="12"/>
      <c r="Z394" s="409" t="str">
        <f>OBRA!M393</f>
        <v>CUENTA CORRIENTE</v>
      </c>
      <c r="AA394" s="12"/>
      <c r="AB394" s="2" t="str">
        <f>OBRA!O393</f>
        <v>ADJUDICACIÓN DIRECTA</v>
      </c>
      <c r="AC394" s="3" t="str">
        <f>OBRA!P393</f>
        <v>"CONSTRUCCIÓN DE DEPOSITO PARA ALMACENAMIENTO DE AGUA POTABLE", EN LA LOCALIDAD DE SAN CRISTOBAL ZAPOTITLAN, MUNICIPIO DE JOCOTEPEC, JALISCO.</v>
      </c>
      <c r="AD394" s="4">
        <f>OBRA!R393</f>
        <v>643537.42000000004</v>
      </c>
      <c r="AE394" s="6">
        <f>OBRA!S393</f>
        <v>43705</v>
      </c>
      <c r="AF394" s="5">
        <f>OBRA!T393</f>
        <v>43710</v>
      </c>
      <c r="AG394" s="390">
        <f>OBRA!U393</f>
        <v>43785</v>
      </c>
      <c r="AH394" s="52"/>
      <c r="AI394" s="211"/>
      <c r="AJ394" s="242"/>
      <c r="AK394" s="242"/>
      <c r="AL394" s="394"/>
      <c r="AM394" s="519" t="str">
        <f>GRAL!B395</f>
        <v>2018-2021</v>
      </c>
    </row>
    <row r="395" spans="1:39" ht="21.95" hidden="1" customHeight="1" thickTop="1">
      <c r="A395" s="158">
        <f>OBRA!J394</f>
        <v>2019</v>
      </c>
      <c r="B395" s="1683"/>
      <c r="C395" s="395"/>
      <c r="D395" s="146"/>
      <c r="E395" s="148"/>
      <c r="F395" s="148"/>
      <c r="G395" s="398"/>
      <c r="H395" s="404" t="str">
        <f>OBRA!AF394</f>
        <v>-</v>
      </c>
      <c r="I395" s="400"/>
      <c r="J395" s="406" t="str">
        <f>OBRA!AG394</f>
        <v>-</v>
      </c>
      <c r="K395" s="401"/>
      <c r="L395" s="404" t="str">
        <f>OBRA!AH394</f>
        <v>-</v>
      </c>
      <c r="M395" s="402"/>
      <c r="N395" s="404" t="str">
        <f>OBRA!AI394</f>
        <v>-</v>
      </c>
      <c r="O395" s="144"/>
      <c r="P395" s="144"/>
      <c r="Q395" s="403"/>
      <c r="R395" s="407" t="str">
        <f>OBRA!AJ394</f>
        <v>-</v>
      </c>
      <c r="S395" s="201"/>
      <c r="T395" s="399">
        <f>OBRA!W394</f>
        <v>0</v>
      </c>
      <c r="U395" s="408">
        <f>OBRA!X394</f>
        <v>0</v>
      </c>
      <c r="V395" s="1090"/>
      <c r="W395" s="19" t="str">
        <f>OBRA!N394</f>
        <v>GMJ 012 C-OP/2019</v>
      </c>
      <c r="X395" s="12"/>
      <c r="Y395" s="12"/>
      <c r="Z395" s="409">
        <f>OBRA!M394</f>
        <v>0</v>
      </c>
      <c r="AA395" s="12"/>
      <c r="AB395" s="2" t="str">
        <f>OBRA!O394</f>
        <v>CANCELADA</v>
      </c>
      <c r="AC395" s="3">
        <f>OBRA!P394</f>
        <v>0</v>
      </c>
      <c r="AD395" s="4">
        <f>OBRA!R394</f>
        <v>0</v>
      </c>
      <c r="AE395" s="6">
        <f>OBRA!S394</f>
        <v>0</v>
      </c>
      <c r="AF395" s="5">
        <f>OBRA!T394</f>
        <v>0</v>
      </c>
      <c r="AG395" s="390">
        <f>OBRA!U394</f>
        <v>0</v>
      </c>
      <c r="AH395" s="52"/>
      <c r="AI395" s="211"/>
      <c r="AJ395" s="242"/>
      <c r="AK395" s="242"/>
      <c r="AL395" s="394"/>
      <c r="AM395" s="519" t="str">
        <f>GRAL!B396</f>
        <v>2018-2021</v>
      </c>
    </row>
    <row r="396" spans="1:39" ht="21.95" hidden="1" customHeight="1" thickTop="1">
      <c r="A396" s="158">
        <f>OBRA!J395</f>
        <v>2019</v>
      </c>
      <c r="B396" s="1683"/>
      <c r="C396" s="395"/>
      <c r="D396" s="146"/>
      <c r="E396" s="148"/>
      <c r="F396" s="148"/>
      <c r="G396" s="398"/>
      <c r="H396" s="404" t="str">
        <f>OBRA!AF395</f>
        <v>-</v>
      </c>
      <c r="I396" s="400"/>
      <c r="J396" s="406" t="str">
        <f>OBRA!AG395</f>
        <v>-</v>
      </c>
      <c r="K396" s="401"/>
      <c r="L396" s="404" t="str">
        <f>OBRA!AH395</f>
        <v>-</v>
      </c>
      <c r="M396" s="402"/>
      <c r="N396" s="404" t="str">
        <f>OBRA!AI395</f>
        <v>-</v>
      </c>
      <c r="O396" s="144"/>
      <c r="P396" s="144"/>
      <c r="Q396" s="403"/>
      <c r="R396" s="407" t="str">
        <f>OBRA!AJ395</f>
        <v>-</v>
      </c>
      <c r="S396" s="201"/>
      <c r="T396" s="399" t="str">
        <f>OBRA!W395</f>
        <v>CONSTRUCTORA PIMONT S.A. DE C.V.</v>
      </c>
      <c r="U396" s="408" t="str">
        <f>OBRA!X395</f>
        <v>LIC. SALVADOR CONTRERAS OLGUÍN</v>
      </c>
      <c r="V396" s="1090"/>
      <c r="W396" s="19" t="str">
        <f>OBRA!N395</f>
        <v>GMJ 013 C-OP/2019</v>
      </c>
      <c r="X396" s="12"/>
      <c r="Y396" s="12"/>
      <c r="Z396" s="409" t="str">
        <f>OBRA!M395</f>
        <v>RAMO 33</v>
      </c>
      <c r="AA396" s="12"/>
      <c r="AB396" s="2" t="str">
        <f>OBRA!O395</f>
        <v>ADJUDICACIÓN DIRECTA</v>
      </c>
      <c r="AC396" s="3" t="str">
        <f>OBRA!P395</f>
        <v>"CONSTRUCCIÓN DE EMPEDRADO ECOLOGICO EN LA CALLE PRIVADA MORELOS, DELEGACIÓN DE CHANTE, MUNICIPIO DE JOCOTEPEC, JALISCO".</v>
      </c>
      <c r="AD396" s="4">
        <f>OBRA!R395</f>
        <v>75313.95</v>
      </c>
      <c r="AE396" s="6">
        <f>OBRA!S395</f>
        <v>43626</v>
      </c>
      <c r="AF396" s="5">
        <f>OBRA!T395</f>
        <v>43627</v>
      </c>
      <c r="AG396" s="390">
        <f>OBRA!U395</f>
        <v>43637</v>
      </c>
      <c r="AH396" s="52"/>
      <c r="AI396" s="211"/>
      <c r="AJ396" s="242"/>
      <c r="AK396" s="242"/>
      <c r="AL396" s="394"/>
      <c r="AM396" s="519" t="str">
        <f>GRAL!B397</f>
        <v>2018-2021</v>
      </c>
    </row>
    <row r="397" spans="1:39" ht="21.95" hidden="1" customHeight="1" thickTop="1">
      <c r="A397" s="158">
        <f>OBRA!J396</f>
        <v>2019</v>
      </c>
      <c r="B397" s="1683"/>
      <c r="C397" s="395"/>
      <c r="D397" s="146"/>
      <c r="E397" s="148"/>
      <c r="F397" s="148"/>
      <c r="G397" s="398"/>
      <c r="H397" s="404" t="str">
        <f>OBRA!AF396</f>
        <v>-</v>
      </c>
      <c r="I397" s="400"/>
      <c r="J397" s="406" t="str">
        <f>OBRA!AG396</f>
        <v>-</v>
      </c>
      <c r="K397" s="401"/>
      <c r="L397" s="404" t="str">
        <f>OBRA!AH396</f>
        <v>-</v>
      </c>
      <c r="M397" s="402"/>
      <c r="N397" s="404" t="str">
        <f>OBRA!AI396</f>
        <v>-</v>
      </c>
      <c r="O397" s="144"/>
      <c r="P397" s="144"/>
      <c r="Q397" s="403"/>
      <c r="R397" s="407" t="str">
        <f>OBRA!AJ396</f>
        <v>-</v>
      </c>
      <c r="S397" s="201"/>
      <c r="T397" s="399" t="str">
        <f>OBRA!W396</f>
        <v>INGENIERÍA ARQUITECTURA MENDPAD S.A. DE C.V.</v>
      </c>
      <c r="U397" s="408" t="str">
        <f>OBRA!X396</f>
        <v>LIC. SALVADOR CONTRERAS OLGUÍN</v>
      </c>
      <c r="V397" s="1090"/>
      <c r="W397" s="19" t="str">
        <f>OBRA!N396</f>
        <v>GMJ 014 C-OP/2019</v>
      </c>
      <c r="X397" s="12"/>
      <c r="Y397" s="12"/>
      <c r="Z397" s="409" t="str">
        <f>OBRA!M396</f>
        <v>RAMO 33</v>
      </c>
      <c r="AA397" s="12"/>
      <c r="AB397" s="2" t="str">
        <f>OBRA!O396</f>
        <v>ADJUDICACIÓN DIRECTA</v>
      </c>
      <c r="AC397" s="3" t="str">
        <f>OBRA!P396</f>
        <v>"CONSTRUCCIÓN DE BANQUETAS EN CALLE CUAUHTÉMOC, 2ª ETAPA, DELEGACIÓN DEL CHANTE, MUNICIPIO DE JOCOTEPEC, JALISCO</v>
      </c>
      <c r="AD397" s="4">
        <f>OBRA!R396</f>
        <v>179219.86</v>
      </c>
      <c r="AE397" s="6">
        <f>OBRA!S396</f>
        <v>43670</v>
      </c>
      <c r="AF397" s="5">
        <f>OBRA!T396</f>
        <v>43671</v>
      </c>
      <c r="AG397" s="390">
        <f>OBRA!U396</f>
        <v>43687</v>
      </c>
      <c r="AH397" s="52"/>
      <c r="AI397" s="211"/>
      <c r="AJ397" s="242"/>
      <c r="AK397" s="242"/>
      <c r="AL397" s="394"/>
      <c r="AM397" s="519" t="str">
        <f>GRAL!B398</f>
        <v>2018-2021</v>
      </c>
    </row>
    <row r="398" spans="1:39" ht="21.95" hidden="1" customHeight="1" thickTop="1">
      <c r="A398" s="158">
        <f>OBRA!J397</f>
        <v>2019</v>
      </c>
      <c r="B398" s="1683"/>
      <c r="C398" s="395"/>
      <c r="D398" s="146"/>
      <c r="E398" s="148"/>
      <c r="F398" s="148"/>
      <c r="G398" s="398"/>
      <c r="H398" s="404" t="str">
        <f>OBRA!AF397</f>
        <v>-</v>
      </c>
      <c r="I398" s="400"/>
      <c r="J398" s="406" t="str">
        <f>OBRA!AG397</f>
        <v>-</v>
      </c>
      <c r="K398" s="401"/>
      <c r="L398" s="404" t="str">
        <f>OBRA!AH397</f>
        <v>-</v>
      </c>
      <c r="M398" s="402"/>
      <c r="N398" s="404" t="str">
        <f>OBRA!AI397</f>
        <v>-</v>
      </c>
      <c r="O398" s="144"/>
      <c r="P398" s="144"/>
      <c r="Q398" s="403"/>
      <c r="R398" s="407" t="str">
        <f>OBRA!AJ397</f>
        <v>-</v>
      </c>
      <c r="S398" s="201"/>
      <c r="T398" s="399" t="str">
        <f>OBRA!W397</f>
        <v>GALJACK ARQUITECTOS  Y CONSTRUCCIONES S.A. DE C.V.</v>
      </c>
      <c r="U398" s="408" t="str">
        <f>OBRA!X397</f>
        <v>LIC. SALVADOR CONTRERAS OLGUÍN</v>
      </c>
      <c r="V398" s="1090"/>
      <c r="W398" s="19" t="str">
        <f>OBRA!N397</f>
        <v>GMJ 015 C-OP/2019</v>
      </c>
      <c r="X398" s="12"/>
      <c r="Y398" s="12"/>
      <c r="Z398" s="409" t="str">
        <f>OBRA!M397</f>
        <v>RAMO 33</v>
      </c>
      <c r="AA398" s="12"/>
      <c r="AB398" s="2" t="str">
        <f>OBRA!O397</f>
        <v>ADJUDICACIÓN DIRECTA</v>
      </c>
      <c r="AC398" s="3" t="str">
        <f>OBRA!P397</f>
        <v>REHABILITACIÓN DE LINEA DE AGUA POTABLE EN LA CALLE PRIVADA CARDENAL DE CARDENAL A CERRADA, EN LA DELEGACIÓN DE SAN JUAN COSALA, JOCOTEPEC, JALISCO.</v>
      </c>
      <c r="AD398" s="4">
        <f>OBRA!R397</f>
        <v>77778.12</v>
      </c>
      <c r="AE398" s="6">
        <f>OBRA!S397</f>
        <v>43694</v>
      </c>
      <c r="AF398" s="5">
        <f>OBRA!T397</f>
        <v>43703</v>
      </c>
      <c r="AG398" s="390">
        <f>OBRA!U397</f>
        <v>43742</v>
      </c>
      <c r="AH398" s="52"/>
      <c r="AI398" s="211"/>
      <c r="AJ398" s="242"/>
      <c r="AK398" s="242"/>
      <c r="AL398" s="394"/>
      <c r="AM398" s="519" t="str">
        <f>GRAL!B399</f>
        <v>2018-2021</v>
      </c>
    </row>
    <row r="399" spans="1:39" ht="21.95" hidden="1" customHeight="1" thickTop="1">
      <c r="A399" s="158">
        <f>OBRA!J398</f>
        <v>2019</v>
      </c>
      <c r="B399" s="1683"/>
      <c r="C399" s="395"/>
      <c r="D399" s="146"/>
      <c r="E399" s="148"/>
      <c r="F399" s="148"/>
      <c r="G399" s="398"/>
      <c r="H399" s="404" t="str">
        <f>OBRA!AF398</f>
        <v>-</v>
      </c>
      <c r="I399" s="400"/>
      <c r="J399" s="406" t="str">
        <f>OBRA!AG398</f>
        <v>-</v>
      </c>
      <c r="K399" s="401"/>
      <c r="L399" s="404" t="str">
        <f>OBRA!AH398</f>
        <v>-</v>
      </c>
      <c r="M399" s="402"/>
      <c r="N399" s="404" t="str">
        <f>OBRA!AI398</f>
        <v>-</v>
      </c>
      <c r="O399" s="144"/>
      <c r="P399" s="144"/>
      <c r="Q399" s="403"/>
      <c r="R399" s="407" t="str">
        <f>OBRA!AJ398</f>
        <v>-</v>
      </c>
      <c r="S399" s="201"/>
      <c r="T399" s="399" t="str">
        <f>OBRA!W398</f>
        <v>GALJACK ARQUITECTOS S.A. DE C.V.</v>
      </c>
      <c r="U399" s="408" t="str">
        <f>OBRA!X398</f>
        <v>LIC. SALVADOR CONTRERAS OLGUÍN</v>
      </c>
      <c r="V399" s="1090"/>
      <c r="W399" s="19" t="str">
        <f>OBRA!N398</f>
        <v>GMJ 016 C-OP/2019</v>
      </c>
      <c r="X399" s="12"/>
      <c r="Y399" s="12"/>
      <c r="Z399" s="409" t="str">
        <f>OBRA!M398</f>
        <v>RAMO 33</v>
      </c>
      <c r="AA399" s="12"/>
      <c r="AB399" s="2" t="str">
        <f>OBRA!O398</f>
        <v>ADJUDICACIÓN DIRECTA</v>
      </c>
      <c r="AC399" s="3" t="str">
        <f>OBRA!P398</f>
        <v>REHABILITACION DE LINEA DE DRENAJE SANITARIO, EN LA CALLE PRIVADA CARDENAL DE CARDENAL A CERRADA, EN SAN JUAN COSALA, EN EL MUNICIPIO DE JOCOTEPEC, JALISCO.</v>
      </c>
      <c r="AD399" s="4">
        <f>OBRA!R398</f>
        <v>108744.95</v>
      </c>
      <c r="AE399" s="6">
        <f>OBRA!S398</f>
        <v>43694</v>
      </c>
      <c r="AF399" s="5">
        <f>OBRA!T398</f>
        <v>43703</v>
      </c>
      <c r="AG399" s="390">
        <f>OBRA!U398</f>
        <v>43742</v>
      </c>
      <c r="AH399" s="52"/>
      <c r="AI399" s="211"/>
      <c r="AJ399" s="242"/>
      <c r="AK399" s="242"/>
      <c r="AL399" s="394"/>
      <c r="AM399" s="519" t="str">
        <f>GRAL!B400</f>
        <v>2018-2021</v>
      </c>
    </row>
    <row r="400" spans="1:39" ht="21.95" hidden="1" customHeight="1" thickTop="1">
      <c r="A400" s="158">
        <f>OBRA!J399</f>
        <v>2019</v>
      </c>
      <c r="B400" s="1683"/>
      <c r="C400" s="395"/>
      <c r="D400" s="146"/>
      <c r="E400" s="148"/>
      <c r="F400" s="148"/>
      <c r="G400" s="398"/>
      <c r="H400" s="404" t="str">
        <f>OBRA!AF399</f>
        <v>-</v>
      </c>
      <c r="I400" s="400"/>
      <c r="J400" s="406" t="str">
        <f>OBRA!AG399</f>
        <v>-</v>
      </c>
      <c r="K400" s="401"/>
      <c r="L400" s="404" t="str">
        <f>OBRA!AH399</f>
        <v>-</v>
      </c>
      <c r="M400" s="402"/>
      <c r="N400" s="404" t="str">
        <f>OBRA!AI399</f>
        <v>-</v>
      </c>
      <c r="O400" s="144"/>
      <c r="P400" s="144"/>
      <c r="Q400" s="403"/>
      <c r="R400" s="407" t="str">
        <f>OBRA!AJ399</f>
        <v>-</v>
      </c>
      <c r="S400" s="201"/>
      <c r="T400" s="399" t="str">
        <f>OBRA!W399</f>
        <v>ALSERCON SA DE CV</v>
      </c>
      <c r="U400" s="408" t="str">
        <f>OBRA!X399</f>
        <v>ING. J. GUADALUPE IBARRA RAMIREZ</v>
      </c>
      <c r="V400" s="1090"/>
      <c r="W400" s="19" t="str">
        <f>OBRA!N399</f>
        <v>GMJ 017 C-OP/2019</v>
      </c>
      <c r="X400" s="12"/>
      <c r="Y400" s="12"/>
      <c r="Z400" s="409" t="str">
        <f>OBRA!M399</f>
        <v>RAMO 33</v>
      </c>
      <c r="AA400" s="12"/>
      <c r="AB400" s="2" t="str">
        <f>OBRA!O399</f>
        <v>ADJUDICACIÓN DIRECTA</v>
      </c>
      <c r="AC400" s="3" t="str">
        <f>OBRA!P399</f>
        <v>"REHABILITACIÓN DE LÍNEA DE DRENAJE CON REPOSICIÓN DE SUPERFICIE DE RODAMIENTO EN LA CALLE NIÑOS HEROES ENTRE CALLES ITURBIDE Y VERANO", EN LA CABECERA MUNICIPAL DE JOCOTEPEC, JALISCO.</v>
      </c>
      <c r="AD400" s="4">
        <f>OBRA!R399</f>
        <v>983216.32</v>
      </c>
      <c r="AE400" s="6">
        <f>OBRA!S399</f>
        <v>43707</v>
      </c>
      <c r="AF400" s="5">
        <f>OBRA!T399</f>
        <v>43710</v>
      </c>
      <c r="AG400" s="390">
        <f>OBRA!U399</f>
        <v>43785</v>
      </c>
      <c r="AH400" s="52"/>
      <c r="AI400" s="211"/>
      <c r="AJ400" s="242"/>
      <c r="AK400" s="242"/>
      <c r="AL400" s="394"/>
      <c r="AM400" s="519" t="str">
        <f>GRAL!B401</f>
        <v>2018-2021</v>
      </c>
    </row>
    <row r="401" spans="1:39" ht="21.95" hidden="1" customHeight="1" thickTop="1">
      <c r="A401" s="158">
        <f>OBRA!J400</f>
        <v>2019</v>
      </c>
      <c r="B401" s="1683"/>
      <c r="C401" s="395"/>
      <c r="D401" s="146"/>
      <c r="E401" s="148"/>
      <c r="F401" s="148"/>
      <c r="G401" s="398"/>
      <c r="H401" s="404" t="str">
        <f>OBRA!AF400</f>
        <v>-</v>
      </c>
      <c r="I401" s="400"/>
      <c r="J401" s="406" t="str">
        <f>OBRA!AG400</f>
        <v>-</v>
      </c>
      <c r="K401" s="401"/>
      <c r="L401" s="404" t="str">
        <f>OBRA!AH400</f>
        <v>-</v>
      </c>
      <c r="M401" s="402"/>
      <c r="N401" s="404" t="str">
        <f>OBRA!AI400</f>
        <v>-</v>
      </c>
      <c r="O401" s="144"/>
      <c r="P401" s="144"/>
      <c r="Q401" s="403"/>
      <c r="R401" s="407" t="str">
        <f>OBRA!AJ400</f>
        <v>-</v>
      </c>
      <c r="S401" s="201"/>
      <c r="T401" s="399" t="str">
        <f>OBRA!W400</f>
        <v>ALSERCON SA DE CV</v>
      </c>
      <c r="U401" s="408" t="str">
        <f>OBRA!X400</f>
        <v>ING. J. GUADALUPE IBARRA RAMIREZ</v>
      </c>
      <c r="V401" s="1090"/>
      <c r="W401" s="19" t="str">
        <f>OBRA!N400</f>
        <v>GMJ 018 C-OP/2019</v>
      </c>
      <c r="X401" s="12"/>
      <c r="Y401" s="12"/>
      <c r="Z401" s="409" t="str">
        <f>OBRA!M400</f>
        <v>RAMO 33</v>
      </c>
      <c r="AA401" s="12"/>
      <c r="AB401" s="2" t="str">
        <f>OBRA!O400</f>
        <v>ADJUDICACIÓN DIRECTA</v>
      </c>
      <c r="AC401" s="3" t="str">
        <f>OBRA!P400</f>
        <v>"REHABILITACIÓN DE RED DE AGUA POTABLE CON REPOSICIÓN DE SUPERFICIE DE RODAMIENTO EN LA CALLE NIÑOS HEROES ENTRE CALLES ITURBIDE Y VERANO", EN LA CABECERA MUNICIPAL DE JOCOTEPEC, JALISCO.</v>
      </c>
      <c r="AD401" s="4">
        <f>OBRA!R400</f>
        <v>872749.01</v>
      </c>
      <c r="AE401" s="6">
        <f>OBRA!S400</f>
        <v>43707</v>
      </c>
      <c r="AF401" s="5">
        <f>OBRA!T400</f>
        <v>43710</v>
      </c>
      <c r="AG401" s="390">
        <f>OBRA!U400</f>
        <v>43785</v>
      </c>
      <c r="AH401" s="52"/>
      <c r="AI401" s="211"/>
      <c r="AJ401" s="242"/>
      <c r="AK401" s="242"/>
      <c r="AL401" s="394"/>
      <c r="AM401" s="519" t="str">
        <f>GRAL!B402</f>
        <v>2018-2021</v>
      </c>
    </row>
    <row r="402" spans="1:39" ht="21.95" hidden="1" customHeight="1" thickTop="1">
      <c r="A402" s="158">
        <f>OBRA!J401</f>
        <v>2019</v>
      </c>
      <c r="B402" s="1683"/>
      <c r="C402" s="395"/>
      <c r="D402" s="146"/>
      <c r="E402" s="148"/>
      <c r="F402" s="148"/>
      <c r="G402" s="398"/>
      <c r="H402" s="404" t="str">
        <f>OBRA!AF401</f>
        <v>-</v>
      </c>
      <c r="I402" s="400"/>
      <c r="J402" s="406" t="str">
        <f>OBRA!AG401</f>
        <v>-</v>
      </c>
      <c r="K402" s="401"/>
      <c r="L402" s="404" t="str">
        <f>OBRA!AH401</f>
        <v>-</v>
      </c>
      <c r="M402" s="402"/>
      <c r="N402" s="404" t="str">
        <f>OBRA!AI401</f>
        <v>-</v>
      </c>
      <c r="O402" s="144"/>
      <c r="P402" s="144"/>
      <c r="Q402" s="403"/>
      <c r="R402" s="407" t="str">
        <f>OBRA!AJ401</f>
        <v>-</v>
      </c>
      <c r="S402" s="201"/>
      <c r="T402" s="399" t="str">
        <f>OBRA!W401</f>
        <v>INGENIERÍA ARQUITECTURA MENDPAD S.A. DE C.V.</v>
      </c>
      <c r="U402" s="408" t="str">
        <f>OBRA!X401</f>
        <v>LIC. SALVADOR CONTRERAS OLGUÍN</v>
      </c>
      <c r="V402" s="1090"/>
      <c r="W402" s="19" t="str">
        <f>OBRA!N401</f>
        <v>GMJ 019 C-OP/2019</v>
      </c>
      <c r="X402" s="12"/>
      <c r="Y402" s="12"/>
      <c r="Z402" s="409" t="str">
        <f>OBRA!M401</f>
        <v>RAMO 33</v>
      </c>
      <c r="AA402" s="12"/>
      <c r="AB402" s="2" t="str">
        <f>OBRA!O401</f>
        <v>ADJUDICACIÓN DIRECTA</v>
      </c>
      <c r="AC402" s="3" t="str">
        <f>OBRA!P401</f>
        <v>"REHABILITACIÓN RED DE DRENAJE SANITARIO EN LA CALLE PRIVADA ZARAGOZA DE CALLE ZARAGOZA A CERRADA DELEGACIÓN DE SAN JUAN COSALA MUNICIPIO DE JOCOTEPEC, JALISCO".</v>
      </c>
      <c r="AD402" s="4">
        <f>OBRA!R401</f>
        <v>99707.9</v>
      </c>
      <c r="AE402" s="6">
        <f>OBRA!S401</f>
        <v>43707</v>
      </c>
      <c r="AF402" s="5">
        <f>OBRA!T401</f>
        <v>43710</v>
      </c>
      <c r="AG402" s="390">
        <f>OBRA!U401</f>
        <v>43731</v>
      </c>
      <c r="AH402" s="52"/>
      <c r="AI402" s="211"/>
      <c r="AJ402" s="242"/>
      <c r="AK402" s="242"/>
      <c r="AL402" s="394"/>
      <c r="AM402" s="519" t="str">
        <f>GRAL!B403</f>
        <v>2018-2021</v>
      </c>
    </row>
    <row r="403" spans="1:39" ht="21.95" hidden="1" customHeight="1" thickTop="1">
      <c r="A403" s="158">
        <f>OBRA!J402</f>
        <v>2019</v>
      </c>
      <c r="B403" s="1683"/>
      <c r="C403" s="395"/>
      <c r="D403" s="146"/>
      <c r="E403" s="148"/>
      <c r="F403" s="148"/>
      <c r="G403" s="398"/>
      <c r="H403" s="404">
        <f>OBRA!AF402</f>
        <v>0</v>
      </c>
      <c r="I403" s="400"/>
      <c r="J403" s="406">
        <f>OBRA!AG402</f>
        <v>0</v>
      </c>
      <c r="K403" s="401"/>
      <c r="L403" s="404">
        <f>OBRA!AH402</f>
        <v>0</v>
      </c>
      <c r="M403" s="402"/>
      <c r="N403" s="404">
        <f>OBRA!AI402</f>
        <v>0</v>
      </c>
      <c r="O403" s="144"/>
      <c r="P403" s="144"/>
      <c r="Q403" s="403"/>
      <c r="R403" s="407">
        <f>OBRA!AJ402</f>
        <v>0</v>
      </c>
      <c r="S403" s="201"/>
      <c r="T403" s="399" t="str">
        <f>OBRA!W402</f>
        <v>INGENIERÍA ARQUITECTURA MENDPAD S.A. DE C.V.</v>
      </c>
      <c r="U403" s="408" t="str">
        <f>OBRA!X402</f>
        <v>LIC. SALVADOR CONTRERAS OLGUÍN</v>
      </c>
      <c r="V403" s="1090"/>
      <c r="W403" s="19" t="str">
        <f>OBRA!N402</f>
        <v>GMJ 019 C-OP/2019</v>
      </c>
      <c r="X403" s="12"/>
      <c r="Y403" s="12"/>
      <c r="Z403" s="409" t="str">
        <f>OBRA!M402</f>
        <v>RAMO 33</v>
      </c>
      <c r="AA403" s="12"/>
      <c r="AB403" s="2" t="str">
        <f>OBRA!O402</f>
        <v>ADJUDICACIÓN DIRECTA</v>
      </c>
      <c r="AC403" s="3" t="str">
        <f>OBRA!P402</f>
        <v>"REHABILITACIÓN DE RED DE AGUA POTABLE EN PRIVADA ZARAGOZA DE CALLE ZARAGOZA A CERRADA DELEGACIÓN DE SAN JUAN COSALA MUNICIPIO DE JOCOTEPEC, JALISCO".</v>
      </c>
      <c r="AD403" s="4">
        <f>OBRA!R402</f>
        <v>118188.71</v>
      </c>
      <c r="AE403" s="6">
        <f>OBRA!S402</f>
        <v>43707</v>
      </c>
      <c r="AF403" s="5">
        <f>OBRA!T402</f>
        <v>43710</v>
      </c>
      <c r="AG403" s="390">
        <f>OBRA!U402</f>
        <v>43731</v>
      </c>
      <c r="AH403" s="52"/>
      <c r="AI403" s="211"/>
      <c r="AJ403" s="242"/>
      <c r="AK403" s="242"/>
      <c r="AL403" s="394"/>
      <c r="AM403" s="519" t="str">
        <f>GRAL!B404</f>
        <v>2018-2021</v>
      </c>
    </row>
    <row r="404" spans="1:39" ht="21.95" hidden="1" customHeight="1" thickTop="1">
      <c r="A404" s="158">
        <f>OBRA!J403</f>
        <v>2019</v>
      </c>
      <c r="B404" s="1683"/>
      <c r="C404" s="395"/>
      <c r="D404" s="146"/>
      <c r="E404" s="148"/>
      <c r="F404" s="148"/>
      <c r="G404" s="398"/>
      <c r="H404" s="404" t="str">
        <f>OBRA!AF403</f>
        <v>-</v>
      </c>
      <c r="I404" s="400"/>
      <c r="J404" s="406" t="str">
        <f>OBRA!AG403</f>
        <v>-</v>
      </c>
      <c r="K404" s="401"/>
      <c r="L404" s="404" t="str">
        <f>OBRA!AH403</f>
        <v>-</v>
      </c>
      <c r="M404" s="402"/>
      <c r="N404" s="404" t="str">
        <f>OBRA!AI403</f>
        <v>-</v>
      </c>
      <c r="O404" s="144"/>
      <c r="P404" s="144"/>
      <c r="Q404" s="403"/>
      <c r="R404" s="407" t="str">
        <f>OBRA!AJ403</f>
        <v>-</v>
      </c>
      <c r="S404" s="201"/>
      <c r="T404" s="399" t="str">
        <f>OBRA!W403</f>
        <v>INGENIERÍA ARQUITECTURA MENDPAD S.A. DE C.V.</v>
      </c>
      <c r="U404" s="408" t="str">
        <f>OBRA!X403</f>
        <v>LIC. SALVADOR CONTRERAS OLGUÍN</v>
      </c>
      <c r="V404" s="1090"/>
      <c r="W404" s="19" t="str">
        <f>OBRA!N403</f>
        <v>GMJ 020 C-OP/2019</v>
      </c>
      <c r="X404" s="12"/>
      <c r="Y404" s="12"/>
      <c r="Z404" s="409" t="str">
        <f>OBRA!M403</f>
        <v>RAMO 33</v>
      </c>
      <c r="AA404" s="12"/>
      <c r="AB404" s="2" t="str">
        <f>OBRA!O403</f>
        <v>ADJUDICACIÓN DIRECTA</v>
      </c>
      <c r="AC404" s="3" t="str">
        <f>OBRA!P403</f>
        <v>"CONSTRUCCIÓN DE RED DE AGUA POTABLE EN CALLE PRIVADA GUADALUPE VICTORIA DELEGACIÓN DE SAN JUAN COSALA MUNICIPIO DE JOCOTEPEC, JALISCO"</v>
      </c>
      <c r="AD404" s="4">
        <f>OBRA!R403</f>
        <v>104942</v>
      </c>
      <c r="AE404" s="6">
        <f>OBRA!S403</f>
        <v>43740</v>
      </c>
      <c r="AF404" s="5">
        <f>OBRA!T403</f>
        <v>43741</v>
      </c>
      <c r="AG404" s="390">
        <f>OBRA!U403</f>
        <v>43768</v>
      </c>
      <c r="AH404" s="52"/>
      <c r="AI404" s="211"/>
      <c r="AJ404" s="242"/>
      <c r="AK404" s="242"/>
      <c r="AL404" s="394"/>
      <c r="AM404" s="519" t="str">
        <f>GRAL!B405</f>
        <v>2018-2021</v>
      </c>
    </row>
    <row r="405" spans="1:39" ht="21.95" hidden="1" customHeight="1" thickTop="1">
      <c r="A405" s="158">
        <f>OBRA!J404</f>
        <v>2019</v>
      </c>
      <c r="B405" s="1683"/>
      <c r="C405" s="395"/>
      <c r="D405" s="146"/>
      <c r="E405" s="148"/>
      <c r="F405" s="148"/>
      <c r="G405" s="398"/>
      <c r="H405" s="404" t="str">
        <f>OBRA!AF404</f>
        <v>-</v>
      </c>
      <c r="I405" s="400"/>
      <c r="J405" s="406" t="str">
        <f>OBRA!AG404</f>
        <v>-</v>
      </c>
      <c r="K405" s="401"/>
      <c r="L405" s="404" t="str">
        <f>OBRA!AH404</f>
        <v>-</v>
      </c>
      <c r="M405" s="402"/>
      <c r="N405" s="404" t="str">
        <f>OBRA!AI404</f>
        <v>-</v>
      </c>
      <c r="O405" s="144"/>
      <c r="P405" s="144"/>
      <c r="Q405" s="403"/>
      <c r="R405" s="407" t="str">
        <f>OBRA!AJ404</f>
        <v>-</v>
      </c>
      <c r="S405" s="201"/>
      <c r="T405" s="399" t="str">
        <f>OBRA!W404</f>
        <v>INGENIERÍA ARQUITECTURA MENDPAD S.A. DE C.V.</v>
      </c>
      <c r="U405" s="408" t="str">
        <f>OBRA!X404</f>
        <v>LIC. SALVADOR CONTRERAS OLGUÍN</v>
      </c>
      <c r="V405" s="1090"/>
      <c r="W405" s="19" t="str">
        <f>OBRA!N404</f>
        <v>GMJ 021 C-OP/2019</v>
      </c>
      <c r="X405" s="12"/>
      <c r="Y405" s="12"/>
      <c r="Z405" s="409" t="str">
        <f>OBRA!M404</f>
        <v>RAMO 33</v>
      </c>
      <c r="AA405" s="12"/>
      <c r="AB405" s="2" t="str">
        <f>OBRA!O404</f>
        <v>ADJUDICACIÓN DIRECTA</v>
      </c>
      <c r="AC405" s="3" t="str">
        <f>OBRA!P404</f>
        <v>"CONSTRUCCIÓN DE LÍNEA DE DRENAJE SANITARIO EN CALLE PRIVADA GUADALUPE VICTORIA DELELGACIÓN DE SAN JUAN COSALA MUNICIPIO DE JOCOTEPEC, JALISCO".</v>
      </c>
      <c r="AD405" s="4">
        <f>OBRA!R404</f>
        <v>124713.47</v>
      </c>
      <c r="AE405" s="6">
        <f>OBRA!S404</f>
        <v>43740</v>
      </c>
      <c r="AF405" s="5">
        <f>OBRA!T404</f>
        <v>43741</v>
      </c>
      <c r="AG405" s="390">
        <f>OBRA!U404</f>
        <v>43768</v>
      </c>
      <c r="AH405" s="52"/>
      <c r="AI405" s="211"/>
      <c r="AJ405" s="242"/>
      <c r="AK405" s="242"/>
      <c r="AL405" s="394"/>
      <c r="AM405" s="519" t="str">
        <f>GRAL!B406</f>
        <v>2018-2021</v>
      </c>
    </row>
    <row r="406" spans="1:39" ht="21.95" hidden="1" customHeight="1" thickTop="1">
      <c r="A406" s="158">
        <f>OBRA!J405</f>
        <v>2019</v>
      </c>
      <c r="B406" s="1683"/>
      <c r="C406" s="395"/>
      <c r="D406" s="146"/>
      <c r="E406" s="148"/>
      <c r="F406" s="148"/>
      <c r="G406" s="398"/>
      <c r="H406" s="404" t="str">
        <f>OBRA!AF405</f>
        <v>-</v>
      </c>
      <c r="I406" s="400"/>
      <c r="J406" s="406" t="str">
        <f>OBRA!AG405</f>
        <v>-</v>
      </c>
      <c r="K406" s="401"/>
      <c r="L406" s="404" t="str">
        <f>OBRA!AH405</f>
        <v>-</v>
      </c>
      <c r="M406" s="402"/>
      <c r="N406" s="404" t="str">
        <f>OBRA!AI405</f>
        <v>-</v>
      </c>
      <c r="O406" s="144"/>
      <c r="P406" s="144"/>
      <c r="Q406" s="403"/>
      <c r="R406" s="407" t="str">
        <f>OBRA!AJ405</f>
        <v>-</v>
      </c>
      <c r="S406" s="201"/>
      <c r="T406" s="399" t="str">
        <f>OBRA!W405</f>
        <v>C. PAUL ANTONIO VENEGAS GARCÍA</v>
      </c>
      <c r="U406" s="408" t="str">
        <f>OBRA!X405</f>
        <v>ARQ. JAIME CONDE GOMEZ</v>
      </c>
      <c r="V406" s="1090"/>
      <c r="W406" s="19" t="str">
        <f>OBRA!N405</f>
        <v>GMJ 022 C-OP/2019</v>
      </c>
      <c r="X406" s="12"/>
      <c r="Y406" s="12"/>
      <c r="Z406" s="409" t="str">
        <f>OBRA!M405</f>
        <v>RASTRO DIGNO / CTA-CTE</v>
      </c>
      <c r="AA406" s="12"/>
      <c r="AB406" s="2" t="str">
        <f>OBRA!O405</f>
        <v>CANCELADA</v>
      </c>
      <c r="AC406" s="3" t="str">
        <f>OBRA!P405</f>
        <v xml:space="preserve">"CONSTRUCCIÓN DE PLANTA DE TRATAMIENTO INCLUYENDO OBRA CIVIL Y EQUIPAMIENTO EN EL RASTRO MUNICIPAL", EN LA CABECERA MUNICIPAL DE JOCOTEPEC, JALISCO </v>
      </c>
      <c r="AD406" s="4">
        <f>OBRA!R405</f>
        <v>1688433.48</v>
      </c>
      <c r="AE406" s="6">
        <f>OBRA!S405</f>
        <v>43709</v>
      </c>
      <c r="AF406" s="5">
        <f>OBRA!T405</f>
        <v>43710</v>
      </c>
      <c r="AG406" s="390">
        <f>OBRA!U405</f>
        <v>43785</v>
      </c>
      <c r="AH406" s="52"/>
      <c r="AI406" s="211"/>
      <c r="AJ406" s="242"/>
      <c r="AK406" s="242"/>
      <c r="AL406" s="394"/>
      <c r="AM406" s="519" t="str">
        <f>GRAL!B407</f>
        <v>2018-2021</v>
      </c>
    </row>
    <row r="407" spans="1:39" ht="21.95" hidden="1" customHeight="1" thickTop="1">
      <c r="A407" s="158">
        <f>OBRA!J406</f>
        <v>2019</v>
      </c>
      <c r="B407" s="1683"/>
      <c r="C407" s="395"/>
      <c r="D407" s="146"/>
      <c r="E407" s="148"/>
      <c r="F407" s="148"/>
      <c r="G407" s="398"/>
      <c r="H407" s="404" t="str">
        <f>OBRA!AF406</f>
        <v>-</v>
      </c>
      <c r="I407" s="400"/>
      <c r="J407" s="406" t="str">
        <f>OBRA!AG406</f>
        <v>-</v>
      </c>
      <c r="K407" s="401"/>
      <c r="L407" s="404" t="str">
        <f>OBRA!AH406</f>
        <v>-</v>
      </c>
      <c r="M407" s="402"/>
      <c r="N407" s="404" t="str">
        <f>OBRA!AI406</f>
        <v>-</v>
      </c>
      <c r="O407" s="144"/>
      <c r="P407" s="144"/>
      <c r="Q407" s="403"/>
      <c r="R407" s="407" t="str">
        <f>OBRA!AJ406</f>
        <v>-</v>
      </c>
      <c r="S407" s="201"/>
      <c r="T407" s="399" t="str">
        <f>OBRA!W406</f>
        <v>SDT CONSTRUCTORA S.A. DE C.V.</v>
      </c>
      <c r="U407" s="408" t="str">
        <f>OBRA!X406</f>
        <v>ARQ. JAIME CONDE GOMEZ</v>
      </c>
      <c r="V407" s="1090"/>
      <c r="W407" s="19" t="str">
        <f>OBRA!N406</f>
        <v>GMJ 023 C-OP/2019</v>
      </c>
      <c r="X407" s="12"/>
      <c r="Y407" s="12"/>
      <c r="Z407" s="409" t="str">
        <f>OBRA!M406</f>
        <v>RASTRO DIGNO / CTA-CTE</v>
      </c>
      <c r="AA407" s="12"/>
      <c r="AB407" s="2" t="str">
        <f>OBRA!O406</f>
        <v>ADJUDICACIÓN DIRECTA</v>
      </c>
      <c r="AC407" s="3" t="str">
        <f>OBRA!P406</f>
        <v>“CONSTRUCCIÓN DE ÁREA DE CORRALES MÓDULO 1 PRIMERA ETAPA EN EL RASTRO MUNICIPAL”, EN LA CABECERA MUNICIPAL, DE JOCOTEPEC, JALISCO.</v>
      </c>
      <c r="AD407" s="4">
        <f>OBRA!R406</f>
        <v>1393906.05</v>
      </c>
      <c r="AE407" s="6">
        <f>OBRA!S406</f>
        <v>43755</v>
      </c>
      <c r="AF407" s="5">
        <f>OBRA!T406</f>
        <v>43759</v>
      </c>
      <c r="AG407" s="390">
        <f>OBRA!U406</f>
        <v>43830</v>
      </c>
      <c r="AH407" s="52"/>
      <c r="AI407" s="211"/>
      <c r="AJ407" s="242"/>
      <c r="AK407" s="242"/>
      <c r="AL407" s="394"/>
      <c r="AM407" s="519" t="str">
        <f>GRAL!B408</f>
        <v>2018-2021</v>
      </c>
    </row>
    <row r="408" spans="1:39" ht="21.95" hidden="1" customHeight="1" thickTop="1">
      <c r="A408" s="158">
        <f>OBRA!J407</f>
        <v>2019</v>
      </c>
      <c r="B408" s="1683"/>
      <c r="C408" s="395"/>
      <c r="D408" s="146"/>
      <c r="E408" s="148"/>
      <c r="F408" s="148"/>
      <c r="G408" s="398"/>
      <c r="H408" s="404" t="str">
        <f>OBRA!AF407</f>
        <v>-</v>
      </c>
      <c r="I408" s="400"/>
      <c r="J408" s="406" t="str">
        <f>OBRA!AG407</f>
        <v>-</v>
      </c>
      <c r="K408" s="401"/>
      <c r="L408" s="404" t="str">
        <f>OBRA!AH407</f>
        <v>-</v>
      </c>
      <c r="M408" s="402"/>
      <c r="N408" s="404" t="str">
        <f>OBRA!AI407</f>
        <v>-</v>
      </c>
      <c r="O408" s="144"/>
      <c r="P408" s="144"/>
      <c r="Q408" s="403"/>
      <c r="R408" s="407" t="str">
        <f>OBRA!AJ407</f>
        <v>-</v>
      </c>
      <c r="S408" s="201"/>
      <c r="T408" s="399" t="str">
        <f>OBRA!W407</f>
        <v>DACO, DESARROLLOS ARQUITECTÓNICOS Y CONSTRUCCIÓN OBRA CIVIL S.A. DE C.V.</v>
      </c>
      <c r="U408" s="408" t="str">
        <f>OBRA!X407</f>
        <v>ARQ. JAIME CONDE GOMEZ</v>
      </c>
      <c r="V408" s="1090"/>
      <c r="W408" s="19" t="str">
        <f>OBRA!N407</f>
        <v>GMJ 024 C-OP/2019</v>
      </c>
      <c r="X408" s="12"/>
      <c r="Y408" s="12"/>
      <c r="Z408" s="409" t="str">
        <f>OBRA!M407</f>
        <v>RASTRO DIGNO / CTA-CTE</v>
      </c>
      <c r="AA408" s="12"/>
      <c r="AB408" s="2" t="str">
        <f>OBRA!O407</f>
        <v>ADJUDICACIÓN DIRECTA</v>
      </c>
      <c r="AC408" s="3" t="str">
        <f>OBRA!P407</f>
        <v>“REHABILITACIÓN DE ÁREA DE MATANZA EN ESTRUCTURA Y TECHUMBRE PRIMERA ETAPA EN EL RASTRO MUNICIPAL”, EN LA CABECERA MUNICIPAL, DE JOCOTEPEC, JALISCO.</v>
      </c>
      <c r="AD408" s="4">
        <f>OBRA!R407</f>
        <v>1414229.08</v>
      </c>
      <c r="AE408" s="6">
        <f>OBRA!S407</f>
        <v>43755</v>
      </c>
      <c r="AF408" s="5">
        <f>OBRA!T407</f>
        <v>43759</v>
      </c>
      <c r="AG408" s="390">
        <f>OBRA!U407</f>
        <v>43830</v>
      </c>
      <c r="AH408" s="52"/>
      <c r="AI408" s="211"/>
      <c r="AJ408" s="242"/>
      <c r="AK408" s="242"/>
      <c r="AL408" s="394"/>
      <c r="AM408" s="519" t="str">
        <f>GRAL!B409</f>
        <v>2018-2021</v>
      </c>
    </row>
    <row r="409" spans="1:39" ht="21.95" hidden="1" customHeight="1" thickTop="1">
      <c r="A409" s="158">
        <f>OBRA!J408</f>
        <v>2019</v>
      </c>
      <c r="B409" s="1683"/>
      <c r="C409" s="395"/>
      <c r="D409" s="146"/>
      <c r="E409" s="148"/>
      <c r="F409" s="148"/>
      <c r="G409" s="398"/>
      <c r="H409" s="404" t="str">
        <f>OBRA!AF408</f>
        <v>-</v>
      </c>
      <c r="I409" s="400"/>
      <c r="J409" s="406" t="str">
        <f>OBRA!AG408</f>
        <v>-</v>
      </c>
      <c r="K409" s="401"/>
      <c r="L409" s="404" t="str">
        <f>OBRA!AH408</f>
        <v>-</v>
      </c>
      <c r="M409" s="402"/>
      <c r="N409" s="404" t="str">
        <f>OBRA!AI408</f>
        <v>-</v>
      </c>
      <c r="O409" s="144"/>
      <c r="P409" s="144"/>
      <c r="Q409" s="403"/>
      <c r="R409" s="407" t="str">
        <f>OBRA!AJ408</f>
        <v>-</v>
      </c>
      <c r="S409" s="201"/>
      <c r="T409" s="399" t="str">
        <f>OBRA!W408</f>
        <v>AV ATELIER DE ARQUITECTURA S.A. DE C.V.</v>
      </c>
      <c r="U409" s="408" t="str">
        <f>OBRA!X408</f>
        <v>LIC. SALVADOR CONTRERAS OLGUÍN</v>
      </c>
      <c r="V409" s="1090"/>
      <c r="W409" s="19" t="str">
        <f>OBRA!N408</f>
        <v>GMJ 025 C-OP/2019</v>
      </c>
      <c r="X409" s="12"/>
      <c r="Y409" s="12"/>
      <c r="Z409" s="409" t="str">
        <f>OBRA!M408</f>
        <v>RAMO 33</v>
      </c>
      <c r="AA409" s="12"/>
      <c r="AB409" s="2" t="str">
        <f>OBRA!O408</f>
        <v>ADJUDICACIÓN DIRECTA</v>
      </c>
      <c r="AC409" s="3" t="str">
        <f>OBRA!P408</f>
        <v>"REHABILITACIÓN DE RED DE DRENAJE SANITARIO EN CALLE OTOÑO ENTRE CALLE NIÑOS HEROES Y ZARAGOZA" EN LA CABECERA MUNICIPAL DE JOCOTEPEC, JALISCO</v>
      </c>
      <c r="AD409" s="4">
        <f>OBRA!R408</f>
        <v>198328.91</v>
      </c>
      <c r="AE409" s="6">
        <f>OBRA!S408</f>
        <v>43755</v>
      </c>
      <c r="AF409" s="5">
        <f>OBRA!T408</f>
        <v>43759</v>
      </c>
      <c r="AG409" s="390">
        <f>OBRA!U408</f>
        <v>43809</v>
      </c>
      <c r="AH409" s="52"/>
      <c r="AI409" s="211"/>
      <c r="AJ409" s="242"/>
      <c r="AK409" s="242"/>
      <c r="AL409" s="394"/>
      <c r="AM409" s="519" t="str">
        <f>GRAL!B410</f>
        <v>2018-2021</v>
      </c>
    </row>
    <row r="410" spans="1:39" ht="21.95" hidden="1" customHeight="1" thickTop="1">
      <c r="A410" s="158">
        <f>OBRA!J409</f>
        <v>2019</v>
      </c>
      <c r="B410" s="1683"/>
      <c r="C410" s="395"/>
      <c r="D410" s="146"/>
      <c r="E410" s="148"/>
      <c r="F410" s="148"/>
      <c r="G410" s="398"/>
      <c r="H410" s="404" t="str">
        <f>OBRA!AF409</f>
        <v>-</v>
      </c>
      <c r="I410" s="400"/>
      <c r="J410" s="406" t="str">
        <f>OBRA!AG409</f>
        <v>-</v>
      </c>
      <c r="K410" s="401"/>
      <c r="L410" s="404" t="str">
        <f>OBRA!AH409</f>
        <v>-</v>
      </c>
      <c r="M410" s="402"/>
      <c r="N410" s="404" t="str">
        <f>OBRA!AI409</f>
        <v>-</v>
      </c>
      <c r="O410" s="144"/>
      <c r="P410" s="144"/>
      <c r="Q410" s="403"/>
      <c r="R410" s="407" t="str">
        <f>OBRA!AJ409</f>
        <v>-</v>
      </c>
      <c r="S410" s="201"/>
      <c r="T410" s="399" t="str">
        <f>OBRA!W409</f>
        <v>AV ATELIER DE ARQUITECTURA S.A. DE C.V.</v>
      </c>
      <c r="U410" s="408" t="str">
        <f>OBRA!X409</f>
        <v>LIC. SALVADOR CONTRERAS OLGUÍN</v>
      </c>
      <c r="V410" s="1090"/>
      <c r="W410" s="19" t="str">
        <f>OBRA!N409</f>
        <v>GMJ 026 C-OP/2019</v>
      </c>
      <c r="X410" s="12"/>
      <c r="Y410" s="12"/>
      <c r="Z410" s="409" t="str">
        <f>OBRA!M409</f>
        <v>RAMO 33</v>
      </c>
      <c r="AA410" s="12"/>
      <c r="AB410" s="2" t="str">
        <f>OBRA!O409</f>
        <v>ADJUDICACIÓN DIRECTA</v>
      </c>
      <c r="AC410" s="3" t="str">
        <f>OBRA!P409</f>
        <v>"REHABILITACIÓN DE RED DE AGUA POTABLE EN CALLE OTOÑO ENTRE CALLE NIÑOS HEROES Y ZARAGOZA" EN LA CABECERA MUNICIPAL DE JOCOTEPEC, JALISCO</v>
      </c>
      <c r="AD410" s="4">
        <f>OBRA!R409</f>
        <v>135637.59</v>
      </c>
      <c r="AE410" s="6">
        <f>OBRA!S409</f>
        <v>43755</v>
      </c>
      <c r="AF410" s="5">
        <f>OBRA!T409</f>
        <v>43759</v>
      </c>
      <c r="AG410" s="390">
        <f>OBRA!U409</f>
        <v>43809</v>
      </c>
      <c r="AH410" s="52"/>
      <c r="AI410" s="211"/>
      <c r="AJ410" s="242"/>
      <c r="AK410" s="242"/>
      <c r="AL410" s="394"/>
      <c r="AM410" s="519" t="str">
        <f>GRAL!B411</f>
        <v>2018-2021</v>
      </c>
    </row>
    <row r="411" spans="1:39" ht="21.95" hidden="1" customHeight="1" thickTop="1">
      <c r="A411" s="158">
        <f>OBRA!J410</f>
        <v>2019</v>
      </c>
      <c r="B411" s="1683"/>
      <c r="C411" s="395"/>
      <c r="D411" s="146"/>
      <c r="E411" s="148"/>
      <c r="F411" s="148"/>
      <c r="G411" s="398"/>
      <c r="H411" s="404" t="str">
        <f>OBRA!AF410</f>
        <v>-</v>
      </c>
      <c r="I411" s="400"/>
      <c r="J411" s="406" t="str">
        <f>OBRA!AG410</f>
        <v>-</v>
      </c>
      <c r="K411" s="401"/>
      <c r="L411" s="404" t="str">
        <f>OBRA!AH410</f>
        <v>-</v>
      </c>
      <c r="M411" s="402"/>
      <c r="N411" s="404" t="str">
        <f>OBRA!AI410</f>
        <v>-</v>
      </c>
      <c r="O411" s="144"/>
      <c r="P411" s="144"/>
      <c r="Q411" s="403"/>
      <c r="R411" s="407" t="str">
        <f>OBRA!AJ410</f>
        <v>-</v>
      </c>
      <c r="S411" s="201"/>
      <c r="T411" s="399" t="str">
        <f>OBRA!W410</f>
        <v>AV ATELIER DE ARQUITECTURA S.A. DE C.V.</v>
      </c>
      <c r="U411" s="408" t="str">
        <f>OBRA!X410</f>
        <v>LIC. SALVADOR CONTRERAS OLGUÍN</v>
      </c>
      <c r="V411" s="1090"/>
      <c r="W411" s="19" t="str">
        <f>OBRA!N410</f>
        <v>GMJ 027 C-OP/2019</v>
      </c>
      <c r="X411" s="12"/>
      <c r="Y411" s="12"/>
      <c r="Z411" s="409" t="str">
        <f>OBRA!M410</f>
        <v>RAMO 33</v>
      </c>
      <c r="AA411" s="12"/>
      <c r="AB411" s="2" t="str">
        <f>OBRA!O410</f>
        <v>ADJUDICACIÓN DIRECTA</v>
      </c>
      <c r="AC411" s="3" t="str">
        <f>OBRA!P410</f>
        <v>“CONSTRUCCIÓN DE EMPEDRADO AHOGADO EN  CEMENTO EN CALLE OTOÑO ENTRE CALLE NIÑOS HÉROES Y CALLE ZARAGOZA”  EN LA CABECERA MUNICIPAL DE JOCOTEPEC, JALISCO.</v>
      </c>
      <c r="AD411" s="4">
        <f>OBRA!R410</f>
        <v>883708.77</v>
      </c>
      <c r="AE411" s="6">
        <f>OBRA!S410</f>
        <v>43755</v>
      </c>
      <c r="AF411" s="5">
        <f>OBRA!T410</f>
        <v>43759</v>
      </c>
      <c r="AG411" s="390">
        <f>OBRA!U410</f>
        <v>43809</v>
      </c>
      <c r="AH411" s="52"/>
      <c r="AI411" s="211"/>
      <c r="AJ411" s="242"/>
      <c r="AK411" s="242"/>
      <c r="AL411" s="394"/>
      <c r="AM411" s="519" t="str">
        <f>GRAL!B412</f>
        <v>2018-2021</v>
      </c>
    </row>
    <row r="412" spans="1:39" ht="21.95" hidden="1" customHeight="1" thickTop="1">
      <c r="A412" s="158">
        <f>OBRA!J411</f>
        <v>2019</v>
      </c>
      <c r="B412" s="1683"/>
      <c r="C412" s="395"/>
      <c r="D412" s="146"/>
      <c r="E412" s="148"/>
      <c r="F412" s="148"/>
      <c r="G412" s="398"/>
      <c r="H412" s="404" t="str">
        <f>OBRA!AF411</f>
        <v>-</v>
      </c>
      <c r="I412" s="400"/>
      <c r="J412" s="406" t="str">
        <f>OBRA!AG411</f>
        <v>-</v>
      </c>
      <c r="K412" s="401"/>
      <c r="L412" s="404" t="str">
        <f>OBRA!AH411</f>
        <v>-</v>
      </c>
      <c r="M412" s="402"/>
      <c r="N412" s="404" t="str">
        <f>OBRA!AI411</f>
        <v>-</v>
      </c>
      <c r="O412" s="144"/>
      <c r="P412" s="144"/>
      <c r="Q412" s="403"/>
      <c r="R412" s="407" t="str">
        <f>OBRA!AJ411</f>
        <v>-</v>
      </c>
      <c r="S412" s="201"/>
      <c r="T412" s="399" t="str">
        <f>OBRA!W411</f>
        <v>GRUPO CONSTRUCTOR HORUS, S.A. DE C.V.</v>
      </c>
      <c r="U412" s="408" t="str">
        <f>OBRA!X411</f>
        <v>ING. J. GUADALUPE IBARRA RAMIREZ</v>
      </c>
      <c r="V412" s="1090"/>
      <c r="W412" s="19" t="str">
        <f>OBRA!N411</f>
        <v>GMJ 028 C-OP/2019</v>
      </c>
      <c r="X412" s="12"/>
      <c r="Y412" s="12"/>
      <c r="Z412" s="409" t="str">
        <f>OBRA!M411</f>
        <v>RAMO 33</v>
      </c>
      <c r="AA412" s="12"/>
      <c r="AB412" s="2" t="str">
        <f>OBRA!O411</f>
        <v>ADJUDICACIÓN DIRECTA</v>
      </c>
      <c r="AC412" s="3" t="str">
        <f>OBRA!P411</f>
        <v>“REHABILITACIÓN DE LÍNEA DE DRENAJE EN LA CALLE INVIERNO ENTRE CALLES FRANCISCO VILLA Y 20 DE NOVIEMBRE”  EN LA CABECERA MUNICIPAL DE JOCOTEPEC, JALISCO.</v>
      </c>
      <c r="AD412" s="4">
        <f>OBRA!R411</f>
        <v>269609.8</v>
      </c>
      <c r="AE412" s="6">
        <f>OBRA!S411</f>
        <v>43754</v>
      </c>
      <c r="AF412" s="5">
        <f>OBRA!T411</f>
        <v>43755</v>
      </c>
      <c r="AG412" s="390">
        <f>OBRA!U411</f>
        <v>43799</v>
      </c>
      <c r="AH412" s="52"/>
      <c r="AI412" s="211"/>
      <c r="AJ412" s="242"/>
      <c r="AK412" s="242"/>
      <c r="AL412" s="394"/>
      <c r="AM412" s="519" t="str">
        <f>GRAL!B413</f>
        <v>2018-2021</v>
      </c>
    </row>
    <row r="413" spans="1:39" ht="21.95" hidden="1" customHeight="1" thickTop="1">
      <c r="A413" s="158">
        <f>OBRA!J412</f>
        <v>2019</v>
      </c>
      <c r="B413" s="1683"/>
      <c r="C413" s="395"/>
      <c r="D413" s="146"/>
      <c r="E413" s="148"/>
      <c r="F413" s="148"/>
      <c r="G413" s="398"/>
      <c r="H413" s="404">
        <f>OBRA!AF412</f>
        <v>0</v>
      </c>
      <c r="I413" s="400"/>
      <c r="J413" s="406">
        <f>OBRA!AG412</f>
        <v>0</v>
      </c>
      <c r="K413" s="401"/>
      <c r="L413" s="404">
        <f>OBRA!AH412</f>
        <v>0</v>
      </c>
      <c r="M413" s="402"/>
      <c r="N413" s="404">
        <f>OBRA!AI412</f>
        <v>0</v>
      </c>
      <c r="O413" s="144"/>
      <c r="P413" s="144"/>
      <c r="Q413" s="403"/>
      <c r="R413" s="407">
        <f>OBRA!AJ412</f>
        <v>0</v>
      </c>
      <c r="S413" s="201"/>
      <c r="T413" s="399" t="str">
        <f>OBRA!W412</f>
        <v>GRUPO CONSTRUCTOR HORUS, S.A. DE C.V.</v>
      </c>
      <c r="U413" s="408" t="str">
        <f>OBRA!X412</f>
        <v>ING. J. GUADALUPE IBARRA RAMIREZ</v>
      </c>
      <c r="V413" s="1090"/>
      <c r="W413" s="19" t="str">
        <f>OBRA!N412</f>
        <v>GMJ 029 C-OP/2019</v>
      </c>
      <c r="X413" s="12"/>
      <c r="Y413" s="12"/>
      <c r="Z413" s="409" t="str">
        <f>OBRA!M412</f>
        <v>RAMO 33</v>
      </c>
      <c r="AA413" s="12"/>
      <c r="AB413" s="2" t="str">
        <f>OBRA!O412</f>
        <v>ADJUDICACIÓN DIRECTA</v>
      </c>
      <c r="AC413" s="3" t="str">
        <f>OBRA!P412</f>
        <v>“REHABILITACIÓN DE RED DE AGUA POTABLE EN CALLE INVIERNO ENTRE CALLES FRANCISCO VILLA Y 20 DE NOVIEMBRE”  EN LA CABECERA MUNICIPAL DE JOCOTEPEC, JALISCO.</v>
      </c>
      <c r="AD413" s="4">
        <f>OBRA!R412</f>
        <v>104875.19</v>
      </c>
      <c r="AE413" s="6">
        <f>OBRA!S412</f>
        <v>43754</v>
      </c>
      <c r="AF413" s="5">
        <f>OBRA!T412</f>
        <v>43762</v>
      </c>
      <c r="AG413" s="390">
        <f>OBRA!U412</f>
        <v>43799</v>
      </c>
      <c r="AH413" s="52"/>
      <c r="AI413" s="211"/>
      <c r="AJ413" s="242"/>
      <c r="AK413" s="242"/>
      <c r="AL413" s="394"/>
      <c r="AM413" s="519" t="str">
        <f>GRAL!B414</f>
        <v>2018-2021</v>
      </c>
    </row>
    <row r="414" spans="1:39" ht="21.95" hidden="1" customHeight="1" thickTop="1">
      <c r="A414" s="158">
        <f>OBRA!J413</f>
        <v>2019</v>
      </c>
      <c r="B414" s="1683"/>
      <c r="C414" s="395"/>
      <c r="D414" s="146"/>
      <c r="E414" s="148"/>
      <c r="F414" s="148"/>
      <c r="G414" s="398"/>
      <c r="H414" s="404" t="str">
        <f>OBRA!AF413</f>
        <v>-</v>
      </c>
      <c r="I414" s="400"/>
      <c r="J414" s="406" t="str">
        <f>OBRA!AG413</f>
        <v>-</v>
      </c>
      <c r="K414" s="401"/>
      <c r="L414" s="404" t="str">
        <f>OBRA!AH413</f>
        <v>-</v>
      </c>
      <c r="M414" s="402"/>
      <c r="N414" s="404" t="str">
        <f>OBRA!AI413</f>
        <v>-</v>
      </c>
      <c r="O414" s="144"/>
      <c r="P414" s="144"/>
      <c r="Q414" s="403"/>
      <c r="R414" s="407" t="str">
        <f>OBRA!AJ413</f>
        <v>-</v>
      </c>
      <c r="S414" s="201"/>
      <c r="T414" s="399" t="str">
        <f>OBRA!W413</f>
        <v>GRUPO CONSTRUCTOR HORUS, S.A. DE C.V.</v>
      </c>
      <c r="U414" s="408" t="str">
        <f>OBRA!X413</f>
        <v>ING. J. GUADALUPE IBARRA RAMIREZ</v>
      </c>
      <c r="V414" s="1090"/>
      <c r="W414" s="19" t="str">
        <f>OBRA!N413</f>
        <v>GMJ 030 C-OP/2019</v>
      </c>
      <c r="X414" s="12"/>
      <c r="Y414" s="12"/>
      <c r="Z414" s="409" t="str">
        <f>OBRA!M413</f>
        <v>RAMO 33</v>
      </c>
      <c r="AA414" s="12"/>
      <c r="AB414" s="2" t="str">
        <f>OBRA!O413</f>
        <v>ADJUDICACIÓN DIRECTA</v>
      </c>
      <c r="AC414" s="3" t="str">
        <f>OBRA!P413</f>
        <v>“FABRICACIÓN DE EMPEDRADO AHOGADO EN CEMENTO  EN CALLE INVIERNO ENTRE CALLES FRANCISCO VILLA Y 20 DE NOVIEMBRE” EN LA CABECERA MUNICIPAL DE JOCOTEPEC, JALISCO</v>
      </c>
      <c r="AD414" s="4">
        <f>OBRA!R413</f>
        <v>702979.49</v>
      </c>
      <c r="AE414" s="6">
        <f>OBRA!S413</f>
        <v>43754</v>
      </c>
      <c r="AF414" s="5">
        <f>OBRA!T413</f>
        <v>43762</v>
      </c>
      <c r="AG414" s="390">
        <f>OBRA!U413</f>
        <v>43799</v>
      </c>
      <c r="AH414" s="52"/>
      <c r="AI414" s="211"/>
      <c r="AJ414" s="242"/>
      <c r="AK414" s="242"/>
      <c r="AL414" s="394"/>
      <c r="AM414" s="519" t="str">
        <f>GRAL!B415</f>
        <v>2018-2021</v>
      </c>
    </row>
    <row r="415" spans="1:39" ht="21.95" hidden="1" customHeight="1" thickTop="1">
      <c r="A415" s="158">
        <f>OBRA!J414</f>
        <v>2019</v>
      </c>
      <c r="B415" s="1683"/>
      <c r="C415" s="395"/>
      <c r="D415" s="146"/>
      <c r="E415" s="148"/>
      <c r="F415" s="148"/>
      <c r="G415" s="398"/>
      <c r="H415" s="404" t="str">
        <f>OBRA!AF414</f>
        <v>-</v>
      </c>
      <c r="I415" s="400"/>
      <c r="J415" s="406" t="str">
        <f>OBRA!AG414</f>
        <v>-</v>
      </c>
      <c r="K415" s="401"/>
      <c r="L415" s="404" t="str">
        <f>OBRA!AH414</f>
        <v>-</v>
      </c>
      <c r="M415" s="402"/>
      <c r="N415" s="404" t="str">
        <f>OBRA!AI414</f>
        <v>-</v>
      </c>
      <c r="O415" s="144"/>
      <c r="P415" s="144"/>
      <c r="Q415" s="403"/>
      <c r="R415" s="407" t="str">
        <f>OBRA!AJ414</f>
        <v>-</v>
      </c>
      <c r="S415" s="201"/>
      <c r="T415" s="399" t="str">
        <f>OBRA!W414</f>
        <v>CONSTRUCTORA PIMONT S.A. DE C.V.</v>
      </c>
      <c r="U415" s="408" t="str">
        <f>OBRA!X414</f>
        <v>LIC. SALVADOR CONTRERAS OLGUÍN</v>
      </c>
      <c r="V415" s="1090"/>
      <c r="W415" s="19" t="str">
        <f>OBRA!N414</f>
        <v>GMJ 031 C-OP/2019</v>
      </c>
      <c r="X415" s="12"/>
      <c r="Y415" s="12"/>
      <c r="Z415" s="409" t="str">
        <f>OBRA!M414</f>
        <v>RAMO 33</v>
      </c>
      <c r="AA415" s="12"/>
      <c r="AB415" s="2" t="str">
        <f>OBRA!O414</f>
        <v>ADJUDICACIÓN DIRECTA</v>
      </c>
      <c r="AC415" s="3" t="str">
        <f>OBRA!P414</f>
        <v>"CONSTRUCCIÓN DE BANQUETAS EN CALLE MORELOS DELEGACIÓN DE CHANTEPEC MUNICIPIO DE JOCOTEPEC, JALISCO".</v>
      </c>
      <c r="AD415" s="4">
        <f>OBRA!R414</f>
        <v>311860.06</v>
      </c>
      <c r="AE415" s="6">
        <f>OBRA!S414</f>
        <v>43754</v>
      </c>
      <c r="AF415" s="5">
        <f>OBRA!T414</f>
        <v>43759</v>
      </c>
      <c r="AG415" s="390">
        <f>OBRA!U414</f>
        <v>43790</v>
      </c>
      <c r="AH415" s="52"/>
      <c r="AI415" s="211"/>
      <c r="AJ415" s="242"/>
      <c r="AK415" s="242"/>
      <c r="AL415" s="394"/>
      <c r="AM415" s="519" t="str">
        <f>GRAL!B416</f>
        <v>2018-2021</v>
      </c>
    </row>
    <row r="416" spans="1:39" ht="21.95" hidden="1" customHeight="1" thickTop="1">
      <c r="A416" s="158">
        <f>OBRA!J415</f>
        <v>2019</v>
      </c>
      <c r="B416" s="1683"/>
      <c r="C416" s="395"/>
      <c r="D416" s="146"/>
      <c r="E416" s="148"/>
      <c r="F416" s="148"/>
      <c r="G416" s="398"/>
      <c r="H416" s="404" t="str">
        <f>OBRA!AF415</f>
        <v>-</v>
      </c>
      <c r="I416" s="400"/>
      <c r="J416" s="406" t="str">
        <f>OBRA!AG415</f>
        <v>-</v>
      </c>
      <c r="K416" s="401"/>
      <c r="L416" s="404" t="str">
        <f>OBRA!AH415</f>
        <v>-</v>
      </c>
      <c r="M416" s="402"/>
      <c r="N416" s="404" t="str">
        <f>OBRA!AI415</f>
        <v>-</v>
      </c>
      <c r="O416" s="144"/>
      <c r="P416" s="144"/>
      <c r="Q416" s="403"/>
      <c r="R416" s="407" t="str">
        <f>OBRA!AJ415</f>
        <v>-</v>
      </c>
      <c r="S416" s="201"/>
      <c r="T416" s="399">
        <f>OBRA!W415</f>
        <v>0</v>
      </c>
      <c r="U416" s="408">
        <f>OBRA!X415</f>
        <v>0</v>
      </c>
      <c r="V416" s="1090"/>
      <c r="W416" s="19" t="str">
        <f>OBRA!N415</f>
        <v>GMJ 032 C-OP/2019</v>
      </c>
      <c r="X416" s="12"/>
      <c r="Y416" s="12"/>
      <c r="Z416" s="409">
        <f>OBRA!M415</f>
        <v>0</v>
      </c>
      <c r="AA416" s="12"/>
      <c r="AB416" s="2" t="str">
        <f>OBRA!O415</f>
        <v>CANCELADA</v>
      </c>
      <c r="AC416" s="3">
        <f>OBRA!P415</f>
        <v>0</v>
      </c>
      <c r="AD416" s="4">
        <f>OBRA!R415</f>
        <v>0</v>
      </c>
      <c r="AE416" s="6">
        <f>OBRA!S415</f>
        <v>0</v>
      </c>
      <c r="AF416" s="5">
        <f>OBRA!T415</f>
        <v>0</v>
      </c>
      <c r="AG416" s="390">
        <f>OBRA!U415</f>
        <v>0</v>
      </c>
      <c r="AH416" s="52"/>
      <c r="AI416" s="211"/>
      <c r="AJ416" s="242"/>
      <c r="AK416" s="242"/>
      <c r="AL416" s="394"/>
      <c r="AM416" s="519" t="str">
        <f>GRAL!B417</f>
        <v>2018-2021</v>
      </c>
    </row>
    <row r="417" spans="1:39" ht="21.95" hidden="1" customHeight="1" thickTop="1">
      <c r="A417" s="158">
        <f>OBRA!J416</f>
        <v>2019</v>
      </c>
      <c r="B417" s="1683"/>
      <c r="C417" s="395"/>
      <c r="D417" s="146"/>
      <c r="E417" s="148"/>
      <c r="F417" s="148"/>
      <c r="G417" s="398"/>
      <c r="H417" s="404" t="str">
        <f>OBRA!AF416</f>
        <v>-</v>
      </c>
      <c r="I417" s="400"/>
      <c r="J417" s="406" t="str">
        <f>OBRA!AG416</f>
        <v>-</v>
      </c>
      <c r="K417" s="401"/>
      <c r="L417" s="404" t="str">
        <f>OBRA!AH416</f>
        <v>-</v>
      </c>
      <c r="M417" s="402"/>
      <c r="N417" s="404" t="str">
        <f>OBRA!AI416</f>
        <v>-</v>
      </c>
      <c r="O417" s="144"/>
      <c r="P417" s="144"/>
      <c r="Q417" s="403"/>
      <c r="R417" s="407" t="str">
        <f>OBRA!AJ416</f>
        <v>-</v>
      </c>
      <c r="S417" s="201"/>
      <c r="T417" s="399">
        <f>OBRA!W416</f>
        <v>0</v>
      </c>
      <c r="U417" s="408">
        <f>OBRA!X416</f>
        <v>0</v>
      </c>
      <c r="V417" s="1090"/>
      <c r="W417" s="19" t="str">
        <f>OBRA!N416</f>
        <v>GMJ 033 C-OP/2019</v>
      </c>
      <c r="X417" s="12"/>
      <c r="Y417" s="12"/>
      <c r="Z417" s="409">
        <f>OBRA!M416</f>
        <v>0</v>
      </c>
      <c r="AA417" s="12"/>
      <c r="AB417" s="2" t="str">
        <f>OBRA!O416</f>
        <v>CANCELADA</v>
      </c>
      <c r="AC417" s="3">
        <f>OBRA!P416</f>
        <v>0</v>
      </c>
      <c r="AD417" s="4">
        <f>OBRA!R416</f>
        <v>0</v>
      </c>
      <c r="AE417" s="6">
        <f>OBRA!S416</f>
        <v>0</v>
      </c>
      <c r="AF417" s="5">
        <f>OBRA!T416</f>
        <v>0</v>
      </c>
      <c r="AG417" s="390">
        <f>OBRA!U416</f>
        <v>0</v>
      </c>
      <c r="AH417" s="52"/>
      <c r="AI417" s="211"/>
      <c r="AJ417" s="242"/>
      <c r="AK417" s="242"/>
      <c r="AL417" s="394"/>
      <c r="AM417" s="519" t="str">
        <f>GRAL!B418</f>
        <v>2018-2021</v>
      </c>
    </row>
    <row r="418" spans="1:39" ht="21.95" hidden="1" customHeight="1" thickTop="1">
      <c r="A418" s="158">
        <f>OBRA!J417</f>
        <v>2019</v>
      </c>
      <c r="B418" s="1683"/>
      <c r="C418" s="395"/>
      <c r="D418" s="146"/>
      <c r="E418" s="148"/>
      <c r="F418" s="148"/>
      <c r="G418" s="398"/>
      <c r="H418" s="404" t="str">
        <f>OBRA!AF417</f>
        <v>-</v>
      </c>
      <c r="I418" s="400"/>
      <c r="J418" s="406" t="str">
        <f>OBRA!AG417</f>
        <v>-</v>
      </c>
      <c r="K418" s="401"/>
      <c r="L418" s="404" t="str">
        <f>OBRA!AH417</f>
        <v>-</v>
      </c>
      <c r="M418" s="402"/>
      <c r="N418" s="404" t="str">
        <f>OBRA!AI417</f>
        <v>-</v>
      </c>
      <c r="O418" s="144"/>
      <c r="P418" s="144"/>
      <c r="Q418" s="403"/>
      <c r="R418" s="407" t="str">
        <f>OBRA!AJ417</f>
        <v>-</v>
      </c>
      <c r="S418" s="201"/>
      <c r="T418" s="399" t="str">
        <f>OBRA!W417</f>
        <v>INGENIERÍA ARQUITECTURA MENDPAD S.A. DE C.V.</v>
      </c>
      <c r="U418" s="408" t="str">
        <f>OBRA!X417</f>
        <v>LIC. SALVADOR CONTRERAS OLGUÍN</v>
      </c>
      <c r="V418" s="1090"/>
      <c r="W418" s="19" t="str">
        <f>OBRA!N417</f>
        <v>GMJ 034 C-OP/2019</v>
      </c>
      <c r="X418" s="12"/>
      <c r="Y418" s="12"/>
      <c r="Z418" s="409" t="str">
        <f>OBRA!M417</f>
        <v>RAMO 33</v>
      </c>
      <c r="AA418" s="12"/>
      <c r="AB418" s="2" t="str">
        <f>OBRA!O417</f>
        <v>ADJUDICACIÓN DIRECTA</v>
      </c>
      <c r="AC418" s="3" t="str">
        <f>OBRA!P417</f>
        <v xml:space="preserve">"CONSTRUCCIÓN DE RED DE DRENAJE SANITARIO, 2DA. ETAPA EN PRIVADA ZARAGOZA DE CALLE ZARAGOZA A CERRADA DELEGACIÓN DE SAN JUAN COSALA MUNICIPIO DE JOCOTEPEC, JALISCO". </v>
      </c>
      <c r="AD418" s="4">
        <f>OBRA!R417</f>
        <v>82700.09</v>
      </c>
      <c r="AE418" s="6">
        <f>OBRA!S417</f>
        <v>43754</v>
      </c>
      <c r="AF418" s="5">
        <f>OBRA!T417</f>
        <v>43755</v>
      </c>
      <c r="AG418" s="390">
        <f>OBRA!U417</f>
        <v>43767</v>
      </c>
      <c r="AH418" s="52"/>
      <c r="AI418" s="211"/>
      <c r="AJ418" s="242"/>
      <c r="AK418" s="242"/>
      <c r="AL418" s="394"/>
      <c r="AM418" s="519" t="str">
        <f>GRAL!B419</f>
        <v>2018-2021</v>
      </c>
    </row>
    <row r="419" spans="1:39" ht="21.95" hidden="1" customHeight="1" thickTop="1">
      <c r="A419" s="158">
        <f>OBRA!J418</f>
        <v>2019</v>
      </c>
      <c r="B419" s="1683"/>
      <c r="C419" s="395"/>
      <c r="D419" s="146"/>
      <c r="E419" s="148"/>
      <c r="F419" s="148"/>
      <c r="G419" s="398"/>
      <c r="H419" s="404" t="str">
        <f>OBRA!AF418</f>
        <v>-</v>
      </c>
      <c r="I419" s="400"/>
      <c r="J419" s="406" t="str">
        <f>OBRA!AG418</f>
        <v>-</v>
      </c>
      <c r="K419" s="401"/>
      <c r="L419" s="404" t="str">
        <f>OBRA!AH418</f>
        <v>-</v>
      </c>
      <c r="M419" s="402"/>
      <c r="N419" s="404" t="str">
        <f>OBRA!AI418</f>
        <v>-</v>
      </c>
      <c r="O419" s="144"/>
      <c r="P419" s="144"/>
      <c r="Q419" s="403"/>
      <c r="R419" s="407" t="str">
        <f>OBRA!AJ418</f>
        <v>-</v>
      </c>
      <c r="S419" s="201"/>
      <c r="T419" s="399" t="str">
        <f>OBRA!W418</f>
        <v>INGENIERÍA ARQUITECTURA MENDPAD S.A. DE C.V.</v>
      </c>
      <c r="U419" s="408" t="str">
        <f>OBRA!X418</f>
        <v>LIC. SALVADOR CONTRERAS OLGUÍN</v>
      </c>
      <c r="V419" s="1090"/>
      <c r="W419" s="19" t="str">
        <f>OBRA!N418</f>
        <v>GMJ 035 C-OP/2019</v>
      </c>
      <c r="X419" s="12"/>
      <c r="Y419" s="12"/>
      <c r="Z419" s="409" t="str">
        <f>OBRA!M418</f>
        <v>RAMO 33</v>
      </c>
      <c r="AA419" s="12"/>
      <c r="AB419" s="2" t="str">
        <f>OBRA!O418</f>
        <v>ADJUDICACIÓN DIRECTA</v>
      </c>
      <c r="AC419" s="3" t="str">
        <f>OBRA!P418</f>
        <v>"REHABILITACIÓN DE LÍNEA DE DRENAJE EN CALLE VERANO ENTRE CALLES NIÑOS HÉROES Y LÓPEZ RAYÓN CABECERA MUNICIPAL DE JOCOTEPEC, JALISCO".</v>
      </c>
      <c r="AD419" s="4">
        <f>OBRA!R418</f>
        <v>118488.2</v>
      </c>
      <c r="AE419" s="6">
        <f>OBRA!S418</f>
        <v>43794</v>
      </c>
      <c r="AF419" s="5">
        <f>OBRA!T418</f>
        <v>43795</v>
      </c>
      <c r="AG419" s="390">
        <f>OBRA!U418</f>
        <v>43813</v>
      </c>
      <c r="AH419" s="52"/>
      <c r="AI419" s="211"/>
      <c r="AJ419" s="242"/>
      <c r="AK419" s="242"/>
      <c r="AL419" s="394"/>
      <c r="AM419" s="519" t="str">
        <f>GRAL!B420</f>
        <v>2018-2021</v>
      </c>
    </row>
    <row r="420" spans="1:39" ht="24.95" hidden="1" customHeight="1" thickTop="1">
      <c r="A420" s="158">
        <f>OBRA!J419</f>
        <v>2019</v>
      </c>
      <c r="B420" s="1683"/>
      <c r="C420" s="395"/>
      <c r="D420" s="146"/>
      <c r="E420" s="148"/>
      <c r="F420" s="148"/>
      <c r="G420" s="398"/>
      <c r="H420" s="404" t="str">
        <f>OBRA!AF419</f>
        <v>-</v>
      </c>
      <c r="I420" s="400"/>
      <c r="J420" s="406" t="str">
        <f>OBRA!AG419</f>
        <v>-</v>
      </c>
      <c r="K420" s="401"/>
      <c r="L420" s="404" t="str">
        <f>OBRA!AH419</f>
        <v>-</v>
      </c>
      <c r="M420" s="402"/>
      <c r="N420" s="404" t="str">
        <f>OBRA!AI419</f>
        <v>-</v>
      </c>
      <c r="O420" s="144"/>
      <c r="P420" s="144"/>
      <c r="Q420" s="403"/>
      <c r="R420" s="407" t="str">
        <f>OBRA!AJ419</f>
        <v>-</v>
      </c>
      <c r="S420" s="201"/>
      <c r="T420" s="399" t="str">
        <f>OBRA!W419</f>
        <v>INGENIERÍA ARQUITECTURA MENDPAD S.A. DE C.V.</v>
      </c>
      <c r="U420" s="408" t="str">
        <f>OBRA!X419</f>
        <v>LIC. SALVADOR CONTRERAS OLGUÍN</v>
      </c>
      <c r="V420" s="1090"/>
      <c r="W420" s="19" t="str">
        <f>OBRA!N419</f>
        <v>GMJ 036 C-OP/2019</v>
      </c>
      <c r="X420" s="12"/>
      <c r="Y420" s="12"/>
      <c r="Z420" s="409" t="str">
        <f>OBRA!M419</f>
        <v>RAMO 33</v>
      </c>
      <c r="AA420" s="12"/>
      <c r="AB420" s="2" t="str">
        <f>OBRA!O419</f>
        <v>ADJUDICACIÓN DIRECTA</v>
      </c>
      <c r="AC420" s="3" t="str">
        <f>OBRA!P419</f>
        <v>"CONSTRUCCIÓN DE EMPEDRADO AHOGADO EN CEMENTO EN CALLE VERANO ENTRE NIÑOS HÉROES Y EMPEDRADO EXISTENTE CABECERA MUNICIPAL DE JOCOTEPEC, JALISCO".</v>
      </c>
      <c r="AD420" s="4">
        <f>OBRA!R419</f>
        <v>267068.21999999997</v>
      </c>
      <c r="AE420" s="6">
        <f>OBRA!S419</f>
        <v>43794</v>
      </c>
      <c r="AF420" s="5">
        <f>OBRA!T419</f>
        <v>43801</v>
      </c>
      <c r="AG420" s="390">
        <f>OBRA!U419</f>
        <v>43830</v>
      </c>
      <c r="AH420" s="52"/>
      <c r="AI420" s="211"/>
      <c r="AJ420" s="242"/>
      <c r="AK420" s="242"/>
      <c r="AL420" s="394"/>
      <c r="AM420" s="519" t="str">
        <f>GRAL!B421</f>
        <v>2018-2021</v>
      </c>
    </row>
    <row r="421" spans="1:39" ht="24.95" hidden="1" customHeight="1" thickTop="1">
      <c r="A421" s="158">
        <f>OBRA!J420</f>
        <v>2019</v>
      </c>
      <c r="B421" s="1683"/>
      <c r="C421" s="395"/>
      <c r="D421" s="146"/>
      <c r="E421" s="148"/>
      <c r="F421" s="148"/>
      <c r="G421" s="398"/>
      <c r="H421" s="404">
        <f>OBRA!AF420</f>
        <v>0</v>
      </c>
      <c r="I421" s="400"/>
      <c r="J421" s="406">
        <f>OBRA!AG420</f>
        <v>0</v>
      </c>
      <c r="K421" s="401"/>
      <c r="L421" s="404">
        <f>OBRA!AH420</f>
        <v>0</v>
      </c>
      <c r="M421" s="402"/>
      <c r="N421" s="404">
        <f>OBRA!AI420</f>
        <v>0</v>
      </c>
      <c r="O421" s="144"/>
      <c r="P421" s="144"/>
      <c r="Q421" s="403"/>
      <c r="R421" s="407">
        <f>OBRA!AJ420</f>
        <v>0</v>
      </c>
      <c r="S421" s="201"/>
      <c r="T421" s="399">
        <f>OBRA!W420</f>
        <v>0</v>
      </c>
      <c r="U421" s="408">
        <f>OBRA!X420</f>
        <v>0</v>
      </c>
      <c r="V421" s="1090"/>
      <c r="W421" s="19" t="str">
        <f>OBRA!N420</f>
        <v>GMJ 037 C-OP/2019</v>
      </c>
      <c r="X421" s="12"/>
      <c r="Y421" s="12"/>
      <c r="Z421" s="409">
        <f>OBRA!M420</f>
        <v>0</v>
      </c>
      <c r="AA421" s="12"/>
      <c r="AB421" s="2" t="str">
        <f>OBRA!O420</f>
        <v>CANCELADA</v>
      </c>
      <c r="AC421" s="3">
        <f>OBRA!P420</f>
        <v>0</v>
      </c>
      <c r="AD421" s="4">
        <f>OBRA!R420</f>
        <v>0</v>
      </c>
      <c r="AE421" s="6">
        <f>OBRA!S420</f>
        <v>0</v>
      </c>
      <c r="AF421" s="5">
        <f>OBRA!T420</f>
        <v>0</v>
      </c>
      <c r="AG421" s="390">
        <f>OBRA!U420</f>
        <v>0</v>
      </c>
      <c r="AH421" s="52"/>
      <c r="AI421" s="211"/>
      <c r="AJ421" s="242"/>
      <c r="AK421" s="242"/>
      <c r="AL421" s="394"/>
      <c r="AM421" s="519" t="str">
        <f>GRAL!B422</f>
        <v>2018-2021</v>
      </c>
    </row>
    <row r="422" spans="1:39" ht="24.95" hidden="1" customHeight="1" thickTop="1">
      <c r="A422" s="158">
        <f>OBRA!J421</f>
        <v>2019</v>
      </c>
      <c r="B422" s="1683"/>
      <c r="C422" s="395"/>
      <c r="D422" s="146"/>
      <c r="E422" s="148"/>
      <c r="F422" s="148"/>
      <c r="G422" s="398"/>
      <c r="H422" s="404" t="str">
        <f>OBRA!AF421</f>
        <v>-</v>
      </c>
      <c r="I422" s="400"/>
      <c r="J422" s="406" t="str">
        <f>OBRA!AG421</f>
        <v>-</v>
      </c>
      <c r="K422" s="401"/>
      <c r="L422" s="404" t="str">
        <f>OBRA!AH421</f>
        <v>-</v>
      </c>
      <c r="M422" s="402"/>
      <c r="N422" s="404" t="str">
        <f>OBRA!AI421</f>
        <v>-</v>
      </c>
      <c r="O422" s="144"/>
      <c r="P422" s="144"/>
      <c r="Q422" s="403"/>
      <c r="R422" s="407" t="str">
        <f>OBRA!AJ421</f>
        <v>-</v>
      </c>
      <c r="S422" s="201"/>
      <c r="T422" s="399" t="str">
        <f>OBRA!W421</f>
        <v>CONSTRUCTORA PIMONT S.A. DE C.V.</v>
      </c>
      <c r="U422" s="408" t="str">
        <f>OBRA!X421</f>
        <v>LIC. SALVADOR CONTRERAS OLGUÍN</v>
      </c>
      <c r="V422" s="1090"/>
      <c r="W422" s="19" t="str">
        <f>OBRA!N421</f>
        <v>GMJ 038 C-OP/2019</v>
      </c>
      <c r="X422" s="12"/>
      <c r="Y422" s="12"/>
      <c r="Z422" s="409" t="str">
        <f>OBRA!M421</f>
        <v>P.I.D.</v>
      </c>
      <c r="AA422" s="12"/>
      <c r="AB422" s="2" t="str">
        <f>OBRA!O421</f>
        <v>ADJUDICACIÓN DIRECTA</v>
      </c>
      <c r="AC422" s="3" t="str">
        <f>OBRA!P421</f>
        <v>"CONSTRUCCIÓN DE PUERTO INOCUO DE DESEMBARQUE (P.I.D.) EN LA AGENCIA DE NEXTIPAC MUNICIPIO DE JOCOTEPEC, JALISCO.</v>
      </c>
      <c r="AD422" s="4">
        <f>OBRA!R421</f>
        <v>875313.77</v>
      </c>
      <c r="AE422" s="6">
        <f>OBRA!S421</f>
        <v>43783</v>
      </c>
      <c r="AF422" s="5">
        <f>OBRA!T421</f>
        <v>43784</v>
      </c>
      <c r="AG422" s="390">
        <f>OBRA!U421</f>
        <v>43829</v>
      </c>
      <c r="AH422" s="52"/>
      <c r="AI422" s="211"/>
      <c r="AJ422" s="242"/>
      <c r="AK422" s="242"/>
      <c r="AL422" s="394"/>
      <c r="AM422" s="519" t="str">
        <f>GRAL!B423</f>
        <v>2018-2021</v>
      </c>
    </row>
    <row r="423" spans="1:39" ht="30" hidden="1" customHeight="1" thickTop="1">
      <c r="A423" s="158">
        <f>OBRA!J422</f>
        <v>2020</v>
      </c>
      <c r="B423" s="1683"/>
      <c r="C423" s="395"/>
      <c r="D423" s="146"/>
      <c r="E423" s="148"/>
      <c r="F423" s="148"/>
      <c r="G423" s="398"/>
      <c r="H423" s="404" t="str">
        <f>OBRA!AF422</f>
        <v>-</v>
      </c>
      <c r="I423" s="400"/>
      <c r="J423" s="406" t="str">
        <f>OBRA!AG422</f>
        <v>-</v>
      </c>
      <c r="K423" s="401"/>
      <c r="L423" s="404" t="str">
        <f>OBRA!AH422</f>
        <v>-</v>
      </c>
      <c r="M423" s="402"/>
      <c r="N423" s="404" t="str">
        <f>OBRA!AI422</f>
        <v>-</v>
      </c>
      <c r="O423" s="144"/>
      <c r="P423" s="144"/>
      <c r="Q423" s="403"/>
      <c r="R423" s="407" t="str">
        <f>OBRA!AJ422</f>
        <v>-</v>
      </c>
      <c r="S423" s="201"/>
      <c r="T423" s="399" t="str">
        <f>OBRA!W422</f>
        <v>N/A</v>
      </c>
      <c r="U423" s="408" t="str">
        <f>OBRA!X422</f>
        <v>N/A</v>
      </c>
      <c r="V423" s="1090"/>
      <c r="W423" s="19" t="str">
        <f>OBRA!N422</f>
        <v>CEAJ-PERF-002/2020</v>
      </c>
      <c r="X423" s="12"/>
      <c r="Y423" s="12"/>
      <c r="Z423" s="409" t="str">
        <f>OBRA!M422</f>
        <v>CEAJ / CUENTA CORRIENTE</v>
      </c>
      <c r="AA423" s="12"/>
      <c r="AB423" s="2" t="str">
        <f>OBRA!O422</f>
        <v>CONVENIO</v>
      </c>
      <c r="AC423" s="3" t="str">
        <f>OBRA!P422</f>
        <v>CONVENIO PARA LA PERFORACIÓN DE UN POZO PROFUNDO PARA AGUA POTABLE</v>
      </c>
      <c r="AD423" s="4">
        <f>OBRA!R422</f>
        <v>962427.31</v>
      </c>
      <c r="AE423" s="6">
        <f>OBRA!S422</f>
        <v>43943</v>
      </c>
      <c r="AF423" s="5" t="str">
        <f>OBRA!T422</f>
        <v>-</v>
      </c>
      <c r="AG423" s="390" t="str">
        <f>OBRA!U422</f>
        <v>-</v>
      </c>
      <c r="AH423" s="52"/>
      <c r="AI423" s="211"/>
      <c r="AJ423" s="242"/>
      <c r="AK423" s="242"/>
      <c r="AL423" s="394"/>
      <c r="AM423" s="519" t="str">
        <f>GRAL!B424</f>
        <v>2018-2021</v>
      </c>
    </row>
    <row r="424" spans="1:39" ht="30" hidden="1" customHeight="1" thickTop="1">
      <c r="A424" s="158">
        <f>OBRA!J423</f>
        <v>2020</v>
      </c>
      <c r="B424" s="1683"/>
      <c r="C424" s="395"/>
      <c r="D424" s="146"/>
      <c r="E424" s="148"/>
      <c r="F424" s="148"/>
      <c r="G424" s="398"/>
      <c r="H424" s="404" t="str">
        <f>OBRA!AF423</f>
        <v>-</v>
      </c>
      <c r="I424" s="400"/>
      <c r="J424" s="406" t="str">
        <f>OBRA!AG423</f>
        <v>-</v>
      </c>
      <c r="K424" s="401"/>
      <c r="L424" s="404" t="str">
        <f>OBRA!AH423</f>
        <v>-</v>
      </c>
      <c r="M424" s="402"/>
      <c r="N424" s="404" t="str">
        <f>OBRA!AI423</f>
        <v>-</v>
      </c>
      <c r="O424" s="144"/>
      <c r="P424" s="144"/>
      <c r="Q424" s="403"/>
      <c r="R424" s="407" t="str">
        <f>OBRA!AJ423</f>
        <v>-</v>
      </c>
      <c r="S424" s="201"/>
      <c r="T424" s="399" t="str">
        <f>OBRA!W423</f>
        <v>N/A</v>
      </c>
      <c r="U424" s="408" t="str">
        <f>OBRA!X423</f>
        <v>N/A</v>
      </c>
      <c r="V424" s="1090"/>
      <c r="W424" s="19" t="str">
        <f>OBRA!N423</f>
        <v>CULTURA 2020</v>
      </c>
      <c r="X424" s="12"/>
      <c r="Y424" s="12"/>
      <c r="Z424" s="409" t="str">
        <f>OBRA!M423</f>
        <v>RESCATE AL PATRIMONIO</v>
      </c>
      <c r="AA424" s="12"/>
      <c r="AB424" s="2" t="str">
        <f>OBRA!O423</f>
        <v>CONVENIO</v>
      </c>
      <c r="AC424" s="3" t="str">
        <f>OBRA!P423</f>
        <v>REMOZAMIENTO Y MEJORAMIENTO  DE IMAGEN URBANA DEL TEMPLO DEL SEÑOR DEL MONTE</v>
      </c>
      <c r="AD424" s="4">
        <f>OBRA!R423</f>
        <v>1600000</v>
      </c>
      <c r="AE424" s="6">
        <f>OBRA!S423</f>
        <v>44162</v>
      </c>
      <c r="AF424" s="5" t="str">
        <f>OBRA!T423</f>
        <v>-</v>
      </c>
      <c r="AG424" s="390" t="str">
        <f>OBRA!U423</f>
        <v>-</v>
      </c>
      <c r="AH424" s="52"/>
      <c r="AI424" s="211"/>
      <c r="AJ424" s="242"/>
      <c r="AK424" s="242"/>
      <c r="AL424" s="394"/>
      <c r="AM424" s="519" t="str">
        <f>GRAL!B425</f>
        <v>2018-2021</v>
      </c>
    </row>
    <row r="425" spans="1:39" ht="30" hidden="1" customHeight="1" thickTop="1">
      <c r="A425" s="158">
        <f>OBRA!J425</f>
        <v>2020</v>
      </c>
      <c r="B425" s="1683"/>
      <c r="C425" s="395"/>
      <c r="D425" s="146"/>
      <c r="E425" s="148"/>
      <c r="F425" s="148"/>
      <c r="G425" s="398"/>
      <c r="H425" s="404" t="str">
        <f>OBRA!AF425</f>
        <v>-</v>
      </c>
      <c r="I425" s="400"/>
      <c r="J425" s="406" t="str">
        <f>OBRA!AG425</f>
        <v>-</v>
      </c>
      <c r="K425" s="401"/>
      <c r="L425" s="404" t="str">
        <f>OBRA!AH425</f>
        <v>-</v>
      </c>
      <c r="M425" s="402"/>
      <c r="N425" s="404" t="str">
        <f>OBRA!AI425</f>
        <v>-</v>
      </c>
      <c r="O425" s="144"/>
      <c r="P425" s="144"/>
      <c r="Q425" s="403"/>
      <c r="R425" s="407" t="str">
        <f>OBRA!AJ425</f>
        <v>-</v>
      </c>
      <c r="S425" s="201"/>
      <c r="T425" s="399" t="str">
        <f>OBRA!W425</f>
        <v>N/A</v>
      </c>
      <c r="U425" s="408" t="str">
        <f>OBRA!X425</f>
        <v>N/A</v>
      </c>
      <c r="V425" s="1090"/>
      <c r="W425" s="19" t="str">
        <f>OBRA!N425</f>
        <v>RASTRO DIGNO 2020</v>
      </c>
      <c r="X425" s="12"/>
      <c r="Y425" s="12"/>
      <c r="Z425" s="409" t="str">
        <f>OBRA!M425</f>
        <v xml:space="preserve">RASTRO DIGNO </v>
      </c>
      <c r="AA425" s="12"/>
      <c r="AB425" s="2" t="str">
        <f>OBRA!O425</f>
        <v>CONVENIO</v>
      </c>
      <c r="AC425" s="3" t="str">
        <f>OBRA!P425</f>
        <v>PROGRAMA PARA MEJORAMIENTO DE RASTROS "RASTRO DIGNO", EJERCICIO 2020</v>
      </c>
      <c r="AD425" s="4">
        <f>OBRA!R425</f>
        <v>2755548.61</v>
      </c>
      <c r="AE425" s="6">
        <f>OBRA!S425</f>
        <v>44174</v>
      </c>
      <c r="AF425" s="5" t="str">
        <f>OBRA!T425</f>
        <v>-</v>
      </c>
      <c r="AG425" s="390" t="str">
        <f>OBRA!U425</f>
        <v>-</v>
      </c>
      <c r="AH425" s="52"/>
      <c r="AI425" s="211"/>
      <c r="AJ425" s="242"/>
      <c r="AK425" s="242"/>
      <c r="AL425" s="394"/>
      <c r="AM425" s="519" t="str">
        <f>GRAL!B427</f>
        <v>2018-2021</v>
      </c>
    </row>
    <row r="426" spans="1:39" ht="30" hidden="1" customHeight="1" thickTop="1">
      <c r="A426" s="158">
        <f>OBRA!J426</f>
        <v>2020</v>
      </c>
      <c r="B426" s="1683"/>
      <c r="C426" s="395"/>
      <c r="D426" s="146"/>
      <c r="E426" s="148"/>
      <c r="F426" s="148"/>
      <c r="G426" s="398"/>
      <c r="H426" s="404" t="str">
        <f>OBRA!AF426</f>
        <v>-</v>
      </c>
      <c r="I426" s="400"/>
      <c r="J426" s="406" t="str">
        <f>OBRA!AG426</f>
        <v>-</v>
      </c>
      <c r="K426" s="401"/>
      <c r="L426" s="404" t="str">
        <f>OBRA!AH426</f>
        <v>-</v>
      </c>
      <c r="M426" s="402"/>
      <c r="N426" s="404" t="str">
        <f>OBRA!AI426</f>
        <v>-</v>
      </c>
      <c r="O426" s="144"/>
      <c r="P426" s="144"/>
      <c r="Q426" s="403"/>
      <c r="R426" s="407" t="str">
        <f>OBRA!AJ426</f>
        <v>-</v>
      </c>
      <c r="S426" s="201"/>
      <c r="T426" s="399" t="str">
        <f>OBRA!W426</f>
        <v>N/A</v>
      </c>
      <c r="U426" s="408" t="str">
        <f>OBRA!X426</f>
        <v>N/A</v>
      </c>
      <c r="V426" s="1090"/>
      <c r="W426" s="19" t="str">
        <f>OBRA!N426</f>
        <v>SADER/DGIR/EMP/057/2020</v>
      </c>
      <c r="X426" s="12"/>
      <c r="Y426" s="12"/>
      <c r="Z426" s="409" t="str">
        <f>OBRA!M426</f>
        <v>EMP P/LA REACTIVACIÓN ECONÓMICA EN MPIOS</v>
      </c>
      <c r="AA426" s="12"/>
      <c r="AB426" s="2" t="str">
        <f>OBRA!O426</f>
        <v>CONVENIO</v>
      </c>
      <c r="AC426" s="3" t="str">
        <f>OBRA!P426</f>
        <v xml:space="preserve">PROGRAMA DE EMPEDRADOS PARA LA REACTIVACIÓN ECONÓMICA EN MUNICIPIOS </v>
      </c>
      <c r="AD426" s="4">
        <f>OBRA!R426</f>
        <v>7000000</v>
      </c>
      <c r="AE426" s="6">
        <f>OBRA!S426</f>
        <v>44085</v>
      </c>
      <c r="AF426" s="5" t="str">
        <f>OBRA!T426</f>
        <v>-</v>
      </c>
      <c r="AG426" s="390" t="str">
        <f>OBRA!U426</f>
        <v>-</v>
      </c>
      <c r="AH426" s="52"/>
      <c r="AI426" s="211"/>
      <c r="AJ426" s="242"/>
      <c r="AK426" s="242"/>
      <c r="AL426" s="394"/>
      <c r="AM426" s="519" t="str">
        <f>GRAL!B428</f>
        <v>2018-2021</v>
      </c>
    </row>
    <row r="427" spans="1:39" ht="30" hidden="1" customHeight="1" thickTop="1">
      <c r="A427" s="158">
        <f>OBRA!J427</f>
        <v>2020</v>
      </c>
      <c r="B427" s="1683"/>
      <c r="C427" s="395"/>
      <c r="D427" s="146"/>
      <c r="E427" s="148"/>
      <c r="F427" s="148"/>
      <c r="G427" s="398"/>
      <c r="H427" s="404" t="str">
        <f>OBRA!AF427</f>
        <v>-</v>
      </c>
      <c r="I427" s="400"/>
      <c r="J427" s="406" t="str">
        <f>OBRA!AG427</f>
        <v>-</v>
      </c>
      <c r="K427" s="401"/>
      <c r="L427" s="404" t="str">
        <f>OBRA!AH427</f>
        <v>-</v>
      </c>
      <c r="M427" s="402"/>
      <c r="N427" s="404" t="str">
        <f>OBRA!AI427</f>
        <v>-</v>
      </c>
      <c r="O427" s="144"/>
      <c r="P427" s="144"/>
      <c r="Q427" s="403"/>
      <c r="R427" s="407" t="str">
        <f>OBRA!AJ427</f>
        <v>-</v>
      </c>
      <c r="S427" s="201"/>
      <c r="T427" s="399" t="str">
        <f>OBRA!W427</f>
        <v>N/A</v>
      </c>
      <c r="U427" s="408" t="str">
        <f>OBRA!X427</f>
        <v>ING. JUAN MANUEL GARCIA ESCOTO</v>
      </c>
      <c r="V427" s="1090"/>
      <c r="W427" s="19" t="str">
        <f>OBRA!N427</f>
        <v>DOP/AD/001/2020</v>
      </c>
      <c r="X427" s="12"/>
      <c r="Y427" s="12"/>
      <c r="Z427" s="409" t="str">
        <f>OBRA!M427</f>
        <v>CUENTA CORRIENTE</v>
      </c>
      <c r="AA427" s="12"/>
      <c r="AB427" s="2" t="str">
        <f>OBRA!O427</f>
        <v>ADMINISTRACIÓN DIRECTA</v>
      </c>
      <c r="AC427" s="3" t="str">
        <f>OBRA!P427</f>
        <v>"ADQUISICION DE MATERIALES PARA LA LINEA DE ALIMENTACION DEL DEPOSITO NUEVO , EN LA LOCALIDAD DE HUEJOTITAN, MUNICIPIO DE JOCOTEPEC, JALISCO"</v>
      </c>
      <c r="AD427" s="4">
        <f>OBRA!R427</f>
        <v>149601.96</v>
      </c>
      <c r="AE427" s="6">
        <f>OBRA!S427</f>
        <v>43924</v>
      </c>
      <c r="AF427" s="5">
        <f>OBRA!T427</f>
        <v>43893</v>
      </c>
      <c r="AG427" s="390">
        <f>OBRA!U427</f>
        <v>43982</v>
      </c>
      <c r="AH427" s="52"/>
      <c r="AI427" s="211"/>
      <c r="AJ427" s="242"/>
      <c r="AK427" s="242"/>
      <c r="AL427" s="394"/>
      <c r="AM427" s="519" t="str">
        <f>GRAL!B429</f>
        <v>2018-2021</v>
      </c>
    </row>
    <row r="428" spans="1:39" ht="30" hidden="1" customHeight="1" thickTop="1">
      <c r="A428" s="158">
        <f>OBRA!J428</f>
        <v>2020</v>
      </c>
      <c r="B428" s="1683"/>
      <c r="C428" s="395"/>
      <c r="D428" s="146"/>
      <c r="E428" s="148"/>
      <c r="F428" s="148"/>
      <c r="G428" s="398"/>
      <c r="H428" s="404" t="str">
        <f>OBRA!AF428</f>
        <v>-</v>
      </c>
      <c r="I428" s="400"/>
      <c r="J428" s="406" t="str">
        <f>OBRA!AG428</f>
        <v>-</v>
      </c>
      <c r="K428" s="401"/>
      <c r="L428" s="404" t="str">
        <f>OBRA!AH428</f>
        <v>-</v>
      </c>
      <c r="M428" s="402"/>
      <c r="N428" s="404" t="str">
        <f>OBRA!AI428</f>
        <v>-</v>
      </c>
      <c r="O428" s="144"/>
      <c r="P428" s="144"/>
      <c r="Q428" s="403"/>
      <c r="R428" s="407" t="str">
        <f>OBRA!AJ428</f>
        <v>-</v>
      </c>
      <c r="S428" s="201"/>
      <c r="T428" s="399" t="str">
        <f>OBRA!W428</f>
        <v>N/A</v>
      </c>
      <c r="U428" s="408" t="str">
        <f>OBRA!X428</f>
        <v>HACIENDA MPAL</v>
      </c>
      <c r="V428" s="1090"/>
      <c r="W428" s="19" t="str">
        <f>OBRA!N428</f>
        <v>DOP/AD/002/2020</v>
      </c>
      <c r="X428" s="12"/>
      <c r="Y428" s="12"/>
      <c r="Z428" s="409" t="str">
        <f>OBRA!M428</f>
        <v>CUENTA CORRIENTE</v>
      </c>
      <c r="AA428" s="12"/>
      <c r="AB428" s="2" t="str">
        <f>OBRA!O428</f>
        <v>ADMINISTRACIÓN DIRECTA</v>
      </c>
      <c r="AC428" s="3" t="str">
        <f>OBRA!P428</f>
        <v>"REHABILITACIÓN Y MANTENIMIENTO DE "LA CASA DE CULTURA SAN JUAN COSALA, DEL MUNICIPIO DE JOCOTEPEC, JALISCO.</v>
      </c>
      <c r="AD428" s="4">
        <f>OBRA!R428</f>
        <v>655000</v>
      </c>
      <c r="AE428" s="6">
        <f>OBRA!S428</f>
        <v>43924</v>
      </c>
      <c r="AF428" s="5">
        <f>OBRA!T428</f>
        <v>43924</v>
      </c>
      <c r="AG428" s="390">
        <f>OBRA!U428</f>
        <v>44043</v>
      </c>
      <c r="AH428" s="52"/>
      <c r="AI428" s="211"/>
      <c r="AJ428" s="242"/>
      <c r="AK428" s="242"/>
      <c r="AL428" s="394"/>
      <c r="AM428" s="519" t="str">
        <f>GRAL!B430</f>
        <v>2018-2021</v>
      </c>
    </row>
    <row r="429" spans="1:39" ht="30" hidden="1" customHeight="1" thickTop="1">
      <c r="A429" s="158">
        <f>OBRA!J429</f>
        <v>2020</v>
      </c>
      <c r="B429" s="1683"/>
      <c r="C429" s="395"/>
      <c r="D429" s="146"/>
      <c r="E429" s="148"/>
      <c r="F429" s="148"/>
      <c r="G429" s="398"/>
      <c r="H429" s="404" t="str">
        <f>OBRA!AF429</f>
        <v>-</v>
      </c>
      <c r="I429" s="400"/>
      <c r="J429" s="406" t="str">
        <f>OBRA!AG429</f>
        <v>-</v>
      </c>
      <c r="K429" s="401"/>
      <c r="L429" s="404" t="str">
        <f>OBRA!AH429</f>
        <v>-</v>
      </c>
      <c r="M429" s="402"/>
      <c r="N429" s="404" t="str">
        <f>OBRA!AI429</f>
        <v>-</v>
      </c>
      <c r="O429" s="144"/>
      <c r="P429" s="144"/>
      <c r="Q429" s="403"/>
      <c r="R429" s="407" t="str">
        <f>OBRA!AJ429</f>
        <v>-</v>
      </c>
      <c r="S429" s="201"/>
      <c r="T429" s="399" t="str">
        <f>OBRA!W429</f>
        <v>N/A</v>
      </c>
      <c r="U429" s="408" t="str">
        <f>OBRA!X429</f>
        <v>ARQ. JAIME CONDE GOMEZ</v>
      </c>
      <c r="V429" s="1090"/>
      <c r="W429" s="19" t="str">
        <f>OBRA!N429</f>
        <v>DOP/AD/003/2020</v>
      </c>
      <c r="X429" s="12"/>
      <c r="Y429" s="12"/>
      <c r="Z429" s="409" t="str">
        <f>OBRA!M429</f>
        <v>CEAJ / CUENTA CORRIENTE</v>
      </c>
      <c r="AA429" s="12"/>
      <c r="AB429" s="2" t="str">
        <f>OBRA!O429</f>
        <v>ADMINISTRACIÓN DIRECTA</v>
      </c>
      <c r="AC429" s="3" t="str">
        <f>OBRA!P429</f>
        <v>"MATERIALES E INSUMOS NECESARIOS PARA LA PERFORACIÓN DE POZO PROFUNDO EN LA LOCALIDAD DE LAS TROJES, DEL MUNICIPIO DE JOCOTEPEC, JALISCO.</v>
      </c>
      <c r="AD429" s="4">
        <f>OBRA!R429</f>
        <v>962427.31</v>
      </c>
      <c r="AE429" s="6">
        <f>OBRA!S429</f>
        <v>43945</v>
      </c>
      <c r="AF429" s="5">
        <f>OBRA!T429</f>
        <v>43945</v>
      </c>
      <c r="AG429" s="390">
        <f>OBRA!U429</f>
        <v>44098</v>
      </c>
      <c r="AH429" s="52"/>
      <c r="AI429" s="211"/>
      <c r="AJ429" s="242"/>
      <c r="AK429" s="242"/>
      <c r="AL429" s="394"/>
      <c r="AM429" s="519" t="str">
        <f>GRAL!B431</f>
        <v>2018-2021</v>
      </c>
    </row>
    <row r="430" spans="1:39" ht="30" hidden="1" customHeight="1" thickTop="1">
      <c r="A430" s="158">
        <f>OBRA!J430</f>
        <v>2020</v>
      </c>
      <c r="B430" s="1683"/>
      <c r="C430" s="395"/>
      <c r="D430" s="146"/>
      <c r="E430" s="148"/>
      <c r="F430" s="148"/>
      <c r="G430" s="398"/>
      <c r="H430" s="404" t="str">
        <f>OBRA!AF430</f>
        <v>-</v>
      </c>
      <c r="I430" s="400"/>
      <c r="J430" s="406" t="str">
        <f>OBRA!AG430</f>
        <v>-</v>
      </c>
      <c r="K430" s="401"/>
      <c r="L430" s="404" t="str">
        <f>OBRA!AH430</f>
        <v>-</v>
      </c>
      <c r="M430" s="402"/>
      <c r="N430" s="404" t="str">
        <f>OBRA!AI430</f>
        <v>-</v>
      </c>
      <c r="O430" s="144"/>
      <c r="P430" s="144"/>
      <c r="Q430" s="403"/>
      <c r="R430" s="407" t="str">
        <f>OBRA!AJ430</f>
        <v>-</v>
      </c>
      <c r="S430" s="201"/>
      <c r="T430" s="399" t="str">
        <f>OBRA!W430</f>
        <v>N/A</v>
      </c>
      <c r="U430" s="408" t="str">
        <f>OBRA!X430</f>
        <v>TESORERÍA</v>
      </c>
      <c r="V430" s="1090"/>
      <c r="W430" s="19" t="str">
        <f>OBRA!N430</f>
        <v>DOP/AD/004/2020</v>
      </c>
      <c r="X430" s="12"/>
      <c r="Y430" s="12"/>
      <c r="Z430" s="409" t="str">
        <f>OBRA!M430</f>
        <v>CUENTA CORRIENTE</v>
      </c>
      <c r="AA430" s="12"/>
      <c r="AB430" s="2" t="str">
        <f>OBRA!O430</f>
        <v>ADMINISTRACIÓN DIRECTA</v>
      </c>
      <c r="AC430" s="3" t="str">
        <f>OBRA!P430</f>
        <v>FABRICACIÓN DE EMPEDRADO NORMAL CON HUELLAS DE CONCRETO EN CALLE LA PAZ ENTRE VICENTE GUERRERO E ITURBIDE" EN LA DELEGACIÓN DE SAN JUAN COSALA, DEL MUNICIPIO DE JOCOTEPEC, JALISCO.</v>
      </c>
      <c r="AD430" s="4">
        <f>OBRA!R430</f>
        <v>192779.35</v>
      </c>
      <c r="AE430" s="6">
        <f>OBRA!S430</f>
        <v>43910</v>
      </c>
      <c r="AF430" s="5">
        <f>OBRA!T430</f>
        <v>43913</v>
      </c>
      <c r="AG430" s="390">
        <f>OBRA!U430</f>
        <v>43960</v>
      </c>
      <c r="AH430" s="52"/>
      <c r="AI430" s="211"/>
      <c r="AJ430" s="242"/>
      <c r="AK430" s="242"/>
      <c r="AL430" s="394"/>
      <c r="AM430" s="519" t="str">
        <f>GRAL!B432</f>
        <v>2018-2021</v>
      </c>
    </row>
    <row r="431" spans="1:39" ht="30" hidden="1" customHeight="1" thickTop="1">
      <c r="A431" s="158">
        <f>OBRA!J431</f>
        <v>2020</v>
      </c>
      <c r="B431" s="1683"/>
      <c r="C431" s="395"/>
      <c r="D431" s="146"/>
      <c r="E431" s="148"/>
      <c r="F431" s="148"/>
      <c r="G431" s="398"/>
      <c r="H431" s="404" t="str">
        <f>OBRA!AF431</f>
        <v>-</v>
      </c>
      <c r="I431" s="400"/>
      <c r="J431" s="406" t="str">
        <f>OBRA!AG431</f>
        <v>-</v>
      </c>
      <c r="K431" s="401"/>
      <c r="L431" s="404" t="str">
        <f>OBRA!AH431</f>
        <v>-</v>
      </c>
      <c r="M431" s="402"/>
      <c r="N431" s="404" t="str">
        <f>OBRA!AI431</f>
        <v>-</v>
      </c>
      <c r="O431" s="144"/>
      <c r="P431" s="144"/>
      <c r="Q431" s="403"/>
      <c r="R431" s="407" t="str">
        <f>OBRA!AJ431</f>
        <v>-</v>
      </c>
      <c r="S431" s="201"/>
      <c r="T431" s="399" t="str">
        <f>OBRA!W431</f>
        <v>N/A</v>
      </c>
      <c r="U431" s="408" t="str">
        <f>OBRA!X431</f>
        <v>HACIENDA MPAL</v>
      </c>
      <c r="V431" s="1090"/>
      <c r="W431" s="19" t="str">
        <f>OBRA!N431</f>
        <v>DOP/AD/005/2020</v>
      </c>
      <c r="X431" s="12"/>
      <c r="Y431" s="12"/>
      <c r="Z431" s="409" t="str">
        <f>OBRA!M431</f>
        <v>CUENTA CORRIENTE</v>
      </c>
      <c r="AA431" s="12"/>
      <c r="AB431" s="2" t="str">
        <f>OBRA!O431</f>
        <v>ADMINISTRACIÓN DIRECTA</v>
      </c>
      <c r="AC431" s="3" t="str">
        <f>OBRA!P431</f>
        <v>"ELABORACIÓN DE MURO PERIMETRAL, EN LA CASA DE CULTURA" UBICADA EN LA DELEGACIÓN DE SAN JUAN COSALA, DEL MUNICIPIO DE JOCOTEPEC, JALISCO.</v>
      </c>
      <c r="AD431" s="4">
        <f>OBRA!R431</f>
        <v>50000</v>
      </c>
      <c r="AE431" s="6">
        <f>OBRA!S431</f>
        <v>43924</v>
      </c>
      <c r="AF431" s="5">
        <f>OBRA!T431</f>
        <v>43924</v>
      </c>
      <c r="AG431" s="390">
        <f>OBRA!U431</f>
        <v>43961</v>
      </c>
      <c r="AH431" s="52"/>
      <c r="AI431" s="211"/>
      <c r="AJ431" s="242"/>
      <c r="AK431" s="242"/>
      <c r="AL431" s="394"/>
      <c r="AM431" s="519" t="str">
        <f>GRAL!B433</f>
        <v>2018-2021</v>
      </c>
    </row>
    <row r="432" spans="1:39" ht="30" hidden="1" customHeight="1" thickTop="1">
      <c r="A432" s="158">
        <f>OBRA!J432</f>
        <v>2020</v>
      </c>
      <c r="B432" s="1683"/>
      <c r="C432" s="395"/>
      <c r="D432" s="146"/>
      <c r="E432" s="148"/>
      <c r="F432" s="148"/>
      <c r="G432" s="398"/>
      <c r="H432" s="404" t="str">
        <f>OBRA!AF432</f>
        <v>-</v>
      </c>
      <c r="I432" s="400"/>
      <c r="J432" s="406" t="str">
        <f>OBRA!AG432</f>
        <v>-</v>
      </c>
      <c r="K432" s="401"/>
      <c r="L432" s="404" t="str">
        <f>OBRA!AH432</f>
        <v>-</v>
      </c>
      <c r="M432" s="402"/>
      <c r="N432" s="404" t="str">
        <f>OBRA!AI432</f>
        <v>-</v>
      </c>
      <c r="O432" s="144"/>
      <c r="P432" s="144"/>
      <c r="Q432" s="403"/>
      <c r="R432" s="407" t="str">
        <f>OBRA!AJ432</f>
        <v>-</v>
      </c>
      <c r="S432" s="201"/>
      <c r="T432" s="399" t="str">
        <f>OBRA!W432</f>
        <v>N/A</v>
      </c>
      <c r="U432" s="408" t="str">
        <f>OBRA!X432</f>
        <v>ING. J. GUADALUPE IBARRA RAMIREZ</v>
      </c>
      <c r="V432" s="1090"/>
      <c r="W432" s="19" t="str">
        <f>OBRA!N432</f>
        <v>DOP/AD/006/2020</v>
      </c>
      <c r="X432" s="12"/>
      <c r="Y432" s="12"/>
      <c r="Z432" s="409" t="str">
        <f>OBRA!M432</f>
        <v>RAMO 33</v>
      </c>
      <c r="AA432" s="12"/>
      <c r="AB432" s="2" t="str">
        <f>OBRA!O432</f>
        <v>ADMINISTRACIÓN DIRECTA</v>
      </c>
      <c r="AC432" s="3" t="str">
        <f>OBRA!P432</f>
        <v>SUMINISTRO Y COLOCACIÓN DE MACHUELO PRE FABRICADO EN LA CALLE LOS ÁNGELES ENTRE PRIVADA ALDAMA Y CERRADA”, EN LA CABECERA MUNICIPAL DE JOCOTEPEC, JALISCO</v>
      </c>
      <c r="AD432" s="4">
        <f>OBRA!R432</f>
        <v>42478.36</v>
      </c>
      <c r="AE432" s="6">
        <f>OBRA!S432</f>
        <v>44103</v>
      </c>
      <c r="AF432" s="5">
        <f>OBRA!T432</f>
        <v>44106</v>
      </c>
      <c r="AG432" s="390">
        <f>OBRA!U432</f>
        <v>44120</v>
      </c>
      <c r="AH432" s="52"/>
      <c r="AI432" s="211"/>
      <c r="AJ432" s="242"/>
      <c r="AK432" s="242"/>
      <c r="AL432" s="394"/>
      <c r="AM432" s="519" t="str">
        <f>GRAL!B434</f>
        <v>2018-2021</v>
      </c>
    </row>
    <row r="433" spans="1:39" ht="30" hidden="1" customHeight="1" thickTop="1">
      <c r="A433" s="158">
        <f>OBRA!J433</f>
        <v>2020</v>
      </c>
      <c r="B433" s="1683"/>
      <c r="C433" s="395"/>
      <c r="D433" s="146"/>
      <c r="E433" s="148"/>
      <c r="F433" s="148"/>
      <c r="G433" s="398"/>
      <c r="H433" s="404" t="str">
        <f>OBRA!AF433</f>
        <v>-</v>
      </c>
      <c r="I433" s="400"/>
      <c r="J433" s="406" t="str">
        <f>OBRA!AG433</f>
        <v>-</v>
      </c>
      <c r="K433" s="401"/>
      <c r="L433" s="404" t="str">
        <f>OBRA!AH433</f>
        <v>-</v>
      </c>
      <c r="M433" s="402"/>
      <c r="N433" s="404" t="str">
        <f>OBRA!AI433</f>
        <v>-</v>
      </c>
      <c r="O433" s="144"/>
      <c r="P433" s="144"/>
      <c r="Q433" s="403"/>
      <c r="R433" s="407" t="str">
        <f>OBRA!AJ433</f>
        <v>-</v>
      </c>
      <c r="S433" s="201"/>
      <c r="T433" s="399" t="str">
        <f>OBRA!W433</f>
        <v>N/A</v>
      </c>
      <c r="U433" s="408" t="str">
        <f>OBRA!X433</f>
        <v>ING. J. GUADALUPE IBARRA RAMIREZ</v>
      </c>
      <c r="V433" s="1090"/>
      <c r="W433" s="19" t="str">
        <f>OBRA!N433</f>
        <v>DOP/AD/007/2020</v>
      </c>
      <c r="X433" s="12"/>
      <c r="Y433" s="12"/>
      <c r="Z433" s="409" t="str">
        <f>OBRA!M433</f>
        <v>EMP P/LA REACTIVACIÓN ECONÓMICA EN MPIOS</v>
      </c>
      <c r="AA433" s="12"/>
      <c r="AB433" s="2" t="str">
        <f>OBRA!O433</f>
        <v>ADMINISTRACIÓN DIRECTA</v>
      </c>
      <c r="AC433" s="3" t="str">
        <f>OBRA!P433</f>
        <v>CONSTRUCCIÓN DE EMPEDRADO ZAMPEADO EN VIALIDAD CALLE JUAREZ DE KM 0+000.00 AL KM 0+126.10, EN LA LOCALIDAD DE LAS TROJES DEL MUNICIPIO DE JOCOTEPEC, JALISCO.</v>
      </c>
      <c r="AD433" s="4">
        <f>OBRA!R433</f>
        <v>196881.44</v>
      </c>
      <c r="AE433" s="6">
        <f>OBRA!S433</f>
        <v>44089</v>
      </c>
      <c r="AF433" s="5">
        <f>OBRA!T433</f>
        <v>44144</v>
      </c>
      <c r="AG433" s="390">
        <f>OBRA!U433</f>
        <v>44191</v>
      </c>
      <c r="AH433" s="52"/>
      <c r="AI433" s="211"/>
      <c r="AJ433" s="242"/>
      <c r="AK433" s="242"/>
      <c r="AL433" s="394"/>
      <c r="AM433" s="519" t="str">
        <f>GRAL!B435</f>
        <v>2018-2021</v>
      </c>
    </row>
    <row r="434" spans="1:39" ht="30" hidden="1" customHeight="1" thickTop="1">
      <c r="A434" s="158">
        <f>OBRA!J434</f>
        <v>2020</v>
      </c>
      <c r="B434" s="1683"/>
      <c r="C434" s="395"/>
      <c r="D434" s="146"/>
      <c r="E434" s="148"/>
      <c r="F434" s="148"/>
      <c r="G434" s="398"/>
      <c r="H434" s="404" t="str">
        <f>OBRA!AF434</f>
        <v>-</v>
      </c>
      <c r="I434" s="400"/>
      <c r="J434" s="406" t="str">
        <f>OBRA!AG434</f>
        <v>-</v>
      </c>
      <c r="K434" s="401"/>
      <c r="L434" s="404" t="str">
        <f>OBRA!AH434</f>
        <v>-</v>
      </c>
      <c r="M434" s="402"/>
      <c r="N434" s="404" t="str">
        <f>OBRA!AI434</f>
        <v>-</v>
      </c>
      <c r="O434" s="144"/>
      <c r="P434" s="144"/>
      <c r="Q434" s="403"/>
      <c r="R434" s="407" t="str">
        <f>OBRA!AJ434</f>
        <v>-</v>
      </c>
      <c r="S434" s="201"/>
      <c r="T434" s="399" t="str">
        <f>OBRA!W434</f>
        <v>N/A</v>
      </c>
      <c r="U434" s="408">
        <f>OBRA!X434</f>
        <v>0</v>
      </c>
      <c r="V434" s="1090"/>
      <c r="W434" s="19" t="str">
        <f>OBRA!N434</f>
        <v>DOP/AD/007-A/2020</v>
      </c>
      <c r="X434" s="12"/>
      <c r="Y434" s="12"/>
      <c r="Z434" s="409" t="str">
        <f>OBRA!M434</f>
        <v>CTA-CTE / EMP P REACT ECO MPIOS</v>
      </c>
      <c r="AA434" s="12"/>
      <c r="AB434" s="2" t="str">
        <f>OBRA!O434</f>
        <v>ADMINISTRACIÓN DIRECTA</v>
      </c>
      <c r="AC434" s="3" t="str">
        <f>OBRA!P434</f>
        <v>CONSTRUCCIÓN DE EMPEDRADO ZAMPEADO EN VIALIDAD CALLE JUAREZ DE KM 0+000.00 AL KM 0+126.10, EN LA LOCALIDAD DE LAS TROJES DEL MUNICIPIO DE JOCOTEPEC, JALISCO</v>
      </c>
      <c r="AD434" s="4">
        <f>OBRA!R434</f>
        <v>283094.36</v>
      </c>
      <c r="AE434" s="6">
        <f>OBRA!S434</f>
        <v>44089</v>
      </c>
      <c r="AF434" s="5">
        <f>OBRA!T434</f>
        <v>44137</v>
      </c>
      <c r="AG434" s="390">
        <f>OBRA!U434</f>
        <v>44191</v>
      </c>
      <c r="AH434" s="52"/>
      <c r="AI434" s="211"/>
      <c r="AJ434" s="242"/>
      <c r="AK434" s="242"/>
      <c r="AL434" s="394"/>
      <c r="AM434" s="519" t="str">
        <f>GRAL!B436</f>
        <v>2018-2021</v>
      </c>
    </row>
    <row r="435" spans="1:39" ht="30" hidden="1" customHeight="1" thickTop="1">
      <c r="A435" s="158">
        <f>OBRA!J435</f>
        <v>2020</v>
      </c>
      <c r="B435" s="1683"/>
      <c r="C435" s="395"/>
      <c r="D435" s="146"/>
      <c r="E435" s="148"/>
      <c r="F435" s="148"/>
      <c r="G435" s="398"/>
      <c r="H435" s="404" t="str">
        <f>OBRA!AF435</f>
        <v>-</v>
      </c>
      <c r="I435" s="400"/>
      <c r="J435" s="406" t="str">
        <f>OBRA!AG435</f>
        <v>-</v>
      </c>
      <c r="K435" s="401"/>
      <c r="L435" s="404" t="str">
        <f>OBRA!AH435</f>
        <v>-</v>
      </c>
      <c r="M435" s="402"/>
      <c r="N435" s="404" t="str">
        <f>OBRA!AI435</f>
        <v>-</v>
      </c>
      <c r="O435" s="144"/>
      <c r="P435" s="144"/>
      <c r="Q435" s="403"/>
      <c r="R435" s="407" t="str">
        <f>OBRA!AJ435</f>
        <v>-</v>
      </c>
      <c r="S435" s="201"/>
      <c r="T435" s="399" t="str">
        <f>OBRA!W435</f>
        <v>N/A</v>
      </c>
      <c r="U435" s="408" t="str">
        <f>OBRA!X435</f>
        <v>ING. J. GUADALUPE IBARRA RAMIREZ</v>
      </c>
      <c r="V435" s="1090"/>
      <c r="W435" s="19" t="str">
        <f>OBRA!N435</f>
        <v>DOP/AD/008/2020</v>
      </c>
      <c r="X435" s="12"/>
      <c r="Y435" s="12"/>
      <c r="Z435" s="409" t="str">
        <f>OBRA!M435</f>
        <v>EMP P/LA REACTIVACIÓN ECONÓMICA EN MPIOS</v>
      </c>
      <c r="AA435" s="12"/>
      <c r="AB435" s="2" t="str">
        <f>OBRA!O435</f>
        <v>ADMINISTRACIÓN DIRECTA</v>
      </c>
      <c r="AC435" s="3" t="str">
        <f>OBRA!P435</f>
        <v>CONSTRUCCIÓN DE EMPEDRADO ZAMPEADO EN CALLES DE LA DELEGACIÓN DE HUEJOTITAN</v>
      </c>
      <c r="AD435" s="4">
        <f>OBRA!R435</f>
        <v>1079624.5</v>
      </c>
      <c r="AE435" s="6">
        <f>OBRA!S435</f>
        <v>44454</v>
      </c>
      <c r="AF435" s="5">
        <f>OBRA!T435</f>
        <v>44166</v>
      </c>
      <c r="AG435" s="390">
        <f>OBRA!U435</f>
        <v>44196</v>
      </c>
      <c r="AH435" s="52"/>
      <c r="AI435" s="211"/>
      <c r="AJ435" s="242"/>
      <c r="AK435" s="242"/>
      <c r="AL435" s="394"/>
      <c r="AM435" s="519" t="str">
        <f>GRAL!B437</f>
        <v>2018-2021</v>
      </c>
    </row>
    <row r="436" spans="1:39" ht="30" hidden="1" customHeight="1" thickTop="1">
      <c r="A436" s="158">
        <f>OBRA!J436</f>
        <v>2020</v>
      </c>
      <c r="B436" s="1683"/>
      <c r="C436" s="395"/>
      <c r="D436" s="146"/>
      <c r="E436" s="148"/>
      <c r="F436" s="148"/>
      <c r="G436" s="398"/>
      <c r="H436" s="404" t="str">
        <f>OBRA!AF436</f>
        <v>-</v>
      </c>
      <c r="I436" s="400"/>
      <c r="J436" s="406" t="str">
        <f>OBRA!AG436</f>
        <v>-</v>
      </c>
      <c r="K436" s="401"/>
      <c r="L436" s="404" t="str">
        <f>OBRA!AH436</f>
        <v>-</v>
      </c>
      <c r="M436" s="402"/>
      <c r="N436" s="404" t="str">
        <f>OBRA!AI436</f>
        <v>-</v>
      </c>
      <c r="O436" s="144"/>
      <c r="P436" s="144"/>
      <c r="Q436" s="403"/>
      <c r="R436" s="407" t="str">
        <f>OBRA!AJ436</f>
        <v>-</v>
      </c>
      <c r="S436" s="201"/>
      <c r="T436" s="399" t="str">
        <f>OBRA!W436</f>
        <v>N/A</v>
      </c>
      <c r="U436" s="408">
        <f>OBRA!X436</f>
        <v>0</v>
      </c>
      <c r="V436" s="1090"/>
      <c r="W436" s="19" t="str">
        <f>OBRA!N436</f>
        <v>DOP/AD/008-A/2020</v>
      </c>
      <c r="X436" s="12"/>
      <c r="Y436" s="12"/>
      <c r="Z436" s="409" t="str">
        <f>OBRA!M436</f>
        <v>CTA-CTE / EMP P REACT ECO MPIOS</v>
      </c>
      <c r="AA436" s="12"/>
      <c r="AB436" s="2" t="str">
        <f>OBRA!O436</f>
        <v>ADMINISTRACIÓN DIRECTA</v>
      </c>
      <c r="AC436" s="3" t="str">
        <f>OBRA!P436</f>
        <v>CONSTRUCCIÓN DE EMPEDRADO ZAMPEADO, EN LA LOCALIDAD DE HUEJOTITAN DEL MUNICIPIO DE JOCOTEPEC, JALISCO.</v>
      </c>
      <c r="AD436" s="4">
        <f>OBRA!R436</f>
        <v>327960.31</v>
      </c>
      <c r="AE436" s="6">
        <f>OBRA!S436</f>
        <v>44089</v>
      </c>
      <c r="AF436" s="5">
        <f>OBRA!T436</f>
        <v>44166</v>
      </c>
      <c r="AG436" s="390">
        <f>OBRA!U436</f>
        <v>44196</v>
      </c>
      <c r="AH436" s="52"/>
      <c r="AI436" s="211"/>
      <c r="AJ436" s="242"/>
      <c r="AK436" s="242"/>
      <c r="AL436" s="394"/>
      <c r="AM436" s="519" t="str">
        <f>GRAL!B438</f>
        <v>2018-2021</v>
      </c>
    </row>
    <row r="437" spans="1:39" ht="30" hidden="1" customHeight="1" thickTop="1">
      <c r="A437" s="158">
        <f>OBRA!J437</f>
        <v>2020</v>
      </c>
      <c r="B437" s="1683"/>
      <c r="C437" s="395"/>
      <c r="D437" s="146"/>
      <c r="E437" s="148"/>
      <c r="F437" s="148"/>
      <c r="G437" s="398"/>
      <c r="H437" s="404" t="str">
        <f>OBRA!AF437</f>
        <v>-</v>
      </c>
      <c r="I437" s="400"/>
      <c r="J437" s="406" t="str">
        <f>OBRA!AG437</f>
        <v>-</v>
      </c>
      <c r="K437" s="401"/>
      <c r="L437" s="404" t="str">
        <f>OBRA!AH437</f>
        <v>-</v>
      </c>
      <c r="M437" s="402"/>
      <c r="N437" s="404" t="str">
        <f>OBRA!AI437</f>
        <v>-</v>
      </c>
      <c r="O437" s="144"/>
      <c r="P437" s="144"/>
      <c r="Q437" s="403"/>
      <c r="R437" s="407" t="str">
        <f>OBRA!AJ437</f>
        <v>-</v>
      </c>
      <c r="S437" s="201"/>
      <c r="T437" s="399" t="str">
        <f>OBRA!W437</f>
        <v>N/A</v>
      </c>
      <c r="U437" s="408" t="str">
        <f>OBRA!X437</f>
        <v>ING. J. GUADALUPE IBARRA RAMIREZ</v>
      </c>
      <c r="V437" s="1090"/>
      <c r="W437" s="19" t="str">
        <f>OBRA!N437</f>
        <v>DOP/AD/009/2020</v>
      </c>
      <c r="X437" s="12"/>
      <c r="Y437" s="12"/>
      <c r="Z437" s="409" t="str">
        <f>OBRA!M437</f>
        <v>EMP P/LA REACTIVACIÓN ECONÓMICA EN MPIOS</v>
      </c>
      <c r="AA437" s="12"/>
      <c r="AB437" s="2" t="str">
        <f>OBRA!O437</f>
        <v>ADMINISTRACIÓN DIRECTA</v>
      </c>
      <c r="AC437" s="3" t="str">
        <f>OBRA!P437</f>
        <v>CONSTRUCCIÓN DE EMPEDRADO ZAMPEADO EN VIALIDAD CALLE RAMON CORONA DEL 0+000 AL 0+101.50 ENTRE GALEANA Y FRANCISCO I MADERO,EN LA LOCALIDAD DE POTRERILLOS DEL MUNICIPIO DE JOCOTEPEC, JALISCO.</v>
      </c>
      <c r="AD437" s="4">
        <f>OBRA!R437</f>
        <v>193929.96</v>
      </c>
      <c r="AE437" s="6">
        <f>OBRA!S437</f>
        <v>44089</v>
      </c>
      <c r="AF437" s="5">
        <f>OBRA!T437</f>
        <v>44140</v>
      </c>
      <c r="AG437" s="390">
        <f>OBRA!U437</f>
        <v>44191</v>
      </c>
      <c r="AH437" s="52"/>
      <c r="AI437" s="211"/>
      <c r="AJ437" s="242"/>
      <c r="AK437" s="242"/>
      <c r="AL437" s="394"/>
      <c r="AM437" s="519" t="str">
        <f>GRAL!B439</f>
        <v>2018-2021</v>
      </c>
    </row>
    <row r="438" spans="1:39" ht="30" hidden="1" customHeight="1" thickTop="1">
      <c r="A438" s="158">
        <f>OBRA!J438</f>
        <v>2020</v>
      </c>
      <c r="B438" s="1683"/>
      <c r="C438" s="395"/>
      <c r="D438" s="146"/>
      <c r="E438" s="148"/>
      <c r="F438" s="148"/>
      <c r="G438" s="398"/>
      <c r="H438" s="404" t="str">
        <f>OBRA!AF438</f>
        <v>-</v>
      </c>
      <c r="I438" s="400"/>
      <c r="J438" s="406" t="str">
        <f>OBRA!AG438</f>
        <v>-</v>
      </c>
      <c r="K438" s="401"/>
      <c r="L438" s="404" t="str">
        <f>OBRA!AH438</f>
        <v>-</v>
      </c>
      <c r="M438" s="402"/>
      <c r="N438" s="404" t="str">
        <f>OBRA!AI438</f>
        <v>-</v>
      </c>
      <c r="O438" s="144"/>
      <c r="P438" s="144"/>
      <c r="Q438" s="403"/>
      <c r="R438" s="407" t="str">
        <f>OBRA!AJ438</f>
        <v>-</v>
      </c>
      <c r="S438" s="201"/>
      <c r="T438" s="399" t="str">
        <f>OBRA!W438</f>
        <v>N/A</v>
      </c>
      <c r="U438" s="408" t="str">
        <f>OBRA!X438</f>
        <v>ING. J. GUADALUPE IBARRA RAMIREZ</v>
      </c>
      <c r="V438" s="1090"/>
      <c r="W438" s="19" t="str">
        <f>OBRA!N438</f>
        <v>DOP/AD/009/2020</v>
      </c>
      <c r="X438" s="12"/>
      <c r="Y438" s="12"/>
      <c r="Z438" s="409" t="str">
        <f>OBRA!M438</f>
        <v>EMP P/LA REACTIVACIÓN ECONÓMICA EN MPIOS</v>
      </c>
      <c r="AA438" s="12"/>
      <c r="AB438" s="2" t="str">
        <f>OBRA!O438</f>
        <v>ADMINISTRACIÓN DIRECTA</v>
      </c>
      <c r="AC438" s="3" t="str">
        <f>OBRA!P438</f>
        <v>CONSTRUCCIÓN DE EMPEDRADO ZAMPEADO EN VIALIDAD FRANCISCO I MADERO DEL KM 0+000 AL 0+173.50 ENTRE BENITO JUAREZ Y CERRADA, EN LA LOCALIDAD DE POTRERILLOS DEL MUNICIPIO DE JOCOTEPEC, JALISCO.</v>
      </c>
      <c r="AD438" s="4">
        <f>OBRA!R438</f>
        <v>331496.03999999998</v>
      </c>
      <c r="AE438" s="6">
        <f>OBRA!S438</f>
        <v>44089</v>
      </c>
      <c r="AF438" s="5">
        <f>OBRA!T438</f>
        <v>44140</v>
      </c>
      <c r="AG438" s="390">
        <f>OBRA!U438</f>
        <v>44191</v>
      </c>
      <c r="AH438" s="52"/>
      <c r="AI438" s="211"/>
      <c r="AJ438" s="242"/>
      <c r="AK438" s="242"/>
      <c r="AL438" s="394"/>
      <c r="AM438" s="519" t="str">
        <f>GRAL!B440</f>
        <v>2018-2021</v>
      </c>
    </row>
    <row r="439" spans="1:39" ht="30" hidden="1" customHeight="1" thickTop="1">
      <c r="A439" s="158">
        <f>OBRA!J439</f>
        <v>2020</v>
      </c>
      <c r="B439" s="1683"/>
      <c r="C439" s="395"/>
      <c r="D439" s="146"/>
      <c r="E439" s="148"/>
      <c r="F439" s="148"/>
      <c r="G439" s="398"/>
      <c r="H439" s="404" t="str">
        <f>OBRA!AF439</f>
        <v>-</v>
      </c>
      <c r="I439" s="400"/>
      <c r="J439" s="406" t="str">
        <f>OBRA!AG439</f>
        <v>-</v>
      </c>
      <c r="K439" s="401"/>
      <c r="L439" s="404" t="str">
        <f>OBRA!AH439</f>
        <v>-</v>
      </c>
      <c r="M439" s="402"/>
      <c r="N439" s="404" t="str">
        <f>OBRA!AI439</f>
        <v>-</v>
      </c>
      <c r="O439" s="144"/>
      <c r="P439" s="144"/>
      <c r="Q439" s="403"/>
      <c r="R439" s="407" t="str">
        <f>OBRA!AJ439</f>
        <v>-</v>
      </c>
      <c r="S439" s="201"/>
      <c r="T439" s="399" t="str">
        <f>OBRA!W439</f>
        <v>N/A</v>
      </c>
      <c r="U439" s="408">
        <f>OBRA!X439</f>
        <v>0</v>
      </c>
      <c r="V439" s="1090"/>
      <c r="W439" s="19" t="str">
        <f>OBRA!N439</f>
        <v>DOP/AD/009-A/2020</v>
      </c>
      <c r="X439" s="12"/>
      <c r="Y439" s="12"/>
      <c r="Z439" s="409" t="str">
        <f>OBRA!M439</f>
        <v>CTA-CTE / EMP P REACT ECO MPIOS</v>
      </c>
      <c r="AA439" s="12"/>
      <c r="AB439" s="2" t="str">
        <f>OBRA!O439</f>
        <v>ADMINISTRACIÓN DIRECTA</v>
      </c>
      <c r="AC439" s="3" t="str">
        <f>OBRA!P439</f>
        <v>CONSTRUCCIÓN DE EMPEDRADO ZAMPEADO, EN LA LOCALIDAD DE POTRERILLOS DEL MUNICIPIO DE JOCOTEPEC, JALISCO</v>
      </c>
      <c r="AD439" s="4">
        <f>OBRA!R439</f>
        <v>174032.11</v>
      </c>
      <c r="AE439" s="6">
        <f>OBRA!S439</f>
        <v>44089</v>
      </c>
      <c r="AF439" s="5">
        <f>OBRA!T439</f>
        <v>44140</v>
      </c>
      <c r="AG439" s="390">
        <f>OBRA!U439</f>
        <v>44191</v>
      </c>
      <c r="AH439" s="52"/>
      <c r="AI439" s="211"/>
      <c r="AJ439" s="242"/>
      <c r="AK439" s="242"/>
      <c r="AL439" s="394"/>
      <c r="AM439" s="519" t="str">
        <f>GRAL!B441</f>
        <v>2018-2021</v>
      </c>
    </row>
    <row r="440" spans="1:39" ht="30" hidden="1" customHeight="1" thickTop="1">
      <c r="A440" s="158">
        <f>OBRA!J440</f>
        <v>2020</v>
      </c>
      <c r="B440" s="1683"/>
      <c r="C440" s="395"/>
      <c r="D440" s="146"/>
      <c r="E440" s="148"/>
      <c r="F440" s="148"/>
      <c r="G440" s="398"/>
      <c r="H440" s="404" t="str">
        <f>OBRA!AF440</f>
        <v>-</v>
      </c>
      <c r="I440" s="400"/>
      <c r="J440" s="406" t="str">
        <f>OBRA!AG440</f>
        <v>-</v>
      </c>
      <c r="K440" s="401"/>
      <c r="L440" s="404" t="str">
        <f>OBRA!AH440</f>
        <v>-</v>
      </c>
      <c r="M440" s="402"/>
      <c r="N440" s="404" t="str">
        <f>OBRA!AI440</f>
        <v>-</v>
      </c>
      <c r="O440" s="144"/>
      <c r="P440" s="144"/>
      <c r="Q440" s="403"/>
      <c r="R440" s="407" t="str">
        <f>OBRA!AJ440</f>
        <v>-</v>
      </c>
      <c r="S440" s="201"/>
      <c r="T440" s="399" t="str">
        <f>OBRA!W440</f>
        <v>N/A</v>
      </c>
      <c r="U440" s="408" t="str">
        <f>OBRA!X440</f>
        <v>ING. J. GUADALUPE IBARRA RAMIREZ</v>
      </c>
      <c r="V440" s="1090"/>
      <c r="W440" s="19" t="str">
        <f>OBRA!N440</f>
        <v>DOP/AD/010/2020</v>
      </c>
      <c r="X440" s="12"/>
      <c r="Y440" s="12"/>
      <c r="Z440" s="409" t="str">
        <f>OBRA!M440</f>
        <v>EMP P/LA REACTIVACIÓN ECONÓMICA EN MPIOS</v>
      </c>
      <c r="AA440" s="12"/>
      <c r="AB440" s="2" t="str">
        <f>OBRA!O440</f>
        <v>ADMINISTRACIÓN DIRECTA</v>
      </c>
      <c r="AC440" s="3" t="str">
        <f>OBRA!P440</f>
        <v>CONSTRUCCIÓN DE EMPEDRADO ZAMPEADO EN VIALIDAD AV. DEL TRABAJO DE KM 0+000.00 AL KM 0+215.00 (ENTRE VICENTE GUERRERO Y ALLENDE) SAN CRISTOBAL</v>
      </c>
      <c r="AD440" s="4">
        <f>OBRA!R440</f>
        <v>410787.6</v>
      </c>
      <c r="AE440" s="6">
        <f>OBRA!S440</f>
        <v>44089</v>
      </c>
      <c r="AF440" s="5">
        <f>OBRA!T440</f>
        <v>44166</v>
      </c>
      <c r="AG440" s="390">
        <f>OBRA!U440</f>
        <v>44196</v>
      </c>
      <c r="AH440" s="52"/>
      <c r="AI440" s="211"/>
      <c r="AJ440" s="242"/>
      <c r="AK440" s="242"/>
      <c r="AL440" s="394"/>
      <c r="AM440" s="519" t="str">
        <f>GRAL!B442</f>
        <v>2018-2021</v>
      </c>
    </row>
    <row r="441" spans="1:39" ht="30" hidden="1" customHeight="1" thickTop="1">
      <c r="A441" s="158">
        <f>OBRA!J441</f>
        <v>2020</v>
      </c>
      <c r="B441" s="1683"/>
      <c r="C441" s="395"/>
      <c r="D441" s="146"/>
      <c r="E441" s="148"/>
      <c r="F441" s="148"/>
      <c r="G441" s="398"/>
      <c r="H441" s="404" t="str">
        <f>OBRA!AF441</f>
        <v>-</v>
      </c>
      <c r="I441" s="400"/>
      <c r="J441" s="406" t="str">
        <f>OBRA!AG441</f>
        <v>-</v>
      </c>
      <c r="K441" s="401"/>
      <c r="L441" s="404" t="str">
        <f>OBRA!AH441</f>
        <v>-</v>
      </c>
      <c r="M441" s="402"/>
      <c r="N441" s="404" t="str">
        <f>OBRA!AI441</f>
        <v>-</v>
      </c>
      <c r="O441" s="144"/>
      <c r="P441" s="144"/>
      <c r="Q441" s="403"/>
      <c r="R441" s="407" t="str">
        <f>OBRA!AJ441</f>
        <v>-</v>
      </c>
      <c r="S441" s="201"/>
      <c r="T441" s="399" t="str">
        <f>OBRA!W441</f>
        <v>N/A</v>
      </c>
      <c r="U441" s="408">
        <f>OBRA!X441</f>
        <v>0</v>
      </c>
      <c r="V441" s="1090"/>
      <c r="W441" s="19" t="str">
        <f>OBRA!N441</f>
        <v>DOP/AD/010-A/2020</v>
      </c>
      <c r="X441" s="12"/>
      <c r="Y441" s="12"/>
      <c r="Z441" s="409" t="str">
        <f>OBRA!M441</f>
        <v>CTA-CTE / EMP P REACT ECO MPIOS</v>
      </c>
      <c r="AA441" s="12"/>
      <c r="AB441" s="2" t="str">
        <f>OBRA!O441</f>
        <v>ADMINISTRACIÓN DIRECTA</v>
      </c>
      <c r="AC441" s="3" t="str">
        <f>OBRA!P441</f>
        <v>CONSTRUCCIÓN DE EMPEDRADO ZAMPEADO EN VIALIDAD AV. DEL TRABAJO DE KM 0+000.00 AL KM 0+215.00 (ENTRE VICENTE GUERRERO Y ALLENDE), EN LA LOCALIDAD DE SAN CRISTÓBAL ZAPOTITLÁN DEL MUNICIPIO DE JOCOTEPEC, JALISCO.</v>
      </c>
      <c r="AD441" s="4">
        <f>OBRA!R441</f>
        <v>149317.53</v>
      </c>
      <c r="AE441" s="6">
        <f>OBRA!S441</f>
        <v>44089</v>
      </c>
      <c r="AF441" s="5">
        <f>OBRA!T441</f>
        <v>44166</v>
      </c>
      <c r="AG441" s="390">
        <f>OBRA!U441</f>
        <v>44196</v>
      </c>
      <c r="AH441" s="52"/>
      <c r="AI441" s="211"/>
      <c r="AJ441" s="242"/>
      <c r="AK441" s="242"/>
      <c r="AL441" s="394"/>
      <c r="AM441" s="519" t="str">
        <f>GRAL!B443</f>
        <v>2018-2021</v>
      </c>
    </row>
    <row r="442" spans="1:39" ht="30" hidden="1" customHeight="1" thickTop="1">
      <c r="A442" s="158">
        <f>OBRA!J442</f>
        <v>2020</v>
      </c>
      <c r="B442" s="1683"/>
      <c r="C442" s="395"/>
      <c r="D442" s="146"/>
      <c r="E442" s="148"/>
      <c r="F442" s="148"/>
      <c r="G442" s="398"/>
      <c r="H442" s="404" t="str">
        <f>OBRA!AF442</f>
        <v>-</v>
      </c>
      <c r="I442" s="400"/>
      <c r="J442" s="406" t="str">
        <f>OBRA!AG442</f>
        <v>-</v>
      </c>
      <c r="K442" s="401"/>
      <c r="L442" s="404" t="str">
        <f>OBRA!AH442</f>
        <v>-</v>
      </c>
      <c r="M442" s="402"/>
      <c r="N442" s="404" t="str">
        <f>OBRA!AI442</f>
        <v>-</v>
      </c>
      <c r="O442" s="144"/>
      <c r="P442" s="144"/>
      <c r="Q442" s="403"/>
      <c r="R442" s="407" t="str">
        <f>OBRA!AJ442</f>
        <v>-</v>
      </c>
      <c r="S442" s="201"/>
      <c r="T442" s="399" t="str">
        <f>OBRA!W442</f>
        <v>N/A</v>
      </c>
      <c r="U442" s="408" t="str">
        <f>OBRA!X442</f>
        <v>ING. J. GUADALUPE IBARRA RAMIREZ</v>
      </c>
      <c r="V442" s="1090"/>
      <c r="W442" s="19" t="str">
        <f>OBRA!N442</f>
        <v>DOP/AD/011/2020</v>
      </c>
      <c r="X442" s="12"/>
      <c r="Y442" s="12"/>
      <c r="Z442" s="409" t="str">
        <f>OBRA!M442</f>
        <v>EMP P/LA REACTIVACIÓN ECONÓMICA EN MPIOS</v>
      </c>
      <c r="AA442" s="12"/>
      <c r="AB442" s="2" t="str">
        <f>OBRA!O442</f>
        <v>ADMINISTRACIÓN DIRECTA</v>
      </c>
      <c r="AC442" s="3" t="str">
        <f>OBRA!P442</f>
        <v>CONSTRUCCIÓN DE EMPEDRADO ZAMPEADO EN CALLES DE LA AGENCIA DE EL SAUZ</v>
      </c>
      <c r="AD442" s="4">
        <f>OBRA!R442</f>
        <v>781012.26</v>
      </c>
      <c r="AE442" s="6">
        <f>OBRA!S442</f>
        <v>44089</v>
      </c>
      <c r="AF442" s="5">
        <f>OBRA!T442</f>
        <v>44150</v>
      </c>
      <c r="AG442" s="390">
        <f>OBRA!U442</f>
        <v>44181</v>
      </c>
      <c r="AH442" s="52"/>
      <c r="AI442" s="211"/>
      <c r="AJ442" s="242"/>
      <c r="AK442" s="242"/>
      <c r="AL442" s="394"/>
      <c r="AM442" s="519" t="str">
        <f>GRAL!B444</f>
        <v>2018-2021</v>
      </c>
    </row>
    <row r="443" spans="1:39" ht="30" hidden="1" customHeight="1" thickTop="1">
      <c r="A443" s="158">
        <f>OBRA!J443</f>
        <v>2020</v>
      </c>
      <c r="B443" s="1683"/>
      <c r="C443" s="395"/>
      <c r="D443" s="146"/>
      <c r="E443" s="148"/>
      <c r="F443" s="148"/>
      <c r="G443" s="398"/>
      <c r="H443" s="404" t="str">
        <f>OBRA!AF443</f>
        <v>-</v>
      </c>
      <c r="I443" s="400"/>
      <c r="J443" s="406" t="str">
        <f>OBRA!AG443</f>
        <v>-</v>
      </c>
      <c r="K443" s="401"/>
      <c r="L443" s="404" t="str">
        <f>OBRA!AH443</f>
        <v>-</v>
      </c>
      <c r="M443" s="402"/>
      <c r="N443" s="404" t="str">
        <f>OBRA!AI443</f>
        <v>-</v>
      </c>
      <c r="O443" s="144"/>
      <c r="P443" s="144"/>
      <c r="Q443" s="403"/>
      <c r="R443" s="407" t="str">
        <f>OBRA!AJ443</f>
        <v>-</v>
      </c>
      <c r="S443" s="201"/>
      <c r="T443" s="399" t="str">
        <f>OBRA!W443</f>
        <v>N/A</v>
      </c>
      <c r="U443" s="408">
        <f>OBRA!X443</f>
        <v>0</v>
      </c>
      <c r="V443" s="1090"/>
      <c r="W443" s="19" t="str">
        <f>OBRA!N443</f>
        <v>DOP/AD/011-A/2020</v>
      </c>
      <c r="X443" s="12"/>
      <c r="Y443" s="12"/>
      <c r="Z443" s="409" t="str">
        <f>OBRA!M443</f>
        <v>CTA-CTE / EMP P REACT ECO MPIOS</v>
      </c>
      <c r="AA443" s="12"/>
      <c r="AB443" s="2" t="str">
        <f>OBRA!O443</f>
        <v>ADMINISTRACIÓN DIRECTA</v>
      </c>
      <c r="AC443" s="3" t="str">
        <f>OBRA!P443</f>
        <v>CONSTRUCCIÓN DE EMPEDRADO ZAMPEADO, EN LA AGENCIA DE EL SAUZ</v>
      </c>
      <c r="AD443" s="4">
        <f>OBRA!R443</f>
        <v>289700.96999999997</v>
      </c>
      <c r="AE443" s="6">
        <f>OBRA!S443</f>
        <v>44089</v>
      </c>
      <c r="AF443" s="5">
        <f>OBRA!T443</f>
        <v>44150</v>
      </c>
      <c r="AG443" s="390">
        <f>OBRA!U443</f>
        <v>44181</v>
      </c>
      <c r="AH443" s="52"/>
      <c r="AI443" s="211"/>
      <c r="AJ443" s="242"/>
      <c r="AK443" s="242"/>
      <c r="AL443" s="394"/>
      <c r="AM443" s="519" t="str">
        <f>GRAL!B445</f>
        <v>2018-2021</v>
      </c>
    </row>
    <row r="444" spans="1:39" ht="30" hidden="1" customHeight="1" thickTop="1">
      <c r="A444" s="158">
        <f>OBRA!J444</f>
        <v>2020</v>
      </c>
      <c r="B444" s="1683"/>
      <c r="C444" s="395"/>
      <c r="D444" s="146"/>
      <c r="E444" s="148"/>
      <c r="F444" s="148"/>
      <c r="G444" s="398"/>
      <c r="H444" s="404" t="str">
        <f>OBRA!AF444</f>
        <v>-</v>
      </c>
      <c r="I444" s="400"/>
      <c r="J444" s="406" t="str">
        <f>OBRA!AG444</f>
        <v>-</v>
      </c>
      <c r="K444" s="401"/>
      <c r="L444" s="404" t="str">
        <f>OBRA!AH444</f>
        <v>-</v>
      </c>
      <c r="M444" s="402"/>
      <c r="N444" s="404" t="str">
        <f>OBRA!AI444</f>
        <v>-</v>
      </c>
      <c r="O444" s="144"/>
      <c r="P444" s="144"/>
      <c r="Q444" s="403"/>
      <c r="R444" s="407" t="str">
        <f>OBRA!AJ444</f>
        <v>-</v>
      </c>
      <c r="S444" s="201"/>
      <c r="T444" s="399" t="str">
        <f>OBRA!W444</f>
        <v>N/A</v>
      </c>
      <c r="U444" s="408" t="str">
        <f>OBRA!X444</f>
        <v>ING. J. GUADALUPE IBARRA RAMIREZ</v>
      </c>
      <c r="V444" s="1090"/>
      <c r="W444" s="19" t="str">
        <f>OBRA!N444</f>
        <v>DOP/AD/012/2020</v>
      </c>
      <c r="X444" s="12"/>
      <c r="Y444" s="12"/>
      <c r="Z444" s="409" t="str">
        <f>OBRA!M444</f>
        <v>EMP P/LA REACTIVACIÓN ECONÓMICA EN MPIOS</v>
      </c>
      <c r="AA444" s="12"/>
      <c r="AB444" s="2" t="str">
        <f>OBRA!O444</f>
        <v>ADMINISTRACIÓN DIRECTA</v>
      </c>
      <c r="AC444" s="3" t="str">
        <f>OBRA!P444</f>
        <v>CONSTRUCCIÓN DE EMPEDRADO ZAMPEADO EN VIALIDAD ANDADOR PEATONAL ENTRE SAN LUCIANO Y SAN LUCIANO DE ABAJO DE KM 0+000.00 AL KM 0+746.00, SAN LUCIANO</v>
      </c>
      <c r="AD444" s="4">
        <f>OBRA!R444</f>
        <v>448092.36</v>
      </c>
      <c r="AE444" s="6">
        <f>OBRA!S444</f>
        <v>44089</v>
      </c>
      <c r="AF444" s="5">
        <f>OBRA!T444</f>
        <v>44166</v>
      </c>
      <c r="AG444" s="390">
        <f>OBRA!U444</f>
        <v>44196</v>
      </c>
      <c r="AH444" s="52"/>
      <c r="AI444" s="211"/>
      <c r="AJ444" s="242"/>
      <c r="AK444" s="242"/>
      <c r="AL444" s="394"/>
      <c r="AM444" s="519" t="str">
        <f>GRAL!B446</f>
        <v>2018-2021</v>
      </c>
    </row>
    <row r="445" spans="1:39" ht="30" hidden="1" customHeight="1" thickTop="1">
      <c r="A445" s="158">
        <f>OBRA!J445</f>
        <v>2020</v>
      </c>
      <c r="B445" s="1683"/>
      <c r="C445" s="395"/>
      <c r="D445" s="146"/>
      <c r="E445" s="148"/>
      <c r="F445" s="148"/>
      <c r="G445" s="398"/>
      <c r="H445" s="404" t="str">
        <f>OBRA!AF445</f>
        <v>-</v>
      </c>
      <c r="I445" s="400"/>
      <c r="J445" s="406" t="str">
        <f>OBRA!AG445</f>
        <v>-</v>
      </c>
      <c r="K445" s="401"/>
      <c r="L445" s="404" t="str">
        <f>OBRA!AH445</f>
        <v>-</v>
      </c>
      <c r="M445" s="402"/>
      <c r="N445" s="404" t="str">
        <f>OBRA!AI445</f>
        <v>-</v>
      </c>
      <c r="O445" s="144"/>
      <c r="P445" s="144"/>
      <c r="Q445" s="403"/>
      <c r="R445" s="407" t="str">
        <f>OBRA!AJ445</f>
        <v>-</v>
      </c>
      <c r="S445" s="201"/>
      <c r="T445" s="399" t="str">
        <f>OBRA!W445</f>
        <v>N/A</v>
      </c>
      <c r="U445" s="408">
        <f>OBRA!X445</f>
        <v>0</v>
      </c>
      <c r="V445" s="1090"/>
      <c r="W445" s="19" t="str">
        <f>OBRA!N445</f>
        <v>DOP/AD/012-A/2020</v>
      </c>
      <c r="X445" s="12"/>
      <c r="Y445" s="12"/>
      <c r="Z445" s="409" t="str">
        <f>OBRA!M445</f>
        <v>CTA-CTE / EMP P REACT ECO MPIOS</v>
      </c>
      <c r="AA445" s="12"/>
      <c r="AB445" s="2" t="str">
        <f>OBRA!O445</f>
        <v>ADMINISTRACIÓN DIRECTA</v>
      </c>
      <c r="AC445" s="3" t="str">
        <f>OBRA!P445</f>
        <v>CONSTRUCCIÓN DE EMPEDRADO ZAMPEADO EN VIALIDAD ANDADOR PEATONAL ENTRE SAN LUCIANO Y SAN LUCIANO DE ABAJO DE KM 0+000.00 AL KM 0+746.00, EN LA LOCALIDAD DE SAN LUCIANO DEL MUNICIPIO DE JOCOTEPEC, JALISCO.</v>
      </c>
      <c r="AD445" s="4">
        <f>OBRA!R445</f>
        <v>180637.7</v>
      </c>
      <c r="AE445" s="6">
        <f>OBRA!S445</f>
        <v>44089</v>
      </c>
      <c r="AF445" s="5">
        <f>OBRA!T445</f>
        <v>44166</v>
      </c>
      <c r="AG445" s="390">
        <f>OBRA!U445</f>
        <v>44196</v>
      </c>
      <c r="AH445" s="52"/>
      <c r="AI445" s="211"/>
      <c r="AJ445" s="242"/>
      <c r="AK445" s="242"/>
      <c r="AL445" s="394"/>
      <c r="AM445" s="519" t="str">
        <f>GRAL!B447</f>
        <v>2018-2021</v>
      </c>
    </row>
    <row r="446" spans="1:39" ht="30" hidden="1" customHeight="1" thickTop="1">
      <c r="A446" s="158">
        <f>OBRA!J446</f>
        <v>2020</v>
      </c>
      <c r="B446" s="1683"/>
      <c r="C446" s="395"/>
      <c r="D446" s="146"/>
      <c r="E446" s="148"/>
      <c r="F446" s="148"/>
      <c r="G446" s="398"/>
      <c r="H446" s="404" t="str">
        <f>OBRA!AF446</f>
        <v>-</v>
      </c>
      <c r="I446" s="400"/>
      <c r="J446" s="406" t="str">
        <f>OBRA!AG446</f>
        <v>-</v>
      </c>
      <c r="K446" s="401"/>
      <c r="L446" s="404" t="str">
        <f>OBRA!AH446</f>
        <v>-</v>
      </c>
      <c r="M446" s="402"/>
      <c r="N446" s="404" t="str">
        <f>OBRA!AI446</f>
        <v>-</v>
      </c>
      <c r="O446" s="144"/>
      <c r="P446" s="144"/>
      <c r="Q446" s="403"/>
      <c r="R446" s="407" t="str">
        <f>OBRA!AJ446</f>
        <v>-</v>
      </c>
      <c r="S446" s="201"/>
      <c r="T446" s="399" t="str">
        <f>OBRA!W446</f>
        <v>N/A</v>
      </c>
      <c r="U446" s="408" t="str">
        <f>OBRA!X446</f>
        <v>ING. J. GUADALUPE IBARRA RAMIREZ</v>
      </c>
      <c r="V446" s="1090"/>
      <c r="W446" s="19" t="str">
        <f>OBRA!N446</f>
        <v>DOP/AD/013/2020</v>
      </c>
      <c r="X446" s="12"/>
      <c r="Y446" s="12"/>
      <c r="Z446" s="409" t="str">
        <f>OBRA!M446</f>
        <v>EMP P/LA REACTIVACIÓN ECONÓMICA EN MPIOS</v>
      </c>
      <c r="AA446" s="12"/>
      <c r="AB446" s="2" t="str">
        <f>OBRA!O446</f>
        <v>ADMINISTRACIÓN DIRECTA</v>
      </c>
      <c r="AC446" s="3" t="str">
        <f>OBRA!P446</f>
        <v>CONSTRUCCIÓN DE EMPEDRADO ZAMPEADO, EN CALLES PRIMAVERA, REFUGIO SALAZAR IBARRA, PROF(A) CATALINA VALENCIA Y PBRO MARCOS CASTELLANOS, DEL FRACC. "EL CARRIZAL", EN LA CABECERA MUNICIPAL DE JOCOTEPEC JALISCO.</v>
      </c>
      <c r="AD446" s="4">
        <f>OBRA!R446</f>
        <v>846155.00000000012</v>
      </c>
      <c r="AE446" s="6">
        <f>OBRA!S446</f>
        <v>44089</v>
      </c>
      <c r="AF446" s="5">
        <f>OBRA!T446</f>
        <v>44139</v>
      </c>
      <c r="AG446" s="390">
        <f>OBRA!U446</f>
        <v>44191</v>
      </c>
      <c r="AH446" s="52"/>
      <c r="AI446" s="211"/>
      <c r="AJ446" s="242"/>
      <c r="AK446" s="242"/>
      <c r="AL446" s="394"/>
      <c r="AM446" s="519" t="str">
        <f>GRAL!B448</f>
        <v>2018-2021</v>
      </c>
    </row>
    <row r="447" spans="1:39" ht="30" hidden="1" customHeight="1" thickTop="1">
      <c r="A447" s="158">
        <f>OBRA!J447</f>
        <v>2020</v>
      </c>
      <c r="B447" s="1683"/>
      <c r="C447" s="395"/>
      <c r="D447" s="146"/>
      <c r="E447" s="148"/>
      <c r="F447" s="148"/>
      <c r="G447" s="398"/>
      <c r="H447" s="404" t="str">
        <f>OBRA!AF447</f>
        <v>-</v>
      </c>
      <c r="I447" s="400"/>
      <c r="J447" s="406" t="str">
        <f>OBRA!AG447</f>
        <v>-</v>
      </c>
      <c r="K447" s="401"/>
      <c r="L447" s="404" t="str">
        <f>OBRA!AH447</f>
        <v>-</v>
      </c>
      <c r="M447" s="402"/>
      <c r="N447" s="404" t="str">
        <f>OBRA!AI447</f>
        <v>-</v>
      </c>
      <c r="O447" s="144"/>
      <c r="P447" s="144"/>
      <c r="Q447" s="403"/>
      <c r="R447" s="407" t="str">
        <f>OBRA!AJ447</f>
        <v>-</v>
      </c>
      <c r="S447" s="201"/>
      <c r="T447" s="399" t="str">
        <f>OBRA!W447</f>
        <v>N/A</v>
      </c>
      <c r="U447" s="408">
        <f>OBRA!X447</f>
        <v>0</v>
      </c>
      <c r="V447" s="1090"/>
      <c r="W447" s="19" t="str">
        <f>OBRA!N447</f>
        <v>DOP/AD/013-A/2020</v>
      </c>
      <c r="X447" s="12"/>
      <c r="Y447" s="12"/>
      <c r="Z447" s="409" t="str">
        <f>OBRA!M447</f>
        <v>CTA-CTE / EMP P REACT ECO MPIOS</v>
      </c>
      <c r="AA447" s="12"/>
      <c r="AB447" s="2" t="str">
        <f>OBRA!O447</f>
        <v>ADMINISTRACIÓN DIRECTA</v>
      </c>
      <c r="AC447" s="3" t="str">
        <f>OBRA!P447</f>
        <v>CONSTRUCCIÓN DE EMPEDRADO ZAMPEADO, EN FRACC. "EL CARRIZAL", EN LA CABECERA MUNICIPAL DE JOCOTEPEC JALISCO.</v>
      </c>
      <c r="AD447" s="4">
        <f>OBRA!R447</f>
        <v>219218.46</v>
      </c>
      <c r="AE447" s="6">
        <f>OBRA!S447</f>
        <v>44089</v>
      </c>
      <c r="AF447" s="5">
        <f>OBRA!T447</f>
        <v>44139</v>
      </c>
      <c r="AG447" s="390">
        <f>OBRA!U447</f>
        <v>44191</v>
      </c>
      <c r="AH447" s="52"/>
      <c r="AI447" s="211"/>
      <c r="AJ447" s="242"/>
      <c r="AK447" s="242"/>
      <c r="AL447" s="394"/>
      <c r="AM447" s="519" t="str">
        <f>GRAL!B449</f>
        <v>2018-2021</v>
      </c>
    </row>
    <row r="448" spans="1:39" ht="30" hidden="1" customHeight="1" thickTop="1">
      <c r="A448" s="158">
        <f>OBRA!J448</f>
        <v>2020</v>
      </c>
      <c r="B448" s="1683"/>
      <c r="C448" s="395"/>
      <c r="D448" s="146"/>
      <c r="E448" s="148"/>
      <c r="F448" s="148"/>
      <c r="G448" s="398"/>
      <c r="H448" s="404" t="str">
        <f>OBRA!AF448</f>
        <v>-</v>
      </c>
      <c r="I448" s="400"/>
      <c r="J448" s="406" t="str">
        <f>OBRA!AG448</f>
        <v>-</v>
      </c>
      <c r="K448" s="401"/>
      <c r="L448" s="404" t="str">
        <f>OBRA!AH448</f>
        <v>-</v>
      </c>
      <c r="M448" s="402"/>
      <c r="N448" s="404" t="str">
        <f>OBRA!AI448</f>
        <v>-</v>
      </c>
      <c r="O448" s="144"/>
      <c r="P448" s="144"/>
      <c r="Q448" s="403"/>
      <c r="R448" s="407" t="str">
        <f>OBRA!AJ448</f>
        <v>-</v>
      </c>
      <c r="S448" s="201"/>
      <c r="T448" s="399" t="str">
        <f>OBRA!W448</f>
        <v>N/A</v>
      </c>
      <c r="U448" s="408" t="str">
        <f>OBRA!X448</f>
        <v>ING. J. GUADALUPE IBARRA RAMIREZ</v>
      </c>
      <c r="V448" s="1090"/>
      <c r="W448" s="19" t="str">
        <f>OBRA!N448</f>
        <v>DOP/AD/014/2020</v>
      </c>
      <c r="X448" s="12"/>
      <c r="Y448" s="12"/>
      <c r="Z448" s="409" t="str">
        <f>OBRA!M448</f>
        <v>EMP P/LA REACTIVACIÓN ECONÓMICA EN MPIOS</v>
      </c>
      <c r="AA448" s="12"/>
      <c r="AB448" s="2" t="str">
        <f>OBRA!O448</f>
        <v>ADMINISTRACIÓN DIRECTA</v>
      </c>
      <c r="AC448" s="3" t="str">
        <f>OBRA!P448</f>
        <v>CONSTRUCCIÓN DE EMPEDRADO ZAMPEADO EN VIALIDAD CALLE HIDALGO SUR DE KM 0+000.00 AL KM 0+170.00 (DE DONATO GUERRA A EMPEDRADO EXISTENTE) CABECERA MUNICIPAL DE JOCOTEPEC, JALISCO.</v>
      </c>
      <c r="AD448" s="4">
        <f>OBRA!R448</f>
        <v>367959.98</v>
      </c>
      <c r="AE448" s="6">
        <f>OBRA!S448</f>
        <v>44089</v>
      </c>
      <c r="AF448" s="5">
        <f>OBRA!T448</f>
        <v>44172</v>
      </c>
      <c r="AG448" s="390">
        <f>OBRA!U448</f>
        <v>44196</v>
      </c>
      <c r="AH448" s="52"/>
      <c r="AI448" s="211"/>
      <c r="AJ448" s="242"/>
      <c r="AK448" s="242"/>
      <c r="AL448" s="394"/>
      <c r="AM448" s="519" t="str">
        <f>GRAL!B450</f>
        <v>2018-2021</v>
      </c>
    </row>
    <row r="449" spans="1:39" ht="30" hidden="1" customHeight="1" thickTop="1">
      <c r="A449" s="158">
        <f>OBRA!J449</f>
        <v>2020</v>
      </c>
      <c r="B449" s="1683"/>
      <c r="C449" s="395"/>
      <c r="D449" s="146"/>
      <c r="E449" s="148"/>
      <c r="F449" s="148"/>
      <c r="G449" s="398"/>
      <c r="H449" s="404" t="str">
        <f>OBRA!AF449</f>
        <v>-</v>
      </c>
      <c r="I449" s="400"/>
      <c r="J449" s="406" t="str">
        <f>OBRA!AG449</f>
        <v>-</v>
      </c>
      <c r="K449" s="401"/>
      <c r="L449" s="404" t="str">
        <f>OBRA!AH449</f>
        <v>-</v>
      </c>
      <c r="M449" s="402"/>
      <c r="N449" s="404" t="str">
        <f>OBRA!AI449</f>
        <v>-</v>
      </c>
      <c r="O449" s="144"/>
      <c r="P449" s="144"/>
      <c r="Q449" s="403"/>
      <c r="R449" s="407" t="str">
        <f>OBRA!AJ449</f>
        <v>-</v>
      </c>
      <c r="S449" s="201"/>
      <c r="T449" s="399" t="str">
        <f>OBRA!W449</f>
        <v>N/A</v>
      </c>
      <c r="U449" s="408">
        <f>OBRA!X449</f>
        <v>0</v>
      </c>
      <c r="V449" s="1090"/>
      <c r="W449" s="19" t="str">
        <f>OBRA!N449</f>
        <v>DOP/AD/014-A/2020</v>
      </c>
      <c r="X449" s="12"/>
      <c r="Y449" s="12"/>
      <c r="Z449" s="409" t="str">
        <f>OBRA!M449</f>
        <v>CTA-CTE / EMP P REACT ECO MPIOS</v>
      </c>
      <c r="AA449" s="12"/>
      <c r="AB449" s="2" t="str">
        <f>OBRA!O449</f>
        <v>ADMINISTRACIÓN DIRECTA</v>
      </c>
      <c r="AC449" s="3" t="str">
        <f>OBRA!P449</f>
        <v>CONSTRUCCIÓN DE EMPEDRADO ZAMPEADO EN VIALIDAD CALLE HIDALGO SUR DE KM 0+000.00 AL KM 0+170.00 (DE DONATO GUERRA A EMPEDRADO EXISTENTE), EN LA CEBECERA MUNICIPAL DE JOCOTEPEC, JALISCO.</v>
      </c>
      <c r="AD449" s="4">
        <f>OBRA!R449</f>
        <v>134912.99</v>
      </c>
      <c r="AE449" s="6">
        <f>OBRA!S449</f>
        <v>44089</v>
      </c>
      <c r="AF449" s="5">
        <f>OBRA!T449</f>
        <v>44172</v>
      </c>
      <c r="AG449" s="390">
        <f>OBRA!U449</f>
        <v>44196</v>
      </c>
      <c r="AH449" s="52"/>
      <c r="AI449" s="211"/>
      <c r="AJ449" s="242"/>
      <c r="AK449" s="242"/>
      <c r="AL449" s="394"/>
      <c r="AM449" s="519" t="str">
        <f>GRAL!B451</f>
        <v>2018-2021</v>
      </c>
    </row>
    <row r="450" spans="1:39" ht="30" hidden="1" customHeight="1" thickTop="1">
      <c r="A450" s="158">
        <f>OBRA!J450</f>
        <v>2020</v>
      </c>
      <c r="B450" s="1683"/>
      <c r="C450" s="395"/>
      <c r="D450" s="146"/>
      <c r="E450" s="148"/>
      <c r="F450" s="148"/>
      <c r="G450" s="398"/>
      <c r="H450" s="404" t="str">
        <f>OBRA!AF450</f>
        <v>-</v>
      </c>
      <c r="I450" s="400"/>
      <c r="J450" s="406" t="str">
        <f>OBRA!AG450</f>
        <v>-</v>
      </c>
      <c r="K450" s="401"/>
      <c r="L450" s="404" t="str">
        <f>OBRA!AH450</f>
        <v>-</v>
      </c>
      <c r="M450" s="402"/>
      <c r="N450" s="404" t="str">
        <f>OBRA!AI450</f>
        <v>-</v>
      </c>
      <c r="O450" s="144"/>
      <c r="P450" s="144"/>
      <c r="Q450" s="403"/>
      <c r="R450" s="407" t="str">
        <f>OBRA!AJ450</f>
        <v>-</v>
      </c>
      <c r="S450" s="201"/>
      <c r="T450" s="399" t="str">
        <f>OBRA!W450</f>
        <v>N/A</v>
      </c>
      <c r="U450" s="408" t="str">
        <f>OBRA!X450</f>
        <v>ING. J. GUADALUPE IBARRA RAMIREZ</v>
      </c>
      <c r="V450" s="1090"/>
      <c r="W450" s="19" t="str">
        <f>OBRA!N450</f>
        <v>DOP/AD/015/2020</v>
      </c>
      <c r="X450" s="12"/>
      <c r="Y450" s="12"/>
      <c r="Z450" s="409" t="str">
        <f>OBRA!M450</f>
        <v>EMP P/LA REACTIVACIÓN ECONÓMICA EN MPIOS</v>
      </c>
      <c r="AA450" s="12"/>
      <c r="AB450" s="2" t="str">
        <f>OBRA!O450</f>
        <v>ADMINISTRACIÓN DIRECTA</v>
      </c>
      <c r="AC450" s="3" t="str">
        <f>OBRA!P450</f>
        <v>CONSTRUCCIÓN DE EMPEDRADO ZAMPEADO EN CALLES MTRA MARGARITA MIRANDA RAMOS, EDUARDO SOLIS, GILBERTO PARRA PAZ Y MA DEL ROSARIO BERNAL, DEL FRACC. "LAS PALMAS" EN LA CABECERA MUNICIPAL DE JOCOTEPEC, JALISCO.</v>
      </c>
      <c r="AD450" s="4">
        <f>OBRA!R450</f>
        <v>856034.87000000011</v>
      </c>
      <c r="AE450" s="6">
        <f>OBRA!S450</f>
        <v>44089</v>
      </c>
      <c r="AF450" s="5">
        <f>OBRA!T450</f>
        <v>44153</v>
      </c>
      <c r="AG450" s="390">
        <f>OBRA!U450</f>
        <v>44191</v>
      </c>
      <c r="AH450" s="52"/>
      <c r="AI450" s="211"/>
      <c r="AJ450" s="242"/>
      <c r="AK450" s="242"/>
      <c r="AL450" s="394"/>
      <c r="AM450" s="519" t="str">
        <f>GRAL!B452</f>
        <v>2018-2021</v>
      </c>
    </row>
    <row r="451" spans="1:39" ht="30" hidden="1" customHeight="1" thickTop="1">
      <c r="A451" s="158">
        <f>OBRA!J451</f>
        <v>2020</v>
      </c>
      <c r="B451" s="1683"/>
      <c r="C451" s="395"/>
      <c r="D451" s="146"/>
      <c r="E451" s="148"/>
      <c r="F451" s="148"/>
      <c r="G451" s="398"/>
      <c r="H451" s="404" t="str">
        <f>OBRA!AF451</f>
        <v>-</v>
      </c>
      <c r="I451" s="400"/>
      <c r="J451" s="406" t="str">
        <f>OBRA!AG451</f>
        <v>-</v>
      </c>
      <c r="K451" s="401"/>
      <c r="L451" s="404" t="str">
        <f>OBRA!AH451</f>
        <v>-</v>
      </c>
      <c r="M451" s="402"/>
      <c r="N451" s="404" t="str">
        <f>OBRA!AI451</f>
        <v>-</v>
      </c>
      <c r="O451" s="144"/>
      <c r="P451" s="144"/>
      <c r="Q451" s="403"/>
      <c r="R451" s="407" t="str">
        <f>OBRA!AJ451</f>
        <v>-</v>
      </c>
      <c r="S451" s="201"/>
      <c r="T451" s="399" t="str">
        <f>OBRA!W451</f>
        <v>N/A</v>
      </c>
      <c r="U451" s="408" t="str">
        <f>OBRA!X451</f>
        <v>ING. J. GUADALUPE IBARRA RAMIREZ</v>
      </c>
      <c r="V451" s="1090"/>
      <c r="W451" s="19" t="str">
        <f>OBRA!N451</f>
        <v>DOP/AD/015/2020</v>
      </c>
      <c r="X451" s="12"/>
      <c r="Y451" s="12"/>
      <c r="Z451" s="409" t="str">
        <f>OBRA!M451</f>
        <v>EMP P/LA REACTIVACIÓN ECONÓMICA EN MPIOS</v>
      </c>
      <c r="AA451" s="12"/>
      <c r="AB451" s="2" t="str">
        <f>OBRA!O451</f>
        <v>ADMINISTRACIÓN DIRECTA</v>
      </c>
      <c r="AC451" s="3" t="str">
        <f>OBRA!P451</f>
        <v>CONSTRUCCIÓN DE EMPEDRADO ZAMPEADO EN VIALIDAD CALLE CHAPULTEPEC DE KM 0+000 AL KM 0+395.65 (ENTRE 1RO DE MAYO Y CHURUBUSCO), EN LA CABECERA MUNICIPAL DE JOCOTEPEC, JALISCO.</v>
      </c>
      <c r="AD451" s="4">
        <f>OBRA!R451</f>
        <v>196467.44</v>
      </c>
      <c r="AE451" s="6">
        <f>OBRA!S451</f>
        <v>44089</v>
      </c>
      <c r="AF451" s="5">
        <f>OBRA!T451</f>
        <v>44153</v>
      </c>
      <c r="AG451" s="390">
        <f>OBRA!U451</f>
        <v>44191</v>
      </c>
      <c r="AH451" s="52"/>
      <c r="AI451" s="211"/>
      <c r="AJ451" s="242"/>
      <c r="AK451" s="242"/>
      <c r="AL451" s="394"/>
      <c r="AM451" s="519" t="str">
        <f>GRAL!B453</f>
        <v>2018-2021</v>
      </c>
    </row>
    <row r="452" spans="1:39" ht="30" hidden="1" customHeight="1" thickTop="1">
      <c r="A452" s="158">
        <f>OBRA!J452</f>
        <v>2020</v>
      </c>
      <c r="B452" s="1683"/>
      <c r="C452" s="395"/>
      <c r="D452" s="146"/>
      <c r="E452" s="148"/>
      <c r="F452" s="148"/>
      <c r="G452" s="398"/>
      <c r="H452" s="404" t="str">
        <f>OBRA!AF452</f>
        <v>-</v>
      </c>
      <c r="I452" s="400"/>
      <c r="J452" s="406" t="str">
        <f>OBRA!AG452</f>
        <v>-</v>
      </c>
      <c r="K452" s="401"/>
      <c r="L452" s="404" t="str">
        <f>OBRA!AH452</f>
        <v>-</v>
      </c>
      <c r="M452" s="402"/>
      <c r="N452" s="404" t="str">
        <f>OBRA!AI452</f>
        <v>-</v>
      </c>
      <c r="O452" s="144"/>
      <c r="P452" s="144"/>
      <c r="Q452" s="403"/>
      <c r="R452" s="407" t="str">
        <f>OBRA!AJ452</f>
        <v>-</v>
      </c>
      <c r="S452" s="201"/>
      <c r="T452" s="399" t="str">
        <f>OBRA!W452</f>
        <v>N/A</v>
      </c>
      <c r="U452" s="408">
        <f>OBRA!X452</f>
        <v>0</v>
      </c>
      <c r="V452" s="1090"/>
      <c r="W452" s="19" t="str">
        <f>OBRA!N452</f>
        <v>DOP/AD/015-A/2020</v>
      </c>
      <c r="X452" s="12"/>
      <c r="Y452" s="12"/>
      <c r="Z452" s="409" t="str">
        <f>OBRA!M452</f>
        <v>CTA-CTE / EMP P REACT ECO MPIOS</v>
      </c>
      <c r="AA452" s="12"/>
      <c r="AB452" s="2" t="str">
        <f>OBRA!O452</f>
        <v>ADMINISTRACIÓN DIRECTA</v>
      </c>
      <c r="AC452" s="3" t="str">
        <f>OBRA!P452</f>
        <v>CONSTRUCCIÓN DE EMPEDRADO ZAMPEADO EN FRACC. "LAS PALMAS", EN LA CABECERA MUNICIPAL DE JOCOTEPEC, JALISCO.</v>
      </c>
      <c r="AD452" s="4">
        <f>OBRA!R452</f>
        <v>230070.08</v>
      </c>
      <c r="AE452" s="6">
        <f>OBRA!S452</f>
        <v>44089</v>
      </c>
      <c r="AF452" s="5">
        <f>OBRA!T452</f>
        <v>44153</v>
      </c>
      <c r="AG452" s="390">
        <f>OBRA!U452</f>
        <v>44191</v>
      </c>
      <c r="AH452" s="52"/>
      <c r="AI452" s="211"/>
      <c r="AJ452" s="242"/>
      <c r="AK452" s="242"/>
      <c r="AL452" s="394"/>
      <c r="AM452" s="519" t="str">
        <f>GRAL!B454</f>
        <v>2018-2021</v>
      </c>
    </row>
    <row r="453" spans="1:39" ht="30" hidden="1" customHeight="1" thickTop="1">
      <c r="A453" s="158">
        <f>OBRA!J453</f>
        <v>2020</v>
      </c>
      <c r="B453" s="1683"/>
      <c r="C453" s="395"/>
      <c r="D453" s="146"/>
      <c r="E453" s="148"/>
      <c r="F453" s="148"/>
      <c r="G453" s="398"/>
      <c r="H453" s="404" t="str">
        <f>OBRA!AF453</f>
        <v>-</v>
      </c>
      <c r="I453" s="400"/>
      <c r="J453" s="406" t="str">
        <f>OBRA!AG453</f>
        <v>-</v>
      </c>
      <c r="K453" s="401"/>
      <c r="L453" s="404" t="str">
        <f>OBRA!AH453</f>
        <v>-</v>
      </c>
      <c r="M453" s="402"/>
      <c r="N453" s="404" t="str">
        <f>OBRA!AI453</f>
        <v>-</v>
      </c>
      <c r="O453" s="144"/>
      <c r="P453" s="144"/>
      <c r="Q453" s="403"/>
      <c r="R453" s="407" t="str">
        <f>OBRA!AJ453</f>
        <v>-</v>
      </c>
      <c r="S453" s="201"/>
      <c r="T453" s="399" t="str">
        <f>OBRA!W453</f>
        <v>N/A</v>
      </c>
      <c r="U453" s="408" t="str">
        <f>OBRA!X453</f>
        <v>ING. J. GUADALUPE IBARRA RAMIREZ</v>
      </c>
      <c r="V453" s="1090"/>
      <c r="W453" s="19" t="str">
        <f>OBRA!N453</f>
        <v>DOP/AD/016/2020</v>
      </c>
      <c r="X453" s="12"/>
      <c r="Y453" s="12"/>
      <c r="Z453" s="409" t="str">
        <f>OBRA!M453</f>
        <v>EMP P/LA REACTIVACIÓN ECONÓMICA EN MPIOS</v>
      </c>
      <c r="AA453" s="12"/>
      <c r="AB453" s="2" t="str">
        <f>OBRA!O453</f>
        <v>ADMINISTRACIÓN DIRECTA</v>
      </c>
      <c r="AC453" s="3" t="str">
        <f>OBRA!P453</f>
        <v>CONSTRUCCIÓN DE EMPEDRADO ZAMPEADO EN C. INVIERNO, C. LAZARO CARDENAS, C. GONZALEZ ORTEGA Y CHAPULTEPEC EN CABECERA MUNICIPAL DE JOCOTEPEC, JALISCO.</v>
      </c>
      <c r="AD453" s="4">
        <f>OBRA!R453</f>
        <v>1291558.55</v>
      </c>
      <c r="AE453" s="6">
        <f>OBRA!S453</f>
        <v>44089</v>
      </c>
      <c r="AF453" s="5">
        <f>OBRA!T453</f>
        <v>44139</v>
      </c>
      <c r="AG453" s="390">
        <f>OBRA!U453</f>
        <v>44196</v>
      </c>
      <c r="AH453" s="52"/>
      <c r="AI453" s="211"/>
      <c r="AJ453" s="242"/>
      <c r="AK453" s="242"/>
      <c r="AL453" s="394"/>
      <c r="AM453" s="519" t="str">
        <f>GRAL!B455</f>
        <v>2018-2021</v>
      </c>
    </row>
    <row r="454" spans="1:39" ht="30" hidden="1" customHeight="1" thickTop="1">
      <c r="A454" s="158">
        <f>OBRA!J454</f>
        <v>2020</v>
      </c>
      <c r="B454" s="1683"/>
      <c r="C454" s="395"/>
      <c r="D454" s="146"/>
      <c r="E454" s="148"/>
      <c r="F454" s="148"/>
      <c r="G454" s="398"/>
      <c r="H454" s="404" t="str">
        <f>OBRA!AF454</f>
        <v>-</v>
      </c>
      <c r="I454" s="400"/>
      <c r="J454" s="406" t="str">
        <f>OBRA!AG454</f>
        <v>-</v>
      </c>
      <c r="K454" s="401"/>
      <c r="L454" s="404" t="str">
        <f>OBRA!AH454</f>
        <v>-</v>
      </c>
      <c r="M454" s="402"/>
      <c r="N454" s="404" t="str">
        <f>OBRA!AI454</f>
        <v>-</v>
      </c>
      <c r="O454" s="144"/>
      <c r="P454" s="144"/>
      <c r="Q454" s="403"/>
      <c r="R454" s="407" t="str">
        <f>OBRA!AJ454</f>
        <v>-</v>
      </c>
      <c r="S454" s="201"/>
      <c r="T454" s="399" t="str">
        <f>OBRA!W454</f>
        <v>N/A</v>
      </c>
      <c r="U454" s="408">
        <f>OBRA!X454</f>
        <v>0</v>
      </c>
      <c r="V454" s="1090"/>
      <c r="W454" s="19" t="str">
        <f>OBRA!N454</f>
        <v>DOP/AD/016-A/2020</v>
      </c>
      <c r="X454" s="12"/>
      <c r="Y454" s="12"/>
      <c r="Z454" s="409" t="str">
        <f>OBRA!M454</f>
        <v>CTA-CTE / EMP P REACT ECO MPIOS</v>
      </c>
      <c r="AA454" s="12"/>
      <c r="AB454" s="2" t="str">
        <f>OBRA!O454</f>
        <v>ADMINISTRACIÓN DIRECTA</v>
      </c>
      <c r="AC454" s="3" t="str">
        <f>OBRA!P454</f>
        <v>CONSTRUCCIÓN DE EMPEDRADO ZAMPEADO EN C. INVIERNO, C. LAZARO CARDENAS, C. GONZALEZ ORTEGA Y CHAPULTEPEC EN CABECERA MUNICIPAL DE JOCOTEPEC, JALISCO.</v>
      </c>
      <c r="AD454" s="4">
        <f>OBRA!R454</f>
        <v>542961</v>
      </c>
      <c r="AE454" s="6">
        <f>OBRA!S454</f>
        <v>44089</v>
      </c>
      <c r="AF454" s="5">
        <f>OBRA!T454</f>
        <v>44139</v>
      </c>
      <c r="AG454" s="390">
        <f>OBRA!U454</f>
        <v>44196</v>
      </c>
      <c r="AH454" s="52"/>
      <c r="AI454" s="211"/>
      <c r="AJ454" s="242"/>
      <c r="AK454" s="242"/>
      <c r="AL454" s="394"/>
      <c r="AM454" s="519" t="str">
        <f>GRAL!B456</f>
        <v>2018-2021</v>
      </c>
    </row>
    <row r="455" spans="1:39" ht="30" hidden="1" customHeight="1" thickTop="1">
      <c r="A455" s="158">
        <f>OBRA!J455</f>
        <v>2020</v>
      </c>
      <c r="B455" s="1683"/>
      <c r="C455" s="395"/>
      <c r="D455" s="146"/>
      <c r="E455" s="148"/>
      <c r="F455" s="148"/>
      <c r="G455" s="398"/>
      <c r="H455" s="404" t="str">
        <f>OBRA!AF455</f>
        <v>-</v>
      </c>
      <c r="I455" s="400"/>
      <c r="J455" s="406" t="str">
        <f>OBRA!AG455</f>
        <v>-</v>
      </c>
      <c r="K455" s="401"/>
      <c r="L455" s="404" t="str">
        <f>OBRA!AH455</f>
        <v>-</v>
      </c>
      <c r="M455" s="402"/>
      <c r="N455" s="404" t="str">
        <f>OBRA!AI455</f>
        <v>-</v>
      </c>
      <c r="O455" s="144"/>
      <c r="P455" s="144"/>
      <c r="Q455" s="403"/>
      <c r="R455" s="407" t="str">
        <f>OBRA!AJ455</f>
        <v>-</v>
      </c>
      <c r="S455" s="201"/>
      <c r="T455" s="399" t="str">
        <f>OBRA!W455</f>
        <v xml:space="preserve">CICLOS GIP SC </v>
      </c>
      <c r="U455" s="408" t="str">
        <f>OBRA!X455</f>
        <v>ING. JUAN MANUEL GARCIA ESCOTO</v>
      </c>
      <c r="V455" s="1090"/>
      <c r="W455" s="19" t="str">
        <f>OBRA!N455</f>
        <v>C.P.S.P. DOP 001/2020</v>
      </c>
      <c r="X455" s="12"/>
      <c r="Y455" s="12"/>
      <c r="Z455" s="409" t="str">
        <f>OBRA!M455</f>
        <v>CUENTA CORRIENTE</v>
      </c>
      <c r="AA455" s="12"/>
      <c r="AB455" s="2" t="str">
        <f>OBRA!O455</f>
        <v>SERVICIOS</v>
      </c>
      <c r="AC455" s="3" t="str">
        <f>OBRA!P455</f>
        <v>REGISTRO ELECTRICO VERSIÓN MULTIPARAMETROS, PARA EL PROYECTO DE PERFORACIÓN DE POZO PROFUNDO, EN LA AGENCIA MUNICIPAL DE EL MOLINO, DEL MUNICIPIO DE JOCOTEPEC, JALISCO.</v>
      </c>
      <c r="AD455" s="4">
        <f>OBRA!R455</f>
        <v>15080</v>
      </c>
      <c r="AE455" s="6">
        <f>OBRA!S455</f>
        <v>43864</v>
      </c>
      <c r="AF455" s="5">
        <f>OBRA!T455</f>
        <v>43865</v>
      </c>
      <c r="AG455" s="390">
        <f>OBRA!U455</f>
        <v>43879</v>
      </c>
      <c r="AH455" s="52"/>
      <c r="AI455" s="211"/>
      <c r="AJ455" s="242"/>
      <c r="AK455" s="242"/>
      <c r="AL455" s="394"/>
      <c r="AM455" s="519" t="str">
        <f>GRAL!B457</f>
        <v>2018-2021</v>
      </c>
    </row>
    <row r="456" spans="1:39" ht="30" hidden="1" customHeight="1" thickTop="1">
      <c r="A456" s="158">
        <f>OBRA!J456</f>
        <v>2020</v>
      </c>
      <c r="B456" s="1683"/>
      <c r="C456" s="395"/>
      <c r="D456" s="146"/>
      <c r="E456" s="148"/>
      <c r="F456" s="148"/>
      <c r="G456" s="398"/>
      <c r="H456" s="404" t="str">
        <f>OBRA!AF456</f>
        <v>-</v>
      </c>
      <c r="I456" s="400"/>
      <c r="J456" s="406" t="str">
        <f>OBRA!AG456</f>
        <v>-</v>
      </c>
      <c r="K456" s="401"/>
      <c r="L456" s="404" t="str">
        <f>OBRA!AH456</f>
        <v>-</v>
      </c>
      <c r="M456" s="402"/>
      <c r="N456" s="404" t="str">
        <f>OBRA!AI456</f>
        <v>-</v>
      </c>
      <c r="O456" s="144"/>
      <c r="P456" s="144"/>
      <c r="Q456" s="403"/>
      <c r="R456" s="407" t="str">
        <f>OBRA!AJ456</f>
        <v>-</v>
      </c>
      <c r="S456" s="201"/>
      <c r="T456" s="399" t="str">
        <f>OBRA!W456</f>
        <v>AJG INGENIERIA, SA DE CV</v>
      </c>
      <c r="U456" s="408" t="str">
        <f>OBRA!X456</f>
        <v>ING. JUAN MANUEL GARCIA ESCOTO</v>
      </c>
      <c r="V456" s="1090"/>
      <c r="W456" s="19" t="str">
        <f>OBRA!N456</f>
        <v>C.P.S.P. DOP 002/2020</v>
      </c>
      <c r="X456" s="12"/>
      <c r="Y456" s="12"/>
      <c r="Z456" s="409" t="str">
        <f>OBRA!M456</f>
        <v>CUENTA CORRIENTE</v>
      </c>
      <c r="AA456" s="12"/>
      <c r="AB456" s="2" t="str">
        <f>OBRA!O456</f>
        <v>SERVICIOS</v>
      </c>
      <c r="AC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OBRA!R456</f>
        <v>139246.39999999999</v>
      </c>
      <c r="AE456" s="6">
        <f>OBRA!S456</f>
        <v>44275</v>
      </c>
      <c r="AF456" s="5">
        <f>OBRA!T456</f>
        <v>44287</v>
      </c>
      <c r="AG456" s="390">
        <f>OBRA!U456</f>
        <v>44289</v>
      </c>
      <c r="AH456" s="52"/>
      <c r="AI456" s="211"/>
      <c r="AJ456" s="242"/>
      <c r="AK456" s="242"/>
      <c r="AL456" s="394"/>
      <c r="AM456" s="519" t="str">
        <f>GRAL!B458</f>
        <v>2018-2021</v>
      </c>
    </row>
    <row r="457" spans="1:39" ht="30" hidden="1" customHeight="1" thickTop="1">
      <c r="A457" s="158">
        <f>OBRA!J457</f>
        <v>2020</v>
      </c>
      <c r="B457" s="1683"/>
      <c r="C457" s="395"/>
      <c r="D457" s="146"/>
      <c r="E457" s="148"/>
      <c r="F457" s="148"/>
      <c r="G457" s="398"/>
      <c r="H457" s="404">
        <f>OBRA!AF457</f>
        <v>0</v>
      </c>
      <c r="I457" s="400"/>
      <c r="J457" s="406">
        <f>OBRA!AG457</f>
        <v>0</v>
      </c>
      <c r="K457" s="401"/>
      <c r="L457" s="404">
        <f>OBRA!AH457</f>
        <v>0</v>
      </c>
      <c r="M457" s="402"/>
      <c r="N457" s="404">
        <f>OBRA!AI457</f>
        <v>0</v>
      </c>
      <c r="O457" s="144"/>
      <c r="P457" s="144"/>
      <c r="Q457" s="403"/>
      <c r="R457" s="407">
        <f>OBRA!AJ457</f>
        <v>0</v>
      </c>
      <c r="S457" s="201"/>
      <c r="T457" s="399">
        <f>OBRA!W457</f>
        <v>0</v>
      </c>
      <c r="U457" s="408">
        <f>OBRA!X457</f>
        <v>0</v>
      </c>
      <c r="V457" s="1090"/>
      <c r="W457" s="19" t="str">
        <f>OBRA!N457</f>
        <v>C.P.S.P. DOP 003/2020</v>
      </c>
      <c r="X457" s="12"/>
      <c r="Y457" s="12"/>
      <c r="Z457" s="409">
        <f>OBRA!M457</f>
        <v>0</v>
      </c>
      <c r="AA457" s="12"/>
      <c r="AB457" s="2" t="str">
        <f>OBRA!O457</f>
        <v>CANCELADA</v>
      </c>
      <c r="AC457" s="3" t="str">
        <f>OBRA!P457</f>
        <v>CONTRATO CANCELADO</v>
      </c>
      <c r="AD457" s="4">
        <f>OBRA!R457</f>
        <v>0</v>
      </c>
      <c r="AE457" s="6">
        <f>OBRA!S457</f>
        <v>0</v>
      </c>
      <c r="AF457" s="5">
        <f>OBRA!T457</f>
        <v>0</v>
      </c>
      <c r="AG457" s="390">
        <f>OBRA!U457</f>
        <v>0</v>
      </c>
      <c r="AH457" s="52"/>
      <c r="AI457" s="211"/>
      <c r="AJ457" s="242"/>
      <c r="AK457" s="242"/>
      <c r="AL457" s="394"/>
      <c r="AM457" s="519" t="str">
        <f>GRAL!B459</f>
        <v>2018-2021</v>
      </c>
    </row>
    <row r="458" spans="1:39" ht="30" hidden="1" customHeight="1" thickTop="1">
      <c r="A458" s="158">
        <f>OBRA!J458</f>
        <v>2020</v>
      </c>
      <c r="B458" s="1683"/>
      <c r="C458" s="395"/>
      <c r="D458" s="146"/>
      <c r="E458" s="148"/>
      <c r="F458" s="148"/>
      <c r="G458" s="398"/>
      <c r="H458" s="404" t="str">
        <f>OBRA!AF458</f>
        <v>-</v>
      </c>
      <c r="I458" s="400"/>
      <c r="J458" s="406" t="str">
        <f>OBRA!AG458</f>
        <v>-</v>
      </c>
      <c r="K458" s="401"/>
      <c r="L458" s="404" t="str">
        <f>OBRA!AH458</f>
        <v>-</v>
      </c>
      <c r="M458" s="402"/>
      <c r="N458" s="404" t="str">
        <f>OBRA!AI458</f>
        <v>-</v>
      </c>
      <c r="O458" s="144"/>
      <c r="P458" s="144"/>
      <c r="Q458" s="403"/>
      <c r="R458" s="407" t="str">
        <f>OBRA!AJ458</f>
        <v>-</v>
      </c>
      <c r="S458" s="201"/>
      <c r="T458" s="399" t="str">
        <f>OBRA!W458</f>
        <v>SUPERVISIÓN PROYECTOS Y LABORATORIO PARA LA CONSTRUCCIÓN</v>
      </c>
      <c r="U458" s="408" t="str">
        <f>OBRA!X458</f>
        <v>ING. HECTOR JESUS HERNANDEZ</v>
      </c>
      <c r="V458" s="1090"/>
      <c r="W458" s="19" t="str">
        <f>OBRA!N458</f>
        <v>C.P.S.P. DOP 004/2020</v>
      </c>
      <c r="X458" s="12"/>
      <c r="Y458" s="12"/>
      <c r="Z458" s="409" t="str">
        <f>OBRA!M458</f>
        <v>CUENTA CORRIENTE</v>
      </c>
      <c r="AA458" s="12"/>
      <c r="AB458" s="2" t="str">
        <f>OBRA!O458</f>
        <v>SERVICIOS</v>
      </c>
      <c r="AC458" s="3" t="str">
        <f>OBRA!P458</f>
        <v>ESTUDIOS DE MECÁNICA DE SUELOS Y DE COMPACTACIÓN, CORRESPONDIENTE AL PROYECTO: "REHABILITACIÓN DE IMAGEN URBANA EN CALLE GUADALUPE VICTORIA SUR ENTRE VICENTE GUERRERO Y DONATO GUERRA", EN LA CABECERA MUNICIPAL DE JOCOTEPEC, JALISCO.</v>
      </c>
      <c r="AD458" s="4">
        <f>OBRA!R458</f>
        <v>25520</v>
      </c>
      <c r="AE458" s="6">
        <f>OBRA!S458</f>
        <v>43979</v>
      </c>
      <c r="AF458" s="5" t="str">
        <f>OBRA!T458</f>
        <v>NO APLICA</v>
      </c>
      <c r="AG458" s="390" t="str">
        <f>OBRA!U458</f>
        <v>NO APLICA</v>
      </c>
      <c r="AH458" s="52"/>
      <c r="AI458" s="211"/>
      <c r="AJ458" s="242"/>
      <c r="AK458" s="242"/>
      <c r="AL458" s="394"/>
      <c r="AM458" s="519" t="str">
        <f>GRAL!B461</f>
        <v>2018-2021</v>
      </c>
    </row>
    <row r="459" spans="1:39" ht="30" hidden="1" customHeight="1" thickTop="1">
      <c r="A459" s="158">
        <f>OBRA!J459</f>
        <v>2020</v>
      </c>
      <c r="B459" s="1683"/>
      <c r="C459" s="395"/>
      <c r="D459" s="146"/>
      <c r="E459" s="148"/>
      <c r="F459" s="148"/>
      <c r="G459" s="398"/>
      <c r="H459" s="404" t="str">
        <f>OBRA!AF459</f>
        <v>-</v>
      </c>
      <c r="I459" s="400"/>
      <c r="J459" s="406" t="str">
        <f>OBRA!AG459</f>
        <v>-</v>
      </c>
      <c r="K459" s="401"/>
      <c r="L459" s="404" t="str">
        <f>OBRA!AH459</f>
        <v>-</v>
      </c>
      <c r="M459" s="402"/>
      <c r="N459" s="404" t="str">
        <f>OBRA!AI459</f>
        <v>-</v>
      </c>
      <c r="O459" s="144"/>
      <c r="P459" s="144"/>
      <c r="Q459" s="403"/>
      <c r="R459" s="407" t="str">
        <f>OBRA!AJ459</f>
        <v>-</v>
      </c>
      <c r="S459" s="201"/>
      <c r="T459" s="399" t="str">
        <f>OBRA!W459</f>
        <v>SUPERVISIÓN PROYECTOS Y LABORATORIO PARA LA CONSTRUCCIÓN</v>
      </c>
      <c r="U459" s="408" t="str">
        <f>OBRA!X459</f>
        <v>ING. HECTOR JESUS HERNANDEZ</v>
      </c>
      <c r="V459" s="1090"/>
      <c r="W459" s="19" t="str">
        <f>OBRA!N459</f>
        <v>C.P.S.P. DOP 005/2020</v>
      </c>
      <c r="X459" s="12"/>
      <c r="Y459" s="12"/>
      <c r="Z459" s="409" t="str">
        <f>OBRA!M459</f>
        <v>CUENTA CORRIENTE</v>
      </c>
      <c r="AA459" s="12"/>
      <c r="AB459" s="2" t="str">
        <f>OBRA!O459</f>
        <v>SERVICIOS</v>
      </c>
      <c r="AC459" s="3" t="str">
        <f>OBRA!P459</f>
        <v>ESTUDIOS DE MECÁNICA DE SUELOS, COMPACTACIÓN Y CALCULO ESTRUCTURAL, CORRESPONDIENTE AL PROYECTO: "REHABILITACIÓN DE LA CANCHA UNIDAD DEPORTIVA ZARAGOZA 1ERA. ETAPA", EN LA CABECERA MUNICIPAL DE JOCOTEPEC, JALISCO.</v>
      </c>
      <c r="AD459" s="4">
        <f>OBRA!R459</f>
        <v>36772</v>
      </c>
      <c r="AE459" s="6">
        <f>OBRA!S459</f>
        <v>43979</v>
      </c>
      <c r="AF459" s="5" t="str">
        <f>OBRA!T459</f>
        <v>NO APLICA</v>
      </c>
      <c r="AG459" s="390" t="str">
        <f>OBRA!U459</f>
        <v>NO APLICA</v>
      </c>
      <c r="AH459" s="52"/>
      <c r="AI459" s="211"/>
      <c r="AJ459" s="242"/>
      <c r="AK459" s="242"/>
      <c r="AL459" s="394"/>
      <c r="AM459" s="519" t="str">
        <f>GRAL!B462</f>
        <v>2018-2021</v>
      </c>
    </row>
    <row r="460" spans="1:39" ht="30" hidden="1" customHeight="1" thickTop="1">
      <c r="A460" s="158">
        <f>OBRA!J460</f>
        <v>2020</v>
      </c>
      <c r="B460" s="1683"/>
      <c r="C460" s="395"/>
      <c r="D460" s="146"/>
      <c r="E460" s="148"/>
      <c r="F460" s="148"/>
      <c r="G460" s="398"/>
      <c r="H460" s="404" t="str">
        <f>OBRA!AF460</f>
        <v>-</v>
      </c>
      <c r="I460" s="400"/>
      <c r="J460" s="406" t="str">
        <f>OBRA!AG460</f>
        <v>-</v>
      </c>
      <c r="K460" s="401"/>
      <c r="L460" s="404" t="str">
        <f>OBRA!AH460</f>
        <v>-</v>
      </c>
      <c r="M460" s="402"/>
      <c r="N460" s="404" t="str">
        <f>OBRA!AI460</f>
        <v>-</v>
      </c>
      <c r="O460" s="144"/>
      <c r="P460" s="144"/>
      <c r="Q460" s="403"/>
      <c r="R460" s="407" t="str">
        <f>OBRA!AJ460</f>
        <v>-</v>
      </c>
      <c r="S460" s="201"/>
      <c r="T460" s="399" t="str">
        <f>OBRA!W460</f>
        <v>SUPERVISIÓN PROYECTOS Y LABORATORIO PARA LA CONSTRUCCIÓN</v>
      </c>
      <c r="U460" s="408" t="str">
        <f>OBRA!X460</f>
        <v>ING. HECTOR JESUS HERNANDEZ</v>
      </c>
      <c r="V460" s="1090"/>
      <c r="W460" s="19" t="str">
        <f>OBRA!N460</f>
        <v>C.P.S.P. DOP 006/2020</v>
      </c>
      <c r="X460" s="12"/>
      <c r="Y460" s="12"/>
      <c r="Z460" s="409" t="str">
        <f>OBRA!M460</f>
        <v>CUENTA CORRIENTE</v>
      </c>
      <c r="AA460" s="12"/>
      <c r="AB460" s="2" t="str">
        <f>OBRA!O460</f>
        <v>SERVICIOS</v>
      </c>
      <c r="AC460" s="3" t="str">
        <f>OBRA!P460</f>
        <v>ESTUDIOS DE MECÁNICA DE SUELOS Y COMPACTACIÓN, CORRESPONDIENTE AL PROYECTO: "REHABILITACIÓN DE CANCHA DE USOS MULTIPLES UBICADA EN EL MALECÓN", EN LA LOCALIDAD DE SAN JUAN COSALA, DEL MUNICIPIO DE JOCOTEPEC, JALISCO.</v>
      </c>
      <c r="AD460" s="4">
        <f>OBRA!R460</f>
        <v>18096</v>
      </c>
      <c r="AE460" s="6">
        <f>OBRA!S460</f>
        <v>43979</v>
      </c>
      <c r="AF460" s="5" t="str">
        <f>OBRA!T460</f>
        <v>NO APLICA</v>
      </c>
      <c r="AG460" s="390" t="str">
        <f>OBRA!U460</f>
        <v>NO APLICA</v>
      </c>
      <c r="AH460" s="52"/>
      <c r="AI460" s="211"/>
      <c r="AJ460" s="242"/>
      <c r="AK460" s="242"/>
      <c r="AL460" s="394"/>
      <c r="AM460" s="519" t="str">
        <f>GRAL!B463</f>
        <v>2018-2021</v>
      </c>
    </row>
    <row r="461" spans="1:39" ht="30" hidden="1" customHeight="1" thickTop="1">
      <c r="A461" s="158">
        <f>OBRA!J461</f>
        <v>2020</v>
      </c>
      <c r="B461" s="1683"/>
      <c r="C461" s="395"/>
      <c r="D461" s="146"/>
      <c r="E461" s="148"/>
      <c r="F461" s="148"/>
      <c r="G461" s="398"/>
      <c r="H461" s="404" t="str">
        <f>OBRA!AF461</f>
        <v>-</v>
      </c>
      <c r="I461" s="400"/>
      <c r="J461" s="406" t="str">
        <f>OBRA!AG461</f>
        <v>-</v>
      </c>
      <c r="K461" s="401"/>
      <c r="L461" s="404" t="str">
        <f>OBRA!AH461</f>
        <v>-</v>
      </c>
      <c r="M461" s="402"/>
      <c r="N461" s="404" t="str">
        <f>OBRA!AI461</f>
        <v>-</v>
      </c>
      <c r="O461" s="144"/>
      <c r="P461" s="144"/>
      <c r="Q461" s="403"/>
      <c r="R461" s="407" t="str">
        <f>OBRA!AJ461</f>
        <v>-</v>
      </c>
      <c r="S461" s="201"/>
      <c r="T461" s="399" t="str">
        <f>OBRA!W461</f>
        <v>SUPERVISIÓN PROYECTOS Y LABORATORIO PARA LA CONSTRUCCIÓN</v>
      </c>
      <c r="U461" s="408" t="str">
        <f>OBRA!X461</f>
        <v>ING. HECTOR JESUS HERNANDEZ</v>
      </c>
      <c r="V461" s="1090"/>
      <c r="W461" s="19" t="str">
        <f>OBRA!N461</f>
        <v>C.P.S.P. DOP 007/2020</v>
      </c>
      <c r="X461" s="12"/>
      <c r="Y461" s="12"/>
      <c r="Z461" s="409" t="str">
        <f>OBRA!M461</f>
        <v>CUENTA CORRIENTE</v>
      </c>
      <c r="AA461" s="12"/>
      <c r="AB461" s="2" t="str">
        <f>OBRA!O461</f>
        <v>SERVICIOS</v>
      </c>
      <c r="AC461" s="3" t="str">
        <f>OBRA!P461</f>
        <v>ESTUDIOS DE MECÁNICA DE SUELOS Y COMPACTACIÓN, CORRESPONDIENTE AL PROYECTO: "CONSTRUCCIÓN DE JARDÍN DE NIÑOS "MIGUEL HIDALGO", EN LA CABECERA MUNICIPAL DE JOCOTEPEC, JALISCO.</v>
      </c>
      <c r="AD461" s="4">
        <f>OBRA!R461</f>
        <v>22772</v>
      </c>
      <c r="AE461" s="6">
        <f>OBRA!S461</f>
        <v>43979</v>
      </c>
      <c r="AF461" s="5" t="str">
        <f>OBRA!T461</f>
        <v>NO APLICA</v>
      </c>
      <c r="AG461" s="390" t="str">
        <f>OBRA!U461</f>
        <v>NO APLICA</v>
      </c>
      <c r="AH461" s="52"/>
      <c r="AI461" s="211"/>
      <c r="AJ461" s="242"/>
      <c r="AK461" s="242"/>
      <c r="AL461" s="394"/>
      <c r="AM461" s="519" t="str">
        <f>GRAL!B464</f>
        <v>2018-2021</v>
      </c>
    </row>
    <row r="462" spans="1:39" ht="30" hidden="1" customHeight="1" thickTop="1">
      <c r="A462" s="158">
        <f>OBRA!J462</f>
        <v>2020</v>
      </c>
      <c r="B462" s="1683"/>
      <c r="C462" s="395"/>
      <c r="D462" s="146"/>
      <c r="E462" s="148"/>
      <c r="F462" s="148"/>
      <c r="G462" s="398"/>
      <c r="H462" s="404" t="str">
        <f>OBRA!AF462</f>
        <v>-</v>
      </c>
      <c r="I462" s="400"/>
      <c r="J462" s="406" t="str">
        <f>OBRA!AG462</f>
        <v>-</v>
      </c>
      <c r="K462" s="401"/>
      <c r="L462" s="404" t="str">
        <f>OBRA!AH462</f>
        <v>-</v>
      </c>
      <c r="M462" s="402"/>
      <c r="N462" s="404" t="str">
        <f>OBRA!AI462</f>
        <v>-</v>
      </c>
      <c r="O462" s="144"/>
      <c r="P462" s="144"/>
      <c r="Q462" s="403"/>
      <c r="R462" s="407" t="str">
        <f>OBRA!AJ462</f>
        <v>-</v>
      </c>
      <c r="S462" s="201"/>
      <c r="T462" s="399" t="str">
        <f>OBRA!W462</f>
        <v>SUPERVISIÓN PROYECTOS Y LABORATORIO PARA LA CONSTRUCCIÓN</v>
      </c>
      <c r="U462" s="408" t="str">
        <f>OBRA!X462</f>
        <v>ING. HECTOR JESUS HERNANDEZ</v>
      </c>
      <c r="V462" s="1090"/>
      <c r="W462" s="19" t="str">
        <f>OBRA!N462</f>
        <v>C.P.S.P. DOP 008/2020</v>
      </c>
      <c r="X462" s="12"/>
      <c r="Y462" s="12"/>
      <c r="Z462" s="409" t="str">
        <f>OBRA!M462</f>
        <v>CUENTA CORRIENTE</v>
      </c>
      <c r="AA462" s="12"/>
      <c r="AB462" s="2" t="str">
        <f>OBRA!O462</f>
        <v>SERVICIOS</v>
      </c>
      <c r="AC462" s="3" t="str">
        <f>OBRA!P462</f>
        <v>ESTUDIOS DE MECÁNICA DE SUELOS Y COMPACTACIÓN, CORRESPONDIENTE AL PROYECTO: "CONSTRUCCIÓN DE JARDÍN DE NIÑOS "ITZCOATL", EN LA LOCALIDAD DE NEXTIPAC. DEL MUNICIPIO DE JOCOTEPEC, JALISCO.</v>
      </c>
      <c r="AD462" s="4">
        <f>OBRA!R462</f>
        <v>22772</v>
      </c>
      <c r="AE462" s="6">
        <f>OBRA!S462</f>
        <v>43979</v>
      </c>
      <c r="AF462" s="5" t="str">
        <f>OBRA!T462</f>
        <v>NO APLICA</v>
      </c>
      <c r="AG462" s="390" t="str">
        <f>OBRA!U462</f>
        <v>NO APLICA</v>
      </c>
      <c r="AH462" s="52"/>
      <c r="AI462" s="211"/>
      <c r="AJ462" s="242"/>
      <c r="AK462" s="242"/>
      <c r="AL462" s="394"/>
      <c r="AM462" s="519" t="str">
        <f>GRAL!B465</f>
        <v>2018-2021</v>
      </c>
    </row>
    <row r="463" spans="1:39" ht="30" hidden="1" customHeight="1" thickTop="1">
      <c r="A463" s="158">
        <f>OBRA!J463</f>
        <v>2020</v>
      </c>
      <c r="B463" s="1683"/>
      <c r="C463" s="395"/>
      <c r="D463" s="146"/>
      <c r="E463" s="148"/>
      <c r="F463" s="148"/>
      <c r="G463" s="398"/>
      <c r="H463" s="404" t="str">
        <f>OBRA!AF463</f>
        <v>-</v>
      </c>
      <c r="I463" s="400"/>
      <c r="J463" s="406" t="str">
        <f>OBRA!AG463</f>
        <v>-</v>
      </c>
      <c r="K463" s="401"/>
      <c r="L463" s="404" t="str">
        <f>OBRA!AH463</f>
        <v>-</v>
      </c>
      <c r="M463" s="402"/>
      <c r="N463" s="404" t="str">
        <f>OBRA!AI463</f>
        <v>-</v>
      </c>
      <c r="O463" s="144"/>
      <c r="P463" s="144"/>
      <c r="Q463" s="403"/>
      <c r="R463" s="407" t="str">
        <f>OBRA!AJ463</f>
        <v>-</v>
      </c>
      <c r="S463" s="201"/>
      <c r="T463" s="399" t="str">
        <f>OBRA!W463</f>
        <v xml:space="preserve">CICLOS GIP SC </v>
      </c>
      <c r="U463" s="408" t="str">
        <f>OBRA!X463</f>
        <v>ING. HECTOR JESUS HERNANDEZ</v>
      </c>
      <c r="V463" s="1090"/>
      <c r="W463" s="19" t="str">
        <f>OBRA!N463</f>
        <v>C.P.S.P. DOP 009/2020</v>
      </c>
      <c r="X463" s="12"/>
      <c r="Y463" s="12"/>
      <c r="Z463" s="409" t="str">
        <f>OBRA!M463</f>
        <v>CUENTA CORRIENTE</v>
      </c>
      <c r="AA463" s="12"/>
      <c r="AB463" s="2" t="str">
        <f>OBRA!O463</f>
        <v>SERVICIOS</v>
      </c>
      <c r="AC463" s="3" t="str">
        <f>OBRA!P463</f>
        <v>REGISTRO ELECTRICO VERSIÓN MULTIPARAMETROS, PARA EL PROYECTO DE PERFORACIÓN DE: PERFORACIÓN DE POZO PROFUNDO, EN LA AGENCIA MUNICIPAL DE LAS TROJES, DEL MUNICIPIO DE JOCOTEPEC, JALISCO.</v>
      </c>
      <c r="AD463" s="4">
        <f>OBRA!R463</f>
        <v>17400</v>
      </c>
      <c r="AE463" s="6">
        <f>OBRA!S463</f>
        <v>44050</v>
      </c>
      <c r="AF463" s="5">
        <f>OBRA!T463</f>
        <v>44050</v>
      </c>
      <c r="AG463" s="390">
        <f>OBRA!U463</f>
        <v>44055</v>
      </c>
      <c r="AH463" s="52"/>
      <c r="AI463" s="211"/>
      <c r="AJ463" s="242"/>
      <c r="AK463" s="242"/>
      <c r="AL463" s="394"/>
      <c r="AM463" s="519" t="str">
        <f>GRAL!B466</f>
        <v>2018-2021</v>
      </c>
    </row>
    <row r="464" spans="1:39" ht="30" hidden="1" customHeight="1" thickTop="1">
      <c r="A464" s="158">
        <f>OBRA!J464</f>
        <v>2020</v>
      </c>
      <c r="B464" s="1683"/>
      <c r="C464" s="395"/>
      <c r="D464" s="146"/>
      <c r="E464" s="148"/>
      <c r="F464" s="148"/>
      <c r="G464" s="398"/>
      <c r="H464" s="404" t="str">
        <f>OBRA!AF464</f>
        <v>-</v>
      </c>
      <c r="I464" s="400"/>
      <c r="J464" s="406" t="str">
        <f>OBRA!AG464</f>
        <v>-</v>
      </c>
      <c r="K464" s="401"/>
      <c r="L464" s="404" t="str">
        <f>OBRA!AH464</f>
        <v>-</v>
      </c>
      <c r="M464" s="402"/>
      <c r="N464" s="404" t="str">
        <f>OBRA!AI464</f>
        <v>-</v>
      </c>
      <c r="O464" s="144"/>
      <c r="P464" s="144"/>
      <c r="Q464" s="403"/>
      <c r="R464" s="407" t="str">
        <f>OBRA!AJ464</f>
        <v>-</v>
      </c>
      <c r="S464" s="201"/>
      <c r="T464" s="399" t="str">
        <f>OBRA!W464</f>
        <v>SUPERVISIÓN PROYECTOS Y LABORATORIO PARA LA CONSTRUCCIÓN</v>
      </c>
      <c r="U464" s="408" t="str">
        <f>OBRA!X464</f>
        <v>ARQ. EDUARDO ROMERO CARRILLO</v>
      </c>
      <c r="V464" s="1090"/>
      <c r="W464" s="19" t="str">
        <f>OBRA!N464</f>
        <v>C.P.S.P. DOP 010/2020</v>
      </c>
      <c r="X464" s="12"/>
      <c r="Y464" s="12"/>
      <c r="Z464" s="409" t="str">
        <f>OBRA!M464</f>
        <v>CUENTA CORRIENTE</v>
      </c>
      <c r="AA464" s="12"/>
      <c r="AB464" s="2" t="str">
        <f>OBRA!O464</f>
        <v>SERVICIOS</v>
      </c>
      <c r="AC464" s="3" t="str">
        <f>OBRA!P464</f>
        <v>"ESTUDIO DE MECANICA DE SUELOS Y PRUEBAS COMPACTACIÓN", CORRESPONDIENTE AL PROYECTO. "CONSTRUCCIÓN Y EQUIPAMIENTO DE LA PLAZA PRINCIPAL 1ERA ETAPA" DE LA DELEGACIÓN DE CHANTEPEC, DEL MUNICIPIO DE JOCOTEPEC, JALISCO.</v>
      </c>
      <c r="AD464" s="4">
        <f>OBRA!R464</f>
        <v>34046</v>
      </c>
      <c r="AE464" s="6">
        <f>OBRA!S464</f>
        <v>44026</v>
      </c>
      <c r="AF464" s="5" t="str">
        <f>OBRA!T464</f>
        <v>NO APLICA</v>
      </c>
      <c r="AG464" s="390" t="str">
        <f>OBRA!U464</f>
        <v>NO APLICA</v>
      </c>
      <c r="AH464" s="52"/>
      <c r="AI464" s="211"/>
      <c r="AJ464" s="242"/>
      <c r="AK464" s="242"/>
      <c r="AL464" s="394"/>
      <c r="AM464" s="519" t="str">
        <f>GRAL!B467</f>
        <v>2018-2021</v>
      </c>
    </row>
    <row r="465" spans="1:39" ht="30" hidden="1" customHeight="1" thickTop="1">
      <c r="A465" s="158">
        <f>OBRA!J465</f>
        <v>2020</v>
      </c>
      <c r="B465" s="1683"/>
      <c r="C465" s="395"/>
      <c r="D465" s="146"/>
      <c r="E465" s="148"/>
      <c r="F465" s="148"/>
      <c r="G465" s="398"/>
      <c r="H465" s="404" t="str">
        <f>OBRA!AF465</f>
        <v>-</v>
      </c>
      <c r="I465" s="400"/>
      <c r="J465" s="406" t="str">
        <f>OBRA!AG465</f>
        <v>-</v>
      </c>
      <c r="K465" s="401"/>
      <c r="L465" s="404" t="str">
        <f>OBRA!AH465</f>
        <v>-</v>
      </c>
      <c r="M465" s="402"/>
      <c r="N465" s="404" t="str">
        <f>OBRA!AI465</f>
        <v>-</v>
      </c>
      <c r="O465" s="144"/>
      <c r="P465" s="144"/>
      <c r="Q465" s="403"/>
      <c r="R465" s="407" t="str">
        <f>OBRA!AJ465</f>
        <v>-</v>
      </c>
      <c r="S465" s="201"/>
      <c r="T465" s="399" t="str">
        <f>OBRA!W465</f>
        <v>JUAN MANUEL GARCIA ESCOTO</v>
      </c>
      <c r="U465" s="408" t="str">
        <f>OBRA!X465</f>
        <v>ING. HECTOR JESUS HERNANDEZ</v>
      </c>
      <c r="V465" s="1090"/>
      <c r="W465" s="19" t="str">
        <f>OBRA!N465</f>
        <v>C.P.S.P. DOP 011/2020</v>
      </c>
      <c r="X465" s="12"/>
      <c r="Y465" s="12"/>
      <c r="Z465" s="409" t="str">
        <f>OBRA!M465</f>
        <v>CUENTA CORRIENTE</v>
      </c>
      <c r="AA465" s="12"/>
      <c r="AB465" s="2" t="str">
        <f>OBRA!O465</f>
        <v>SERVICIOS</v>
      </c>
      <c r="AC465" s="3" t="str">
        <f>OBRA!P465</f>
        <v>LEVANTAMIENTO TOPOGRÁFICO DE ÁREA DE DONACIÓN Y UBICACIÓN DEL DEPÓSITO PARA AGUA POTABLE EN LADO NORTE DE LA CABECERA MUNICIPAL DE JOCOTEPEC, JALISCO.</v>
      </c>
      <c r="AD465" s="4">
        <f>OBRA!R465</f>
        <v>4059.9999999999995</v>
      </c>
      <c r="AE465" s="6">
        <f>OBRA!S465</f>
        <v>44454</v>
      </c>
      <c r="AF465" s="5" t="str">
        <f>OBRA!T465</f>
        <v>NO APLICA</v>
      </c>
      <c r="AG465" s="390" t="str">
        <f>OBRA!U465</f>
        <v>NO APLICA</v>
      </c>
      <c r="AH465" s="52"/>
      <c r="AI465" s="211"/>
      <c r="AJ465" s="242"/>
      <c r="AK465" s="242"/>
      <c r="AL465" s="394"/>
      <c r="AM465" s="519" t="str">
        <f>GRAL!B468</f>
        <v>2018-2021</v>
      </c>
    </row>
    <row r="466" spans="1:39" ht="30" hidden="1" customHeight="1" thickTop="1">
      <c r="A466" s="158">
        <f>OBRA!J466</f>
        <v>2020</v>
      </c>
      <c r="B466" s="1683"/>
      <c r="C466" s="395"/>
      <c r="D466" s="146"/>
      <c r="E466" s="148"/>
      <c r="F466" s="148"/>
      <c r="G466" s="398"/>
      <c r="H466" s="404" t="str">
        <f>OBRA!AF466</f>
        <v>-</v>
      </c>
      <c r="I466" s="400"/>
      <c r="J466" s="406" t="str">
        <f>OBRA!AG466</f>
        <v>-</v>
      </c>
      <c r="K466" s="401"/>
      <c r="L466" s="404" t="str">
        <f>OBRA!AH466</f>
        <v>-</v>
      </c>
      <c r="M466" s="402"/>
      <c r="N466" s="404" t="str">
        <f>OBRA!AI466</f>
        <v>-</v>
      </c>
      <c r="O466" s="144"/>
      <c r="P466" s="144"/>
      <c r="Q466" s="403"/>
      <c r="R466" s="407" t="str">
        <f>OBRA!AJ466</f>
        <v>-</v>
      </c>
      <c r="S466" s="201"/>
      <c r="T466" s="399" t="str">
        <f>OBRA!W466</f>
        <v>AJG INGENIERIA, SA DE CV</v>
      </c>
      <c r="U466" s="408" t="str">
        <f>OBRA!X466</f>
        <v>ING. HECTOR JESUS HERNANDEZ</v>
      </c>
      <c r="V466" s="1090"/>
      <c r="W466" s="19" t="str">
        <f>OBRA!N466</f>
        <v>C.P.S.P. DOP 012/2020</v>
      </c>
      <c r="X466" s="12"/>
      <c r="Y466" s="12"/>
      <c r="Z466" s="409" t="str">
        <f>OBRA!M466</f>
        <v>CUENTA CORRIENTE</v>
      </c>
      <c r="AA466" s="12"/>
      <c r="AB466" s="2" t="str">
        <f>OBRA!O466</f>
        <v>SERVICIOS</v>
      </c>
      <c r="AC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OBRA!R466</f>
        <v>139246</v>
      </c>
      <c r="AE466" s="6">
        <f>OBRA!S466</f>
        <v>44082</v>
      </c>
      <c r="AF466" s="5">
        <f>OBRA!T466</f>
        <v>44088</v>
      </c>
      <c r="AG466" s="390">
        <f>OBRA!U466</f>
        <v>44094</v>
      </c>
      <c r="AH466" s="52"/>
      <c r="AI466" s="211"/>
      <c r="AJ466" s="242"/>
      <c r="AK466" s="242"/>
      <c r="AL466" s="394"/>
      <c r="AM466" s="519" t="str">
        <f>GRAL!B469</f>
        <v>2018-2021</v>
      </c>
    </row>
    <row r="467" spans="1:39" ht="30" hidden="1" customHeight="1" thickTop="1">
      <c r="A467" s="158">
        <f>OBRA!J467</f>
        <v>2020</v>
      </c>
      <c r="B467" s="1683"/>
      <c r="C467" s="395"/>
      <c r="D467" s="146"/>
      <c r="E467" s="148"/>
      <c r="F467" s="148"/>
      <c r="G467" s="398"/>
      <c r="H467" s="404" t="str">
        <f>OBRA!AF467</f>
        <v>-</v>
      </c>
      <c r="I467" s="400"/>
      <c r="J467" s="406" t="str">
        <f>OBRA!AG467</f>
        <v>-</v>
      </c>
      <c r="K467" s="401"/>
      <c r="L467" s="404" t="str">
        <f>OBRA!AH467</f>
        <v>-</v>
      </c>
      <c r="M467" s="402"/>
      <c r="N467" s="404" t="str">
        <f>OBRA!AI467</f>
        <v>-</v>
      </c>
      <c r="O467" s="144"/>
      <c r="P467" s="144"/>
      <c r="Q467" s="403"/>
      <c r="R467" s="407" t="str">
        <f>OBRA!AJ467</f>
        <v>-</v>
      </c>
      <c r="S467" s="201"/>
      <c r="T467" s="399" t="str">
        <f>OBRA!W467</f>
        <v>AJG INGENIERIA, SA DE CV</v>
      </c>
      <c r="U467" s="408" t="str">
        <f>OBRA!X467</f>
        <v>ING. HECTOR JESUS HERNANDEZ</v>
      </c>
      <c r="V467" s="1090"/>
      <c r="W467" s="19" t="str">
        <f>OBRA!N467</f>
        <v>C.P.S.P. DOP 013/2020</v>
      </c>
      <c r="X467" s="12"/>
      <c r="Y467" s="12"/>
      <c r="Z467" s="409" t="str">
        <f>OBRA!M467</f>
        <v>CUENTA CORRIENTE</v>
      </c>
      <c r="AA467" s="12"/>
      <c r="AB467" s="2" t="str">
        <f>OBRA!O467</f>
        <v>SERVICIOS</v>
      </c>
      <c r="AC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OBRA!R467</f>
        <v>139246</v>
      </c>
      <c r="AE467" s="6">
        <f>OBRA!S467</f>
        <v>44081</v>
      </c>
      <c r="AF467" s="5">
        <f>OBRA!T467</f>
        <v>44082</v>
      </c>
      <c r="AG467" s="390">
        <f>OBRA!U467</f>
        <v>44086</v>
      </c>
      <c r="AH467" s="52"/>
      <c r="AI467" s="211"/>
      <c r="AJ467" s="242"/>
      <c r="AK467" s="242"/>
      <c r="AL467" s="394"/>
      <c r="AM467" s="519" t="str">
        <f>GRAL!B470</f>
        <v>2018-2021</v>
      </c>
    </row>
    <row r="468" spans="1:39" ht="30" hidden="1" customHeight="1" thickTop="1">
      <c r="A468" s="158">
        <f>OBRA!J468</f>
        <v>2020</v>
      </c>
      <c r="B468" s="1683"/>
      <c r="C468" s="395"/>
      <c r="D468" s="146"/>
      <c r="E468" s="148"/>
      <c r="F468" s="148"/>
      <c r="G468" s="398"/>
      <c r="H468" s="404" t="str">
        <f>OBRA!AF468</f>
        <v>-</v>
      </c>
      <c r="I468" s="400"/>
      <c r="J468" s="406" t="str">
        <f>OBRA!AG468</f>
        <v>-</v>
      </c>
      <c r="K468" s="401"/>
      <c r="L468" s="404" t="str">
        <f>OBRA!AH468</f>
        <v>-</v>
      </c>
      <c r="M468" s="402"/>
      <c r="N468" s="404" t="str">
        <f>OBRA!AI468</f>
        <v>-</v>
      </c>
      <c r="O468" s="144"/>
      <c r="P468" s="144"/>
      <c r="Q468" s="403"/>
      <c r="R468" s="407" t="str">
        <f>OBRA!AJ468</f>
        <v>-</v>
      </c>
      <c r="S468" s="201"/>
      <c r="T468" s="399" t="str">
        <f>OBRA!W468</f>
        <v>SUPERVISIÓN PROYECTOS Y LABORATORIO PARA LA CONSTRUCCIÓN</v>
      </c>
      <c r="U468" s="408" t="str">
        <f>OBRA!X468</f>
        <v>LIC. SALVADOR CONTRERAS OLGUÍN</v>
      </c>
      <c r="V468" s="1090"/>
      <c r="W468" s="19" t="str">
        <f>OBRA!N468</f>
        <v>C.P.S.P. DOP 014/2020</v>
      </c>
      <c r="X468" s="12"/>
      <c r="Y468" s="12"/>
      <c r="Z468" s="409" t="str">
        <f>OBRA!M468</f>
        <v>CUENTA CORRIENTE</v>
      </c>
      <c r="AA468" s="12"/>
      <c r="AB468" s="2" t="str">
        <f>OBRA!O468</f>
        <v>SERVICIOS</v>
      </c>
      <c r="AC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OBRA!R468</f>
        <v>32944</v>
      </c>
      <c r="AE468" s="6">
        <f>OBRA!S468</f>
        <v>44075</v>
      </c>
      <c r="AF468" s="5" t="str">
        <f>OBRA!T468</f>
        <v>NO APLICA</v>
      </c>
      <c r="AG468" s="390" t="str">
        <f>OBRA!U468</f>
        <v>NO APLICA</v>
      </c>
      <c r="AH468" s="52"/>
      <c r="AI468" s="211"/>
      <c r="AJ468" s="242"/>
      <c r="AK468" s="242"/>
      <c r="AL468" s="394"/>
      <c r="AM468" s="519" t="str">
        <f>GRAL!B471</f>
        <v>2018-2021</v>
      </c>
    </row>
    <row r="469" spans="1:39" ht="30" hidden="1" customHeight="1" thickTop="1">
      <c r="A469" s="158">
        <f>OBRA!J469</f>
        <v>2020</v>
      </c>
      <c r="B469" s="1683"/>
      <c r="C469" s="395"/>
      <c r="D469" s="146"/>
      <c r="E469" s="148"/>
      <c r="F469" s="148"/>
      <c r="G469" s="398"/>
      <c r="H469" s="404" t="str">
        <f>OBRA!AF469</f>
        <v>-</v>
      </c>
      <c r="I469" s="400"/>
      <c r="J469" s="406" t="str">
        <f>OBRA!AG469</f>
        <v>-</v>
      </c>
      <c r="K469" s="401"/>
      <c r="L469" s="404" t="str">
        <f>OBRA!AH469</f>
        <v>-</v>
      </c>
      <c r="M469" s="402"/>
      <c r="N469" s="404" t="str">
        <f>OBRA!AI469</f>
        <v>-</v>
      </c>
      <c r="O469" s="144"/>
      <c r="P469" s="144"/>
      <c r="Q469" s="403"/>
      <c r="R469" s="407" t="str">
        <f>OBRA!AJ469</f>
        <v>-</v>
      </c>
      <c r="S469" s="201"/>
      <c r="T469" s="399" t="str">
        <f>OBRA!W469</f>
        <v>SUPERVISIÓN PROYECTOS Y LABORATORIO PARA LA CONSTRUCCIÓN</v>
      </c>
      <c r="U469" s="408" t="str">
        <f>OBRA!X469</f>
        <v>ARQ. JAIME CONDE GOMEZ</v>
      </c>
      <c r="V469" s="1090"/>
      <c r="W469" s="19" t="str">
        <f>OBRA!N469</f>
        <v>C.P.S.P. DOP 015/2020</v>
      </c>
      <c r="X469" s="12"/>
      <c r="Y469" s="12"/>
      <c r="Z469" s="409" t="str">
        <f>OBRA!M469</f>
        <v>CUENTA CORRIENTE</v>
      </c>
      <c r="AA469" s="12"/>
      <c r="AB469" s="2" t="str">
        <f>OBRA!O469</f>
        <v>SERVICIOS</v>
      </c>
      <c r="AC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OBRA!R469</f>
        <v>25520</v>
      </c>
      <c r="AE469" s="6">
        <f>OBRA!S469</f>
        <v>44075</v>
      </c>
      <c r="AF469" s="5" t="str">
        <f>OBRA!T469</f>
        <v>NO APLICA</v>
      </c>
      <c r="AG469" s="390" t="str">
        <f>OBRA!U469</f>
        <v>NO APLICA</v>
      </c>
      <c r="AH469" s="52"/>
      <c r="AI469" s="211"/>
      <c r="AJ469" s="242"/>
      <c r="AK469" s="242"/>
      <c r="AL469" s="394"/>
      <c r="AM469" s="519" t="str">
        <f>GRAL!B472</f>
        <v>2018-2021</v>
      </c>
    </row>
    <row r="470" spans="1:39" ht="30" hidden="1" customHeight="1" thickTop="1">
      <c r="A470" s="158">
        <f>OBRA!J470</f>
        <v>2020</v>
      </c>
      <c r="B470" s="1683"/>
      <c r="C470" s="395"/>
      <c r="D470" s="146"/>
      <c r="E470" s="148"/>
      <c r="F470" s="148"/>
      <c r="G470" s="398"/>
      <c r="H470" s="404" t="str">
        <f>OBRA!AF470</f>
        <v>-</v>
      </c>
      <c r="I470" s="400"/>
      <c r="J470" s="406" t="str">
        <f>OBRA!AG470</f>
        <v>-</v>
      </c>
      <c r="K470" s="401"/>
      <c r="L470" s="404" t="str">
        <f>OBRA!AH470</f>
        <v>-</v>
      </c>
      <c r="M470" s="402"/>
      <c r="N470" s="404" t="str">
        <f>OBRA!AI470</f>
        <v>-</v>
      </c>
      <c r="O470" s="144"/>
      <c r="P470" s="144"/>
      <c r="Q470" s="403"/>
      <c r="R470" s="407" t="str">
        <f>OBRA!AJ470</f>
        <v>-</v>
      </c>
      <c r="S470" s="201"/>
      <c r="T470" s="399" t="str">
        <f>OBRA!W470</f>
        <v>SUPERVISIÓN PROYECTOS Y LABORATORIO PARA LA CONSTRUCCIÓN</v>
      </c>
      <c r="U470" s="408" t="str">
        <f>OBRA!X470</f>
        <v>ING. J. GUADALUPE IBARRA RAMIREZ</v>
      </c>
      <c r="V470" s="1090"/>
      <c r="W470" s="19" t="str">
        <f>OBRA!N470</f>
        <v>C.P.S.P. DOP 016/2020</v>
      </c>
      <c r="X470" s="12"/>
      <c r="Y470" s="12"/>
      <c r="Z470" s="409" t="str">
        <f>OBRA!M470</f>
        <v>CUENTA CORRIENTE</v>
      </c>
      <c r="AA470" s="12"/>
      <c r="AB470" s="2" t="str">
        <f>OBRA!O470</f>
        <v>SERVICIOS</v>
      </c>
      <c r="AC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OBRA!R470</f>
        <v>36656</v>
      </c>
      <c r="AE470" s="6">
        <f>OBRA!S470</f>
        <v>44124</v>
      </c>
      <c r="AF470" s="5" t="str">
        <f>OBRA!T470</f>
        <v>NO APLICA</v>
      </c>
      <c r="AG470" s="390" t="str">
        <f>OBRA!U470</f>
        <v>NO APLICA</v>
      </c>
      <c r="AH470" s="52"/>
      <c r="AI470" s="211"/>
      <c r="AJ470" s="242"/>
      <c r="AK470" s="242"/>
      <c r="AL470" s="394"/>
      <c r="AM470" s="519" t="str">
        <f>GRAL!B473</f>
        <v>2018-2021</v>
      </c>
    </row>
    <row r="471" spans="1:39" ht="30" hidden="1" customHeight="1" thickTop="1">
      <c r="A471" s="158">
        <f>OBRA!J471</f>
        <v>2020</v>
      </c>
      <c r="B471" s="1683"/>
      <c r="C471" s="395"/>
      <c r="D471" s="146"/>
      <c r="E471" s="148"/>
      <c r="F471" s="148"/>
      <c r="G471" s="398"/>
      <c r="H471" s="404" t="str">
        <f>OBRA!AF471</f>
        <v>-</v>
      </c>
      <c r="I471" s="400"/>
      <c r="J471" s="406" t="str">
        <f>OBRA!AG471</f>
        <v>-</v>
      </c>
      <c r="K471" s="401"/>
      <c r="L471" s="404" t="str">
        <f>OBRA!AH471</f>
        <v>-</v>
      </c>
      <c r="M471" s="402"/>
      <c r="N471" s="404" t="str">
        <f>OBRA!AI471</f>
        <v>-</v>
      </c>
      <c r="O471" s="144"/>
      <c r="P471" s="144"/>
      <c r="Q471" s="403"/>
      <c r="R471" s="407" t="str">
        <f>OBRA!AJ471</f>
        <v>-</v>
      </c>
      <c r="S471" s="201"/>
      <c r="T471" s="399" t="str">
        <f>OBRA!W471</f>
        <v>ING. JUAN MANUEL GARCÍA ESCOTO</v>
      </c>
      <c r="U471" s="408" t="str">
        <f>OBRA!X471</f>
        <v>ING. HECTOR JESUS HERNANDEZ</v>
      </c>
      <c r="V471" s="1090"/>
      <c r="W471" s="19" t="str">
        <f>OBRA!N471</f>
        <v>C.P.S.P. DOP 017/2020</v>
      </c>
      <c r="X471" s="12"/>
      <c r="Y471" s="12"/>
      <c r="Z471" s="409" t="str">
        <f>OBRA!M471</f>
        <v>CUENTA CORRIENTE</v>
      </c>
      <c r="AA471" s="12"/>
      <c r="AB471" s="2" t="str">
        <f>OBRA!O471</f>
        <v>SERVICIOS</v>
      </c>
      <c r="AC471" s="3" t="str">
        <f>OBRA!P471</f>
        <v>LEVANTAMIENTOS TOPOGRÁFICOS DE ÁREA DE DONACIÓN Y UBICACIÓN DEL POZO DE AGUA POTABLE EN C. ALLENDE, EN LA CABECERA MUNICIPAL DE JOCOTEPEC, JALISCO.</v>
      </c>
      <c r="AD471" s="4">
        <f>OBRA!R471</f>
        <v>4059.9999999999995</v>
      </c>
      <c r="AE471" s="6">
        <f>OBRA!S471</f>
        <v>44089</v>
      </c>
      <c r="AF471" s="5" t="str">
        <f>OBRA!T471</f>
        <v>-</v>
      </c>
      <c r="AG471" s="390" t="str">
        <f>OBRA!U471</f>
        <v>-</v>
      </c>
      <c r="AH471" s="52"/>
      <c r="AI471" s="211"/>
      <c r="AJ471" s="242"/>
      <c r="AK471" s="242"/>
      <c r="AL471" s="394"/>
      <c r="AM471" s="519" t="str">
        <f>GRAL!B474</f>
        <v>2018-2021</v>
      </c>
    </row>
    <row r="472" spans="1:39" ht="30" hidden="1" customHeight="1" thickTop="1">
      <c r="A472" s="158">
        <f>OBRA!J472</f>
        <v>2020</v>
      </c>
      <c r="B472" s="1683"/>
      <c r="C472" s="395"/>
      <c r="D472" s="146"/>
      <c r="E472" s="148"/>
      <c r="F472" s="148"/>
      <c r="G472" s="398"/>
      <c r="H472" s="404" t="str">
        <f>OBRA!AF472</f>
        <v>-</v>
      </c>
      <c r="I472" s="400"/>
      <c r="J472" s="406" t="str">
        <f>OBRA!AG472</f>
        <v>-</v>
      </c>
      <c r="K472" s="401"/>
      <c r="L472" s="404" t="str">
        <f>OBRA!AH472</f>
        <v>-</v>
      </c>
      <c r="M472" s="402"/>
      <c r="N472" s="404" t="str">
        <f>OBRA!AI472</f>
        <v>-</v>
      </c>
      <c r="O472" s="144"/>
      <c r="P472" s="144"/>
      <c r="Q472" s="403"/>
      <c r="R472" s="407" t="str">
        <f>OBRA!AJ472</f>
        <v>-</v>
      </c>
      <c r="S472" s="201"/>
      <c r="T472" s="399" t="str">
        <f>OBRA!W472</f>
        <v>ING. JUAN MANUEL GARCÍA ESCOTO</v>
      </c>
      <c r="U472" s="408" t="str">
        <f>OBRA!X472</f>
        <v>ING. HECTOR JESUS HERNANDEZ</v>
      </c>
      <c r="V472" s="1090"/>
      <c r="W472" s="19" t="str">
        <f>OBRA!N472</f>
        <v>C.P.S.P. DOP 018/2020</v>
      </c>
      <c r="X472" s="12"/>
      <c r="Y472" s="12"/>
      <c r="Z472" s="409" t="str">
        <f>OBRA!M472</f>
        <v>CUENTA CORRIENTE</v>
      </c>
      <c r="AA472" s="12"/>
      <c r="AB472" s="2" t="str">
        <f>OBRA!O472</f>
        <v>SERVICIOS</v>
      </c>
      <c r="AC472" s="3" t="str">
        <f>OBRA!P472</f>
        <v>LEVANTAMIENTO TOPOGRÁFICO DE ÁREA DE DONACIÓN PARA PROYECTO DEL SENDERO "ANDADOR PANORÁMICO" EN ZONA NORTE, EN LA CABECERA MUNICIPAL DE JOCOTEPEC, JALISCO.</v>
      </c>
      <c r="AD472" s="4">
        <f>OBRA!R472</f>
        <v>20880</v>
      </c>
      <c r="AE472" s="6">
        <f>OBRA!S472</f>
        <v>44089</v>
      </c>
      <c r="AF472" s="5" t="str">
        <f>OBRA!T472</f>
        <v>-</v>
      </c>
      <c r="AG472" s="390" t="str">
        <f>OBRA!U472</f>
        <v>-</v>
      </c>
      <c r="AH472" s="52"/>
      <c r="AI472" s="211"/>
      <c r="AJ472" s="242"/>
      <c r="AK472" s="242"/>
      <c r="AL472" s="394"/>
      <c r="AM472" s="519" t="str">
        <f>GRAL!B475</f>
        <v>2018-2021</v>
      </c>
    </row>
    <row r="473" spans="1:39" ht="30" hidden="1" customHeight="1" thickTop="1">
      <c r="A473" s="158">
        <f>OBRA!J473</f>
        <v>2020</v>
      </c>
      <c r="B473" s="1683"/>
      <c r="C473" s="395"/>
      <c r="D473" s="146"/>
      <c r="E473" s="148"/>
      <c r="F473" s="148"/>
      <c r="G473" s="398"/>
      <c r="H473" s="404" t="str">
        <f>OBRA!AF473</f>
        <v>-</v>
      </c>
      <c r="I473" s="400"/>
      <c r="J473" s="406" t="str">
        <f>OBRA!AG473</f>
        <v>-</v>
      </c>
      <c r="K473" s="401"/>
      <c r="L473" s="404" t="str">
        <f>OBRA!AH473</f>
        <v>-</v>
      </c>
      <c r="M473" s="402"/>
      <c r="N473" s="404" t="str">
        <f>OBRA!AI473</f>
        <v>-</v>
      </c>
      <c r="O473" s="144"/>
      <c r="P473" s="144"/>
      <c r="Q473" s="403"/>
      <c r="R473" s="407" t="str">
        <f>OBRA!AJ473</f>
        <v>-</v>
      </c>
      <c r="S473" s="201"/>
      <c r="T473" s="399" t="str">
        <f>OBRA!W473</f>
        <v>ING. JUAN MANUEL GARCÍA ESCOTO</v>
      </c>
      <c r="U473" s="408" t="str">
        <f>OBRA!X473</f>
        <v>ING. HECTOR JESUS HERNANDEZ</v>
      </c>
      <c r="V473" s="1090"/>
      <c r="W473" s="19" t="str">
        <f>OBRA!N473</f>
        <v>C.P.S.P. DOP 019/2020</v>
      </c>
      <c r="X473" s="12"/>
      <c r="Y473" s="12"/>
      <c r="Z473" s="409" t="str">
        <f>OBRA!M473</f>
        <v>CUENTA CORRIENTE</v>
      </c>
      <c r="AA473" s="12"/>
      <c r="AB473" s="2" t="str">
        <f>OBRA!O473</f>
        <v>SERVICIOS</v>
      </c>
      <c r="AC473" s="3" t="str">
        <f>OBRA!P473</f>
        <v>LEVANTAMIENTO TOPOGRÁFICO DE ÁREA DE DONACIÓN DEL TERRENO PARA EL PROYECTO DE LA PLANTA DE RECICLADO, UBICADO EN EL CRUCERO A POTRERILLOS DEL MUNICIPIO DE JOCOTEPEC, JALISCO.</v>
      </c>
      <c r="AD473" s="4">
        <f>OBRA!R473</f>
        <v>5800</v>
      </c>
      <c r="AE473" s="6">
        <f>OBRA!S473</f>
        <v>44089</v>
      </c>
      <c r="AF473" s="5" t="str">
        <f>OBRA!T473</f>
        <v>-</v>
      </c>
      <c r="AG473" s="390" t="str">
        <f>OBRA!U473</f>
        <v>-</v>
      </c>
      <c r="AH473" s="52"/>
      <c r="AI473" s="211"/>
      <c r="AJ473" s="242"/>
      <c r="AK473" s="242"/>
      <c r="AL473" s="394"/>
      <c r="AM473" s="519" t="str">
        <f>GRAL!B476</f>
        <v>2018-2021</v>
      </c>
    </row>
    <row r="474" spans="1:39" ht="30" hidden="1" customHeight="1" thickTop="1">
      <c r="A474" s="158">
        <f>OBRA!J474</f>
        <v>2020</v>
      </c>
      <c r="B474" s="1683"/>
      <c r="C474" s="395"/>
      <c r="D474" s="146"/>
      <c r="E474" s="148"/>
      <c r="F474" s="148"/>
      <c r="G474" s="398"/>
      <c r="H474" s="404" t="str">
        <f>OBRA!AF474</f>
        <v>-</v>
      </c>
      <c r="I474" s="400"/>
      <c r="J474" s="406" t="str">
        <f>OBRA!AG474</f>
        <v>-</v>
      </c>
      <c r="K474" s="401"/>
      <c r="L474" s="404" t="str">
        <f>OBRA!AH474</f>
        <v>-</v>
      </c>
      <c r="M474" s="402"/>
      <c r="N474" s="404" t="str">
        <f>OBRA!AI474</f>
        <v>-</v>
      </c>
      <c r="O474" s="144"/>
      <c r="P474" s="144"/>
      <c r="Q474" s="403"/>
      <c r="R474" s="407" t="str">
        <f>OBRA!AJ474</f>
        <v>-</v>
      </c>
      <c r="S474" s="201"/>
      <c r="T474" s="399" t="str">
        <f>OBRA!W474</f>
        <v>ING. JUAN MANUEL GARCÍA ESCOTO</v>
      </c>
      <c r="U474" s="408" t="str">
        <f>OBRA!X474</f>
        <v>ING. HECTOR JESUS HERNANDEZ</v>
      </c>
      <c r="V474" s="1090"/>
      <c r="W474" s="19" t="str">
        <f>OBRA!N474</f>
        <v>C.P.S.P. DOP 020/2020</v>
      </c>
      <c r="X474" s="12"/>
      <c r="Y474" s="12"/>
      <c r="Z474" s="409" t="str">
        <f>OBRA!M474</f>
        <v>CUENTA CORRIENTE</v>
      </c>
      <c r="AA474" s="12"/>
      <c r="AB474" s="2" t="str">
        <f>OBRA!O474</f>
        <v>SERVICIOS</v>
      </c>
      <c r="AC474" s="3" t="str">
        <f>OBRA!P474</f>
        <v>LEVANTAMIENTO TOPORÁFICO DE ÁREA DE DONACIÓN DEL TERRENO PARA EL CAMPAMENTO DE LA GUARDIA NACIONAL, UBICADO EN EL EJIDO DE HUEJOTITÁN EN CRUCERO A POTRERILLOS, DEL MUNICIPIO DE JOCOTEPEC, JALISCO,</v>
      </c>
      <c r="AD474" s="4">
        <f>OBRA!R474</f>
        <v>5220</v>
      </c>
      <c r="AE474" s="6">
        <f>OBRA!S474</f>
        <v>44089</v>
      </c>
      <c r="AF474" s="5" t="str">
        <f>OBRA!T474</f>
        <v>-</v>
      </c>
      <c r="AG474" s="390" t="str">
        <f>OBRA!U474</f>
        <v>-</v>
      </c>
      <c r="AH474" s="52"/>
      <c r="AI474" s="211"/>
      <c r="AJ474" s="242"/>
      <c r="AK474" s="242"/>
      <c r="AL474" s="394"/>
      <c r="AM474" s="519" t="str">
        <f>GRAL!B477</f>
        <v>2018-2021</v>
      </c>
    </row>
    <row r="475" spans="1:39" ht="30" hidden="1" customHeight="1" thickTop="1">
      <c r="A475" s="158">
        <f>OBRA!J475</f>
        <v>2020</v>
      </c>
      <c r="B475" s="1683"/>
      <c r="C475" s="395"/>
      <c r="D475" s="146"/>
      <c r="E475" s="148"/>
      <c r="F475" s="148"/>
      <c r="G475" s="398"/>
      <c r="H475" s="404" t="str">
        <f>OBRA!AF475</f>
        <v>-</v>
      </c>
      <c r="I475" s="400"/>
      <c r="J475" s="406" t="str">
        <f>OBRA!AG475</f>
        <v>-</v>
      </c>
      <c r="K475" s="401"/>
      <c r="L475" s="404" t="str">
        <f>OBRA!AH475</f>
        <v>-</v>
      </c>
      <c r="M475" s="402"/>
      <c r="N475" s="404" t="str">
        <f>OBRA!AI475</f>
        <v>-</v>
      </c>
      <c r="O475" s="144"/>
      <c r="P475" s="144"/>
      <c r="Q475" s="403"/>
      <c r="R475" s="407" t="str">
        <f>OBRA!AJ475</f>
        <v>-</v>
      </c>
      <c r="S475" s="201"/>
      <c r="T475" s="399" t="str">
        <f>OBRA!W475</f>
        <v>ING. JUAN MANUEL GARCÍA ESCOTO</v>
      </c>
      <c r="U475" s="408" t="str">
        <f>OBRA!X475</f>
        <v>ING. HECTOR JESUS HERNANDEZ</v>
      </c>
      <c r="V475" s="1090"/>
      <c r="W475" s="19" t="str">
        <f>OBRA!N475</f>
        <v>C.P.S.P. DOP 021/2020</v>
      </c>
      <c r="X475" s="12"/>
      <c r="Y475" s="12"/>
      <c r="Z475" s="409" t="str">
        <f>OBRA!M475</f>
        <v>CUENTA CORRIENTE</v>
      </c>
      <c r="AA475" s="12"/>
      <c r="AB475" s="2" t="str">
        <f>OBRA!O475</f>
        <v>SERVICIOS</v>
      </c>
      <c r="AC475" s="3" t="str">
        <f>OBRA!P475</f>
        <v>LEVANTAMIENTO TOGRÁFICO DE ÁREA Y LÍMITES DE PROPIEDAD DE LA CALLE HIDALGO NORTE DE CALLE ALDAMA A FILÓSOFOS, EN LA CABECERA MUNICIPAL DE JOCOTEPEC, JALISCO.</v>
      </c>
      <c r="AD475" s="4">
        <f>OBRA!R475</f>
        <v>5800</v>
      </c>
      <c r="AE475" s="6">
        <f>OBRA!S475</f>
        <v>44089</v>
      </c>
      <c r="AF475" s="5" t="str">
        <f>OBRA!T475</f>
        <v>-</v>
      </c>
      <c r="AG475" s="390" t="str">
        <f>OBRA!U475</f>
        <v>-</v>
      </c>
      <c r="AH475" s="52"/>
      <c r="AI475" s="211"/>
      <c r="AJ475" s="242"/>
      <c r="AK475" s="242"/>
      <c r="AL475" s="394"/>
      <c r="AM475" s="519" t="str">
        <f>GRAL!B478</f>
        <v>2018-2021</v>
      </c>
    </row>
    <row r="476" spans="1:39" ht="30" hidden="1" customHeight="1" thickTop="1">
      <c r="A476" s="158">
        <f>OBRA!J476</f>
        <v>2020</v>
      </c>
      <c r="B476" s="1683"/>
      <c r="C476" s="395"/>
      <c r="D476" s="146"/>
      <c r="E476" s="148"/>
      <c r="F476" s="148"/>
      <c r="G476" s="398"/>
      <c r="H476" s="404" t="str">
        <f>OBRA!AF476</f>
        <v>-</v>
      </c>
      <c r="I476" s="400"/>
      <c r="J476" s="406" t="str">
        <f>OBRA!AG476</f>
        <v>-</v>
      </c>
      <c r="K476" s="401"/>
      <c r="L476" s="404" t="str">
        <f>OBRA!AH476</f>
        <v>-</v>
      </c>
      <c r="M476" s="402"/>
      <c r="N476" s="404" t="str">
        <f>OBRA!AI476</f>
        <v>-</v>
      </c>
      <c r="O476" s="144"/>
      <c r="P476" s="144"/>
      <c r="Q476" s="403"/>
      <c r="R476" s="407" t="str">
        <f>OBRA!AJ476</f>
        <v>-</v>
      </c>
      <c r="S476" s="201"/>
      <c r="T476" s="399" t="str">
        <f>OBRA!W476</f>
        <v>ING. JUAN MANUEL GARCÍA ESCOTO</v>
      </c>
      <c r="U476" s="408" t="str">
        <f>OBRA!X476</f>
        <v>ING. HECTOR JESUS HERNANDEZ</v>
      </c>
      <c r="V476" s="1090"/>
      <c r="W476" s="19" t="str">
        <f>OBRA!N476</f>
        <v>C.P.S.P. DOP 022/2020</v>
      </c>
      <c r="X476" s="12"/>
      <c r="Y476" s="12"/>
      <c r="Z476" s="409" t="str">
        <f>OBRA!M476</f>
        <v>CUENTA CORRIENTE</v>
      </c>
      <c r="AA476" s="12"/>
      <c r="AB476" s="2" t="str">
        <f>OBRA!O476</f>
        <v>SERVICIOS</v>
      </c>
      <c r="AC476" s="3" t="str">
        <f>OBRA!P476</f>
        <v>LEVANTAMIENTO TOPOGRÁFICO DEL PREDIO Y CONSTRUCCIÓN EXISTENTE PARA EL PROYECTO DE LA REMODELACIÓN DEL RASTRO MUNICIPAL UBICADO EN CALLE CHAPULTEPEC PTE, S/N, EN LA CABECERA MUNICIPAL DE JOCOTEPEC, JALISCO.</v>
      </c>
      <c r="AD476" s="4">
        <f>OBRA!R476</f>
        <v>5220</v>
      </c>
      <c r="AE476" s="6">
        <f>OBRA!S476</f>
        <v>44089</v>
      </c>
      <c r="AF476" s="5" t="str">
        <f>OBRA!T476</f>
        <v>-</v>
      </c>
      <c r="AG476" s="390" t="str">
        <f>OBRA!U476</f>
        <v>-</v>
      </c>
      <c r="AH476" s="52"/>
      <c r="AI476" s="211"/>
      <c r="AJ476" s="242"/>
      <c r="AK476" s="242"/>
      <c r="AL476" s="394"/>
      <c r="AM476" s="519" t="str">
        <f>GRAL!B479</f>
        <v>2018-2021</v>
      </c>
    </row>
    <row r="477" spans="1:39" ht="30" hidden="1" customHeight="1" thickTop="1">
      <c r="A477" s="158">
        <f>OBRA!J477</f>
        <v>2020</v>
      </c>
      <c r="B477" s="1683"/>
      <c r="C477" s="395"/>
      <c r="D477" s="146"/>
      <c r="E477" s="148"/>
      <c r="F477" s="148"/>
      <c r="G477" s="398"/>
      <c r="H477" s="404" t="str">
        <f>OBRA!AF477</f>
        <v>-</v>
      </c>
      <c r="I477" s="400"/>
      <c r="J477" s="406" t="str">
        <f>OBRA!AG477</f>
        <v>-</v>
      </c>
      <c r="K477" s="401"/>
      <c r="L477" s="404" t="str">
        <f>OBRA!AH477</f>
        <v>-</v>
      </c>
      <c r="M477" s="402"/>
      <c r="N477" s="404" t="str">
        <f>OBRA!AI477</f>
        <v>-</v>
      </c>
      <c r="O477" s="144"/>
      <c r="P477" s="144"/>
      <c r="Q477" s="403"/>
      <c r="R477" s="407" t="str">
        <f>OBRA!AJ477</f>
        <v>-</v>
      </c>
      <c r="S477" s="201"/>
      <c r="T477" s="399" t="str">
        <f>OBRA!W477</f>
        <v>ING. JUAN MANUEL GARCÍA ESCOTO</v>
      </c>
      <c r="U477" s="408" t="str">
        <f>OBRA!X477</f>
        <v>ING. HECTOR JESUS HERNANDEZ</v>
      </c>
      <c r="V477" s="1090"/>
      <c r="W477" s="19" t="str">
        <f>OBRA!N477</f>
        <v>C.P.S.P. DOP 023/2020</v>
      </c>
      <c r="X477" s="12"/>
      <c r="Y477" s="12"/>
      <c r="Z477" s="409" t="str">
        <f>OBRA!M477</f>
        <v>CUENTA CORRIENTE</v>
      </c>
      <c r="AA477" s="12"/>
      <c r="AB477" s="2" t="str">
        <f>OBRA!O477</f>
        <v>SERVICIOS</v>
      </c>
      <c r="AC477" s="3" t="str">
        <f>OBRA!P477</f>
        <v>LEVANTAMIENTO TOPOGRÁFICO EN ÁREA DE DONACIÓN DEL TERRENO PARA LA UBICACIÓN DEL DEPÓSITO NUEVO DE AGUA POTABLE, EN LA DELEGACIÓN DE SAN CRISTOBAL ZAPOTITLÁN, DEL MUNICIPIO DE JOCOTEPEC, JALISCO.</v>
      </c>
      <c r="AD477" s="4">
        <f>OBRA!R477</f>
        <v>1739.9999999999998</v>
      </c>
      <c r="AE477" s="6">
        <f>OBRA!S477</f>
        <v>44089</v>
      </c>
      <c r="AF477" s="5" t="str">
        <f>OBRA!T477</f>
        <v>-</v>
      </c>
      <c r="AG477" s="390" t="str">
        <f>OBRA!U477</f>
        <v>-</v>
      </c>
      <c r="AH477" s="52"/>
      <c r="AI477" s="211"/>
      <c r="AJ477" s="242"/>
      <c r="AK477" s="242"/>
      <c r="AL477" s="394"/>
      <c r="AM477" s="519" t="str">
        <f>GRAL!B480</f>
        <v>2018-2021</v>
      </c>
    </row>
    <row r="478" spans="1:39" ht="30" hidden="1" customHeight="1" thickTop="1">
      <c r="A478" s="158">
        <f>OBRA!J478</f>
        <v>2020</v>
      </c>
      <c r="B478" s="1683"/>
      <c r="C478" s="395"/>
      <c r="D478" s="146"/>
      <c r="E478" s="148"/>
      <c r="F478" s="148"/>
      <c r="G478" s="398"/>
      <c r="H478" s="404" t="str">
        <f>OBRA!AF478</f>
        <v>-</v>
      </c>
      <c r="I478" s="400"/>
      <c r="J478" s="406" t="str">
        <f>OBRA!AG478</f>
        <v>-</v>
      </c>
      <c r="K478" s="401"/>
      <c r="L478" s="404" t="str">
        <f>OBRA!AH478</f>
        <v>-</v>
      </c>
      <c r="M478" s="402"/>
      <c r="N478" s="404" t="str">
        <f>OBRA!AI478</f>
        <v>-</v>
      </c>
      <c r="O478" s="144"/>
      <c r="P478" s="144"/>
      <c r="Q478" s="403"/>
      <c r="R478" s="407" t="str">
        <f>OBRA!AJ478</f>
        <v>-</v>
      </c>
      <c r="S478" s="201"/>
      <c r="T478" s="399" t="str">
        <f>OBRA!W478</f>
        <v>ING. JUAN MANUEL GARCÍA ESCOTO</v>
      </c>
      <c r="U478" s="408" t="str">
        <f>OBRA!X478</f>
        <v>ING. HECTOR JESUS HERNANDEZ</v>
      </c>
      <c r="V478" s="1090"/>
      <c r="W478" s="19" t="str">
        <f>OBRA!N478</f>
        <v>C.P.S.P. DOP 024/2020</v>
      </c>
      <c r="X478" s="12"/>
      <c r="Y478" s="12"/>
      <c r="Z478" s="409" t="str">
        <f>OBRA!M478</f>
        <v>CUENTA CORRIENTE</v>
      </c>
      <c r="AA478" s="12"/>
      <c r="AB478" s="2" t="str">
        <f>OBRA!O478</f>
        <v>SERVICIOS</v>
      </c>
      <c r="AC478" s="3" t="str">
        <f>OBRA!P478</f>
        <v>LEVANTAMIENTO TOPOGRÁFICO DE PREDIO Y CONSTRUCCIÓN EXISTENTE EN CASA DE CULTURA UBICADO EN CALLE CARDENAL, EN LA DELEGACIÓN DE SAN JUAN COSALÁ, DEL MUNICIPIO DE JOCOTEPEC, JALISCO.</v>
      </c>
      <c r="AD478" s="4">
        <f>OBRA!R478</f>
        <v>2900</v>
      </c>
      <c r="AE478" s="6">
        <f>OBRA!S478</f>
        <v>44089</v>
      </c>
      <c r="AF478" s="5" t="str">
        <f>OBRA!T478</f>
        <v>-</v>
      </c>
      <c r="AG478" s="390" t="str">
        <f>OBRA!U478</f>
        <v>-</v>
      </c>
      <c r="AH478" s="52"/>
      <c r="AI478" s="211"/>
      <c r="AJ478" s="242"/>
      <c r="AK478" s="242"/>
      <c r="AL478" s="394"/>
      <c r="AM478" s="519" t="str">
        <f>GRAL!B481</f>
        <v>2018-2021</v>
      </c>
    </row>
    <row r="479" spans="1:39" ht="30" hidden="1" customHeight="1" thickTop="1">
      <c r="A479" s="158">
        <f>OBRA!J479</f>
        <v>2020</v>
      </c>
      <c r="B479" s="1683"/>
      <c r="C479" s="395"/>
      <c r="D479" s="146"/>
      <c r="E479" s="148"/>
      <c r="F479" s="148"/>
      <c r="G479" s="398"/>
      <c r="H479" s="404" t="str">
        <f>OBRA!AF479</f>
        <v>-</v>
      </c>
      <c r="I479" s="400"/>
      <c r="J479" s="406" t="str">
        <f>OBRA!AG479</f>
        <v>-</v>
      </c>
      <c r="K479" s="401"/>
      <c r="L479" s="404" t="str">
        <f>OBRA!AH479</f>
        <v>-</v>
      </c>
      <c r="M479" s="402"/>
      <c r="N479" s="404" t="str">
        <f>OBRA!AI479</f>
        <v>-</v>
      </c>
      <c r="O479" s="144"/>
      <c r="P479" s="144"/>
      <c r="Q479" s="403"/>
      <c r="R479" s="407" t="str">
        <f>OBRA!AJ479</f>
        <v>-</v>
      </c>
      <c r="S479" s="201"/>
      <c r="T479" s="399" t="str">
        <f>OBRA!W479</f>
        <v>ING. JUAN MANUEL GARCÍA ESCOTO</v>
      </c>
      <c r="U479" s="408" t="str">
        <f>OBRA!X479</f>
        <v>ING. HECTOR JESUS HERNANDEZ</v>
      </c>
      <c r="V479" s="1090"/>
      <c r="W479" s="19" t="str">
        <f>OBRA!N479</f>
        <v>C.P.S.P. DOP 025/2020</v>
      </c>
      <c r="X479" s="12"/>
      <c r="Y479" s="12"/>
      <c r="Z479" s="409" t="str">
        <f>OBRA!M479</f>
        <v>CUENTA CORRIENTE</v>
      </c>
      <c r="AA479" s="12"/>
      <c r="AB479" s="2" t="str">
        <f>OBRA!O479</f>
        <v>SERVICIOS</v>
      </c>
      <c r="AC479" s="3" t="str">
        <f>OBRA!P479</f>
        <v>LEVANTAMIENTO TOPOGRÁFICO EN CALLES Y UBICACIÓN DE ÁREAS CONCESIONADAS PARA PUESTOS DEL TIANGUIS NAVIDEÑO (ZONA CENTRO), EN LA CABECERA MUNICIPAL DE JOCOTEPEC, JALISCO.</v>
      </c>
      <c r="AD479" s="4">
        <f>OBRA!R479</f>
        <v>2900</v>
      </c>
      <c r="AE479" s="6">
        <f>OBRA!S479</f>
        <v>44089</v>
      </c>
      <c r="AF479" s="5" t="str">
        <f>OBRA!T479</f>
        <v>-</v>
      </c>
      <c r="AG479" s="390" t="str">
        <f>OBRA!U479</f>
        <v>-</v>
      </c>
      <c r="AH479" s="52"/>
      <c r="AI479" s="211"/>
      <c r="AJ479" s="242"/>
      <c r="AK479" s="242"/>
      <c r="AL479" s="394"/>
      <c r="AM479" s="519" t="str">
        <f>GRAL!B482</f>
        <v>2018-2021</v>
      </c>
    </row>
    <row r="480" spans="1:39" ht="30" hidden="1" customHeight="1" thickTop="1">
      <c r="A480" s="158">
        <f>OBRA!J480</f>
        <v>2020</v>
      </c>
      <c r="B480" s="1683"/>
      <c r="C480" s="395"/>
      <c r="D480" s="146"/>
      <c r="E480" s="148"/>
      <c r="F480" s="148"/>
      <c r="G480" s="398"/>
      <c r="H480" s="404" t="str">
        <f>OBRA!AF480</f>
        <v>-</v>
      </c>
      <c r="I480" s="400"/>
      <c r="J480" s="406" t="str">
        <f>OBRA!AG480</f>
        <v>-</v>
      </c>
      <c r="K480" s="401"/>
      <c r="L480" s="404" t="str">
        <f>OBRA!AH480</f>
        <v>-</v>
      </c>
      <c r="M480" s="402"/>
      <c r="N480" s="404" t="str">
        <f>OBRA!AI480</f>
        <v>-</v>
      </c>
      <c r="O480" s="144"/>
      <c r="P480" s="144"/>
      <c r="Q480" s="403"/>
      <c r="R480" s="407" t="str">
        <f>OBRA!AJ480</f>
        <v>-</v>
      </c>
      <c r="S480" s="201"/>
      <c r="T480" s="399" t="str">
        <f>OBRA!W480</f>
        <v>ING. JUAN MANUEL GARCÍA ESCOTO</v>
      </c>
      <c r="U480" s="408" t="str">
        <f>OBRA!X480</f>
        <v>ING. HECTOR JESUS HERNANDEZ</v>
      </c>
      <c r="V480" s="1090"/>
      <c r="W480" s="19" t="str">
        <f>OBRA!N480</f>
        <v>C.P.S.P. DOP 026/2020</v>
      </c>
      <c r="X480" s="12"/>
      <c r="Y480" s="12"/>
      <c r="Z480" s="409" t="str">
        <f>OBRA!M480</f>
        <v>CUENTA CORRIENTE</v>
      </c>
      <c r="AA480" s="12"/>
      <c r="AB480" s="2" t="str">
        <f>OBRA!O480</f>
        <v>SERVICIOS</v>
      </c>
      <c r="AC480" s="3" t="str">
        <f>OBRA!P480</f>
        <v>LEVANTAMIENTO TOPOGRÁFICO EN ÁREAS DE DONACIÓN DEL TERRENO PARA LA UBICACIÓN DEL POZO DE AGUA POTABLE, EN LA LOCALIDAD DE EL MOLINO, MUNICIPIO DE JOCOTEPEC, JALISCO.</v>
      </c>
      <c r="AD480" s="4">
        <f>OBRA!R480</f>
        <v>4059.9999999999995</v>
      </c>
      <c r="AE480" s="6">
        <f>OBRA!S480</f>
        <v>44089</v>
      </c>
      <c r="AF480" s="5" t="str">
        <f>OBRA!T480</f>
        <v>-</v>
      </c>
      <c r="AG480" s="390" t="str">
        <f>OBRA!U480</f>
        <v>-</v>
      </c>
      <c r="AH480" s="52"/>
      <c r="AI480" s="211"/>
      <c r="AJ480" s="242"/>
      <c r="AK480" s="242"/>
      <c r="AL480" s="394"/>
      <c r="AM480" s="519" t="str">
        <f>GRAL!B483</f>
        <v>2018-2021</v>
      </c>
    </row>
    <row r="481" spans="1:39" ht="30" hidden="1" customHeight="1" thickTop="1">
      <c r="A481" s="158">
        <f>OBRA!J481</f>
        <v>2020</v>
      </c>
      <c r="B481" s="1683"/>
      <c r="C481" s="395"/>
      <c r="D481" s="146"/>
      <c r="E481" s="148"/>
      <c r="F481" s="148"/>
      <c r="G481" s="398"/>
      <c r="H481" s="404" t="str">
        <f>OBRA!AF481</f>
        <v>-</v>
      </c>
      <c r="I481" s="400"/>
      <c r="J481" s="406" t="str">
        <f>OBRA!AG481</f>
        <v>-</v>
      </c>
      <c r="K481" s="401"/>
      <c r="L481" s="404" t="str">
        <f>OBRA!AH481</f>
        <v>-</v>
      </c>
      <c r="M481" s="402"/>
      <c r="N481" s="404" t="str">
        <f>OBRA!AI481</f>
        <v>-</v>
      </c>
      <c r="O481" s="144"/>
      <c r="P481" s="144"/>
      <c r="Q481" s="403"/>
      <c r="R481" s="407" t="str">
        <f>OBRA!AJ481</f>
        <v>-</v>
      </c>
      <c r="S481" s="201"/>
      <c r="T481" s="399" t="str">
        <f>OBRA!W481</f>
        <v>ING. JUAN MANUEL GARCÍA ESCOTO</v>
      </c>
      <c r="U481" s="408" t="str">
        <f>OBRA!X481</f>
        <v>ING. HECTOR JESUS HERNANDEZ</v>
      </c>
      <c r="V481" s="1090"/>
      <c r="W481" s="19" t="str">
        <f>OBRA!N481</f>
        <v>C.P.S.P. DOP 027/2020</v>
      </c>
      <c r="X481" s="12"/>
      <c r="Y481" s="12"/>
      <c r="Z481" s="409" t="str">
        <f>OBRA!M481</f>
        <v>CUENTA CORRIENTE</v>
      </c>
      <c r="AA481" s="12"/>
      <c r="AB481" s="2" t="str">
        <f>OBRA!O481</f>
        <v>SERVICIOS</v>
      </c>
      <c r="AC481" s="3" t="str">
        <f>OBRA!P481</f>
        <v>LEVANTAMIENTO TOPOGRÁFICO DE ÁREA DE DONACIÓN DEL TERRENO PARA EL DEPÓSITO DE AGUA POTABLE, EN LA DELGACIÓN DE HUEJOTITÁN, DEL MUNICIPIO DE JOCOTEPEC, JALISCO.</v>
      </c>
      <c r="AD481" s="4">
        <f>OBRA!R481</f>
        <v>3711.9999999999995</v>
      </c>
      <c r="AE481" s="6">
        <f>OBRA!S481</f>
        <v>44089</v>
      </c>
      <c r="AF481" s="5" t="str">
        <f>OBRA!T481</f>
        <v>-</v>
      </c>
      <c r="AG481" s="390" t="str">
        <f>OBRA!U481</f>
        <v>-</v>
      </c>
      <c r="AH481" s="52"/>
      <c r="AI481" s="211"/>
      <c r="AJ481" s="242"/>
      <c r="AK481" s="242"/>
      <c r="AL481" s="394"/>
      <c r="AM481" s="519" t="str">
        <f>GRAL!B484</f>
        <v>2018-2021</v>
      </c>
    </row>
    <row r="482" spans="1:39" ht="30" hidden="1" customHeight="1" thickTop="1">
      <c r="A482" s="158">
        <f>OBRA!J482</f>
        <v>2020</v>
      </c>
      <c r="B482" s="1683"/>
      <c r="C482" s="395"/>
      <c r="D482" s="146"/>
      <c r="E482" s="148"/>
      <c r="F482" s="148"/>
      <c r="G482" s="398"/>
      <c r="H482" s="404" t="str">
        <f>OBRA!AF482</f>
        <v>-</v>
      </c>
      <c r="I482" s="400"/>
      <c r="J482" s="406" t="str">
        <f>OBRA!AG482</f>
        <v>-</v>
      </c>
      <c r="K482" s="401"/>
      <c r="L482" s="404" t="str">
        <f>OBRA!AH482</f>
        <v>-</v>
      </c>
      <c r="M482" s="402"/>
      <c r="N482" s="404" t="str">
        <f>OBRA!AI482</f>
        <v>-</v>
      </c>
      <c r="O482" s="144"/>
      <c r="P482" s="144"/>
      <c r="Q482" s="403"/>
      <c r="R482" s="407" t="str">
        <f>OBRA!AJ482</f>
        <v>-</v>
      </c>
      <c r="S482" s="201"/>
      <c r="T482" s="399" t="str">
        <f>OBRA!W482</f>
        <v>ING. JUAN MANUEL GARCÍA ESCOTO</v>
      </c>
      <c r="U482" s="408" t="str">
        <f>OBRA!X482</f>
        <v>ING. HECTOR JESUS HERNANDEZ</v>
      </c>
      <c r="V482" s="1090"/>
      <c r="W482" s="19" t="str">
        <f>OBRA!N482</f>
        <v>C.P.S.P. DOP 028/2020</v>
      </c>
      <c r="X482" s="12"/>
      <c r="Y482" s="12"/>
      <c r="Z482" s="409" t="str">
        <f>OBRA!M482</f>
        <v>CUENTA CORRIENTE</v>
      </c>
      <c r="AA482" s="12"/>
      <c r="AB482" s="2" t="str">
        <f>OBRA!O482</f>
        <v>SERVICIOS</v>
      </c>
      <c r="AC482" s="3" t="str">
        <f>OBRA!P482</f>
        <v>LEVANAMIENTO TOPOGRÁFICO DE ÁREAS Y LÍMITES DE PROPIEDAD DEL CAMINO PROLONGACIÓN CALLE MATAMOROS DE DONATO QUERRA HASTA INGRESO AL FRACCIONAMIENTO ROCA AZUL, EN LA CABECERA MUNICIPAL DE JOCOTEPEC, JALISCO.</v>
      </c>
      <c r="AD482" s="4">
        <f>OBRA!R482</f>
        <v>9860</v>
      </c>
      <c r="AE482" s="6">
        <f>OBRA!S482</f>
        <v>44089</v>
      </c>
      <c r="AF482" s="5" t="str">
        <f>OBRA!T482</f>
        <v>-</v>
      </c>
      <c r="AG482" s="390" t="str">
        <f>OBRA!U482</f>
        <v>-</v>
      </c>
      <c r="AH482" s="52"/>
      <c r="AI482" s="211"/>
      <c r="AJ482" s="242"/>
      <c r="AK482" s="242"/>
      <c r="AL482" s="394"/>
      <c r="AM482" s="519" t="str">
        <f>GRAL!B485</f>
        <v>2018-2021</v>
      </c>
    </row>
    <row r="483" spans="1:39" ht="30" hidden="1" customHeight="1" thickTop="1">
      <c r="A483" s="158">
        <f>OBRA!J483</f>
        <v>2020</v>
      </c>
      <c r="B483" s="1683"/>
      <c r="C483" s="395"/>
      <c r="D483" s="146"/>
      <c r="E483" s="148"/>
      <c r="F483" s="148"/>
      <c r="G483" s="398"/>
      <c r="H483" s="404" t="str">
        <f>OBRA!AF483</f>
        <v>-</v>
      </c>
      <c r="I483" s="400"/>
      <c r="J483" s="406" t="str">
        <f>OBRA!AG483</f>
        <v>-</v>
      </c>
      <c r="K483" s="401"/>
      <c r="L483" s="404" t="str">
        <f>OBRA!AH483</f>
        <v>-</v>
      </c>
      <c r="M483" s="402"/>
      <c r="N483" s="404" t="str">
        <f>OBRA!AI483</f>
        <v>-</v>
      </c>
      <c r="O483" s="144"/>
      <c r="P483" s="144"/>
      <c r="Q483" s="403"/>
      <c r="R483" s="407" t="str">
        <f>OBRA!AJ483</f>
        <v>-</v>
      </c>
      <c r="S483" s="201"/>
      <c r="T483" s="399" t="str">
        <f>OBRA!W483</f>
        <v>ING. JUAN MANUEL GARCÍA ESCOTO</v>
      </c>
      <c r="U483" s="408">
        <f>OBRA!X483</f>
        <v>0</v>
      </c>
      <c r="V483" s="1090"/>
      <c r="W483" s="19" t="str">
        <f>OBRA!N483</f>
        <v>C.P.S.P. DOP 029/2020</v>
      </c>
      <c r="X483" s="12"/>
      <c r="Y483" s="12"/>
      <c r="Z483" s="409" t="str">
        <f>OBRA!M483</f>
        <v>CUENTA CORRIENTE</v>
      </c>
      <c r="AA483" s="12"/>
      <c r="AB483" s="2" t="str">
        <f>OBRA!O483</f>
        <v>CANCELADA</v>
      </c>
      <c r="AC483" s="3" t="str">
        <f>OBRA!P483</f>
        <v>CONTRATO CANCELADO</v>
      </c>
      <c r="AD483" s="4">
        <f>OBRA!R483</f>
        <v>0</v>
      </c>
      <c r="AE483" s="6">
        <f>OBRA!S483</f>
        <v>0</v>
      </c>
      <c r="AF483" s="5" t="str">
        <f>OBRA!T483</f>
        <v>-</v>
      </c>
      <c r="AG483" s="390" t="str">
        <f>OBRA!U483</f>
        <v>-</v>
      </c>
      <c r="AH483" s="52"/>
      <c r="AI483" s="211"/>
      <c r="AJ483" s="242"/>
      <c r="AK483" s="242"/>
      <c r="AL483" s="394"/>
      <c r="AM483" s="519" t="str">
        <f>GRAL!B486</f>
        <v>2018-2021</v>
      </c>
    </row>
    <row r="484" spans="1:39" ht="30" hidden="1" customHeight="1" thickTop="1">
      <c r="A484" s="158">
        <f>OBRA!J484</f>
        <v>2020</v>
      </c>
      <c r="B484" s="1683"/>
      <c r="C484" s="395"/>
      <c r="D484" s="146"/>
      <c r="E484" s="148"/>
      <c r="F484" s="148"/>
      <c r="G484" s="398"/>
      <c r="H484" s="404" t="str">
        <f>OBRA!AF484</f>
        <v>-</v>
      </c>
      <c r="I484" s="400"/>
      <c r="J484" s="406" t="str">
        <f>OBRA!AG484</f>
        <v>-</v>
      </c>
      <c r="K484" s="401"/>
      <c r="L484" s="404" t="str">
        <f>OBRA!AH484</f>
        <v>-</v>
      </c>
      <c r="M484" s="402"/>
      <c r="N484" s="404" t="str">
        <f>OBRA!AI484</f>
        <v>-</v>
      </c>
      <c r="O484" s="144"/>
      <c r="P484" s="144"/>
      <c r="Q484" s="403"/>
      <c r="R484" s="407" t="str">
        <f>OBRA!AJ484</f>
        <v>-</v>
      </c>
      <c r="S484" s="201"/>
      <c r="T484" s="399" t="str">
        <f>OBRA!W484</f>
        <v>ING. JUAN MANUEL GARCÍA ESCOTO</v>
      </c>
      <c r="U484" s="408" t="str">
        <f>OBRA!X484</f>
        <v>ING. HECTOR JESUS HERNANDEZ</v>
      </c>
      <c r="V484" s="1090"/>
      <c r="W484" s="19" t="str">
        <f>OBRA!N484</f>
        <v>C.P.S.P. DOP 030/2020</v>
      </c>
      <c r="X484" s="12"/>
      <c r="Y484" s="12"/>
      <c r="Z484" s="409" t="str">
        <f>OBRA!M484</f>
        <v>CUENTA CORRIENTE</v>
      </c>
      <c r="AA484" s="12"/>
      <c r="AB484" s="2" t="str">
        <f>OBRA!O484</f>
        <v>SERVICIOS</v>
      </c>
      <c r="AC484" s="3" t="str">
        <f>OBRA!P484</f>
        <v>LEVANTAMIENTO TOPOGRÁFICO DE ÁREA DEL PREDIO DEL VERTEDERO MUNICIPAL, UBICADO EN EL EJIDO DE LA LOMA DEL MUNICIPIO DE JOCOTEPEC, JALISCO.</v>
      </c>
      <c r="AD484" s="4">
        <f>OBRA!R484</f>
        <v>9280</v>
      </c>
      <c r="AE484" s="6">
        <f>OBRA!S484</f>
        <v>44089</v>
      </c>
      <c r="AF484" s="5" t="str">
        <f>OBRA!T484</f>
        <v>-</v>
      </c>
      <c r="AG484" s="390" t="str">
        <f>OBRA!U484</f>
        <v>-</v>
      </c>
      <c r="AH484" s="52"/>
      <c r="AI484" s="211"/>
      <c r="AJ484" s="242"/>
      <c r="AK484" s="242"/>
      <c r="AL484" s="394"/>
      <c r="AM484" s="519" t="str">
        <f>GRAL!B487</f>
        <v>2018-2021</v>
      </c>
    </row>
    <row r="485" spans="1:39" ht="30" hidden="1" customHeight="1" thickTop="1">
      <c r="A485" s="158">
        <f>OBRA!J485</f>
        <v>2020</v>
      </c>
      <c r="B485" s="1683"/>
      <c r="C485" s="395"/>
      <c r="D485" s="146"/>
      <c r="E485" s="148"/>
      <c r="F485" s="148"/>
      <c r="G485" s="398"/>
      <c r="H485" s="404" t="str">
        <f>OBRA!AF485</f>
        <v>-</v>
      </c>
      <c r="I485" s="400"/>
      <c r="J485" s="406" t="str">
        <f>OBRA!AG485</f>
        <v>-</v>
      </c>
      <c r="K485" s="401"/>
      <c r="L485" s="404" t="str">
        <f>OBRA!AH485</f>
        <v>-</v>
      </c>
      <c r="M485" s="402"/>
      <c r="N485" s="404" t="str">
        <f>OBRA!AI485</f>
        <v>-</v>
      </c>
      <c r="O485" s="144"/>
      <c r="P485" s="144"/>
      <c r="Q485" s="403"/>
      <c r="R485" s="407" t="str">
        <f>OBRA!AJ485</f>
        <v>-</v>
      </c>
      <c r="S485" s="201"/>
      <c r="T485" s="399" t="str">
        <f>OBRA!W485</f>
        <v>ING. JUAN MANUEL GARCÍA ESCOTO</v>
      </c>
      <c r="U485" s="408" t="str">
        <f>OBRA!X485</f>
        <v>ING. HECTOR JESUS HERNANDEZ</v>
      </c>
      <c r="V485" s="1090"/>
      <c r="W485" s="19" t="str">
        <f>OBRA!N485</f>
        <v>C.P.S.P. DOP 031/2020</v>
      </c>
      <c r="X485" s="12"/>
      <c r="Y485" s="12"/>
      <c r="Z485" s="409" t="str">
        <f>OBRA!M485</f>
        <v>CUENTA CORRIENTE</v>
      </c>
      <c r="AA485" s="12"/>
      <c r="AB485" s="2" t="str">
        <f>OBRA!O485</f>
        <v>SERVICIOS</v>
      </c>
      <c r="AC485" s="3" t="str">
        <f>OBRA!P485</f>
        <v>LEVANTAMIENTO TOPOGRÁFICO DE ÁREA Y LÍMITES DE PROPIEDAD EN CALLE 5 DE MAYO ENTRE AV. DE LA CRUZ Y AV. DEL PARQUE, EN LA DELEGACIÓN DE HUEJOTITÁN DEL MUNICIPIO DE JOCOTEPEC, JALISCO.</v>
      </c>
      <c r="AD485" s="4">
        <f>OBRA!R485</f>
        <v>5220</v>
      </c>
      <c r="AE485" s="6">
        <f>OBRA!S485</f>
        <v>44089</v>
      </c>
      <c r="AF485" s="5" t="str">
        <f>OBRA!T485</f>
        <v>-</v>
      </c>
      <c r="AG485" s="390" t="str">
        <f>OBRA!U485</f>
        <v>-</v>
      </c>
      <c r="AH485" s="52"/>
      <c r="AI485" s="211"/>
      <c r="AJ485" s="242"/>
      <c r="AK485" s="242"/>
      <c r="AL485" s="394"/>
      <c r="AM485" s="519" t="str">
        <f>GRAL!B488</f>
        <v>2018-2021</v>
      </c>
    </row>
    <row r="486" spans="1:39" ht="30" hidden="1" customHeight="1" thickTop="1">
      <c r="A486" s="158">
        <f>OBRA!J486</f>
        <v>2020</v>
      </c>
      <c r="B486" s="1683"/>
      <c r="C486" s="395"/>
      <c r="D486" s="146"/>
      <c r="E486" s="148"/>
      <c r="F486" s="148"/>
      <c r="G486" s="398"/>
      <c r="H486" s="404" t="str">
        <f>OBRA!AF486</f>
        <v>-</v>
      </c>
      <c r="I486" s="400"/>
      <c r="J486" s="406" t="str">
        <f>OBRA!AG486</f>
        <v>-</v>
      </c>
      <c r="K486" s="401"/>
      <c r="L486" s="404" t="str">
        <f>OBRA!AH486</f>
        <v>-</v>
      </c>
      <c r="M486" s="402"/>
      <c r="N486" s="404" t="str">
        <f>OBRA!AI486</f>
        <v>-</v>
      </c>
      <c r="O486" s="144"/>
      <c r="P486" s="144"/>
      <c r="Q486" s="403"/>
      <c r="R486" s="407" t="str">
        <f>OBRA!AJ486</f>
        <v>-</v>
      </c>
      <c r="S486" s="201"/>
      <c r="T486" s="399" t="str">
        <f>OBRA!W486</f>
        <v>ING. JUAN MANUEL GARCÍA ESCOTO</v>
      </c>
      <c r="U486" s="408" t="str">
        <f>OBRA!X486</f>
        <v>ING. HECTOR JESUS HERNANDEZ</v>
      </c>
      <c r="V486" s="1090"/>
      <c r="W486" s="19" t="str">
        <f>OBRA!N486</f>
        <v>C.P.S.P. DOP 032/2020</v>
      </c>
      <c r="X486" s="12"/>
      <c r="Y486" s="12"/>
      <c r="Z486" s="409" t="str">
        <f>OBRA!M486</f>
        <v>CUENTA CORRIENTE</v>
      </c>
      <c r="AA486" s="12"/>
      <c r="AB486" s="2" t="str">
        <f>OBRA!O486</f>
        <v>SERVICIOS</v>
      </c>
      <c r="AC486" s="3" t="str">
        <f>OBRA!P486</f>
        <v>LEVANTAMIENTO TOPOGRÁFICO DE PREDIO Y ÁREA DE UNIDAD DEPORTIVA SUR PARA EL PROYECTO "POLIDEPORTIVO" UBICADO EN CALLE DONATO GUERRA, EN LA CABECERA MUNICIPAL DE JOCOTEPEC, JALISCO.</v>
      </c>
      <c r="AD486" s="4">
        <f>OBRA!R486</f>
        <v>9860</v>
      </c>
      <c r="AE486" s="6">
        <f>OBRA!S486</f>
        <v>44089</v>
      </c>
      <c r="AF486" s="5" t="str">
        <f>OBRA!T486</f>
        <v>-</v>
      </c>
      <c r="AG486" s="390" t="str">
        <f>OBRA!U486</f>
        <v>-</v>
      </c>
      <c r="AH486" s="52"/>
      <c r="AI486" s="211"/>
      <c r="AJ486" s="242"/>
      <c r="AK486" s="242"/>
      <c r="AL486" s="394"/>
      <c r="AM486" s="519" t="str">
        <f>GRAL!B489</f>
        <v>2018-2021</v>
      </c>
    </row>
    <row r="487" spans="1:39" ht="30" hidden="1" customHeight="1" thickTop="1">
      <c r="A487" s="158">
        <f>OBRA!J487</f>
        <v>2020</v>
      </c>
      <c r="B487" s="1683"/>
      <c r="C487" s="395"/>
      <c r="D487" s="146"/>
      <c r="E487" s="148"/>
      <c r="F487" s="148"/>
      <c r="G487" s="398"/>
      <c r="H487" s="404" t="str">
        <f>OBRA!AF487</f>
        <v>-</v>
      </c>
      <c r="I487" s="400"/>
      <c r="J487" s="406" t="str">
        <f>OBRA!AG487</f>
        <v>-</v>
      </c>
      <c r="K487" s="401"/>
      <c r="L487" s="404" t="str">
        <f>OBRA!AH487</f>
        <v>-</v>
      </c>
      <c r="M487" s="402"/>
      <c r="N487" s="404" t="str">
        <f>OBRA!AI487</f>
        <v>-</v>
      </c>
      <c r="O487" s="144"/>
      <c r="P487" s="144"/>
      <c r="Q487" s="403"/>
      <c r="R487" s="407" t="str">
        <f>OBRA!AJ487</f>
        <v>-</v>
      </c>
      <c r="S487" s="201"/>
      <c r="T487" s="399" t="str">
        <f>OBRA!W487</f>
        <v>ING. JUAN MANUEL GARCÍA ESCOTO</v>
      </c>
      <c r="U487" s="408" t="str">
        <f>OBRA!X487</f>
        <v>ING. HECTOR JESUS HERNANDEZ</v>
      </c>
      <c r="V487" s="1090"/>
      <c r="W487" s="19" t="str">
        <f>OBRA!N487</f>
        <v>C.P.S.P. DOP 033/2020</v>
      </c>
      <c r="X487" s="12"/>
      <c r="Y487" s="12"/>
      <c r="Z487" s="409" t="str">
        <f>OBRA!M487</f>
        <v>CUENTA CORRIENTE</v>
      </c>
      <c r="AA487" s="12"/>
      <c r="AB487" s="2" t="str">
        <f>OBRA!O487</f>
        <v>SERVICIOS</v>
      </c>
      <c r="AC487" s="3" t="str">
        <f>OBRA!P487</f>
        <v>LEVANTAMIENTO TOPOGRÁFICO DE ÁREAS Y LÍMITES DE PROPIEDAD DE LA CALLE HIDALGO SUR DE CALLE DONATO GUERRA AL ARROYO, EN LA CABECERA MUNICIPAL DE JOCOTEPEC, JALISCO.</v>
      </c>
      <c r="AD487" s="4">
        <f>OBRA!R487</f>
        <v>4059.9999999999995</v>
      </c>
      <c r="AE487" s="6">
        <f>OBRA!S487</f>
        <v>44089</v>
      </c>
      <c r="AF487" s="5" t="str">
        <f>OBRA!T487</f>
        <v>-</v>
      </c>
      <c r="AG487" s="390" t="str">
        <f>OBRA!U487</f>
        <v>-</v>
      </c>
      <c r="AH487" s="52"/>
      <c r="AI487" s="211"/>
      <c r="AJ487" s="242"/>
      <c r="AK487" s="242"/>
      <c r="AL487" s="394"/>
      <c r="AM487" s="519" t="str">
        <f>GRAL!B490</f>
        <v>2018-2021</v>
      </c>
    </row>
    <row r="488" spans="1:39" ht="30" hidden="1" customHeight="1" thickTop="1">
      <c r="A488" s="158">
        <f>OBRA!J488</f>
        <v>2020</v>
      </c>
      <c r="B488" s="1683"/>
      <c r="C488" s="395"/>
      <c r="D488" s="146"/>
      <c r="E488" s="148"/>
      <c r="F488" s="148"/>
      <c r="G488" s="398"/>
      <c r="H488" s="404" t="str">
        <f>OBRA!AF488</f>
        <v>-</v>
      </c>
      <c r="I488" s="400"/>
      <c r="J488" s="406" t="str">
        <f>OBRA!AG488</f>
        <v>-</v>
      </c>
      <c r="K488" s="401"/>
      <c r="L488" s="404" t="str">
        <f>OBRA!AH488</f>
        <v>-</v>
      </c>
      <c r="M488" s="402"/>
      <c r="N488" s="404" t="str">
        <f>OBRA!AI488</f>
        <v>-</v>
      </c>
      <c r="O488" s="144"/>
      <c r="P488" s="144"/>
      <c r="Q488" s="403"/>
      <c r="R488" s="407" t="str">
        <f>OBRA!AJ488</f>
        <v>-</v>
      </c>
      <c r="S488" s="201"/>
      <c r="T488" s="399" t="str">
        <f>OBRA!W488</f>
        <v xml:space="preserve">GRUPO CONSTRUCTOR PAVIMAQ, S.A. DE C.V. </v>
      </c>
      <c r="U488" s="408" t="str">
        <f>OBRA!X488</f>
        <v>ARQ. CESAR ANTONIO ALONSO JIMENEZ</v>
      </c>
      <c r="V488" s="1090"/>
      <c r="W488" s="19" t="str">
        <f>OBRA!N488</f>
        <v>GMJ 001C- OP/2020</v>
      </c>
      <c r="X488" s="12"/>
      <c r="Y488" s="12"/>
      <c r="Z488" s="409" t="str">
        <f>OBRA!M488</f>
        <v>CUENTA CORRIENTE</v>
      </c>
      <c r="AA488" s="12"/>
      <c r="AB488" s="2" t="str">
        <f>OBRA!O488</f>
        <v>ADJUDICACIÓN DIRECTA</v>
      </c>
      <c r="AC488" s="3" t="str">
        <f>OBRA!P488</f>
        <v>CONSTRUCCIÓN DE LÍNEAS DE DRENAJE SANITARIO Y DRENAJE PLUVIAL EN LA CALLE RODRIGO DE TRIANA" EN LA CABECERA MUNICIPAL DE JOCOTEPEC, JALISCO".</v>
      </c>
      <c r="AD488" s="4">
        <f>OBRA!R488</f>
        <v>156714.98000000001</v>
      </c>
      <c r="AE488" s="6">
        <f>OBRA!S488</f>
        <v>43894</v>
      </c>
      <c r="AF488" s="5">
        <f>OBRA!T488</f>
        <v>43894</v>
      </c>
      <c r="AG488" s="390">
        <f>OBRA!U488</f>
        <v>43960</v>
      </c>
      <c r="AH488" s="52"/>
      <c r="AI488" s="211"/>
      <c r="AJ488" s="242"/>
      <c r="AK488" s="242"/>
      <c r="AL488" s="394"/>
      <c r="AM488" s="519" t="str">
        <f>GRAL!B491</f>
        <v>2018-2021</v>
      </c>
    </row>
    <row r="489" spans="1:39" ht="30" hidden="1" customHeight="1" thickTop="1">
      <c r="A489" s="158">
        <f>OBRA!J489</f>
        <v>2020</v>
      </c>
      <c r="B489" s="1683"/>
      <c r="C489" s="395"/>
      <c r="D489" s="146"/>
      <c r="E489" s="148"/>
      <c r="F489" s="148"/>
      <c r="G489" s="398"/>
      <c r="H489" s="404" t="str">
        <f>OBRA!AF489</f>
        <v>-</v>
      </c>
      <c r="I489" s="400"/>
      <c r="J489" s="406" t="str">
        <f>OBRA!AG489</f>
        <v>-</v>
      </c>
      <c r="K489" s="401"/>
      <c r="L489" s="404" t="str">
        <f>OBRA!AH489</f>
        <v>-</v>
      </c>
      <c r="M489" s="402"/>
      <c r="N489" s="404" t="str">
        <f>OBRA!AI489</f>
        <v>-</v>
      </c>
      <c r="O489" s="144"/>
      <c r="P489" s="144"/>
      <c r="Q489" s="403"/>
      <c r="R489" s="407" t="str">
        <f>OBRA!AJ489</f>
        <v>-</v>
      </c>
      <c r="S489" s="201"/>
      <c r="T489" s="399" t="str">
        <f>OBRA!W489</f>
        <v>ING. OCTAVIO AUGUSTO GONZALEZ TREJO</v>
      </c>
      <c r="U489" s="408" t="str">
        <f>OBRA!X489</f>
        <v>LIC. SALVADOR CONTRERAS OLGUÍN</v>
      </c>
      <c r="V489" s="1090"/>
      <c r="W489" s="19" t="str">
        <f>OBRA!N489</f>
        <v>GMJ 002C- OP/2020</v>
      </c>
      <c r="X489" s="12"/>
      <c r="Y489" s="12"/>
      <c r="Z489" s="409" t="str">
        <f>OBRA!M489</f>
        <v>RAMO 33</v>
      </c>
      <c r="AA489" s="12"/>
      <c r="AB489" s="2" t="str">
        <f>OBRA!O489</f>
        <v>ADJUDICACIÓN DIRECTA</v>
      </c>
      <c r="AC489" s="3" t="str">
        <f>OBRA!P489</f>
        <v>"CONSTRUCCIÓN DE EMPEDRADO NORMAL CON HUELLAS DE ADOQUÍN EN CALLE CUAUHTÉMOC 3ERA. ETAPA DE CARCAMO A 160 ML AL ORIENTE" EN LA DELEGACIÓN DE CHANTEPEC, MUNICIPIO DE JOCOTEPEC, JALISCO.</v>
      </c>
      <c r="AD489" s="4">
        <f>OBRA!R489</f>
        <v>654632.78</v>
      </c>
      <c r="AE489" s="6">
        <f>OBRA!S489</f>
        <v>43936</v>
      </c>
      <c r="AF489" s="5">
        <f>OBRA!T489</f>
        <v>43937</v>
      </c>
      <c r="AG489" s="390">
        <f>OBRA!U489</f>
        <v>43958</v>
      </c>
      <c r="AH489" s="52"/>
      <c r="AI489" s="211"/>
      <c r="AJ489" s="242"/>
      <c r="AK489" s="242"/>
      <c r="AL489" s="394"/>
      <c r="AM489" s="519" t="str">
        <f>GRAL!B492</f>
        <v>2018-2021</v>
      </c>
    </row>
    <row r="490" spans="1:39" ht="30" hidden="1" customHeight="1" thickTop="1">
      <c r="A490" s="158">
        <f>OBRA!J490</f>
        <v>2020</v>
      </c>
      <c r="B490" s="1683"/>
      <c r="C490" s="395"/>
      <c r="D490" s="146"/>
      <c r="E490" s="148"/>
      <c r="F490" s="148"/>
      <c r="G490" s="398"/>
      <c r="H490" s="404" t="str">
        <f>OBRA!AF490</f>
        <v>-</v>
      </c>
      <c r="I490" s="400"/>
      <c r="J490" s="406" t="str">
        <f>OBRA!AG490</f>
        <v>-</v>
      </c>
      <c r="K490" s="401"/>
      <c r="L490" s="404" t="str">
        <f>OBRA!AH490</f>
        <v>-</v>
      </c>
      <c r="M490" s="402"/>
      <c r="N490" s="404" t="str">
        <f>OBRA!AI490</f>
        <v>-</v>
      </c>
      <c r="O490" s="144"/>
      <c r="P490" s="144"/>
      <c r="Q490" s="403"/>
      <c r="R490" s="407" t="str">
        <f>OBRA!AJ490</f>
        <v>-</v>
      </c>
      <c r="S490" s="201"/>
      <c r="T490" s="399" t="str">
        <f>OBRA!W490</f>
        <v>GRUPO CONSTRUCTOR EDVI S.A. DE C.V.</v>
      </c>
      <c r="U490" s="408" t="str">
        <f>OBRA!X490</f>
        <v>ARQ. CESAR ANTONIO ALONSO JIMENEZ</v>
      </c>
      <c r="V490" s="1090"/>
      <c r="W490" s="19" t="str">
        <f>OBRA!N490</f>
        <v>GMJ 003C- OP/2020</v>
      </c>
      <c r="X490" s="12"/>
      <c r="Y490" s="12"/>
      <c r="Z490" s="409" t="str">
        <f>OBRA!M490</f>
        <v>RAMO 33</v>
      </c>
      <c r="AA490" s="12"/>
      <c r="AB490" s="2" t="str">
        <f>OBRA!O490</f>
        <v>ADJUDICACIÓN DIRECTA</v>
      </c>
      <c r="AC490" s="3" t="str">
        <f>OBRA!P490</f>
        <v>"CONSTRUCCIÓN DE EMPEDRADO NORMAL CON HUELLAS DE CONCRETO EN CALLE LIBERTAD DE RICO A CRISTÓBAL COLÓN" EN LA LOCALIDAD DE NEXTIPAC, MUNICIPIO DE JOCOTEPEC, JALISCO</v>
      </c>
      <c r="AD490" s="4">
        <f>OBRA!R490</f>
        <v>248927.96</v>
      </c>
      <c r="AE490" s="6">
        <f>OBRA!S490</f>
        <v>43948</v>
      </c>
      <c r="AF490" s="5">
        <f>OBRA!T490</f>
        <v>43949</v>
      </c>
      <c r="AG490" s="390">
        <f>OBRA!U490</f>
        <v>43980</v>
      </c>
      <c r="AH490" s="52"/>
      <c r="AI490" s="211"/>
      <c r="AJ490" s="242"/>
      <c r="AK490" s="242"/>
      <c r="AL490" s="394"/>
      <c r="AM490" s="519" t="str">
        <f>GRAL!B493</f>
        <v>2018-2021</v>
      </c>
    </row>
    <row r="491" spans="1:39" ht="30" hidden="1" customHeight="1" thickTop="1">
      <c r="A491" s="158">
        <f>OBRA!J491</f>
        <v>2020</v>
      </c>
      <c r="B491" s="1683"/>
      <c r="C491" s="395"/>
      <c r="D491" s="146"/>
      <c r="E491" s="148"/>
      <c r="F491" s="148"/>
      <c r="G491" s="398"/>
      <c r="H491" s="404" t="str">
        <f>OBRA!AF491</f>
        <v>-</v>
      </c>
      <c r="I491" s="400"/>
      <c r="J491" s="406" t="str">
        <f>OBRA!AG491</f>
        <v>-</v>
      </c>
      <c r="K491" s="401"/>
      <c r="L491" s="404" t="str">
        <f>OBRA!AH491</f>
        <v>-</v>
      </c>
      <c r="M491" s="402"/>
      <c r="N491" s="404" t="str">
        <f>OBRA!AI491</f>
        <v>-</v>
      </c>
      <c r="O491" s="144"/>
      <c r="P491" s="144"/>
      <c r="Q491" s="403"/>
      <c r="R491" s="407" t="str">
        <f>OBRA!AJ491</f>
        <v>-</v>
      </c>
      <c r="S491" s="201"/>
      <c r="T491" s="399" t="str">
        <f>OBRA!W491</f>
        <v>SERVICIO Y CONSTRUCCIÓN NATENIO S.A. DE C.V.</v>
      </c>
      <c r="U491" s="408" t="str">
        <f>OBRA!X491</f>
        <v>ARQ. JAIME CONDE GOMEZ</v>
      </c>
      <c r="V491" s="1090"/>
      <c r="W491" s="19" t="str">
        <f>OBRA!N491</f>
        <v>GMJ 004C- OP/2020</v>
      </c>
      <c r="X491" s="12"/>
      <c r="Y491" s="12"/>
      <c r="Z491" s="409" t="str">
        <f>OBRA!M491</f>
        <v>RAMO 33</v>
      </c>
      <c r="AA491" s="12"/>
      <c r="AB491" s="2" t="str">
        <f>OBRA!O491</f>
        <v>ADJUDICACIÓN DIRECTA</v>
      </c>
      <c r="AC491" s="3" t="str">
        <f>OBRA!P491</f>
        <v>"CONSTRUCCIÓN DE EMPEDRADO AHOGADO EN CEMENTO CON HUELLAS DE CONCRETO EN CALLE PADRE ADALBERTO MACIAS" EN LA CABECERA MUNICIPAL DE JOCOTEPEC, JALISCO.</v>
      </c>
      <c r="AD491" s="4">
        <f>OBRA!R491</f>
        <v>1010980.5</v>
      </c>
      <c r="AE491" s="6">
        <f>OBRA!S491</f>
        <v>43951</v>
      </c>
      <c r="AF491" s="5">
        <f>OBRA!T491</f>
        <v>43962</v>
      </c>
      <c r="AG491" s="390">
        <f>OBRA!U491</f>
        <v>44054</v>
      </c>
      <c r="AH491" s="52"/>
      <c r="AI491" s="211"/>
      <c r="AJ491" s="242"/>
      <c r="AK491" s="242"/>
      <c r="AL491" s="394"/>
      <c r="AM491" s="519" t="str">
        <f>GRAL!B494</f>
        <v>2018-2021</v>
      </c>
    </row>
    <row r="492" spans="1:39" ht="30" hidden="1" customHeight="1" thickTop="1">
      <c r="A492" s="158">
        <f>OBRA!J492</f>
        <v>2020</v>
      </c>
      <c r="B492" s="1683"/>
      <c r="C492" s="395"/>
      <c r="D492" s="146"/>
      <c r="E492" s="148"/>
      <c r="F492" s="148"/>
      <c r="G492" s="398"/>
      <c r="H492" s="404" t="str">
        <f>OBRA!AF492</f>
        <v>-</v>
      </c>
      <c r="I492" s="400"/>
      <c r="J492" s="406" t="str">
        <f>OBRA!AG492</f>
        <v>-</v>
      </c>
      <c r="K492" s="401"/>
      <c r="L492" s="404" t="str">
        <f>OBRA!AH492</f>
        <v>-</v>
      </c>
      <c r="M492" s="402"/>
      <c r="N492" s="404" t="str">
        <f>OBRA!AI492</f>
        <v>-</v>
      </c>
      <c r="O492" s="144"/>
      <c r="P492" s="144"/>
      <c r="Q492" s="403"/>
      <c r="R492" s="407" t="str">
        <f>OBRA!AJ492</f>
        <v>-</v>
      </c>
      <c r="S492" s="201"/>
      <c r="T492" s="399" t="str">
        <f>OBRA!W492</f>
        <v>GRUPO CONSTRUCTOR EDVI SA DE CV</v>
      </c>
      <c r="U492" s="408" t="str">
        <f>OBRA!X492</f>
        <v>ARQ. CESAR ANTONIO ALONSO JIMENEZ</v>
      </c>
      <c r="V492" s="1090"/>
      <c r="W492" s="19" t="str">
        <f>OBRA!N492</f>
        <v>GMJ 005C- OP/2020</v>
      </c>
      <c r="X492" s="12"/>
      <c r="Y492" s="12"/>
      <c r="Z492" s="409" t="str">
        <f>OBRA!M492</f>
        <v>RAMO 33</v>
      </c>
      <c r="AA492" s="12"/>
      <c r="AB492" s="2" t="str">
        <f>OBRA!O492</f>
        <v>ADJUDICACIÓN DIRECTA</v>
      </c>
      <c r="AC492" s="3" t="str">
        <f>OBRA!P492</f>
        <v>"CONSTRUCCIÓN DE LÍNEA DE DRENAJE SANITARIO EN CALLE LIBERTAD DE RICO A CRISTOBAL COLON" EN LA LOCALIDAD DE NEXTIPAC, MUNICIPIO DE JOCOTEPEC, JALISCO.</v>
      </c>
      <c r="AD492" s="4">
        <f>OBRA!R492</f>
        <v>125624.96000000001</v>
      </c>
      <c r="AE492" s="6">
        <f>OBRA!S492</f>
        <v>43948</v>
      </c>
      <c r="AF492" s="5">
        <f>OBRA!T492</f>
        <v>43949</v>
      </c>
      <c r="AG492" s="390">
        <f>OBRA!U492</f>
        <v>43980</v>
      </c>
      <c r="AH492" s="52"/>
      <c r="AI492" s="211"/>
      <c r="AJ492" s="242"/>
      <c r="AK492" s="242"/>
      <c r="AL492" s="394"/>
      <c r="AM492" s="519" t="str">
        <f>GRAL!B495</f>
        <v>2018-2021</v>
      </c>
    </row>
    <row r="493" spans="1:39" ht="30" hidden="1" customHeight="1" thickTop="1">
      <c r="A493" s="158">
        <f>OBRA!J493</f>
        <v>2020</v>
      </c>
      <c r="B493" s="1683"/>
      <c r="C493" s="395"/>
      <c r="D493" s="146"/>
      <c r="E493" s="148"/>
      <c r="F493" s="148"/>
      <c r="G493" s="398"/>
      <c r="H493" s="404" t="str">
        <f>OBRA!AF493</f>
        <v>-</v>
      </c>
      <c r="I493" s="400"/>
      <c r="J493" s="406" t="str">
        <f>OBRA!AG493</f>
        <v>-</v>
      </c>
      <c r="K493" s="401"/>
      <c r="L493" s="404" t="str">
        <f>OBRA!AH493</f>
        <v>-</v>
      </c>
      <c r="M493" s="402"/>
      <c r="N493" s="404" t="str">
        <f>OBRA!AI493</f>
        <v>-</v>
      </c>
      <c r="O493" s="144"/>
      <c r="P493" s="144"/>
      <c r="Q493" s="403"/>
      <c r="R493" s="407" t="str">
        <f>OBRA!AJ493</f>
        <v>-</v>
      </c>
      <c r="S493" s="201"/>
      <c r="T493" s="399" t="str">
        <f>OBRA!W493</f>
        <v>SONAYBER INGENIERIA Y CONSTRUCCIONES S.A. DE C.V.</v>
      </c>
      <c r="U493" s="408" t="str">
        <f>OBRA!X493</f>
        <v>ING. J. GUADALUPE IBARRA RAMIREZ</v>
      </c>
      <c r="V493" s="1090"/>
      <c r="W493" s="19" t="str">
        <f>OBRA!N493</f>
        <v>GMJ 006C- OP/2020</v>
      </c>
      <c r="X493" s="12"/>
      <c r="Y493" s="12"/>
      <c r="Z493" s="409" t="str">
        <f>OBRA!M493</f>
        <v>RAMO 33</v>
      </c>
      <c r="AA493" s="12"/>
      <c r="AB493" s="2" t="str">
        <f>OBRA!O493</f>
        <v>ADJUDICACIÓN DIRECTA</v>
      </c>
      <c r="AC493" s="3" t="str">
        <f>OBRA!P493</f>
        <v>REHABILITACIÓN DE REDES HIDROSANITARIAS Y SUPERFICIE DE RODAMIENTO EN LA CALLE NICÓLAS BRAVO ENTRE CALLE ALDAMA Y CALLE LOS ANGELES" DE LA CABECERA MUNICIPAL, DE JOCOTEPEC, JALISCO.</v>
      </c>
      <c r="AD493" s="4">
        <f>OBRA!R493</f>
        <v>965741.4</v>
      </c>
      <c r="AE493" s="6">
        <f>OBRA!S493</f>
        <v>43977</v>
      </c>
      <c r="AF493" s="5">
        <f>OBRA!T493</f>
        <v>43984</v>
      </c>
      <c r="AG493" s="390">
        <f>OBRA!U493</f>
        <v>44040</v>
      </c>
      <c r="AH493" s="52"/>
      <c r="AI493" s="211"/>
      <c r="AJ493" s="242"/>
      <c r="AK493" s="242"/>
      <c r="AL493" s="394"/>
      <c r="AM493" s="519" t="str">
        <f>GRAL!B496</f>
        <v>2018-2021</v>
      </c>
    </row>
    <row r="494" spans="1:39" ht="30" hidden="1" customHeight="1" thickTop="1">
      <c r="A494" s="158">
        <f>OBRA!J494</f>
        <v>2020</v>
      </c>
      <c r="B494" s="1683"/>
      <c r="C494" s="395"/>
      <c r="D494" s="146"/>
      <c r="E494" s="148"/>
      <c r="F494" s="148"/>
      <c r="G494" s="398"/>
      <c r="H494" s="404" t="str">
        <f>OBRA!AF494</f>
        <v>-</v>
      </c>
      <c r="I494" s="400"/>
      <c r="J494" s="406" t="str">
        <f>OBRA!AG494</f>
        <v>-</v>
      </c>
      <c r="K494" s="401"/>
      <c r="L494" s="404" t="str">
        <f>OBRA!AH494</f>
        <v>-</v>
      </c>
      <c r="M494" s="402"/>
      <c r="N494" s="404" t="str">
        <f>OBRA!AI494</f>
        <v>-</v>
      </c>
      <c r="O494" s="144"/>
      <c r="P494" s="144"/>
      <c r="Q494" s="403"/>
      <c r="R494" s="407" t="str">
        <f>OBRA!AJ494</f>
        <v>-</v>
      </c>
      <c r="S494" s="201"/>
      <c r="T494" s="399" t="str">
        <f>OBRA!W494</f>
        <v>SONAYBER INGENIERIA Y CONSTRUCCIONES S.A. DE C.V.</v>
      </c>
      <c r="U494" s="408" t="str">
        <f>OBRA!X494</f>
        <v>ING. J. GUADALUPE IBARRA RAMIREZ</v>
      </c>
      <c r="V494" s="1090"/>
      <c r="W494" s="19" t="str">
        <f>OBRA!N494</f>
        <v>GMJ 007C- OP/2020</v>
      </c>
      <c r="X494" s="12"/>
      <c r="Y494" s="12"/>
      <c r="Z494" s="409" t="str">
        <f>OBRA!M494</f>
        <v>RAMO 33</v>
      </c>
      <c r="AA494" s="12"/>
      <c r="AB494" s="2" t="str">
        <f>OBRA!O494</f>
        <v>ADJUDICACIÓN DIRECTA</v>
      </c>
      <c r="AC494" s="3" t="str">
        <f>OBRA!P494</f>
        <v>"REHABILITACIÓN DE REDES HIDROSANITARIAS Y FABRICACIÓN DE SUPERFICIE DE RODAMIENTO EN PRIV. NICOLAS BRAVO ENTRE NICÓLAS BRAVO A CERRADA" DE LA CABECERA MUNICIPAL, DE JOCOTEPEC, JALISCO.</v>
      </c>
      <c r="AD494" s="4">
        <f>OBRA!R494</f>
        <v>334158.86</v>
      </c>
      <c r="AE494" s="6">
        <f>OBRA!S494</f>
        <v>43977</v>
      </c>
      <c r="AF494" s="5">
        <f>OBRA!T494</f>
        <v>43984</v>
      </c>
      <c r="AG494" s="390">
        <f>OBRA!U494</f>
        <v>44040</v>
      </c>
      <c r="AH494" s="52"/>
      <c r="AI494" s="211"/>
      <c r="AJ494" s="242"/>
      <c r="AK494" s="242"/>
      <c r="AL494" s="394"/>
      <c r="AM494" s="519" t="str">
        <f>GRAL!B497</f>
        <v>2018-2021</v>
      </c>
    </row>
    <row r="495" spans="1:39" ht="30" hidden="1" customHeight="1" thickTop="1">
      <c r="A495" s="158">
        <f>OBRA!J495</f>
        <v>2020</v>
      </c>
      <c r="B495" s="1683"/>
      <c r="C495" s="395"/>
      <c r="D495" s="146"/>
      <c r="E495" s="148"/>
      <c r="F495" s="148"/>
      <c r="G495" s="398"/>
      <c r="H495" s="404" t="str">
        <f>OBRA!AF495</f>
        <v>-</v>
      </c>
      <c r="I495" s="400"/>
      <c r="J495" s="406" t="str">
        <f>OBRA!AG495</f>
        <v>-</v>
      </c>
      <c r="K495" s="401"/>
      <c r="L495" s="404" t="str">
        <f>OBRA!AH495</f>
        <v>-</v>
      </c>
      <c r="M495" s="402"/>
      <c r="N495" s="404" t="str">
        <f>OBRA!AI495</f>
        <v>-</v>
      </c>
      <c r="O495" s="144"/>
      <c r="P495" s="144"/>
      <c r="Q495" s="403"/>
      <c r="R495" s="407" t="str">
        <f>OBRA!AJ495</f>
        <v>-</v>
      </c>
      <c r="S495" s="201"/>
      <c r="T495" s="399" t="str">
        <f>OBRA!W495</f>
        <v>CONSTRUCCIÓN Y SUPERVISIÓN COMA S.A. DE C.V.</v>
      </c>
      <c r="U495" s="408" t="str">
        <f>OBRA!X495</f>
        <v>LIC. SALVADOR CONTRERAS OLGUÍN</v>
      </c>
      <c r="V495" s="1090"/>
      <c r="W495" s="19" t="str">
        <f>OBRA!N495</f>
        <v>GMJ 008C- OP/2020</v>
      </c>
      <c r="X495" s="12"/>
      <c r="Y495" s="12"/>
      <c r="Z495" s="409" t="str">
        <f>OBRA!M495</f>
        <v>RAMO 33</v>
      </c>
      <c r="AA495" s="12"/>
      <c r="AB495" s="2" t="str">
        <f>OBRA!O495</f>
        <v>ADJUDICACIÓN DIRECTA</v>
      </c>
      <c r="AC495" s="3" t="str">
        <f>OBRA!P495</f>
        <v>"CONSTRUCCÓN DE EMPEDRADO AHOGADO EN CEMENTO EN CALLE HUASOYO ENTRE CALLE PROLONGACIÓN MORELOS Y CALLE RIVERA DEL LAGO" EN LA DELEGACIÓN DE CHANTEPEC, DEL MUNICIPIO DE JOCOTEPEC, JALISCO.</v>
      </c>
      <c r="AD495" s="4">
        <f>OBRA!R495</f>
        <v>755011.1</v>
      </c>
      <c r="AE495" s="6">
        <f>OBRA!S495</f>
        <v>43977</v>
      </c>
      <c r="AF495" s="5">
        <f>OBRA!T495</f>
        <v>43984</v>
      </c>
      <c r="AG495" s="390">
        <f>OBRA!U495</f>
        <v>44037</v>
      </c>
      <c r="AH495" s="52"/>
      <c r="AI495" s="211"/>
      <c r="AJ495" s="242"/>
      <c r="AK495" s="242"/>
      <c r="AL495" s="394"/>
      <c r="AM495" s="519" t="str">
        <f>GRAL!B498</f>
        <v>2018-2021</v>
      </c>
    </row>
    <row r="496" spans="1:39" ht="30" hidden="1" customHeight="1" thickTop="1">
      <c r="A496" s="158">
        <f>OBRA!J496</f>
        <v>2020</v>
      </c>
      <c r="B496" s="1683"/>
      <c r="C496" s="395"/>
      <c r="D496" s="146"/>
      <c r="E496" s="148"/>
      <c r="F496" s="148"/>
      <c r="G496" s="398"/>
      <c r="H496" s="404" t="str">
        <f>OBRA!AF496</f>
        <v>-</v>
      </c>
      <c r="I496" s="400"/>
      <c r="J496" s="406" t="str">
        <f>OBRA!AG496</f>
        <v>-</v>
      </c>
      <c r="K496" s="401"/>
      <c r="L496" s="404" t="str">
        <f>OBRA!AH496</f>
        <v>-</v>
      </c>
      <c r="M496" s="402"/>
      <c r="N496" s="404" t="str">
        <f>OBRA!AI496</f>
        <v>-</v>
      </c>
      <c r="O496" s="144"/>
      <c r="P496" s="144"/>
      <c r="Q496" s="403"/>
      <c r="R496" s="407" t="str">
        <f>OBRA!AJ496</f>
        <v>-</v>
      </c>
      <c r="S496" s="201"/>
      <c r="T496" s="399" t="str">
        <f>OBRA!W496</f>
        <v>GRUPO ARANGE, S.A. DE C.V.</v>
      </c>
      <c r="U496" s="408" t="str">
        <f>OBRA!X496</f>
        <v>ING. LUIS RIGOBERTO OLMEDO NAVARRO</v>
      </c>
      <c r="V496" s="1090"/>
      <c r="W496" s="19" t="str">
        <f>OBRA!N496</f>
        <v>GMJ 009C- OP/2020</v>
      </c>
      <c r="X496" s="12"/>
      <c r="Y496" s="12"/>
      <c r="Z496" s="409" t="str">
        <f>OBRA!M496</f>
        <v>RAMO 33</v>
      </c>
      <c r="AA496" s="12"/>
      <c r="AB496" s="2" t="str">
        <f>OBRA!O496</f>
        <v>ADJUDICACIÓN DIRECTA</v>
      </c>
      <c r="AC496" s="3" t="str">
        <f>OBRA!P496</f>
        <v>"CONSTRUCCIÓN DE EMPEDRADO NORMAL EN AVENIDA DE LOS MAESTROS DE CALLE ALLENDE A CALLE GUADALUPE VICTORIA" DE LA CABECERA MUNICIPAL, DE JOCOTEPEC, JALISCO</v>
      </c>
      <c r="AD496" s="4">
        <f>OBRA!R496</f>
        <v>317000</v>
      </c>
      <c r="AE496" s="6">
        <f>OBRA!S496</f>
        <v>44005</v>
      </c>
      <c r="AF496" s="5">
        <f>OBRA!T496</f>
        <v>44032</v>
      </c>
      <c r="AG496" s="390">
        <f>OBRA!U496</f>
        <v>44063</v>
      </c>
      <c r="AH496" s="52"/>
      <c r="AI496" s="211"/>
      <c r="AJ496" s="242"/>
      <c r="AK496" s="242"/>
      <c r="AL496" s="394"/>
      <c r="AM496" s="519" t="str">
        <f>GRAL!B499</f>
        <v>2018-2021</v>
      </c>
    </row>
    <row r="497" spans="1:39" ht="30" hidden="1" customHeight="1" thickTop="1">
      <c r="A497" s="158">
        <f>OBRA!J497</f>
        <v>2020</v>
      </c>
      <c r="B497" s="1683"/>
      <c r="C497" s="395"/>
      <c r="D497" s="146"/>
      <c r="E497" s="148"/>
      <c r="F497" s="148"/>
      <c r="G497" s="398"/>
      <c r="H497" s="404" t="str">
        <f>OBRA!AF497</f>
        <v>-</v>
      </c>
      <c r="I497" s="400"/>
      <c r="J497" s="406" t="str">
        <f>OBRA!AG497</f>
        <v>-</v>
      </c>
      <c r="K497" s="401"/>
      <c r="L497" s="404" t="str">
        <f>OBRA!AH497</f>
        <v>-</v>
      </c>
      <c r="M497" s="402"/>
      <c r="N497" s="404" t="str">
        <f>OBRA!AI497</f>
        <v>-</v>
      </c>
      <c r="O497" s="144"/>
      <c r="P497" s="144"/>
      <c r="Q497" s="403"/>
      <c r="R497" s="407" t="str">
        <f>OBRA!AJ497</f>
        <v>-</v>
      </c>
      <c r="S497" s="201"/>
      <c r="T497" s="399" t="str">
        <f>OBRA!W497</f>
        <v>ING. OCTAVIO AUGUSTO GONZALEZ TREJO</v>
      </c>
      <c r="U497" s="408" t="str">
        <f>OBRA!X497</f>
        <v>LIC. SALVADOR CONTRERAS OLGUÍN</v>
      </c>
      <c r="V497" s="1090"/>
      <c r="W497" s="19" t="str">
        <f>OBRA!N497</f>
        <v>GMJ 010C- OP/2020</v>
      </c>
      <c r="X497" s="12"/>
      <c r="Y497" s="12"/>
      <c r="Z497" s="409" t="str">
        <f>OBRA!M497</f>
        <v>RAMO 33</v>
      </c>
      <c r="AA497" s="12"/>
      <c r="AB497" s="2" t="str">
        <f>OBRA!O497</f>
        <v>ADJUDICACIÓN DIRECTA</v>
      </c>
      <c r="AC497" s="3" t="str">
        <f>OBRA!P497</f>
        <v>"CONSTRUCCIÓN DE EMPEDRADO NORMAL CON HUELLAS DE ADOQUÍN EN CALLE CUAUHTÉMOC 4TA. ETAPA" EN LA DELEGACIÓN DE CHANTEPEC, MUNICIPIO DE JOCOTEPEC, JALISCO.</v>
      </c>
      <c r="AD497" s="4">
        <f>OBRA!R497</f>
        <v>239360.13</v>
      </c>
      <c r="AE497" s="6">
        <f>OBRA!S497</f>
        <v>43974</v>
      </c>
      <c r="AF497" s="5">
        <f>OBRA!T497</f>
        <v>43976</v>
      </c>
      <c r="AG497" s="390">
        <f>OBRA!U497</f>
        <v>43983</v>
      </c>
      <c r="AH497" s="52"/>
      <c r="AI497" s="211"/>
      <c r="AJ497" s="242"/>
      <c r="AK497" s="242"/>
      <c r="AL497" s="394"/>
      <c r="AM497" s="519" t="str">
        <f>GRAL!B500</f>
        <v>2018-2021</v>
      </c>
    </row>
    <row r="498" spans="1:39" ht="30" hidden="1" customHeight="1" thickTop="1">
      <c r="A498" s="158">
        <f>OBRA!J498</f>
        <v>2020</v>
      </c>
      <c r="B498" s="1683"/>
      <c r="C498" s="395"/>
      <c r="D498" s="146"/>
      <c r="E498" s="148"/>
      <c r="F498" s="148"/>
      <c r="G498" s="398"/>
      <c r="H498" s="404" t="str">
        <f>OBRA!AF498</f>
        <v>-</v>
      </c>
      <c r="I498" s="400"/>
      <c r="J498" s="406" t="str">
        <f>OBRA!AG498</f>
        <v>-</v>
      </c>
      <c r="K498" s="401"/>
      <c r="L498" s="404" t="str">
        <f>OBRA!AH498</f>
        <v>-</v>
      </c>
      <c r="M498" s="402"/>
      <c r="N498" s="404" t="str">
        <f>OBRA!AI498</f>
        <v>-</v>
      </c>
      <c r="O498" s="144"/>
      <c r="P498" s="144"/>
      <c r="Q498" s="403"/>
      <c r="R498" s="407" t="str">
        <f>OBRA!AJ498</f>
        <v>-</v>
      </c>
      <c r="S498" s="201"/>
      <c r="T498" s="399" t="str">
        <f>OBRA!W498</f>
        <v>ING. OCTAVIO AUGUSTO GONZALEZ TREJO</v>
      </c>
      <c r="U498" s="408" t="str">
        <f>OBRA!X498</f>
        <v>LIC. SALVADOR CONTRERAS OLGUÍN</v>
      </c>
      <c r="V498" s="1090"/>
      <c r="W498" s="19" t="str">
        <f>OBRA!N498</f>
        <v>GMJ 011C- OP/2020</v>
      </c>
      <c r="X498" s="12"/>
      <c r="Y498" s="12"/>
      <c r="Z498" s="409" t="str">
        <f>OBRA!M498</f>
        <v>CUENTA CORRIENTE</v>
      </c>
      <c r="AA498" s="12"/>
      <c r="AB498" s="2" t="str">
        <f>OBRA!O498</f>
        <v>ADJUDICACIÓN DIRECTA</v>
      </c>
      <c r="AC498" s="3" t="str">
        <f>OBRA!P498</f>
        <v>"CONSTRUCCIÓN DE EMPEDRADO NORMAL CON HUELLAS DE ADOQUÍN EN CALLE CUAUHTÉMOC 5TA. ETAPA" EN LA DELEGACIÓN DE CHANTEPEC, MUNICIPIO DE JOCOTEPEC, JALISCO.</v>
      </c>
      <c r="AD498" s="4">
        <f>OBRA!R498</f>
        <v>410553.76</v>
      </c>
      <c r="AE498" s="6">
        <f>OBRA!S498</f>
        <v>43978</v>
      </c>
      <c r="AF498" s="5">
        <f>OBRA!T498</f>
        <v>43952</v>
      </c>
      <c r="AG498" s="390">
        <f>OBRA!U498</f>
        <v>43987</v>
      </c>
      <c r="AH498" s="52"/>
      <c r="AI498" s="211"/>
      <c r="AJ498" s="242"/>
      <c r="AK498" s="242"/>
      <c r="AL498" s="394"/>
      <c r="AM498" s="519" t="str">
        <f>GRAL!B501</f>
        <v>2018-2021</v>
      </c>
    </row>
    <row r="499" spans="1:39" ht="30" hidden="1" customHeight="1" thickTop="1">
      <c r="A499" s="158">
        <f>OBRA!J499</f>
        <v>2020</v>
      </c>
      <c r="B499" s="1683"/>
      <c r="C499" s="395"/>
      <c r="D499" s="146"/>
      <c r="E499" s="148"/>
      <c r="F499" s="148"/>
      <c r="G499" s="398"/>
      <c r="H499" s="404" t="str">
        <f>OBRA!AF499</f>
        <v>-</v>
      </c>
      <c r="I499" s="400"/>
      <c r="J499" s="406" t="str">
        <f>OBRA!AG499</f>
        <v>-</v>
      </c>
      <c r="K499" s="401"/>
      <c r="L499" s="404" t="str">
        <f>OBRA!AH499</f>
        <v>-</v>
      </c>
      <c r="M499" s="402"/>
      <c r="N499" s="404" t="str">
        <f>OBRA!AI499</f>
        <v>-</v>
      </c>
      <c r="O499" s="144"/>
      <c r="P499" s="144"/>
      <c r="Q499" s="403"/>
      <c r="R499" s="407" t="str">
        <f>OBRA!AJ499</f>
        <v>-</v>
      </c>
      <c r="S499" s="201"/>
      <c r="T499" s="399" t="str">
        <f>OBRA!W499</f>
        <v xml:space="preserve">INFRAESTRUCTURA Y EDIFICACIONES OROZCO S.A. DE C.V. </v>
      </c>
      <c r="U499" s="408" t="str">
        <f>OBRA!X499</f>
        <v>ING. J. GUADALUPE IBARRA RAMIREZ</v>
      </c>
      <c r="V499" s="1090"/>
      <c r="W499" s="19" t="str">
        <f>OBRA!N499</f>
        <v>GMJ 012C- OP/2020</v>
      </c>
      <c r="X499" s="12"/>
      <c r="Y499" s="12"/>
      <c r="Z499" s="409" t="str">
        <f>OBRA!M499</f>
        <v>RAMO 33</v>
      </c>
      <c r="AA499" s="12"/>
      <c r="AB499" s="2" t="str">
        <f>OBRA!O499</f>
        <v>ADJUDICACIÓN DIRECTA</v>
      </c>
      <c r="AC499" s="3" t="str">
        <f>OBRA!P499</f>
        <v>"CONSTRUCCIÓN DE REDES HIDROSANITARIAS Y SUPERFICIE DE RODAMIENTO EN LA CALLE LOS ANGELES ENTRE PRIVADA ALDAMA Y CERRADA" DE LA CABECERA MUNICIPAL, DE JOCOTEPEC, JALISCO.</v>
      </c>
      <c r="AD499" s="4">
        <f>OBRA!R499</f>
        <v>1306545.6299999999</v>
      </c>
      <c r="AE499" s="6">
        <f>OBRA!S499</f>
        <v>43987</v>
      </c>
      <c r="AF499" s="5">
        <f>OBRA!T499</f>
        <v>43990</v>
      </c>
      <c r="AG499" s="390">
        <f>OBRA!U499</f>
        <v>44057</v>
      </c>
      <c r="AH499" s="52"/>
      <c r="AI499" s="211"/>
      <c r="AJ499" s="242"/>
      <c r="AK499" s="242"/>
      <c r="AL499" s="394"/>
      <c r="AM499" s="519" t="str">
        <f>GRAL!B502</f>
        <v>2018-2021</v>
      </c>
    </row>
    <row r="500" spans="1:39" ht="30" hidden="1" customHeight="1" thickTop="1">
      <c r="A500" s="158">
        <f>OBRA!J500</f>
        <v>2020</v>
      </c>
      <c r="B500" s="1683"/>
      <c r="C500" s="395"/>
      <c r="D500" s="146"/>
      <c r="E500" s="148"/>
      <c r="F500" s="148"/>
      <c r="G500" s="398"/>
      <c r="H500" s="404" t="str">
        <f>OBRA!AF500</f>
        <v>-</v>
      </c>
      <c r="I500" s="400"/>
      <c r="J500" s="406" t="str">
        <f>OBRA!AG500</f>
        <v>-</v>
      </c>
      <c r="K500" s="401"/>
      <c r="L500" s="404" t="str">
        <f>OBRA!AH500</f>
        <v>-</v>
      </c>
      <c r="M500" s="402"/>
      <c r="N500" s="404" t="str">
        <f>OBRA!AI500</f>
        <v>-</v>
      </c>
      <c r="O500" s="144"/>
      <c r="P500" s="144"/>
      <c r="Q500" s="403"/>
      <c r="R500" s="407" t="str">
        <f>OBRA!AJ500</f>
        <v>-</v>
      </c>
      <c r="S500" s="201"/>
      <c r="T500" s="399" t="str">
        <f>OBRA!W500</f>
        <v>GRUPO CONSTRUCTOR EDVI SA DE CV</v>
      </c>
      <c r="U500" s="408" t="str">
        <f>OBRA!X500</f>
        <v>ING. LUIS RIGOBERTO OLMEDO NAVARRO</v>
      </c>
      <c r="V500" s="1090"/>
      <c r="W500" s="19" t="str">
        <f>OBRA!N500</f>
        <v>GMJ 013C- OP/2020</v>
      </c>
      <c r="X500" s="12"/>
      <c r="Y500" s="12"/>
      <c r="Z500" s="409" t="str">
        <f>OBRA!M500</f>
        <v>RAMO 33</v>
      </c>
      <c r="AA500" s="12"/>
      <c r="AB500" s="2" t="str">
        <f>OBRA!O500</f>
        <v>ADJUDICACIÓN DIRECTA</v>
      </c>
      <c r="AC500" s="3" t="str">
        <f>OBRA!P500</f>
        <v>"CONSTRUCCIÓN DE REDES HIDROSANITARIAS Y CONSTRUCCIÒN DE EMPEDRADO NORMAL CON HUELLAS DE CONCRETO EN CALLE PRIVADA VERANO DE CALLE VERANO A CERRADA" DE LA CABECERA MUNICIPAL, DE JOCOTEPEC, JALISCO.</v>
      </c>
      <c r="AD500" s="4">
        <f>OBRA!R500</f>
        <v>281826.5</v>
      </c>
      <c r="AE500" s="6">
        <f>OBRA!S500</f>
        <v>43994</v>
      </c>
      <c r="AF500" s="5">
        <f>OBRA!T500</f>
        <v>43997</v>
      </c>
      <c r="AG500" s="390">
        <f>OBRA!U500</f>
        <v>44011</v>
      </c>
      <c r="AH500" s="52"/>
      <c r="AI500" s="211"/>
      <c r="AJ500" s="242"/>
      <c r="AK500" s="242"/>
      <c r="AL500" s="394"/>
      <c r="AM500" s="519" t="str">
        <f>GRAL!B503</f>
        <v>2018-2021</v>
      </c>
    </row>
    <row r="501" spans="1:39" ht="30" hidden="1" customHeight="1" thickTop="1">
      <c r="A501" s="158">
        <f>OBRA!J501</f>
        <v>2020</v>
      </c>
      <c r="B501" s="1683"/>
      <c r="C501" s="395"/>
      <c r="D501" s="146"/>
      <c r="E501" s="148"/>
      <c r="F501" s="148"/>
      <c r="G501" s="398"/>
      <c r="H501" s="404" t="str">
        <f>OBRA!AF501</f>
        <v>-</v>
      </c>
      <c r="I501" s="400"/>
      <c r="J501" s="406" t="str">
        <f>OBRA!AG501</f>
        <v>-</v>
      </c>
      <c r="K501" s="401"/>
      <c r="L501" s="404" t="str">
        <f>OBRA!AH501</f>
        <v>-</v>
      </c>
      <c r="M501" s="402"/>
      <c r="N501" s="404" t="str">
        <f>OBRA!AI501</f>
        <v>-</v>
      </c>
      <c r="O501" s="144"/>
      <c r="P501" s="144"/>
      <c r="Q501" s="403"/>
      <c r="R501" s="407" t="str">
        <f>OBRA!AJ501</f>
        <v>-</v>
      </c>
      <c r="S501" s="201"/>
      <c r="T501" s="399" t="str">
        <f>OBRA!W501</f>
        <v>GRUPO ARANGE, S.A. DE C.V.</v>
      </c>
      <c r="U501" s="408" t="str">
        <f>OBRA!X501</f>
        <v>LIC. SALVADOR CONTRERAS OLGUÍN</v>
      </c>
      <c r="V501" s="1090"/>
      <c r="W501" s="19" t="str">
        <f>OBRA!N501</f>
        <v>GMJ 014C- OP/2020</v>
      </c>
      <c r="X501" s="12"/>
      <c r="Y501" s="12"/>
      <c r="Z501" s="409" t="str">
        <f>OBRA!M501</f>
        <v>RAMO 33</v>
      </c>
      <c r="AA501" s="12"/>
      <c r="AB501" s="2" t="str">
        <f>OBRA!O501</f>
        <v>ADJUDICACIÓN DIRECTA</v>
      </c>
      <c r="AC501" s="3" t="str">
        <f>OBRA!P501</f>
        <v>"CONSTRUCCIÓN DE RED DE DRENAJE Y CONSTRUCCIÓN DE RED DE AGUA POTABLE EN CALLE GUADALUPE VICTORIA ENTRE AVENIDA DE LOS MAESTROS Y FILOSOFOS" DE LA CABECERA MUNICIPAL, DE JOCOTEPEC, JALISCO.</v>
      </c>
      <c r="AD501" s="4">
        <f>OBRA!R501</f>
        <v>241381.67</v>
      </c>
      <c r="AE501" s="6">
        <f>OBRA!S501</f>
        <v>43994</v>
      </c>
      <c r="AF501" s="5">
        <f>OBRA!T501</f>
        <v>44000</v>
      </c>
      <c r="AG501" s="390">
        <f>OBRA!U501</f>
        <v>44030</v>
      </c>
      <c r="AH501" s="52"/>
      <c r="AI501" s="211"/>
      <c r="AJ501" s="242"/>
      <c r="AK501" s="242"/>
      <c r="AL501" s="394"/>
      <c r="AM501" s="519" t="str">
        <f>GRAL!B504</f>
        <v>2018-2021</v>
      </c>
    </row>
    <row r="502" spans="1:39" ht="30" hidden="1" customHeight="1" thickTop="1">
      <c r="A502" s="158">
        <f>OBRA!J502</f>
        <v>2020</v>
      </c>
      <c r="B502" s="1683"/>
      <c r="C502" s="395"/>
      <c r="D502" s="146"/>
      <c r="E502" s="148"/>
      <c r="F502" s="148"/>
      <c r="G502" s="398"/>
      <c r="H502" s="404" t="str">
        <f>OBRA!AF502</f>
        <v>-</v>
      </c>
      <c r="I502" s="400"/>
      <c r="J502" s="406" t="str">
        <f>OBRA!AG502</f>
        <v>-</v>
      </c>
      <c r="K502" s="401"/>
      <c r="L502" s="404" t="str">
        <f>OBRA!AH502</f>
        <v>-</v>
      </c>
      <c r="M502" s="402"/>
      <c r="N502" s="404" t="str">
        <f>OBRA!AI502</f>
        <v>-</v>
      </c>
      <c r="O502" s="144"/>
      <c r="P502" s="144"/>
      <c r="Q502" s="403"/>
      <c r="R502" s="407" t="str">
        <f>OBRA!AJ502</f>
        <v>-</v>
      </c>
      <c r="S502" s="201"/>
      <c r="T502" s="399" t="str">
        <f>OBRA!W502</f>
        <v>GRUPO CONSTRUCOR PAVIMAQ, S.A. DE C.V.</v>
      </c>
      <c r="U502" s="408" t="str">
        <f>OBRA!X502</f>
        <v>ARQ. CESAR ANTONIO ALONSO JIMENEZ</v>
      </c>
      <c r="V502" s="1090"/>
      <c r="W502" s="19" t="str">
        <f>OBRA!N502</f>
        <v>GMJ 015C- OP/2020</v>
      </c>
      <c r="X502" s="12"/>
      <c r="Y502" s="12"/>
      <c r="Z502" s="409" t="str">
        <f>OBRA!M502</f>
        <v>CUENTA CORRIENTE</v>
      </c>
      <c r="AA502" s="12"/>
      <c r="AB502" s="2" t="str">
        <f>OBRA!O502</f>
        <v>ADJUDICACIÓN DIRECTA</v>
      </c>
      <c r="AC502" s="3" t="str">
        <f>OBRA!P502</f>
        <v>"CONSTRUCCIÓN DE LÍNEA DE DRENAJE SANITARIO Y LINEA DE AGUA POTABLE EN CALLE GUADALUPE VICTORIA ENTRE FILOSOFOS Y CIENTIFICOS" DE LA CABECERA MUNICIPAL, DE JOCOTEPEC, JALISCO.</v>
      </c>
      <c r="AD502" s="4">
        <f>OBRA!R502</f>
        <v>232396.73</v>
      </c>
      <c r="AE502" s="6">
        <f>OBRA!S502</f>
        <v>44012</v>
      </c>
      <c r="AF502" s="5">
        <f>OBRA!T502</f>
        <v>44046</v>
      </c>
      <c r="AG502" s="390">
        <f>OBRA!U502</f>
        <v>44099</v>
      </c>
      <c r="AH502" s="52"/>
      <c r="AI502" s="211"/>
      <c r="AJ502" s="242"/>
      <c r="AK502" s="242"/>
      <c r="AL502" s="394"/>
      <c r="AM502" s="519" t="str">
        <f>GRAL!B505</f>
        <v>2018-2021</v>
      </c>
    </row>
    <row r="503" spans="1:39" ht="30" hidden="1" customHeight="1" thickTop="1">
      <c r="A503" s="158">
        <f>OBRA!J503</f>
        <v>2020</v>
      </c>
      <c r="B503" s="1683"/>
      <c r="C503" s="395"/>
      <c r="D503" s="146"/>
      <c r="E503" s="148"/>
      <c r="F503" s="148"/>
      <c r="G503" s="398"/>
      <c r="H503" s="404" t="str">
        <f>OBRA!AF503</f>
        <v>-</v>
      </c>
      <c r="I503" s="400"/>
      <c r="J503" s="406" t="str">
        <f>OBRA!AG503</f>
        <v>-</v>
      </c>
      <c r="K503" s="401"/>
      <c r="L503" s="404" t="str">
        <f>OBRA!AH503</f>
        <v>-</v>
      </c>
      <c r="M503" s="402"/>
      <c r="N503" s="404" t="str">
        <f>OBRA!AI503</f>
        <v>-</v>
      </c>
      <c r="O503" s="144"/>
      <c r="P503" s="144"/>
      <c r="Q503" s="403"/>
      <c r="R503" s="407" t="str">
        <f>OBRA!AJ503</f>
        <v>-</v>
      </c>
      <c r="S503" s="201"/>
      <c r="T503" s="399" t="str">
        <f>OBRA!W503</f>
        <v>SERVICIO Y CONSTRUCCIÓN NATENIO S.A. DE C.V.</v>
      </c>
      <c r="U503" s="408" t="str">
        <f>OBRA!X503</f>
        <v>ING. J. GUADALUPE IBARRA RAMIREZ</v>
      </c>
      <c r="V503" s="1090"/>
      <c r="W503" s="19" t="str">
        <f>OBRA!N503</f>
        <v>GMJ 016C- OP/2020</v>
      </c>
      <c r="X503" s="12"/>
      <c r="Y503" s="12"/>
      <c r="Z503" s="409" t="str">
        <f>OBRA!M503</f>
        <v>CUENTA CORRIENTE</v>
      </c>
      <c r="AA503" s="12"/>
      <c r="AB503" s="2" t="str">
        <f>OBRA!O503</f>
        <v>ADJUDICACIÓN DIRECTA</v>
      </c>
      <c r="AC503" s="3" t="str">
        <f>OBRA!P503</f>
        <v>"COLOCACIÓN DE EMPEDRADO AHOGADO EN CEMENTO CALLE JAVIER MINA ENTRE CALLE SIN NOMBRE Y ALLENDE" EN LA LOCALIDAD DE EL MOLINO DEL MUNICIPIO DE JOCOTEPEC, JALISCO.</v>
      </c>
      <c r="AD503" s="4">
        <f>OBRA!R503</f>
        <v>302749.5</v>
      </c>
      <c r="AE503" s="6">
        <f>OBRA!S503</f>
        <v>44007</v>
      </c>
      <c r="AF503" s="5">
        <f>OBRA!T503</f>
        <v>44008</v>
      </c>
      <c r="AG503" s="390">
        <f>OBRA!U503</f>
        <v>44074</v>
      </c>
      <c r="AH503" s="52"/>
      <c r="AI503" s="211"/>
      <c r="AJ503" s="242"/>
      <c r="AK503" s="242"/>
      <c r="AL503" s="394"/>
      <c r="AM503" s="519" t="str">
        <f>GRAL!B506</f>
        <v>2018-2021</v>
      </c>
    </row>
    <row r="504" spans="1:39" ht="30" hidden="1" customHeight="1" thickTop="1">
      <c r="A504" s="158">
        <f>OBRA!J504</f>
        <v>2020</v>
      </c>
      <c r="B504" s="1683"/>
      <c r="C504" s="395"/>
      <c r="D504" s="146"/>
      <c r="E504" s="148"/>
      <c r="F504" s="148"/>
      <c r="G504" s="398"/>
      <c r="H504" s="404" t="str">
        <f>OBRA!AF504</f>
        <v>-</v>
      </c>
      <c r="I504" s="400"/>
      <c r="J504" s="406" t="str">
        <f>OBRA!AG504</f>
        <v>-</v>
      </c>
      <c r="K504" s="401"/>
      <c r="L504" s="404" t="str">
        <f>OBRA!AH504</f>
        <v>-</v>
      </c>
      <c r="M504" s="402"/>
      <c r="N504" s="404" t="str">
        <f>OBRA!AI504</f>
        <v>-</v>
      </c>
      <c r="O504" s="144"/>
      <c r="P504" s="144"/>
      <c r="Q504" s="403"/>
      <c r="R504" s="407" t="str">
        <f>OBRA!AJ504</f>
        <v>-</v>
      </c>
      <c r="S504" s="201"/>
      <c r="T504" s="399" t="str">
        <f>OBRA!W504</f>
        <v>SERVICIO Y CONSTRUCCIÓN NATENIO S.A. DE C.V.</v>
      </c>
      <c r="U504" s="408" t="str">
        <f>OBRA!X504</f>
        <v>ING. J. GUADALUPE IBARRA RAMIREZ</v>
      </c>
      <c r="V504" s="1090"/>
      <c r="W504" s="19" t="str">
        <f>OBRA!N504</f>
        <v>GMJ 017C- OP/2020</v>
      </c>
      <c r="X504" s="12"/>
      <c r="Y504" s="12"/>
      <c r="Z504" s="409" t="str">
        <f>OBRA!M504</f>
        <v>CUENTA CORRIENTE</v>
      </c>
      <c r="AA504" s="12"/>
      <c r="AB504" s="2" t="str">
        <f>OBRA!O504</f>
        <v>ADJUDICACIÓN DIRECTA</v>
      </c>
      <c r="AC504" s="3" t="str">
        <f>OBRA!P504</f>
        <v>"CONSTRUCCION DE EMPEDRADO AHOGADO EN CEMENTO EN CALLE MATAMOROS DE JAVIER MINA Y CALLE SIN NOMBRE" DE LA LOCALIDAD DE EL MOLINO, DEL MUNICIPIO DE JOCOTEPEC, JALISCO.</v>
      </c>
      <c r="AD504" s="4">
        <f>OBRA!R504</f>
        <v>423536.77</v>
      </c>
      <c r="AE504" s="6">
        <f>OBRA!S504</f>
        <v>44012</v>
      </c>
      <c r="AF504" s="5">
        <f>OBRA!T504</f>
        <v>44018</v>
      </c>
      <c r="AG504" s="390">
        <f>OBRA!U504</f>
        <v>44104</v>
      </c>
      <c r="AH504" s="52"/>
      <c r="AI504" s="211"/>
      <c r="AJ504" s="242"/>
      <c r="AK504" s="242"/>
      <c r="AL504" s="394"/>
      <c r="AM504" s="519" t="str">
        <f>GRAL!B507</f>
        <v>2018-2021</v>
      </c>
    </row>
    <row r="505" spans="1:39" ht="30" hidden="1" customHeight="1" thickTop="1">
      <c r="A505" s="158">
        <f>OBRA!J505</f>
        <v>2020</v>
      </c>
      <c r="B505" s="1683"/>
      <c r="C505" s="395"/>
      <c r="D505" s="146"/>
      <c r="E505" s="148"/>
      <c r="F505" s="148"/>
      <c r="G505" s="398"/>
      <c r="H505" s="404" t="str">
        <f>OBRA!AF505</f>
        <v>-</v>
      </c>
      <c r="I505" s="400"/>
      <c r="J505" s="406" t="str">
        <f>OBRA!AG505</f>
        <v>-</v>
      </c>
      <c r="K505" s="401"/>
      <c r="L505" s="404" t="str">
        <f>OBRA!AH505</f>
        <v>-</v>
      </c>
      <c r="M505" s="402"/>
      <c r="N505" s="404" t="str">
        <f>OBRA!AI505</f>
        <v>-</v>
      </c>
      <c r="O505" s="144"/>
      <c r="P505" s="144"/>
      <c r="Q505" s="403"/>
      <c r="R505" s="407" t="str">
        <f>OBRA!AJ505</f>
        <v>-</v>
      </c>
      <c r="S505" s="201"/>
      <c r="T505" s="399" t="str">
        <f>OBRA!W505</f>
        <v>JESSICA MONSERRAT RIVERA TORRES</v>
      </c>
      <c r="U505" s="408" t="str">
        <f>OBRA!X505</f>
        <v>ING. RIGOBERTO OLMEDO RAMOS</v>
      </c>
      <c r="V505" s="1090"/>
      <c r="W505" s="19" t="str">
        <f>OBRA!N505</f>
        <v>GMJ 018C- OP/2020</v>
      </c>
      <c r="X505" s="12"/>
      <c r="Y505" s="12"/>
      <c r="Z505" s="409" t="str">
        <f>OBRA!M505</f>
        <v>RAMO 33</v>
      </c>
      <c r="AA505" s="12"/>
      <c r="AB505" s="2" t="str">
        <f>OBRA!O505</f>
        <v>ADJUDICACIÓN DIRECTA</v>
      </c>
      <c r="AC505" s="3" t="str">
        <f>OBRA!P505</f>
        <v>"EQUIPAMIENTO DE POZO PROFUNDO DE AGUA POTABLE" EN LA AGENCIA MINICIPAL DE CHANTEPEC, DEL MUNICIPIO DE JOCOTEPEC, JALISCO.</v>
      </c>
      <c r="AD505" s="4">
        <f>OBRA!R505</f>
        <v>174784.71</v>
      </c>
      <c r="AE505" s="6">
        <f>OBRA!S505</f>
        <v>44019</v>
      </c>
      <c r="AF505" s="5">
        <f>OBRA!T505</f>
        <v>44032</v>
      </c>
      <c r="AG505" s="390">
        <f>OBRA!U505</f>
        <v>44051</v>
      </c>
      <c r="AH505" s="52"/>
      <c r="AI505" s="211"/>
      <c r="AJ505" s="242"/>
      <c r="AK505" s="242"/>
      <c r="AL505" s="394"/>
      <c r="AM505" s="519" t="str">
        <f>GRAL!B508</f>
        <v>2018-2021</v>
      </c>
    </row>
    <row r="506" spans="1:39" ht="30" hidden="1" customHeight="1" thickTop="1">
      <c r="A506" s="158">
        <f>OBRA!J506</f>
        <v>2020</v>
      </c>
      <c r="B506" s="1683"/>
      <c r="C506" s="395"/>
      <c r="D506" s="146"/>
      <c r="E506" s="148"/>
      <c r="F506" s="148"/>
      <c r="G506" s="398"/>
      <c r="H506" s="404" t="str">
        <f>OBRA!AF506</f>
        <v>-</v>
      </c>
      <c r="I506" s="400"/>
      <c r="J506" s="406" t="str">
        <f>OBRA!AG506</f>
        <v>-</v>
      </c>
      <c r="K506" s="401"/>
      <c r="L506" s="404" t="str">
        <f>OBRA!AH506</f>
        <v>-</v>
      </c>
      <c r="M506" s="402"/>
      <c r="N506" s="404" t="str">
        <f>OBRA!AI506</f>
        <v>-</v>
      </c>
      <c r="O506" s="144"/>
      <c r="P506" s="144"/>
      <c r="Q506" s="403"/>
      <c r="R506" s="407" t="str">
        <f>OBRA!AJ506</f>
        <v>-</v>
      </c>
      <c r="S506" s="201"/>
      <c r="T506" s="399" t="str">
        <f>OBRA!W506</f>
        <v>JESSICA MONSERRAT RIVERA TORRES</v>
      </c>
      <c r="U506" s="408" t="str">
        <f>OBRA!X506</f>
        <v>ING. RIGOBERTO OLMEDO RAMOS</v>
      </c>
      <c r="V506" s="1090"/>
      <c r="W506" s="19" t="str">
        <f>OBRA!N506</f>
        <v>GMJ 019C- OP/2020</v>
      </c>
      <c r="X506" s="12"/>
      <c r="Y506" s="12"/>
      <c r="Z506" s="409" t="str">
        <f>OBRA!M506</f>
        <v>RAMO 33</v>
      </c>
      <c r="AA506" s="12"/>
      <c r="AB506" s="2" t="str">
        <f>OBRA!O506</f>
        <v>ADJUDICACIÓN DIRECTA</v>
      </c>
      <c r="AC506" s="3" t="str">
        <f>OBRA!P506</f>
        <v>"REHABILITACIÓN DE POZO PROFUNDO DE AGUA POTABLE EN LA AGENCIA DE NEXTIPAC", DEL MUNICIPIO DE JOCOTEPEC, JALISCO.</v>
      </c>
      <c r="AD506" s="4">
        <f>OBRA!R506</f>
        <v>165908.29999999999</v>
      </c>
      <c r="AE506" s="6">
        <f>OBRA!S506</f>
        <v>44019</v>
      </c>
      <c r="AF506" s="5">
        <f>OBRA!T506</f>
        <v>44032</v>
      </c>
      <c r="AG506" s="390">
        <f>OBRA!U506</f>
        <v>44051</v>
      </c>
      <c r="AH506" s="52"/>
      <c r="AI506" s="211"/>
      <c r="AJ506" s="242"/>
      <c r="AK506" s="242"/>
      <c r="AL506" s="394"/>
      <c r="AM506" s="519" t="str">
        <f>GRAL!B509</f>
        <v>2018-2021</v>
      </c>
    </row>
    <row r="507" spans="1:39" ht="30" hidden="1" customHeight="1" thickTop="1">
      <c r="A507" s="158">
        <f>OBRA!J507</f>
        <v>2020</v>
      </c>
      <c r="B507" s="1683"/>
      <c r="C507" s="395"/>
      <c r="D507" s="146"/>
      <c r="E507" s="148"/>
      <c r="F507" s="148"/>
      <c r="G507" s="398"/>
      <c r="H507" s="404" t="str">
        <f>OBRA!AF507</f>
        <v>-</v>
      </c>
      <c r="I507" s="400"/>
      <c r="J507" s="406" t="str">
        <f>OBRA!AG507</f>
        <v>-</v>
      </c>
      <c r="K507" s="401"/>
      <c r="L507" s="404" t="str">
        <f>OBRA!AH507</f>
        <v>-</v>
      </c>
      <c r="M507" s="402"/>
      <c r="N507" s="404" t="str">
        <f>OBRA!AI507</f>
        <v>-</v>
      </c>
      <c r="O507" s="144"/>
      <c r="P507" s="144"/>
      <c r="Q507" s="403"/>
      <c r="R507" s="407" t="str">
        <f>OBRA!AJ507</f>
        <v>-</v>
      </c>
      <c r="S507" s="201"/>
      <c r="T507" s="399">
        <f>OBRA!W507</f>
        <v>0</v>
      </c>
      <c r="U507" s="408">
        <f>OBRA!X507</f>
        <v>0</v>
      </c>
      <c r="V507" s="1090"/>
      <c r="W507" s="19" t="str">
        <f>OBRA!N507</f>
        <v>GMJ 020C- OP/2020</v>
      </c>
      <c r="X507" s="12"/>
      <c r="Y507" s="12"/>
      <c r="Z507" s="409">
        <f>OBRA!M507</f>
        <v>0</v>
      </c>
      <c r="AA507" s="12"/>
      <c r="AB507" s="2" t="str">
        <f>OBRA!O507</f>
        <v>CANCELADA</v>
      </c>
      <c r="AC507" s="3" t="str">
        <f>OBRA!P507</f>
        <v>CONTRATO CANCELADO</v>
      </c>
      <c r="AD507" s="4">
        <f>OBRA!R507</f>
        <v>0</v>
      </c>
      <c r="AE507" s="6">
        <f>OBRA!S507</f>
        <v>0</v>
      </c>
      <c r="AF507" s="5">
        <f>OBRA!T507</f>
        <v>0</v>
      </c>
      <c r="AG507" s="390">
        <f>OBRA!U507</f>
        <v>0</v>
      </c>
      <c r="AH507" s="52"/>
      <c r="AI507" s="211"/>
      <c r="AJ507" s="242"/>
      <c r="AK507" s="242"/>
      <c r="AL507" s="394"/>
      <c r="AM507" s="519" t="str">
        <f>GRAL!B510</f>
        <v>2018-2021</v>
      </c>
    </row>
    <row r="508" spans="1:39" ht="30" hidden="1" customHeight="1" thickTop="1">
      <c r="A508" s="158">
        <f>OBRA!J508</f>
        <v>2020</v>
      </c>
      <c r="B508" s="1683"/>
      <c r="C508" s="395"/>
      <c r="D508" s="146"/>
      <c r="E508" s="148"/>
      <c r="F508" s="148"/>
      <c r="G508" s="398"/>
      <c r="H508" s="404" t="str">
        <f>OBRA!AF508</f>
        <v>-</v>
      </c>
      <c r="I508" s="400"/>
      <c r="J508" s="406" t="str">
        <f>OBRA!AG508</f>
        <v>-</v>
      </c>
      <c r="K508" s="401"/>
      <c r="L508" s="404" t="str">
        <f>OBRA!AH508</f>
        <v>-</v>
      </c>
      <c r="M508" s="402"/>
      <c r="N508" s="404" t="str">
        <f>OBRA!AI508</f>
        <v>-</v>
      </c>
      <c r="O508" s="144"/>
      <c r="P508" s="144"/>
      <c r="Q508" s="403"/>
      <c r="R508" s="407" t="str">
        <f>OBRA!AJ508</f>
        <v>-</v>
      </c>
      <c r="S508" s="201"/>
      <c r="T508" s="399" t="str">
        <f>OBRA!W508</f>
        <v xml:space="preserve">DESARROLLO DAP S.A. DE C.V. </v>
      </c>
      <c r="U508" s="408" t="str">
        <f>OBRA!X508</f>
        <v>ARQ. JAIME CONDE GOMEZ</v>
      </c>
      <c r="V508" s="1090"/>
      <c r="W508" s="19" t="str">
        <f>OBRA!N508</f>
        <v>GMJ 021C- OP/2020</v>
      </c>
      <c r="X508" s="12"/>
      <c r="Y508" s="12"/>
      <c r="Z508" s="409" t="str">
        <f>OBRA!M508</f>
        <v>RAMO 33</v>
      </c>
      <c r="AA508" s="12"/>
      <c r="AB508" s="2" t="str">
        <f>OBRA!O508</f>
        <v>ADJUDICACIÓN DIRECTA</v>
      </c>
      <c r="AC508" s="3" t="str">
        <f>OBRA!P508</f>
        <v>"CONSTRUCCIÓN DE EMPEDRADO NORMAL CON HUELLAS DE CONCRETO EN CALLE EMILIANO ZAPATA ENTRE PIPILA Y CALLE CERRADA" DE LA LOCALIDAD DE ZAPOTITÁN DE HIDALGO, EL MUNICIPIO DE JOCOTEPEC, JALISCO.</v>
      </c>
      <c r="AD508" s="4">
        <f>OBRA!R508</f>
        <v>773550.52</v>
      </c>
      <c r="AE508" s="6">
        <f>OBRA!S508</f>
        <v>44021</v>
      </c>
      <c r="AF508" s="5">
        <f>OBRA!T508</f>
        <v>44032</v>
      </c>
      <c r="AG508" s="390">
        <f>OBRA!U508</f>
        <v>44077</v>
      </c>
      <c r="AH508" s="52"/>
      <c r="AI508" s="211"/>
      <c r="AJ508" s="242"/>
      <c r="AK508" s="242"/>
      <c r="AL508" s="394"/>
      <c r="AM508" s="519" t="str">
        <f>GRAL!B511</f>
        <v>2018-2021</v>
      </c>
    </row>
    <row r="509" spans="1:39" ht="30" hidden="1" customHeight="1" thickTop="1">
      <c r="A509" s="158">
        <f>OBRA!J509</f>
        <v>2020</v>
      </c>
      <c r="B509" s="1683"/>
      <c r="C509" s="395"/>
      <c r="D509" s="146"/>
      <c r="E509" s="148"/>
      <c r="F509" s="148"/>
      <c r="G509" s="398"/>
      <c r="H509" s="404" t="str">
        <f>OBRA!AF509</f>
        <v>-</v>
      </c>
      <c r="I509" s="400"/>
      <c r="J509" s="406" t="str">
        <f>OBRA!AG509</f>
        <v>-</v>
      </c>
      <c r="K509" s="401"/>
      <c r="L509" s="404" t="str">
        <f>OBRA!AH509</f>
        <v>-</v>
      </c>
      <c r="M509" s="402"/>
      <c r="N509" s="404" t="str">
        <f>OBRA!AI509</f>
        <v>-</v>
      </c>
      <c r="O509" s="144"/>
      <c r="P509" s="144"/>
      <c r="Q509" s="403"/>
      <c r="R509" s="407" t="str">
        <f>OBRA!AJ509</f>
        <v>-</v>
      </c>
      <c r="S509" s="201"/>
      <c r="T509" s="399" t="str">
        <f>OBRA!W509</f>
        <v xml:space="preserve">BAUEN INGENIERÍA Y MAQUINARIA S.A. DE C.V. </v>
      </c>
      <c r="U509" s="408" t="str">
        <f>OBRA!X509</f>
        <v>ARQ. JAIME CONDE GOMEZ</v>
      </c>
      <c r="V509" s="1090"/>
      <c r="W509" s="19" t="str">
        <f>OBRA!N509</f>
        <v>GMJ 022C- OP/2020</v>
      </c>
      <c r="X509" s="12"/>
      <c r="Y509" s="12"/>
      <c r="Z509" s="409" t="str">
        <f>OBRA!M509</f>
        <v>RAMO 33</v>
      </c>
      <c r="AA509" s="12"/>
      <c r="AB509" s="2" t="str">
        <f>OBRA!O509</f>
        <v>ADJUDICACIÓN DIRECTA</v>
      </c>
      <c r="AC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OBRA!R509</f>
        <v>844236.05</v>
      </c>
      <c r="AE509" s="6">
        <f>OBRA!S509</f>
        <v>44021</v>
      </c>
      <c r="AF509" s="5">
        <f>OBRA!T509</f>
        <v>44027</v>
      </c>
      <c r="AG509" s="390">
        <f>OBRA!U509</f>
        <v>44088</v>
      </c>
      <c r="AH509" s="52"/>
      <c r="AI509" s="211"/>
      <c r="AJ509" s="242"/>
      <c r="AK509" s="242"/>
      <c r="AL509" s="394"/>
      <c r="AM509" s="519" t="str">
        <f>GRAL!B512</f>
        <v>2018-2021</v>
      </c>
    </row>
    <row r="510" spans="1:39" ht="30" hidden="1" customHeight="1" thickTop="1">
      <c r="A510" s="158">
        <f>OBRA!J510</f>
        <v>2020</v>
      </c>
      <c r="B510" s="1683"/>
      <c r="C510" s="395"/>
      <c r="D510" s="146"/>
      <c r="E510" s="148"/>
      <c r="F510" s="148"/>
      <c r="G510" s="398"/>
      <c r="H510" s="404" t="str">
        <f>OBRA!AF510</f>
        <v>-</v>
      </c>
      <c r="I510" s="400"/>
      <c r="J510" s="406" t="str">
        <f>OBRA!AG510</f>
        <v>-</v>
      </c>
      <c r="K510" s="401"/>
      <c r="L510" s="404" t="str">
        <f>OBRA!AH510</f>
        <v>-</v>
      </c>
      <c r="M510" s="402"/>
      <c r="N510" s="404" t="str">
        <f>OBRA!AI510</f>
        <v>-</v>
      </c>
      <c r="O510" s="144"/>
      <c r="P510" s="144"/>
      <c r="Q510" s="403"/>
      <c r="R510" s="407" t="str">
        <f>OBRA!AJ510</f>
        <v>-</v>
      </c>
      <c r="S510" s="201"/>
      <c r="T510" s="399" t="str">
        <f>OBRA!W510</f>
        <v>JESSICA MONSERRAT RIVERA TORRES</v>
      </c>
      <c r="U510" s="408" t="str">
        <f>OBRA!X510</f>
        <v>ING. RIGOBERTO OLMEDO RAMOS</v>
      </c>
      <c r="V510" s="1090"/>
      <c r="W510" s="19" t="str">
        <f>OBRA!N510</f>
        <v>GMJ 023C- OP/2020</v>
      </c>
      <c r="X510" s="12"/>
      <c r="Y510" s="12"/>
      <c r="Z510" s="409" t="str">
        <f>OBRA!M510</f>
        <v>RAMO 33</v>
      </c>
      <c r="AA510" s="12"/>
      <c r="AB510" s="2" t="str">
        <f>OBRA!O510</f>
        <v>ADJUDICACIÓN DIRECTA</v>
      </c>
      <c r="AC510" s="3" t="str">
        <f>OBRA!P510</f>
        <v xml:space="preserve">"REHABILITACIÓN DE POZO PROFUNDO DE AGUA POTABLE EN CALLE JOSE SANTANA", EN LA CABECERA MUNICIPAL DE JOCOTEPEC, JALISCO </v>
      </c>
      <c r="AD510" s="4">
        <f>OBRA!R510</f>
        <v>189588.54</v>
      </c>
      <c r="AE510" s="6">
        <f>OBRA!S510</f>
        <v>44019</v>
      </c>
      <c r="AF510" s="5">
        <f>OBRA!T510</f>
        <v>44032</v>
      </c>
      <c r="AG510" s="390">
        <f>OBRA!U510</f>
        <v>44051</v>
      </c>
      <c r="AH510" s="52"/>
      <c r="AI510" s="211"/>
      <c r="AJ510" s="242"/>
      <c r="AK510" s="242"/>
      <c r="AL510" s="394"/>
      <c r="AM510" s="519" t="str">
        <f>GRAL!B513</f>
        <v>2018-2021</v>
      </c>
    </row>
    <row r="511" spans="1:39" ht="30" hidden="1" customHeight="1" thickTop="1">
      <c r="A511" s="158">
        <f>OBRA!J511</f>
        <v>2020</v>
      </c>
      <c r="B511" s="1683"/>
      <c r="C511" s="395"/>
      <c r="D511" s="146"/>
      <c r="E511" s="148"/>
      <c r="F511" s="148"/>
      <c r="G511" s="398"/>
      <c r="H511" s="404" t="str">
        <f>OBRA!AF511</f>
        <v>-</v>
      </c>
      <c r="I511" s="400"/>
      <c r="J511" s="406" t="str">
        <f>OBRA!AG511</f>
        <v>-</v>
      </c>
      <c r="K511" s="401"/>
      <c r="L511" s="404" t="str">
        <f>OBRA!AH511</f>
        <v>-</v>
      </c>
      <c r="M511" s="402"/>
      <c r="N511" s="404" t="str">
        <f>OBRA!AI511</f>
        <v>-</v>
      </c>
      <c r="O511" s="144"/>
      <c r="P511" s="144"/>
      <c r="Q511" s="403"/>
      <c r="R511" s="407" t="str">
        <f>OBRA!AJ511</f>
        <v>-</v>
      </c>
      <c r="S511" s="201"/>
      <c r="T511" s="399" t="str">
        <f>OBRA!W511</f>
        <v>ING. SERGIO CABRERA</v>
      </c>
      <c r="U511" s="408" t="str">
        <f>OBRA!X511</f>
        <v>ING. LUIS RIGOBERTO OLMEDO NAVARRO</v>
      </c>
      <c r="V511" s="1090"/>
      <c r="W511" s="19" t="str">
        <f>OBRA!N511</f>
        <v>GMJ 024C- OP/2020</v>
      </c>
      <c r="X511" s="12"/>
      <c r="Y511" s="12"/>
      <c r="Z511" s="409" t="str">
        <f>OBRA!M511</f>
        <v>RAMO 33</v>
      </c>
      <c r="AA511" s="12"/>
      <c r="AB511" s="2" t="str">
        <f>OBRA!O511</f>
        <v>ADJUDICACIÓN DIRECTA</v>
      </c>
      <c r="AC511" s="3" t="str">
        <f>OBRA!P511</f>
        <v>"REHABILITACIÓN DE RED DE DRENAJE SANITARIO CON REPOSICIÓN DE SUPERFICIE DE RODAMIENTO EN CALLE XÓCHITL 2DA ETAPA DEL CADENAMIENTO 00+200 A LA CALLE CUAUHTÉMOC EN LA DELEGACIÓN DE CHANTEPEC, MUNICIPIO DE JOCOTEPEC, JALISCO.</v>
      </c>
      <c r="AD511" s="4">
        <f>OBRA!R511</f>
        <v>1003699.45</v>
      </c>
      <c r="AE511" s="6">
        <f>OBRA!S511</f>
        <v>44028</v>
      </c>
      <c r="AF511" s="5">
        <f>OBRA!T511</f>
        <v>44032</v>
      </c>
      <c r="AG511" s="390">
        <f>OBRA!U511</f>
        <v>44089</v>
      </c>
      <c r="AH511" s="52"/>
      <c r="AI511" s="211"/>
      <c r="AJ511" s="242"/>
      <c r="AK511" s="242"/>
      <c r="AL511" s="394"/>
      <c r="AM511" s="519" t="str">
        <f>GRAL!B514</f>
        <v>2018-2021</v>
      </c>
    </row>
    <row r="512" spans="1:39" ht="30" hidden="1" customHeight="1" thickTop="1">
      <c r="A512" s="158">
        <f>OBRA!J512</f>
        <v>2020</v>
      </c>
      <c r="B512" s="1683"/>
      <c r="C512" s="395"/>
      <c r="D512" s="146"/>
      <c r="E512" s="148"/>
      <c r="F512" s="148"/>
      <c r="G512" s="398"/>
      <c r="H512" s="404" t="str">
        <f>OBRA!AF512</f>
        <v>-</v>
      </c>
      <c r="I512" s="400"/>
      <c r="J512" s="406" t="str">
        <f>OBRA!AG512</f>
        <v>-</v>
      </c>
      <c r="K512" s="401"/>
      <c r="L512" s="404" t="str">
        <f>OBRA!AH512</f>
        <v>-</v>
      </c>
      <c r="M512" s="402"/>
      <c r="N512" s="404" t="str">
        <f>OBRA!AI512</f>
        <v>-</v>
      </c>
      <c r="O512" s="144"/>
      <c r="P512" s="144"/>
      <c r="Q512" s="403"/>
      <c r="R512" s="407" t="str">
        <f>OBRA!AJ512</f>
        <v>-</v>
      </c>
      <c r="S512" s="201"/>
      <c r="T512" s="399" t="str">
        <f>OBRA!W512</f>
        <v>ING. SERGIO CABRERA</v>
      </c>
      <c r="U512" s="408" t="str">
        <f>OBRA!X512</f>
        <v>ING. LUIS RIGOBERTO OLMEDO NAVARRO</v>
      </c>
      <c r="V512" s="1090"/>
      <c r="W512" s="19" t="str">
        <f>OBRA!N512</f>
        <v>GMJ 025C- OP/2020</v>
      </c>
      <c r="X512" s="12"/>
      <c r="Y512" s="12"/>
      <c r="Z512" s="409" t="str">
        <f>OBRA!M512</f>
        <v>RAMO 33</v>
      </c>
      <c r="AA512" s="12"/>
      <c r="AB512" s="2" t="str">
        <f>OBRA!O512</f>
        <v>ADJUDICACIÓN DIRECTA</v>
      </c>
      <c r="AC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OBRA!R512</f>
        <v>961974.96</v>
      </c>
      <c r="AE512" s="6">
        <f>OBRA!S512</f>
        <v>44028</v>
      </c>
      <c r="AF512" s="5">
        <f>OBRA!T512</f>
        <v>44032</v>
      </c>
      <c r="AG512" s="390">
        <f>OBRA!U512</f>
        <v>44089</v>
      </c>
      <c r="AH512" s="52"/>
      <c r="AI512" s="211"/>
      <c r="AJ512" s="242"/>
      <c r="AK512" s="242"/>
      <c r="AL512" s="394"/>
      <c r="AM512" s="519" t="str">
        <f>GRAL!B515</f>
        <v>2018-2021</v>
      </c>
    </row>
    <row r="513" spans="1:39" ht="30" hidden="1" customHeight="1" thickTop="1">
      <c r="A513" s="158">
        <f>OBRA!J513</f>
        <v>2020</v>
      </c>
      <c r="B513" s="1683"/>
      <c r="C513" s="395"/>
      <c r="D513" s="146"/>
      <c r="E513" s="148"/>
      <c r="F513" s="148"/>
      <c r="G513" s="398"/>
      <c r="H513" s="404" t="str">
        <f>OBRA!AF513</f>
        <v>-</v>
      </c>
      <c r="I513" s="400"/>
      <c r="J513" s="406" t="str">
        <f>OBRA!AG513</f>
        <v>-</v>
      </c>
      <c r="K513" s="401"/>
      <c r="L513" s="404" t="str">
        <f>OBRA!AH513</f>
        <v>-</v>
      </c>
      <c r="M513" s="402"/>
      <c r="N513" s="404" t="str">
        <f>OBRA!AI513</f>
        <v>-</v>
      </c>
      <c r="O513" s="144"/>
      <c r="P513" s="144"/>
      <c r="Q513" s="403"/>
      <c r="R513" s="407" t="str">
        <f>OBRA!AJ513</f>
        <v>-</v>
      </c>
      <c r="S513" s="201"/>
      <c r="T513" s="399" t="str">
        <f>OBRA!W513</f>
        <v>ALSERCON SA DE CV</v>
      </c>
      <c r="U513" s="408" t="str">
        <f>OBRA!X513</f>
        <v>ARQ. CESAR ANTONIO ALONSO JIMENEZ</v>
      </c>
      <c r="V513" s="1090"/>
      <c r="W513" s="19" t="str">
        <f>OBRA!N513</f>
        <v>GMJ 026C- OP/2020</v>
      </c>
      <c r="X513" s="12"/>
      <c r="Y513" s="12"/>
      <c r="Z513" s="409" t="str">
        <f>OBRA!M513</f>
        <v>RAMO 33</v>
      </c>
      <c r="AA513" s="12"/>
      <c r="AB513" s="2" t="str">
        <f>OBRA!O513</f>
        <v>ADJUDICACIÓN DIRECTA</v>
      </c>
      <c r="AC513" s="3" t="str">
        <f>OBRA!P513</f>
        <v>"REHABILITACIÓN DE BANQUETAS Y SUPERFICIE DE RODAMIENTO EN INGRESO PRINCIPAL EN CALLE XÓCHITL DE CARRETERA JOCOTEPEC-CHAPALA A LA CALLE CUAUHTÉMOC" EN LA DELEGACIÓN DE CHANTEPEC, MUNICIPIO DE JOCOTEPEC, JALISCO.</v>
      </c>
      <c r="AD513" s="4">
        <f>OBRA!R513</f>
        <v>720809.67</v>
      </c>
      <c r="AE513" s="6">
        <f>OBRA!S513</f>
        <v>44076</v>
      </c>
      <c r="AF513" s="5">
        <f>OBRA!T513</f>
        <v>44069</v>
      </c>
      <c r="AG513" s="390">
        <f>OBRA!U513</f>
        <v>44142</v>
      </c>
      <c r="AH513" s="52"/>
      <c r="AI513" s="211"/>
      <c r="AJ513" s="242"/>
      <c r="AK513" s="242"/>
      <c r="AL513" s="394"/>
      <c r="AM513" s="519" t="str">
        <f>GRAL!B516</f>
        <v>2018-2021</v>
      </c>
    </row>
    <row r="514" spans="1:39" ht="181.5" hidden="1" customHeight="1" thickTop="1">
      <c r="A514" s="158">
        <f>OBRA!J514</f>
        <v>2020</v>
      </c>
      <c r="B514" s="1685" t="str">
        <f>W514</f>
        <v>GMJ 027C- OP/2020</v>
      </c>
      <c r="C514" s="1271" t="s">
        <v>4618</v>
      </c>
      <c r="D514" s="1593" t="s">
        <v>4621</v>
      </c>
      <c r="E514" s="148" t="s">
        <v>4620</v>
      </c>
      <c r="F514" s="1337" t="s">
        <v>3809</v>
      </c>
      <c r="G514" s="503" t="s">
        <v>4618</v>
      </c>
      <c r="H514" s="166">
        <f>OBRA!AF514</f>
        <v>43983</v>
      </c>
      <c r="I514" s="502" t="s">
        <v>4618</v>
      </c>
      <c r="J514" s="1591">
        <f>OBRA!AG514</f>
        <v>43990</v>
      </c>
      <c r="K514" s="1592" t="s">
        <v>4618</v>
      </c>
      <c r="L514" s="166">
        <f>OBRA!AH514</f>
        <v>43990</v>
      </c>
      <c r="M514" s="546" t="s">
        <v>4618</v>
      </c>
      <c r="N514" s="166">
        <f>OBRA!AI514</f>
        <v>44000</v>
      </c>
      <c r="O514" s="1583" t="s">
        <v>4590</v>
      </c>
      <c r="P514" s="547">
        <v>0.5</v>
      </c>
      <c r="Q514" s="524" t="s">
        <v>4618</v>
      </c>
      <c r="R514" s="205">
        <f>OBRA!AJ514</f>
        <v>44007</v>
      </c>
      <c r="S514" s="1333" t="s">
        <v>4619</v>
      </c>
      <c r="T514" s="399" t="str">
        <f>OBRA!W514</f>
        <v>CONVADI, S.A. DE C.V.</v>
      </c>
      <c r="U514" s="408" t="str">
        <f>OBRA!X514</f>
        <v>ING. J. GUADALUPE IBARRA RAMIREZ</v>
      </c>
      <c r="V514" s="1455"/>
      <c r="W514" s="33" t="str">
        <f>OBRA!N514</f>
        <v>GMJ 027C- OP/2020</v>
      </c>
      <c r="X514" s="1324" t="s">
        <v>4022</v>
      </c>
      <c r="Y514" s="12" t="s">
        <v>3335</v>
      </c>
      <c r="Z514" s="409" t="str">
        <f>OBRA!M514</f>
        <v>RAMO 33</v>
      </c>
      <c r="AA514" s="12" t="s">
        <v>2360</v>
      </c>
      <c r="AB514" s="2" t="str">
        <f>OBRA!O514</f>
        <v>CONCURSO SIMPLIFICADO SUMARIO</v>
      </c>
      <c r="AC514" s="3" t="str">
        <f>OBRA!P514</f>
        <v>"CONSTRUCCIÓN DE POZO PROFUNDO EN CALLE ALLENDE NORTE" EN LA CABECERA MUNICIPAL DE JOCOTEPEC, JALISCO</v>
      </c>
      <c r="AD514" s="4">
        <f>OBRA!R514</f>
        <v>2630623.62</v>
      </c>
      <c r="AE514" s="6">
        <f>OBRA!S514</f>
        <v>44007</v>
      </c>
      <c r="AF514" s="5">
        <f>OBRA!T514</f>
        <v>44008</v>
      </c>
      <c r="AG514" s="1351">
        <f>OBRA!U514</f>
        <v>44099</v>
      </c>
      <c r="AH514" s="1353" t="s">
        <v>3816</v>
      </c>
      <c r="AI514" s="211" t="s">
        <v>2310</v>
      </c>
      <c r="AJ514" s="495" t="s">
        <v>4618</v>
      </c>
      <c r="AK514" s="495" t="s">
        <v>4618</v>
      </c>
      <c r="AL514" s="704" t="s">
        <v>4618</v>
      </c>
      <c r="AM514" s="1243" t="str">
        <f>GRAL!B517</f>
        <v>2018-2021</v>
      </c>
    </row>
    <row r="515" spans="1:39" ht="207.75" hidden="1" customHeight="1" thickTop="1">
      <c r="A515" s="158">
        <f>OBRA!J515</f>
        <v>2020</v>
      </c>
      <c r="B515" s="1685" t="str">
        <f>W515</f>
        <v>FOCOCI-OP-CSS-028/2020</v>
      </c>
      <c r="C515" s="1271" t="s">
        <v>3794</v>
      </c>
      <c r="D515" s="1593" t="s">
        <v>5803</v>
      </c>
      <c r="E515" s="1336" t="s">
        <v>3811</v>
      </c>
      <c r="F515" s="1335" t="s">
        <v>3810</v>
      </c>
      <c r="G515" s="503" t="s">
        <v>3794</v>
      </c>
      <c r="H515" s="580">
        <f>OBRA!AF515</f>
        <v>44099</v>
      </c>
      <c r="I515" s="1241" t="s">
        <v>3539</v>
      </c>
      <c r="J515" s="581">
        <f>OBRA!AG515</f>
        <v>44102</v>
      </c>
      <c r="K515" s="524" t="s">
        <v>3539</v>
      </c>
      <c r="L515" s="1316">
        <f>OBRA!AH515</f>
        <v>44103</v>
      </c>
      <c r="M515" s="502" t="s">
        <v>3539</v>
      </c>
      <c r="N515" s="580">
        <f>OBRA!AI515</f>
        <v>44109</v>
      </c>
      <c r="O515" s="1583" t="s">
        <v>4590</v>
      </c>
      <c r="P515" s="547">
        <v>0.5</v>
      </c>
      <c r="Q515" s="1241" t="s">
        <v>3539</v>
      </c>
      <c r="R515" s="205">
        <f>OBRA!AJ515</f>
        <v>44113</v>
      </c>
      <c r="S515" s="1273" t="s">
        <v>3634</v>
      </c>
      <c r="T515" s="399" t="str">
        <f>OBRA!W515</f>
        <v>ING. SERGIO CABRERA</v>
      </c>
      <c r="U515" s="408" t="str">
        <f>OBRA!X515</f>
        <v>ARQ. EDUARDO ROMERO CARRILLO</v>
      </c>
      <c r="V515" s="1455" t="s">
        <v>4021</v>
      </c>
      <c r="W515" s="33" t="str">
        <f>OBRA!N515</f>
        <v>FOCOCI-OP-CSS-028/2020</v>
      </c>
      <c r="X515" s="414" t="s">
        <v>3504</v>
      </c>
      <c r="Y515" s="1202" t="s">
        <v>3626</v>
      </c>
      <c r="Z515" s="409" t="str">
        <f>OBRA!M515</f>
        <v>FOCOCI</v>
      </c>
      <c r="AA515" s="409" t="s">
        <v>2439</v>
      </c>
      <c r="AB515" s="2" t="str">
        <f>OBRA!O515</f>
        <v>CONCURSO SIMPLIFICADO SUMARIO</v>
      </c>
      <c r="AC515" s="3" t="str">
        <f>OBRA!P515</f>
        <v>CONSTRUCCIÓN Y EQUIPAMIENTO DE PLAZA PRINCIPAL EN CHANTEPEC, MUNICIPIO DE JOCOTEPEC, JALISCO.</v>
      </c>
      <c r="AD515" s="4">
        <f>OBRA!R515</f>
        <v>8270578.4299999997</v>
      </c>
      <c r="AE515" s="6">
        <f>OBRA!S515</f>
        <v>44120</v>
      </c>
      <c r="AF515" s="5">
        <f>OBRA!T515</f>
        <v>44123</v>
      </c>
      <c r="AG515" s="1351">
        <f>OBRA!U515</f>
        <v>44176</v>
      </c>
      <c r="AH515" s="1353" t="s">
        <v>3816</v>
      </c>
      <c r="AI515" s="211" t="s">
        <v>2310</v>
      </c>
      <c r="AJ515" s="524" t="s">
        <v>3806</v>
      </c>
      <c r="AK515" s="524" t="s">
        <v>3794</v>
      </c>
      <c r="AL515" s="613" t="s">
        <v>3539</v>
      </c>
      <c r="AM515" s="1242" t="str">
        <f>GRAL!B520</f>
        <v>2018-2021</v>
      </c>
    </row>
    <row r="516" spans="1:39" ht="204.75" hidden="1" customHeight="1" thickTop="1">
      <c r="A516" s="158">
        <f>OBRA!J516</f>
        <v>2020</v>
      </c>
      <c r="B516" s="1685" t="str">
        <f>W516</f>
        <v>FOCOCI-OP-CSS-029/2020</v>
      </c>
      <c r="C516" s="1271" t="s">
        <v>3793</v>
      </c>
      <c r="D516" s="1593" t="s">
        <v>5803</v>
      </c>
      <c r="E516" s="1336" t="s">
        <v>3811</v>
      </c>
      <c r="F516" s="1335" t="s">
        <v>3810</v>
      </c>
      <c r="G516" s="503" t="s">
        <v>3793</v>
      </c>
      <c r="H516" s="580">
        <f>OBRA!AF516</f>
        <v>44099</v>
      </c>
      <c r="I516" s="1241" t="s">
        <v>3540</v>
      </c>
      <c r="J516" s="581">
        <f>OBRA!AG516</f>
        <v>44102</v>
      </c>
      <c r="K516" s="524" t="s">
        <v>3540</v>
      </c>
      <c r="L516" s="1316">
        <f>OBRA!AH516</f>
        <v>44103</v>
      </c>
      <c r="M516" s="502" t="s">
        <v>3540</v>
      </c>
      <c r="N516" s="580">
        <f>OBRA!AI516</f>
        <v>44109</v>
      </c>
      <c r="O516" s="1583" t="s">
        <v>4590</v>
      </c>
      <c r="P516" s="547">
        <v>0.54166666666666663</v>
      </c>
      <c r="Q516" s="1241" t="s">
        <v>3540</v>
      </c>
      <c r="R516" s="205">
        <f>OBRA!AJ516</f>
        <v>44113</v>
      </c>
      <c r="S516" s="1274" t="s">
        <v>3635</v>
      </c>
      <c r="T516" s="399" t="str">
        <f>OBRA!W516</f>
        <v xml:space="preserve">SOJO SERVICIOS DE INGENIERIA Y OBRAS, S.A. DE C.V. </v>
      </c>
      <c r="U516" s="55" t="str">
        <f>OBRA!X516</f>
        <v>ARQ. EDUARDO ROMERO CARRILLO</v>
      </c>
      <c r="V516" s="1455" t="s">
        <v>4021</v>
      </c>
      <c r="W516" s="33" t="str">
        <f>OBRA!N516</f>
        <v>FOCOCI-OP-CSS-029/2020</v>
      </c>
      <c r="X516" s="414" t="s">
        <v>3504</v>
      </c>
      <c r="Y516" s="1202" t="s">
        <v>3366</v>
      </c>
      <c r="Z516" s="409" t="str">
        <f>OBRA!M516</f>
        <v>FOCOCI</v>
      </c>
      <c r="AA516" s="409" t="s">
        <v>2439</v>
      </c>
      <c r="AB516" s="2" t="str">
        <f>OBRA!O516</f>
        <v>CONCURSO SIMPLIFICADO SUMARIO</v>
      </c>
      <c r="AC516" s="3" t="str">
        <f>OBRA!P516</f>
        <v>CONSTRUCCIÓN Y EQUIPAMIENTO DE PLAZA PRINCIPAL EN CHANTEPEC MUNICIPIO DE JOCOTEPEC, JALISCO". (CONSTRUCCIÓN DE EDIFICIO ADMINISTRATIVO)</v>
      </c>
      <c r="AD516" s="4">
        <f>OBRA!R516</f>
        <v>1729413</v>
      </c>
      <c r="AE516" s="6">
        <f>OBRA!S516</f>
        <v>44485</v>
      </c>
      <c r="AF516" s="5">
        <f>OBRA!T516</f>
        <v>44123</v>
      </c>
      <c r="AG516" s="1351">
        <f>OBRA!U516</f>
        <v>44196</v>
      </c>
      <c r="AH516" s="1353" t="s">
        <v>3816</v>
      </c>
      <c r="AI516" s="211" t="s">
        <v>2310</v>
      </c>
      <c r="AJ516" s="524" t="s">
        <v>3792</v>
      </c>
      <c r="AK516" s="524" t="s">
        <v>3793</v>
      </c>
      <c r="AL516" s="613" t="s">
        <v>3540</v>
      </c>
      <c r="AM516" s="1243" t="str">
        <f>GRAL!B521</f>
        <v>2018-2021</v>
      </c>
    </row>
    <row r="517" spans="1:39" ht="207" hidden="1" customHeight="1" thickTop="1">
      <c r="A517" s="158">
        <f>OBRA!J517</f>
        <v>2020</v>
      </c>
      <c r="B517" s="1685" t="str">
        <f>W517</f>
        <v>FOCOCI-OP-CSS-030/2020</v>
      </c>
      <c r="C517" s="1271" t="s">
        <v>3624</v>
      </c>
      <c r="D517" s="1593" t="s">
        <v>5803</v>
      </c>
      <c r="E517" s="148" t="s">
        <v>3811</v>
      </c>
      <c r="F517" s="1337" t="s">
        <v>3809</v>
      </c>
      <c r="G517" s="503" t="s">
        <v>3624</v>
      </c>
      <c r="H517" s="580">
        <f>OBRA!AF517</f>
        <v>44099</v>
      </c>
      <c r="I517" s="502" t="s">
        <v>3624</v>
      </c>
      <c r="J517" s="581">
        <f>OBRA!AG517</f>
        <v>44102</v>
      </c>
      <c r="K517" s="524" t="s">
        <v>3624</v>
      </c>
      <c r="L517" s="1316">
        <f>OBRA!AH517</f>
        <v>44103</v>
      </c>
      <c r="M517" s="502" t="s">
        <v>3624</v>
      </c>
      <c r="N517" s="580">
        <f>OBRA!AI517</f>
        <v>44109</v>
      </c>
      <c r="O517" s="1583" t="s">
        <v>4590</v>
      </c>
      <c r="P517" s="547">
        <v>0.70833333333333337</v>
      </c>
      <c r="Q517" s="502" t="s">
        <v>3624</v>
      </c>
      <c r="R517" s="205">
        <f>OBRA!AJ517</f>
        <v>44109</v>
      </c>
      <c r="S517" s="1274" t="s">
        <v>3636</v>
      </c>
      <c r="T517" s="399" t="str">
        <f>OBRA!W517</f>
        <v xml:space="preserve">DESARROLLO DAP S.A. DE C.V. </v>
      </c>
      <c r="U517" s="408" t="str">
        <f>OBRA!X517</f>
        <v>LIC. SALVADOR CONTRERAS OLGUÍN</v>
      </c>
      <c r="V517" s="1455" t="s">
        <v>4021</v>
      </c>
      <c r="W517" s="33" t="str">
        <f>OBRA!N517</f>
        <v>FOCOCI-OP-CSS-030/2020</v>
      </c>
      <c r="X517" s="414" t="s">
        <v>3504</v>
      </c>
      <c r="Y517" s="1202" t="s">
        <v>3365</v>
      </c>
      <c r="Z517" s="409" t="str">
        <f>OBRA!M517</f>
        <v>FOCOCI</v>
      </c>
      <c r="AA517" s="409" t="s">
        <v>2439</v>
      </c>
      <c r="AB517" s="2" t="str">
        <f>OBRA!O517</f>
        <v>CONCURSO SIMPLIFICADO SUMARIO</v>
      </c>
      <c r="AC517" s="3" t="str">
        <f>OBRA!P517</f>
        <v>OBRA CIVIL "INTERVENCIÓN Y RESTAURACIÓN DE MERCADO MUNICIPAL MORELOS”, UBICADO EN CALLE MORELOS EN LA CABECERA MUNICIPAL DE JOCOTEPEC, JALISCO.</v>
      </c>
      <c r="AD517" s="4">
        <f>OBRA!R517</f>
        <v>4896549.54</v>
      </c>
      <c r="AE517" s="6">
        <f>OBRA!S517</f>
        <v>44110</v>
      </c>
      <c r="AF517" s="5">
        <f>OBRA!T517</f>
        <v>44130</v>
      </c>
      <c r="AG517" s="1351">
        <f>OBRA!U517</f>
        <v>44196</v>
      </c>
      <c r="AH517" s="1353" t="s">
        <v>3816</v>
      </c>
      <c r="AI517" s="211" t="s">
        <v>2310</v>
      </c>
      <c r="AJ517" s="524" t="s">
        <v>3807</v>
      </c>
      <c r="AK517" s="524" t="s">
        <v>3807</v>
      </c>
      <c r="AL517" s="613" t="s">
        <v>3807</v>
      </c>
      <c r="AM517" s="478" t="str">
        <f>OBRA!CB517</f>
        <v>2018-2021</v>
      </c>
    </row>
    <row r="518" spans="1:39" ht="204" hidden="1" customHeight="1" thickTop="1">
      <c r="A518" s="158">
        <f>OBRA!J518</f>
        <v>2020</v>
      </c>
      <c r="B518" s="1685" t="str">
        <f>W518</f>
        <v>FOCOCI-OP-CSS-031/2020</v>
      </c>
      <c r="C518" s="1271" t="s">
        <v>3625</v>
      </c>
      <c r="D518" s="1593" t="s">
        <v>5803</v>
      </c>
      <c r="E518" s="1336" t="s">
        <v>3811</v>
      </c>
      <c r="F518" s="1337" t="s">
        <v>3809</v>
      </c>
      <c r="G518" s="503" t="s">
        <v>3625</v>
      </c>
      <c r="H518" s="580">
        <f>OBRA!AF518</f>
        <v>44099</v>
      </c>
      <c r="I518" s="502" t="s">
        <v>3808</v>
      </c>
      <c r="J518" s="581">
        <f>OBRA!AG518</f>
        <v>44467</v>
      </c>
      <c r="K518" s="524" t="s">
        <v>3625</v>
      </c>
      <c r="L518" s="1316">
        <f>OBRA!AH518</f>
        <v>44103</v>
      </c>
      <c r="M518" s="502" t="s">
        <v>3625</v>
      </c>
      <c r="N518" s="580">
        <f>OBRA!AI518</f>
        <v>44109</v>
      </c>
      <c r="O518" s="1583" t="s">
        <v>4590</v>
      </c>
      <c r="P518" s="547">
        <v>0.75</v>
      </c>
      <c r="Q518" s="502" t="s">
        <v>3625</v>
      </c>
      <c r="R518" s="205">
        <f>OBRA!AJ518</f>
        <v>44113</v>
      </c>
      <c r="S518" s="1274" t="s">
        <v>3636</v>
      </c>
      <c r="T518" s="399" t="str">
        <f>OBRA!W518</f>
        <v xml:space="preserve">JUAN PABLO BALLESTEROS ARREOLA </v>
      </c>
      <c r="U518" s="408" t="str">
        <f>OBRA!X518</f>
        <v>LIC. SALVADOR CONTRERAS OLGUÍN</v>
      </c>
      <c r="V518" s="1455" t="s">
        <v>4021</v>
      </c>
      <c r="W518" s="33" t="str">
        <f>OBRA!N518</f>
        <v>FOCOCI-OP-CSS-031/2020</v>
      </c>
      <c r="X518" s="414" t="s">
        <v>3504</v>
      </c>
      <c r="Y518" s="1202" t="s">
        <v>3365</v>
      </c>
      <c r="Z518" s="409" t="str">
        <f>OBRA!M518</f>
        <v>FOCOCI</v>
      </c>
      <c r="AA518" s="409" t="s">
        <v>2439</v>
      </c>
      <c r="AB518" s="2" t="str">
        <f>OBRA!O518</f>
        <v>CONCURSO SIMPLIFICADO SUMARIO</v>
      </c>
      <c r="AC518" s="3" t="str">
        <f>OBRA!P518</f>
        <v>"INTERVENCIÓN Y RESTAURACIÓN DE MERCADO MUNICIPAL MORELOS”, UBICADO EN CALLE MORELOS EN LA CABECERA MUNICIPAL DE JOCOTEPEC, JALISCO</v>
      </c>
      <c r="AD518" s="4">
        <f>OBRA!R518</f>
        <v>4629575.57</v>
      </c>
      <c r="AE518" s="6">
        <f>OBRA!S518</f>
        <v>44110</v>
      </c>
      <c r="AF518" s="5">
        <f>OBRA!T518</f>
        <v>44164</v>
      </c>
      <c r="AG518" s="1351">
        <f>OBRA!U518</f>
        <v>44185</v>
      </c>
      <c r="AH518" s="1353" t="s">
        <v>3816</v>
      </c>
      <c r="AI518" s="211" t="s">
        <v>2310</v>
      </c>
      <c r="AJ518" s="524" t="s">
        <v>3808</v>
      </c>
      <c r="AK518" s="524" t="s">
        <v>3808</v>
      </c>
      <c r="AL518" s="613" t="s">
        <v>3808</v>
      </c>
      <c r="AM518" s="478" t="str">
        <f>OBRA!CB518</f>
        <v>2018-2021</v>
      </c>
    </row>
    <row r="519" spans="1:39" ht="30" hidden="1" customHeight="1" thickTop="1">
      <c r="A519" s="158">
        <f>OBRA!J519</f>
        <v>2020</v>
      </c>
      <c r="B519" s="1683"/>
      <c r="C519" s="395"/>
      <c r="D519" s="146"/>
      <c r="E519" s="148"/>
      <c r="F519" s="148"/>
      <c r="G519" s="398"/>
      <c r="H519" s="404" t="str">
        <f>OBRA!AF519</f>
        <v>-</v>
      </c>
      <c r="I519" s="400"/>
      <c r="J519" s="406" t="str">
        <f>OBRA!AG519</f>
        <v>-</v>
      </c>
      <c r="K519" s="402"/>
      <c r="L519" s="404" t="str">
        <f>OBRA!AH519</f>
        <v>-</v>
      </c>
      <c r="M519" s="402"/>
      <c r="N519" s="404" t="str">
        <f>OBRA!AI519</f>
        <v>-</v>
      </c>
      <c r="O519" s="144"/>
      <c r="P519" s="144"/>
      <c r="Q519" s="403"/>
      <c r="R519" s="407" t="str">
        <f>OBRA!AJ519</f>
        <v>-</v>
      </c>
      <c r="S519" s="201"/>
      <c r="T519" s="399" t="str">
        <f>OBRA!W519</f>
        <v>SERVICIO Y CONSTRUCCIÓN NATENIO S.A. DE C.V.</v>
      </c>
      <c r="U519" s="408" t="str">
        <f>OBRA!X519</f>
        <v>LIC. SALVADOR CONTRERAS OLGUÍN</v>
      </c>
      <c r="V519" s="1090"/>
      <c r="W519" s="19" t="str">
        <f>OBRA!N519</f>
        <v>GMJ 032C- OP/2020</v>
      </c>
      <c r="X519" s="12"/>
      <c r="Y519" s="12"/>
      <c r="Z519" s="409" t="str">
        <f>OBRA!M519</f>
        <v>RAMO 33</v>
      </c>
      <c r="AA519" s="12"/>
      <c r="AB519" s="2" t="str">
        <f>OBRA!O519</f>
        <v>ADJUDICACIÓN DIRECTA</v>
      </c>
      <c r="AC519" s="3" t="str">
        <f>OBRA!P519</f>
        <v>"CONSTRUCCIÓN DE LÍNEA DE DRENAJE SANITARIO EN PRIVADA RAÚL RAMÍREZ", EN LA LOCALIDAD DE SAN JUAN COSALA DEL MUNICIPIO DE JOCOTEPEC, JALISCO.</v>
      </c>
      <c r="AD519" s="4">
        <f>OBRA!R519</f>
        <v>287771.56</v>
      </c>
      <c r="AE519" s="6">
        <f>OBRA!S519</f>
        <v>44155</v>
      </c>
      <c r="AF519" s="5">
        <f>OBRA!T519</f>
        <v>44165</v>
      </c>
      <c r="AG519" s="390">
        <f>OBRA!U519</f>
        <v>44180</v>
      </c>
      <c r="AH519" s="52"/>
      <c r="AI519" s="211"/>
      <c r="AJ519" s="242"/>
      <c r="AK519" s="242"/>
      <c r="AL519" s="394"/>
      <c r="AM519" s="519" t="str">
        <f>GRAL!B522</f>
        <v>2018-2021</v>
      </c>
    </row>
    <row r="520" spans="1:39" ht="30" hidden="1" customHeight="1" thickTop="1">
      <c r="A520" s="158">
        <f>OBRA!J520</f>
        <v>2020</v>
      </c>
      <c r="B520" s="1683"/>
      <c r="C520" s="395"/>
      <c r="D520" s="146"/>
      <c r="E520" s="148"/>
      <c r="F520" s="148"/>
      <c r="G520" s="398"/>
      <c r="H520" s="404" t="str">
        <f>OBRA!AF520</f>
        <v>-</v>
      </c>
      <c r="I520" s="400"/>
      <c r="J520" s="406" t="str">
        <f>OBRA!AG520</f>
        <v>-</v>
      </c>
      <c r="K520" s="401"/>
      <c r="L520" s="404" t="str">
        <f>OBRA!AH520</f>
        <v>-</v>
      </c>
      <c r="M520" s="402"/>
      <c r="N520" s="404" t="str">
        <f>OBRA!AI520</f>
        <v>-</v>
      </c>
      <c r="O520" s="144"/>
      <c r="P520" s="144"/>
      <c r="Q520" s="403"/>
      <c r="R520" s="407" t="str">
        <f>OBRA!AJ520</f>
        <v>-</v>
      </c>
      <c r="S520" s="201"/>
      <c r="T520" s="399" t="str">
        <f>OBRA!W520</f>
        <v>CONSTRUCCIONES ADMAYAL, S.A. DE C.V</v>
      </c>
      <c r="U520" s="408" t="str">
        <f>OBRA!X520</f>
        <v>ING. LUIS RIGOBERTO OLMEDO NAVARRO</v>
      </c>
      <c r="V520" s="1090"/>
      <c r="W520" s="19" t="str">
        <f>OBRA!N520</f>
        <v>GMJ 033C- OP/2020</v>
      </c>
      <c r="X520" s="12"/>
      <c r="Y520" s="12"/>
      <c r="Z520" s="409" t="str">
        <f>OBRA!M520</f>
        <v>RESCATE AL PATRIMONIO</v>
      </c>
      <c r="AA520" s="12"/>
      <c r="AB520" s="2" t="str">
        <f>OBRA!O520</f>
        <v>ADJUDICACIÓN DIRECTA</v>
      </c>
      <c r="AC520" s="3" t="str">
        <f>OBRA!P520</f>
        <v>"REMOZAMIENTO Y MEJORAMIENTO DE IMAGEN URBANA EN EL TEMPLO DEL SEÑOR DEL MONTE” EN LA CABECERA MUNICIPAL DE JOCOTEPEC, JALISCO</v>
      </c>
      <c r="AD520" s="4">
        <f>OBRA!R520</f>
        <v>1600000</v>
      </c>
      <c r="AE520" s="6">
        <f>OBRA!S520</f>
        <v>44158</v>
      </c>
      <c r="AF520" s="5">
        <f>OBRA!T520</f>
        <v>44166</v>
      </c>
      <c r="AG520" s="390">
        <f>OBRA!U520</f>
        <v>44189</v>
      </c>
      <c r="AH520" s="52"/>
      <c r="AI520" s="211"/>
      <c r="AJ520" s="242"/>
      <c r="AK520" s="242"/>
      <c r="AL520" s="394"/>
      <c r="AM520" s="519" t="str">
        <f>GRAL!B523</f>
        <v>2018-2021</v>
      </c>
    </row>
    <row r="521" spans="1:39" ht="30" hidden="1" customHeight="1" thickTop="1">
      <c r="A521" s="158">
        <f>OBRA!J521</f>
        <v>2020</v>
      </c>
      <c r="B521" s="1683"/>
      <c r="C521" s="395"/>
      <c r="D521" s="146"/>
      <c r="E521" s="148"/>
      <c r="F521" s="148"/>
      <c r="G521" s="398"/>
      <c r="H521" s="404" t="str">
        <f>OBRA!AF521</f>
        <v>-</v>
      </c>
      <c r="I521" s="400"/>
      <c r="J521" s="406" t="str">
        <f>OBRA!AG521</f>
        <v>-</v>
      </c>
      <c r="K521" s="401"/>
      <c r="L521" s="404" t="str">
        <f>OBRA!AH521</f>
        <v>-</v>
      </c>
      <c r="M521" s="402"/>
      <c r="N521" s="404" t="str">
        <f>OBRA!AI521</f>
        <v>-</v>
      </c>
      <c r="O521" s="144"/>
      <c r="P521" s="144"/>
      <c r="Q521" s="403"/>
      <c r="R521" s="407" t="str">
        <f>OBRA!AJ521</f>
        <v>-</v>
      </c>
      <c r="S521" s="201"/>
      <c r="T521" s="399" t="str">
        <f>OBRA!W521</f>
        <v>CONSTRUCCIÓN Y SUPERVISIÓN COMA S.A. DE C.V.</v>
      </c>
      <c r="U521" s="408" t="str">
        <f>OBRA!X521</f>
        <v>ARQ. CESAR ANTONIO ALONSO JIMENEZ</v>
      </c>
      <c r="V521" s="1090"/>
      <c r="W521" s="19" t="str">
        <f>OBRA!N521</f>
        <v>GMJ 034C- OP/2020</v>
      </c>
      <c r="X521" s="12"/>
      <c r="Y521" s="12"/>
      <c r="Z521" s="409" t="str">
        <f>OBRA!M521</f>
        <v>RAMO 33</v>
      </c>
      <c r="AA521" s="12"/>
      <c r="AB521" s="2" t="str">
        <f>OBRA!O521</f>
        <v>ADJUDICACIÓN DIRECTA</v>
      </c>
      <c r="AC521" s="3" t="str">
        <f>OBRA!P521</f>
        <v>"REHABILITACIÓN DE LÍNEAS HIDROSANITARIAS En CALLE CHAPULTEPEC ENTRE VICENTE GUERRERO Y CARRETERA FEDERAL Nº 15 ”, EN LA CABECERA MUNICIPAL DE JOCOTEPEC, JALISCO.</v>
      </c>
      <c r="AD521" s="4">
        <f>OBRA!R521</f>
        <v>914194.81</v>
      </c>
      <c r="AE521" s="6">
        <f>OBRA!S521</f>
        <v>44168</v>
      </c>
      <c r="AF521" s="5">
        <f>OBRA!T521</f>
        <v>44169</v>
      </c>
      <c r="AG521" s="390">
        <f>OBRA!U521</f>
        <v>44180</v>
      </c>
      <c r="AH521" s="52"/>
      <c r="AI521" s="211"/>
      <c r="AJ521" s="242"/>
      <c r="AK521" s="242"/>
      <c r="AL521" s="394"/>
      <c r="AM521" s="478" t="str">
        <f>OBRA!CB521</f>
        <v>2018-2021</v>
      </c>
    </row>
    <row r="522" spans="1:39" ht="45.75" hidden="1" thickTop="1">
      <c r="A522" s="158">
        <f>OBRA!J522</f>
        <v>2020</v>
      </c>
      <c r="B522" s="1683"/>
      <c r="C522" s="395"/>
      <c r="D522" s="146"/>
      <c r="E522" s="148"/>
      <c r="F522" s="148"/>
      <c r="G522" s="398"/>
      <c r="H522" s="404" t="str">
        <f>OBRA!AF522</f>
        <v>-</v>
      </c>
      <c r="I522" s="400"/>
      <c r="J522" s="406" t="str">
        <f>OBRA!AG522</f>
        <v>-</v>
      </c>
      <c r="K522" s="401"/>
      <c r="L522" s="404" t="str">
        <f>OBRA!AH522</f>
        <v>-</v>
      </c>
      <c r="M522" s="402"/>
      <c r="N522" s="404" t="str">
        <f>OBRA!AI522</f>
        <v>-</v>
      </c>
      <c r="O522" s="144"/>
      <c r="P522" s="144"/>
      <c r="Q522" s="403"/>
      <c r="R522" s="407" t="str">
        <f>OBRA!AJ522</f>
        <v>-</v>
      </c>
      <c r="S522" s="201"/>
      <c r="T522" s="399" t="str">
        <f>OBRA!W522</f>
        <v>ALSERCON SA DE CV</v>
      </c>
      <c r="U522" s="408" t="str">
        <f>OBRA!X522</f>
        <v>ARQ. JAIME CONDE GOMEZ</v>
      </c>
      <c r="V522" s="1090"/>
      <c r="W522" s="19" t="str">
        <f>OBRA!N522</f>
        <v>GMJ 035C- OP/2020</v>
      </c>
      <c r="X522" s="12"/>
      <c r="Y522" s="12"/>
      <c r="Z522" s="409" t="str">
        <f>OBRA!M522</f>
        <v>RASTRO DIGNO</v>
      </c>
      <c r="AA522" s="12"/>
      <c r="AB522" s="2" t="str">
        <f>OBRA!O522</f>
        <v>ADJUDICACIÓN DIRECTA</v>
      </c>
      <c r="AC522" s="3" t="str">
        <f>OBRA!P522</f>
        <v>OBRA CIVIL "REHABILITACIÓN DEL RASTRO MUNICIPAL 2DA ETAPA", DE LA CABECERA MUNICIPAL DE JOCOTEPEC, JALISCO.</v>
      </c>
      <c r="AD522" s="4">
        <f>OBRA!R522</f>
        <v>537866.98</v>
      </c>
      <c r="AE522" s="6">
        <f>OBRA!S522</f>
        <v>44195</v>
      </c>
      <c r="AF522" s="5">
        <f>OBRA!T522</f>
        <v>44195</v>
      </c>
      <c r="AG522" s="390">
        <f>OBRA!U522</f>
        <v>44227</v>
      </c>
      <c r="AH522" s="52"/>
      <c r="AI522" s="211"/>
      <c r="AJ522" s="242"/>
      <c r="AK522" s="242"/>
      <c r="AL522" s="394"/>
      <c r="AM522" s="519" t="str">
        <f>GRAL!B524</f>
        <v>2018-2021</v>
      </c>
    </row>
    <row r="523" spans="1:39" ht="27" hidden="1" thickTop="1">
      <c r="A523" s="158">
        <f>OBRA!J523</f>
        <v>2020</v>
      </c>
      <c r="B523" s="1683"/>
      <c r="C523" s="395"/>
      <c r="D523" s="146"/>
      <c r="E523" s="148"/>
      <c r="F523" s="148"/>
      <c r="G523" s="398"/>
      <c r="H523" s="404">
        <f>OBRA!AF523</f>
        <v>0</v>
      </c>
      <c r="I523" s="400"/>
      <c r="J523" s="406">
        <f>OBRA!AG523</f>
        <v>0</v>
      </c>
      <c r="K523" s="401"/>
      <c r="L523" s="404">
        <f>OBRA!AH523</f>
        <v>0</v>
      </c>
      <c r="M523" s="402"/>
      <c r="N523" s="404">
        <f>OBRA!AI523</f>
        <v>0</v>
      </c>
      <c r="O523" s="144"/>
      <c r="P523" s="144"/>
      <c r="Q523" s="403"/>
      <c r="R523" s="407">
        <f>OBRA!AJ523</f>
        <v>0</v>
      </c>
      <c r="S523" s="201"/>
      <c r="T523" s="399">
        <f>OBRA!W523</f>
        <v>0</v>
      </c>
      <c r="U523" s="408">
        <f>OBRA!X523</f>
        <v>0</v>
      </c>
      <c r="V523" s="1090"/>
      <c r="W523" s="19" t="str">
        <f>OBRA!N523</f>
        <v>GMJ 036C- OP/2020</v>
      </c>
      <c r="X523" s="12"/>
      <c r="Y523" s="12"/>
      <c r="Z523" s="409">
        <f>OBRA!M523</f>
        <v>0</v>
      </c>
      <c r="AA523" s="12"/>
      <c r="AB523" s="2" t="str">
        <f>OBRA!O523</f>
        <v>CANCELADA</v>
      </c>
      <c r="AC523" s="3" t="str">
        <f>OBRA!P523</f>
        <v>CONTRATO CANCELADO</v>
      </c>
      <c r="AD523" s="4">
        <f>OBRA!R523</f>
        <v>0</v>
      </c>
      <c r="AE523" s="6">
        <f>OBRA!S523</f>
        <v>0</v>
      </c>
      <c r="AF523" s="5">
        <f>OBRA!T523</f>
        <v>0</v>
      </c>
      <c r="AG523" s="390">
        <f>OBRA!U523</f>
        <v>0</v>
      </c>
      <c r="AH523" s="52"/>
      <c r="AI523" s="211"/>
      <c r="AJ523" s="242"/>
      <c r="AK523" s="242"/>
      <c r="AL523" s="394"/>
      <c r="AM523" s="519" t="str">
        <f>GRAL!B525</f>
        <v>2018-2021</v>
      </c>
    </row>
    <row r="524" spans="1:39" ht="30" hidden="1" customHeight="1" thickTop="1">
      <c r="A524" s="158">
        <f>OBRA!J524</f>
        <v>2020</v>
      </c>
      <c r="B524" s="1683"/>
      <c r="C524" s="395"/>
      <c r="D524" s="146"/>
      <c r="E524" s="148"/>
      <c r="F524" s="148"/>
      <c r="G524" s="398"/>
      <c r="H524" s="404" t="str">
        <f>OBRA!AF524</f>
        <v>-</v>
      </c>
      <c r="I524" s="400"/>
      <c r="J524" s="406" t="str">
        <f>OBRA!AG524</f>
        <v>-</v>
      </c>
      <c r="K524" s="401"/>
      <c r="L524" s="404" t="str">
        <f>OBRA!AH524</f>
        <v>-</v>
      </c>
      <c r="M524" s="402"/>
      <c r="N524" s="404" t="str">
        <f>OBRA!AI524</f>
        <v>-</v>
      </c>
      <c r="O524" s="144"/>
      <c r="P524" s="144"/>
      <c r="Q524" s="403"/>
      <c r="R524" s="407" t="str">
        <f>OBRA!AJ524</f>
        <v>-</v>
      </c>
      <c r="S524" s="201"/>
      <c r="T524" s="399" t="str">
        <f>OBRA!W524</f>
        <v>PLANOS Y OBRAS LODEIRO S.A. DE C.V.</v>
      </c>
      <c r="U524" s="408" t="str">
        <f>OBRA!X524</f>
        <v>ING. RIGOBERTO OR / ARQ. JAIME CONDE</v>
      </c>
      <c r="V524" s="1090"/>
      <c r="W524" s="19" t="str">
        <f>OBRA!N524</f>
        <v>GMJ 037C- OP/2020</v>
      </c>
      <c r="X524" s="12"/>
      <c r="Y524" s="12"/>
      <c r="Z524" s="409" t="str">
        <f>OBRA!M524</f>
        <v>RAMO 33</v>
      </c>
      <c r="AA524" s="12"/>
      <c r="AB524" s="2" t="str">
        <f>OBRA!O524</f>
        <v>ADJUDICACIÓN DIRECTA</v>
      </c>
      <c r="AC524" s="3" t="str">
        <f>OBRA!P524</f>
        <v>"CONSTRUCCIÓN DE BANQUETAS EN UNIDAD DEPORTIVA ZARAGOZA” EN LA CABECERA MUNICIPAL DE JOCOTEPEC, JALISCO.</v>
      </c>
      <c r="AD524" s="4">
        <f>OBRA!R524</f>
        <v>229496.26</v>
      </c>
      <c r="AE524" s="6">
        <f>OBRA!S524</f>
        <v>44168</v>
      </c>
      <c r="AF524" s="5">
        <f>OBRA!T524</f>
        <v>44172</v>
      </c>
      <c r="AG524" s="390">
        <f>OBRA!U524</f>
        <v>44184</v>
      </c>
      <c r="AH524" s="52"/>
      <c r="AI524" s="211"/>
      <c r="AJ524" s="242"/>
      <c r="AK524" s="242"/>
      <c r="AL524" s="394"/>
      <c r="AM524" s="519" t="str">
        <f>GRAL!B526</f>
        <v>2018-2021</v>
      </c>
    </row>
    <row r="525" spans="1:39" ht="30" hidden="1" customHeight="1" thickTop="1">
      <c r="A525" s="158">
        <f>OBRA!J525</f>
        <v>2020</v>
      </c>
      <c r="B525" s="1683"/>
      <c r="C525" s="395"/>
      <c r="D525" s="146"/>
      <c r="E525" s="148"/>
      <c r="F525" s="148"/>
      <c r="G525" s="398"/>
      <c r="H525" s="404">
        <f>OBRA!AF525</f>
        <v>0</v>
      </c>
      <c r="I525" s="400"/>
      <c r="J525" s="406">
        <f>OBRA!AG525</f>
        <v>0</v>
      </c>
      <c r="K525" s="401"/>
      <c r="L525" s="404">
        <f>OBRA!AH525</f>
        <v>0</v>
      </c>
      <c r="M525" s="402"/>
      <c r="N525" s="404">
        <f>OBRA!AI525</f>
        <v>0</v>
      </c>
      <c r="O525" s="144"/>
      <c r="P525" s="144"/>
      <c r="Q525" s="403"/>
      <c r="R525" s="407">
        <f>OBRA!AJ525</f>
        <v>0</v>
      </c>
      <c r="S525" s="201"/>
      <c r="T525" s="399" t="str">
        <f>OBRA!W525</f>
        <v>ALSERCON SA DE CV</v>
      </c>
      <c r="U525" s="408" t="str">
        <f>OBRA!X525</f>
        <v>ARQ. JAIME CONDE GOMEZ</v>
      </c>
      <c r="V525" s="1090"/>
      <c r="W525" s="19" t="str">
        <f>OBRA!N525</f>
        <v>GMJ 038C- OP/2020</v>
      </c>
      <c r="X525" s="12"/>
      <c r="Y525" s="12"/>
      <c r="Z525" s="409" t="str">
        <f>OBRA!M525</f>
        <v>CUENTA CORRIENTE</v>
      </c>
      <c r="AA525" s="12"/>
      <c r="AB525" s="2" t="str">
        <f>OBRA!O525</f>
        <v>ADJUDICACIÓN DIRECTA</v>
      </c>
      <c r="AC525" s="3" t="str">
        <f>OBRA!P525</f>
        <v>"CONSTRUCCIÓN DE DEPÓSITO DE AGUA, LINEA DE LLENADO Y DISTRIBUCCIÓN DE AGUA POTABLE EN CUARTEL DE LA GUARDIA NACIONAL", PARA ABASTECER ZONA 6 EN CRUCERO A LA DELEGACIÓN DE POTRERILLOS DEL MUNICIPIO DE JOCOTEPEC, JALISCO.</v>
      </c>
      <c r="AD525" s="4">
        <f>OBRA!R525</f>
        <v>868714.16</v>
      </c>
      <c r="AE525" s="6">
        <f>OBRA!S525</f>
        <v>44548</v>
      </c>
      <c r="AF525" s="5">
        <f>OBRA!T525</f>
        <v>44194</v>
      </c>
      <c r="AG525" s="390">
        <f>OBRA!U525</f>
        <v>44284</v>
      </c>
      <c r="AH525" s="52"/>
      <c r="AI525" s="211"/>
      <c r="AJ525" s="242"/>
      <c r="AK525" s="242"/>
      <c r="AL525" s="394"/>
      <c r="AM525" s="519" t="str">
        <f>GRAL!B527</f>
        <v>2018-2021</v>
      </c>
    </row>
    <row r="526" spans="1:39" ht="30" hidden="1" customHeight="1" thickTop="1">
      <c r="A526" s="158">
        <f>OBRA!J526</f>
        <v>2021</v>
      </c>
      <c r="B526" s="1683"/>
      <c r="C526" s="395"/>
      <c r="D526" s="146"/>
      <c r="E526" s="148"/>
      <c r="F526" s="148"/>
      <c r="G526" s="398"/>
      <c r="H526" s="404">
        <f>OBRA!AF526</f>
        <v>0</v>
      </c>
      <c r="I526" s="400"/>
      <c r="J526" s="406">
        <f>OBRA!AG526</f>
        <v>0</v>
      </c>
      <c r="K526" s="401"/>
      <c r="L526" s="404">
        <f>OBRA!AH526</f>
        <v>0</v>
      </c>
      <c r="M526" s="402"/>
      <c r="N526" s="404">
        <f>OBRA!AI526</f>
        <v>0</v>
      </c>
      <c r="O526" s="144"/>
      <c r="P526" s="144"/>
      <c r="Q526" s="403"/>
      <c r="R526" s="407">
        <f>OBRA!AJ526</f>
        <v>0</v>
      </c>
      <c r="S526" s="201"/>
      <c r="T526" s="399" t="str">
        <f>OBRA!W526</f>
        <v>N/A</v>
      </c>
      <c r="U526" s="408" t="str">
        <f>OBRA!X526</f>
        <v>N/A</v>
      </c>
      <c r="V526" s="1090"/>
      <c r="W526" s="19" t="str">
        <f>OBRA!N526</f>
        <v>CONV/FOCOCI/004-2021</v>
      </c>
      <c r="X526" s="12"/>
      <c r="Y526" s="12"/>
      <c r="Z526" s="409" t="str">
        <f>OBRA!M526</f>
        <v>FOCOCI</v>
      </c>
      <c r="AA526" s="12"/>
      <c r="AB526" s="2" t="str">
        <f>OBRA!O526</f>
        <v>CONVENIO</v>
      </c>
      <c r="AC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OBRA!R526</f>
        <v>9000000</v>
      </c>
      <c r="AE526" s="6">
        <f>OBRA!S526</f>
        <v>44251</v>
      </c>
      <c r="AF526" s="5">
        <f>OBRA!T526</f>
        <v>44251</v>
      </c>
      <c r="AG526" s="390">
        <f>OBRA!U526</f>
        <v>44469</v>
      </c>
      <c r="AH526" s="52"/>
      <c r="AI526" s="211"/>
      <c r="AJ526" s="242"/>
      <c r="AK526" s="242"/>
      <c r="AL526" s="394"/>
      <c r="AM526" s="478" t="str">
        <f>OBRA!CB526</f>
        <v>2018-2021</v>
      </c>
    </row>
    <row r="527" spans="1:39" ht="30" hidden="1" customHeight="1" thickTop="1">
      <c r="A527" s="158">
        <f>OBRA!J527</f>
        <v>2021</v>
      </c>
      <c r="B527" s="1683"/>
      <c r="C527" s="395"/>
      <c r="D527" s="146"/>
      <c r="E527" s="148"/>
      <c r="F527" s="148"/>
      <c r="G527" s="398"/>
      <c r="H527" s="404" t="str">
        <f>OBRA!AF527</f>
        <v>-</v>
      </c>
      <c r="I527" s="400"/>
      <c r="J527" s="406" t="str">
        <f>OBRA!AG527</f>
        <v>-</v>
      </c>
      <c r="K527" s="401"/>
      <c r="L527" s="404" t="str">
        <f>OBRA!AH527</f>
        <v>-</v>
      </c>
      <c r="M527" s="402"/>
      <c r="N527" s="404" t="str">
        <f>OBRA!AI527</f>
        <v>-</v>
      </c>
      <c r="O527" s="144"/>
      <c r="P527" s="144"/>
      <c r="Q527" s="403"/>
      <c r="R527" s="407" t="str">
        <f>OBRA!AJ527</f>
        <v>-</v>
      </c>
      <c r="S527" s="201"/>
      <c r="T527" s="399" t="str">
        <f>OBRA!W527</f>
        <v>N/A</v>
      </c>
      <c r="U527" s="408" t="str">
        <f>OBRA!X527</f>
        <v>ING. LUIS RIGOBERTO OLMEDO NAVARRO</v>
      </c>
      <c r="V527" s="1090"/>
      <c r="W527" s="19" t="str">
        <f>OBRA!N527</f>
        <v>DOP/AD/001/2021</v>
      </c>
      <c r="X527" s="12"/>
      <c r="Y527" s="12"/>
      <c r="Z527" s="409" t="str">
        <f>OBRA!M527</f>
        <v>CUENTA CORRIENTE</v>
      </c>
      <c r="AA527" s="12"/>
      <c r="AB527" s="2" t="str">
        <f>OBRA!O527</f>
        <v>CANCELADA</v>
      </c>
      <c r="AC527" s="3" t="str">
        <f>OBRA!P527</f>
        <v>"CONSTRUCCIÓN DE PUENTE PEATONAL EN CALLE LIBERTAD Y CALLE 5 DE MAYO" EN LA DELEGACIÓN DE ZAPOTITÁN DE HIDALGO, DEL MUNICIPIO DE JOCOTEPEC, JALISCO.</v>
      </c>
      <c r="AD527" s="4">
        <f>OBRA!R527</f>
        <v>710000</v>
      </c>
      <c r="AE527" s="6">
        <f>OBRA!S527</f>
        <v>44221</v>
      </c>
      <c r="AF527" s="5">
        <f>OBRA!T527</f>
        <v>44222</v>
      </c>
      <c r="AG527" s="390">
        <f>OBRA!U527</f>
        <v>44377</v>
      </c>
      <c r="AH527" s="52"/>
      <c r="AI527" s="211"/>
      <c r="AJ527" s="242"/>
      <c r="AK527" s="242"/>
      <c r="AL527" s="394"/>
      <c r="AM527" s="519" t="str">
        <f>GRAL!B529</f>
        <v>2018-2021</v>
      </c>
    </row>
    <row r="528" spans="1:39" ht="30" hidden="1" customHeight="1" thickTop="1">
      <c r="A528" s="158">
        <f>OBRA!J528</f>
        <v>2021</v>
      </c>
      <c r="B528" s="1683"/>
      <c r="C528" s="395"/>
      <c r="D528" s="146"/>
      <c r="E528" s="148"/>
      <c r="F528" s="148"/>
      <c r="G528" s="398"/>
      <c r="H528" s="404" t="str">
        <f>OBRA!AF528</f>
        <v>-</v>
      </c>
      <c r="I528" s="400"/>
      <c r="J528" s="406" t="str">
        <f>OBRA!AG528</f>
        <v>-</v>
      </c>
      <c r="K528" s="401"/>
      <c r="L528" s="404" t="str">
        <f>OBRA!AH528</f>
        <v>-</v>
      </c>
      <c r="M528" s="402"/>
      <c r="N528" s="404" t="str">
        <f>OBRA!AI528</f>
        <v>-</v>
      </c>
      <c r="O528" s="144"/>
      <c r="P528" s="144"/>
      <c r="Q528" s="403"/>
      <c r="R528" s="407" t="str">
        <f>OBRA!AJ528</f>
        <v>-</v>
      </c>
      <c r="S528" s="201"/>
      <c r="T528" s="399" t="str">
        <f>OBRA!W528</f>
        <v>N/A</v>
      </c>
      <c r="U528" s="408" t="str">
        <f>OBRA!X528</f>
        <v xml:space="preserve">ING. ENRIQUE ENRÍQUEZ VÁZQUEZ </v>
      </c>
      <c r="V528" s="1090"/>
      <c r="W528" s="19" t="str">
        <f>OBRA!N528</f>
        <v>DOP/AD/002/2021</v>
      </c>
      <c r="X528" s="12"/>
      <c r="Y528" s="12"/>
      <c r="Z528" s="409" t="str">
        <f>OBRA!M528</f>
        <v>CUENTA CORRIENTE</v>
      </c>
      <c r="AA528" s="12"/>
      <c r="AB528" s="2" t="str">
        <f>OBRA!O528</f>
        <v>ADMINISTRACIÓN DIRECTA</v>
      </c>
      <c r="AC528" s="3" t="str">
        <f>OBRA!P528</f>
        <v>"SUMINISTRO Y COLOCACIÓN DE TECHUMBRE EN CANCHA DE USOS MULTIPLES" UBICADA EN CALLES PEDRO MORENO Y MORELOS, ABASOLO Y 16 DE SEPTIEMBRE, EN LA DELEGACIÓN DE ZAPOTITÁN DE HIDALGO, DEL MUNICIPIO DE JOCOTEPEC, JALISCO.</v>
      </c>
      <c r="AD528" s="4">
        <f>OBRA!R528</f>
        <v>650000</v>
      </c>
      <c r="AE528" s="6">
        <f>OBRA!S528</f>
        <v>44221</v>
      </c>
      <c r="AF528" s="5">
        <f>OBRA!T528</f>
        <v>44222</v>
      </c>
      <c r="AG528" s="390">
        <f>OBRA!U528</f>
        <v>44377</v>
      </c>
      <c r="AH528" s="52"/>
      <c r="AI528" s="211"/>
      <c r="AJ528" s="242"/>
      <c r="AK528" s="242"/>
      <c r="AL528" s="394"/>
      <c r="AM528" s="519" t="str">
        <f>GRAL!B530</f>
        <v>2018-2021</v>
      </c>
    </row>
    <row r="529" spans="1:39" ht="30" hidden="1" customHeight="1" thickTop="1">
      <c r="A529" s="158">
        <f>OBRA!J529</f>
        <v>2021</v>
      </c>
      <c r="B529" s="1683"/>
      <c r="C529" s="395"/>
      <c r="D529" s="146"/>
      <c r="E529" s="148"/>
      <c r="F529" s="148"/>
      <c r="G529" s="398"/>
      <c r="H529" s="404" t="str">
        <f>OBRA!AF529</f>
        <v>-</v>
      </c>
      <c r="I529" s="400"/>
      <c r="J529" s="406" t="str">
        <f>OBRA!AG529</f>
        <v>-</v>
      </c>
      <c r="K529" s="401"/>
      <c r="L529" s="404" t="str">
        <f>OBRA!AH529</f>
        <v>-</v>
      </c>
      <c r="M529" s="402"/>
      <c r="N529" s="404" t="str">
        <f>OBRA!AI529</f>
        <v>-</v>
      </c>
      <c r="O529" s="144"/>
      <c r="P529" s="144"/>
      <c r="Q529" s="403"/>
      <c r="R529" s="407" t="str">
        <f>OBRA!AJ529</f>
        <v>-</v>
      </c>
      <c r="S529" s="201"/>
      <c r="T529" s="399" t="str">
        <f>OBRA!W529</f>
        <v>N/A</v>
      </c>
      <c r="U529" s="408" t="str">
        <f>OBRA!X529</f>
        <v>ING. J. GUADALUPE IBARRA RAMIREZ</v>
      </c>
      <c r="V529" s="1090"/>
      <c r="W529" s="19" t="str">
        <f>OBRA!N529</f>
        <v>DOP/AD/003/2021</v>
      </c>
      <c r="X529" s="12"/>
      <c r="Y529" s="12"/>
      <c r="Z529" s="409" t="str">
        <f>OBRA!M529</f>
        <v>RAMO 33</v>
      </c>
      <c r="AA529" s="12"/>
      <c r="AB529" s="2" t="str">
        <f>OBRA!O529</f>
        <v>ADMINISTRACIÓN DIRECTA</v>
      </c>
      <c r="AC529" s="3" t="str">
        <f>OBRA!P529</f>
        <v>"REHABILITACIÓN DE LÍNEA DE AGUA POTABLE EN CALLE MORELOS DE CALLE RICO A CALLE RIVERA DEL LAGO Y REHABILITACIÓN DE LÍNEA DE DRENAJE SANITARIO EN CALLE MORELOS DE CALLE RICO HASTA MALECÓN", EN LA CABECERA MUNICIPAL DE JOCOTEPEC, JALISCO, (NEXTIPAC).</v>
      </c>
      <c r="AD529" s="4">
        <f>OBRA!R529</f>
        <v>174639.07</v>
      </c>
      <c r="AE529" s="6">
        <f>OBRA!S529</f>
        <v>44435</v>
      </c>
      <c r="AF529" s="5">
        <f>OBRA!T529</f>
        <v>44440</v>
      </c>
      <c r="AG529" s="390">
        <f>OBRA!U529</f>
        <v>44455</v>
      </c>
      <c r="AH529" s="52"/>
      <c r="AI529" s="211"/>
      <c r="AJ529" s="242"/>
      <c r="AK529" s="242"/>
      <c r="AL529" s="394"/>
      <c r="AM529" s="519" t="str">
        <f>GRAL!B531</f>
        <v>2018-2021</v>
      </c>
    </row>
    <row r="530" spans="1:39" ht="30" hidden="1" customHeight="1" thickTop="1">
      <c r="A530" s="158">
        <f>OBRA!J530</f>
        <v>2021</v>
      </c>
      <c r="B530" s="1683"/>
      <c r="C530" s="395"/>
      <c r="D530" s="146"/>
      <c r="E530" s="148"/>
      <c r="F530" s="148"/>
      <c r="G530" s="398"/>
      <c r="H530" s="404" t="str">
        <f>OBRA!AF530</f>
        <v>-</v>
      </c>
      <c r="I530" s="400"/>
      <c r="J530" s="406" t="str">
        <f>OBRA!AG530</f>
        <v>-</v>
      </c>
      <c r="K530" s="401"/>
      <c r="L530" s="404" t="str">
        <f>OBRA!AH530</f>
        <v>-</v>
      </c>
      <c r="M530" s="402"/>
      <c r="N530" s="404" t="str">
        <f>OBRA!AI530</f>
        <v>-</v>
      </c>
      <c r="O530" s="144"/>
      <c r="P530" s="144"/>
      <c r="Q530" s="403"/>
      <c r="R530" s="407" t="str">
        <f>OBRA!AJ530</f>
        <v>-</v>
      </c>
      <c r="S530" s="201"/>
      <c r="T530" s="399" t="str">
        <f>OBRA!W530</f>
        <v>N/A</v>
      </c>
      <c r="U530" s="408" t="str">
        <f>OBRA!X530</f>
        <v>LIC. SALVADOR CONTRERAS OLGUÍN</v>
      </c>
      <c r="V530" s="1090"/>
      <c r="W530" s="19" t="str">
        <f>OBRA!N530</f>
        <v>DOP/AD/004/2021</v>
      </c>
      <c r="X530" s="12"/>
      <c r="Y530" s="12"/>
      <c r="Z530" s="409" t="str">
        <f>OBRA!M530</f>
        <v>CUENTA CORRIENTE</v>
      </c>
      <c r="AA530" s="12"/>
      <c r="AB530" s="2" t="str">
        <f>OBRA!O530</f>
        <v>ADMINISTRACIÓN DIRECTA</v>
      </c>
      <c r="AC530" s="3" t="str">
        <f>OBRA!P530</f>
        <v>"REHABILITACIÓN DE PISOS EN AULAS DE LA ESCUELA PRIMARIA JOSE SANTANA", EN LA CABECERA MUNICIPAL DE JOCOTEPEC, JALISCO.</v>
      </c>
      <c r="AD530" s="4">
        <f>OBRA!R530</f>
        <v>27000</v>
      </c>
      <c r="AE530" s="6">
        <f>OBRA!S530</f>
        <v>44225</v>
      </c>
      <c r="AF530" s="5">
        <f>OBRA!T530</f>
        <v>44228</v>
      </c>
      <c r="AG530" s="390">
        <f>OBRA!U530</f>
        <v>44250</v>
      </c>
      <c r="AH530" s="52"/>
      <c r="AI530" s="211"/>
      <c r="AJ530" s="242"/>
      <c r="AK530" s="242"/>
      <c r="AL530" s="394"/>
      <c r="AM530" s="519" t="str">
        <f>GRAL!B532</f>
        <v>2018-2021</v>
      </c>
    </row>
    <row r="531" spans="1:39" ht="30" hidden="1" customHeight="1" thickTop="1">
      <c r="A531" s="158">
        <f>OBRA!J531</f>
        <v>2021</v>
      </c>
      <c r="B531" s="1683"/>
      <c r="C531" s="395"/>
      <c r="D531" s="146"/>
      <c r="E531" s="148"/>
      <c r="F531" s="148"/>
      <c r="G531" s="398"/>
      <c r="H531" s="404" t="str">
        <f>OBRA!AF531</f>
        <v>-</v>
      </c>
      <c r="I531" s="400"/>
      <c r="J531" s="406" t="str">
        <f>OBRA!AG531</f>
        <v>-</v>
      </c>
      <c r="K531" s="401"/>
      <c r="L531" s="404" t="str">
        <f>OBRA!AH531</f>
        <v>-</v>
      </c>
      <c r="M531" s="402"/>
      <c r="N531" s="404" t="str">
        <f>OBRA!AI531</f>
        <v>-</v>
      </c>
      <c r="O531" s="144"/>
      <c r="P531" s="144"/>
      <c r="Q531" s="403"/>
      <c r="R531" s="407" t="str">
        <f>OBRA!AJ531</f>
        <v>-</v>
      </c>
      <c r="S531" s="201"/>
      <c r="T531" s="399" t="str">
        <f>OBRA!W531</f>
        <v>N/A</v>
      </c>
      <c r="U531" s="408" t="str">
        <f>OBRA!X531</f>
        <v>ING. LUIS RIGOBERTO OLMEDO NAVARRO</v>
      </c>
      <c r="V531" s="1090"/>
      <c r="W531" s="19" t="str">
        <f>OBRA!N531</f>
        <v>DOP/AD/005/2021</v>
      </c>
      <c r="X531" s="12"/>
      <c r="Y531" s="12"/>
      <c r="Z531" s="409" t="str">
        <f>OBRA!M531</f>
        <v>CUENTA CORRIENTE</v>
      </c>
      <c r="AA531" s="12"/>
      <c r="AB531" s="2" t="str">
        <f>OBRA!O531</f>
        <v>ADMINISTRACIÓN DIRECTA</v>
      </c>
      <c r="AC531" s="3" t="str">
        <f>OBRA!P531</f>
        <v>"MANO DE OBRA PARA LA REACTIVACIÓN DE LÍNEAS HIDROSANITARIAS EN CALLE JUÁREZ, CALLE 30 DE SEPTIEMBRE Y C. 5 DE MAYO", EN LA DELEGACIÓN DE HUEJOTITÁN, DEL MUNICIPIO DE JOCOTEPEC, JALISCO.</v>
      </c>
      <c r="AD531" s="4">
        <f>OBRA!R531</f>
        <v>266000</v>
      </c>
      <c r="AE531" s="6">
        <f>OBRA!S531</f>
        <v>44225</v>
      </c>
      <c r="AF531" s="5">
        <f>OBRA!T531</f>
        <v>44228</v>
      </c>
      <c r="AG531" s="390">
        <f>OBRA!U531</f>
        <v>44281</v>
      </c>
      <c r="AH531" s="52"/>
      <c r="AI531" s="211"/>
      <c r="AJ531" s="242"/>
      <c r="AK531" s="242"/>
      <c r="AL531" s="394"/>
      <c r="AM531" s="519" t="str">
        <f>GRAL!B533</f>
        <v>2018-2021</v>
      </c>
    </row>
    <row r="532" spans="1:39" ht="30" hidden="1" customHeight="1" thickTop="1">
      <c r="A532" s="158">
        <f>OBRA!J532</f>
        <v>2021</v>
      </c>
      <c r="B532" s="1683"/>
      <c r="C532" s="395"/>
      <c r="D532" s="146"/>
      <c r="E532" s="148"/>
      <c r="F532" s="148"/>
      <c r="G532" s="398"/>
      <c r="H532" s="404" t="str">
        <f>OBRA!AF532</f>
        <v>-</v>
      </c>
      <c r="I532" s="400"/>
      <c r="J532" s="406" t="str">
        <f>OBRA!AG532</f>
        <v>-</v>
      </c>
      <c r="K532" s="401"/>
      <c r="L532" s="404" t="str">
        <f>OBRA!AH532</f>
        <v>-</v>
      </c>
      <c r="M532" s="402"/>
      <c r="N532" s="404" t="str">
        <f>OBRA!AI532</f>
        <v>-</v>
      </c>
      <c r="O532" s="144"/>
      <c r="P532" s="144"/>
      <c r="Q532" s="403"/>
      <c r="R532" s="407" t="str">
        <f>OBRA!AJ532</f>
        <v>-</v>
      </c>
      <c r="S532" s="201"/>
      <c r="T532" s="399" t="str">
        <f>OBRA!W532</f>
        <v>N/A</v>
      </c>
      <c r="U532" s="408" t="str">
        <f>OBRA!X532</f>
        <v>DANIEL RODRIGUEZ</v>
      </c>
      <c r="V532" s="1090"/>
      <c r="W532" s="19" t="str">
        <f>OBRA!N532</f>
        <v>DOP/AD/006/2021</v>
      </c>
      <c r="X532" s="12"/>
      <c r="Y532" s="12"/>
      <c r="Z532" s="409">
        <f>OBRA!M532</f>
        <v>0</v>
      </c>
      <c r="AA532" s="12"/>
      <c r="AB532" s="2" t="str">
        <f>OBRA!O532</f>
        <v>CANCELADA</v>
      </c>
      <c r="AC532" s="3">
        <f>OBRA!P532</f>
        <v>0</v>
      </c>
      <c r="AD532" s="4">
        <f>OBRA!R532</f>
        <v>0</v>
      </c>
      <c r="AE532" s="6">
        <f>OBRA!S532</f>
        <v>0</v>
      </c>
      <c r="AF532" s="5">
        <f>OBRA!T532</f>
        <v>0</v>
      </c>
      <c r="AG532" s="390">
        <f>OBRA!U532</f>
        <v>0</v>
      </c>
      <c r="AH532" s="52"/>
      <c r="AI532" s="211"/>
      <c r="AJ532" s="242"/>
      <c r="AK532" s="242"/>
      <c r="AL532" s="394"/>
      <c r="AM532" s="519" t="str">
        <f>GRAL!B534</f>
        <v>2018-2021</v>
      </c>
    </row>
    <row r="533" spans="1:39" ht="30" hidden="1" customHeight="1" thickTop="1">
      <c r="A533" s="158">
        <f>OBRA!J533</f>
        <v>2021</v>
      </c>
      <c r="B533" s="1683"/>
      <c r="C533" s="395"/>
      <c r="D533" s="146"/>
      <c r="E533" s="148"/>
      <c r="F533" s="148"/>
      <c r="G533" s="398"/>
      <c r="H533" s="404" t="str">
        <f>OBRA!AF533</f>
        <v>-</v>
      </c>
      <c r="I533" s="400"/>
      <c r="J533" s="406" t="str">
        <f>OBRA!AG533</f>
        <v>-</v>
      </c>
      <c r="K533" s="401"/>
      <c r="L533" s="404" t="str">
        <f>OBRA!AH533</f>
        <v>-</v>
      </c>
      <c r="M533" s="402"/>
      <c r="N533" s="404" t="str">
        <f>OBRA!AI533</f>
        <v>-</v>
      </c>
      <c r="O533" s="144"/>
      <c r="P533" s="144"/>
      <c r="Q533" s="403"/>
      <c r="R533" s="407" t="str">
        <f>OBRA!AJ533</f>
        <v>-</v>
      </c>
      <c r="S533" s="201"/>
      <c r="T533" s="399" t="str">
        <f>OBRA!W533</f>
        <v>N/A</v>
      </c>
      <c r="U533" s="408">
        <f>OBRA!X533</f>
        <v>0</v>
      </c>
      <c r="V533" s="1090"/>
      <c r="W533" s="19" t="str">
        <f>OBRA!N533</f>
        <v>DOP/AD/007/2021</v>
      </c>
      <c r="X533" s="12"/>
      <c r="Y533" s="12"/>
      <c r="Z533" s="409" t="str">
        <f>OBRA!M533</f>
        <v>CUENTA CORRIENTE</v>
      </c>
      <c r="AA533" s="12"/>
      <c r="AB533" s="2" t="str">
        <f>OBRA!O533</f>
        <v>CANCELADA</v>
      </c>
      <c r="AC533" s="3" t="str">
        <f>OBRA!P533</f>
        <v xml:space="preserve">“MANO DE OBRA PARA LA REHABILITACIÓN DE LÍNEA DRENAJE EN CALLE LIBERTAD EN LA DELEGACIÓN DE POTRERILLOS”, DEL MUNICIPIO DE JOCOTEPEC, JALISCO. </v>
      </c>
      <c r="AD533" s="4">
        <f>OBRA!R533</f>
        <v>227155</v>
      </c>
      <c r="AE533" s="6">
        <f>OBRA!S533</f>
        <v>44302</v>
      </c>
      <c r="AF533" s="5">
        <f>OBRA!T533</f>
        <v>44228</v>
      </c>
      <c r="AG533" s="390">
        <f>OBRA!U533</f>
        <v>44281</v>
      </c>
      <c r="AH533" s="52"/>
      <c r="AI533" s="211"/>
      <c r="AJ533" s="242"/>
      <c r="AK533" s="242"/>
      <c r="AL533" s="394"/>
      <c r="AM533" s="519" t="str">
        <f>GRAL!B535</f>
        <v>2018-2021</v>
      </c>
    </row>
    <row r="534" spans="1:39" ht="30" hidden="1" customHeight="1" thickTop="1">
      <c r="A534" s="158">
        <f>OBRA!J534</f>
        <v>2021</v>
      </c>
      <c r="B534" s="1683"/>
      <c r="C534" s="395"/>
      <c r="D534" s="146"/>
      <c r="E534" s="148"/>
      <c r="F534" s="148"/>
      <c r="G534" s="398"/>
      <c r="H534" s="404" t="str">
        <f>OBRA!AF534</f>
        <v>-</v>
      </c>
      <c r="I534" s="400"/>
      <c r="J534" s="406" t="str">
        <f>OBRA!AG534</f>
        <v>-</v>
      </c>
      <c r="K534" s="401"/>
      <c r="L534" s="404" t="str">
        <f>OBRA!AH534</f>
        <v>-</v>
      </c>
      <c r="M534" s="402"/>
      <c r="N534" s="404" t="str">
        <f>OBRA!AI534</f>
        <v>-</v>
      </c>
      <c r="O534" s="144"/>
      <c r="P534" s="144"/>
      <c r="Q534" s="403"/>
      <c r="R534" s="407" t="str">
        <f>OBRA!AJ534</f>
        <v>-</v>
      </c>
      <c r="S534" s="201"/>
      <c r="T534" s="399" t="str">
        <f>OBRA!W534</f>
        <v>N/A</v>
      </c>
      <c r="U534" s="408" t="str">
        <f>OBRA!X534</f>
        <v>DANIEL RODRIGUEZ</v>
      </c>
      <c r="V534" s="1090"/>
      <c r="W534" s="19" t="str">
        <f>OBRA!N534</f>
        <v>DOP/AD/008/2021</v>
      </c>
      <c r="X534" s="12"/>
      <c r="Y534" s="12"/>
      <c r="Z534" s="409" t="str">
        <f>OBRA!M534</f>
        <v>RAMO 33</v>
      </c>
      <c r="AA534" s="12"/>
      <c r="AB534" s="2" t="str">
        <f>OBRA!O534</f>
        <v>ADMINISTRACIÓN DIRECTA</v>
      </c>
      <c r="AC534" s="3" t="str">
        <f>OBRA!P534</f>
        <v>"CONSTRUCCIÓN DE DRENAJE SANITARIO EN PRIVADA FRANCISCO VILLA DE LA CALLE 1RO DE MAYO A CERRADA" EN LA DELEGACIÓN DE LA LOMA, EN EL MUNICIPIO DE JOCOTEPEC, JALISCO.</v>
      </c>
      <c r="AD534" s="4">
        <f>OBRA!R534</f>
        <v>113778.58</v>
      </c>
      <c r="AE534" s="6">
        <f>OBRA!S534</f>
        <v>44356</v>
      </c>
      <c r="AF534" s="5">
        <f>OBRA!T534</f>
        <v>44361</v>
      </c>
      <c r="AG534" s="390">
        <f>OBRA!U534</f>
        <v>44379</v>
      </c>
      <c r="AH534" s="52"/>
      <c r="AI534" s="211"/>
      <c r="AJ534" s="242"/>
      <c r="AK534" s="242"/>
      <c r="AL534" s="394"/>
      <c r="AM534" s="519" t="str">
        <f>GRAL!B536</f>
        <v>2018-2021</v>
      </c>
    </row>
    <row r="535" spans="1:39" ht="30" hidden="1" customHeight="1" thickTop="1">
      <c r="A535" s="158">
        <f>OBRA!J535</f>
        <v>2021</v>
      </c>
      <c r="B535" s="1683"/>
      <c r="C535" s="395"/>
      <c r="D535" s="146"/>
      <c r="E535" s="148"/>
      <c r="F535" s="148"/>
      <c r="G535" s="398"/>
      <c r="H535" s="404" t="str">
        <f>OBRA!AF535</f>
        <v>-</v>
      </c>
      <c r="I535" s="400"/>
      <c r="J535" s="406" t="str">
        <f>OBRA!AG535</f>
        <v>-</v>
      </c>
      <c r="K535" s="401"/>
      <c r="L535" s="404" t="str">
        <f>OBRA!AH535</f>
        <v>-</v>
      </c>
      <c r="M535" s="402"/>
      <c r="N535" s="404" t="str">
        <f>OBRA!AI535</f>
        <v>-</v>
      </c>
      <c r="O535" s="144"/>
      <c r="P535" s="144"/>
      <c r="Q535" s="403"/>
      <c r="R535" s="407" t="str">
        <f>OBRA!AJ535</f>
        <v>-</v>
      </c>
      <c r="S535" s="201"/>
      <c r="T535" s="399" t="str">
        <f>OBRA!W535</f>
        <v>N/A</v>
      </c>
      <c r="U535" s="408" t="str">
        <f>OBRA!X535</f>
        <v>DANIEL RODRIGUEZ</v>
      </c>
      <c r="V535" s="1090"/>
      <c r="W535" s="19" t="str">
        <f>OBRA!N535</f>
        <v>DOP/AD/009/2021</v>
      </c>
      <c r="X535" s="12"/>
      <c r="Y535" s="12"/>
      <c r="Z535" s="409" t="str">
        <f>OBRA!M535</f>
        <v>CUENTA CORRIENTE</v>
      </c>
      <c r="AA535" s="12"/>
      <c r="AB535" s="2" t="str">
        <f>OBRA!O535</f>
        <v>CANCELADA</v>
      </c>
      <c r="AC535" s="3" t="str">
        <f>OBRA!P535</f>
        <v>“CONSTRUCCIÓN DE LÍNEA DE AGUA POTABLE EN PRIV. FRANCISCO VILLA DE LA CALLE 1RO DE MAYO A CERRADA”, EN LA DELEGACIÓN DE LA LOMA, EN EL MUNICIPIO DE JOCOTEPEC, JALISCO.</v>
      </c>
      <c r="AD535" s="4">
        <f>OBRA!R535</f>
        <v>77686.679999999993</v>
      </c>
      <c r="AE535" s="6">
        <f>OBRA!S535</f>
        <v>44356</v>
      </c>
      <c r="AF535" s="5">
        <f>OBRA!T535</f>
        <v>44369</v>
      </c>
      <c r="AG535" s="390">
        <f>OBRA!U535</f>
        <v>44383</v>
      </c>
      <c r="AH535" s="52"/>
      <c r="AI535" s="211"/>
      <c r="AJ535" s="242"/>
      <c r="AK535" s="242"/>
      <c r="AL535" s="394"/>
      <c r="AM535" s="519" t="str">
        <f>GRAL!B537</f>
        <v>2018-2021</v>
      </c>
    </row>
    <row r="536" spans="1:39" ht="30" hidden="1" customHeight="1" thickTop="1">
      <c r="A536" s="158">
        <f>OBRA!J537</f>
        <v>2021</v>
      </c>
      <c r="B536" s="1683"/>
      <c r="C536" s="395"/>
      <c r="D536" s="146"/>
      <c r="E536" s="148"/>
      <c r="F536" s="148"/>
      <c r="G536" s="398"/>
      <c r="H536" s="404" t="str">
        <f>OBRA!AF537</f>
        <v>-</v>
      </c>
      <c r="I536" s="400"/>
      <c r="J536" s="406" t="str">
        <f>OBRA!AG537</f>
        <v>-</v>
      </c>
      <c r="K536" s="401"/>
      <c r="L536" s="404" t="str">
        <f>OBRA!AH537</f>
        <v>-</v>
      </c>
      <c r="M536" s="402"/>
      <c r="N536" s="404" t="str">
        <f>OBRA!AI537</f>
        <v>-</v>
      </c>
      <c r="O536" s="144"/>
      <c r="P536" s="144"/>
      <c r="Q536" s="403"/>
      <c r="R536" s="407" t="str">
        <f>OBRA!AJ537</f>
        <v>-</v>
      </c>
      <c r="S536" s="201"/>
      <c r="T536" s="399" t="str">
        <f>OBRA!W537</f>
        <v>N/A</v>
      </c>
      <c r="U536" s="408" t="str">
        <f>OBRA!X537</f>
        <v>ING. LUIS RIGOBERTO OLMEDO NAVARRO</v>
      </c>
      <c r="V536" s="1090"/>
      <c r="W536" s="19" t="str">
        <f>OBRA!N537</f>
        <v>DOP/AD/011/2021</v>
      </c>
      <c r="X536" s="12"/>
      <c r="Y536" s="12"/>
      <c r="Z536" s="409" t="str">
        <f>OBRA!M537</f>
        <v>CUENTA CORRIENTE</v>
      </c>
      <c r="AA536" s="12"/>
      <c r="AB536" s="2" t="str">
        <f>OBRA!O537</f>
        <v>ADMINISTRACIÓN DIRECTA</v>
      </c>
      <c r="AC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OBRA!R537</f>
        <v>271040</v>
      </c>
      <c r="AE536" s="6">
        <f>OBRA!S537</f>
        <v>44232</v>
      </c>
      <c r="AF536" s="5">
        <f>OBRA!T537</f>
        <v>44236</v>
      </c>
      <c r="AG536" s="390">
        <f>OBRA!U537</f>
        <v>44257</v>
      </c>
      <c r="AH536" s="52"/>
      <c r="AI536" s="211"/>
      <c r="AJ536" s="242"/>
      <c r="AK536" s="242"/>
      <c r="AL536" s="394"/>
      <c r="AM536" s="519" t="str">
        <f>GRAL!B539</f>
        <v>2018-2021</v>
      </c>
    </row>
    <row r="537" spans="1:39" ht="30" hidden="1" customHeight="1" thickTop="1">
      <c r="A537" s="158">
        <f>OBRA!J538</f>
        <v>2021</v>
      </c>
      <c r="B537" s="1683"/>
      <c r="C537" s="395"/>
      <c r="D537" s="146"/>
      <c r="E537" s="148"/>
      <c r="F537" s="148"/>
      <c r="G537" s="398"/>
      <c r="H537" s="404" t="str">
        <f>OBRA!AF538</f>
        <v>-</v>
      </c>
      <c r="I537" s="400"/>
      <c r="J537" s="406" t="str">
        <f>OBRA!AG538</f>
        <v>-</v>
      </c>
      <c r="K537" s="401"/>
      <c r="L537" s="404" t="str">
        <f>OBRA!AH538</f>
        <v>-</v>
      </c>
      <c r="M537" s="402"/>
      <c r="N537" s="404" t="str">
        <f>OBRA!AI538</f>
        <v>-</v>
      </c>
      <c r="O537" s="144"/>
      <c r="P537" s="144"/>
      <c r="Q537" s="403"/>
      <c r="R537" s="407" t="str">
        <f>OBRA!AJ538</f>
        <v>-</v>
      </c>
      <c r="S537" s="201"/>
      <c r="T537" s="399" t="str">
        <f>OBRA!W538</f>
        <v>-</v>
      </c>
      <c r="U537" s="408" t="str">
        <f>OBRA!X538</f>
        <v>ARQ. JAIME CONDE GOMEZ</v>
      </c>
      <c r="V537" s="1090"/>
      <c r="W537" s="19" t="str">
        <f>OBRA!N538</f>
        <v>DOP/AD/012/2021</v>
      </c>
      <c r="X537" s="12"/>
      <c r="Y537" s="12"/>
      <c r="Z537" s="409" t="str">
        <f>OBRA!M538</f>
        <v>RASTRO DIGNO 2020</v>
      </c>
      <c r="AA537" s="12"/>
      <c r="AB537" s="2" t="str">
        <f>OBRA!O538</f>
        <v>CANCELADA</v>
      </c>
      <c r="AC537" s="3" t="str">
        <f>OBRA!P538</f>
        <v>“COMPLEMENTO DE OBRA CIVIL EN EL RASTRO MUNICIPAL”, DE LA CABECERA MUNICIPAL DE JOCOTEPEC, JALISCO.</v>
      </c>
      <c r="AD537" s="4">
        <f>OBRA!R538</f>
        <v>124003.71</v>
      </c>
      <c r="AE537" s="6">
        <f>OBRA!S538</f>
        <v>44438</v>
      </c>
      <c r="AF537" s="5">
        <f>OBRA!T538</f>
        <v>44445</v>
      </c>
      <c r="AG537" s="390">
        <f>OBRA!U538</f>
        <v>44463</v>
      </c>
      <c r="AH537" s="52"/>
      <c r="AI537" s="211"/>
      <c r="AJ537" s="242"/>
      <c r="AK537" s="242"/>
      <c r="AL537" s="394"/>
      <c r="AM537" s="519" t="str">
        <f>GRAL!B540</f>
        <v>2018-2021</v>
      </c>
    </row>
    <row r="538" spans="1:39" ht="30" hidden="1" customHeight="1" thickTop="1">
      <c r="A538" s="158">
        <f>OBRA!J539</f>
        <v>2021</v>
      </c>
      <c r="B538" s="1683"/>
      <c r="C538" s="395"/>
      <c r="D538" s="146"/>
      <c r="E538" s="148"/>
      <c r="F538" s="148"/>
      <c r="G538" s="398"/>
      <c r="H538" s="404" t="str">
        <f>OBRA!AF539</f>
        <v>-</v>
      </c>
      <c r="I538" s="400"/>
      <c r="J538" s="406" t="str">
        <f>OBRA!AG539</f>
        <v>-</v>
      </c>
      <c r="K538" s="401"/>
      <c r="L538" s="404" t="str">
        <f>OBRA!AH539</f>
        <v>-</v>
      </c>
      <c r="M538" s="402"/>
      <c r="N538" s="404" t="str">
        <f>OBRA!AI539</f>
        <v>-</v>
      </c>
      <c r="O538" s="144"/>
      <c r="P538" s="144"/>
      <c r="Q538" s="403"/>
      <c r="R538" s="407" t="str">
        <f>OBRA!AJ539</f>
        <v>-</v>
      </c>
      <c r="S538" s="201"/>
      <c r="T538" s="399" t="str">
        <f>OBRA!W539</f>
        <v>N/A</v>
      </c>
      <c r="U538" s="408" t="str">
        <f>OBRA!X539</f>
        <v>ING. J. GUADALUPE IBARRA RAMIREZ</v>
      </c>
      <c r="V538" s="1090"/>
      <c r="W538" s="19" t="str">
        <f>OBRA!N539</f>
        <v>DOP/AD/013/2021</v>
      </c>
      <c r="X538" s="12"/>
      <c r="Y538" s="12"/>
      <c r="Z538" s="409" t="str">
        <f>OBRA!M539</f>
        <v>CUENTA CORRIENTE</v>
      </c>
      <c r="AA538" s="12"/>
      <c r="AB538" s="2" t="str">
        <f>OBRA!O539</f>
        <v>ADMINISTRACIÓN DIRECTA</v>
      </c>
      <c r="AC538" s="3" t="str">
        <f>OBRA!P539</f>
        <v>“MANTENIMIENTO, REPARACIÓN DE SUPERFICIE DE RODAMIENTO EN EMPEDRADO ZAMPEADO (GRIETA SUPERFICIAL Y ESTRUCTURAL), CONSTRUCCIÓN DE MACHUELO EN C. PADRE ADALBERTO MACIAS”, EN LA CABECERA MUNICIPAL DE JOCOTEPEC, JALISCO.</v>
      </c>
      <c r="AD538" s="4">
        <f>OBRA!R539</f>
        <v>168528.09</v>
      </c>
      <c r="AE538" s="6">
        <f>OBRA!S539</f>
        <v>44407</v>
      </c>
      <c r="AF538" s="5">
        <f>OBRA!T539</f>
        <v>44410</v>
      </c>
      <c r="AG538" s="390">
        <f>OBRA!U539</f>
        <v>44469</v>
      </c>
      <c r="AH538" s="52"/>
      <c r="AI538" s="211"/>
      <c r="AJ538" s="242"/>
      <c r="AK538" s="242"/>
      <c r="AL538" s="394"/>
      <c r="AM538" s="519" t="str">
        <f>GRAL!B541</f>
        <v>2018-2021</v>
      </c>
    </row>
    <row r="539" spans="1:39" ht="30" hidden="1" customHeight="1" thickTop="1">
      <c r="A539" s="158">
        <f>OBRA!J540</f>
        <v>2021</v>
      </c>
      <c r="B539" s="1683"/>
      <c r="C539" s="395"/>
      <c r="D539" s="146"/>
      <c r="E539" s="148"/>
      <c r="F539" s="148"/>
      <c r="G539" s="398"/>
      <c r="H539" s="404">
        <f>OBRA!AF540</f>
        <v>0</v>
      </c>
      <c r="I539" s="400"/>
      <c r="J539" s="406">
        <f>OBRA!AG540</f>
        <v>0</v>
      </c>
      <c r="K539" s="401"/>
      <c r="L539" s="404">
        <f>OBRA!AH540</f>
        <v>0</v>
      </c>
      <c r="M539" s="402"/>
      <c r="N539" s="404">
        <f>OBRA!AI540</f>
        <v>0</v>
      </c>
      <c r="O539" s="144"/>
      <c r="P539" s="144"/>
      <c r="Q539" s="403"/>
      <c r="R539" s="407">
        <f>OBRA!AJ540</f>
        <v>0</v>
      </c>
      <c r="S539" s="201"/>
      <c r="T539" s="399" t="str">
        <f>OBRA!W540</f>
        <v>N/A</v>
      </c>
      <c r="U539" s="408" t="str">
        <f>OBRA!X540</f>
        <v>DANIEL RODRIGUEZ</v>
      </c>
      <c r="V539" s="1090"/>
      <c r="W539" s="19" t="str">
        <f>OBRA!N540</f>
        <v>DOP/AD/014/2021</v>
      </c>
      <c r="X539" s="12"/>
      <c r="Y539" s="12"/>
      <c r="Z539" s="409" t="str">
        <f>OBRA!M540</f>
        <v>EMP P/LA REACTIVACIÓN ECONÓMICA EN MPIOS</v>
      </c>
      <c r="AA539" s="12"/>
      <c r="AB539" s="2" t="str">
        <f>OBRA!O540</f>
        <v>ADMINISTRACIÓN DIRECTA</v>
      </c>
      <c r="AC539" s="3" t="str">
        <f>OBRA!P540</f>
        <v>CONSTRUCCIÓN DE EMPEDRADO ZAMPEADO EN VIALIDAD CALLE GUAYABITOS, EN LA LOCALIDAD DE CHANTEPEC, DEL MUNICIPIO DE JOCOTEPEC, JALISCO.</v>
      </c>
      <c r="AD539" s="4">
        <f>OBRA!R540</f>
        <v>80674.649999999994</v>
      </c>
      <c r="AE539" s="6">
        <f>OBRA!S540</f>
        <v>44378</v>
      </c>
      <c r="AF539" s="5">
        <f>OBRA!T540</f>
        <v>44438</v>
      </c>
      <c r="AG539" s="390">
        <f>OBRA!U540</f>
        <v>44464</v>
      </c>
      <c r="AH539" s="52"/>
      <c r="AI539" s="211"/>
      <c r="AJ539" s="242"/>
      <c r="AK539" s="242"/>
      <c r="AL539" s="394"/>
      <c r="AM539" s="519" t="str">
        <f>GRAL!B542</f>
        <v>2018-2021</v>
      </c>
    </row>
    <row r="540" spans="1:39" ht="30" hidden="1" customHeight="1" thickTop="1">
      <c r="A540" s="158">
        <f>OBRA!J541</f>
        <v>2021</v>
      </c>
      <c r="B540" s="1683"/>
      <c r="C540" s="395"/>
      <c r="D540" s="146"/>
      <c r="E540" s="148"/>
      <c r="F540" s="148"/>
      <c r="G540" s="398"/>
      <c r="H540" s="404">
        <f>OBRA!AF541</f>
        <v>0</v>
      </c>
      <c r="I540" s="400"/>
      <c r="J540" s="406">
        <f>OBRA!AG541</f>
        <v>0</v>
      </c>
      <c r="K540" s="401"/>
      <c r="L540" s="404">
        <f>OBRA!AH541</f>
        <v>0</v>
      </c>
      <c r="M540" s="402"/>
      <c r="N540" s="404">
        <f>OBRA!AI541</f>
        <v>0</v>
      </c>
      <c r="O540" s="144"/>
      <c r="P540" s="144"/>
      <c r="Q540" s="403"/>
      <c r="R540" s="407">
        <f>OBRA!AJ541</f>
        <v>0</v>
      </c>
      <c r="S540" s="201"/>
      <c r="T540" s="399" t="str">
        <f>OBRA!W541</f>
        <v>N/A</v>
      </c>
      <c r="U540" s="408" t="str">
        <f>OBRA!X541</f>
        <v>DANIEL RODRIGUEZ</v>
      </c>
      <c r="V540" s="1090"/>
      <c r="W540" s="19" t="str">
        <f>OBRA!N541</f>
        <v>DOP/AD/015/2021</v>
      </c>
      <c r="X540" s="12"/>
      <c r="Y540" s="12"/>
      <c r="Z540" s="409" t="str">
        <f>OBRA!M541</f>
        <v>EMP P/LA REACTIVACIÓN ECONÓMICA EN MPIOS</v>
      </c>
      <c r="AA540" s="12"/>
      <c r="AB540" s="2" t="str">
        <f>OBRA!O541</f>
        <v>ADMINISTRACIÓN DIRECTA</v>
      </c>
      <c r="AC540" s="3" t="str">
        <f>OBRA!P541</f>
        <v>CONSTRUCCIÓN DE EMPEDRADO ZAMPEADO EN LA LOCALIDAD DE LA LOMA</v>
      </c>
      <c r="AD540" s="4">
        <f>OBRA!R541</f>
        <v>966321.38</v>
      </c>
      <c r="AE540" s="6">
        <f>OBRA!S541</f>
        <v>44378</v>
      </c>
      <c r="AF540" s="5">
        <f>OBRA!T541</f>
        <v>44438</v>
      </c>
      <c r="AG540" s="390">
        <f>OBRA!U541</f>
        <v>44452</v>
      </c>
      <c r="AH540" s="52"/>
      <c r="AI540" s="211"/>
      <c r="AJ540" s="242"/>
      <c r="AK540" s="242"/>
      <c r="AL540" s="394"/>
      <c r="AM540" s="519" t="str">
        <f>GRAL!B543</f>
        <v>2018-2021</v>
      </c>
    </row>
    <row r="541" spans="1:39" ht="30" hidden="1" customHeight="1" thickTop="1">
      <c r="A541" s="158">
        <f>OBRA!J542</f>
        <v>2021</v>
      </c>
      <c r="B541" s="1683"/>
      <c r="C541" s="395"/>
      <c r="D541" s="146"/>
      <c r="E541" s="148"/>
      <c r="F541" s="148"/>
      <c r="G541" s="398"/>
      <c r="H541" s="404">
        <f>OBRA!AF542</f>
        <v>0</v>
      </c>
      <c r="I541" s="400"/>
      <c r="J541" s="406">
        <f>OBRA!AG542</f>
        <v>0</v>
      </c>
      <c r="K541" s="401"/>
      <c r="L541" s="404">
        <f>OBRA!AH542</f>
        <v>0</v>
      </c>
      <c r="M541" s="402"/>
      <c r="N541" s="404">
        <f>OBRA!AI542</f>
        <v>0</v>
      </c>
      <c r="O541" s="144"/>
      <c r="P541" s="144"/>
      <c r="Q541" s="403"/>
      <c r="R541" s="407">
        <f>OBRA!AJ542</f>
        <v>0</v>
      </c>
      <c r="S541" s="201"/>
      <c r="T541" s="399" t="str">
        <f>OBRA!W542</f>
        <v>N/A</v>
      </c>
      <c r="U541" s="408" t="str">
        <f>OBRA!X542</f>
        <v>DANIEL RODRIGUEZ</v>
      </c>
      <c r="V541" s="1090"/>
      <c r="W541" s="19" t="str">
        <f>OBRA!N542</f>
        <v>DOP/AD/016/2021</v>
      </c>
      <c r="X541" s="12"/>
      <c r="Y541" s="12"/>
      <c r="Z541" s="409" t="str">
        <f>OBRA!M542</f>
        <v>EMP P/LA REACTIVACIÓN ECONÓMICA EN MPIOS</v>
      </c>
      <c r="AA541" s="12"/>
      <c r="AB541" s="2" t="str">
        <f>OBRA!O542</f>
        <v>ADMINISTRACIÓN DIRECTA</v>
      </c>
      <c r="AC541" s="3" t="str">
        <f>OBRA!P542</f>
        <v>CONSTRUCCIÓN DE EMPEDRADO ZAMPEADO EN LA LOCALIDAD DE LA SAN JUAN COSALA</v>
      </c>
      <c r="AD541" s="4">
        <f>OBRA!R542</f>
        <v>831652.39</v>
      </c>
      <c r="AE541" s="6">
        <f>OBRA!S542</f>
        <v>44378</v>
      </c>
      <c r="AF541" s="5">
        <f>OBRA!T542</f>
        <v>44466</v>
      </c>
      <c r="AG541" s="390">
        <f>OBRA!U542</f>
        <v>44541</v>
      </c>
      <c r="AH541" s="52"/>
      <c r="AI541" s="211"/>
      <c r="AJ541" s="242"/>
      <c r="AK541" s="242"/>
      <c r="AL541" s="394"/>
      <c r="AM541" s="519" t="str">
        <f>GRAL!B544</f>
        <v>2018-2021</v>
      </c>
    </row>
    <row r="542" spans="1:39" ht="30" hidden="1" customHeight="1" thickTop="1">
      <c r="A542" s="158">
        <f>OBRA!J543</f>
        <v>2021</v>
      </c>
      <c r="B542" s="1683"/>
      <c r="C542" s="395"/>
      <c r="D542" s="146"/>
      <c r="E542" s="148"/>
      <c r="F542" s="148"/>
      <c r="G542" s="398"/>
      <c r="H542" s="404">
        <f>OBRA!AF543</f>
        <v>0</v>
      </c>
      <c r="I542" s="400"/>
      <c r="J542" s="406">
        <f>OBRA!AG543</f>
        <v>0</v>
      </c>
      <c r="K542" s="401"/>
      <c r="L542" s="404">
        <f>OBRA!AH543</f>
        <v>0</v>
      </c>
      <c r="M542" s="402"/>
      <c r="N542" s="404">
        <f>OBRA!AI543</f>
        <v>0</v>
      </c>
      <c r="O542" s="144"/>
      <c r="P542" s="144"/>
      <c r="Q542" s="403"/>
      <c r="R542" s="407">
        <f>OBRA!AJ543</f>
        <v>0</v>
      </c>
      <c r="S542" s="201"/>
      <c r="T542" s="399" t="str">
        <f>OBRA!W543</f>
        <v>N/A</v>
      </c>
      <c r="U542" s="408" t="str">
        <f>OBRA!X543</f>
        <v>DANIEL RODRIGUEZ</v>
      </c>
      <c r="V542" s="1090"/>
      <c r="W542" s="19" t="str">
        <f>OBRA!N543</f>
        <v>DOP/AD/017/2021</v>
      </c>
      <c r="X542" s="12"/>
      <c r="Y542" s="12"/>
      <c r="Z542" s="409" t="str">
        <f>OBRA!M543</f>
        <v>EMP P/LA REACTIVACIÓN ECONÓMICA EN MPIOS</v>
      </c>
      <c r="AA542" s="12"/>
      <c r="AB542" s="2" t="str">
        <f>OBRA!O543</f>
        <v>ADMINISTRACIÓN DIRECTA</v>
      </c>
      <c r="AC542" s="3" t="str">
        <f>OBRA!P543</f>
        <v>CONSTRUCCIÓN DE EMPEDRADO ZAMPEADO EN LA LOCALIDAD DE LA NEXTIPAC</v>
      </c>
      <c r="AD542" s="4">
        <f>OBRA!R543</f>
        <v>1965177.84</v>
      </c>
      <c r="AE542" s="6">
        <f>OBRA!S543</f>
        <v>44378</v>
      </c>
      <c r="AF542" s="5">
        <f>OBRA!T543</f>
        <v>44438</v>
      </c>
      <c r="AG542" s="390">
        <f>OBRA!U543</f>
        <v>44492</v>
      </c>
      <c r="AH542" s="52"/>
      <c r="AI542" s="211"/>
      <c r="AJ542" s="242"/>
      <c r="AK542" s="242"/>
      <c r="AL542" s="394"/>
      <c r="AM542" s="519" t="str">
        <f>GRAL!B545</f>
        <v>2018-2021</v>
      </c>
    </row>
    <row r="543" spans="1:39" ht="30" hidden="1" customHeight="1" thickTop="1">
      <c r="A543" s="158">
        <f>OBRA!J544</f>
        <v>2021</v>
      </c>
      <c r="B543" s="1683"/>
      <c r="C543" s="395"/>
      <c r="D543" s="146"/>
      <c r="E543" s="148"/>
      <c r="F543" s="148"/>
      <c r="G543" s="398"/>
      <c r="H543" s="404">
        <f>OBRA!AF544</f>
        <v>0</v>
      </c>
      <c r="I543" s="400"/>
      <c r="J543" s="406">
        <f>OBRA!AG544</f>
        <v>0</v>
      </c>
      <c r="K543" s="401"/>
      <c r="L543" s="404">
        <f>OBRA!AH544</f>
        <v>0</v>
      </c>
      <c r="M543" s="402"/>
      <c r="N543" s="404">
        <f>OBRA!AI544</f>
        <v>0</v>
      </c>
      <c r="O543" s="144"/>
      <c r="P543" s="144"/>
      <c r="Q543" s="403"/>
      <c r="R543" s="407">
        <f>OBRA!AJ544</f>
        <v>0</v>
      </c>
      <c r="S543" s="201"/>
      <c r="T543" s="399" t="str">
        <f>OBRA!W544</f>
        <v>N/A</v>
      </c>
      <c r="U543" s="408" t="str">
        <f>OBRA!X544</f>
        <v>DANIEL RODRIGUEZ</v>
      </c>
      <c r="V543" s="1090"/>
      <c r="W543" s="19" t="str">
        <f>OBRA!N544</f>
        <v>DOP/AD/018/2021</v>
      </c>
      <c r="X543" s="12"/>
      <c r="Y543" s="12"/>
      <c r="Z543" s="409" t="str">
        <f>OBRA!M544</f>
        <v>EMP P/LA REACTIVACIÓN ECONÓMICA EN MPIOS</v>
      </c>
      <c r="AA543" s="12"/>
      <c r="AB543" s="2" t="str">
        <f>OBRA!O544</f>
        <v>ADMINISTRACIÓN DIRECTA</v>
      </c>
      <c r="AC543" s="3" t="str">
        <f>OBRA!P544</f>
        <v>CONSTRUCCIÓN DE EMPEDRADO ZAMPEADO EN VIALIDAD CALLE FERNANDO MONTES DE OCA DE KM  0+000.00 AL KM 0+254.71 (ENTRE CALLE VICENTE SUAREZ Y CALLE SIN, EN LA LOCALIDAD DE EL MOLINO, DEL MUNICIPIO DE JOCOTEPEC, JALISCO.</v>
      </c>
      <c r="AD543" s="4">
        <f>OBRA!R544</f>
        <v>643795.13</v>
      </c>
      <c r="AE543" s="6">
        <f>OBRA!S544</f>
        <v>44378</v>
      </c>
      <c r="AF543" s="5">
        <f>OBRA!T544</f>
        <v>44487</v>
      </c>
      <c r="AG543" s="390">
        <f>OBRA!U544</f>
        <v>44541</v>
      </c>
      <c r="AH543" s="52"/>
      <c r="AI543" s="211"/>
      <c r="AJ543" s="242"/>
      <c r="AK543" s="242"/>
      <c r="AL543" s="394"/>
      <c r="AM543" s="519" t="str">
        <f>GRAL!B546</f>
        <v>2018-2021</v>
      </c>
    </row>
    <row r="544" spans="1:39" ht="30" hidden="1" customHeight="1" thickTop="1">
      <c r="A544" s="158">
        <f>OBRA!J545</f>
        <v>2021</v>
      </c>
      <c r="B544" s="1683"/>
      <c r="C544" s="395"/>
      <c r="D544" s="146"/>
      <c r="E544" s="148"/>
      <c r="F544" s="148"/>
      <c r="G544" s="398"/>
      <c r="H544" s="404">
        <f>OBRA!AF545</f>
        <v>0</v>
      </c>
      <c r="I544" s="400"/>
      <c r="J544" s="406">
        <f>OBRA!AG545</f>
        <v>0</v>
      </c>
      <c r="K544" s="401"/>
      <c r="L544" s="404">
        <f>OBRA!AH545</f>
        <v>0</v>
      </c>
      <c r="M544" s="402"/>
      <c r="N544" s="404">
        <f>OBRA!AI545</f>
        <v>0</v>
      </c>
      <c r="O544" s="144"/>
      <c r="P544" s="144"/>
      <c r="Q544" s="403"/>
      <c r="R544" s="407">
        <f>OBRA!AJ545</f>
        <v>0</v>
      </c>
      <c r="S544" s="201"/>
      <c r="T544" s="399" t="str">
        <f>OBRA!W545</f>
        <v>N/A</v>
      </c>
      <c r="U544" s="408" t="str">
        <f>OBRA!X545</f>
        <v>DANIEL RODRIGUEZ</v>
      </c>
      <c r="V544" s="1090"/>
      <c r="W544" s="19" t="str">
        <f>OBRA!N545</f>
        <v>DOP/AD/019/2021</v>
      </c>
      <c r="X544" s="12"/>
      <c r="Y544" s="12"/>
      <c r="Z544" s="409" t="str">
        <f>OBRA!M545</f>
        <v>EMP P/LA REACTIVACIÓN ECONÓMICA EN MPIOS</v>
      </c>
      <c r="AA544" s="12"/>
      <c r="AB544" s="2" t="str">
        <f>OBRA!O545</f>
        <v>ADMINISTRACIÓN DIRECTA</v>
      </c>
      <c r="AC544" s="3" t="str">
        <f>OBRA!P545</f>
        <v>CONSTRUCCIÓN DE EMPEDRADO ZAMPEADO EN VIALIDAD CALLE LIBERTAD DE KM 0+000.00 AL KM 0+221.00 (ENTRE BENITO JUAREZ A ESMERALDA), EN LA LOCALIDAD DE POTRERILLOS DEL MUNICIPIO DE JOCOTEPEC, JALISCO.</v>
      </c>
      <c r="AD544" s="4">
        <f>OBRA!R545</f>
        <v>512378.61</v>
      </c>
      <c r="AE544" s="6">
        <f>OBRA!S545</f>
        <v>44378</v>
      </c>
      <c r="AF544" s="5">
        <f>OBRA!T545</f>
        <v>44513</v>
      </c>
      <c r="AG544" s="390">
        <f>OBRA!U545</f>
        <v>44541</v>
      </c>
      <c r="AH544" s="52"/>
      <c r="AI544" s="211"/>
      <c r="AJ544" s="242"/>
      <c r="AK544" s="242"/>
      <c r="AL544" s="394"/>
      <c r="AM544" s="519" t="str">
        <f>GRAL!B547</f>
        <v>2018-2021</v>
      </c>
    </row>
    <row r="545" spans="1:39" ht="30" hidden="1" customHeight="1" thickTop="1">
      <c r="A545" s="158">
        <f>OBRA!J546</f>
        <v>2021</v>
      </c>
      <c r="B545" s="1683"/>
      <c r="C545" s="395"/>
      <c r="D545" s="146"/>
      <c r="E545" s="148"/>
      <c r="F545" s="148"/>
      <c r="G545" s="398"/>
      <c r="H545" s="404">
        <f>OBRA!AF546</f>
        <v>0</v>
      </c>
      <c r="I545" s="400"/>
      <c r="J545" s="406">
        <f>OBRA!AG546</f>
        <v>0</v>
      </c>
      <c r="K545" s="401"/>
      <c r="L545" s="404">
        <f>OBRA!AH546</f>
        <v>0</v>
      </c>
      <c r="M545" s="402"/>
      <c r="N545" s="404">
        <f>OBRA!AI546</f>
        <v>0</v>
      </c>
      <c r="O545" s="144"/>
      <c r="P545" s="144"/>
      <c r="Q545" s="403"/>
      <c r="R545" s="407">
        <f>OBRA!AJ546</f>
        <v>0</v>
      </c>
      <c r="S545" s="201"/>
      <c r="T545" s="399">
        <f>OBRA!W546</f>
        <v>0</v>
      </c>
      <c r="U545" s="408">
        <f>OBRA!X546</f>
        <v>0</v>
      </c>
      <c r="V545" s="1090"/>
      <c r="W545" s="19" t="str">
        <f>OBRA!N546</f>
        <v>DOP/AD/020/2021</v>
      </c>
      <c r="X545" s="12"/>
      <c r="Y545" s="12"/>
      <c r="Z545" s="409">
        <f>OBRA!M546</f>
        <v>0</v>
      </c>
      <c r="AA545" s="12"/>
      <c r="AB545" s="2" t="str">
        <f>OBRA!O546</f>
        <v>CANCELADA</v>
      </c>
      <c r="AC545" s="3">
        <f>OBRA!P546</f>
        <v>0</v>
      </c>
      <c r="AD545" s="4">
        <f>OBRA!R546</f>
        <v>0</v>
      </c>
      <c r="AE545" s="6">
        <f>OBRA!S546</f>
        <v>0</v>
      </c>
      <c r="AF545" s="5">
        <f>OBRA!T546</f>
        <v>0</v>
      </c>
      <c r="AG545" s="390">
        <f>OBRA!U546</f>
        <v>0</v>
      </c>
      <c r="AH545" s="52"/>
      <c r="AI545" s="211"/>
      <c r="AJ545" s="242"/>
      <c r="AK545" s="242"/>
      <c r="AL545" s="394"/>
      <c r="AM545" s="519" t="str">
        <f>GRAL!B548</f>
        <v>2018-2021</v>
      </c>
    </row>
    <row r="546" spans="1:39" ht="30" hidden="1" customHeight="1" thickTop="1">
      <c r="A546" s="158">
        <f>OBRA!J547</f>
        <v>2021</v>
      </c>
      <c r="B546" s="1683"/>
      <c r="C546" s="395"/>
      <c r="D546" s="146"/>
      <c r="E546" s="148"/>
      <c r="F546" s="148"/>
      <c r="G546" s="398"/>
      <c r="H546" s="404" t="str">
        <f>OBRA!AF547</f>
        <v>-</v>
      </c>
      <c r="I546" s="400"/>
      <c r="J546" s="406" t="str">
        <f>OBRA!AG547</f>
        <v>-</v>
      </c>
      <c r="K546" s="401"/>
      <c r="L546" s="404" t="str">
        <f>OBRA!AH547</f>
        <v>-</v>
      </c>
      <c r="M546" s="402"/>
      <c r="N546" s="404" t="str">
        <f>OBRA!AI547</f>
        <v>-</v>
      </c>
      <c r="O546" s="144"/>
      <c r="P546" s="144"/>
      <c r="Q546" s="403"/>
      <c r="R546" s="407" t="str">
        <f>OBRA!AJ547</f>
        <v>-</v>
      </c>
      <c r="S546" s="201"/>
      <c r="T546" s="399" t="str">
        <f>OBRA!W547</f>
        <v>URIEL PALOS CUEVAS</v>
      </c>
      <c r="U546" s="408" t="str">
        <f>OBRA!X547</f>
        <v>DANIEL RODRIGUEZ</v>
      </c>
      <c r="V546" s="1090"/>
      <c r="W546" s="19" t="str">
        <f>OBRA!N547</f>
        <v>C- OP 001/2021</v>
      </c>
      <c r="X546" s="12"/>
      <c r="Y546" s="12"/>
      <c r="Z546" s="409" t="str">
        <f>OBRA!M547</f>
        <v>CUENTA CORRIENTE</v>
      </c>
      <c r="AA546" s="12"/>
      <c r="AB546" s="2" t="str">
        <f>OBRA!O547</f>
        <v>ARRENDAMIENTO</v>
      </c>
      <c r="AC546" s="3" t="str">
        <f>OBRA!P547</f>
        <v>RENTA DE CAMIÓN DE VOLTEO MARCA FREIGHTLINER DE 14 M3, PARA SER UTILIZADO EN EL MÓDULO DE MAQUINARÍA DEL MUNICIPIO DE JOCOTEPEC, JALISCO.</v>
      </c>
      <c r="AD546" s="4">
        <f>OBRA!R547</f>
        <v>45000</v>
      </c>
      <c r="AE546" s="6">
        <f>OBRA!S547</f>
        <v>44204</v>
      </c>
      <c r="AF546" s="5">
        <f>OBRA!T547</f>
        <v>44208</v>
      </c>
      <c r="AG546" s="390">
        <f>OBRA!U547</f>
        <v>44298</v>
      </c>
      <c r="AH546" s="52"/>
      <c r="AI546" s="211"/>
      <c r="AJ546" s="242"/>
      <c r="AK546" s="242"/>
      <c r="AL546" s="394"/>
      <c r="AM546" s="519" t="str">
        <f>GRAL!B549</f>
        <v>2018-2021</v>
      </c>
    </row>
    <row r="547" spans="1:39" ht="30" hidden="1" customHeight="1" thickTop="1">
      <c r="A547" s="158">
        <f>OBRA!J548</f>
        <v>2021</v>
      </c>
      <c r="B547" s="1683"/>
      <c r="C547" s="395"/>
      <c r="D547" s="146"/>
      <c r="E547" s="148"/>
      <c r="F547" s="148"/>
      <c r="G547" s="398"/>
      <c r="H547" s="404" t="str">
        <f>OBRA!AF548</f>
        <v>-</v>
      </c>
      <c r="I547" s="400"/>
      <c r="J547" s="406" t="str">
        <f>OBRA!AG548</f>
        <v>-</v>
      </c>
      <c r="K547" s="401"/>
      <c r="L547" s="404" t="str">
        <f>OBRA!AH548</f>
        <v>-</v>
      </c>
      <c r="M547" s="402"/>
      <c r="N547" s="404" t="str">
        <f>OBRA!AI548</f>
        <v>-</v>
      </c>
      <c r="O547" s="144"/>
      <c r="P547" s="144"/>
      <c r="Q547" s="403"/>
      <c r="R547" s="407" t="str">
        <f>OBRA!AJ548</f>
        <v>-</v>
      </c>
      <c r="S547" s="201"/>
      <c r="T547" s="399" t="str">
        <f>OBRA!W548</f>
        <v>GRUPO ARANGE, S.A. DE C.V.</v>
      </c>
      <c r="U547" s="408" t="str">
        <f>OBRA!X548</f>
        <v>DANIEL RODRIGUEZ</v>
      </c>
      <c r="V547" s="1090"/>
      <c r="W547" s="19" t="str">
        <f>OBRA!N548</f>
        <v>C- OP 002/2021</v>
      </c>
      <c r="X547" s="12"/>
      <c r="Y547" s="12"/>
      <c r="Z547" s="409" t="str">
        <f>OBRA!M548</f>
        <v>CUENTA CORRIENTE</v>
      </c>
      <c r="AA547" s="12"/>
      <c r="AB547" s="2" t="str">
        <f>OBRA!O548</f>
        <v>ARRENDAMIENTO</v>
      </c>
      <c r="AC547" s="3" t="str">
        <f>OBRA!P548</f>
        <v>RENTA DE RETROEXCAVADORA MARCA JOHN DEERE MOD 310SJ, PARA SER UTILIZADA EN LIMPIEZA DE CALLES DEL PROGRAMA SADER 2021 DEL MUNICIPIO DE JOCOTEPEC, JALISCO.</v>
      </c>
      <c r="AD547" s="4">
        <f>OBRA!R548</f>
        <v>64960</v>
      </c>
      <c r="AE547" s="6">
        <f>OBRA!S548</f>
        <v>44224</v>
      </c>
      <c r="AF547" s="5">
        <f>OBRA!T548</f>
        <v>44228</v>
      </c>
      <c r="AG547" s="390">
        <f>OBRA!U548</f>
        <v>44255</v>
      </c>
      <c r="AH547" s="52"/>
      <c r="AI547" s="211"/>
      <c r="AJ547" s="242"/>
      <c r="AK547" s="242"/>
      <c r="AL547" s="394"/>
      <c r="AM547" s="519" t="str">
        <f>GRAL!B550</f>
        <v>2018-2021</v>
      </c>
    </row>
    <row r="548" spans="1:39" ht="30" hidden="1" customHeight="1" thickTop="1">
      <c r="A548" s="158">
        <f>OBRA!J549</f>
        <v>2021</v>
      </c>
      <c r="B548" s="1683"/>
      <c r="C548" s="395"/>
      <c r="D548" s="146"/>
      <c r="E548" s="148"/>
      <c r="F548" s="148"/>
      <c r="G548" s="398"/>
      <c r="H548" s="404" t="str">
        <f>OBRA!AF549</f>
        <v>-</v>
      </c>
      <c r="I548" s="400"/>
      <c r="J548" s="406" t="str">
        <f>OBRA!AG549</f>
        <v>-</v>
      </c>
      <c r="K548" s="401"/>
      <c r="L548" s="404" t="str">
        <f>OBRA!AH549</f>
        <v>-</v>
      </c>
      <c r="M548" s="402"/>
      <c r="N548" s="404" t="str">
        <f>OBRA!AI549</f>
        <v>-</v>
      </c>
      <c r="O548" s="144"/>
      <c r="P548" s="144"/>
      <c r="Q548" s="403"/>
      <c r="R548" s="407" t="str">
        <f>OBRA!AJ549</f>
        <v>-</v>
      </c>
      <c r="S548" s="201"/>
      <c r="T548" s="399">
        <f>OBRA!W549</f>
        <v>0</v>
      </c>
      <c r="U548" s="408">
        <f>OBRA!X549</f>
        <v>0</v>
      </c>
      <c r="V548" s="1090"/>
      <c r="W548" s="19" t="str">
        <f>OBRA!N549</f>
        <v>C- OP 003/2021</v>
      </c>
      <c r="X548" s="12"/>
      <c r="Y548" s="12"/>
      <c r="Z548" s="409" t="str">
        <f>OBRA!M549</f>
        <v>CUENTA CORRIENTE</v>
      </c>
      <c r="AA548" s="12"/>
      <c r="AB548" s="2" t="str">
        <f>OBRA!O549</f>
        <v>ARRENDAMIENTO (CANCELADO)</v>
      </c>
      <c r="AC548" s="3">
        <f>OBRA!P549</f>
        <v>0</v>
      </c>
      <c r="AD548" s="4">
        <f>OBRA!R549</f>
        <v>0</v>
      </c>
      <c r="AE548" s="6">
        <f>OBRA!S549</f>
        <v>0</v>
      </c>
      <c r="AF548" s="5">
        <f>OBRA!T549</f>
        <v>0</v>
      </c>
      <c r="AG548" s="390">
        <f>OBRA!U549</f>
        <v>0</v>
      </c>
      <c r="AH548" s="52"/>
      <c r="AI548" s="211"/>
      <c r="AJ548" s="242"/>
      <c r="AK548" s="242"/>
      <c r="AL548" s="394"/>
      <c r="AM548" s="519" t="str">
        <f>GRAL!B551</f>
        <v>2018-2021</v>
      </c>
    </row>
    <row r="549" spans="1:39" ht="30" hidden="1" customHeight="1" thickTop="1">
      <c r="A549" s="158">
        <f>OBRA!J550</f>
        <v>2021</v>
      </c>
      <c r="B549" s="1683"/>
      <c r="C549" s="395"/>
      <c r="D549" s="146"/>
      <c r="E549" s="148"/>
      <c r="F549" s="148"/>
      <c r="G549" s="398"/>
      <c r="H549" s="404" t="str">
        <f>OBRA!AF550</f>
        <v>-</v>
      </c>
      <c r="I549" s="400"/>
      <c r="J549" s="406" t="str">
        <f>OBRA!AG550</f>
        <v>-</v>
      </c>
      <c r="K549" s="401"/>
      <c r="L549" s="404" t="str">
        <f>OBRA!AH550</f>
        <v>-</v>
      </c>
      <c r="M549" s="402"/>
      <c r="N549" s="404" t="str">
        <f>OBRA!AI550</f>
        <v>-</v>
      </c>
      <c r="O549" s="144"/>
      <c r="P549" s="144"/>
      <c r="Q549" s="403"/>
      <c r="R549" s="407" t="str">
        <f>OBRA!AJ550</f>
        <v>-</v>
      </c>
      <c r="S549" s="201"/>
      <c r="T549" s="399" t="str">
        <f>OBRA!W550</f>
        <v>ING. SERGIO CABRERA</v>
      </c>
      <c r="U549" s="408" t="str">
        <f>OBRA!X550</f>
        <v>LIC. SALVADOR CONTRERAS OLGUÍN</v>
      </c>
      <c r="V549" s="1090"/>
      <c r="W549" s="19" t="str">
        <f>OBRA!N550</f>
        <v>C- OP 004/2021</v>
      </c>
      <c r="X549" s="12"/>
      <c r="Y549" s="12"/>
      <c r="Z549" s="409" t="str">
        <f>OBRA!M550</f>
        <v>CUENTA CORRIENTE</v>
      </c>
      <c r="AA549" s="12"/>
      <c r="AB549" s="2" t="str">
        <f>OBRA!O550</f>
        <v>ARRENDAMIENTO</v>
      </c>
      <c r="AC549" s="3" t="str">
        <f>OBRA!P550</f>
        <v>RENTA DE RETROEXCAVADORA CATERPILAR 416E PARA SER UTILIZADA EN LA OBRA: REHABILITACIÓN DE LÍNEAS HIDROSANITARIAS EN CALLE JUÁREZ, CALLE 30 DE SEPTIEMBRE Y C. 5 DE MAYO" EN LA DELEGACIÓN DE HUEJOTITÁN, DEL MUNICIPIO DE JOCOTEPEC, JALISCO.</v>
      </c>
      <c r="AD549" s="4">
        <f>OBRA!R550</f>
        <v>580</v>
      </c>
      <c r="AE549" s="6">
        <f>OBRA!S550</f>
        <v>44227</v>
      </c>
      <c r="AF549" s="5" t="str">
        <f>OBRA!T550</f>
        <v>-</v>
      </c>
      <c r="AG549" s="390" t="str">
        <f>OBRA!U550</f>
        <v>-</v>
      </c>
      <c r="AH549" s="52"/>
      <c r="AI549" s="211"/>
      <c r="AJ549" s="242"/>
      <c r="AK549" s="242"/>
      <c r="AL549" s="394"/>
      <c r="AM549" s="519" t="str">
        <f>GRAL!B552</f>
        <v>2018-2021</v>
      </c>
    </row>
    <row r="550" spans="1:39" ht="30" hidden="1" customHeight="1" thickTop="1">
      <c r="A550" s="158">
        <f>OBRA!J551</f>
        <v>2021</v>
      </c>
      <c r="B550" s="1683"/>
      <c r="C550" s="395"/>
      <c r="D550" s="146"/>
      <c r="E550" s="148"/>
      <c r="F550" s="148"/>
      <c r="G550" s="398"/>
      <c r="H550" s="404" t="str">
        <f>OBRA!AF551</f>
        <v>-</v>
      </c>
      <c r="I550" s="400"/>
      <c r="J550" s="406" t="str">
        <f>OBRA!AG551</f>
        <v>-</v>
      </c>
      <c r="K550" s="401"/>
      <c r="L550" s="404" t="str">
        <f>OBRA!AH551</f>
        <v>-</v>
      </c>
      <c r="M550" s="402"/>
      <c r="N550" s="404" t="str">
        <f>OBRA!AI551</f>
        <v>-</v>
      </c>
      <c r="O550" s="144"/>
      <c r="P550" s="144"/>
      <c r="Q550" s="403"/>
      <c r="R550" s="407" t="str">
        <f>OBRA!AJ551</f>
        <v>-</v>
      </c>
      <c r="S550" s="201"/>
      <c r="T550" s="399" t="str">
        <f>OBRA!W551</f>
        <v>ING. SERGIO CABRERA</v>
      </c>
      <c r="U550" s="408" t="str">
        <f>OBRA!X551</f>
        <v>LIC. SALVADOR CONTRERAS OLGUÍN</v>
      </c>
      <c r="V550" s="1090"/>
      <c r="W550" s="19" t="str">
        <f>OBRA!N551</f>
        <v>C- OP 005/2021</v>
      </c>
      <c r="X550" s="12"/>
      <c r="Y550" s="12"/>
      <c r="Z550" s="409" t="str">
        <f>OBRA!M551</f>
        <v>CUENTA CORRIENTE</v>
      </c>
      <c r="AA550" s="12"/>
      <c r="AB550" s="2" t="str">
        <f>OBRA!O551</f>
        <v>ARRENDAMIENTO</v>
      </c>
      <c r="AC550" s="3" t="str">
        <f>OBRA!P551</f>
        <v>RENTA DE CAMIÓN DE 14 M3, PARA SER UTILIZADO EN LA OBRA: REHABILITACIÓN DE LÍNEAS HIDROSANITARIAS EN CALLE JUÁREZ, CALLE 30 DE SEPTIEMBRE Y C. 5 DE MAYO" EN LA DELEGACIÓN DE HUEJOTITÁN, DEL MUNICIPIO DE JOCOTEPEC, JALISCO.</v>
      </c>
      <c r="AD550" s="4">
        <f>OBRA!R551</f>
        <v>696</v>
      </c>
      <c r="AE550" s="6">
        <f>OBRA!S551</f>
        <v>44227</v>
      </c>
      <c r="AF550" s="5" t="str">
        <f>OBRA!T551</f>
        <v>-</v>
      </c>
      <c r="AG550" s="390" t="str">
        <f>OBRA!U551</f>
        <v>-</v>
      </c>
      <c r="AH550" s="52"/>
      <c r="AI550" s="211"/>
      <c r="AJ550" s="242"/>
      <c r="AK550" s="242"/>
      <c r="AL550" s="394"/>
      <c r="AM550" s="519" t="str">
        <f>GRAL!B553</f>
        <v>2018-2021</v>
      </c>
    </row>
    <row r="551" spans="1:39" ht="30" hidden="1" customHeight="1" thickTop="1">
      <c r="A551" s="158">
        <f>OBRA!J552</f>
        <v>2021</v>
      </c>
      <c r="B551" s="1683"/>
      <c r="C551" s="395"/>
      <c r="D551" s="146"/>
      <c r="E551" s="148"/>
      <c r="F551" s="148"/>
      <c r="G551" s="398"/>
      <c r="H551" s="404" t="str">
        <f>OBRA!AF552</f>
        <v>-</v>
      </c>
      <c r="I551" s="400"/>
      <c r="J551" s="406" t="str">
        <f>OBRA!AG552</f>
        <v>-</v>
      </c>
      <c r="K551" s="401"/>
      <c r="L551" s="404" t="str">
        <f>OBRA!AH552</f>
        <v>-</v>
      </c>
      <c r="M551" s="402"/>
      <c r="N551" s="404" t="str">
        <f>OBRA!AI552</f>
        <v>-</v>
      </c>
      <c r="O551" s="144"/>
      <c r="P551" s="144"/>
      <c r="Q551" s="403"/>
      <c r="R551" s="407" t="str">
        <f>OBRA!AJ552</f>
        <v>-</v>
      </c>
      <c r="S551" s="201"/>
      <c r="T551" s="399" t="str">
        <f>OBRA!W552</f>
        <v xml:space="preserve">SEBASTIAN MARQUEZ RAMOS </v>
      </c>
      <c r="U551" s="408" t="str">
        <f>OBRA!X552</f>
        <v>DANIEL RODRIGUEZ</v>
      </c>
      <c r="V551" s="1090"/>
      <c r="W551" s="19" t="str">
        <f>OBRA!N552</f>
        <v>C- OP 006/2021</v>
      </c>
      <c r="X551" s="12"/>
      <c r="Y551" s="12"/>
      <c r="Z551" s="409" t="str">
        <f>OBRA!M552</f>
        <v>CUENTA CORRIENTE</v>
      </c>
      <c r="AA551" s="12"/>
      <c r="AB551" s="2" t="str">
        <f>OBRA!O552</f>
        <v>ARRENDAMIENTO</v>
      </c>
      <c r="AC551" s="3" t="str">
        <f>OBRA!P552</f>
        <v>RENTA DE CAMIÓN TIPO PIPA MARCA DINA MOD. 1982 CON CAPACIDAD DE 8,000 LITROS PARA ACARRERO DE AGUA, PARA SER UTILIZADA EN LAS OBRAS DEL PROGRAMA SADER 2020 EN EL MUNICIPIO.</v>
      </c>
      <c r="AD551" s="4">
        <f>OBRA!R552</f>
        <v>23200</v>
      </c>
      <c r="AE551" s="6">
        <f>OBRA!S552</f>
        <v>44263</v>
      </c>
      <c r="AF551" s="5" t="str">
        <f>OBRA!T552</f>
        <v>-</v>
      </c>
      <c r="AG551" s="390" t="str">
        <f>OBRA!U552</f>
        <v>-</v>
      </c>
      <c r="AH551" s="52"/>
      <c r="AI551" s="211"/>
      <c r="AJ551" s="242"/>
      <c r="AK551" s="242"/>
      <c r="AL551" s="394"/>
      <c r="AM551" s="519" t="str">
        <f>GRAL!B554</f>
        <v>2018-2021</v>
      </c>
    </row>
    <row r="552" spans="1:39" ht="30" hidden="1" customHeight="1" thickTop="1">
      <c r="A552" s="158">
        <f>OBRA!J553</f>
        <v>2021</v>
      </c>
      <c r="B552" s="1683"/>
      <c r="C552" s="395"/>
      <c r="D552" s="146"/>
      <c r="E552" s="148"/>
      <c r="F552" s="148"/>
      <c r="G552" s="398"/>
      <c r="H552" s="404" t="str">
        <f>OBRA!AF553</f>
        <v>-</v>
      </c>
      <c r="I552" s="400"/>
      <c r="J552" s="406" t="str">
        <f>OBRA!AG553</f>
        <v>-</v>
      </c>
      <c r="K552" s="401"/>
      <c r="L552" s="404" t="str">
        <f>OBRA!AH553</f>
        <v>-</v>
      </c>
      <c r="M552" s="402"/>
      <c r="N552" s="404" t="str">
        <f>OBRA!AI553</f>
        <v>-</v>
      </c>
      <c r="O552" s="144"/>
      <c r="P552" s="144"/>
      <c r="Q552" s="403"/>
      <c r="R552" s="407" t="str">
        <f>OBRA!AJ553</f>
        <v>-</v>
      </c>
      <c r="S552" s="201"/>
      <c r="T552" s="399" t="str">
        <f>OBRA!W553</f>
        <v>GRUPO ARANGE, S.A. DE C.V.</v>
      </c>
      <c r="U552" s="408" t="str">
        <f>OBRA!X553</f>
        <v>DANIEL RODRIGUEZ</v>
      </c>
      <c r="V552" s="1090"/>
      <c r="W552" s="19" t="str">
        <f>OBRA!N553</f>
        <v>C- OP 007/2021</v>
      </c>
      <c r="X552" s="12"/>
      <c r="Y552" s="12"/>
      <c r="Z552" s="409" t="str">
        <f>OBRA!M553</f>
        <v>CUENTA CORRIENTE</v>
      </c>
      <c r="AA552" s="12"/>
      <c r="AB552" s="2" t="str">
        <f>OBRA!O553</f>
        <v>ARRENDAMIENTO</v>
      </c>
      <c r="AC552" s="3" t="str">
        <f>OBRA!P553</f>
        <v>RENTA DE CAMIÓN TIPO PIPA MARCA DINA MOD. 1982 CON CAPACIDAD DE 8,000 LITROS PARA ACARRERO DE AGUA, PARA SER UTILIZADA EN LAS OBRAS DEL PROGRAMA SADER 2020 EN EL MUNICIPIO.</v>
      </c>
      <c r="AD552" s="4">
        <f>OBRA!R553</f>
        <v>23200</v>
      </c>
      <c r="AE552" s="6">
        <f>OBRA!S553</f>
        <v>44263</v>
      </c>
      <c r="AF552" s="5" t="str">
        <f>OBRA!T553</f>
        <v>-</v>
      </c>
      <c r="AG552" s="390" t="str">
        <f>OBRA!U553</f>
        <v>-</v>
      </c>
      <c r="AH552" s="52"/>
      <c r="AI552" s="211"/>
      <c r="AJ552" s="242"/>
      <c r="AK552" s="242"/>
      <c r="AL552" s="394"/>
      <c r="AM552" s="519" t="str">
        <f>GRAL!B555</f>
        <v>2018-2021</v>
      </c>
    </row>
    <row r="553" spans="1:39" ht="30" hidden="1" customHeight="1" thickTop="1">
      <c r="A553" s="158">
        <f>OBRA!J554</f>
        <v>2021</v>
      </c>
      <c r="B553" s="1683"/>
      <c r="C553" s="395"/>
      <c r="D553" s="146"/>
      <c r="E553" s="148"/>
      <c r="F553" s="148"/>
      <c r="G553" s="398"/>
      <c r="H553" s="404" t="str">
        <f>OBRA!AF554</f>
        <v>-</v>
      </c>
      <c r="I553" s="400"/>
      <c r="J553" s="406" t="str">
        <f>OBRA!AG554</f>
        <v>-</v>
      </c>
      <c r="K553" s="401"/>
      <c r="L553" s="404" t="str">
        <f>OBRA!AH554</f>
        <v>-</v>
      </c>
      <c r="M553" s="402"/>
      <c r="N553" s="404" t="str">
        <f>OBRA!AI554</f>
        <v>-</v>
      </c>
      <c r="O553" s="144"/>
      <c r="P553" s="144"/>
      <c r="Q553" s="403"/>
      <c r="R553" s="407" t="str">
        <f>OBRA!AJ554</f>
        <v>-</v>
      </c>
      <c r="S553" s="201"/>
      <c r="T553" s="399" t="str">
        <f>OBRA!W554</f>
        <v>INDUSTRIAS UNIDAS BOGDAN, S.A. DE C.V.</v>
      </c>
      <c r="U553" s="408" t="str">
        <f>OBRA!X554</f>
        <v>DANIEL RODRIGUEZ</v>
      </c>
      <c r="V553" s="1090"/>
      <c r="W553" s="19" t="str">
        <f>OBRA!N554</f>
        <v>C- OP 008/2021</v>
      </c>
      <c r="X553" s="12"/>
      <c r="Y553" s="12"/>
      <c r="Z553" s="409" t="str">
        <f>OBRA!M554</f>
        <v>CUENTA CORRIENTE</v>
      </c>
      <c r="AA553" s="12"/>
      <c r="AB553" s="2" t="str">
        <f>OBRA!O554</f>
        <v>ARRENDAMIENTO</v>
      </c>
      <c r="AC553" s="3" t="str">
        <f>OBRA!P554</f>
        <v>RENTA DE CAMIÓN DE VOLTEO MARCA FREIGHTLINER DE 7 M3, PARA SER UTILIZADO EN LA CONSTRUCCIÓN DE DRENAJE SANITARIO EN PRIVADA FRANCISCO VILLA DE LA CALLE 1RO DE MAYO A CERRADA, EN LA LOCALIDAD DE LA LOMA, DEL MUNICIPIO DE JOCOTEPEC, JALISCO.</v>
      </c>
      <c r="AD553" s="4">
        <f>OBRA!R554</f>
        <v>4686.3999999999996</v>
      </c>
      <c r="AE553" s="6">
        <f>OBRA!S554</f>
        <v>44364</v>
      </c>
      <c r="AF553" s="5" t="str">
        <f>OBRA!T554</f>
        <v>-</v>
      </c>
      <c r="AG553" s="390" t="str">
        <f>OBRA!U554</f>
        <v>-</v>
      </c>
      <c r="AH553" s="52"/>
      <c r="AI553" s="211"/>
      <c r="AJ553" s="242"/>
      <c r="AK553" s="242"/>
      <c r="AL553" s="394"/>
      <c r="AM553" s="519" t="str">
        <f>GRAL!B556</f>
        <v>2018-2021</v>
      </c>
    </row>
    <row r="554" spans="1:39" ht="30" hidden="1" customHeight="1" thickTop="1">
      <c r="A554" s="158">
        <f>OBRA!J555</f>
        <v>2021</v>
      </c>
      <c r="B554" s="1683"/>
      <c r="C554" s="395"/>
      <c r="D554" s="146"/>
      <c r="E554" s="148"/>
      <c r="F554" s="148"/>
      <c r="G554" s="398"/>
      <c r="H554" s="404" t="str">
        <f>OBRA!AF555</f>
        <v>-</v>
      </c>
      <c r="I554" s="400"/>
      <c r="J554" s="406" t="str">
        <f>OBRA!AG555</f>
        <v>-</v>
      </c>
      <c r="K554" s="401"/>
      <c r="L554" s="404" t="str">
        <f>OBRA!AH555</f>
        <v>-</v>
      </c>
      <c r="M554" s="402"/>
      <c r="N554" s="404" t="str">
        <f>OBRA!AI555</f>
        <v>-</v>
      </c>
      <c r="O554" s="144"/>
      <c r="P554" s="144"/>
      <c r="Q554" s="403"/>
      <c r="R554" s="407" t="str">
        <f>OBRA!AJ555</f>
        <v>-</v>
      </c>
      <c r="S554" s="201"/>
      <c r="T554" s="399" t="str">
        <f>OBRA!W555</f>
        <v>INDUSTRIAS UNIDAS BOGDAN, S.A. DE C.V.</v>
      </c>
      <c r="U554" s="408" t="str">
        <f>OBRA!X555</f>
        <v>DANIEL RODRIGUEZ</v>
      </c>
      <c r="V554" s="1090"/>
      <c r="W554" s="19" t="str">
        <f>OBRA!N555</f>
        <v>C- OP 009/2021</v>
      </c>
      <c r="X554" s="12"/>
      <c r="Y554" s="12"/>
      <c r="Z554" s="409" t="str">
        <f>OBRA!M555</f>
        <v>CUENTA CORRIENTE</v>
      </c>
      <c r="AA554" s="12"/>
      <c r="AB554" s="2" t="str">
        <f>OBRA!O555</f>
        <v>ARRENDAMIENTO</v>
      </c>
      <c r="AC554" s="3" t="str">
        <f>OBRA!P555</f>
        <v>RENTA DE RETROEXCAVADORA CATERPILAR 416E PARA SER UTILIZADA EN LA CONSTRUCCIÓN DE DRENAJE SANITARIO EN PRIVADA FRANCISCO VILLA DE LA CALLE 1RO DE MAYO A CERRADA, EN LA LOCALIDAD DE LA LOMA, DEL MUNICIPIO DE JOCOTEPEC, JALISCO.</v>
      </c>
      <c r="AD554" s="4">
        <f>OBRA!R555</f>
        <v>554.48</v>
      </c>
      <c r="AE554" s="6">
        <f>OBRA!S555</f>
        <v>44364</v>
      </c>
      <c r="AF554" s="5" t="str">
        <f>OBRA!T555</f>
        <v>-</v>
      </c>
      <c r="AG554" s="390" t="str">
        <f>OBRA!U555</f>
        <v>-</v>
      </c>
      <c r="AH554" s="52"/>
      <c r="AI554" s="211"/>
      <c r="AJ554" s="242"/>
      <c r="AK554" s="242"/>
      <c r="AL554" s="394"/>
      <c r="AM554" s="519" t="str">
        <f>GRAL!B557</f>
        <v>2018-2021</v>
      </c>
    </row>
    <row r="555" spans="1:39" ht="30" hidden="1" customHeight="1" thickTop="1">
      <c r="A555" s="158">
        <f>OBRA!J556</f>
        <v>2021</v>
      </c>
      <c r="B555" s="1683"/>
      <c r="C555" s="395"/>
      <c r="D555" s="146"/>
      <c r="E555" s="148"/>
      <c r="F555" s="148"/>
      <c r="G555" s="398"/>
      <c r="H555" s="404" t="str">
        <f>OBRA!AF556</f>
        <v>-</v>
      </c>
      <c r="I555" s="400"/>
      <c r="J555" s="406" t="str">
        <f>OBRA!AG556</f>
        <v>-</v>
      </c>
      <c r="K555" s="401"/>
      <c r="L555" s="404" t="str">
        <f>OBRA!AH556</f>
        <v>-</v>
      </c>
      <c r="M555" s="402"/>
      <c r="N555" s="404" t="str">
        <f>OBRA!AI556</f>
        <v>-</v>
      </c>
      <c r="O555" s="144"/>
      <c r="P555" s="144"/>
      <c r="Q555" s="403"/>
      <c r="R555" s="407" t="str">
        <f>OBRA!AJ556</f>
        <v>-</v>
      </c>
      <c r="S555" s="201"/>
      <c r="T555" s="399" t="str">
        <f>OBRA!W556</f>
        <v>J. TRINIDAD NÚÑEZ BRITO</v>
      </c>
      <c r="U555" s="408" t="str">
        <f>OBRA!X556</f>
        <v>ING. MIGUEL MACHUCA HERNÁNDEZ</v>
      </c>
      <c r="V555" s="1090"/>
      <c r="W555" s="19" t="str">
        <f>OBRA!N556</f>
        <v>C.P.S.P. D.O.P. 001/2021</v>
      </c>
      <c r="X555" s="12"/>
      <c r="Y555" s="12"/>
      <c r="Z555" s="409" t="str">
        <f>OBRA!M556</f>
        <v>CUENTA CORRIENTE</v>
      </c>
      <c r="AA555" s="12"/>
      <c r="AB555" s="2" t="str">
        <f>OBRA!O556</f>
        <v>SERVICIOS</v>
      </c>
      <c r="AC555" s="3" t="str">
        <f>OBRA!P556</f>
        <v>ESTUDIO GEOHIDROLÓGICO-GEOFÍSICOS PARA LOCALIZACIÓN Y/O PERFORACIÓN DE POZO PARA AGUA POTABLE UBICADO EN CALLE MORELOS EN LA AGENCIA DE NEXTIPAC, DEL MUNICIPIO DE JOCOTEPEC, JALISCO.</v>
      </c>
      <c r="AD555" s="4">
        <f>OBRA!R556</f>
        <v>11600</v>
      </c>
      <c r="AE555" s="6">
        <f>OBRA!S556</f>
        <v>44204</v>
      </c>
      <c r="AF555" s="5">
        <f>OBRA!T556</f>
        <v>44207</v>
      </c>
      <c r="AG555" s="390">
        <f>OBRA!U556</f>
        <v>44214</v>
      </c>
      <c r="AH555" s="52"/>
      <c r="AI555" s="211"/>
      <c r="AJ555" s="242"/>
      <c r="AK555" s="242"/>
      <c r="AL555" s="394"/>
      <c r="AM555" s="519" t="str">
        <f>GRAL!B558</f>
        <v>2018-2021</v>
      </c>
    </row>
    <row r="556" spans="1:39" ht="30" hidden="1" customHeight="1" thickTop="1">
      <c r="A556" s="158">
        <f>OBRA!J557</f>
        <v>2021</v>
      </c>
      <c r="B556" s="1683"/>
      <c r="C556" s="395"/>
      <c r="D556" s="146"/>
      <c r="E556" s="148"/>
      <c r="F556" s="148"/>
      <c r="G556" s="398"/>
      <c r="H556" s="404" t="str">
        <f>OBRA!AF557</f>
        <v>-</v>
      </c>
      <c r="I556" s="400"/>
      <c r="J556" s="406" t="str">
        <f>OBRA!AG557</f>
        <v>-</v>
      </c>
      <c r="K556" s="401"/>
      <c r="L556" s="404" t="str">
        <f>OBRA!AH557</f>
        <v>-</v>
      </c>
      <c r="M556" s="402"/>
      <c r="N556" s="404" t="str">
        <f>OBRA!AI557</f>
        <v>-</v>
      </c>
      <c r="O556" s="144"/>
      <c r="P556" s="144"/>
      <c r="Q556" s="403"/>
      <c r="R556" s="407" t="str">
        <f>OBRA!AJ557</f>
        <v>-</v>
      </c>
      <c r="S556" s="201"/>
      <c r="T556" s="399">
        <f>OBRA!W557</f>
        <v>0</v>
      </c>
      <c r="U556" s="408">
        <f>OBRA!X557</f>
        <v>0</v>
      </c>
      <c r="V556" s="1090"/>
      <c r="W556" s="19" t="str">
        <f>OBRA!N557</f>
        <v>C.P.S.P. D.O.P. 002/2021</v>
      </c>
      <c r="X556" s="12"/>
      <c r="Y556" s="12"/>
      <c r="Z556" s="409" t="str">
        <f>OBRA!M557</f>
        <v>CUENTA CORRIENTE</v>
      </c>
      <c r="AA556" s="12"/>
      <c r="AB556" s="2" t="str">
        <f>OBRA!O557</f>
        <v>SERVICIOS (CANCELADO)</v>
      </c>
      <c r="AC556" s="3">
        <f>OBRA!P557</f>
        <v>0</v>
      </c>
      <c r="AD556" s="4">
        <f>OBRA!R557</f>
        <v>0</v>
      </c>
      <c r="AE556" s="6">
        <f>OBRA!S557</f>
        <v>0</v>
      </c>
      <c r="AF556" s="5">
        <f>OBRA!T557</f>
        <v>0</v>
      </c>
      <c r="AG556" s="390">
        <f>OBRA!U557</f>
        <v>0</v>
      </c>
      <c r="AH556" s="52"/>
      <c r="AI556" s="211"/>
      <c r="AJ556" s="242"/>
      <c r="AK556" s="242"/>
      <c r="AL556" s="394"/>
      <c r="AM556" s="519" t="str">
        <f>GRAL!B559</f>
        <v>2018-2021</v>
      </c>
    </row>
    <row r="557" spans="1:39" ht="30" hidden="1" customHeight="1" thickTop="1">
      <c r="A557" s="158">
        <f>OBRA!J558</f>
        <v>2021</v>
      </c>
      <c r="B557" s="1683"/>
      <c r="C557" s="395"/>
      <c r="D557" s="146"/>
      <c r="E557" s="148"/>
      <c r="F557" s="148"/>
      <c r="G557" s="398"/>
      <c r="H557" s="404" t="str">
        <f>OBRA!AF558</f>
        <v>-</v>
      </c>
      <c r="I557" s="400"/>
      <c r="J557" s="406" t="str">
        <f>OBRA!AG558</f>
        <v>-</v>
      </c>
      <c r="K557" s="401"/>
      <c r="L557" s="404" t="str">
        <f>OBRA!AH558</f>
        <v>-</v>
      </c>
      <c r="M557" s="402"/>
      <c r="N557" s="404" t="str">
        <f>OBRA!AI558</f>
        <v>-</v>
      </c>
      <c r="O557" s="144"/>
      <c r="P557" s="144"/>
      <c r="Q557" s="403"/>
      <c r="R557" s="407" t="str">
        <f>OBRA!AJ558</f>
        <v>-</v>
      </c>
      <c r="S557" s="201"/>
      <c r="T557" s="399" t="str">
        <f>OBRA!W558</f>
        <v>ARGUELLES ARQUITECTOS, S.A. DE C.V.</v>
      </c>
      <c r="U557" s="408" t="str">
        <f>OBRA!X558</f>
        <v>ARQ. FRANCISCO SALAZAR</v>
      </c>
      <c r="V557" s="1090"/>
      <c r="W557" s="19" t="str">
        <f>OBRA!N558</f>
        <v>C.P.S.P. D.O.P. 003/2021</v>
      </c>
      <c r="X557" s="12"/>
      <c r="Y557" s="12"/>
      <c r="Z557" s="409" t="str">
        <f>OBRA!M558</f>
        <v>CUENTA CORRIENTE</v>
      </c>
      <c r="AA557" s="12"/>
      <c r="AB557" s="2" t="str">
        <f>OBRA!O558</f>
        <v>SERVICIOS</v>
      </c>
      <c r="AC557" s="3" t="str">
        <f>OBRA!P558</f>
        <v>GESTIÓN DE: "LICENCIA DEL PERMISO PARA REMOZAMIENTO Y MEJORAMIENTO DE IMAGEN URBANA EN EL TEMPLO DEL SEÑOR DEL MONTE", EN LA CABECERA MUNICIPAL DE JOCOTEPEC, JALISCO.</v>
      </c>
      <c r="AD557" s="4">
        <f>OBRA!R558</f>
        <v>23200</v>
      </c>
      <c r="AE557" s="6">
        <f>OBRA!S558</f>
        <v>44212</v>
      </c>
      <c r="AF557" s="5" t="str">
        <f>OBRA!T558</f>
        <v>-</v>
      </c>
      <c r="AG557" s="390" t="str">
        <f>OBRA!U558</f>
        <v>-</v>
      </c>
      <c r="AH557" s="52"/>
      <c r="AI557" s="211"/>
      <c r="AJ557" s="242"/>
      <c r="AK557" s="242"/>
      <c r="AL557" s="394"/>
      <c r="AM557" s="519" t="str">
        <f>GRAL!B560</f>
        <v>2018-2021</v>
      </c>
    </row>
    <row r="558" spans="1:39" ht="30" hidden="1" customHeight="1" thickTop="1">
      <c r="A558" s="158">
        <f>OBRA!J559</f>
        <v>2021</v>
      </c>
      <c r="B558" s="1683"/>
      <c r="C558" s="395"/>
      <c r="D558" s="146"/>
      <c r="E558" s="148"/>
      <c r="F558" s="148"/>
      <c r="G558" s="398"/>
      <c r="H558" s="404" t="str">
        <f>OBRA!AF559</f>
        <v>-</v>
      </c>
      <c r="I558" s="400"/>
      <c r="J558" s="406" t="str">
        <f>OBRA!AG559</f>
        <v>-</v>
      </c>
      <c r="K558" s="401"/>
      <c r="L558" s="404" t="str">
        <f>OBRA!AH559</f>
        <v>-</v>
      </c>
      <c r="M558" s="402"/>
      <c r="N558" s="404" t="str">
        <f>OBRA!AI559</f>
        <v>-</v>
      </c>
      <c r="O558" s="144"/>
      <c r="P558" s="144"/>
      <c r="Q558" s="403"/>
      <c r="R558" s="407" t="str">
        <f>OBRA!AJ559</f>
        <v>-</v>
      </c>
      <c r="S558" s="201"/>
      <c r="T558" s="399">
        <f>OBRA!W559</f>
        <v>0</v>
      </c>
      <c r="U558" s="408">
        <f>OBRA!X559</f>
        <v>0</v>
      </c>
      <c r="V558" s="1090"/>
      <c r="W558" s="19" t="str">
        <f>OBRA!N559</f>
        <v>C.P.S.P. D.O.P. 004/2021</v>
      </c>
      <c r="X558" s="12"/>
      <c r="Y558" s="12"/>
      <c r="Z558" s="409" t="str">
        <f>OBRA!M559</f>
        <v>CUENTA CORRIENTE</v>
      </c>
      <c r="AA558" s="12"/>
      <c r="AB558" s="2" t="str">
        <f>OBRA!O559</f>
        <v>SERVICIOS (CANCELADO)</v>
      </c>
      <c r="AC558" s="3">
        <f>OBRA!P559</f>
        <v>0</v>
      </c>
      <c r="AD558" s="4">
        <f>OBRA!R559</f>
        <v>0</v>
      </c>
      <c r="AE558" s="6">
        <f>OBRA!S559</f>
        <v>0</v>
      </c>
      <c r="AF558" s="5">
        <f>OBRA!T559</f>
        <v>0</v>
      </c>
      <c r="AG558" s="390">
        <f>OBRA!U559</f>
        <v>0</v>
      </c>
      <c r="AH558" s="52"/>
      <c r="AI558" s="211"/>
      <c r="AJ558" s="242"/>
      <c r="AK558" s="242"/>
      <c r="AL558" s="394"/>
      <c r="AM558" s="519" t="str">
        <f>GRAL!B561</f>
        <v>2018-2021</v>
      </c>
    </row>
    <row r="559" spans="1:39" ht="30" hidden="1" customHeight="1" thickTop="1">
      <c r="A559" s="158">
        <f>OBRA!J560</f>
        <v>2021</v>
      </c>
      <c r="B559" s="1683"/>
      <c r="C559" s="395"/>
      <c r="D559" s="146"/>
      <c r="E559" s="148"/>
      <c r="F559" s="148"/>
      <c r="G559" s="398"/>
      <c r="H559" s="404" t="str">
        <f>OBRA!AF560</f>
        <v>-</v>
      </c>
      <c r="I559" s="400"/>
      <c r="J559" s="406" t="str">
        <f>OBRA!AG560</f>
        <v>-</v>
      </c>
      <c r="K559" s="401"/>
      <c r="L559" s="404" t="str">
        <f>OBRA!AH560</f>
        <v>-</v>
      </c>
      <c r="M559" s="402"/>
      <c r="N559" s="404" t="str">
        <f>OBRA!AI560</f>
        <v>-</v>
      </c>
      <c r="O559" s="144"/>
      <c r="P559" s="144"/>
      <c r="Q559" s="403"/>
      <c r="R559" s="407" t="str">
        <f>OBRA!AJ560</f>
        <v>-</v>
      </c>
      <c r="S559" s="201"/>
      <c r="T559" s="399" t="str">
        <f>OBRA!W560</f>
        <v>ING. JUAN IGNACIO NAVARRO BALTAZAR</v>
      </c>
      <c r="U559" s="408">
        <f>OBRA!X560</f>
        <v>0</v>
      </c>
      <c r="V559" s="1090"/>
      <c r="W559" s="19" t="str">
        <f>OBRA!N560</f>
        <v>C.P.S.P. D.O.P. 005/2021</v>
      </c>
      <c r="X559" s="12"/>
      <c r="Y559" s="12"/>
      <c r="Z559" s="409" t="str">
        <f>OBRA!M560</f>
        <v>CUENTA CORRIENTE</v>
      </c>
      <c r="AA559" s="12"/>
      <c r="AB559" s="2" t="str">
        <f>OBRA!O560</f>
        <v>SERVICIOS</v>
      </c>
      <c r="AC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OBRA!R560</f>
        <v>16239.999999999998</v>
      </c>
      <c r="AE559" s="6">
        <f>OBRA!S560</f>
        <v>44400</v>
      </c>
      <c r="AF559" s="5">
        <f>OBRA!T560</f>
        <v>0</v>
      </c>
      <c r="AG559" s="390">
        <f>OBRA!U560</f>
        <v>0</v>
      </c>
      <c r="AH559" s="52"/>
      <c r="AI559" s="211"/>
      <c r="AJ559" s="242"/>
      <c r="AK559" s="242"/>
      <c r="AL559" s="394"/>
      <c r="AM559" s="519" t="str">
        <f>GRAL!B562</f>
        <v>2018-2021</v>
      </c>
    </row>
    <row r="560" spans="1:39" ht="30" hidden="1" customHeight="1" thickTop="1">
      <c r="A560" s="158">
        <f>OBRA!J561</f>
        <v>2021</v>
      </c>
      <c r="B560" s="1683"/>
      <c r="C560" s="395"/>
      <c r="D560" s="146"/>
      <c r="E560" s="148"/>
      <c r="F560" s="148"/>
      <c r="G560" s="398"/>
      <c r="H560" s="404" t="str">
        <f>OBRA!AF561</f>
        <v>-</v>
      </c>
      <c r="I560" s="400"/>
      <c r="J560" s="406" t="str">
        <f>OBRA!AG561</f>
        <v>-</v>
      </c>
      <c r="K560" s="401"/>
      <c r="L560" s="404" t="str">
        <f>OBRA!AH561</f>
        <v>-</v>
      </c>
      <c r="M560" s="402"/>
      <c r="N560" s="404" t="str">
        <f>OBRA!AI561</f>
        <v>-</v>
      </c>
      <c r="O560" s="144"/>
      <c r="P560" s="144"/>
      <c r="Q560" s="403"/>
      <c r="R560" s="407" t="str">
        <f>OBRA!AJ561</f>
        <v>-</v>
      </c>
      <c r="S560" s="201"/>
      <c r="T560" s="399">
        <f>OBRA!W561</f>
        <v>0</v>
      </c>
      <c r="U560" s="408">
        <f>OBRA!X561</f>
        <v>0</v>
      </c>
      <c r="V560" s="1090"/>
      <c r="W560" s="19" t="str">
        <f>OBRA!N561</f>
        <v>C.P.S.P. D.O.P. 006/2021</v>
      </c>
      <c r="X560" s="12"/>
      <c r="Y560" s="12"/>
      <c r="Z560" s="409" t="str">
        <f>OBRA!M561</f>
        <v>CUENTA CORRIENTE</v>
      </c>
      <c r="AA560" s="12"/>
      <c r="AB560" s="2" t="str">
        <f>OBRA!O561</f>
        <v>SERVICIOS (CANCELADO)</v>
      </c>
      <c r="AC560" s="3">
        <f>OBRA!P561</f>
        <v>0</v>
      </c>
      <c r="AD560" s="4">
        <f>OBRA!R561</f>
        <v>0</v>
      </c>
      <c r="AE560" s="6">
        <f>OBRA!S561</f>
        <v>0</v>
      </c>
      <c r="AF560" s="5">
        <f>OBRA!T561</f>
        <v>0</v>
      </c>
      <c r="AG560" s="390">
        <f>OBRA!U561</f>
        <v>0</v>
      </c>
      <c r="AH560" s="52"/>
      <c r="AI560" s="211"/>
      <c r="AJ560" s="242"/>
      <c r="AK560" s="242"/>
      <c r="AL560" s="394"/>
      <c r="AM560" s="519" t="str">
        <f>GRAL!B563</f>
        <v>2018-2021</v>
      </c>
    </row>
    <row r="561" spans="1:39" ht="30" hidden="1" customHeight="1" thickTop="1">
      <c r="A561" s="158">
        <f>OBRA!J562</f>
        <v>2021</v>
      </c>
      <c r="B561" s="1683"/>
      <c r="C561" s="395"/>
      <c r="D561" s="146"/>
      <c r="E561" s="148"/>
      <c r="F561" s="148"/>
      <c r="G561" s="398"/>
      <c r="H561" s="404" t="str">
        <f>OBRA!AF562</f>
        <v>-</v>
      </c>
      <c r="I561" s="400"/>
      <c r="J561" s="406" t="str">
        <f>OBRA!AG562</f>
        <v>-</v>
      </c>
      <c r="K561" s="401"/>
      <c r="L561" s="404" t="str">
        <f>OBRA!AH562</f>
        <v>-</v>
      </c>
      <c r="M561" s="402"/>
      <c r="N561" s="404" t="str">
        <f>OBRA!AI562</f>
        <v>-</v>
      </c>
      <c r="O561" s="144"/>
      <c r="P561" s="144"/>
      <c r="Q561" s="403"/>
      <c r="R561" s="407" t="str">
        <f>OBRA!AJ562</f>
        <v>-</v>
      </c>
      <c r="S561" s="201"/>
      <c r="T561" s="399" t="str">
        <f>OBRA!W562</f>
        <v>ECCOC DE GUADALAJARA, S.A. DE C.V.</v>
      </c>
      <c r="U561" s="408">
        <f>OBRA!X562</f>
        <v>0</v>
      </c>
      <c r="V561" s="1090"/>
      <c r="W561" s="19" t="str">
        <f>OBRA!N562</f>
        <v>C.P.S.P. D.O.P. 007/2021</v>
      </c>
      <c r="X561" s="12"/>
      <c r="Y561" s="12"/>
      <c r="Z561" s="409" t="str">
        <f>OBRA!M562</f>
        <v>CUENTA CORRIENTE</v>
      </c>
      <c r="AA561" s="12"/>
      <c r="AB561" s="2" t="str">
        <f>OBRA!O562</f>
        <v>SERVICIOS</v>
      </c>
      <c r="AC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OBRA!R562</f>
        <v>16240</v>
      </c>
      <c r="AE561" s="6">
        <f>OBRA!S562</f>
        <v>44441</v>
      </c>
      <c r="AF561" s="5" t="str">
        <f>OBRA!T562</f>
        <v>-</v>
      </c>
      <c r="AG561" s="390" t="str">
        <f>OBRA!U562</f>
        <v>-</v>
      </c>
      <c r="AH561" s="52"/>
      <c r="AI561" s="211"/>
      <c r="AJ561" s="242"/>
      <c r="AK561" s="242"/>
      <c r="AL561" s="394"/>
      <c r="AM561" s="519" t="str">
        <f>GRAL!B564</f>
        <v>2018-2021</v>
      </c>
    </row>
    <row r="562" spans="1:39" ht="30" hidden="1" customHeight="1" thickTop="1">
      <c r="A562" s="158">
        <f>OBRA!J563</f>
        <v>2021</v>
      </c>
      <c r="B562" s="1683"/>
      <c r="C562" s="395"/>
      <c r="D562" s="146"/>
      <c r="E562" s="148"/>
      <c r="F562" s="148"/>
      <c r="G562" s="398"/>
      <c r="H562" s="404" t="str">
        <f>OBRA!AF563</f>
        <v>-</v>
      </c>
      <c r="I562" s="400"/>
      <c r="J562" s="406" t="str">
        <f>OBRA!AG563</f>
        <v>-</v>
      </c>
      <c r="K562" s="401"/>
      <c r="L562" s="404" t="str">
        <f>OBRA!AH563</f>
        <v>-</v>
      </c>
      <c r="M562" s="402"/>
      <c r="N562" s="404" t="str">
        <f>OBRA!AI563</f>
        <v>-</v>
      </c>
      <c r="O562" s="144"/>
      <c r="P562" s="144"/>
      <c r="Q562" s="403"/>
      <c r="R562" s="407" t="str">
        <f>OBRA!AJ563</f>
        <v>-</v>
      </c>
      <c r="S562" s="201"/>
      <c r="T562" s="399" t="str">
        <f>OBRA!W563</f>
        <v>ING. MARCO ANTONIO PAREDES RODRÍGUEZ</v>
      </c>
      <c r="U562" s="408">
        <f>OBRA!X563</f>
        <v>0</v>
      </c>
      <c r="V562" s="1090"/>
      <c r="W562" s="19" t="str">
        <f>OBRA!N563</f>
        <v>C.P.S.P. D.O.P. 008/2021</v>
      </c>
      <c r="X562" s="12"/>
      <c r="Y562" s="12"/>
      <c r="Z562" s="409" t="str">
        <f>OBRA!M563</f>
        <v>CUENTA CORRIENTE</v>
      </c>
      <c r="AA562" s="12"/>
      <c r="AB562" s="2" t="str">
        <f>OBRA!O563</f>
        <v>SERVICIOS</v>
      </c>
      <c r="AC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OBRA!R563</f>
        <v>226407.64</v>
      </c>
      <c r="AE562" s="6">
        <f>OBRA!S563</f>
        <v>44435</v>
      </c>
      <c r="AF562" s="5" t="str">
        <f>OBRA!T563</f>
        <v>-</v>
      </c>
      <c r="AG562" s="390" t="str">
        <f>OBRA!U563</f>
        <v>-</v>
      </c>
      <c r="AH562" s="52"/>
      <c r="AI562" s="211"/>
      <c r="AJ562" s="242"/>
      <c r="AK562" s="242"/>
      <c r="AL562" s="394"/>
      <c r="AM562" s="519" t="str">
        <f>GRAL!B565</f>
        <v>2018-2021</v>
      </c>
    </row>
    <row r="563" spans="1:39" ht="30" hidden="1" customHeight="1" thickTop="1">
      <c r="A563" s="158">
        <f>OBRA!J564</f>
        <v>2021</v>
      </c>
      <c r="B563" s="1683"/>
      <c r="C563" s="395"/>
      <c r="D563" s="146"/>
      <c r="E563" s="148"/>
      <c r="F563" s="148"/>
      <c r="G563" s="398"/>
      <c r="H563" s="404" t="str">
        <f>OBRA!AF564</f>
        <v>-</v>
      </c>
      <c r="I563" s="400"/>
      <c r="J563" s="406" t="str">
        <f>OBRA!AG564</f>
        <v>-</v>
      </c>
      <c r="K563" s="401"/>
      <c r="L563" s="404" t="str">
        <f>OBRA!AH564</f>
        <v>-</v>
      </c>
      <c r="M563" s="402"/>
      <c r="N563" s="404" t="str">
        <f>OBRA!AI564</f>
        <v>-</v>
      </c>
      <c r="O563" s="144"/>
      <c r="P563" s="144"/>
      <c r="Q563" s="403"/>
      <c r="R563" s="407" t="str">
        <f>OBRA!AJ564</f>
        <v>-</v>
      </c>
      <c r="S563" s="201"/>
      <c r="T563" s="399" t="str">
        <f>OBRA!W564</f>
        <v>KRISPOD CONSTRUCTORA, DISEÑO Y CONSTRUCCIÓN S.A. DE C.V.</v>
      </c>
      <c r="U563" s="408">
        <f>OBRA!X564</f>
        <v>0</v>
      </c>
      <c r="V563" s="1090"/>
      <c r="W563" s="19" t="str">
        <f>OBRA!N564</f>
        <v>C.P.S.P. D.O.P. 009/2021</v>
      </c>
      <c r="X563" s="12"/>
      <c r="Y563" s="12"/>
      <c r="Z563" s="409" t="str">
        <f>OBRA!M564</f>
        <v>CUENTA CORRIENTE</v>
      </c>
      <c r="AA563" s="12"/>
      <c r="AB563" s="2" t="str">
        <f>OBRA!O564</f>
        <v>SERVICIOS</v>
      </c>
      <c r="AC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OBRA!R564</f>
        <v>91300</v>
      </c>
      <c r="AE563" s="6">
        <f>OBRA!S564</f>
        <v>44432</v>
      </c>
      <c r="AF563" s="5" t="str">
        <f>OBRA!T564</f>
        <v>-</v>
      </c>
      <c r="AG563" s="390" t="str">
        <f>OBRA!U564</f>
        <v>-</v>
      </c>
      <c r="AH563" s="52"/>
      <c r="AI563" s="211"/>
      <c r="AJ563" s="242"/>
      <c r="AK563" s="242"/>
      <c r="AL563" s="394"/>
      <c r="AM563" s="519" t="str">
        <f>GRAL!B566</f>
        <v>2018-2021</v>
      </c>
    </row>
    <row r="564" spans="1:39" ht="30" hidden="1" customHeight="1" thickTop="1">
      <c r="A564" s="158">
        <f>OBRA!J565</f>
        <v>2021</v>
      </c>
      <c r="B564" s="1683"/>
      <c r="C564" s="395"/>
      <c r="D564" s="146"/>
      <c r="E564" s="148"/>
      <c r="F564" s="148"/>
      <c r="G564" s="398"/>
      <c r="H564" s="404" t="str">
        <f>OBRA!AF565</f>
        <v>-</v>
      </c>
      <c r="I564" s="400"/>
      <c r="J564" s="406" t="str">
        <f>OBRA!AG565</f>
        <v>-</v>
      </c>
      <c r="K564" s="401"/>
      <c r="L564" s="404" t="str">
        <f>OBRA!AH565</f>
        <v>-</v>
      </c>
      <c r="M564" s="402"/>
      <c r="N564" s="404" t="str">
        <f>OBRA!AI565</f>
        <v>-</v>
      </c>
      <c r="O564" s="144"/>
      <c r="P564" s="144"/>
      <c r="Q564" s="403"/>
      <c r="R564" s="407" t="str">
        <f>OBRA!AJ565</f>
        <v>-</v>
      </c>
      <c r="S564" s="201"/>
      <c r="T564" s="399" t="str">
        <f>OBRA!W565</f>
        <v>JESSICA MONSERRAT RIVERA TORRES</v>
      </c>
      <c r="U564" s="408" t="str">
        <f>OBRA!X565</f>
        <v>ING. MIGUEL MACHUCA HERNÁNDEZ / ING. LUIS RIGOBERTO OLMEDO NAVARRO</v>
      </c>
      <c r="V564" s="1090"/>
      <c r="W564" s="19" t="str">
        <f>OBRA!N565</f>
        <v>GMJ 001C- OP/2021</v>
      </c>
      <c r="X564" s="12"/>
      <c r="Y564" s="12"/>
      <c r="Z564" s="409" t="str">
        <f>OBRA!M565</f>
        <v>CUENTA CORRIENTE</v>
      </c>
      <c r="AA564" s="12"/>
      <c r="AB564" s="2" t="str">
        <f>OBRA!O565</f>
        <v>ADJUDICACIÓN DIRECTA</v>
      </c>
      <c r="AC564" s="3" t="str">
        <f>OBRA!P565</f>
        <v>"PERFORACIÓN DE POZO PROFUNDO "MORELOS" A 250 ML", EN LA AGENCIA MUNICIPAL DE NEXTIPAC, DEL MUNICIPIO DE JOCOTEPEC, JALISCO.</v>
      </c>
      <c r="AD564" s="4">
        <f>OBRA!R565</f>
        <v>1300000</v>
      </c>
      <c r="AE564" s="6">
        <f>OBRA!S565</f>
        <v>44208</v>
      </c>
      <c r="AF564" s="5">
        <f>OBRA!T565</f>
        <v>44231</v>
      </c>
      <c r="AG564" s="390">
        <f>OBRA!U565</f>
        <v>44377</v>
      </c>
      <c r="AH564" s="52"/>
      <c r="AI564" s="211"/>
      <c r="AJ564" s="242"/>
      <c r="AK564" s="242"/>
      <c r="AL564" s="394"/>
      <c r="AM564" s="519" t="str">
        <f>GRAL!B567</f>
        <v>2018-2021</v>
      </c>
    </row>
    <row r="565" spans="1:39" ht="198" customHeight="1" thickTop="1">
      <c r="A565" s="158">
        <f>OBRA!J566</f>
        <v>2021</v>
      </c>
      <c r="B565" s="1685" t="str">
        <f>W565</f>
        <v>GMJ 002C- OP/2021</v>
      </c>
      <c r="C565" s="1271" t="s">
        <v>3801</v>
      </c>
      <c r="D565" s="1593" t="s">
        <v>5803</v>
      </c>
      <c r="E565" s="148" t="s">
        <v>3811</v>
      </c>
      <c r="F565" s="1337" t="s">
        <v>3809</v>
      </c>
      <c r="G565" s="503" t="s">
        <v>3801</v>
      </c>
      <c r="H565" s="580">
        <f>OBRA!AF566</f>
        <v>44198</v>
      </c>
      <c r="I565" s="503" t="s">
        <v>3801</v>
      </c>
      <c r="J565" s="1316">
        <f>OBRA!AG566</f>
        <v>44200</v>
      </c>
      <c r="K565" s="524" t="s">
        <v>3801</v>
      </c>
      <c r="L565" s="1316">
        <f>OBRA!AH566</f>
        <v>44198</v>
      </c>
      <c r="M565" s="502" t="s">
        <v>3801</v>
      </c>
      <c r="N565" s="580">
        <f>OBRA!AI566</f>
        <v>44203</v>
      </c>
      <c r="O565" s="166" t="s">
        <v>4590</v>
      </c>
      <c r="P565" s="547">
        <v>0.5</v>
      </c>
      <c r="Q565" s="502" t="s">
        <v>3801</v>
      </c>
      <c r="R565" s="580">
        <f>OBRA!AJ566</f>
        <v>44209</v>
      </c>
      <c r="S565" s="1333" t="s">
        <v>3802</v>
      </c>
      <c r="T565" s="148" t="str">
        <f>OBRA!W566</f>
        <v>CONCRETOS, ASFALTOS Y CIMENTACIONES EDIR, S.A. DE C.V.</v>
      </c>
      <c r="U565" s="55" t="str">
        <f>OBRA!X566</f>
        <v xml:space="preserve">ING. ENRIQUE ENRÍQUEZ VÁZQUEZ </v>
      </c>
      <c r="V565" s="1454"/>
      <c r="W565" s="33" t="str">
        <f>OBRA!N566</f>
        <v>GMJ 002C- OP/2021</v>
      </c>
      <c r="X565" s="1324" t="s">
        <v>3798</v>
      </c>
      <c r="Y565" s="412" t="str">
        <f>GRAL!Y568</f>
        <v>6241-2-25.1-050-304 / 6231-2-25.1-050-303 / 6151-2-25.1-050-305</v>
      </c>
      <c r="Z565" s="412" t="str">
        <f>OBRA!M566</f>
        <v>RAMO 33</v>
      </c>
      <c r="AA565" s="12" t="s">
        <v>2360</v>
      </c>
      <c r="AB565" s="2" t="str">
        <f>OBRA!O566</f>
        <v>CONCURSO SIMPLIFICADO SUMARIO</v>
      </c>
      <c r="AC565" s="3" t="str">
        <f>OBRA!P566</f>
        <v>"REHABILITACIÓN DE LÍNEAS HIDROSANITARÍAS CON REPOSICIÓN DE SUPERFICIE DE RODAMIENTO EN CALLE MORELOS DE CALLE NICOLÁS BRAVO A CALLE GONZÁLEZ ORTEGA" EN LA CABECERA MUNICIPAL DE JOCOTEPEC, JALISCO, (NEXTIPAC).</v>
      </c>
      <c r="AD565" s="79">
        <f>OBRA!R566</f>
        <v>2242164.25</v>
      </c>
      <c r="AE565" s="67">
        <f>OBRA!S566</f>
        <v>44210</v>
      </c>
      <c r="AF565" s="5">
        <f>OBRA!T566</f>
        <v>44211</v>
      </c>
      <c r="AG565" s="1351">
        <f>OBRA!U566</f>
        <v>44270</v>
      </c>
      <c r="AH565" s="1353" t="s">
        <v>3816</v>
      </c>
      <c r="AI565" s="19" t="s">
        <v>2310</v>
      </c>
      <c r="AJ565" s="1" t="s">
        <v>1428</v>
      </c>
      <c r="AK565" s="1324" t="s">
        <v>3801</v>
      </c>
      <c r="AL565" s="1324" t="s">
        <v>3801</v>
      </c>
      <c r="AM565" s="478" t="str">
        <f>GRAL!B568</f>
        <v>2018-2021</v>
      </c>
    </row>
    <row r="566" spans="1:39" ht="30" hidden="1" customHeight="1" thickTop="1">
      <c r="A566" s="158">
        <f>OBRA!J567</f>
        <v>2021</v>
      </c>
      <c r="B566" s="1683"/>
      <c r="C566" s="395"/>
      <c r="D566" s="146"/>
      <c r="E566" s="148"/>
      <c r="F566" s="148"/>
      <c r="G566" s="398"/>
      <c r="H566" s="404" t="str">
        <f>OBRA!AF567</f>
        <v>-</v>
      </c>
      <c r="I566" s="400"/>
      <c r="J566" s="406" t="str">
        <f>OBRA!AG567</f>
        <v>-</v>
      </c>
      <c r="K566" s="401"/>
      <c r="L566" s="404" t="str">
        <f>OBRA!AH567</f>
        <v>-</v>
      </c>
      <c r="M566" s="402"/>
      <c r="N566" s="404" t="str">
        <f>OBRA!AI567</f>
        <v>-</v>
      </c>
      <c r="O566" s="144"/>
      <c r="P566" s="144"/>
      <c r="Q566" s="403"/>
      <c r="R566" s="407" t="str">
        <f>OBRA!AJ567</f>
        <v>-</v>
      </c>
      <c r="S566" s="201"/>
      <c r="T566" s="399" t="str">
        <f>OBRA!W567</f>
        <v>C. SERGIO CABRERA</v>
      </c>
      <c r="U566" s="408" t="str">
        <f>OBRA!X567</f>
        <v xml:space="preserve">ING. ENRIQUE ENRÍQUEZ VÁZQUEZ </v>
      </c>
      <c r="V566" s="1090"/>
      <c r="W566" s="19" t="str">
        <f>OBRA!N567</f>
        <v>GMJ 003C- OP/2021</v>
      </c>
      <c r="X566" s="12"/>
      <c r="Y566" s="12"/>
      <c r="Z566" s="409" t="str">
        <f>OBRA!M567</f>
        <v>CUENTA CORRIENTE</v>
      </c>
      <c r="AA566" s="12"/>
      <c r="AB566" s="2" t="str">
        <f>OBRA!O567</f>
        <v>CANCELADA</v>
      </c>
      <c r="AC566" s="3" t="str">
        <f>OBRA!P567</f>
        <v>"IMAGEN URBANA EN CALLE MORELOS DE CALLE NICOLÁS BRAVO A PRIVADA GONZÁLEZ ORTEGA", EN LA CABECERA MUNICIPAL DE JOCOTEPEC, JALISCO, (NEXTIPAC).</v>
      </c>
      <c r="AD566" s="4">
        <f>OBRA!R567</f>
        <v>195609.22</v>
      </c>
      <c r="AE566" s="6">
        <f>OBRA!S567</f>
        <v>44208</v>
      </c>
      <c r="AF566" s="5">
        <f>OBRA!T567</f>
        <v>44242</v>
      </c>
      <c r="AG566" s="390">
        <f>OBRA!U567</f>
        <v>44270</v>
      </c>
      <c r="AH566" s="52"/>
      <c r="AI566" s="211"/>
      <c r="AJ566" s="242"/>
      <c r="AK566" s="242"/>
      <c r="AL566" s="394"/>
      <c r="AM566" s="519" t="str">
        <f>GRAL!B569</f>
        <v>2018-2021</v>
      </c>
    </row>
    <row r="567" spans="1:39" ht="219" customHeight="1">
      <c r="A567" s="158">
        <f>OBRA!J568</f>
        <v>2021</v>
      </c>
      <c r="B567" s="1685" t="str">
        <f>W567</f>
        <v>GMJ 004C- OP/2021</v>
      </c>
      <c r="C567" s="1271" t="s">
        <v>3797</v>
      </c>
      <c r="D567" s="1593" t="s">
        <v>5803</v>
      </c>
      <c r="E567" s="148" t="s">
        <v>3811</v>
      </c>
      <c r="F567" s="1337" t="s">
        <v>3809</v>
      </c>
      <c r="G567" s="503" t="s">
        <v>5805</v>
      </c>
      <c r="H567" s="580">
        <f>OBRA!AF568</f>
        <v>44198</v>
      </c>
      <c r="I567" s="502" t="s">
        <v>3797</v>
      </c>
      <c r="J567" s="581">
        <f>OBRA!AG568</f>
        <v>44200</v>
      </c>
      <c r="K567" s="524" t="s">
        <v>3797</v>
      </c>
      <c r="L567" s="580">
        <f>OBRA!AH568</f>
        <v>44200</v>
      </c>
      <c r="M567" s="1919"/>
      <c r="N567" s="1920" t="str">
        <f>OBRA!AI568</f>
        <v>FALTA</v>
      </c>
      <c r="O567" s="580"/>
      <c r="P567" s="580"/>
      <c r="Q567" s="1921"/>
      <c r="R567" s="1922" t="str">
        <f>OBRA!AJ568</f>
        <v>FALTA</v>
      </c>
      <c r="S567" s="1330" t="s">
        <v>3799</v>
      </c>
      <c r="T567" s="148" t="str">
        <f>OBRA!W568</f>
        <v>TERRACERÍAS Y PAVIMENTOS DE LA RIBERA, S.A. DE C.V.</v>
      </c>
      <c r="U567" s="55" t="str">
        <f>OBRA!X568</f>
        <v xml:space="preserve">ING. ENRIQUE ENRÍQUEZ VÁZQUEZ </v>
      </c>
      <c r="V567" s="1454"/>
      <c r="W567" s="33" t="str">
        <f>OBRA!N568</f>
        <v>GMJ 004C- OP/2021</v>
      </c>
      <c r="X567" s="1324" t="s">
        <v>3798</v>
      </c>
      <c r="Y567" s="412" t="str">
        <f>GRAL!Y570</f>
        <v>6241-2-25.1-050-304 / 6231-2-235.1-050-303 / 6151-2-25.1-050-305</v>
      </c>
      <c r="Z567" s="12" t="str">
        <f>OBRA!M568</f>
        <v>RAMO 33</v>
      </c>
      <c r="AA567" s="12" t="s">
        <v>2360</v>
      </c>
      <c r="AB567" s="2" t="str">
        <f>OBRA!O568</f>
        <v>CONCURSO SIMPLIFICADO SUMARIO</v>
      </c>
      <c r="AC567" s="3" t="str">
        <f>OBRA!P568</f>
        <v>"REHABILITACIÓN DE LÍNEAS HDROSANITARIAS CON REPOSICIÓN DE SUPERFICIE DE RODAMIENTO EN CALLE MORELOS DE CALLE GONZÁLEZ ORTEGA A CALLE CRISTOBAL COLÓN, EN LA CABECERA MUNICIPAL DE JOCOTEPEC, JALISCO (NEXTIPAC).</v>
      </c>
      <c r="AD567" s="79">
        <f>OBRA!R568</f>
        <v>8221905.6500000004</v>
      </c>
      <c r="AE567" s="67">
        <f>OBRA!S568</f>
        <v>44210</v>
      </c>
      <c r="AF567" s="5">
        <f>OBRA!T568</f>
        <v>44211</v>
      </c>
      <c r="AG567" s="1351">
        <f>OBRA!U568</f>
        <v>44266</v>
      </c>
      <c r="AH567" s="1353" t="s">
        <v>3816</v>
      </c>
      <c r="AI567" s="19" t="s">
        <v>2310</v>
      </c>
      <c r="AJ567" s="1" t="s">
        <v>1428</v>
      </c>
      <c r="AK567" s="1324" t="s">
        <v>3797</v>
      </c>
      <c r="AL567" s="1324" t="s">
        <v>3797</v>
      </c>
      <c r="AM567" s="478" t="str">
        <f>GRAL!B570</f>
        <v>2018-2021</v>
      </c>
    </row>
    <row r="568" spans="1:39" ht="30" hidden="1" customHeight="1">
      <c r="A568" s="158">
        <f>OBRA!J569</f>
        <v>2021</v>
      </c>
      <c r="B568" s="1683"/>
      <c r="C568" s="395"/>
      <c r="D568" s="146"/>
      <c r="E568" s="148"/>
      <c r="F568" s="148"/>
      <c r="G568" s="398"/>
      <c r="H568" s="404" t="str">
        <f>OBRA!AF569</f>
        <v>-</v>
      </c>
      <c r="I568" s="400"/>
      <c r="J568" s="406" t="str">
        <f>OBRA!AG569</f>
        <v>-</v>
      </c>
      <c r="K568" s="401"/>
      <c r="L568" s="404" t="str">
        <f>OBRA!AH569</f>
        <v>-</v>
      </c>
      <c r="M568" s="402"/>
      <c r="N568" s="404" t="str">
        <f>OBRA!AI569</f>
        <v>-</v>
      </c>
      <c r="O568" s="144"/>
      <c r="P568" s="144"/>
      <c r="Q568" s="403"/>
      <c r="R568" s="407" t="str">
        <f>OBRA!AJ569</f>
        <v>-</v>
      </c>
      <c r="S568" s="201"/>
      <c r="T568" s="399" t="str">
        <f>OBRA!W569</f>
        <v>TERRACERÍAS Y PAVIMENTOS DE LA RIBERA, S.A. DE C.V.</v>
      </c>
      <c r="U568" s="408" t="str">
        <f>OBRA!X569</f>
        <v xml:space="preserve">ING. ENRIQUE ENRÍQUEZ VÁZQUEZ </v>
      </c>
      <c r="V568" s="1090"/>
      <c r="W568" s="19" t="str">
        <f>OBRA!N569</f>
        <v>GMJ 005C- OP/2021</v>
      </c>
      <c r="X568" s="12"/>
      <c r="Y568" s="12"/>
      <c r="Z568" s="409" t="str">
        <f>OBRA!M569</f>
        <v>CUENTA CORRIENTE</v>
      </c>
      <c r="AA568" s="12"/>
      <c r="AB568" s="2" t="str">
        <f>OBRA!O569</f>
        <v>ADJUDICACIÓN DIRECTA</v>
      </c>
      <c r="AC568" s="3" t="str">
        <f>OBRA!P569</f>
        <v>"IMAGEN URBANA EN CALLE MORELOS ENTRE CALLE GONZÁLEZ ORTEGA A CRISTOBAL COLÓN" EN LA CABECERA MUNICIPAL DE JOCOTEPEC, JALISCO, (NEXTIPAC).</v>
      </c>
      <c r="AD568" s="4">
        <f>OBRA!R569</f>
        <v>758856.32</v>
      </c>
      <c r="AE568" s="6">
        <f>OBRA!S569</f>
        <v>44208</v>
      </c>
      <c r="AF568" s="5">
        <f>OBRA!T569</f>
        <v>44271</v>
      </c>
      <c r="AG568" s="390">
        <f>OBRA!U569</f>
        <v>44275</v>
      </c>
      <c r="AH568" s="52"/>
      <c r="AI568" s="211"/>
      <c r="AJ568" s="242"/>
      <c r="AK568" s="242"/>
      <c r="AL568" s="394"/>
      <c r="AM568" s="519" t="str">
        <f>GRAL!B571</f>
        <v>2018-2021</v>
      </c>
    </row>
    <row r="569" spans="1:39" ht="30" hidden="1" customHeight="1">
      <c r="A569" s="158">
        <f>OBRA!J570</f>
        <v>2021</v>
      </c>
      <c r="B569" s="1683"/>
      <c r="C569" s="395"/>
      <c r="D569" s="146"/>
      <c r="E569" s="148"/>
      <c r="F569" s="148"/>
      <c r="G569" s="398"/>
      <c r="H569" s="404" t="str">
        <f>OBRA!AF570</f>
        <v>-</v>
      </c>
      <c r="I569" s="400"/>
      <c r="J569" s="406" t="str">
        <f>OBRA!AG570</f>
        <v>-</v>
      </c>
      <c r="K569" s="401"/>
      <c r="L569" s="404" t="str">
        <f>OBRA!AH570</f>
        <v>-</v>
      </c>
      <c r="M569" s="402"/>
      <c r="N569" s="404" t="str">
        <f>OBRA!AI570</f>
        <v>-</v>
      </c>
      <c r="O569" s="144"/>
      <c r="P569" s="144"/>
      <c r="Q569" s="403"/>
      <c r="R569" s="407" t="str">
        <f>OBRA!AJ570</f>
        <v>-</v>
      </c>
      <c r="S569" s="201"/>
      <c r="T569" s="399" t="str">
        <f>OBRA!W570</f>
        <v xml:space="preserve">SERVICIOS Y CONSTRUCCIONES NATENIO, S.A. DE C.V. </v>
      </c>
      <c r="U569" s="408" t="str">
        <f>OBRA!X570</f>
        <v>ING. VICTOR MANUEL PACHECO AZCONA</v>
      </c>
      <c r="V569" s="1090"/>
      <c r="W569" s="19" t="str">
        <f>OBRA!N570</f>
        <v>GMJ 006C- OP/2021</v>
      </c>
      <c r="X569" s="12"/>
      <c r="Y569" s="12"/>
      <c r="Z569" s="409" t="str">
        <f>OBRA!M570</f>
        <v>RAMO 33</v>
      </c>
      <c r="AA569" s="12"/>
      <c r="AB569" s="2" t="str">
        <f>OBRA!O570</f>
        <v>ADJUDICACIÓN DIRECTA</v>
      </c>
      <c r="AC569" s="3" t="str">
        <f>OBRA!P570</f>
        <v>"REHABILITACIÓN DE LÍNEAS HIDROSANITARIAS CON REPOSICIÓN DE SUPERFICIE DE RODAMIENTO EN CALLE MORELOS ENTRE CALLE CRISTOBAL COLÓN A CALLE RICO" EN LA CABECERA MUNICIPAL DE JOCOTEPEC, JALISCO, (NEXTIPAC).</v>
      </c>
      <c r="AD569" s="4">
        <f>OBRA!R570</f>
        <v>1379641.73</v>
      </c>
      <c r="AE569" s="6">
        <f>OBRA!S570</f>
        <v>44208</v>
      </c>
      <c r="AF569" s="5">
        <f>OBRA!T570</f>
        <v>44211</v>
      </c>
      <c r="AG569" s="390">
        <f>OBRA!U570</f>
        <v>44256</v>
      </c>
      <c r="AH569" s="52"/>
      <c r="AI569" s="211"/>
      <c r="AJ569" s="242"/>
      <c r="AK569" s="242"/>
      <c r="AL569" s="394"/>
      <c r="AM569" s="519" t="str">
        <f>GRAL!B572</f>
        <v>2018-2021</v>
      </c>
    </row>
    <row r="570" spans="1:39" ht="30" hidden="1" customHeight="1">
      <c r="A570" s="158">
        <f>OBRA!J571</f>
        <v>2021</v>
      </c>
      <c r="B570" s="1683"/>
      <c r="C570" s="395"/>
      <c r="D570" s="146"/>
      <c r="E570" s="148"/>
      <c r="F570" s="148"/>
      <c r="G570" s="398"/>
      <c r="H570" s="404" t="str">
        <f>OBRA!AF571</f>
        <v>-</v>
      </c>
      <c r="I570" s="400"/>
      <c r="J570" s="406" t="str">
        <f>OBRA!AG571</f>
        <v>-</v>
      </c>
      <c r="K570" s="401"/>
      <c r="L570" s="404" t="str">
        <f>OBRA!AH571</f>
        <v>-</v>
      </c>
      <c r="M570" s="402"/>
      <c r="N570" s="404" t="str">
        <f>OBRA!AI571</f>
        <v>-</v>
      </c>
      <c r="O570" s="144"/>
      <c r="P570" s="144"/>
      <c r="Q570" s="403"/>
      <c r="R570" s="407" t="str">
        <f>OBRA!AJ571</f>
        <v>-</v>
      </c>
      <c r="S570" s="201"/>
      <c r="T570" s="399" t="str">
        <f>OBRA!W571</f>
        <v xml:space="preserve">SERVICIOS Y CONSTRUCCIONES NATENIO, S.A. DE C.V. </v>
      </c>
      <c r="U570" s="408" t="str">
        <f>OBRA!X571</f>
        <v>ING. VICTOR MANUEL PACHECO AZCONA</v>
      </c>
      <c r="V570" s="1090"/>
      <c r="W570" s="19" t="str">
        <f>OBRA!N571</f>
        <v>GMJ 007C- OP/2021</v>
      </c>
      <c r="X570" s="12"/>
      <c r="Y570" s="12"/>
      <c r="Z570" s="409" t="str">
        <f>OBRA!M571</f>
        <v>CUENTA CORRIENTE</v>
      </c>
      <c r="AA570" s="12"/>
      <c r="AB570" s="2" t="str">
        <f>OBRA!O571</f>
        <v>CANCELADA</v>
      </c>
      <c r="AC570" s="3" t="str">
        <f>OBRA!P571</f>
        <v>"IMAGEN URBANA EN CALLE MORELOS DE CALLE CRISTOBAL COLÓN A CALLE RICO" EN LA CABECERA MUNICIPAL DE JOCOTEPEC, JALISCO, (NEXTIPAC).</v>
      </c>
      <c r="AD570" s="4">
        <f>OBRA!R571</f>
        <v>101577.38</v>
      </c>
      <c r="AE570" s="6">
        <f>OBRA!S571</f>
        <v>44208</v>
      </c>
      <c r="AF570" s="5">
        <f>OBRA!T571</f>
        <v>44270</v>
      </c>
      <c r="AG570" s="390">
        <f>OBRA!U571</f>
        <v>44275</v>
      </c>
      <c r="AH570" s="52"/>
      <c r="AI570" s="211"/>
      <c r="AJ570" s="242"/>
      <c r="AK570" s="242"/>
      <c r="AL570" s="394"/>
      <c r="AM570" s="519" t="str">
        <f>GRAL!B573</f>
        <v>2018-2021</v>
      </c>
    </row>
    <row r="571" spans="1:39" ht="30" hidden="1" customHeight="1">
      <c r="A571" s="158">
        <f>OBRA!J572</f>
        <v>2021</v>
      </c>
      <c r="B571" s="1683"/>
      <c r="C571" s="395"/>
      <c r="D571" s="146"/>
      <c r="E571" s="148"/>
      <c r="F571" s="148"/>
      <c r="G571" s="398"/>
      <c r="H571" s="404" t="str">
        <f>OBRA!AF572</f>
        <v>-</v>
      </c>
      <c r="I571" s="400"/>
      <c r="J571" s="406" t="str">
        <f>OBRA!AG572</f>
        <v>-</v>
      </c>
      <c r="K571" s="401"/>
      <c r="L571" s="404" t="str">
        <f>OBRA!AH572</f>
        <v>-</v>
      </c>
      <c r="M571" s="402"/>
      <c r="N571" s="404" t="str">
        <f>OBRA!AI572</f>
        <v>-</v>
      </c>
      <c r="O571" s="144"/>
      <c r="P571" s="144"/>
      <c r="Q571" s="403"/>
      <c r="R571" s="407" t="str">
        <f>OBRA!AJ572</f>
        <v>-</v>
      </c>
      <c r="S571" s="201"/>
      <c r="T571" s="399" t="str">
        <f>OBRA!W572</f>
        <v xml:space="preserve">DESARROLLO DAP S.A. DE C.V. </v>
      </c>
      <c r="U571" s="408" t="str">
        <f>OBRA!X572</f>
        <v>ING. VICTOR MANUEL PACHECO AZCONA</v>
      </c>
      <c r="V571" s="1090"/>
      <c r="W571" s="19" t="str">
        <f>OBRA!N572</f>
        <v>GMJ 008C- OP/2021</v>
      </c>
      <c r="X571" s="12"/>
      <c r="Y571" s="12"/>
      <c r="Z571" s="409" t="str">
        <f>OBRA!M572</f>
        <v>RAMO 33</v>
      </c>
      <c r="AA571" s="12"/>
      <c r="AB571" s="2" t="str">
        <f>OBRA!O572</f>
        <v>ADJUDICACIÓN DIRECTA</v>
      </c>
      <c r="AC571" s="3" t="str">
        <f>OBRA!P572</f>
        <v>"REHABILITACIÓN DE LÍNEA DE AGUA POTABLE EN CALLE MORELOS DE CALLE RICO A CALLE RIVERA DEL LAGO Y REHABILITACIÓN DE LÍNEA DE DRENAJE SANITARIO EN CALLE MORELOS DE CALLE RICO HASTA MALECÓN", EN LA CABECERA MUNICIPAL DE JOCOTEPEC, JALISCO, (NEXTIPAC).</v>
      </c>
      <c r="AD571" s="4">
        <f>OBRA!R572</f>
        <v>1301387.07</v>
      </c>
      <c r="AE571" s="6">
        <f>OBRA!S572</f>
        <v>44200</v>
      </c>
      <c r="AF571" s="5">
        <f>OBRA!T572</f>
        <v>44201</v>
      </c>
      <c r="AG571" s="390">
        <f>OBRA!U572</f>
        <v>44270</v>
      </c>
      <c r="AH571" s="52"/>
      <c r="AI571" s="211"/>
      <c r="AJ571" s="242"/>
      <c r="AK571" s="242"/>
      <c r="AL571" s="394"/>
      <c r="AM571" s="519" t="str">
        <f>GRAL!B574</f>
        <v>2018-2021</v>
      </c>
    </row>
    <row r="572" spans="1:39" ht="216">
      <c r="A572" s="158">
        <f>OBRA!J573</f>
        <v>2021</v>
      </c>
      <c r="B572" s="1685" t="str">
        <f>W572</f>
        <v>GMJ 009C- OP/2021</v>
      </c>
      <c r="C572" s="1271" t="s">
        <v>4453</v>
      </c>
      <c r="D572" s="1593" t="s">
        <v>5803</v>
      </c>
      <c r="E572" s="148" t="s">
        <v>3811</v>
      </c>
      <c r="F572" s="1337" t="s">
        <v>3809</v>
      </c>
      <c r="G572" s="502" t="s">
        <v>4453</v>
      </c>
      <c r="H572" s="1590">
        <f>OBRA!AF573</f>
        <v>44198</v>
      </c>
      <c r="I572" s="502" t="s">
        <v>4453</v>
      </c>
      <c r="J572" s="179">
        <f>OBRA!AG573</f>
        <v>44200</v>
      </c>
      <c r="K572" s="524" t="s">
        <v>4453</v>
      </c>
      <c r="L572" s="179">
        <f>OBRA!AH573</f>
        <v>44200</v>
      </c>
      <c r="M572" s="524" t="s">
        <v>4453</v>
      </c>
      <c r="N572" s="179">
        <f>OBRA!AI573</f>
        <v>44203</v>
      </c>
      <c r="O572" s="166" t="s">
        <v>4590</v>
      </c>
      <c r="P572" s="547">
        <v>0.5</v>
      </c>
      <c r="Q572" s="524" t="s">
        <v>4453</v>
      </c>
      <c r="R572" s="685">
        <f>OBRA!AJ573</f>
        <v>44203</v>
      </c>
      <c r="S572" s="1333" t="s">
        <v>4454</v>
      </c>
      <c r="T572" s="148" t="str">
        <f>OBRA!W573</f>
        <v xml:space="preserve">DESARROLLO DAP S.A. DE C.V. </v>
      </c>
      <c r="U572" s="55" t="str">
        <f>OBRA!X573</f>
        <v>ING. VICTOR MANUEL PACHECO AZCONA</v>
      </c>
      <c r="V572" s="1454"/>
      <c r="W572" s="33" t="str">
        <f>OBRA!N573</f>
        <v>GMJ 009C- OP/2021</v>
      </c>
      <c r="X572" s="1324" t="s">
        <v>3798</v>
      </c>
      <c r="Y572" s="412" t="str">
        <f>GRAL!Y575</f>
        <v>6151-2-11-050-307 / 6121-2-11-050-308</v>
      </c>
      <c r="Z572" s="412" t="str">
        <f>OBRA!M573</f>
        <v>CUENTA CORRIENTE</v>
      </c>
      <c r="AA572" s="12" t="s">
        <v>2320</v>
      </c>
      <c r="AB572" s="2" t="str">
        <f>OBRA!O573</f>
        <v>CONCURSO SIMPLIFICADO SUMARIO</v>
      </c>
      <c r="AC572" s="3" t="str">
        <f>OBRA!P573</f>
        <v>"INTERVENCIÓN Y ACONDICIONAMIENTO DE TERRACERIAS, REHABILITACIÓN DE BANQUETAS E IMAGEN URBANA EN CALLE MORELOS DE CALLE RICO A MALECÓN DE KM 0+000 AL KM 0+379.50", EN LA CABECERA MUNICIPAL DE JOCOTEPEC, JALISCO (NEXTIPAC)</v>
      </c>
      <c r="AD572" s="79">
        <f>OBRA!R573</f>
        <v>2617705.66</v>
      </c>
      <c r="AE572" s="67">
        <f>OBRA!S573</f>
        <v>44208</v>
      </c>
      <c r="AF572" s="5">
        <f>OBRA!T573</f>
        <v>44227</v>
      </c>
      <c r="AG572" s="1351">
        <f>OBRA!U573</f>
        <v>44270</v>
      </c>
      <c r="AH572" s="56" t="s">
        <v>3815</v>
      </c>
      <c r="AI572" s="19" t="s">
        <v>2310</v>
      </c>
      <c r="AJ572" s="1" t="s">
        <v>1428</v>
      </c>
      <c r="AK572" s="524" t="s">
        <v>4453</v>
      </c>
      <c r="AL572" s="524" t="s">
        <v>4453</v>
      </c>
      <c r="AM572" s="478" t="str">
        <f>GRAL!B575</f>
        <v>2018-2021</v>
      </c>
    </row>
    <row r="573" spans="1:39" ht="213.75" customHeight="1">
      <c r="A573" s="158">
        <f>OBRA!J574</f>
        <v>2021</v>
      </c>
      <c r="B573" s="1685" t="str">
        <f>W573</f>
        <v>FOCOCI-OP-CSS-010/2021</v>
      </c>
      <c r="C573" s="1271" t="s">
        <v>3842</v>
      </c>
      <c r="D573" s="1593" t="s">
        <v>5803</v>
      </c>
      <c r="E573" s="148" t="s">
        <v>3811</v>
      </c>
      <c r="F573" s="1337" t="s">
        <v>3809</v>
      </c>
      <c r="G573" s="546" t="s">
        <v>3842</v>
      </c>
      <c r="H573" s="1590">
        <f>OBRA!AF574</f>
        <v>44225</v>
      </c>
      <c r="I573" s="1923"/>
      <c r="J573" s="1924" t="str">
        <f>OBRA!AG574</f>
        <v>FALTA</v>
      </c>
      <c r="K573" s="546" t="s">
        <v>3842</v>
      </c>
      <c r="L573" s="1590">
        <f>OBRA!AH574</f>
        <v>44229</v>
      </c>
      <c r="M573" s="546" t="s">
        <v>3842</v>
      </c>
      <c r="N573" s="1590">
        <f>OBRA!AI574</f>
        <v>44235</v>
      </c>
      <c r="O573" s="166" t="s">
        <v>4590</v>
      </c>
      <c r="P573" s="547">
        <v>0.45833333333333331</v>
      </c>
      <c r="Q573" s="546" t="s">
        <v>3842</v>
      </c>
      <c r="R573" s="1925">
        <f>OBRA!AJ574</f>
        <v>44237</v>
      </c>
      <c r="S573" s="201" t="s">
        <v>5806</v>
      </c>
      <c r="T573" s="148" t="str">
        <f>OBRA!W574</f>
        <v>ALSERCON SA DE CV</v>
      </c>
      <c r="U573" s="55" t="str">
        <f>OBRA!X574</f>
        <v>ARQ. JAIME CONDE GOMEZ</v>
      </c>
      <c r="V573" s="1454"/>
      <c r="W573" s="33" t="str">
        <f>OBRA!N574</f>
        <v>FOCOCI-OP-CSS-010/2021</v>
      </c>
      <c r="X573" s="1324" t="s">
        <v>3798</v>
      </c>
      <c r="Y573" s="412" t="str">
        <f>GRAL!Y576</f>
        <v>6151-2-26.3-050-311</v>
      </c>
      <c r="Z573" s="12" t="str">
        <f>OBRA!M574</f>
        <v>FOCOCI</v>
      </c>
      <c r="AA573" s="12" t="s">
        <v>2439</v>
      </c>
      <c r="AB573" s="2" t="str">
        <f>OBRA!O574</f>
        <v>CONCURSO SIMPLIFICADO SUMARIO</v>
      </c>
      <c r="AC573" s="3" t="str">
        <f>OBRA!P574</f>
        <v>"PAVIMENTACIÓN CON EMPEDRADO AHOGADO EN CONCRETO HIDRÁULICO Y SUSTITUCIÓN DE REDES HIDROSANITARIAS EN CALLE LÁZARO CÁRDENAS", EN LA CABECERA MUNICIPAL DE JOCOTEPEC, JALISCO</v>
      </c>
      <c r="AD573" s="79">
        <f>OBRA!R574</f>
        <v>4895145.74</v>
      </c>
      <c r="AE573" s="67">
        <f>OBRA!S574</f>
        <v>44239</v>
      </c>
      <c r="AF573" s="5">
        <f>OBRA!T574</f>
        <v>44242</v>
      </c>
      <c r="AG573" s="1351">
        <f>OBRA!U574</f>
        <v>44331</v>
      </c>
      <c r="AH573" s="1353" t="s">
        <v>3816</v>
      </c>
      <c r="AI573" s="19" t="s">
        <v>2310</v>
      </c>
      <c r="AJ573" s="495" t="s">
        <v>3842</v>
      </c>
      <c r="AK573" s="495" t="s">
        <v>3842</v>
      </c>
      <c r="AL573" s="704" t="s">
        <v>3842</v>
      </c>
      <c r="AM573" s="478" t="str">
        <f>GRAL!B576</f>
        <v>2018-2021</v>
      </c>
    </row>
    <row r="574" spans="1:39" ht="216">
      <c r="A574" s="158">
        <f>OBRA!J575</f>
        <v>2021</v>
      </c>
      <c r="B574" s="1685" t="str">
        <f>W574</f>
        <v>FOCOCI-OP-CSS-011/2021</v>
      </c>
      <c r="C574" s="1271" t="s">
        <v>4457</v>
      </c>
      <c r="D574" s="1593" t="s">
        <v>5803</v>
      </c>
      <c r="E574" s="148" t="s">
        <v>3811</v>
      </c>
      <c r="F574" s="1337" t="s">
        <v>3809</v>
      </c>
      <c r="G574" s="503" t="s">
        <v>4457</v>
      </c>
      <c r="H574" s="1590">
        <f>OBRA!AF575</f>
        <v>44225</v>
      </c>
      <c r="I574" s="524" t="s">
        <v>4457</v>
      </c>
      <c r="J574" s="685">
        <f>OBRA!AG575</f>
        <v>44229</v>
      </c>
      <c r="K574" s="524" t="s">
        <v>4457</v>
      </c>
      <c r="L574" s="1590">
        <f>OBRA!AH575</f>
        <v>44229</v>
      </c>
      <c r="M574" s="1926"/>
      <c r="N574" s="1920" t="str">
        <f>OBRA!AI575</f>
        <v>FALTA</v>
      </c>
      <c r="O574" s="580"/>
      <c r="P574" s="580"/>
      <c r="Q574" s="524" t="s">
        <v>4457</v>
      </c>
      <c r="R574" s="1925">
        <f>OBRA!AJ575</f>
        <v>44235</v>
      </c>
      <c r="S574" s="201" t="s">
        <v>5807</v>
      </c>
      <c r="T574" s="148" t="str">
        <f>OBRA!W575</f>
        <v>COREGO CONSTRUCCIONES, S.A. DE C.V.</v>
      </c>
      <c r="U574" s="55" t="str">
        <f>OBRA!X575</f>
        <v xml:space="preserve">ING. ENRIQUE ENRÍQUEZ VÁZQUEZ </v>
      </c>
      <c r="V574" s="1454"/>
      <c r="W574" s="33" t="str">
        <f>OBRA!N575</f>
        <v>FOCOCI-OP-CSS-011/2021</v>
      </c>
      <c r="X574" s="1324" t="s">
        <v>3629</v>
      </c>
      <c r="Y574" s="412" t="str">
        <f>GRAL!Y577</f>
        <v>6231-2-11-050-309</v>
      </c>
      <c r="Z574" s="12" t="str">
        <f>OBRA!M575</f>
        <v>FOCOCI</v>
      </c>
      <c r="AA574" s="12" t="s">
        <v>2439</v>
      </c>
      <c r="AB574" s="2" t="str">
        <f>OBRA!O575</f>
        <v>CONCURSO SIMPLIFICADO SUMARIO</v>
      </c>
      <c r="AC574" s="3" t="str">
        <f>OBRA!P575</f>
        <v>"REHABILITACIÓN DE INGRESO A ZAPOTITÁN DE HIDALGO DE LA CARRETERA FEDERAL AL PUENTE EN EL MUNICIPIO DE JOCOTEPEC, JALISCO".</v>
      </c>
      <c r="AD574" s="79">
        <f>OBRA!R575</f>
        <v>3973863.2</v>
      </c>
      <c r="AE574" s="67">
        <f>OBRA!S575</f>
        <v>44278</v>
      </c>
      <c r="AF574" s="5">
        <f>OBRA!T575</f>
        <v>44280</v>
      </c>
      <c r="AG574" s="1351">
        <f>OBRA!U575</f>
        <v>44347</v>
      </c>
      <c r="AH574" s="1353" t="s">
        <v>3816</v>
      </c>
      <c r="AI574" s="1708" t="s">
        <v>3805</v>
      </c>
      <c r="AJ574" s="495" t="s">
        <v>4457</v>
      </c>
      <c r="AK574" s="495" t="s">
        <v>4457</v>
      </c>
      <c r="AL574" s="704" t="s">
        <v>4457</v>
      </c>
      <c r="AM574" s="478" t="str">
        <f>GRAL!B577</f>
        <v>2018-2021</v>
      </c>
    </row>
    <row r="575" spans="1:39" ht="30" hidden="1" customHeight="1">
      <c r="A575" s="158">
        <f>OBRA!J576</f>
        <v>2021</v>
      </c>
      <c r="B575" s="1683"/>
      <c r="C575" s="395"/>
      <c r="D575" s="146"/>
      <c r="E575" s="148"/>
      <c r="F575" s="148"/>
      <c r="G575" s="398"/>
      <c r="H575" s="404" t="str">
        <f>OBRA!AF576</f>
        <v>-</v>
      </c>
      <c r="I575" s="400"/>
      <c r="J575" s="406" t="str">
        <f>OBRA!AG576</f>
        <v>-</v>
      </c>
      <c r="K575" s="401"/>
      <c r="L575" s="404" t="str">
        <f>OBRA!AH576</f>
        <v>-</v>
      </c>
      <c r="M575" s="402"/>
      <c r="N575" s="404" t="str">
        <f>OBRA!AI576</f>
        <v>-</v>
      </c>
      <c r="O575" s="144"/>
      <c r="P575" s="144"/>
      <c r="Q575" s="403"/>
      <c r="R575" s="407" t="str">
        <f>OBRA!AJ576</f>
        <v>-</v>
      </c>
      <c r="S575" s="201"/>
      <c r="T575" s="399" t="str">
        <f>OBRA!W576</f>
        <v>JESSICA MONSERRAT RIVERA TORRES</v>
      </c>
      <c r="U575" s="408">
        <f>OBRA!X576</f>
        <v>0</v>
      </c>
      <c r="V575" s="1090"/>
      <c r="W575" s="19" t="str">
        <f>OBRA!N576</f>
        <v>GMJ 012C- OP/2021</v>
      </c>
      <c r="X575" s="12"/>
      <c r="Y575" s="12"/>
      <c r="Z575" s="409" t="str">
        <f>OBRA!M576</f>
        <v>CUENTA CORRIENTE</v>
      </c>
      <c r="AA575" s="12"/>
      <c r="AB575" s="2" t="str">
        <f>OBRA!O576</f>
        <v>CANCELADA</v>
      </c>
      <c r="AC575" s="3" t="str">
        <f>OBRA!P576</f>
        <v>"REHABILITACIÓN DE POZO PROFUNDO UBICADO EN EL ATRIO DEL TEMPLO DEL SEÑOR DEL MONTE, EN LA CABECERA MUNICIPAL DE JOCOTEPEC, JALISCO.</v>
      </c>
      <c r="AD575" s="4">
        <f>OBRA!R576</f>
        <v>144561.23000000001</v>
      </c>
      <c r="AE575" s="6">
        <f>OBRA!S576</f>
        <v>0</v>
      </c>
      <c r="AF575" s="5">
        <f>OBRA!T576</f>
        <v>44228</v>
      </c>
      <c r="AG575" s="390">
        <f>OBRA!U576</f>
        <v>44255</v>
      </c>
      <c r="AH575" s="52"/>
      <c r="AI575" s="211"/>
      <c r="AJ575" s="242"/>
      <c r="AK575" s="242"/>
      <c r="AL575" s="394"/>
      <c r="AM575" s="519" t="str">
        <f>GRAL!B578</f>
        <v>2018-2021</v>
      </c>
    </row>
    <row r="576" spans="1:39" ht="30" hidden="1" customHeight="1">
      <c r="A576" s="158">
        <f>OBRA!J577</f>
        <v>2021</v>
      </c>
      <c r="B576" s="1683"/>
      <c r="C576" s="395"/>
      <c r="D576" s="146"/>
      <c r="E576" s="148"/>
      <c r="F576" s="148"/>
      <c r="G576" s="398"/>
      <c r="H576" s="404" t="str">
        <f>OBRA!AF577</f>
        <v>-</v>
      </c>
      <c r="I576" s="400"/>
      <c r="J576" s="406" t="str">
        <f>OBRA!AG577</f>
        <v>-</v>
      </c>
      <c r="K576" s="401"/>
      <c r="L576" s="404" t="str">
        <f>OBRA!AH577</f>
        <v>-</v>
      </c>
      <c r="M576" s="402"/>
      <c r="N576" s="404" t="str">
        <f>OBRA!AI577</f>
        <v>-</v>
      </c>
      <c r="O576" s="144"/>
      <c r="P576" s="144"/>
      <c r="Q576" s="403"/>
      <c r="R576" s="407" t="str">
        <f>OBRA!AJ577</f>
        <v>-</v>
      </c>
      <c r="S576" s="201"/>
      <c r="T576" s="399" t="str">
        <f>OBRA!W577</f>
        <v xml:space="preserve">INFRAESTRUCTURA Y EDIFICACIONES OROZCO S.A. DE C.V. </v>
      </c>
      <c r="U576" s="408" t="str">
        <f>OBRA!X577</f>
        <v xml:space="preserve">ING. ENRIQUE ENRÍQUEZ VÁZQUEZ </v>
      </c>
      <c r="V576" s="1090"/>
      <c r="W576" s="19" t="str">
        <f>OBRA!N577</f>
        <v>GMJ 013C- OP/2021</v>
      </c>
      <c r="X576" s="12"/>
      <c r="Y576" s="12"/>
      <c r="Z576" s="409" t="str">
        <f>OBRA!M577</f>
        <v>CUENTA CORRIENTE</v>
      </c>
      <c r="AA576" s="12"/>
      <c r="AB576" s="2" t="str">
        <f>OBRA!O577</f>
        <v>ADJUDICACIÓN DIRECTA</v>
      </c>
      <c r="AC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OBRA!R577</f>
        <v>1127177.8999999999</v>
      </c>
      <c r="AE576" s="6">
        <f>OBRA!S577</f>
        <v>44242</v>
      </c>
      <c r="AF576" s="5">
        <f>OBRA!T577</f>
        <v>44242</v>
      </c>
      <c r="AG576" s="390">
        <f>OBRA!U577</f>
        <v>44332</v>
      </c>
      <c r="AH576" s="52"/>
      <c r="AI576" s="211"/>
      <c r="AJ576" s="242"/>
      <c r="AK576" s="242"/>
      <c r="AL576" s="394"/>
      <c r="AM576" s="519" t="str">
        <f>GRAL!B579</f>
        <v>2018-2021</v>
      </c>
    </row>
    <row r="577" spans="1:39" ht="30" hidden="1" customHeight="1">
      <c r="A577" s="158">
        <f>OBRA!J578</f>
        <v>2021</v>
      </c>
      <c r="B577" s="1683"/>
      <c r="C577" s="395"/>
      <c r="D577" s="146"/>
      <c r="E577" s="148"/>
      <c r="F577" s="148"/>
      <c r="G577" s="398"/>
      <c r="H577" s="404" t="str">
        <f>OBRA!AF578</f>
        <v>-</v>
      </c>
      <c r="I577" s="400"/>
      <c r="J577" s="406" t="str">
        <f>OBRA!AG578</f>
        <v>-</v>
      </c>
      <c r="K577" s="401"/>
      <c r="L577" s="404" t="str">
        <f>OBRA!AH578</f>
        <v>-</v>
      </c>
      <c r="M577" s="402"/>
      <c r="N577" s="404" t="str">
        <f>OBRA!AI578</f>
        <v>-</v>
      </c>
      <c r="O577" s="144"/>
      <c r="P577" s="144"/>
      <c r="Q577" s="403"/>
      <c r="R577" s="407" t="str">
        <f>OBRA!AJ578</f>
        <v>-</v>
      </c>
      <c r="S577" s="201"/>
      <c r="T577" s="399" t="str">
        <f>OBRA!W578</f>
        <v>SUPERVISIÓN PROYECTOS Y LABORATORIO PARA LA CONSTRUCCIÓN, S.A. DE C.V.</v>
      </c>
      <c r="U577" s="408" t="str">
        <f>OBRA!X578</f>
        <v xml:space="preserve">ING. ENRIQUE ENRÍQUEZ VÁZQUEZ </v>
      </c>
      <c r="V577" s="1090"/>
      <c r="W577" s="19" t="str">
        <f>OBRA!N578</f>
        <v>GMJ 014C- OP/2021</v>
      </c>
      <c r="X577" s="12"/>
      <c r="Y577" s="12"/>
      <c r="Z577" s="409" t="str">
        <f>OBRA!M578</f>
        <v>CUENTA CORRIENTE</v>
      </c>
      <c r="AA577" s="12"/>
      <c r="AB577" s="2" t="str">
        <f>OBRA!O578</f>
        <v>ADJUDICACIÓN DIRECTA</v>
      </c>
      <c r="AC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OBRA!R578</f>
        <v>1311375.01</v>
      </c>
      <c r="AE577" s="6">
        <f>OBRA!S578</f>
        <v>44242</v>
      </c>
      <c r="AF577" s="5">
        <f>OBRA!T578</f>
        <v>44242</v>
      </c>
      <c r="AG577" s="390">
        <f>OBRA!U578</f>
        <v>44332</v>
      </c>
      <c r="AH577" s="52"/>
      <c r="AI577" s="211"/>
      <c r="AJ577" s="242"/>
      <c r="AK577" s="242"/>
      <c r="AL577" s="394"/>
      <c r="AM577" s="519" t="str">
        <f>GRAL!B580</f>
        <v>2018-2021</v>
      </c>
    </row>
    <row r="578" spans="1:39" ht="30" hidden="1" customHeight="1">
      <c r="A578" s="158">
        <f>OBRA!J579</f>
        <v>2021</v>
      </c>
      <c r="B578" s="1683"/>
      <c r="C578" s="395"/>
      <c r="D578" s="146"/>
      <c r="E578" s="148"/>
      <c r="F578" s="148"/>
      <c r="G578" s="398"/>
      <c r="H578" s="404" t="str">
        <f>OBRA!AF579</f>
        <v>-</v>
      </c>
      <c r="I578" s="400"/>
      <c r="J578" s="406" t="str">
        <f>OBRA!AG579</f>
        <v>-</v>
      </c>
      <c r="K578" s="401"/>
      <c r="L578" s="404" t="str">
        <f>OBRA!AH579</f>
        <v>-</v>
      </c>
      <c r="M578" s="402"/>
      <c r="N578" s="404" t="str">
        <f>OBRA!AI579</f>
        <v>-</v>
      </c>
      <c r="O578" s="144"/>
      <c r="P578" s="144"/>
      <c r="Q578" s="403"/>
      <c r="R578" s="407" t="str">
        <f>OBRA!AJ579</f>
        <v>-</v>
      </c>
      <c r="S578" s="201"/>
      <c r="T578" s="399" t="str">
        <f>OBRA!W579</f>
        <v>MARCO ANTONIO PAREDES RODRÍGUEZ</v>
      </c>
      <c r="U578" s="408" t="str">
        <f>OBRA!X579</f>
        <v>ING. LUIS RIGOBERTO OLMEDO NAVARRO</v>
      </c>
      <c r="V578" s="1090"/>
      <c r="W578" s="19" t="str">
        <f>OBRA!N579</f>
        <v>GMJ 015C- OP/2021</v>
      </c>
      <c r="X578" s="12"/>
      <c r="Y578" s="12"/>
      <c r="Z578" s="409" t="str">
        <f>OBRA!M579</f>
        <v>CUENTA CORRIENTE</v>
      </c>
      <c r="AA578" s="12"/>
      <c r="AB578" s="2" t="str">
        <f>OBRA!O579</f>
        <v>ADJUDICACIÓN DIRECTA</v>
      </c>
      <c r="AC578" s="3" t="str">
        <f>OBRA!P579</f>
        <v>"EQUIPAMIENTO DE POZO MORELOS" EN LA AGENCIA MINICIPAL DE NEXTIPAC, DEL MUNICIPIO DE JOCOTEPEC, JALISCO.</v>
      </c>
      <c r="AD578" s="4">
        <f>OBRA!R579</f>
        <v>347784.24</v>
      </c>
      <c r="AE578" s="6">
        <f>OBRA!S579</f>
        <v>44305</v>
      </c>
      <c r="AF578" s="5">
        <f>OBRA!T579</f>
        <v>44378</v>
      </c>
      <c r="AG578" s="390">
        <f>OBRA!U579</f>
        <v>44424</v>
      </c>
      <c r="AH578" s="52"/>
      <c r="AI578" s="211"/>
      <c r="AJ578" s="242"/>
      <c r="AK578" s="242"/>
      <c r="AL578" s="394"/>
      <c r="AM578" s="519" t="str">
        <f>GRAL!B581</f>
        <v>2018-2021</v>
      </c>
    </row>
    <row r="579" spans="1:39" ht="30" hidden="1" customHeight="1">
      <c r="A579" s="158">
        <f>OBRA!J580</f>
        <v>2021</v>
      </c>
      <c r="B579" s="1683"/>
      <c r="C579" s="395"/>
      <c r="D579" s="146"/>
      <c r="E579" s="148"/>
      <c r="F579" s="148"/>
      <c r="G579" s="398"/>
      <c r="H579" s="404" t="str">
        <f>OBRA!AF580</f>
        <v>-</v>
      </c>
      <c r="I579" s="400"/>
      <c r="J579" s="406" t="str">
        <f>OBRA!AG580</f>
        <v>-</v>
      </c>
      <c r="K579" s="401"/>
      <c r="L579" s="404" t="str">
        <f>OBRA!AH580</f>
        <v>-</v>
      </c>
      <c r="M579" s="402"/>
      <c r="N579" s="404" t="str">
        <f>OBRA!AI580</f>
        <v>-</v>
      </c>
      <c r="O579" s="144"/>
      <c r="P579" s="144"/>
      <c r="Q579" s="403"/>
      <c r="R579" s="407" t="str">
        <f>OBRA!AJ580</f>
        <v>-</v>
      </c>
      <c r="S579" s="201"/>
      <c r="T579" s="399" t="str">
        <f>OBRA!W580</f>
        <v>CONVADI, S.A. DE C.V.</v>
      </c>
      <c r="U579" s="408" t="str">
        <f>OBRA!X580</f>
        <v>ING. ALEJANDRO SIGALA MOLINA</v>
      </c>
      <c r="V579" s="1090"/>
      <c r="W579" s="19" t="str">
        <f>OBRA!N580</f>
        <v>GMJ 016C- OP/2021</v>
      </c>
      <c r="X579" s="12"/>
      <c r="Y579" s="12"/>
      <c r="Z579" s="409" t="str">
        <f>OBRA!M580</f>
        <v>CUENTA CORRIENTE</v>
      </c>
      <c r="AA579" s="12"/>
      <c r="AB579" s="2" t="str">
        <f>OBRA!O580</f>
        <v>ADJUDICACIÓN DIRECTA</v>
      </c>
      <c r="AC579" s="3" t="str">
        <f>OBRA!P580</f>
        <v>"PROYECTO DE ELECTRIFICACIÓN Y EQUIPAMIENTO 1ERA ETAPA DE POZO PROFUNDO ALLENDE", UBICADO EN LA CABECERA MUNICIPAL DE JOCOTEPEC, JALISCO</v>
      </c>
      <c r="AD579" s="4">
        <f>OBRA!R580</f>
        <v>1083547.78</v>
      </c>
      <c r="AE579" s="6">
        <f>OBRA!S580</f>
        <v>44308</v>
      </c>
      <c r="AF579" s="5">
        <f>OBRA!T580</f>
        <v>44322</v>
      </c>
      <c r="AG579" s="390">
        <f>OBRA!U580</f>
        <v>44347</v>
      </c>
      <c r="AH579" s="52"/>
      <c r="AI579" s="211"/>
      <c r="AJ579" s="242"/>
      <c r="AK579" s="242"/>
      <c r="AL579" s="394"/>
      <c r="AM579" s="519" t="str">
        <f>GRAL!B582</f>
        <v>2018-2021</v>
      </c>
    </row>
    <row r="580" spans="1:39" ht="30" hidden="1" customHeight="1">
      <c r="A580" s="158">
        <f>OBRA!J581</f>
        <v>2021</v>
      </c>
      <c r="B580" s="1683"/>
      <c r="C580" s="395"/>
      <c r="D580" s="146"/>
      <c r="E580" s="148"/>
      <c r="F580" s="148"/>
      <c r="G580" s="398"/>
      <c r="H580" s="404" t="str">
        <f>OBRA!AF581</f>
        <v>-</v>
      </c>
      <c r="I580" s="400"/>
      <c r="J580" s="406" t="str">
        <f>OBRA!AG581</f>
        <v>-</v>
      </c>
      <c r="K580" s="401"/>
      <c r="L580" s="404" t="str">
        <f>OBRA!AH581</f>
        <v>-</v>
      </c>
      <c r="M580" s="402"/>
      <c r="N580" s="404" t="str">
        <f>OBRA!AI581</f>
        <v>-</v>
      </c>
      <c r="O580" s="144"/>
      <c r="P580" s="144"/>
      <c r="Q580" s="403"/>
      <c r="R580" s="407" t="str">
        <f>OBRA!AJ581</f>
        <v>-</v>
      </c>
      <c r="S580" s="201"/>
      <c r="T580" s="399" t="str">
        <f>OBRA!W581</f>
        <v>GRUPO ARANGE, S.A. DE C.V.</v>
      </c>
      <c r="U580" s="408" t="str">
        <f>OBRA!X581</f>
        <v>LIC. SALVADOR CONTRERAS OLGUÍN</v>
      </c>
      <c r="V580" s="1090"/>
      <c r="W580" s="19" t="str">
        <f>OBRA!N581</f>
        <v>GMJ 017C- OP/2021</v>
      </c>
      <c r="X580" s="12"/>
      <c r="Y580" s="12"/>
      <c r="Z580" s="409" t="str">
        <f>OBRA!M581</f>
        <v>CUENTA CORRIENTE</v>
      </c>
      <c r="AA580" s="12"/>
      <c r="AB580" s="2" t="str">
        <f>OBRA!O581</f>
        <v>ADJUDICACIÓN DIRECTA</v>
      </c>
      <c r="AC580" s="3" t="str">
        <f>OBRA!P581</f>
        <v>"PROYECTO DE ELÉCTRICO DEL RASTRO MUNICIPAL, ETAPA 1,  EN LA CABECERA MUNICIPAL DE JOCOTEPEC, JALISCO</v>
      </c>
      <c r="AD580" s="4">
        <f>OBRA!R581</f>
        <v>652301.56999999995</v>
      </c>
      <c r="AE580" s="6">
        <f>OBRA!S581</f>
        <v>44440</v>
      </c>
      <c r="AF580" s="5">
        <f>OBRA!T581</f>
        <v>44445</v>
      </c>
      <c r="AG580" s="390">
        <f>OBRA!U581</f>
        <v>44463</v>
      </c>
      <c r="AH580" s="52"/>
      <c r="AI580" s="211"/>
      <c r="AJ580" s="242"/>
      <c r="AK580" s="242"/>
      <c r="AL580" s="394"/>
      <c r="AM580" s="519" t="str">
        <f>GRAL!B583</f>
        <v>2018-2021</v>
      </c>
    </row>
    <row r="581" spans="1:39" ht="30" hidden="1" customHeight="1">
      <c r="A581" s="158">
        <f>OBRA!J582</f>
        <v>2021</v>
      </c>
      <c r="B581" s="1683"/>
      <c r="C581" s="395"/>
      <c r="D581" s="146"/>
      <c r="E581" s="148"/>
      <c r="F581" s="148"/>
      <c r="G581" s="398"/>
      <c r="H581" s="404" t="str">
        <f>OBRA!AF582</f>
        <v>-</v>
      </c>
      <c r="I581" s="400"/>
      <c r="J581" s="406" t="str">
        <f>OBRA!AG582</f>
        <v>-</v>
      </c>
      <c r="K581" s="401"/>
      <c r="L581" s="404" t="str">
        <f>OBRA!AH582</f>
        <v>-</v>
      </c>
      <c r="M581" s="402"/>
      <c r="N581" s="404" t="str">
        <f>OBRA!AI582</f>
        <v>-</v>
      </c>
      <c r="O581" s="144"/>
      <c r="P581" s="144"/>
      <c r="Q581" s="403"/>
      <c r="R581" s="407" t="str">
        <f>OBRA!AJ582</f>
        <v>-</v>
      </c>
      <c r="S581" s="201"/>
      <c r="T581" s="399" t="str">
        <f>OBRA!W582</f>
        <v xml:space="preserve">ING. SERGIO CABRERA </v>
      </c>
      <c r="U581" s="408" t="str">
        <f>OBRA!X582</f>
        <v>ING. J. GUADALUPE IBARRA RAMIREZ</v>
      </c>
      <c r="V581" s="1090"/>
      <c r="W581" s="19" t="str">
        <f>OBRA!N582</f>
        <v>GMJ 018C- OP/2021</v>
      </c>
      <c r="X581" s="12"/>
      <c r="Y581" s="12"/>
      <c r="Z581" s="409" t="str">
        <f>OBRA!M582</f>
        <v>CUENTA CORRIENTE</v>
      </c>
      <c r="AA581" s="12"/>
      <c r="AB581" s="2" t="str">
        <f>OBRA!O582</f>
        <v>ADJUDICACIÓN DIRECTA</v>
      </c>
      <c r="AC581" s="3" t="str">
        <f>OBRA!P582</f>
        <v>“ACONDICIONAMIENTO DE TERRACERIAS, REHABILITACIÓN DE BANQUETAS E IMAGEN URBANA EN CALLE MORELOS DE CALLE RICO A MALECÓN DE KM 0+143.00 AL KM 0+379.50”, EN LA CABECERA MUNICIPAL DE JOCOTEPEC, JALISCO (NEXTIPAC)</v>
      </c>
      <c r="AD581" s="4">
        <f>OBRA!R582</f>
        <v>1137012.22</v>
      </c>
      <c r="AE581" s="6">
        <f>OBRA!S582</f>
        <v>44454</v>
      </c>
      <c r="AF581" s="5">
        <f>OBRA!T582</f>
        <v>44456</v>
      </c>
      <c r="AG581" s="390">
        <f>OBRA!U582</f>
        <v>44499</v>
      </c>
      <c r="AH581" s="52"/>
      <c r="AI581" s="211"/>
      <c r="AJ581" s="242"/>
      <c r="AK581" s="242"/>
      <c r="AL581" s="394"/>
      <c r="AM581" s="519" t="str">
        <f>GRAL!B584</f>
        <v>2018-2021</v>
      </c>
    </row>
    <row r="582" spans="1:39" ht="60" hidden="1">
      <c r="A582" s="158">
        <f>OBRA!J583</f>
        <v>2021</v>
      </c>
      <c r="B582" s="1683"/>
      <c r="C582" s="395"/>
      <c r="D582" s="146"/>
      <c r="E582" s="148"/>
      <c r="F582" s="148"/>
      <c r="G582" s="398"/>
      <c r="H582" s="404" t="str">
        <f>OBRA!AF583</f>
        <v>-</v>
      </c>
      <c r="I582" s="400"/>
      <c r="J582" s="406" t="str">
        <f>OBRA!AG583</f>
        <v>-</v>
      </c>
      <c r="K582" s="401"/>
      <c r="L582" s="404" t="str">
        <f>OBRA!AH583</f>
        <v>-</v>
      </c>
      <c r="M582" s="402"/>
      <c r="N582" s="404" t="str">
        <f>OBRA!AI583</f>
        <v>-</v>
      </c>
      <c r="O582" s="144"/>
      <c r="P582" s="144"/>
      <c r="Q582" s="403"/>
      <c r="R582" s="407" t="str">
        <f>OBRA!AJ583</f>
        <v>-</v>
      </c>
      <c r="S582" s="201"/>
      <c r="T582" s="399" t="str">
        <f>OBRA!W583</f>
        <v>N/A</v>
      </c>
      <c r="U582" s="408" t="str">
        <f>OBRA!X583</f>
        <v>ARQ. JAIME CONDE GOMEZ</v>
      </c>
      <c r="V582" s="1090"/>
      <c r="W582" s="19" t="str">
        <f>OBRA!N583</f>
        <v>DOP/AD/001/2021</v>
      </c>
      <c r="X582" s="12"/>
      <c r="Y582" s="12"/>
      <c r="Z582" s="409" t="str">
        <f>OBRA!M583</f>
        <v xml:space="preserve">CULTURA CARDINAL </v>
      </c>
      <c r="AA582" s="12"/>
      <c r="AB582" s="2" t="str">
        <f>OBRA!O583</f>
        <v>ADMINISTRACIÓN DIRECTA</v>
      </c>
      <c r="AC582" s="3" t="str">
        <f>OBRA!P583</f>
        <v>CONSTRUCCIÓN DE AULA EN CASA DE LA CULTURA (PARA USO DE ARCHIVO MUERTO)" EN LA CABECERA MUNICIPAL DE JOCOTEPEC, JALISCO.</v>
      </c>
      <c r="AD582" s="4">
        <f>OBRA!R583</f>
        <v>100000</v>
      </c>
      <c r="AE582" s="6">
        <f>OBRA!S583</f>
        <v>44504</v>
      </c>
      <c r="AF582" s="5">
        <f>OBRA!T583</f>
        <v>44508</v>
      </c>
      <c r="AG582" s="390">
        <f>OBRA!U583</f>
        <v>44561</v>
      </c>
      <c r="AH582" s="52"/>
      <c r="AI582" s="211"/>
      <c r="AJ582" s="242"/>
      <c r="AK582" s="242"/>
      <c r="AL582" s="394"/>
      <c r="AM582" s="519" t="str">
        <f>GRAL!B585</f>
        <v>2021-2024</v>
      </c>
    </row>
    <row r="583" spans="1:39" ht="60" hidden="1">
      <c r="A583" s="158">
        <f>OBRA!J585</f>
        <v>2021</v>
      </c>
      <c r="B583" s="1683"/>
      <c r="C583" s="395"/>
      <c r="D583" s="146"/>
      <c r="E583" s="148"/>
      <c r="F583" s="148"/>
      <c r="G583" s="398"/>
      <c r="H583" s="404">
        <f>OBRA!AF585</f>
        <v>0</v>
      </c>
      <c r="I583" s="400"/>
      <c r="J583" s="406">
        <f>OBRA!AG585</f>
        <v>0</v>
      </c>
      <c r="K583" s="401"/>
      <c r="L583" s="404">
        <f>OBRA!AH585</f>
        <v>0</v>
      </c>
      <c r="M583" s="402"/>
      <c r="N583" s="404">
        <f>OBRA!AI585</f>
        <v>0</v>
      </c>
      <c r="O583" s="144"/>
      <c r="P583" s="144"/>
      <c r="Q583" s="403"/>
      <c r="R583" s="407">
        <f>OBRA!AJ585</f>
        <v>0</v>
      </c>
      <c r="S583" s="201"/>
      <c r="T583" s="399" t="str">
        <f>OBRA!W585</f>
        <v>ECCOC DE GUADALAJARA, S.A. DE C.V.</v>
      </c>
      <c r="U583" s="408">
        <f>OBRA!X585</f>
        <v>0</v>
      </c>
      <c r="V583" s="1090"/>
      <c r="W583" s="19" t="str">
        <f>OBRA!N585</f>
        <v>C.P.S.P. D.O.P. 001/2021</v>
      </c>
      <c r="X583" s="12"/>
      <c r="Y583" s="12"/>
      <c r="Z583" s="409" t="str">
        <f>OBRA!M585</f>
        <v>CUENTA CORRIENTE</v>
      </c>
      <c r="AA583" s="12"/>
      <c r="AB583" s="2" t="str">
        <f>OBRA!O585</f>
        <v>SERVICIOS</v>
      </c>
      <c r="AC583" s="3" t="str">
        <f>OBRA!P585</f>
        <v>ESTUDIO DE MECÁNICA DE SUELOS Y EL ESTUDIO DE CÁLCULO ESTRUCTURAL EN LA ESCUELA JOSÉ SANTANA, EN LA CABECERA MUNICIPAL DE JOCOTEPEC, JALISCO.</v>
      </c>
      <c r="AD583" s="4">
        <f>OBRA!R585</f>
        <v>42920</v>
      </c>
      <c r="AE583" s="6">
        <f>OBRA!S585</f>
        <v>44512</v>
      </c>
      <c r="AF583" s="5" t="str">
        <f>OBRA!T585</f>
        <v>-</v>
      </c>
      <c r="AG583" s="390" t="str">
        <f>OBRA!U585</f>
        <v>-</v>
      </c>
      <c r="AH583" s="52"/>
      <c r="AI583" s="211"/>
      <c r="AJ583" s="242"/>
      <c r="AK583" s="242"/>
      <c r="AL583" s="394"/>
      <c r="AM583" s="519" t="str">
        <f>GRAL!B587</f>
        <v>2021-2024</v>
      </c>
    </row>
    <row r="584" spans="1:39" ht="60" hidden="1">
      <c r="A584" s="158">
        <f>OBRA!J586</f>
        <v>2021</v>
      </c>
      <c r="B584" s="1683"/>
      <c r="C584" s="395"/>
      <c r="D584" s="146"/>
      <c r="E584" s="148"/>
      <c r="F584" s="148"/>
      <c r="G584" s="398"/>
      <c r="H584" s="404">
        <f>OBRA!AF586</f>
        <v>0</v>
      </c>
      <c r="I584" s="400"/>
      <c r="J584" s="406">
        <f>OBRA!AG586</f>
        <v>0</v>
      </c>
      <c r="K584" s="401"/>
      <c r="L584" s="404">
        <f>OBRA!AH586</f>
        <v>0</v>
      </c>
      <c r="M584" s="402"/>
      <c r="N584" s="404">
        <f>OBRA!AI586</f>
        <v>0</v>
      </c>
      <c r="O584" s="144"/>
      <c r="P584" s="144"/>
      <c r="Q584" s="403"/>
      <c r="R584" s="407">
        <f>OBRA!AJ586</f>
        <v>0</v>
      </c>
      <c r="S584" s="201"/>
      <c r="T584" s="399" t="str">
        <f>OBRA!W586</f>
        <v>CARLOS MANUEL PELAYO CERVERA</v>
      </c>
      <c r="U584" s="408">
        <f>OBRA!X586</f>
        <v>0</v>
      </c>
      <c r="V584" s="1090"/>
      <c r="W584" s="19" t="str">
        <f>OBRA!N586</f>
        <v>C.P.S.P. D.O.P. 002/2021</v>
      </c>
      <c r="X584" s="12"/>
      <c r="Y584" s="12"/>
      <c r="Z584" s="409" t="str">
        <f>OBRA!M586</f>
        <v>CUENTA CORRIENTE</v>
      </c>
      <c r="AA584" s="12"/>
      <c r="AB584" s="2" t="str">
        <f>OBRA!O586</f>
        <v>SERVICIOS</v>
      </c>
      <c r="AC584" s="3" t="str">
        <f>OBRA!P586</f>
        <v>DESLINDE DE PREDIO UBICADO EN CARRETERA JOCOTEPEC-CHAPALA, ESQUINA CALLE CRISTOBAL COLÓN, EN LA LOCALIDAD DE NEXTIPAC, DEL MUNICIPIO DE JOCOTEPEC. JALISCO.</v>
      </c>
      <c r="AD584" s="4">
        <f>OBRA!R586</f>
        <v>5800</v>
      </c>
      <c r="AE584" s="6">
        <f>OBRA!S586</f>
        <v>44512</v>
      </c>
      <c r="AF584" s="5" t="str">
        <f>OBRA!T586</f>
        <v>-</v>
      </c>
      <c r="AG584" s="390" t="str">
        <f>OBRA!U586</f>
        <v>-</v>
      </c>
      <c r="AH584" s="52"/>
      <c r="AI584" s="211"/>
      <c r="AJ584" s="242"/>
      <c r="AK584" s="242"/>
      <c r="AL584" s="394"/>
      <c r="AM584" s="519" t="str">
        <f>GRAL!B588</f>
        <v>2021-2024</v>
      </c>
    </row>
    <row r="585" spans="1:39" ht="165" hidden="1">
      <c r="A585" s="158">
        <f>OBRA!J587</f>
        <v>2021</v>
      </c>
      <c r="B585" s="1683"/>
      <c r="C585" s="395"/>
      <c r="D585" s="146"/>
      <c r="E585" s="148"/>
      <c r="F585" s="148"/>
      <c r="G585" s="398"/>
      <c r="H585" s="404">
        <f>OBRA!AF587</f>
        <v>0</v>
      </c>
      <c r="I585" s="400"/>
      <c r="J585" s="406">
        <f>OBRA!AG587</f>
        <v>0</v>
      </c>
      <c r="K585" s="401"/>
      <c r="L585" s="404">
        <f>OBRA!AH587</f>
        <v>0</v>
      </c>
      <c r="M585" s="402"/>
      <c r="N585" s="404">
        <f>OBRA!AI587</f>
        <v>0</v>
      </c>
      <c r="O585" s="144"/>
      <c r="P585" s="144"/>
      <c r="Q585" s="403"/>
      <c r="R585" s="407">
        <f>OBRA!AJ587</f>
        <v>0</v>
      </c>
      <c r="S585" s="201"/>
      <c r="T585" s="399" t="str">
        <f>OBRA!W587</f>
        <v>ING. SERGIO CABRERA</v>
      </c>
      <c r="U585" s="408">
        <f>OBRA!X587</f>
        <v>0</v>
      </c>
      <c r="V585" s="1090"/>
      <c r="W585" s="19" t="str">
        <f>OBRA!N587</f>
        <v>C.P.S.P. D.O.P. 003/2021</v>
      </c>
      <c r="X585" s="12"/>
      <c r="Y585" s="12"/>
      <c r="Z585" s="409" t="str">
        <f>OBRA!M587</f>
        <v>CUENTA CORRIENTE</v>
      </c>
      <c r="AA585" s="12"/>
      <c r="AB585" s="2" t="str">
        <f>OBRA!O587</f>
        <v>SERVICIOS</v>
      </c>
      <c r="AC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OBRA!R587</f>
        <v>34800</v>
      </c>
      <c r="AE585" s="6">
        <f>OBRA!S587</f>
        <v>44515</v>
      </c>
      <c r="AF585" s="5" t="str">
        <f>OBRA!T587</f>
        <v>-</v>
      </c>
      <c r="AG585" s="390" t="str">
        <f>OBRA!U587</f>
        <v>-</v>
      </c>
      <c r="AH585" s="52"/>
      <c r="AI585" s="211"/>
      <c r="AJ585" s="242"/>
      <c r="AK585" s="242"/>
      <c r="AL585" s="394"/>
      <c r="AM585" s="519" t="str">
        <f>GRAL!B589</f>
        <v>2021-2024</v>
      </c>
    </row>
    <row r="586" spans="1:39" ht="75" hidden="1">
      <c r="A586" s="158">
        <f>OBRA!J588</f>
        <v>2021</v>
      </c>
      <c r="B586" s="1683"/>
      <c r="C586" s="395"/>
      <c r="D586" s="146"/>
      <c r="E586" s="148"/>
      <c r="F586" s="148"/>
      <c r="G586" s="398"/>
      <c r="H586" s="404">
        <f>OBRA!AF588</f>
        <v>0</v>
      </c>
      <c r="I586" s="400"/>
      <c r="J586" s="406">
        <f>OBRA!AG588</f>
        <v>0</v>
      </c>
      <c r="K586" s="401"/>
      <c r="L586" s="404">
        <f>OBRA!AH588</f>
        <v>0</v>
      </c>
      <c r="M586" s="402"/>
      <c r="N586" s="404">
        <f>OBRA!AI588</f>
        <v>0</v>
      </c>
      <c r="O586" s="144"/>
      <c r="P586" s="144"/>
      <c r="Q586" s="403"/>
      <c r="R586" s="407">
        <f>OBRA!AJ588</f>
        <v>0</v>
      </c>
      <c r="S586" s="201"/>
      <c r="T586" s="399" t="str">
        <f>OBRA!W588</f>
        <v xml:space="preserve">SERVICIOS Y CONSTRUCCIONES NATENIO, S.A. DE C.V. </v>
      </c>
      <c r="U586" s="408">
        <f>OBRA!X588</f>
        <v>0</v>
      </c>
      <c r="V586" s="1090"/>
      <c r="W586" s="19" t="str">
        <f>OBRA!N588</f>
        <v>C.P.S.P. D.O.P. 004/2021</v>
      </c>
      <c r="X586" s="12"/>
      <c r="Y586" s="12"/>
      <c r="Z586" s="409" t="str">
        <f>OBRA!M588</f>
        <v>CUENTA CORRIENTE</v>
      </c>
      <c r="AA586" s="12"/>
      <c r="AB586" s="2" t="str">
        <f>OBRA!O588</f>
        <v>SERVICIOS</v>
      </c>
      <c r="AC586" s="3" t="str">
        <f>OBRA!P588</f>
        <v>"LOS ANTEPROYECTOS Y PROYECTOS EJECUTIVOS DE LAS LÍNEAS POR BOPMBEO Y POR GRAVEDAD DEL POZO ALLENDE AL TANQUE DE ALMACENAMIENTO, EN LA CABECERA MUNICIPAL DE JOCOTEPEC, JALISCO.</v>
      </c>
      <c r="AD586" s="4">
        <f>OBRA!R588</f>
        <v>28999.999999999996</v>
      </c>
      <c r="AE586" s="6">
        <f>OBRA!S588</f>
        <v>44533</v>
      </c>
      <c r="AF586" s="5">
        <f>OBRA!T588</f>
        <v>44543</v>
      </c>
      <c r="AG586" s="390">
        <f>OBRA!U588</f>
        <v>44546</v>
      </c>
      <c r="AH586" s="52"/>
      <c r="AI586" s="211"/>
      <c r="AJ586" s="242"/>
      <c r="AK586" s="242"/>
      <c r="AL586" s="394"/>
      <c r="AM586" s="519" t="str">
        <f>GRAL!B590</f>
        <v>2021-2024</v>
      </c>
    </row>
    <row r="587" spans="1:39" ht="45" hidden="1">
      <c r="A587" s="158">
        <f>OBRA!J589</f>
        <v>2021</v>
      </c>
      <c r="B587" s="1683"/>
      <c r="C587" s="395"/>
      <c r="D587" s="146"/>
      <c r="E587" s="148"/>
      <c r="F587" s="148"/>
      <c r="G587" s="398"/>
      <c r="H587" s="404">
        <f>OBRA!AF589</f>
        <v>0</v>
      </c>
      <c r="I587" s="400"/>
      <c r="J587" s="406">
        <f>OBRA!AG589</f>
        <v>0</v>
      </c>
      <c r="K587" s="401"/>
      <c r="L587" s="404">
        <f>OBRA!AH589</f>
        <v>0</v>
      </c>
      <c r="M587" s="402"/>
      <c r="N587" s="404">
        <f>OBRA!AI589</f>
        <v>0</v>
      </c>
      <c r="O587" s="144"/>
      <c r="P587" s="144"/>
      <c r="Q587" s="403"/>
      <c r="R587" s="407">
        <f>OBRA!AJ589</f>
        <v>0</v>
      </c>
      <c r="S587" s="201"/>
      <c r="T587" s="399" t="str">
        <f>OBRA!W589</f>
        <v xml:space="preserve">ING. SERGIO CABRERA </v>
      </c>
      <c r="U587" s="408" t="str">
        <f>OBRA!X589</f>
        <v>ING. J. GUADALUPE IBARRA RAMIREZ</v>
      </c>
      <c r="V587" s="1090"/>
      <c r="W587" s="19" t="str">
        <f>OBRA!N589</f>
        <v>GMJ 001C- OP/2021</v>
      </c>
      <c r="X587" s="12"/>
      <c r="Y587" s="12"/>
      <c r="Z587" s="409">
        <f>OBRA!M589</f>
        <v>0</v>
      </c>
      <c r="AA587" s="12"/>
      <c r="AB587" s="2" t="str">
        <f>OBRA!O589</f>
        <v>CANCELADA</v>
      </c>
      <c r="AC587" s="3">
        <f>OBRA!P589</f>
        <v>0</v>
      </c>
      <c r="AD587" s="4">
        <f>OBRA!R589</f>
        <v>0</v>
      </c>
      <c r="AE587" s="6">
        <f>OBRA!S589</f>
        <v>0</v>
      </c>
      <c r="AF587" s="5">
        <f>OBRA!T589</f>
        <v>0</v>
      </c>
      <c r="AG587" s="390">
        <f>OBRA!U589</f>
        <v>0</v>
      </c>
      <c r="AH587" s="52"/>
      <c r="AI587" s="211"/>
      <c r="AJ587" s="242"/>
      <c r="AK587" s="242"/>
      <c r="AL587" s="394"/>
      <c r="AM587" s="519" t="str">
        <f>GRAL!B591</f>
        <v>2021-2024</v>
      </c>
    </row>
    <row r="588" spans="1:39" ht="60" hidden="1">
      <c r="A588" s="158">
        <f>OBRA!J590</f>
        <v>2021</v>
      </c>
      <c r="B588" s="1683"/>
      <c r="C588" s="395"/>
      <c r="D588" s="146"/>
      <c r="E588" s="148"/>
      <c r="F588" s="148"/>
      <c r="G588" s="398"/>
      <c r="H588" s="404" t="str">
        <f>OBRA!AF590</f>
        <v>-</v>
      </c>
      <c r="I588" s="400"/>
      <c r="J588" s="406" t="str">
        <f>OBRA!AG590</f>
        <v>-</v>
      </c>
      <c r="K588" s="401"/>
      <c r="L588" s="404" t="str">
        <f>OBRA!AH590</f>
        <v>-</v>
      </c>
      <c r="M588" s="402"/>
      <c r="N588" s="404" t="str">
        <f>OBRA!AI590</f>
        <v>-</v>
      </c>
      <c r="O588" s="144"/>
      <c r="P588" s="144"/>
      <c r="Q588" s="403"/>
      <c r="R588" s="407" t="str">
        <f>OBRA!AJ590</f>
        <v>-</v>
      </c>
      <c r="S588" s="201"/>
      <c r="T588" s="399" t="str">
        <f>OBRA!W590</f>
        <v>ING. SERGIO CABRERA</v>
      </c>
      <c r="U588" s="408" t="str">
        <f>OBRA!X590</f>
        <v>ING. J. GUADALUPE IBARRA RAMIREZ</v>
      </c>
      <c r="V588" s="1090"/>
      <c r="W588" s="19" t="str">
        <f>OBRA!N590</f>
        <v>GMJ 002C- OP/2021</v>
      </c>
      <c r="X588" s="12"/>
      <c r="Y588" s="12"/>
      <c r="Z588" s="409" t="str">
        <f>OBRA!M590</f>
        <v>CUENTA CORRIENTE</v>
      </c>
      <c r="AA588" s="12"/>
      <c r="AB588" s="2" t="str">
        <f>OBRA!O590</f>
        <v>ADJUDICACIÓN DIRECTA</v>
      </c>
      <c r="AC588" s="3" t="str">
        <f>OBRA!P590</f>
        <v>"REHABILITACIÓN DE LÍNEA DE AGUA POTABLE Y LÍNEA DRENAJE EN CALLE LIBERTAD" EN LA DELEGACIÓN DE POTRERILLOS, DEL MUNICIPIO DE JOCOTEPEC, JALISCO.</v>
      </c>
      <c r="AD588" s="4">
        <f>OBRA!R590</f>
        <v>715198.43</v>
      </c>
      <c r="AE588" s="6">
        <f>OBRA!S590</f>
        <v>44504</v>
      </c>
      <c r="AF588" s="5">
        <f>OBRA!T590</f>
        <v>44508</v>
      </c>
      <c r="AG588" s="390">
        <f>OBRA!U590</f>
        <v>44548</v>
      </c>
      <c r="AH588" s="52"/>
      <c r="AI588" s="211"/>
      <c r="AJ588" s="242"/>
      <c r="AK588" s="242"/>
      <c r="AL588" s="394"/>
      <c r="AM588" s="519" t="str">
        <f>GRAL!B592</f>
        <v>2021-2024</v>
      </c>
    </row>
    <row r="589" spans="1:39" ht="90" hidden="1">
      <c r="A589" s="158">
        <f>OBRA!J591</f>
        <v>2021</v>
      </c>
      <c r="B589" s="1683"/>
      <c r="C589" s="395"/>
      <c r="D589" s="146"/>
      <c r="E589" s="148"/>
      <c r="F589" s="148"/>
      <c r="G589" s="398"/>
      <c r="H589" s="404" t="str">
        <f>OBRA!AF591</f>
        <v>-</v>
      </c>
      <c r="I589" s="400"/>
      <c r="J589" s="406" t="str">
        <f>OBRA!AG591</f>
        <v>-</v>
      </c>
      <c r="K589" s="401"/>
      <c r="L589" s="404" t="str">
        <f>OBRA!AH591</f>
        <v>-</v>
      </c>
      <c r="M589" s="402"/>
      <c r="N589" s="404" t="str">
        <f>OBRA!AI591</f>
        <v>-</v>
      </c>
      <c r="O589" s="144"/>
      <c r="P589" s="144"/>
      <c r="Q589" s="403"/>
      <c r="R589" s="407" t="str">
        <f>OBRA!AJ591</f>
        <v>-</v>
      </c>
      <c r="S589" s="201"/>
      <c r="T589" s="399" t="str">
        <f>OBRA!W591</f>
        <v>ING. SERGIO CABRERA</v>
      </c>
      <c r="U589" s="408" t="str">
        <f>OBRA!X591</f>
        <v>ING. J. GUADALUPE IBARRA RAMIREZ</v>
      </c>
      <c r="V589" s="1090"/>
      <c r="W589" s="19" t="str">
        <f>OBRA!N591</f>
        <v>GMJ 003C- OP/2021</v>
      </c>
      <c r="X589" s="12"/>
      <c r="Y589" s="12"/>
      <c r="Z589" s="409" t="str">
        <f>OBRA!M591</f>
        <v>RAMO 33</v>
      </c>
      <c r="AA589" s="12"/>
      <c r="AB589" s="2" t="str">
        <f>OBRA!O591</f>
        <v>ADJUDICACIÓN DIRECTA</v>
      </c>
      <c r="AC589" s="3" t="str">
        <f>OBRA!P591</f>
        <v>"REHABILITACIÓN DE LÍNEA DE AGUA POTABLE EN CALLE GUADALUPE VICTORIA ENTRE CARRETERA Y C. LA PAZ, Y EN C. LA PAZ DE CALLE GUADALUPE VICTORIA AL CADENAMIENTO 0+516.00"EN LA DELEGACIÓN DE SAN JUAN COSALÁ, DEL MUNICIPIO DE JOCOTEPEC, JALISCO.</v>
      </c>
      <c r="AD589" s="4">
        <f>OBRA!R591</f>
        <v>347130.34</v>
      </c>
      <c r="AE589" s="6">
        <f>OBRA!S591</f>
        <v>44522</v>
      </c>
      <c r="AF589" s="5">
        <f>OBRA!T591</f>
        <v>44523</v>
      </c>
      <c r="AG589" s="390">
        <f>OBRA!U591</f>
        <v>44560</v>
      </c>
      <c r="AH589" s="52"/>
      <c r="AI589" s="211"/>
      <c r="AJ589" s="242"/>
      <c r="AK589" s="242"/>
      <c r="AL589" s="394"/>
      <c r="AM589" s="519" t="str">
        <f>GRAL!B593</f>
        <v>2021-2024</v>
      </c>
    </row>
    <row r="590" spans="1:39" ht="105" hidden="1">
      <c r="A590" s="158">
        <f>OBRA!J592</f>
        <v>2021</v>
      </c>
      <c r="B590" s="1683"/>
      <c r="C590" s="395"/>
      <c r="D590" s="146"/>
      <c r="E590" s="148"/>
      <c r="F590" s="148"/>
      <c r="G590" s="398"/>
      <c r="H590" s="404" t="str">
        <f>OBRA!AF592</f>
        <v>-</v>
      </c>
      <c r="I590" s="400"/>
      <c r="J590" s="406" t="str">
        <f>OBRA!AG592</f>
        <v>-</v>
      </c>
      <c r="K590" s="401"/>
      <c r="L590" s="404" t="str">
        <f>OBRA!AH592</f>
        <v>-</v>
      </c>
      <c r="M590" s="402"/>
      <c r="N590" s="404" t="str">
        <f>OBRA!AI592</f>
        <v>-</v>
      </c>
      <c r="O590" s="144"/>
      <c r="P590" s="144"/>
      <c r="Q590" s="403"/>
      <c r="R590" s="407" t="str">
        <f>OBRA!AJ592</f>
        <v>-</v>
      </c>
      <c r="S590" s="201"/>
      <c r="T590" s="399" t="str">
        <f>OBRA!W592</f>
        <v>ING. SERGIO CABRERA</v>
      </c>
      <c r="U590" s="408" t="str">
        <f>OBRA!X592</f>
        <v>ING. J. GUADALUPE IBARRA RAMIREZ</v>
      </c>
      <c r="V590" s="1090"/>
      <c r="W590" s="19" t="str">
        <f>OBRA!N592</f>
        <v>GMJ 004C- OP/2021</v>
      </c>
      <c r="X590" s="12"/>
      <c r="Y590" s="12"/>
      <c r="Z590" s="409" t="str">
        <f>OBRA!M592</f>
        <v>RAMO 33</v>
      </c>
      <c r="AA590" s="12"/>
      <c r="AB590" s="2" t="str">
        <f>OBRA!O592</f>
        <v>ADJUDICACIÓN DIRECTA</v>
      </c>
      <c r="AC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OBRA!R592</f>
        <v>791064.19</v>
      </c>
      <c r="AE590" s="6">
        <f>OBRA!S592</f>
        <v>44522</v>
      </c>
      <c r="AF590" s="5">
        <f>OBRA!T592</f>
        <v>44523</v>
      </c>
      <c r="AG590" s="390">
        <f>OBRA!U592</f>
        <v>44530</v>
      </c>
      <c r="AH590" s="52"/>
      <c r="AI590" s="211"/>
      <c r="AJ590" s="242"/>
      <c r="AK590" s="242"/>
      <c r="AL590" s="394"/>
      <c r="AM590" s="519" t="str">
        <f>GRAL!B594</f>
        <v>2021-2024</v>
      </c>
    </row>
    <row r="591" spans="1:39" ht="60" hidden="1">
      <c r="A591" s="158">
        <f>OBRA!J593</f>
        <v>2021</v>
      </c>
      <c r="B591" s="1683"/>
      <c r="C591" s="395"/>
      <c r="D591" s="146"/>
      <c r="E591" s="148"/>
      <c r="F591" s="148"/>
      <c r="G591" s="398"/>
      <c r="H591" s="404" t="str">
        <f>OBRA!AF593</f>
        <v>-</v>
      </c>
      <c r="I591" s="400"/>
      <c r="J591" s="406" t="str">
        <f>OBRA!AG593</f>
        <v>-</v>
      </c>
      <c r="K591" s="401"/>
      <c r="L591" s="404" t="str">
        <f>OBRA!AH593</f>
        <v>-</v>
      </c>
      <c r="M591" s="402"/>
      <c r="N591" s="404" t="str">
        <f>OBRA!AI593</f>
        <v>-</v>
      </c>
      <c r="O591" s="144"/>
      <c r="P591" s="144"/>
      <c r="Q591" s="403"/>
      <c r="R591" s="407" t="str">
        <f>OBRA!AJ593</f>
        <v>-</v>
      </c>
      <c r="S591" s="201"/>
      <c r="T591" s="399" t="str">
        <f>OBRA!W593</f>
        <v>PLANOS Y OBRAS LODEIRO S.A. DE C.V.</v>
      </c>
      <c r="U591" s="408" t="str">
        <f>OBRA!X593</f>
        <v>ING. J. GUADALUPE IBARRA RAMIREZ</v>
      </c>
      <c r="V591" s="1090"/>
      <c r="W591" s="19" t="str">
        <f>OBRA!N593</f>
        <v>GMJ 005C- OP/2021</v>
      </c>
      <c r="X591" s="12"/>
      <c r="Y591" s="12"/>
      <c r="Z591" s="409" t="str">
        <f>OBRA!M593</f>
        <v>RAMO 33</v>
      </c>
      <c r="AA591" s="12"/>
      <c r="AB591" s="2" t="str">
        <f>OBRA!O593</f>
        <v>ADJUDICACIÓN DIRECTA</v>
      </c>
      <c r="AC591" s="3" t="str">
        <f>OBRA!P593</f>
        <v>"CONSTRUCCIÓN DE BANQUETAS EN CALLE LAZARO CÁRDENAS ENTRE C. VERANO Y C. INVIERNO" EN LA CABECERA MUNICIPAL DE JOCOTEPEC, JALISCO.</v>
      </c>
      <c r="AD591" s="4">
        <f>OBRA!R593</f>
        <v>100144.26</v>
      </c>
      <c r="AE591" s="6">
        <f>OBRA!S593</f>
        <v>44522</v>
      </c>
      <c r="AF591" s="5">
        <f>OBRA!T593</f>
        <v>44524</v>
      </c>
      <c r="AG591" s="390">
        <f>OBRA!U593</f>
        <v>44558</v>
      </c>
      <c r="AH591" s="52"/>
      <c r="AI591" s="211"/>
      <c r="AJ591" s="242"/>
      <c r="AK591" s="242"/>
      <c r="AL591" s="394"/>
      <c r="AM591" s="519" t="str">
        <f>GRAL!B595</f>
        <v>2021-2024</v>
      </c>
    </row>
    <row r="592" spans="1:39" ht="75" hidden="1">
      <c r="A592" s="158">
        <f>OBRA!J594</f>
        <v>2021</v>
      </c>
      <c r="B592" s="1683"/>
      <c r="C592" s="395"/>
      <c r="D592" s="146"/>
      <c r="E592" s="148"/>
      <c r="F592" s="148"/>
      <c r="G592" s="398"/>
      <c r="H592" s="404" t="str">
        <f>OBRA!AF594</f>
        <v>-</v>
      </c>
      <c r="I592" s="400"/>
      <c r="J592" s="406" t="str">
        <f>OBRA!AG594</f>
        <v>-</v>
      </c>
      <c r="K592" s="401"/>
      <c r="L592" s="404" t="str">
        <f>OBRA!AH594</f>
        <v>-</v>
      </c>
      <c r="M592" s="402"/>
      <c r="N592" s="404" t="str">
        <f>OBRA!AI594</f>
        <v>-</v>
      </c>
      <c r="O592" s="144"/>
      <c r="P592" s="144"/>
      <c r="Q592" s="403"/>
      <c r="R592" s="407" t="str">
        <f>OBRA!AJ594</f>
        <v>-</v>
      </c>
      <c r="S592" s="201"/>
      <c r="T592" s="399" t="str">
        <f>OBRA!W594</f>
        <v>ING. SERGIO CABRERA</v>
      </c>
      <c r="U592" s="408" t="str">
        <f>OBRA!X594</f>
        <v>ING. J. GUADALUPE IBARRA RAMIREZ</v>
      </c>
      <c r="V592" s="1090"/>
      <c r="W592" s="19" t="str">
        <f>OBRA!N594</f>
        <v>GMJ 006C- OP/2021</v>
      </c>
      <c r="X592" s="12"/>
      <c r="Y592" s="12"/>
      <c r="Z592" s="409" t="str">
        <f>OBRA!M594</f>
        <v>RAMO 33</v>
      </c>
      <c r="AA592" s="12"/>
      <c r="AB592" s="2" t="str">
        <f>OBRA!O594</f>
        <v>ADJUDICACIÓN DIRECTA</v>
      </c>
      <c r="AC592" s="3" t="str">
        <f>OBRA!P594</f>
        <v>"REHABILITACIÓN DE LÍNEA ALIMENTADORA DE AGUA POTABLE DE 6" EN C. LA PAZ ENTRE C. HIDALGO Y C. TACUBA" EN LA DELEGACIÓN DE SAN JUAN COSALÁ, DEL MUNICIPIO DE JOCOTEPEC, JALISCO.</v>
      </c>
      <c r="AD592" s="4">
        <f>OBRA!R594</f>
        <v>252763.45</v>
      </c>
      <c r="AE592" s="6">
        <f>OBRA!S594</f>
        <v>44522</v>
      </c>
      <c r="AF592" s="5">
        <f>OBRA!T594</f>
        <v>44523</v>
      </c>
      <c r="AG592" s="390">
        <f>OBRA!U594</f>
        <v>44559</v>
      </c>
      <c r="AH592" s="52"/>
      <c r="AI592" s="211"/>
      <c r="AJ592" s="242"/>
      <c r="AK592" s="242"/>
      <c r="AL592" s="394"/>
      <c r="AM592" s="519" t="str">
        <f>GRAL!B596</f>
        <v>2021-2024</v>
      </c>
    </row>
    <row r="593" spans="1:39" ht="75" hidden="1">
      <c r="A593" s="158">
        <f>OBRA!J595</f>
        <v>2021</v>
      </c>
      <c r="B593" s="1683"/>
      <c r="C593" s="395"/>
      <c r="D593" s="146"/>
      <c r="E593" s="148"/>
      <c r="F593" s="148"/>
      <c r="G593" s="398"/>
      <c r="H593" s="404" t="str">
        <f>OBRA!AF595</f>
        <v>-</v>
      </c>
      <c r="I593" s="400"/>
      <c r="J593" s="406" t="str">
        <f>OBRA!AG595</f>
        <v>-</v>
      </c>
      <c r="K593" s="401"/>
      <c r="L593" s="404" t="str">
        <f>OBRA!AH595</f>
        <v>-</v>
      </c>
      <c r="M593" s="402"/>
      <c r="N593" s="404" t="str">
        <f>OBRA!AI595</f>
        <v>-</v>
      </c>
      <c r="O593" s="144"/>
      <c r="P593" s="144"/>
      <c r="Q593" s="403"/>
      <c r="R593" s="407" t="str">
        <f>OBRA!AJ595</f>
        <v>-</v>
      </c>
      <c r="S593" s="201"/>
      <c r="T593" s="399" t="str">
        <f>OBRA!W595</f>
        <v>ING. SERGIO CABRERA</v>
      </c>
      <c r="U593" s="408" t="str">
        <f>OBRA!X595</f>
        <v>C. DANIEL RODRIGUEZ VALENZUELA</v>
      </c>
      <c r="V593" s="1090"/>
      <c r="W593" s="19" t="str">
        <f>OBRA!N595</f>
        <v>GMJ 007C- OP/2021</v>
      </c>
      <c r="X593" s="12"/>
      <c r="Y593" s="12"/>
      <c r="Z593" s="409" t="str">
        <f>OBRA!M595</f>
        <v>CUENTA CORRIENTE</v>
      </c>
      <c r="AA593" s="12"/>
      <c r="AB593" s="2" t="str">
        <f>OBRA!O595</f>
        <v>ADJUDICACIÓN DIRECTA</v>
      </c>
      <c r="AC593" s="3" t="str">
        <f>OBRA!P595</f>
        <v>"REHABILITACIÓN DE LÍNEA DE AGUA POTABLE EN LA CALLE RIVERA DEL LAGO ENTRE CALLE MORELOS Y LA CALLE GUAYABITOS" EN LA DELEGACIÓN DE CHANTEPEC, DEL MUNICIPIO DE JOCOTEPEC, JALISCO</v>
      </c>
      <c r="AD593" s="4">
        <f>OBRA!R595</f>
        <v>360015.52</v>
      </c>
      <c r="AE593" s="6">
        <f>OBRA!S595</f>
        <v>44560</v>
      </c>
      <c r="AF593" s="5">
        <f>OBRA!T595</f>
        <v>44560</v>
      </c>
      <c r="AG593" s="390">
        <f>OBRA!U595</f>
        <v>44569</v>
      </c>
      <c r="AH593" s="52"/>
      <c r="AI593" s="211"/>
      <c r="AJ593" s="242"/>
      <c r="AK593" s="242"/>
      <c r="AL593" s="394"/>
      <c r="AM593" s="519" t="str">
        <f>GRAL!B597</f>
        <v>2021-2024</v>
      </c>
    </row>
    <row r="594" spans="1:39" ht="30" hidden="1">
      <c r="A594" s="158">
        <f>OBRA!J596</f>
        <v>2022</v>
      </c>
      <c r="B594" s="1683"/>
      <c r="C594" s="1360"/>
      <c r="D594" s="163"/>
      <c r="E594" s="1169"/>
      <c r="F594" s="1169"/>
      <c r="G594" s="1184"/>
      <c r="H594" s="1185" t="str">
        <f>OBRA!AF596</f>
        <v>-</v>
      </c>
      <c r="I594" s="1186"/>
      <c r="J594" s="1361" t="str">
        <f>OBRA!AG596</f>
        <v>-</v>
      </c>
      <c r="K594" s="1187"/>
      <c r="L594" s="1185" t="str">
        <f>OBRA!AH596</f>
        <v>-</v>
      </c>
      <c r="M594" s="1188"/>
      <c r="N594" s="1185" t="str">
        <f>OBRA!AI596</f>
        <v>-</v>
      </c>
      <c r="O594" s="1185"/>
      <c r="P594" s="1185"/>
      <c r="Q594" s="1187"/>
      <c r="R594" s="437" t="str">
        <f>OBRA!AJ596</f>
        <v>-</v>
      </c>
      <c r="S594" s="535"/>
      <c r="T594" s="399" t="str">
        <f>OBRA!W596</f>
        <v>N/A</v>
      </c>
      <c r="U594" s="408" t="str">
        <f>OBRA!X596</f>
        <v>ARQ. JAIME CONDE GOMEZ</v>
      </c>
      <c r="V594" s="1090"/>
      <c r="W594" s="19" t="str">
        <f>OBRA!N596</f>
        <v>DOP/AD/001/2022</v>
      </c>
      <c r="X594" s="1402"/>
      <c r="Y594" s="1402"/>
      <c r="Z594" s="409" t="str">
        <f>OBRA!M596</f>
        <v>CUENTA CORRIENTE</v>
      </c>
      <c r="AA594" s="1402"/>
      <c r="AB594" s="2" t="str">
        <f>OBRA!O596</f>
        <v>ADMINISTRACIÓN DIRECTA</v>
      </c>
      <c r="AC594" s="3" t="str">
        <f>OBRA!P596</f>
        <v>CUARTO DE EMERGENCIA PARA MUJERES EN SITUACIÓN DE VIOLENCIA EXTREMA…</v>
      </c>
      <c r="AD594" s="4">
        <f>OBRA!R596</f>
        <v>70000</v>
      </c>
      <c r="AE594" s="6">
        <f>OBRA!S596</f>
        <v>44693</v>
      </c>
      <c r="AF594" s="5">
        <f>OBRA!T596</f>
        <v>44697</v>
      </c>
      <c r="AG594" s="390">
        <f>OBRA!U596</f>
        <v>44728</v>
      </c>
      <c r="AH594" s="880"/>
      <c r="AI594" s="161"/>
      <c r="AJ594" s="219"/>
      <c r="AK594" s="219"/>
      <c r="AL594" s="632"/>
      <c r="AM594" s="519" t="str">
        <f>GRAL!B598</f>
        <v>2021-2024</v>
      </c>
    </row>
    <row r="595" spans="1:39" ht="60" hidden="1">
      <c r="A595" s="158">
        <f>OBRA!J597</f>
        <v>2022</v>
      </c>
      <c r="B595" s="1683"/>
      <c r="C595" s="1360"/>
      <c r="D595" s="163"/>
      <c r="E595" s="1169"/>
      <c r="F595" s="1169"/>
      <c r="G595" s="1184"/>
      <c r="H595" s="1185" t="str">
        <f>OBRA!AF597</f>
        <v>-</v>
      </c>
      <c r="I595" s="1186"/>
      <c r="J595" s="1361" t="str">
        <f>OBRA!AG597</f>
        <v>-</v>
      </c>
      <c r="K595" s="1187"/>
      <c r="L595" s="1185" t="str">
        <f>OBRA!AH597</f>
        <v>-</v>
      </c>
      <c r="M595" s="1188"/>
      <c r="N595" s="1185" t="str">
        <f>OBRA!AI597</f>
        <v>-</v>
      </c>
      <c r="O595" s="1185"/>
      <c r="P595" s="1185"/>
      <c r="Q595" s="1187"/>
      <c r="R595" s="437" t="str">
        <f>OBRA!AJ597</f>
        <v>-</v>
      </c>
      <c r="S595" s="535"/>
      <c r="T595" s="399" t="str">
        <f>OBRA!W597</f>
        <v>N/A</v>
      </c>
      <c r="U595" s="408" t="str">
        <f>OBRA!X597</f>
        <v>ING. LUIS RIGOBERTO OLMEDO NAVARRO</v>
      </c>
      <c r="V595" s="1090"/>
      <c r="W595" s="19" t="str">
        <f>OBRA!N597</f>
        <v>DOP/AD/002/2022</v>
      </c>
      <c r="X595" s="1402"/>
      <c r="Y595" s="1402"/>
      <c r="Z595" s="409" t="str">
        <f>OBRA!M597</f>
        <v>RAMO 33</v>
      </c>
      <c r="AA595" s="1402"/>
      <c r="AB595" s="2" t="str">
        <f>OBRA!O597</f>
        <v>ADMINISTRACIÓN DIRECTA</v>
      </c>
      <c r="AC595" s="3" t="str">
        <f>OBRA!P597</f>
        <v>"CONSTRUCCIÓN DE BANQUETAS EN EL PUENTE 20 DE NOVIEMBRE", EN LA LOCALIDAD DE ZAPOTITÁN DE HIDALGO, DEL MUNICIPIO DE JOCOTEPEC, JALISCO.</v>
      </c>
      <c r="AD595" s="4">
        <f>OBRA!R597</f>
        <v>60152.28</v>
      </c>
      <c r="AE595" s="6">
        <f>OBRA!S597</f>
        <v>44707</v>
      </c>
      <c r="AF595" s="5">
        <f>OBRA!T597</f>
        <v>44718</v>
      </c>
      <c r="AG595" s="390">
        <f>OBRA!U597</f>
        <v>44726</v>
      </c>
      <c r="AH595" s="880"/>
      <c r="AI595" s="161"/>
      <c r="AJ595" s="219"/>
      <c r="AK595" s="219"/>
      <c r="AL595" s="632"/>
      <c r="AM595" s="519" t="str">
        <f>GRAL!B599</f>
        <v>2021-2024</v>
      </c>
    </row>
    <row r="596" spans="1:39" ht="75" hidden="1">
      <c r="A596" s="158">
        <f>OBRA!J598</f>
        <v>2022</v>
      </c>
      <c r="B596" s="1683"/>
      <c r="C596" s="1360"/>
      <c r="D596" s="163"/>
      <c r="E596" s="1169"/>
      <c r="F596" s="1169"/>
      <c r="G596" s="1184"/>
      <c r="H596" s="1185" t="str">
        <f>OBRA!AF598</f>
        <v>-</v>
      </c>
      <c r="I596" s="1186"/>
      <c r="J596" s="1361" t="str">
        <f>OBRA!AG598</f>
        <v>-</v>
      </c>
      <c r="K596" s="1187"/>
      <c r="L596" s="1185" t="str">
        <f>OBRA!AH598</f>
        <v>-</v>
      </c>
      <c r="M596" s="1188"/>
      <c r="N596" s="1185" t="str">
        <f>OBRA!AI598</f>
        <v>-</v>
      </c>
      <c r="O596" s="1185"/>
      <c r="P596" s="1185"/>
      <c r="Q596" s="1187"/>
      <c r="R596" s="437" t="str">
        <f>OBRA!AJ598</f>
        <v>-</v>
      </c>
      <c r="S596" s="535"/>
      <c r="T596" s="399" t="str">
        <f>OBRA!W598</f>
        <v>N/A</v>
      </c>
      <c r="U596" s="408" t="str">
        <f>OBRA!X598</f>
        <v>ING. LUIS RIGOBERTO OLMEDO NAVARRO</v>
      </c>
      <c r="V596" s="1090"/>
      <c r="W596" s="19" t="str">
        <f>OBRA!N598</f>
        <v>DOP/AD/003/2022</v>
      </c>
      <c r="X596" s="1402"/>
      <c r="Y596" s="1402"/>
      <c r="Z596" s="409" t="str">
        <f>OBRA!M598</f>
        <v>CUENTA CORRIENTE</v>
      </c>
      <c r="AA596" s="1402"/>
      <c r="AB596" s="2" t="str">
        <f>OBRA!O598</f>
        <v>ADMINISTRACIÓN DIRECTA</v>
      </c>
      <c r="AC596" s="3" t="str">
        <f>OBRA!P598</f>
        <v>“CONSTRUCCIÓN DEL TECHO DE LA SALA DE JUNTAS DEL PUNTO INOCUO DE DESEMBARQUE UBICADO DENTRO DE LAS INSTALACIONES DE LA COOPERATIVA”, EN LA LOCALIDAD DE SAN JUAN COSALÁ, DEL MUNICIPIO DE JOCOTEPEC, JALISCO</v>
      </c>
      <c r="AD596" s="4">
        <f>OBRA!R598</f>
        <v>81200</v>
      </c>
      <c r="AE596" s="6">
        <f>OBRA!S598</f>
        <v>44777</v>
      </c>
      <c r="AF596" s="5">
        <f>OBRA!T598</f>
        <v>44781</v>
      </c>
      <c r="AG596" s="390">
        <f>OBRA!U598</f>
        <v>44799</v>
      </c>
      <c r="AH596" s="880"/>
      <c r="AI596" s="161"/>
      <c r="AJ596" s="219"/>
      <c r="AK596" s="219"/>
      <c r="AL596" s="632"/>
      <c r="AM596" s="519" t="str">
        <f>GRAL!B600</f>
        <v>2021-2024</v>
      </c>
    </row>
    <row r="597" spans="1:39" ht="75" hidden="1">
      <c r="A597" s="158">
        <f>OBRA!J599</f>
        <v>2022</v>
      </c>
      <c r="B597" s="1683"/>
      <c r="C597" s="1360"/>
      <c r="D597" s="163"/>
      <c r="E597" s="1169"/>
      <c r="F597" s="1169"/>
      <c r="G597" s="1184"/>
      <c r="H597" s="1185" t="str">
        <f>OBRA!AF599</f>
        <v>-</v>
      </c>
      <c r="I597" s="1186"/>
      <c r="J597" s="1361" t="str">
        <f>OBRA!AG599</f>
        <v>-</v>
      </c>
      <c r="K597" s="1187"/>
      <c r="L597" s="1185" t="str">
        <f>OBRA!AH599</f>
        <v>-</v>
      </c>
      <c r="M597" s="1188"/>
      <c r="N597" s="1185" t="str">
        <f>OBRA!AI599</f>
        <v>-</v>
      </c>
      <c r="O597" s="1185"/>
      <c r="P597" s="1185"/>
      <c r="Q597" s="1187"/>
      <c r="R597" s="437" t="str">
        <f>OBRA!AJ599</f>
        <v>-</v>
      </c>
      <c r="S597" s="535"/>
      <c r="T597" s="399" t="str">
        <f>OBRA!W599</f>
        <v>N/A</v>
      </c>
      <c r="U597" s="408" t="str">
        <f>OBRA!X599</f>
        <v>C. DANIEL RODRIGUEZ VALENZUELA</v>
      </c>
      <c r="V597" s="1090"/>
      <c r="W597" s="19" t="str">
        <f>OBRA!N599</f>
        <v>DOP/AD/001-A/2022</v>
      </c>
      <c r="X597" s="1402"/>
      <c r="Y597" s="1402"/>
      <c r="Z597" s="409" t="str">
        <f>OBRA!M599</f>
        <v>CUENTA CORRIENTE</v>
      </c>
      <c r="AA597" s="1402"/>
      <c r="AB597" s="2" t="str">
        <f>OBRA!O599</f>
        <v>ADMINISTRACIÓN DIRECTA</v>
      </c>
      <c r="AC597" s="3" t="str">
        <f>OBRA!P599</f>
        <v>"REHABILITACIÓN DE EXTENSIÓN DE RED DE AGUA POTABLE DE 4" EN CALLE PROL. MORELOS ENTRE CALLE RIBERA DEL LAGO Y CALLE CHUECA" EN LA LOCALIDAD DE NEXTIPAC, DEL MUNICIPIO DE JOCOTEPEC, JALISCO.</v>
      </c>
      <c r="AD597" s="4">
        <f>OBRA!R599</f>
        <v>330190.86</v>
      </c>
      <c r="AE597" s="6">
        <f>OBRA!S599</f>
        <v>44595</v>
      </c>
      <c r="AF597" s="5">
        <f>OBRA!T599</f>
        <v>44599</v>
      </c>
      <c r="AG597" s="390">
        <f>OBRA!U599</f>
        <v>44617</v>
      </c>
      <c r="AH597" s="880"/>
      <c r="AI597" s="161"/>
      <c r="AJ597" s="219"/>
      <c r="AK597" s="219"/>
      <c r="AL597" s="632"/>
      <c r="AM597" s="519" t="str">
        <f>GRAL!B601</f>
        <v>2021-2024</v>
      </c>
    </row>
    <row r="598" spans="1:39" ht="60" hidden="1">
      <c r="A598" s="158">
        <f>OBRA!J600</f>
        <v>2022</v>
      </c>
      <c r="B598" s="1683"/>
      <c r="C598" s="1360"/>
      <c r="D598" s="163"/>
      <c r="E598" s="1169"/>
      <c r="F598" s="1169"/>
      <c r="G598" s="1184"/>
      <c r="H598" s="1185" t="str">
        <f>OBRA!AF600</f>
        <v>-</v>
      </c>
      <c r="I598" s="1186"/>
      <c r="J598" s="1361" t="str">
        <f>OBRA!AG600</f>
        <v>-</v>
      </c>
      <c r="K598" s="1187"/>
      <c r="L598" s="1185" t="str">
        <f>OBRA!AH600</f>
        <v>-</v>
      </c>
      <c r="M598" s="1188"/>
      <c r="N598" s="1185" t="str">
        <f>OBRA!AI600</f>
        <v>-</v>
      </c>
      <c r="O598" s="1185"/>
      <c r="P598" s="1185"/>
      <c r="Q598" s="1187"/>
      <c r="R598" s="437" t="str">
        <f>OBRA!AJ600</f>
        <v>-</v>
      </c>
      <c r="S598" s="535"/>
      <c r="T598" s="399" t="str">
        <f>OBRA!W600</f>
        <v>N/A</v>
      </c>
      <c r="U598" s="408" t="str">
        <f>OBRA!X600</f>
        <v>C. DANIEL RODRIGUEZ VALENZUELA</v>
      </c>
      <c r="V598" s="1090"/>
      <c r="W598" s="19" t="str">
        <f>OBRA!N600</f>
        <v>DOP/AD/005/2022</v>
      </c>
      <c r="X598" s="1402"/>
      <c r="Y598" s="1402"/>
      <c r="Z598" s="409" t="str">
        <f>OBRA!M600</f>
        <v>CUENTA CORRIENTE</v>
      </c>
      <c r="AA598" s="1402"/>
      <c r="AB598" s="2" t="str">
        <f>OBRA!O600</f>
        <v>ADMINISTRACIÓN DIRECTA</v>
      </c>
      <c r="AC598" s="3" t="str">
        <f>OBRA!P600</f>
        <v>"CONSTRUCCIÓN DE SUPERFICIE DE RODAMIENTO EN CALLE 12 DE OCTUBRE", EN LA LOCALIDAD DE SAN PEDRO TESISTÁN, DEL MUNICIPIO DE JOCOTEPEC, JALISCO</v>
      </c>
      <c r="AD598" s="4">
        <f>OBRA!R600</f>
        <v>86073.66</v>
      </c>
      <c r="AE598" s="6">
        <f>OBRA!S600</f>
        <v>44875</v>
      </c>
      <c r="AF598" s="5">
        <f>OBRA!T600</f>
        <v>44886</v>
      </c>
      <c r="AG598" s="390">
        <f>OBRA!U600</f>
        <v>44893</v>
      </c>
      <c r="AH598" s="880"/>
      <c r="AI598" s="161"/>
      <c r="AJ598" s="219"/>
      <c r="AK598" s="219"/>
      <c r="AL598" s="632"/>
      <c r="AM598" s="519" t="str">
        <f>GRAL!B737</f>
        <v>2021-2024</v>
      </c>
    </row>
    <row r="599" spans="1:39" ht="60" hidden="1">
      <c r="A599" s="158">
        <f>OBRA!J601</f>
        <v>2022</v>
      </c>
      <c r="B599" s="1683"/>
      <c r="C599" s="1360"/>
      <c r="D599" s="163"/>
      <c r="E599" s="1169"/>
      <c r="F599" s="1169"/>
      <c r="G599" s="1184"/>
      <c r="H599" s="1185" t="str">
        <f>OBRA!AF601</f>
        <v>-</v>
      </c>
      <c r="I599" s="1186"/>
      <c r="J599" s="1361" t="str">
        <f>OBRA!AG601</f>
        <v>-</v>
      </c>
      <c r="K599" s="1187"/>
      <c r="L599" s="1185" t="str">
        <f>OBRA!AH601</f>
        <v>-</v>
      </c>
      <c r="M599" s="1188"/>
      <c r="N599" s="1185" t="str">
        <f>OBRA!AI601</f>
        <v>-</v>
      </c>
      <c r="O599" s="1185"/>
      <c r="P599" s="1185"/>
      <c r="Q599" s="1187"/>
      <c r="R599" s="437" t="str">
        <f>OBRA!AJ601</f>
        <v>-</v>
      </c>
      <c r="S599" s="535"/>
      <c r="T599" s="399" t="str">
        <f>OBRA!W601</f>
        <v>N/A</v>
      </c>
      <c r="U599" s="408" t="str">
        <f>OBRA!X601</f>
        <v>C. DANIEL RODRIGUEZ VALENZUELA</v>
      </c>
      <c r="V599" s="1090"/>
      <c r="W599" s="19" t="str">
        <f>OBRA!N601</f>
        <v>DOP/AD/006/2022</v>
      </c>
      <c r="X599" s="1402"/>
      <c r="Y599" s="1402"/>
      <c r="Z599" s="409" t="str">
        <f>OBRA!M601</f>
        <v>CUENTA CORRIENTE</v>
      </c>
      <c r="AA599" s="1402"/>
      <c r="AB599" s="2" t="str">
        <f>OBRA!O601</f>
        <v>ADMINISTRACIÓN DIRECTA</v>
      </c>
      <c r="AC599" s="3" t="str">
        <f>OBRA!P601</f>
        <v>"CONSTRUCCIÓN DE SUPERFICIE DE RODAMIENTO EN CALLE LIBERTAD", EN LA LOCALIDAD DE SAN PEDRO TESISTÁN, DEL MUNICIPIO DE JOCOTEPEC, JALISCO</v>
      </c>
      <c r="AD599" s="4">
        <f>OBRA!R601</f>
        <v>109829.72</v>
      </c>
      <c r="AE599" s="6">
        <f>OBRA!S601</f>
        <v>44875</v>
      </c>
      <c r="AF599" s="5">
        <f>OBRA!T601</f>
        <v>44879</v>
      </c>
      <c r="AG599" s="390">
        <f>OBRA!U601</f>
        <v>44886</v>
      </c>
      <c r="AH599" s="880"/>
      <c r="AI599" s="161"/>
      <c r="AJ599" s="219"/>
      <c r="AK599" s="219"/>
      <c r="AL599" s="632"/>
      <c r="AM599" s="519">
        <f>GRAL!B876</f>
        <v>0</v>
      </c>
    </row>
    <row r="600" spans="1:39" ht="45" hidden="1">
      <c r="A600" s="158">
        <f>OBRA!J602</f>
        <v>2022</v>
      </c>
      <c r="B600" s="1683"/>
      <c r="C600" s="1360"/>
      <c r="D600" s="163"/>
      <c r="E600" s="1169"/>
      <c r="F600" s="1169"/>
      <c r="G600" s="1184"/>
      <c r="H600" s="1185" t="str">
        <f>OBRA!AF602</f>
        <v>-</v>
      </c>
      <c r="I600" s="1186"/>
      <c r="J600" s="1361" t="str">
        <f>OBRA!AG602</f>
        <v>-</v>
      </c>
      <c r="K600" s="1187"/>
      <c r="L600" s="1185" t="str">
        <f>OBRA!AH602</f>
        <v>-</v>
      </c>
      <c r="M600" s="1188"/>
      <c r="N600" s="1185" t="str">
        <f>OBRA!AI602</f>
        <v>-</v>
      </c>
      <c r="O600" s="1185"/>
      <c r="P600" s="1185"/>
      <c r="Q600" s="1187"/>
      <c r="R600" s="437" t="str">
        <f>OBRA!AJ602</f>
        <v>-</v>
      </c>
      <c r="S600" s="535"/>
      <c r="T600" s="399" t="str">
        <f>OBRA!W602</f>
        <v>N/A</v>
      </c>
      <c r="U600" s="408" t="str">
        <f>OBRA!X602</f>
        <v>ING. J. GUADALUPE IBARRA RAMIREZ</v>
      </c>
      <c r="V600" s="1090"/>
      <c r="W600" s="19" t="str">
        <f>OBRA!N602</f>
        <v>MANTENIMIENTOS</v>
      </c>
      <c r="X600" s="1402"/>
      <c r="Y600" s="1402"/>
      <c r="Z600" s="409" t="str">
        <f>OBRA!M602</f>
        <v>CUENTA CORRIENTE</v>
      </c>
      <c r="AA600" s="1402"/>
      <c r="AB600" s="2" t="str">
        <f>OBRA!O602</f>
        <v>MANTENIMIENTOS</v>
      </c>
      <c r="AC600" s="3" t="str">
        <f>OBRA!P602</f>
        <v>REMODELACIÓN DE PRESIDENCIA</v>
      </c>
      <c r="AD600" s="4">
        <f>OBRA!R602</f>
        <v>0</v>
      </c>
      <c r="AE600" s="6" t="str">
        <f>OBRA!S602</f>
        <v>N/A</v>
      </c>
      <c r="AF600" s="5">
        <f>OBRA!T602</f>
        <v>44562</v>
      </c>
      <c r="AG600" s="390">
        <f>OBRA!U602</f>
        <v>44926</v>
      </c>
      <c r="AH600" s="880"/>
      <c r="AI600" s="161"/>
      <c r="AJ600" s="219"/>
      <c r="AK600" s="219"/>
      <c r="AL600" s="632"/>
      <c r="AM600" s="519">
        <f>GRAL!B877</f>
        <v>0</v>
      </c>
    </row>
    <row r="601" spans="1:39" ht="45" hidden="1">
      <c r="A601" s="158">
        <f>OBRA!J603</f>
        <v>2022</v>
      </c>
      <c r="B601" s="1683"/>
      <c r="C601" s="1360"/>
      <c r="D601" s="163"/>
      <c r="E601" s="1169"/>
      <c r="F601" s="1169"/>
      <c r="G601" s="1184"/>
      <c r="H601" s="1185" t="str">
        <f>OBRA!AF603</f>
        <v>-</v>
      </c>
      <c r="I601" s="1186"/>
      <c r="J601" s="1361" t="str">
        <f>OBRA!AG603</f>
        <v>-</v>
      </c>
      <c r="K601" s="1187"/>
      <c r="L601" s="1185" t="str">
        <f>OBRA!AH603</f>
        <v>-</v>
      </c>
      <c r="M601" s="1188"/>
      <c r="N601" s="1185" t="str">
        <f>OBRA!AI603</f>
        <v>-</v>
      </c>
      <c r="O601" s="1185"/>
      <c r="P601" s="1185"/>
      <c r="Q601" s="1187"/>
      <c r="R601" s="437" t="str">
        <f>OBRA!AJ603</f>
        <v>-</v>
      </c>
      <c r="S601" s="535"/>
      <c r="T601" s="399" t="str">
        <f>OBRA!W603</f>
        <v>N/A</v>
      </c>
      <c r="U601" s="408" t="str">
        <f>OBRA!X603</f>
        <v>ARQ. JAIME CONDE GOMEZ</v>
      </c>
      <c r="V601" s="1090"/>
      <c r="W601" s="19" t="str">
        <f>OBRA!N603</f>
        <v>DOP/AD/007/2022</v>
      </c>
      <c r="X601" s="1402"/>
      <c r="Y601" s="1402"/>
      <c r="Z601" s="409" t="str">
        <f>OBRA!M603</f>
        <v>CUENTA CORRIENTE</v>
      </c>
      <c r="AA601" s="1402"/>
      <c r="AB601" s="2" t="str">
        <f>OBRA!O603</f>
        <v>ADMINISTRACIÓN DIRECTA</v>
      </c>
      <c r="AC601" s="3" t="str">
        <f>OBRA!P603</f>
        <v>“CONSTRUCCIÓN DE BAÑOS PÚBLICOS”, EN LA LOCALIDAD DE EL MOLINO, DEL MUNICIPIO DE JOCOTEPEC, JALISCO</v>
      </c>
      <c r="AD601" s="4">
        <f>OBRA!R603</f>
        <v>297707.86</v>
      </c>
      <c r="AE601" s="6">
        <f>OBRA!S603</f>
        <v>44875</v>
      </c>
      <c r="AF601" s="5">
        <f>OBRA!T603</f>
        <v>44880</v>
      </c>
      <c r="AG601" s="390">
        <f>OBRA!U603</f>
        <v>44926</v>
      </c>
      <c r="AH601" s="880"/>
      <c r="AI601" s="161"/>
      <c r="AJ601" s="219"/>
      <c r="AK601" s="219"/>
      <c r="AL601" s="632"/>
      <c r="AM601" s="519">
        <f>GRAL!B878</f>
        <v>0</v>
      </c>
    </row>
    <row r="602" spans="1:39" ht="45" hidden="1">
      <c r="A602" s="158">
        <f>OBRA!J604</f>
        <v>2022</v>
      </c>
      <c r="B602" s="1683"/>
      <c r="C602" s="1360"/>
      <c r="D602" s="163"/>
      <c r="E602" s="1169"/>
      <c r="F602" s="1169"/>
      <c r="G602" s="1184"/>
      <c r="H602" s="1185" t="str">
        <f>OBRA!AF604</f>
        <v>-</v>
      </c>
      <c r="I602" s="1186"/>
      <c r="J602" s="1361" t="str">
        <f>OBRA!AG604</f>
        <v>-</v>
      </c>
      <c r="K602" s="1187"/>
      <c r="L602" s="1185" t="str">
        <f>OBRA!AH604</f>
        <v>-</v>
      </c>
      <c r="M602" s="1188"/>
      <c r="N602" s="1185" t="str">
        <f>OBRA!AI604</f>
        <v>-</v>
      </c>
      <c r="O602" s="1185"/>
      <c r="P602" s="1185"/>
      <c r="Q602" s="1187"/>
      <c r="R602" s="437" t="str">
        <f>OBRA!AJ604</f>
        <v>-</v>
      </c>
      <c r="S602" s="535"/>
      <c r="T602" s="399" t="str">
        <f>OBRA!W604</f>
        <v>N/A</v>
      </c>
      <c r="U602" s="408" t="str">
        <f>OBRA!X604</f>
        <v>ING. J. GUADALUPE IBARRA RAMIREZ</v>
      </c>
      <c r="V602" s="1090"/>
      <c r="W602" s="19" t="str">
        <f>OBRA!N604</f>
        <v>DOP/AD/001-B/2022</v>
      </c>
      <c r="X602" s="1402"/>
      <c r="Y602" s="1402"/>
      <c r="Z602" s="409" t="str">
        <f>OBRA!M604</f>
        <v>CUENTA CORRIENTE</v>
      </c>
      <c r="AA602" s="1402"/>
      <c r="AB602" s="2" t="str">
        <f>OBRA!O604</f>
        <v>ADMINISTRACIÓN DIRECTA</v>
      </c>
      <c r="AC602" s="3" t="str">
        <f>OBRA!P604</f>
        <v>"REMODELACIÓN DE PRESIDENCIA (2DA ETAPA)", EN LA CABECERA MUNICIPAL DE JOCOTEPEC.</v>
      </c>
      <c r="AD602" s="4">
        <f>OBRA!R604</f>
        <v>800000</v>
      </c>
      <c r="AE602" s="6">
        <f>OBRA!S604</f>
        <v>44620</v>
      </c>
      <c r="AF602" s="5">
        <f>OBRA!T604</f>
        <v>44624</v>
      </c>
      <c r="AG602" s="390">
        <f>OBRA!U604</f>
        <v>44773</v>
      </c>
      <c r="AH602" s="880"/>
      <c r="AI602" s="161"/>
      <c r="AJ602" s="219"/>
      <c r="AK602" s="219"/>
      <c r="AL602" s="632"/>
      <c r="AM602" s="519">
        <f>GRAL!B879</f>
        <v>0</v>
      </c>
    </row>
    <row r="603" spans="1:39" ht="26.25" hidden="1">
      <c r="A603" s="158">
        <f>OBRA!J605</f>
        <v>2022</v>
      </c>
      <c r="B603" s="1683"/>
      <c r="C603" s="1360"/>
      <c r="D603" s="163"/>
      <c r="E603" s="1169"/>
      <c r="F603" s="1169"/>
      <c r="G603" s="1184"/>
      <c r="H603" s="1185" t="str">
        <f>OBRA!AF605</f>
        <v>-</v>
      </c>
      <c r="I603" s="1186"/>
      <c r="J603" s="1361" t="str">
        <f>OBRA!AG605</f>
        <v>-</v>
      </c>
      <c r="K603" s="1187"/>
      <c r="L603" s="1185" t="str">
        <f>OBRA!AH605</f>
        <v>-</v>
      </c>
      <c r="M603" s="1188"/>
      <c r="N603" s="1185" t="str">
        <f>OBRA!AI605</f>
        <v>-</v>
      </c>
      <c r="O603" s="1185"/>
      <c r="P603" s="1185"/>
      <c r="Q603" s="1187"/>
      <c r="R603" s="437" t="str">
        <f>OBRA!AJ605</f>
        <v>-</v>
      </c>
      <c r="S603" s="535"/>
      <c r="T603" s="399" t="str">
        <f>OBRA!W605</f>
        <v>N/A</v>
      </c>
      <c r="U603" s="408">
        <f>OBRA!X605</f>
        <v>0</v>
      </c>
      <c r="V603" s="1090"/>
      <c r="W603" s="19" t="str">
        <f>OBRA!N605</f>
        <v>DOP/AD/010/2022</v>
      </c>
      <c r="X603" s="1402"/>
      <c r="Y603" s="1402"/>
      <c r="Z603" s="409">
        <f>OBRA!M605</f>
        <v>0</v>
      </c>
      <c r="AA603" s="1402"/>
      <c r="AB603" s="2" t="str">
        <f>OBRA!O605</f>
        <v>CANCELADA</v>
      </c>
      <c r="AC603" s="3" t="str">
        <f>OBRA!P605</f>
        <v>-</v>
      </c>
      <c r="AD603" s="4" t="str">
        <f>OBRA!R605</f>
        <v>|</v>
      </c>
      <c r="AE603" s="6">
        <f>OBRA!S605</f>
        <v>0</v>
      </c>
      <c r="AF603" s="5">
        <f>OBRA!T605</f>
        <v>0</v>
      </c>
      <c r="AG603" s="390">
        <f>OBRA!U605</f>
        <v>0</v>
      </c>
      <c r="AH603" s="880"/>
      <c r="AI603" s="161"/>
      <c r="AJ603" s="219"/>
      <c r="AK603" s="219"/>
      <c r="AL603" s="632"/>
      <c r="AM603" s="519">
        <f>GRAL!B880</f>
        <v>0</v>
      </c>
    </row>
    <row r="604" spans="1:39" ht="75" hidden="1">
      <c r="A604" s="158">
        <f>OBRA!J606</f>
        <v>2022</v>
      </c>
      <c r="B604" s="1683"/>
      <c r="C604" s="1360"/>
      <c r="D604" s="163"/>
      <c r="E604" s="1169"/>
      <c r="F604" s="1169"/>
      <c r="G604" s="1184"/>
      <c r="H604" s="1185" t="str">
        <f>OBRA!AF606</f>
        <v>-</v>
      </c>
      <c r="I604" s="1186"/>
      <c r="J604" s="1361" t="str">
        <f>OBRA!AG606</f>
        <v>-</v>
      </c>
      <c r="K604" s="1187"/>
      <c r="L604" s="1185" t="str">
        <f>OBRA!AH606</f>
        <v>-</v>
      </c>
      <c r="M604" s="1188"/>
      <c r="N604" s="1185" t="str">
        <f>OBRA!AI606</f>
        <v>-</v>
      </c>
      <c r="O604" s="1185"/>
      <c r="P604" s="1185"/>
      <c r="Q604" s="1187"/>
      <c r="R604" s="437" t="str">
        <f>OBRA!AJ606</f>
        <v>-</v>
      </c>
      <c r="S604" s="535"/>
      <c r="T604" s="399" t="str">
        <f>OBRA!W606</f>
        <v>ING. J. TRINIDAD NUÑEZ BRITO</v>
      </c>
      <c r="U604" s="408" t="str">
        <f>OBRA!X606</f>
        <v>LIC. SALVADOR CONTRERAS OLGUÍN</v>
      </c>
      <c r="V604" s="1090"/>
      <c r="W604" s="19" t="str">
        <f>OBRA!N606</f>
        <v>CPSP DOP 001/2022</v>
      </c>
      <c r="X604" s="1402"/>
      <c r="Y604" s="1402"/>
      <c r="Z604" s="409" t="str">
        <f>OBRA!M606</f>
        <v>CUENTA CORRIENTE</v>
      </c>
      <c r="AA604" s="1402"/>
      <c r="AB604" s="2" t="str">
        <f>OBRA!O606</f>
        <v xml:space="preserve">SERVICIOS </v>
      </c>
      <c r="AC604" s="3" t="str">
        <f>OBRA!P606</f>
        <v>ESTUDIO GEOHIDROLÓGICO-GEOFÍSICOS PARA LOCALIZACIÓN Y/O PERFORACIÓN DE POZO PARA AGUA POTABLE (SAN JUAN COSALA, SAN PEDRO TESISTÁN, POTRERILLOS Y SAN LUCIANO), DEL MUNICIPIO DE JOCOTEPEC, JALISCO.</v>
      </c>
      <c r="AD604" s="4">
        <f>OBRA!R606</f>
        <v>69600</v>
      </c>
      <c r="AE604" s="6">
        <f>OBRA!S606</f>
        <v>44572</v>
      </c>
      <c r="AF604" s="5">
        <f>OBRA!T606</f>
        <v>44578</v>
      </c>
      <c r="AG604" s="390">
        <f>OBRA!U606</f>
        <v>44581</v>
      </c>
      <c r="AH604" s="880"/>
      <c r="AI604" s="161"/>
      <c r="AJ604" s="219"/>
      <c r="AK604" s="219"/>
      <c r="AL604" s="632"/>
      <c r="AM604" s="519">
        <f>GRAL!B881</f>
        <v>0</v>
      </c>
    </row>
    <row r="605" spans="1:39" ht="90" hidden="1">
      <c r="A605" s="158">
        <f>OBRA!J607</f>
        <v>2022</v>
      </c>
      <c r="B605" s="1683"/>
      <c r="C605" s="1360"/>
      <c r="D605" s="163"/>
      <c r="E605" s="1169"/>
      <c r="F605" s="1169"/>
      <c r="G605" s="1184"/>
      <c r="H605" s="1185" t="str">
        <f>OBRA!AF607</f>
        <v>-</v>
      </c>
      <c r="I605" s="1186"/>
      <c r="J605" s="1361" t="str">
        <f>OBRA!AG607</f>
        <v>-</v>
      </c>
      <c r="K605" s="1187"/>
      <c r="L605" s="1185" t="str">
        <f>OBRA!AH607</f>
        <v>-</v>
      </c>
      <c r="M605" s="1188"/>
      <c r="N605" s="1185" t="str">
        <f>OBRA!AI607</f>
        <v>-</v>
      </c>
      <c r="O605" s="1185"/>
      <c r="P605" s="1185"/>
      <c r="Q605" s="1187"/>
      <c r="R605" s="437" t="str">
        <f>OBRA!AJ607</f>
        <v>-</v>
      </c>
      <c r="S605" s="535"/>
      <c r="T605" s="399" t="str">
        <f>OBRA!W607</f>
        <v>PEDRO MACHUCA SAAVEDRA</v>
      </c>
      <c r="U605" s="408" t="str">
        <f>OBRA!X607</f>
        <v>LIC. SALVADOR CONTRERAS OLGUÍN</v>
      </c>
      <c r="V605" s="1090"/>
      <c r="W605" s="19" t="str">
        <f>OBRA!N607</f>
        <v>CPSP DOP 002/2022</v>
      </c>
      <c r="X605" s="1402"/>
      <c r="Y605" s="1402"/>
      <c r="Z605" s="409" t="str">
        <f>OBRA!M607</f>
        <v>CUENTA CORRIENTE</v>
      </c>
      <c r="AA605" s="1402"/>
      <c r="AB605" s="2" t="str">
        <f>OBRA!O607</f>
        <v>SERVICIOS (CANCELADO)</v>
      </c>
      <c r="AC605" s="3" t="str">
        <f>OBRA!P607</f>
        <v>LOCALIZACIÓN DE AGUA EN PREDIOS PARA POSIBLE PERFORACIÓN DE POZO PROFUNDO POR MEDIO DE LA TÉCNICA DE RADIESTESIA EN LAS LOCALIDADES DE SAN JUAN COSALA, SAN PEDRO TESISTÁN. POTRERILLOS Y SAN LUCIANO EN EL MUNICIPIO DE JOCOTEPEC, JALISCO.</v>
      </c>
      <c r="AD605" s="4">
        <f>OBRA!R607</f>
        <v>12000</v>
      </c>
      <c r="AE605" s="6">
        <f>OBRA!S607</f>
        <v>44575</v>
      </c>
      <c r="AF605" s="5">
        <f>OBRA!T607</f>
        <v>44578</v>
      </c>
      <c r="AG605" s="390">
        <f>OBRA!U607</f>
        <v>44582</v>
      </c>
      <c r="AH605" s="880"/>
      <c r="AI605" s="161"/>
      <c r="AJ605" s="219"/>
      <c r="AK605" s="219"/>
      <c r="AL605" s="632"/>
      <c r="AM605" s="519">
        <f>GRAL!B882</f>
        <v>0</v>
      </c>
    </row>
    <row r="606" spans="1:39" ht="150" hidden="1">
      <c r="A606" s="158">
        <f>OBRA!J608</f>
        <v>2022</v>
      </c>
      <c r="B606" s="1683"/>
      <c r="C606" s="1360"/>
      <c r="D606" s="163"/>
      <c r="E606" s="1169"/>
      <c r="F606" s="1169"/>
      <c r="G606" s="1184"/>
      <c r="H606" s="1185" t="str">
        <f>OBRA!AF608</f>
        <v>-</v>
      </c>
      <c r="I606" s="1186"/>
      <c r="J606" s="1361" t="str">
        <f>OBRA!AG608</f>
        <v>-</v>
      </c>
      <c r="K606" s="1187"/>
      <c r="L606" s="1185" t="str">
        <f>OBRA!AH608</f>
        <v>-</v>
      </c>
      <c r="M606" s="1188"/>
      <c r="N606" s="1185" t="str">
        <f>OBRA!AI608</f>
        <v>-</v>
      </c>
      <c r="O606" s="1185"/>
      <c r="P606" s="1185"/>
      <c r="Q606" s="1187"/>
      <c r="R606" s="437" t="str">
        <f>OBRA!AJ608</f>
        <v>-</v>
      </c>
      <c r="S606" s="535"/>
      <c r="T606" s="399" t="str">
        <f>OBRA!W608</f>
        <v>OSCAR CASTILLO LEDEZMA</v>
      </c>
      <c r="U606" s="408">
        <f>OBRA!X608</f>
        <v>0</v>
      </c>
      <c r="V606" s="1090"/>
      <c r="W606" s="19" t="str">
        <f>OBRA!N608</f>
        <v>CPSP DOP 003/2022</v>
      </c>
      <c r="X606" s="1402"/>
      <c r="Y606" s="1402"/>
      <c r="Z606" s="409" t="str">
        <f>OBRA!M608</f>
        <v>CUENTA CORRIENTE</v>
      </c>
      <c r="AA606" s="1402"/>
      <c r="AB606" s="2" t="str">
        <f>OBRA!O608</f>
        <v xml:space="preserve">SERVICIOS </v>
      </c>
      <c r="AC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OBRA!R608</f>
        <v>vie</v>
      </c>
      <c r="AE606" s="6">
        <f>OBRA!S608</f>
        <v>44592</v>
      </c>
      <c r="AF606" s="5">
        <f>OBRA!T608</f>
        <v>44593</v>
      </c>
      <c r="AG606" s="390">
        <f>OBRA!U608</f>
        <v>44607</v>
      </c>
      <c r="AH606" s="880"/>
      <c r="AI606" s="161"/>
      <c r="AJ606" s="219"/>
      <c r="AK606" s="219"/>
      <c r="AL606" s="632"/>
      <c r="AM606" s="519">
        <f>GRAL!B883</f>
        <v>0</v>
      </c>
    </row>
    <row r="607" spans="1:39" ht="75" hidden="1">
      <c r="A607" s="158">
        <f>OBRA!J609</f>
        <v>2022</v>
      </c>
      <c r="B607" s="1683"/>
      <c r="C607" s="1360"/>
      <c r="D607" s="163"/>
      <c r="E607" s="1169"/>
      <c r="F607" s="1169"/>
      <c r="G607" s="1184"/>
      <c r="H607" s="1185" t="str">
        <f>OBRA!AF609</f>
        <v>-</v>
      </c>
      <c r="I607" s="1186"/>
      <c r="J607" s="1361" t="str">
        <f>OBRA!AG609</f>
        <v>-</v>
      </c>
      <c r="K607" s="1187"/>
      <c r="L607" s="1185" t="str">
        <f>OBRA!AH609</f>
        <v>-</v>
      </c>
      <c r="M607" s="1188"/>
      <c r="N607" s="1185" t="str">
        <f>OBRA!AI609</f>
        <v>-</v>
      </c>
      <c r="O607" s="1185"/>
      <c r="P607" s="1185"/>
      <c r="Q607" s="1187"/>
      <c r="R607" s="437" t="str">
        <f>OBRA!AJ609</f>
        <v>-</v>
      </c>
      <c r="S607" s="535"/>
      <c r="T607" s="399" t="str">
        <f>OBRA!W609</f>
        <v>ING. SERGIO CABRERA</v>
      </c>
      <c r="U607" s="408" t="str">
        <f>OBRA!X609</f>
        <v>ARQ. FRANCISCO SALAZAR</v>
      </c>
      <c r="V607" s="1090"/>
      <c r="W607" s="19" t="str">
        <f>OBRA!N609</f>
        <v>CPSP DOP 004/2022</v>
      </c>
      <c r="X607" s="1402"/>
      <c r="Y607" s="1402"/>
      <c r="Z607" s="409" t="str">
        <f>OBRA!M609</f>
        <v>CUENTA CORRIENTE</v>
      </c>
      <c r="AA607" s="1402"/>
      <c r="AB607" s="2" t="str">
        <f>OBRA!O609</f>
        <v xml:space="preserve">SERVICIOS </v>
      </c>
      <c r="AC607" s="3" t="str">
        <f>OBRA!P609</f>
        <v>LEVANTAMIENTO TOPOGRÁFICO: EN FRACCIONAMIENTO MAGISTERIAL EN ÁREA DE ARROYO Y CALLE MAGISTERIAL PARA PROYECTO DEL COLECTOR DE AGUA PLUVIAL, EN LA CABECERA MUNICIPAL DE JOCOTEPEC, JALISCO.</v>
      </c>
      <c r="AD607" s="4">
        <f>OBRA!R609</f>
        <v>10000.000400000001</v>
      </c>
      <c r="AE607" s="6">
        <f>OBRA!S609</f>
        <v>44634</v>
      </c>
      <c r="AF607" s="5" t="str">
        <f>OBRA!T609</f>
        <v>-</v>
      </c>
      <c r="AG607" s="390" t="str">
        <f>OBRA!U609</f>
        <v>-</v>
      </c>
      <c r="AH607" s="880"/>
      <c r="AI607" s="161"/>
      <c r="AJ607" s="219"/>
      <c r="AK607" s="219"/>
      <c r="AL607" s="632"/>
      <c r="AM607" s="519">
        <f>GRAL!B884</f>
        <v>0</v>
      </c>
    </row>
    <row r="608" spans="1:39" ht="26.25" hidden="1">
      <c r="A608" s="158">
        <f>OBRA!J610</f>
        <v>2022</v>
      </c>
      <c r="B608" s="1683"/>
      <c r="C608" s="1360"/>
      <c r="D608" s="163"/>
      <c r="E608" s="1169"/>
      <c r="F608" s="1169"/>
      <c r="G608" s="1184"/>
      <c r="H608" s="1185" t="str">
        <f>OBRA!AF610</f>
        <v>-</v>
      </c>
      <c r="I608" s="1186"/>
      <c r="J608" s="1361" t="str">
        <f>OBRA!AG610</f>
        <v>-</v>
      </c>
      <c r="K608" s="1187"/>
      <c r="L608" s="1185" t="str">
        <f>OBRA!AH610</f>
        <v>-</v>
      </c>
      <c r="M608" s="1188"/>
      <c r="N608" s="1185" t="str">
        <f>OBRA!AI610</f>
        <v>-</v>
      </c>
      <c r="O608" s="1185"/>
      <c r="P608" s="1185"/>
      <c r="Q608" s="1187"/>
      <c r="R608" s="437" t="str">
        <f>OBRA!AJ610</f>
        <v>-</v>
      </c>
      <c r="S608" s="535"/>
      <c r="T608" s="399" t="str">
        <f>OBRA!W610</f>
        <v>-</v>
      </c>
      <c r="U608" s="408">
        <f>OBRA!X610</f>
        <v>0</v>
      </c>
      <c r="V608" s="1090"/>
      <c r="W608" s="19" t="str">
        <f>OBRA!N610</f>
        <v>CPSP DOP 005/2022</v>
      </c>
      <c r="X608" s="1402"/>
      <c r="Y608" s="1402"/>
      <c r="Z608" s="409" t="str">
        <f>OBRA!M610</f>
        <v>CUENTA CORRIENTE</v>
      </c>
      <c r="AA608" s="1402"/>
      <c r="AB608" s="2" t="str">
        <f>OBRA!O610</f>
        <v>CANCELADA</v>
      </c>
      <c r="AC608" s="3" t="str">
        <f>OBRA!P610</f>
        <v>-</v>
      </c>
      <c r="AD608" s="4">
        <f>OBRA!R610</f>
        <v>0</v>
      </c>
      <c r="AE608" s="6">
        <f>OBRA!S610</f>
        <v>0</v>
      </c>
      <c r="AF608" s="5">
        <f>OBRA!T610</f>
        <v>0</v>
      </c>
      <c r="AG608" s="390">
        <f>OBRA!U610</f>
        <v>0</v>
      </c>
      <c r="AH608" s="880"/>
      <c r="AI608" s="161"/>
      <c r="AJ608" s="219"/>
      <c r="AK608" s="219"/>
      <c r="AL608" s="632"/>
      <c r="AM608" s="519" t="e">
        <f>GRAL!#REF!</f>
        <v>#REF!</v>
      </c>
    </row>
    <row r="609" spans="1:39" ht="75" hidden="1">
      <c r="A609" s="158">
        <f>OBRA!J611</f>
        <v>2022</v>
      </c>
      <c r="B609" s="1683"/>
      <c r="C609" s="1360"/>
      <c r="D609" s="163"/>
      <c r="E609" s="1169"/>
      <c r="F609" s="1169"/>
      <c r="G609" s="1184"/>
      <c r="H609" s="1185" t="str">
        <f>OBRA!AF611</f>
        <v>-</v>
      </c>
      <c r="I609" s="1186"/>
      <c r="J609" s="1361" t="str">
        <f>OBRA!AG611</f>
        <v>-</v>
      </c>
      <c r="K609" s="1187"/>
      <c r="L609" s="1185" t="str">
        <f>OBRA!AH611</f>
        <v>-</v>
      </c>
      <c r="M609" s="1188"/>
      <c r="N609" s="1185" t="str">
        <f>OBRA!AI611</f>
        <v>-</v>
      </c>
      <c r="O609" s="1185"/>
      <c r="P609" s="1185"/>
      <c r="Q609" s="1187"/>
      <c r="R609" s="437" t="str">
        <f>OBRA!AJ611</f>
        <v>-</v>
      </c>
      <c r="S609" s="535"/>
      <c r="T609" s="399" t="str">
        <f>OBRA!W611</f>
        <v>ING. SERGIO CABRERA</v>
      </c>
      <c r="U609" s="408" t="str">
        <f>OBRA!X611</f>
        <v>ARQ. FRANCISCO SALAZAR</v>
      </c>
      <c r="V609" s="1090"/>
      <c r="W609" s="19" t="str">
        <f>OBRA!N611</f>
        <v>CPSP DOP 006/2022</v>
      </c>
      <c r="X609" s="1402"/>
      <c r="Y609" s="1402"/>
      <c r="Z609" s="409" t="str">
        <f>OBRA!M611</f>
        <v>CUENTA CORRIENTE</v>
      </c>
      <c r="AA609" s="1402"/>
      <c r="AB609" s="2" t="str">
        <f>OBRA!O611</f>
        <v xml:space="preserve">SERVICIOS </v>
      </c>
      <c r="AC609" s="3" t="str">
        <f>OBRA!P611</f>
        <v>LEVANTAMIENTO TOPOGRAFICO: PARA EL PROYECTO DE LÍNEAS DE LLENADO Y ABASTECIMIENTO DEL POZO ALLENDE AL TANQUE ELEVADO, ZONA NORTE DE LA CABECERA DE JOCOTEPEC, JALISCO.</v>
      </c>
      <c r="AD609" s="4">
        <f>OBRA!R611</f>
        <v>10000.000400000001</v>
      </c>
      <c r="AE609" s="6">
        <f>OBRA!S611</f>
        <v>44634</v>
      </c>
      <c r="AF609" s="5" t="str">
        <f>OBRA!T611</f>
        <v>-</v>
      </c>
      <c r="AG609" s="390" t="str">
        <f>OBRA!U611</f>
        <v>-</v>
      </c>
      <c r="AH609" s="880"/>
      <c r="AI609" s="161"/>
      <c r="AJ609" s="219"/>
      <c r="AK609" s="219"/>
      <c r="AL609" s="632"/>
      <c r="AM609" s="519" t="e">
        <f>GRAL!#REF!</f>
        <v>#REF!</v>
      </c>
    </row>
    <row r="610" spans="1:39" ht="26.25" hidden="1">
      <c r="A610" s="158">
        <f>OBRA!J612</f>
        <v>2022</v>
      </c>
      <c r="B610" s="1683"/>
      <c r="C610" s="1360"/>
      <c r="D610" s="163"/>
      <c r="E610" s="1169"/>
      <c r="F610" s="1169"/>
      <c r="G610" s="1184"/>
      <c r="H610" s="1185" t="str">
        <f>OBRA!AF612</f>
        <v>-</v>
      </c>
      <c r="I610" s="1186"/>
      <c r="J610" s="1361" t="str">
        <f>OBRA!AG612</f>
        <v>-</v>
      </c>
      <c r="K610" s="1187"/>
      <c r="L610" s="1185" t="str">
        <f>OBRA!AH612</f>
        <v>-</v>
      </c>
      <c r="M610" s="1188"/>
      <c r="N610" s="1185" t="str">
        <f>OBRA!AI612</f>
        <v>-</v>
      </c>
      <c r="O610" s="1185"/>
      <c r="P610" s="1185"/>
      <c r="Q610" s="1187"/>
      <c r="R610" s="437" t="str">
        <f>OBRA!AJ612</f>
        <v>-</v>
      </c>
      <c r="S610" s="535"/>
      <c r="T610" s="399" t="str">
        <f>OBRA!W612</f>
        <v>-</v>
      </c>
      <c r="U610" s="408">
        <f>OBRA!X612</f>
        <v>0</v>
      </c>
      <c r="V610" s="1090"/>
      <c r="W610" s="19" t="str">
        <f>OBRA!N612</f>
        <v>CPSP DOP 007/2022</v>
      </c>
      <c r="X610" s="1402"/>
      <c r="Y610" s="1402"/>
      <c r="Z610" s="409" t="str">
        <f>OBRA!M612</f>
        <v>CUENTA CORRIENTE</v>
      </c>
      <c r="AA610" s="1402"/>
      <c r="AB610" s="2" t="str">
        <f>OBRA!O612</f>
        <v>CANCELADA</v>
      </c>
      <c r="AC610" s="3" t="str">
        <f>OBRA!P612</f>
        <v>-</v>
      </c>
      <c r="AD610" s="4">
        <f>OBRA!R612</f>
        <v>0</v>
      </c>
      <c r="AE610" s="6">
        <f>OBRA!S612</f>
        <v>0</v>
      </c>
      <c r="AF610" s="5">
        <f>OBRA!T612</f>
        <v>0</v>
      </c>
      <c r="AG610" s="390">
        <f>OBRA!U612</f>
        <v>0</v>
      </c>
      <c r="AH610" s="880"/>
      <c r="AI610" s="161"/>
      <c r="AJ610" s="219"/>
      <c r="AK610" s="219"/>
      <c r="AL610" s="632"/>
      <c r="AM610" s="519" t="e">
        <f>GRAL!#REF!</f>
        <v>#REF!</v>
      </c>
    </row>
    <row r="611" spans="1:39" ht="60" hidden="1">
      <c r="A611" s="158">
        <f>OBRA!J613</f>
        <v>2022</v>
      </c>
      <c r="B611" s="1683"/>
      <c r="C611" s="1360"/>
      <c r="D611" s="163"/>
      <c r="E611" s="1169"/>
      <c r="F611" s="1169"/>
      <c r="G611" s="1184"/>
      <c r="H611" s="1185" t="str">
        <f>OBRA!AF613</f>
        <v>-</v>
      </c>
      <c r="I611" s="1186"/>
      <c r="J611" s="1361" t="str">
        <f>OBRA!AG613</f>
        <v>-</v>
      </c>
      <c r="K611" s="1187"/>
      <c r="L611" s="1185" t="str">
        <f>OBRA!AH613</f>
        <v>-</v>
      </c>
      <c r="M611" s="1188"/>
      <c r="N611" s="1185" t="str">
        <f>OBRA!AI613</f>
        <v>-</v>
      </c>
      <c r="O611" s="1185"/>
      <c r="P611" s="1185"/>
      <c r="Q611" s="1187"/>
      <c r="R611" s="437" t="str">
        <f>OBRA!AJ613</f>
        <v>-</v>
      </c>
      <c r="S611" s="535"/>
      <c r="T611" s="399" t="str">
        <f>OBRA!W613</f>
        <v>ING. SERGIO CABRERA</v>
      </c>
      <c r="U611" s="408" t="str">
        <f>OBRA!X613</f>
        <v>ARQ. FRANCISCO SALAZAR</v>
      </c>
      <c r="V611" s="1090"/>
      <c r="W611" s="19" t="str">
        <f>OBRA!N613</f>
        <v>CPSP DOP 008/2022</v>
      </c>
      <c r="X611" s="1402"/>
      <c r="Y611" s="1402"/>
      <c r="Z611" s="409" t="str">
        <f>OBRA!M613</f>
        <v>CUENTA CORRIENTE</v>
      </c>
      <c r="AA611" s="1402"/>
      <c r="AB611" s="2" t="str">
        <f>OBRA!O613</f>
        <v xml:space="preserve">SERVICIOS </v>
      </c>
      <c r="AC611" s="3" t="str">
        <f>OBRA!P613</f>
        <v>LEVANTAMIENTO TOPOGRAFICO: PARA EL PROYECTO DE LA REMODELACIÓN DE LA PLAZA PRINCIPAL DE LA LOCALIDAD DE SAN JUAN COSALA, DEL MUNICIPIO DE JOCOTEPEC, JALISCO.</v>
      </c>
      <c r="AD611" s="4">
        <f>OBRA!R613</f>
        <v>7000.0199999999995</v>
      </c>
      <c r="AE611" s="6">
        <f>OBRA!S613</f>
        <v>44634</v>
      </c>
      <c r="AF611" s="5" t="str">
        <f>OBRA!T613</f>
        <v>-</v>
      </c>
      <c r="AG611" s="390" t="str">
        <f>OBRA!U613</f>
        <v>-</v>
      </c>
      <c r="AH611" s="880"/>
      <c r="AI611" s="161"/>
      <c r="AJ611" s="219"/>
      <c r="AK611" s="219"/>
      <c r="AL611" s="632"/>
      <c r="AM611" s="519" t="e">
        <f>GRAL!#REF!</f>
        <v>#REF!</v>
      </c>
    </row>
    <row r="612" spans="1:39" ht="90" hidden="1">
      <c r="A612" s="158">
        <f>OBRA!J614</f>
        <v>2022</v>
      </c>
      <c r="B612" s="1683"/>
      <c r="C612" s="1360"/>
      <c r="D612" s="163"/>
      <c r="E612" s="1169"/>
      <c r="F612" s="1169"/>
      <c r="G612" s="1184"/>
      <c r="H612" s="1185" t="str">
        <f>OBRA!AF614</f>
        <v>-</v>
      </c>
      <c r="I612" s="1186"/>
      <c r="J612" s="1361" t="str">
        <f>OBRA!AG614</f>
        <v>-</v>
      </c>
      <c r="K612" s="1187"/>
      <c r="L612" s="1185" t="str">
        <f>OBRA!AH614</f>
        <v>-</v>
      </c>
      <c r="M612" s="1188"/>
      <c r="N612" s="1185" t="str">
        <f>OBRA!AI614</f>
        <v>-</v>
      </c>
      <c r="O612" s="1185"/>
      <c r="P612" s="1185"/>
      <c r="Q612" s="1187"/>
      <c r="R612" s="437" t="str">
        <f>OBRA!AJ614</f>
        <v>-</v>
      </c>
      <c r="S612" s="535"/>
      <c r="T612" s="399" t="str">
        <f>OBRA!W614</f>
        <v>ECCOC DE GUADALAJARA, S.A. DE C.V.</v>
      </c>
      <c r="U612" s="408" t="str">
        <f>OBRA!X614</f>
        <v>ARQ. FRANCISCO SALAZAR</v>
      </c>
      <c r="V612" s="1090"/>
      <c r="W612" s="19" t="str">
        <f>OBRA!N614</f>
        <v>CPSP DOP 009/2022</v>
      </c>
      <c r="X612" s="1402"/>
      <c r="Y612" s="1402"/>
      <c r="Z612" s="409" t="str">
        <f>OBRA!M614</f>
        <v>CUENTA CORRIENTE</v>
      </c>
      <c r="AA612" s="1402"/>
      <c r="AB612" s="2" t="str">
        <f>OBRA!O614</f>
        <v xml:space="preserve">SERVICIOS </v>
      </c>
      <c r="AC612" s="3" t="str">
        <f>OBRA!P614</f>
        <v>SERVICIO DE LABORATORIO, SONDEOS CON EQUIPOS DE PENETRACIÓN ESTÁNDAR PARA LA CONSTRUCCIÓN DE PUENTE PEATONAL EN LA CALLE ALLENDE, DE LA LOCALIDAD DE ZAPOTITÁN DE HIDALGO, DEL MUNICIPIO DE JOCOTEPEC, JALISCO.</v>
      </c>
      <c r="AD612" s="4">
        <f>OBRA!R614</f>
        <v>15659.999999999998</v>
      </c>
      <c r="AE612" s="6">
        <f>OBRA!S614</f>
        <v>44635</v>
      </c>
      <c r="AF612" s="5" t="str">
        <f>OBRA!T614</f>
        <v>-</v>
      </c>
      <c r="AG612" s="390" t="str">
        <f>OBRA!U614</f>
        <v>-</v>
      </c>
      <c r="AH612" s="880"/>
      <c r="AI612" s="161"/>
      <c r="AJ612" s="219"/>
      <c r="AK612" s="219"/>
      <c r="AL612" s="632"/>
      <c r="AM612" s="519" t="e">
        <f>GRAL!#REF!</f>
        <v>#REF!</v>
      </c>
    </row>
    <row r="613" spans="1:39" ht="75" hidden="1">
      <c r="A613" s="158">
        <f>OBRA!J615</f>
        <v>2022</v>
      </c>
      <c r="B613" s="1683"/>
      <c r="C613" s="1360"/>
      <c r="D613" s="163"/>
      <c r="E613" s="1169"/>
      <c r="F613" s="1169"/>
      <c r="G613" s="1184"/>
      <c r="H613" s="1185" t="str">
        <f>OBRA!AF615</f>
        <v>-</v>
      </c>
      <c r="I613" s="1186"/>
      <c r="J613" s="1361" t="str">
        <f>OBRA!AG615</f>
        <v>-</v>
      </c>
      <c r="K613" s="1187"/>
      <c r="L613" s="1185" t="str">
        <f>OBRA!AH615</f>
        <v>-</v>
      </c>
      <c r="M613" s="1188"/>
      <c r="N613" s="1185" t="str">
        <f>OBRA!AI615</f>
        <v>-</v>
      </c>
      <c r="O613" s="1185"/>
      <c r="P613" s="1185"/>
      <c r="Q613" s="1187"/>
      <c r="R613" s="437" t="str">
        <f>OBRA!AJ615</f>
        <v>-</v>
      </c>
      <c r="S613" s="535"/>
      <c r="T613" s="399" t="str">
        <f>OBRA!W615</f>
        <v>PEDRO MACHUCA SAAVEDRA</v>
      </c>
      <c r="U613" s="408" t="str">
        <f>OBRA!X615</f>
        <v>ARQ. FRANCISCO SALAZAR</v>
      </c>
      <c r="V613" s="1090"/>
      <c r="W613" s="19" t="str">
        <f>OBRA!N615</f>
        <v>CPSP DOP 010/2022</v>
      </c>
      <c r="X613" s="1402"/>
      <c r="Y613" s="1402"/>
      <c r="Z613" s="409" t="str">
        <f>OBRA!M615</f>
        <v>CUENTA CORRIENTE</v>
      </c>
      <c r="AA613" s="1402"/>
      <c r="AB613" s="2" t="str">
        <f>OBRA!O615</f>
        <v xml:space="preserve">SERVICIOS </v>
      </c>
      <c r="AC613" s="3" t="str">
        <f>OBRA!P615</f>
        <v>LOCALIZACIÓN DE AGUA EN PREDIOS PARA POSIBLE PERFORACIÓN DE POZO PROFUNDO POR MEDIO DE LA TÉCNICA DE RADIESTESIA EN LA LOCALIDAD DE CHANTEPEC, EN EL MUNICIPIO DE JOCOTEPEC, JALISCO.</v>
      </c>
      <c r="AD613" s="4">
        <f>OBRA!R615</f>
        <v>4000</v>
      </c>
      <c r="AE613" s="6">
        <f>OBRA!S615</f>
        <v>44658</v>
      </c>
      <c r="AF613" s="5">
        <f>OBRA!T615</f>
        <v>44660</v>
      </c>
      <c r="AG613" s="390">
        <f>OBRA!U615</f>
        <v>44660</v>
      </c>
      <c r="AH613" s="880"/>
      <c r="AI613" s="161"/>
      <c r="AJ613" s="219"/>
      <c r="AK613" s="219"/>
      <c r="AL613" s="632"/>
      <c r="AM613" s="519" t="e">
        <f>GRAL!#REF!</f>
        <v>#REF!</v>
      </c>
    </row>
    <row r="614" spans="1:39" ht="75" hidden="1">
      <c r="A614" s="158">
        <f>OBRA!J616</f>
        <v>2022</v>
      </c>
      <c r="B614" s="1683"/>
      <c r="C614" s="1360"/>
      <c r="D614" s="163"/>
      <c r="E614" s="1169"/>
      <c r="F614" s="1169"/>
      <c r="G614" s="1184"/>
      <c r="H614" s="1185" t="str">
        <f>OBRA!AF616</f>
        <v>-</v>
      </c>
      <c r="I614" s="1186"/>
      <c r="J614" s="1361" t="str">
        <f>OBRA!AG616</f>
        <v>-</v>
      </c>
      <c r="K614" s="1187"/>
      <c r="L614" s="1185" t="str">
        <f>OBRA!AH616</f>
        <v>-</v>
      </c>
      <c r="M614" s="1188"/>
      <c r="N614" s="1185" t="str">
        <f>OBRA!AI616</f>
        <v>-</v>
      </c>
      <c r="O614" s="1185"/>
      <c r="P614" s="1185"/>
      <c r="Q614" s="1187"/>
      <c r="R614" s="437" t="str">
        <f>OBRA!AJ616</f>
        <v>-</v>
      </c>
      <c r="S614" s="535"/>
      <c r="T614" s="399" t="str">
        <f>OBRA!W616</f>
        <v>J. TRINIDAD NÚÑEZ BRITO</v>
      </c>
      <c r="U614" s="408" t="str">
        <f>OBRA!X616</f>
        <v>ARQ. FRANCISCO SALAZAR</v>
      </c>
      <c r="V614" s="1090"/>
      <c r="W614" s="19" t="str">
        <f>OBRA!N616</f>
        <v>CPSP DOP 011/2022</v>
      </c>
      <c r="X614" s="1402"/>
      <c r="Y614" s="1402"/>
      <c r="Z614" s="409" t="str">
        <f>OBRA!M616</f>
        <v>CUENTA CORRIENTE</v>
      </c>
      <c r="AA614" s="1402"/>
      <c r="AB614" s="2" t="str">
        <f>OBRA!O616</f>
        <v xml:space="preserve">SERVICIOS </v>
      </c>
      <c r="AC614" s="3" t="str">
        <f>OBRA!P616</f>
        <v>ESTUDIO GEOHIDROLÓGICO-GEOFÍSICO Y PROSPECCIÓN GEOFÍSICA CON FINES DE LOCALIZAR AGUA SUBTERRANEA EN LA LOCALIDAD DE CHANTEPEC, DEL MUNICIPIO DE JOCOTEPEC, JALISCO.</v>
      </c>
      <c r="AD614" s="4">
        <f>OBRA!R616</f>
        <v>17400</v>
      </c>
      <c r="AE614" s="6">
        <f>OBRA!S616</f>
        <v>44690</v>
      </c>
      <c r="AF614" s="5">
        <f>OBRA!T616</f>
        <v>44693</v>
      </c>
      <c r="AG614" s="390">
        <f>OBRA!U616</f>
        <v>44695</v>
      </c>
      <c r="AH614" s="880"/>
      <c r="AI614" s="161"/>
      <c r="AJ614" s="219"/>
      <c r="AK614" s="219"/>
      <c r="AL614" s="632"/>
      <c r="AM614" s="519" t="e">
        <f>GRAL!#REF!</f>
        <v>#REF!</v>
      </c>
    </row>
    <row r="615" spans="1:39" ht="90" hidden="1">
      <c r="A615" s="158">
        <f>OBRA!J617</f>
        <v>2022</v>
      </c>
      <c r="B615" s="1683"/>
      <c r="C615" s="1360"/>
      <c r="D615" s="163"/>
      <c r="E615" s="1169"/>
      <c r="F615" s="1169"/>
      <c r="G615" s="1184"/>
      <c r="H615" s="1185" t="str">
        <f>OBRA!AF617</f>
        <v>-</v>
      </c>
      <c r="I615" s="1186"/>
      <c r="J615" s="1361" t="str">
        <f>OBRA!AG617</f>
        <v>-</v>
      </c>
      <c r="K615" s="1187"/>
      <c r="L615" s="1185" t="str">
        <f>OBRA!AH617</f>
        <v>-</v>
      </c>
      <c r="M615" s="1188"/>
      <c r="N615" s="1185" t="str">
        <f>OBRA!AI617</f>
        <v>-</v>
      </c>
      <c r="O615" s="1185"/>
      <c r="P615" s="1185"/>
      <c r="Q615" s="1187"/>
      <c r="R615" s="437" t="str">
        <f>OBRA!AJ617</f>
        <v>-</v>
      </c>
      <c r="S615" s="535"/>
      <c r="T615" s="399" t="str">
        <f>OBRA!W617</f>
        <v>ECCOC DE GUADALAJARA, S.A. DE C.V.</v>
      </c>
      <c r="U615" s="408" t="str">
        <f>OBRA!X617</f>
        <v>ARQ. FRANCISCO SALAZAR</v>
      </c>
      <c r="V615" s="1090"/>
      <c r="W615" s="19" t="str">
        <f>OBRA!N617</f>
        <v>CPSP DOP 012/2022</v>
      </c>
      <c r="X615" s="1402"/>
      <c r="Y615" s="1402"/>
      <c r="Z615" s="409" t="str">
        <f>OBRA!M617</f>
        <v>CUENTA CORRIENTE</v>
      </c>
      <c r="AA615" s="1402"/>
      <c r="AB615" s="2" t="str">
        <f>OBRA!O617</f>
        <v xml:space="preserve">SERVICIOS </v>
      </c>
      <c r="AC615" s="3" t="str">
        <f>OBRA!P617</f>
        <v>ESTUDIO DE MECANICA DE SUELOS PARA LA CONSTRUCCIÓN DE LA CALLE GUADALUPE VICTORIA Y 3 POZOS A CIELO ABIERTO; CALLE JOSÉ SANTANA PONIENTE Y 3 POZOS A CIELO ABIERTO; CALLE MORELOS Y 3 POZOS A CIELO ABIERTO, EN EL MUNICIPIO DE JOCOTEPEC, JALISCO.</v>
      </c>
      <c r="AD615" s="4">
        <f>OBRA!R617</f>
        <v>32886</v>
      </c>
      <c r="AE615" s="6">
        <f>OBRA!S617</f>
        <v>44662</v>
      </c>
      <c r="AF615" s="5" t="str">
        <f>OBRA!T617</f>
        <v>-</v>
      </c>
      <c r="AG615" s="390" t="str">
        <f>OBRA!U617</f>
        <v>-</v>
      </c>
      <c r="AH615" s="880"/>
      <c r="AI615" s="161"/>
      <c r="AJ615" s="219"/>
      <c r="AK615" s="219"/>
      <c r="AL615" s="632"/>
      <c r="AM615" s="519" t="e">
        <f>GRAL!#REF!</f>
        <v>#REF!</v>
      </c>
    </row>
    <row r="616" spans="1:39" ht="135" hidden="1">
      <c r="A616" s="158">
        <f>OBRA!J618</f>
        <v>2022</v>
      </c>
      <c r="B616" s="1683"/>
      <c r="C616" s="1360"/>
      <c r="D616" s="163"/>
      <c r="E616" s="1169"/>
      <c r="F616" s="1169"/>
      <c r="G616" s="1184"/>
      <c r="H616" s="1185" t="str">
        <f>OBRA!AF618</f>
        <v>-</v>
      </c>
      <c r="I616" s="1186"/>
      <c r="J616" s="1361" t="str">
        <f>OBRA!AG618</f>
        <v>-</v>
      </c>
      <c r="K616" s="1187"/>
      <c r="L616" s="1185" t="str">
        <f>OBRA!AH618</f>
        <v>-</v>
      </c>
      <c r="M616" s="1188"/>
      <c r="N616" s="1185" t="str">
        <f>OBRA!AI618</f>
        <v>-</v>
      </c>
      <c r="O616" s="1185"/>
      <c r="P616" s="1185"/>
      <c r="Q616" s="1187"/>
      <c r="R616" s="437" t="str">
        <f>OBRA!AJ618</f>
        <v>-</v>
      </c>
      <c r="S616" s="535"/>
      <c r="T616" s="399" t="str">
        <f>OBRA!W618</f>
        <v>ECCOC DE GUADALAJARA, S.A. DE C.V.</v>
      </c>
      <c r="U616" s="408" t="str">
        <f>OBRA!X618</f>
        <v>ARQ. FRANCISCO SALAZAR</v>
      </c>
      <c r="V616" s="1090"/>
      <c r="W616" s="19" t="str">
        <f>OBRA!N618</f>
        <v>CPSP DOP 013/2022</v>
      </c>
      <c r="X616" s="1402"/>
      <c r="Y616" s="1402"/>
      <c r="Z616" s="409" t="str">
        <f>OBRA!M618</f>
        <v>CUENTA CORRIENTE</v>
      </c>
      <c r="AA616" s="1402"/>
      <c r="AB616" s="2" t="str">
        <f>OBRA!O618</f>
        <v xml:space="preserve">SERVICIOS </v>
      </c>
      <c r="AC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OBRA!R618</f>
        <v>18270</v>
      </c>
      <c r="AE616" s="6">
        <f>OBRA!S618</f>
        <v>44690</v>
      </c>
      <c r="AF616" s="5" t="str">
        <f>OBRA!T618</f>
        <v>-</v>
      </c>
      <c r="AG616" s="390" t="str">
        <f>OBRA!U618</f>
        <v>-</v>
      </c>
      <c r="AH616" s="880"/>
      <c r="AI616" s="161"/>
      <c r="AJ616" s="219"/>
      <c r="AK616" s="219"/>
      <c r="AL616" s="632"/>
      <c r="AM616" s="519" t="e">
        <f>GRAL!#REF!</f>
        <v>#REF!</v>
      </c>
    </row>
    <row r="617" spans="1:39" ht="105" hidden="1">
      <c r="A617" s="158">
        <f>OBRA!J619</f>
        <v>2022</v>
      </c>
      <c r="B617" s="1683"/>
      <c r="C617" s="1360"/>
      <c r="D617" s="163"/>
      <c r="E617" s="1169"/>
      <c r="F617" s="1169"/>
      <c r="G617" s="1184"/>
      <c r="H617" s="1185" t="str">
        <f>OBRA!AF619</f>
        <v>-</v>
      </c>
      <c r="I617" s="1186"/>
      <c r="J617" s="1361" t="str">
        <f>OBRA!AG619</f>
        <v>-</v>
      </c>
      <c r="K617" s="1187"/>
      <c r="L617" s="1185" t="str">
        <f>OBRA!AH619</f>
        <v>-</v>
      </c>
      <c r="M617" s="1188"/>
      <c r="N617" s="1185" t="str">
        <f>OBRA!AI619</f>
        <v>-</v>
      </c>
      <c r="O617" s="1185"/>
      <c r="P617" s="1185"/>
      <c r="Q617" s="1187"/>
      <c r="R617" s="437" t="str">
        <f>OBRA!AJ619</f>
        <v>-</v>
      </c>
      <c r="S617" s="535"/>
      <c r="T617" s="399" t="str">
        <f>OBRA!W619</f>
        <v>PEDRO MACHUCA SAAVEDRA</v>
      </c>
      <c r="U617" s="408" t="str">
        <f>OBRA!X619</f>
        <v>ARQ. FRANCISCO SALAZAR</v>
      </c>
      <c r="V617" s="1090"/>
      <c r="W617" s="19" t="str">
        <f>OBRA!N619</f>
        <v>CPSP DOP 014/2022</v>
      </c>
      <c r="X617" s="1402"/>
      <c r="Y617" s="1402"/>
      <c r="Z617" s="409" t="str">
        <f>OBRA!M619</f>
        <v>CUENTA CORRIENTE</v>
      </c>
      <c r="AA617" s="1402"/>
      <c r="AB617" s="2" t="str">
        <f>OBRA!O619</f>
        <v xml:space="preserve">SERVICIOS </v>
      </c>
      <c r="AC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AD617" s="4">
        <f>OBRA!R619</f>
        <v>3500</v>
      </c>
      <c r="AE617" s="6">
        <f>OBRA!S619</f>
        <v>44714</v>
      </c>
      <c r="AF617" s="5">
        <f>OBRA!T619</f>
        <v>44716</v>
      </c>
      <c r="AG617" s="390">
        <f>OBRA!U619</f>
        <v>44716</v>
      </c>
      <c r="AH617" s="880"/>
      <c r="AI617" s="161"/>
      <c r="AJ617" s="219"/>
      <c r="AK617" s="219"/>
      <c r="AL617" s="632"/>
      <c r="AM617" s="519" t="e">
        <f>GRAL!#REF!</f>
        <v>#REF!</v>
      </c>
    </row>
    <row r="618" spans="1:39" ht="26.25" hidden="1">
      <c r="A618" s="158">
        <f>OBRA!J620</f>
        <v>2022</v>
      </c>
      <c r="B618" s="1683"/>
      <c r="C618" s="1360"/>
      <c r="D618" s="163"/>
      <c r="E618" s="1169"/>
      <c r="F618" s="1169"/>
      <c r="G618" s="1184"/>
      <c r="H618" s="1185" t="str">
        <f>OBRA!AF620</f>
        <v>-</v>
      </c>
      <c r="I618" s="1186"/>
      <c r="J618" s="1361" t="str">
        <f>OBRA!AG620</f>
        <v>-</v>
      </c>
      <c r="K618" s="1187"/>
      <c r="L618" s="1185" t="str">
        <f>OBRA!AH620</f>
        <v>-</v>
      </c>
      <c r="M618" s="1188"/>
      <c r="N618" s="1185" t="str">
        <f>OBRA!AI620</f>
        <v>-</v>
      </c>
      <c r="O618" s="1185"/>
      <c r="P618" s="1185"/>
      <c r="Q618" s="1187"/>
      <c r="R618" s="437" t="str">
        <f>OBRA!AJ620</f>
        <v>-</v>
      </c>
      <c r="S618" s="535"/>
      <c r="T618" s="399" t="str">
        <f>OBRA!W620</f>
        <v>-</v>
      </c>
      <c r="U618" s="408">
        <f>OBRA!X620</f>
        <v>0</v>
      </c>
      <c r="V618" s="1090"/>
      <c r="W618" s="19" t="str">
        <f>OBRA!N620</f>
        <v>CPSP DOP 015/2022</v>
      </c>
      <c r="X618" s="1402"/>
      <c r="Y618" s="1402"/>
      <c r="Z618" s="409" t="str">
        <f>OBRA!M620</f>
        <v>CUENTA CORRIENTE</v>
      </c>
      <c r="AA618" s="1402"/>
      <c r="AB618" s="2" t="str">
        <f>OBRA!O620</f>
        <v>CANCELADA</v>
      </c>
      <c r="AC618" s="3" t="str">
        <f>OBRA!P620</f>
        <v>-</v>
      </c>
      <c r="AD618" s="4">
        <f>OBRA!R620</f>
        <v>0</v>
      </c>
      <c r="AE618" s="6">
        <f>OBRA!S620</f>
        <v>0</v>
      </c>
      <c r="AF618" s="5">
        <f>OBRA!T620</f>
        <v>0</v>
      </c>
      <c r="AG618" s="390">
        <f>OBRA!U620</f>
        <v>0</v>
      </c>
      <c r="AH618" s="880"/>
      <c r="AI618" s="161"/>
      <c r="AJ618" s="219"/>
      <c r="AK618" s="219"/>
      <c r="AL618" s="632"/>
      <c r="AM618" s="519">
        <f>GRAL!B885</f>
        <v>0</v>
      </c>
    </row>
    <row r="619" spans="1:39" ht="26.25" hidden="1">
      <c r="A619" s="158">
        <f>OBRA!J621</f>
        <v>2022</v>
      </c>
      <c r="B619" s="1683"/>
      <c r="C619" s="1360"/>
      <c r="D619" s="163"/>
      <c r="E619" s="1169"/>
      <c r="F619" s="1169"/>
      <c r="G619" s="1184"/>
      <c r="H619" s="1185" t="str">
        <f>OBRA!AF621</f>
        <v>-</v>
      </c>
      <c r="I619" s="1186"/>
      <c r="J619" s="1361" t="str">
        <f>OBRA!AG621</f>
        <v>-</v>
      </c>
      <c r="K619" s="1187"/>
      <c r="L619" s="1185" t="str">
        <f>OBRA!AH621</f>
        <v>-</v>
      </c>
      <c r="M619" s="1188"/>
      <c r="N619" s="1185" t="str">
        <f>OBRA!AI621</f>
        <v>-</v>
      </c>
      <c r="O619" s="1185"/>
      <c r="P619" s="1185"/>
      <c r="Q619" s="1187"/>
      <c r="R619" s="437" t="str">
        <f>OBRA!AJ621</f>
        <v>-</v>
      </c>
      <c r="S619" s="535"/>
      <c r="T619" s="399" t="str">
        <f>OBRA!W621</f>
        <v>-</v>
      </c>
      <c r="U619" s="408">
        <f>OBRA!X621</f>
        <v>0</v>
      </c>
      <c r="V619" s="1090"/>
      <c r="W619" s="19" t="str">
        <f>OBRA!N621</f>
        <v>CPSP DOP 016/2022</v>
      </c>
      <c r="X619" s="1402"/>
      <c r="Y619" s="1402"/>
      <c r="Z619" s="409" t="str">
        <f>OBRA!M621</f>
        <v>CUENTA CORRIENTE</v>
      </c>
      <c r="AA619" s="1402"/>
      <c r="AB619" s="2" t="str">
        <f>OBRA!O621</f>
        <v>CANCELADA</v>
      </c>
      <c r="AC619" s="3" t="str">
        <f>OBRA!P621</f>
        <v>-</v>
      </c>
      <c r="AD619" s="4">
        <f>OBRA!R621</f>
        <v>0</v>
      </c>
      <c r="AE619" s="6">
        <f>OBRA!S621</f>
        <v>0</v>
      </c>
      <c r="AF619" s="5">
        <f>OBRA!T621</f>
        <v>0</v>
      </c>
      <c r="AG619" s="390">
        <f>OBRA!U621</f>
        <v>0</v>
      </c>
      <c r="AH619" s="880"/>
      <c r="AI619" s="161"/>
      <c r="AJ619" s="219"/>
      <c r="AK619" s="219"/>
      <c r="AL619" s="632"/>
      <c r="AM619" s="519">
        <f>GRAL!B886</f>
        <v>0</v>
      </c>
    </row>
    <row r="620" spans="1:39" ht="26.25" hidden="1">
      <c r="A620" s="158">
        <f>OBRA!J622</f>
        <v>2022</v>
      </c>
      <c r="B620" s="1683"/>
      <c r="C620" s="1360"/>
      <c r="D620" s="163"/>
      <c r="E620" s="1169"/>
      <c r="F620" s="1169"/>
      <c r="G620" s="1184"/>
      <c r="H620" s="1185" t="str">
        <f>OBRA!AF622</f>
        <v>-</v>
      </c>
      <c r="I620" s="1186"/>
      <c r="J620" s="1361" t="str">
        <f>OBRA!AG622</f>
        <v>-</v>
      </c>
      <c r="K620" s="1187"/>
      <c r="L620" s="1185" t="str">
        <f>OBRA!AH622</f>
        <v>-</v>
      </c>
      <c r="M620" s="1188"/>
      <c r="N620" s="1185" t="str">
        <f>OBRA!AI622</f>
        <v>-</v>
      </c>
      <c r="O620" s="1185"/>
      <c r="P620" s="1185"/>
      <c r="Q620" s="1187"/>
      <c r="R620" s="437" t="str">
        <f>OBRA!AJ622</f>
        <v>-</v>
      </c>
      <c r="S620" s="535"/>
      <c r="T620" s="399" t="str">
        <f>OBRA!W622</f>
        <v>-</v>
      </c>
      <c r="U620" s="408">
        <f>OBRA!X622</f>
        <v>0</v>
      </c>
      <c r="V620" s="1090"/>
      <c r="W620" s="19" t="str">
        <f>OBRA!N622</f>
        <v>CPSP DOP 017/2022</v>
      </c>
      <c r="X620" s="1402"/>
      <c r="Y620" s="1402"/>
      <c r="Z620" s="409" t="str">
        <f>OBRA!M622</f>
        <v>CUENTA CORRIENTE</v>
      </c>
      <c r="AA620" s="1402"/>
      <c r="AB620" s="2" t="str">
        <f>OBRA!O622</f>
        <v>CANCELADA</v>
      </c>
      <c r="AC620" s="3" t="str">
        <f>OBRA!P622</f>
        <v>-</v>
      </c>
      <c r="AD620" s="4">
        <f>OBRA!R622</f>
        <v>0</v>
      </c>
      <c r="AE620" s="6">
        <f>OBRA!S622</f>
        <v>0</v>
      </c>
      <c r="AF620" s="5">
        <f>OBRA!T622</f>
        <v>0</v>
      </c>
      <c r="AG620" s="390">
        <f>OBRA!U622</f>
        <v>0</v>
      </c>
      <c r="AH620" s="880"/>
      <c r="AI620" s="161"/>
      <c r="AJ620" s="219"/>
      <c r="AK620" s="219"/>
      <c r="AL620" s="632"/>
      <c r="AM620" s="519">
        <f>GRAL!B887</f>
        <v>0</v>
      </c>
    </row>
    <row r="621" spans="1:39" ht="26.25" hidden="1">
      <c r="A621" s="158">
        <f>OBRA!J623</f>
        <v>2022</v>
      </c>
      <c r="B621" s="1683"/>
      <c r="C621" s="1360"/>
      <c r="D621" s="163"/>
      <c r="E621" s="1169"/>
      <c r="F621" s="1169"/>
      <c r="G621" s="1184"/>
      <c r="H621" s="1185" t="str">
        <f>OBRA!AF623</f>
        <v>-</v>
      </c>
      <c r="I621" s="1186"/>
      <c r="J621" s="1361" t="str">
        <f>OBRA!AG623</f>
        <v>-</v>
      </c>
      <c r="K621" s="1187"/>
      <c r="L621" s="1185" t="str">
        <f>OBRA!AH623</f>
        <v>-</v>
      </c>
      <c r="M621" s="1188"/>
      <c r="N621" s="1185" t="str">
        <f>OBRA!AI623</f>
        <v>-</v>
      </c>
      <c r="O621" s="1185"/>
      <c r="P621" s="1185"/>
      <c r="Q621" s="1187"/>
      <c r="R621" s="437" t="str">
        <f>OBRA!AJ623</f>
        <v>-</v>
      </c>
      <c r="S621" s="535"/>
      <c r="T621" s="399" t="str">
        <f>OBRA!W623</f>
        <v>-</v>
      </c>
      <c r="U621" s="408">
        <f>OBRA!X623</f>
        <v>0</v>
      </c>
      <c r="V621" s="1090"/>
      <c r="W621" s="19" t="str">
        <f>OBRA!N623</f>
        <v>CPSP DOP 018/2022</v>
      </c>
      <c r="X621" s="1402"/>
      <c r="Y621" s="1402"/>
      <c r="Z621" s="409" t="str">
        <f>OBRA!M623</f>
        <v>CUENTA CORRIENTE</v>
      </c>
      <c r="AA621" s="1402"/>
      <c r="AB621" s="2" t="str">
        <f>OBRA!O623</f>
        <v>CANCELADA</v>
      </c>
      <c r="AC621" s="3" t="str">
        <f>OBRA!P623</f>
        <v>-</v>
      </c>
      <c r="AD621" s="4">
        <f>OBRA!R623</f>
        <v>0</v>
      </c>
      <c r="AE621" s="6">
        <f>OBRA!S623</f>
        <v>0</v>
      </c>
      <c r="AF621" s="5">
        <f>OBRA!T623</f>
        <v>0</v>
      </c>
      <c r="AG621" s="390">
        <f>OBRA!U623</f>
        <v>0</v>
      </c>
      <c r="AH621" s="880"/>
      <c r="AI621" s="161"/>
      <c r="AJ621" s="219"/>
      <c r="AK621" s="219"/>
      <c r="AL621" s="632"/>
      <c r="AM621" s="519">
        <f>GRAL!B888</f>
        <v>0</v>
      </c>
    </row>
    <row r="622" spans="1:39" ht="26.25" hidden="1">
      <c r="A622" s="158">
        <f>OBRA!J624</f>
        <v>2022</v>
      </c>
      <c r="B622" s="1683"/>
      <c r="C622" s="1360"/>
      <c r="D622" s="163"/>
      <c r="E622" s="1169"/>
      <c r="F622" s="1169"/>
      <c r="G622" s="1184"/>
      <c r="H622" s="1185" t="str">
        <f>OBRA!AF624</f>
        <v>-</v>
      </c>
      <c r="I622" s="1186"/>
      <c r="J622" s="1361" t="str">
        <f>OBRA!AG624</f>
        <v>-</v>
      </c>
      <c r="K622" s="1187"/>
      <c r="L622" s="1185" t="str">
        <f>OBRA!AH624</f>
        <v>-</v>
      </c>
      <c r="M622" s="1188"/>
      <c r="N622" s="1185" t="str">
        <f>OBRA!AI624</f>
        <v>-</v>
      </c>
      <c r="O622" s="1185"/>
      <c r="P622" s="1185"/>
      <c r="Q622" s="1187"/>
      <c r="R622" s="437" t="str">
        <f>OBRA!AJ624</f>
        <v>-</v>
      </c>
      <c r="S622" s="535"/>
      <c r="T622" s="399" t="str">
        <f>OBRA!W624</f>
        <v>-</v>
      </c>
      <c r="U622" s="408">
        <f>OBRA!X624</f>
        <v>0</v>
      </c>
      <c r="V622" s="1090"/>
      <c r="W622" s="19" t="str">
        <f>OBRA!N624</f>
        <v>CPSP DOP 019/2022</v>
      </c>
      <c r="X622" s="1402"/>
      <c r="Y622" s="1402"/>
      <c r="Z622" s="409" t="str">
        <f>OBRA!M624</f>
        <v>CUENTA CORRIENTE</v>
      </c>
      <c r="AA622" s="1402"/>
      <c r="AB622" s="2" t="str">
        <f>OBRA!O624</f>
        <v>CANCELADA</v>
      </c>
      <c r="AC622" s="3" t="str">
        <f>OBRA!P624</f>
        <v>-</v>
      </c>
      <c r="AD622" s="4">
        <f>OBRA!R624</f>
        <v>0</v>
      </c>
      <c r="AE622" s="6">
        <f>OBRA!S624</f>
        <v>0</v>
      </c>
      <c r="AF622" s="5">
        <f>OBRA!T624</f>
        <v>0</v>
      </c>
      <c r="AG622" s="390">
        <f>OBRA!U624</f>
        <v>0</v>
      </c>
      <c r="AH622" s="880"/>
      <c r="AI622" s="161"/>
      <c r="AJ622" s="219"/>
      <c r="AK622" s="219"/>
      <c r="AL622" s="632"/>
      <c r="AM622" s="519">
        <f>GRAL!B889</f>
        <v>0</v>
      </c>
    </row>
    <row r="623" spans="1:39" ht="26.25" hidden="1">
      <c r="A623" s="158">
        <f>OBRA!J625</f>
        <v>2022</v>
      </c>
      <c r="B623" s="1683"/>
      <c r="C623" s="1360"/>
      <c r="D623" s="163"/>
      <c r="E623" s="1169"/>
      <c r="F623" s="1169"/>
      <c r="G623" s="1184"/>
      <c r="H623" s="1185" t="str">
        <f>OBRA!AF625</f>
        <v>-</v>
      </c>
      <c r="I623" s="1186"/>
      <c r="J623" s="1361" t="str">
        <f>OBRA!AG625</f>
        <v>-</v>
      </c>
      <c r="K623" s="1187"/>
      <c r="L623" s="1185" t="str">
        <f>OBRA!AH625</f>
        <v>-</v>
      </c>
      <c r="M623" s="1188"/>
      <c r="N623" s="1185" t="str">
        <f>OBRA!AI625</f>
        <v>-</v>
      </c>
      <c r="O623" s="1185"/>
      <c r="P623" s="1185"/>
      <c r="Q623" s="1187"/>
      <c r="R623" s="437" t="str">
        <f>OBRA!AJ625</f>
        <v>-</v>
      </c>
      <c r="S623" s="535"/>
      <c r="T623" s="399" t="str">
        <f>OBRA!W625</f>
        <v>-</v>
      </c>
      <c r="U623" s="408">
        <f>OBRA!X625</f>
        <v>0</v>
      </c>
      <c r="V623" s="1090"/>
      <c r="W623" s="19" t="str">
        <f>OBRA!N625</f>
        <v>CPSP DOP 020/2022</v>
      </c>
      <c r="X623" s="1402"/>
      <c r="Y623" s="1402"/>
      <c r="Z623" s="409" t="str">
        <f>OBRA!M625</f>
        <v>CUENTA CORRIENTE</v>
      </c>
      <c r="AA623" s="1402"/>
      <c r="AB623" s="2" t="str">
        <f>OBRA!O625</f>
        <v>CANCELADA</v>
      </c>
      <c r="AC623" s="3" t="str">
        <f>OBRA!P625</f>
        <v>-</v>
      </c>
      <c r="AD623" s="4">
        <f>OBRA!R625</f>
        <v>0</v>
      </c>
      <c r="AE623" s="6">
        <f>OBRA!S625</f>
        <v>0</v>
      </c>
      <c r="AF623" s="5">
        <f>OBRA!T625</f>
        <v>0</v>
      </c>
      <c r="AG623" s="390">
        <f>OBRA!U625</f>
        <v>0</v>
      </c>
      <c r="AH623" s="880"/>
      <c r="AI623" s="161"/>
      <c r="AJ623" s="219"/>
      <c r="AK623" s="219"/>
      <c r="AL623" s="632"/>
      <c r="AM623" s="519">
        <f>GRAL!B890</f>
        <v>0</v>
      </c>
    </row>
    <row r="624" spans="1:39" ht="90" hidden="1">
      <c r="A624" s="158">
        <f>OBRA!J626</f>
        <v>2022</v>
      </c>
      <c r="B624" s="1683"/>
      <c r="C624" s="1360"/>
      <c r="D624" s="163"/>
      <c r="E624" s="1169"/>
      <c r="F624" s="1169"/>
      <c r="G624" s="1184"/>
      <c r="H624" s="1185" t="str">
        <f>OBRA!AF626</f>
        <v>-</v>
      </c>
      <c r="I624" s="1186"/>
      <c r="J624" s="1361" t="str">
        <f>OBRA!AG626</f>
        <v>-</v>
      </c>
      <c r="K624" s="1187"/>
      <c r="L624" s="1185" t="str">
        <f>OBRA!AH626</f>
        <v>-</v>
      </c>
      <c r="M624" s="1188"/>
      <c r="N624" s="1185" t="str">
        <f>OBRA!AI626</f>
        <v>-</v>
      </c>
      <c r="O624" s="1185"/>
      <c r="P624" s="1185"/>
      <c r="Q624" s="1187"/>
      <c r="R624" s="437" t="str">
        <f>OBRA!AJ626</f>
        <v>-</v>
      </c>
      <c r="S624" s="535"/>
      <c r="T624" s="399" t="str">
        <f>OBRA!W626</f>
        <v>ALSERCON SA DE CV</v>
      </c>
      <c r="U624" s="408" t="str">
        <f>OBRA!X626</f>
        <v>C. DANIEL RODRIGUEZ VALENZUELA</v>
      </c>
      <c r="V624" s="1090"/>
      <c r="W624" s="19" t="str">
        <f>OBRA!N626</f>
        <v>C- OP 001/2022</v>
      </c>
      <c r="X624" s="1402"/>
      <c r="Y624" s="1402"/>
      <c r="Z624" s="409" t="str">
        <f>OBRA!M626</f>
        <v>CUENTA CORRIENTE</v>
      </c>
      <c r="AA624" s="1402"/>
      <c r="AB624" s="2" t="str">
        <f>OBRA!O626</f>
        <v>ARRENDAMIENTO</v>
      </c>
      <c r="AC624" s="3" t="str">
        <f>OBRA!P626</f>
        <v>RENTA DE CAMIÓN TIPO PIPA MARCA DODGE RAM 6500 MOD. 1996 PLACAS JM57075, CON CAPACIDAD DE 10,000 LITROS PARA ACARREOS DE AGUA, PARA SER UTILIZADA EN LAS OBRAS DEL PROGRAMA SADER 2021 EN LA LOCALIDAD DE LA LOMA, MUNICIPIO DE JOCOTEPEC, JALISCO.</v>
      </c>
      <c r="AD624" s="4">
        <f>OBRA!R626</f>
        <v>1739.9999999999998</v>
      </c>
      <c r="AE624" s="6">
        <f>OBRA!S626</f>
        <v>44655</v>
      </c>
      <c r="AF624" s="5">
        <f>OBRA!T626</f>
        <v>44658</v>
      </c>
      <c r="AG624" s="390">
        <f>OBRA!U626</f>
        <v>44662</v>
      </c>
      <c r="AH624" s="880"/>
      <c r="AI624" s="161"/>
      <c r="AJ624" s="219"/>
      <c r="AK624" s="219"/>
      <c r="AL624" s="632"/>
      <c r="AM624" s="519">
        <f>GRAL!B891</f>
        <v>0</v>
      </c>
    </row>
    <row r="625" spans="1:39" ht="90" hidden="1">
      <c r="A625" s="158">
        <f>OBRA!J627</f>
        <v>2022</v>
      </c>
      <c r="B625" s="1683"/>
      <c r="C625" s="1360"/>
      <c r="D625" s="163"/>
      <c r="E625" s="1169"/>
      <c r="F625" s="1169"/>
      <c r="G625" s="1184"/>
      <c r="H625" s="1185" t="str">
        <f>OBRA!AF627</f>
        <v>-</v>
      </c>
      <c r="I625" s="1186"/>
      <c r="J625" s="1361" t="str">
        <f>OBRA!AG627</f>
        <v>-</v>
      </c>
      <c r="K625" s="1187"/>
      <c r="L625" s="1185" t="str">
        <f>OBRA!AH627</f>
        <v>-</v>
      </c>
      <c r="M625" s="1188"/>
      <c r="N625" s="1185" t="str">
        <f>OBRA!AI627</f>
        <v>-</v>
      </c>
      <c r="O625" s="1185"/>
      <c r="P625" s="1185"/>
      <c r="Q625" s="1187"/>
      <c r="R625" s="437" t="str">
        <f>OBRA!AJ627</f>
        <v>-</v>
      </c>
      <c r="S625" s="535"/>
      <c r="T625" s="399" t="str">
        <f>OBRA!W627</f>
        <v xml:space="preserve">DORIA &amp; SAMPIER CONSTRUCTORA, S.A. DE C.V. </v>
      </c>
      <c r="U625" s="408" t="str">
        <f>OBRA!X627</f>
        <v>C. DANIEL RODRIGUEZ VALENZUELA</v>
      </c>
      <c r="V625" s="1090"/>
      <c r="W625" s="19" t="str">
        <f>OBRA!N627</f>
        <v>C- OP 002/2022</v>
      </c>
      <c r="X625" s="1402"/>
      <c r="Y625" s="1402"/>
      <c r="Z625" s="409" t="str">
        <f>OBRA!M627</f>
        <v>CUENTA CORRIENTE</v>
      </c>
      <c r="AA625" s="1402"/>
      <c r="AB625" s="2" t="str">
        <f>OBRA!O627</f>
        <v>ARRENDAMIENTO</v>
      </c>
      <c r="AC625" s="3" t="str">
        <f>OBRA!P627</f>
        <v>RENTA DE RETROEXCAVADORA MARCA JCB MOD. 2000 SERIE 4214E PARA SER UTILIZADA EN LAS OBRAS DEL PROGRAMA: EMPEDRADOS PARA LA REACTIVACIÓN ECONÓMICA EN MUNICIPIOS SADER 2021 EN EL MUNICIPIO DE JOCOTEPEC, JALISCO.</v>
      </c>
      <c r="AD625" s="4">
        <f>OBRA!R627</f>
        <v>638</v>
      </c>
      <c r="AE625" s="6">
        <f>OBRA!S627</f>
        <v>44594</v>
      </c>
      <c r="AF625" s="5" t="str">
        <f>OBRA!T627</f>
        <v>-</v>
      </c>
      <c r="AG625" s="390" t="str">
        <f>OBRA!U627</f>
        <v>-</v>
      </c>
      <c r="AH625" s="880"/>
      <c r="AI625" s="161"/>
      <c r="AJ625" s="219"/>
      <c r="AK625" s="219"/>
      <c r="AL625" s="632"/>
      <c r="AM625" s="519">
        <f>GRAL!B892</f>
        <v>0</v>
      </c>
    </row>
    <row r="626" spans="1:39" ht="90" hidden="1">
      <c r="A626" s="158">
        <f>OBRA!J628</f>
        <v>2022</v>
      </c>
      <c r="B626" s="1683"/>
      <c r="C626" s="1360"/>
      <c r="D626" s="163"/>
      <c r="E626" s="1169"/>
      <c r="F626" s="1169"/>
      <c r="G626" s="1184"/>
      <c r="H626" s="1185" t="str">
        <f>OBRA!AF628</f>
        <v>-</v>
      </c>
      <c r="I626" s="1186"/>
      <c r="J626" s="1361" t="str">
        <f>OBRA!AG628</f>
        <v>-</v>
      </c>
      <c r="K626" s="1187"/>
      <c r="L626" s="1185" t="str">
        <f>OBRA!AH628</f>
        <v>-</v>
      </c>
      <c r="M626" s="1188"/>
      <c r="N626" s="1185" t="str">
        <f>OBRA!AI628</f>
        <v>-</v>
      </c>
      <c r="O626" s="1185"/>
      <c r="P626" s="1185"/>
      <c r="Q626" s="1187"/>
      <c r="R626" s="437" t="str">
        <f>OBRA!AJ628</f>
        <v>-</v>
      </c>
      <c r="S626" s="535"/>
      <c r="T626" s="399" t="str">
        <f>OBRA!W628</f>
        <v>ALSERCON SA DE CV</v>
      </c>
      <c r="U626" s="408" t="str">
        <f>OBRA!X628</f>
        <v>C. DANIEL RODRIGUEZ VALENZUELA</v>
      </c>
      <c r="V626" s="1090"/>
      <c r="W626" s="19" t="str">
        <f>OBRA!N628</f>
        <v>C- OP 003/2022</v>
      </c>
      <c r="X626" s="1402"/>
      <c r="Y626" s="1402"/>
      <c r="Z626" s="409" t="str">
        <f>OBRA!M628</f>
        <v>CUENTA CORRIENTE</v>
      </c>
      <c r="AA626" s="1402"/>
      <c r="AB626" s="2" t="str">
        <f>OBRA!O628</f>
        <v>ARRENDAMIENTO</v>
      </c>
      <c r="AC626" s="3" t="str">
        <f>OBRA!P628</f>
        <v>RENTA DE CAMIÓN TIPO PIPA MARCA DODGE RAM 6500 MOD. 1996 PLACAS JM57075, CON CAPACIDAD DE 10,000 LITROS PARA ACARREOS DE AGUA, PARA SER UTILIZADA EN LAS OBRAS DEL PROGRAMA SADER 2021 EN LA LOCALIDAD DE LA LOMA, MUNICIPIO DE JOCOTEPEC, JALISCO.</v>
      </c>
      <c r="AD626" s="4">
        <f>OBRA!R628</f>
        <v>1739.9999999999998</v>
      </c>
      <c r="AE626" s="6">
        <f>OBRA!S628</f>
        <v>44673</v>
      </c>
      <c r="AF626" s="5">
        <f>OBRA!T628</f>
        <v>44677</v>
      </c>
      <c r="AG626" s="390">
        <f>OBRA!U628</f>
        <v>44707</v>
      </c>
      <c r="AH626" s="880"/>
      <c r="AI626" s="161"/>
      <c r="AJ626" s="219"/>
      <c r="AK626" s="219"/>
      <c r="AL626" s="632"/>
      <c r="AM626" s="519">
        <f>GRAL!B893</f>
        <v>0</v>
      </c>
    </row>
    <row r="627" spans="1:39" ht="90" hidden="1">
      <c r="A627" s="158">
        <f>OBRA!J629</f>
        <v>2022</v>
      </c>
      <c r="B627" s="1683"/>
      <c r="C627" s="1360"/>
      <c r="D627" s="163"/>
      <c r="E627" s="1169"/>
      <c r="F627" s="1169"/>
      <c r="G627" s="1184"/>
      <c r="H627" s="1185" t="str">
        <f>OBRA!AF629</f>
        <v>-</v>
      </c>
      <c r="I627" s="1186"/>
      <c r="J627" s="1361" t="str">
        <f>OBRA!AG629</f>
        <v>-</v>
      </c>
      <c r="K627" s="1187"/>
      <c r="L627" s="1185" t="str">
        <f>OBRA!AH629</f>
        <v>-</v>
      </c>
      <c r="M627" s="1188"/>
      <c r="N627" s="1185" t="str">
        <f>OBRA!AI629</f>
        <v>-</v>
      </c>
      <c r="O627" s="1185"/>
      <c r="P627" s="1185"/>
      <c r="Q627" s="1187"/>
      <c r="R627" s="437" t="str">
        <f>OBRA!AJ629</f>
        <v>-</v>
      </c>
      <c r="S627" s="535"/>
      <c r="T627" s="399" t="str">
        <f>OBRA!W629</f>
        <v>ING. SERGIO CABRERA</v>
      </c>
      <c r="U627" s="408" t="str">
        <f>OBRA!X629</f>
        <v>C. DANIEL RODRIGUEZ VALENZUELA</v>
      </c>
      <c r="V627" s="1090"/>
      <c r="W627" s="19" t="str">
        <f>OBRA!N629</f>
        <v>C- OP 004/2022</v>
      </c>
      <c r="X627" s="1402"/>
      <c r="Y627" s="1402"/>
      <c r="Z627" s="409" t="str">
        <f>OBRA!M629</f>
        <v>CUENTA CORRIENTE</v>
      </c>
      <c r="AA627" s="1402"/>
      <c r="AB627" s="2" t="str">
        <f>OBRA!O629</f>
        <v>ARRENDAMIENTO</v>
      </c>
      <c r="AC627" s="3" t="str">
        <f>OBRA!P629</f>
        <v>RENTA DE COMPACTADOR MCA CARTEPILLAR MOD CS-563 E, PARA SER UTILIZADA EN LAS OBRAS: REHABILITACIÓN DE LÍNEAS HIDROSANITARIAS EN CALLE 5 DE FEBRERO Y CALLE 1RO DE MAYO EN LA AGENCIA DE LA LOMA, DEL MUNICIPIO DE JOCOTEPEC, JALISCO.</v>
      </c>
      <c r="AD627" s="4">
        <f>OBRA!R629</f>
        <v>1144.8851999999999</v>
      </c>
      <c r="AE627" s="6">
        <f>OBRA!S629</f>
        <v>44594</v>
      </c>
      <c r="AF627" s="5" t="str">
        <f>OBRA!T629</f>
        <v>-</v>
      </c>
      <c r="AG627" s="390" t="str">
        <f>OBRA!U629</f>
        <v>-</v>
      </c>
      <c r="AH627" s="880"/>
      <c r="AI627" s="161"/>
      <c r="AJ627" s="219"/>
      <c r="AK627" s="219"/>
      <c r="AL627" s="632"/>
      <c r="AM627" s="519">
        <f>GRAL!B894</f>
        <v>0</v>
      </c>
    </row>
    <row r="628" spans="1:39" ht="90" hidden="1">
      <c r="A628" s="158">
        <f>OBRA!J630</f>
        <v>2022</v>
      </c>
      <c r="B628" s="1683"/>
      <c r="C628" s="1360"/>
      <c r="D628" s="163"/>
      <c r="E628" s="1169"/>
      <c r="F628" s="1169"/>
      <c r="G628" s="1184"/>
      <c r="H628" s="1185" t="str">
        <f>OBRA!AF630</f>
        <v>-</v>
      </c>
      <c r="I628" s="1186"/>
      <c r="J628" s="1361" t="str">
        <f>OBRA!AG630</f>
        <v>-</v>
      </c>
      <c r="K628" s="1187"/>
      <c r="L628" s="1185" t="str">
        <f>OBRA!AH630</f>
        <v>-</v>
      </c>
      <c r="M628" s="1188"/>
      <c r="N628" s="1185" t="str">
        <f>OBRA!AI630</f>
        <v>-</v>
      </c>
      <c r="O628" s="1185"/>
      <c r="P628" s="1185"/>
      <c r="Q628" s="1187"/>
      <c r="R628" s="437" t="str">
        <f>OBRA!AJ630</f>
        <v>-</v>
      </c>
      <c r="S628" s="535"/>
      <c r="T628" s="399" t="str">
        <f>OBRA!W630</f>
        <v>ING. SERGIO CABRERA</v>
      </c>
      <c r="U628" s="408" t="str">
        <f>OBRA!X630</f>
        <v>C. DANIEL RODRIGUEZ VALENZUELA</v>
      </c>
      <c r="V628" s="1090"/>
      <c r="W628" s="19" t="str">
        <f>OBRA!N630</f>
        <v>C- OP 005/2022</v>
      </c>
      <c r="X628" s="1402"/>
      <c r="Y628" s="1402"/>
      <c r="Z628" s="409" t="str">
        <f>OBRA!M630</f>
        <v>CUENTA CORRIENTE</v>
      </c>
      <c r="AA628" s="1402"/>
      <c r="AB628" s="2" t="str">
        <f>OBRA!O630</f>
        <v>ARRENDAMIENTO</v>
      </c>
      <c r="AC628" s="3" t="str">
        <f>OBRA!P630</f>
        <v>RENTA DE MOTONIVELADORA CARTEPILLAR 160 H, PARA SER UTILIZADA EN LAS OBRAS; REHABILITACIÓN DE LÍNEAS HIDROSANITARIAS EN CALLE 5 DE FEBRERO, CALLE 1RO DE MAYO Y CALLE CHAPULTEPEC, EN LA AGENCIA DE LA LOMA, DEL MUNICIPIO DE JOCOTEPEC, JALISCO.</v>
      </c>
      <c r="AD628" s="4">
        <f>OBRA!R630</f>
        <v>1850.8843999999997</v>
      </c>
      <c r="AE628" s="6">
        <f>OBRA!S630</f>
        <v>44641</v>
      </c>
      <c r="AF628" s="5" t="str">
        <f>OBRA!T630</f>
        <v>-</v>
      </c>
      <c r="AG628" s="390" t="str">
        <f>OBRA!U630</f>
        <v>-</v>
      </c>
      <c r="AH628" s="880"/>
      <c r="AI628" s="161"/>
      <c r="AJ628" s="219"/>
      <c r="AK628" s="219"/>
      <c r="AL628" s="632"/>
      <c r="AM628" s="519">
        <f>GRAL!B895</f>
        <v>0</v>
      </c>
    </row>
    <row r="629" spans="1:39" ht="105" hidden="1">
      <c r="A629" s="158">
        <f>OBRA!J631</f>
        <v>2022</v>
      </c>
      <c r="B629" s="1683"/>
      <c r="C629" s="1360"/>
      <c r="D629" s="163"/>
      <c r="E629" s="1169"/>
      <c r="F629" s="1169"/>
      <c r="G629" s="1184"/>
      <c r="H629" s="1185" t="str">
        <f>OBRA!AF631</f>
        <v>-</v>
      </c>
      <c r="I629" s="1186"/>
      <c r="J629" s="1361" t="str">
        <f>OBRA!AG631</f>
        <v>-</v>
      </c>
      <c r="K629" s="1187"/>
      <c r="L629" s="1185" t="str">
        <f>OBRA!AH631</f>
        <v>-</v>
      </c>
      <c r="M629" s="1188"/>
      <c r="N629" s="1185" t="str">
        <f>OBRA!AI631</f>
        <v>-</v>
      </c>
      <c r="O629" s="1185"/>
      <c r="P629" s="1185"/>
      <c r="Q629" s="1187"/>
      <c r="R629" s="437" t="str">
        <f>OBRA!AJ631</f>
        <v>-</v>
      </c>
      <c r="S629" s="535"/>
      <c r="T629" s="399" t="str">
        <f>OBRA!W631</f>
        <v>ING. SERGIO CABRERA</v>
      </c>
      <c r="U629" s="408" t="str">
        <f>OBRA!X631</f>
        <v>C. DANIEL RODRIGUEZ VALENZUELA</v>
      </c>
      <c r="V629" s="1090"/>
      <c r="W629" s="19" t="str">
        <f>OBRA!N631</f>
        <v>C- OP 006/2022</v>
      </c>
      <c r="X629" s="1402"/>
      <c r="Y629" s="1402"/>
      <c r="Z629" s="409" t="str">
        <f>OBRA!M631</f>
        <v>CUENTA CORRIENTE</v>
      </c>
      <c r="AA629" s="1402"/>
      <c r="AB629" s="2" t="str">
        <f>OBRA!O631</f>
        <v>ARRENDAMIENTO</v>
      </c>
      <c r="AC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OBRA!R631</f>
        <v>854.74599999999998</v>
      </c>
      <c r="AE629" s="6">
        <f>OBRA!S631</f>
        <v>44642</v>
      </c>
      <c r="AF629" s="5">
        <f>OBRA!T631</f>
        <v>44642</v>
      </c>
      <c r="AG629" s="390">
        <f>OBRA!U631</f>
        <v>44926</v>
      </c>
      <c r="AH629" s="880"/>
      <c r="AI629" s="161"/>
      <c r="AJ629" s="219"/>
      <c r="AK629" s="219"/>
      <c r="AL629" s="632"/>
      <c r="AM629" s="519">
        <f>GRAL!B896</f>
        <v>0</v>
      </c>
    </row>
    <row r="630" spans="1:39" ht="105" hidden="1">
      <c r="A630" s="158">
        <f>OBRA!J632</f>
        <v>2022</v>
      </c>
      <c r="B630" s="1683"/>
      <c r="C630" s="1360"/>
      <c r="D630" s="163"/>
      <c r="E630" s="1169"/>
      <c r="F630" s="1169"/>
      <c r="G630" s="1184"/>
      <c r="H630" s="1185" t="str">
        <f>OBRA!AF632</f>
        <v>-</v>
      </c>
      <c r="I630" s="1186"/>
      <c r="J630" s="1361" t="str">
        <f>OBRA!AG632</f>
        <v>-</v>
      </c>
      <c r="K630" s="1187"/>
      <c r="L630" s="1185" t="str">
        <f>OBRA!AH632</f>
        <v>-</v>
      </c>
      <c r="M630" s="1188"/>
      <c r="N630" s="1185" t="str">
        <f>OBRA!AI632</f>
        <v>-</v>
      </c>
      <c r="O630" s="1185"/>
      <c r="P630" s="1185"/>
      <c r="Q630" s="1187"/>
      <c r="R630" s="437" t="str">
        <f>OBRA!AJ632</f>
        <v>-</v>
      </c>
      <c r="S630" s="535"/>
      <c r="T630" s="399" t="str">
        <f>OBRA!W632</f>
        <v>ING. SERGIO CABRERA</v>
      </c>
      <c r="U630" s="408" t="str">
        <f>OBRA!X632</f>
        <v>C. DANIEL RODRIGUEZ VALENZUELA</v>
      </c>
      <c r="V630" s="1090"/>
      <c r="W630" s="19" t="str">
        <f>OBRA!N632</f>
        <v>C- OP 007/2022</v>
      </c>
      <c r="X630" s="1402"/>
      <c r="Y630" s="1402"/>
      <c r="Z630" s="409" t="str">
        <f>OBRA!M632</f>
        <v>CUENTA CORRIENTE</v>
      </c>
      <c r="AA630" s="1402"/>
      <c r="AB630" s="2" t="str">
        <f>OBRA!O632</f>
        <v>ARRENDAMIENTO</v>
      </c>
      <c r="AC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OBRA!R632</f>
        <v>818.2639999999999</v>
      </c>
      <c r="AE630" s="6">
        <f>OBRA!S632</f>
        <v>44648</v>
      </c>
      <c r="AF630" s="5">
        <f>OBRA!T632</f>
        <v>44648</v>
      </c>
      <c r="AG630" s="390">
        <f>OBRA!U632</f>
        <v>44926</v>
      </c>
      <c r="AH630" s="880"/>
      <c r="AI630" s="161"/>
      <c r="AJ630" s="219"/>
      <c r="AK630" s="219"/>
      <c r="AL630" s="632"/>
      <c r="AM630" s="519">
        <f>GRAL!B897</f>
        <v>0</v>
      </c>
    </row>
    <row r="631" spans="1:39" ht="105" hidden="1">
      <c r="A631" s="158">
        <f>OBRA!J633</f>
        <v>2022</v>
      </c>
      <c r="B631" s="1683"/>
      <c r="C631" s="1360"/>
      <c r="D631" s="163"/>
      <c r="E631" s="1169"/>
      <c r="F631" s="1169"/>
      <c r="G631" s="1184"/>
      <c r="H631" s="1185" t="str">
        <f>OBRA!AF633</f>
        <v>-</v>
      </c>
      <c r="I631" s="1186"/>
      <c r="J631" s="1361" t="str">
        <f>OBRA!AG633</f>
        <v>-</v>
      </c>
      <c r="K631" s="1187"/>
      <c r="L631" s="1185" t="str">
        <f>OBRA!AH633</f>
        <v>-</v>
      </c>
      <c r="M631" s="1188"/>
      <c r="N631" s="1185" t="str">
        <f>OBRA!AI633</f>
        <v>-</v>
      </c>
      <c r="O631" s="1185"/>
      <c r="P631" s="1185"/>
      <c r="Q631" s="1187"/>
      <c r="R631" s="437" t="str">
        <f>OBRA!AJ633</f>
        <v>-</v>
      </c>
      <c r="S631" s="535"/>
      <c r="T631" s="399" t="str">
        <f>OBRA!W633</f>
        <v>ING. SERGIO CABRERA</v>
      </c>
      <c r="U631" s="408" t="str">
        <f>OBRA!X633</f>
        <v>C. DANIEL RODRIGUEZ VALENZUELA</v>
      </c>
      <c r="V631" s="1090"/>
      <c r="W631" s="19" t="str">
        <f>OBRA!N633</f>
        <v>C- OP 008/2022</v>
      </c>
      <c r="X631" s="1402"/>
      <c r="Y631" s="1402"/>
      <c r="Z631" s="409" t="str">
        <f>OBRA!M633</f>
        <v>CUENTA CORRIENTE</v>
      </c>
      <c r="AA631" s="1402"/>
      <c r="AB631" s="2" t="str">
        <f>OBRA!O633</f>
        <v>ARRENDAMIENTO</v>
      </c>
      <c r="AC631" s="3" t="str">
        <f>OBRA!P633</f>
        <v>RENTA DE UN CAMIÓN PIPA DE 9 M3, PARA SER UTILIZADA EN LAS OBRAS; REHABILITACIÓN DE LÍNEAS HIDROSANITARIAS EN CALLE 5 DE FEBRERO Y CALLE 1RO DE MAYO EN LA AGENCIA DE LA LOMA, Y CALLE RIBERA DEL LAGO EN NEXTIPAC, DEL MUNICIPIO DE JOCOTEPEC, JALISCO</v>
      </c>
      <c r="AD631" s="4">
        <f>OBRA!R633</f>
        <v>376.51279999999997</v>
      </c>
      <c r="AE631" s="6">
        <f>OBRA!S633</f>
        <v>44642</v>
      </c>
      <c r="AF631" s="5">
        <f>OBRA!T633</f>
        <v>44642</v>
      </c>
      <c r="AG631" s="390">
        <f>OBRA!U633</f>
        <v>44926</v>
      </c>
      <c r="AH631" s="880"/>
      <c r="AI631" s="161"/>
      <c r="AJ631" s="219"/>
      <c r="AK631" s="219"/>
      <c r="AL631" s="632"/>
      <c r="AM631" s="519">
        <f>GRAL!B898</f>
        <v>0</v>
      </c>
    </row>
    <row r="632" spans="1:39" ht="26.25" hidden="1">
      <c r="A632" s="158">
        <f>OBRA!J634</f>
        <v>2022</v>
      </c>
      <c r="B632" s="1683"/>
      <c r="C632" s="1360"/>
      <c r="D632" s="163"/>
      <c r="E632" s="1169"/>
      <c r="F632" s="1169"/>
      <c r="G632" s="1184"/>
      <c r="H632" s="1185" t="str">
        <f>OBRA!AF634</f>
        <v>-</v>
      </c>
      <c r="I632" s="1186"/>
      <c r="J632" s="1361" t="str">
        <f>OBRA!AG634</f>
        <v>-</v>
      </c>
      <c r="K632" s="1187"/>
      <c r="L632" s="1185" t="str">
        <f>OBRA!AH634</f>
        <v>-</v>
      </c>
      <c r="M632" s="1188"/>
      <c r="N632" s="1185" t="str">
        <f>OBRA!AI634</f>
        <v>-</v>
      </c>
      <c r="O632" s="1185"/>
      <c r="P632" s="1185"/>
      <c r="Q632" s="1187"/>
      <c r="R632" s="437" t="str">
        <f>OBRA!AJ634</f>
        <v>-</v>
      </c>
      <c r="S632" s="535"/>
      <c r="T632" s="399" t="str">
        <f>OBRA!W634</f>
        <v>-</v>
      </c>
      <c r="U632" s="408">
        <f>OBRA!X634</f>
        <v>0</v>
      </c>
      <c r="V632" s="1090"/>
      <c r="W632" s="19" t="str">
        <f>OBRA!N634</f>
        <v>C- OP 009/2022</v>
      </c>
      <c r="X632" s="1402"/>
      <c r="Y632" s="1402"/>
      <c r="Z632" s="409">
        <f>OBRA!M634</f>
        <v>0</v>
      </c>
      <c r="AA632" s="1402"/>
      <c r="AB632" s="2" t="str">
        <f>OBRA!O634</f>
        <v>CANCELADA</v>
      </c>
      <c r="AC632" s="3" t="str">
        <f>OBRA!P634</f>
        <v>-</v>
      </c>
      <c r="AD632" s="4">
        <f>OBRA!R634</f>
        <v>0</v>
      </c>
      <c r="AE632" s="6">
        <f>OBRA!S634</f>
        <v>0</v>
      </c>
      <c r="AF632" s="5">
        <f>OBRA!T634</f>
        <v>0</v>
      </c>
      <c r="AG632" s="390">
        <f>OBRA!U634</f>
        <v>0</v>
      </c>
      <c r="AH632" s="880"/>
      <c r="AI632" s="161"/>
      <c r="AJ632" s="219"/>
      <c r="AK632" s="219"/>
      <c r="AL632" s="632"/>
      <c r="AM632" s="519">
        <f>GRAL!B899</f>
        <v>0</v>
      </c>
    </row>
    <row r="633" spans="1:39" ht="26.25" hidden="1">
      <c r="A633" s="158">
        <f>OBRA!J635</f>
        <v>2022</v>
      </c>
      <c r="B633" s="1683"/>
      <c r="C633" s="1360"/>
      <c r="D633" s="163"/>
      <c r="E633" s="1169"/>
      <c r="F633" s="1169"/>
      <c r="G633" s="1184"/>
      <c r="H633" s="1185" t="str">
        <f>OBRA!AF635</f>
        <v>-</v>
      </c>
      <c r="I633" s="1186"/>
      <c r="J633" s="1361" t="str">
        <f>OBRA!AG635</f>
        <v>-</v>
      </c>
      <c r="K633" s="1187"/>
      <c r="L633" s="1185" t="str">
        <f>OBRA!AH635</f>
        <v>-</v>
      </c>
      <c r="M633" s="1188"/>
      <c r="N633" s="1185" t="str">
        <f>OBRA!AI635</f>
        <v>-</v>
      </c>
      <c r="O633" s="1185"/>
      <c r="P633" s="1185"/>
      <c r="Q633" s="1187"/>
      <c r="R633" s="437" t="str">
        <f>OBRA!AJ635</f>
        <v>-</v>
      </c>
      <c r="S633" s="535"/>
      <c r="T633" s="399" t="str">
        <f>OBRA!W635</f>
        <v>-</v>
      </c>
      <c r="U633" s="408">
        <f>OBRA!X635</f>
        <v>0</v>
      </c>
      <c r="V633" s="1090"/>
      <c r="W633" s="19" t="str">
        <f>OBRA!N635</f>
        <v>C- OP 010/2022</v>
      </c>
      <c r="X633" s="1402"/>
      <c r="Y633" s="1402"/>
      <c r="Z633" s="409">
        <f>OBRA!M635</f>
        <v>0</v>
      </c>
      <c r="AA633" s="1402"/>
      <c r="AB633" s="2" t="str">
        <f>OBRA!O635</f>
        <v>CANCELADA</v>
      </c>
      <c r="AC633" s="3" t="str">
        <f>OBRA!P635</f>
        <v>-</v>
      </c>
      <c r="AD633" s="4">
        <f>OBRA!R635</f>
        <v>0</v>
      </c>
      <c r="AE633" s="6">
        <f>OBRA!S635</f>
        <v>0</v>
      </c>
      <c r="AF633" s="5">
        <f>OBRA!T635</f>
        <v>0</v>
      </c>
      <c r="AG633" s="390">
        <f>OBRA!U635</f>
        <v>0</v>
      </c>
      <c r="AH633" s="880"/>
      <c r="AI633" s="161"/>
      <c r="AJ633" s="219"/>
      <c r="AK633" s="219"/>
      <c r="AL633" s="632"/>
      <c r="AM633" s="519">
        <f>GRAL!B900</f>
        <v>0</v>
      </c>
    </row>
    <row r="634" spans="1:39" ht="75" hidden="1">
      <c r="A634" s="158">
        <f>OBRA!J636</f>
        <v>2022</v>
      </c>
      <c r="B634" s="1683"/>
      <c r="C634" s="1360"/>
      <c r="D634" s="163"/>
      <c r="E634" s="1169"/>
      <c r="F634" s="1169"/>
      <c r="G634" s="1184"/>
      <c r="H634" s="1185" t="str">
        <f>OBRA!AF636</f>
        <v>-</v>
      </c>
      <c r="I634" s="1186"/>
      <c r="J634" s="1361" t="str">
        <f>OBRA!AG636</f>
        <v>-</v>
      </c>
      <c r="K634" s="1187"/>
      <c r="L634" s="1185" t="str">
        <f>OBRA!AH636</f>
        <v>-</v>
      </c>
      <c r="M634" s="1188"/>
      <c r="N634" s="1185" t="str">
        <f>OBRA!AI636</f>
        <v>-</v>
      </c>
      <c r="O634" s="1185"/>
      <c r="P634" s="1185"/>
      <c r="Q634" s="1187"/>
      <c r="R634" s="437" t="str">
        <f>OBRA!AJ636</f>
        <v>-</v>
      </c>
      <c r="S634" s="535"/>
      <c r="T634" s="399" t="str">
        <f>OBRA!W636</f>
        <v xml:space="preserve">SERVICIOS Y CONSTRUCCIONES NATENIO, S.A. DE C.V. </v>
      </c>
      <c r="U634" s="408" t="str">
        <f>OBRA!X636</f>
        <v>C. DANIEL RODRIGUEZ VALENZUELA</v>
      </c>
      <c r="V634" s="1090"/>
      <c r="W634" s="19" t="str">
        <f>OBRA!N636</f>
        <v>GMJ 001 C-OP/2022</v>
      </c>
      <c r="X634" s="1402"/>
      <c r="Y634" s="1402"/>
      <c r="Z634" s="409" t="str">
        <f>OBRA!M636</f>
        <v>RAMO 33</v>
      </c>
      <c r="AA634" s="1402"/>
      <c r="AB634" s="2" t="str">
        <f>OBRA!O636</f>
        <v>ADJUDICACIÓN DIRECTA</v>
      </c>
      <c r="AC634" s="3" t="str">
        <f>OBRA!P636</f>
        <v>"REHABILITACIÓN DE RED DE AGUA POTABLE EN CALLE PRIVADA FRANCISCO VILLA ENTRE CALLE PRIMERO DE MAYO A CERRADA", EN LA LOCALIDAD DE LA LOMA, DEL MUNICIPIO DE JOCOTEPEC, JALISCO.</v>
      </c>
      <c r="AD634" s="4">
        <f>OBRA!R636</f>
        <v>98067.87</v>
      </c>
      <c r="AE634" s="6">
        <f>OBRA!S636</f>
        <v>44628</v>
      </c>
      <c r="AF634" s="5">
        <f>OBRA!T636</f>
        <v>44634</v>
      </c>
      <c r="AG634" s="390">
        <f>OBRA!U636</f>
        <v>44639</v>
      </c>
      <c r="AH634" s="880"/>
      <c r="AI634" s="161"/>
      <c r="AJ634" s="219"/>
      <c r="AK634" s="219"/>
      <c r="AL634" s="632"/>
      <c r="AM634" s="519">
        <f>GRAL!B901</f>
        <v>0</v>
      </c>
    </row>
    <row r="635" spans="1:39" ht="60" hidden="1">
      <c r="A635" s="158">
        <f>OBRA!J637</f>
        <v>2022</v>
      </c>
      <c r="B635" s="1683"/>
      <c r="C635" s="1360"/>
      <c r="D635" s="163"/>
      <c r="E635" s="1169"/>
      <c r="F635" s="1169"/>
      <c r="G635" s="1184"/>
      <c r="H635" s="1185" t="str">
        <f>OBRA!AF637</f>
        <v>-</v>
      </c>
      <c r="I635" s="1186"/>
      <c r="J635" s="1361" t="str">
        <f>OBRA!AG637</f>
        <v>-</v>
      </c>
      <c r="K635" s="1187"/>
      <c r="L635" s="1185" t="str">
        <f>OBRA!AH637</f>
        <v>-</v>
      </c>
      <c r="M635" s="1188"/>
      <c r="N635" s="1185" t="str">
        <f>OBRA!AI637</f>
        <v>-</v>
      </c>
      <c r="O635" s="1185"/>
      <c r="P635" s="1185"/>
      <c r="Q635" s="1187"/>
      <c r="R635" s="437" t="str">
        <f>OBRA!AJ637</f>
        <v>-</v>
      </c>
      <c r="S635" s="535"/>
      <c r="T635" s="399" t="str">
        <f>OBRA!W637</f>
        <v xml:space="preserve">DORIA &amp; SAMPIER CONSTRUCTORA, S.A. DE C.V. </v>
      </c>
      <c r="U635" s="408" t="str">
        <f>OBRA!X637</f>
        <v>C. DANIEL RODRIGUEZ VALENZUELA</v>
      </c>
      <c r="V635" s="1090"/>
      <c r="W635" s="19" t="str">
        <f>OBRA!N637</f>
        <v>GMJ 002 C-OP/2022</v>
      </c>
      <c r="X635" s="1402"/>
      <c r="Y635" s="1402"/>
      <c r="Z635" s="409" t="str">
        <f>OBRA!M637</f>
        <v>RAMO 33</v>
      </c>
      <c r="AA635" s="1402"/>
      <c r="AB635" s="2" t="str">
        <f>OBRA!O637</f>
        <v>ADJUDICACIÓN DIRECTA</v>
      </c>
      <c r="AC635" s="3" t="str">
        <f>OBRA!P637</f>
        <v>"REHABILITACIÓN DE LÍNEA DE DRENAJE, EN CALLE 1RO DE MAYO ENTRE CALLE CHAPULTEPEC Y CALLE 05 DE FEBRERO", EN LA AGENCIA DE LA LOMA, MUNICIPIO DE JOCOTEPEC, JALISCO.</v>
      </c>
      <c r="AD635" s="4">
        <f>OBRA!R637</f>
        <v>160513.82999999999</v>
      </c>
      <c r="AE635" s="6">
        <f>OBRA!S637</f>
        <v>44628</v>
      </c>
      <c r="AF635" s="5">
        <f>OBRA!T637</f>
        <v>44634</v>
      </c>
      <c r="AG635" s="390">
        <f>OBRA!U637</f>
        <v>44653</v>
      </c>
      <c r="AH635" s="880"/>
      <c r="AI635" s="161"/>
      <c r="AJ635" s="219"/>
      <c r="AK635" s="219"/>
      <c r="AL635" s="632"/>
      <c r="AM635" s="519">
        <f>GRAL!B902</f>
        <v>0</v>
      </c>
    </row>
    <row r="636" spans="1:39" ht="75" hidden="1">
      <c r="A636" s="158">
        <f>OBRA!J638</f>
        <v>2022</v>
      </c>
      <c r="B636" s="1683"/>
      <c r="C636" s="1360"/>
      <c r="D636" s="163"/>
      <c r="E636" s="1169"/>
      <c r="F636" s="1169"/>
      <c r="G636" s="1184"/>
      <c r="H636" s="1185" t="str">
        <f>OBRA!AF638</f>
        <v>-</v>
      </c>
      <c r="I636" s="1186"/>
      <c r="J636" s="1361" t="str">
        <f>OBRA!AG638</f>
        <v>-</v>
      </c>
      <c r="K636" s="1187"/>
      <c r="L636" s="1185" t="str">
        <f>OBRA!AH638</f>
        <v>-</v>
      </c>
      <c r="M636" s="1188"/>
      <c r="N636" s="1185" t="str">
        <f>OBRA!AI638</f>
        <v>-</v>
      </c>
      <c r="O636" s="1185"/>
      <c r="P636" s="1185"/>
      <c r="Q636" s="1187"/>
      <c r="R636" s="437" t="str">
        <f>OBRA!AJ638</f>
        <v>-</v>
      </c>
      <c r="S636" s="535"/>
      <c r="T636" s="399" t="str">
        <f>OBRA!W638</f>
        <v xml:space="preserve">DORIA &amp; SAMPIER CONSTRUCTORA, S.A. DE C.V. </v>
      </c>
      <c r="U636" s="408" t="str">
        <f>OBRA!X638</f>
        <v>C. DANIEL RODRIGUEZ VALENZUELA</v>
      </c>
      <c r="V636" s="1090"/>
      <c r="W636" s="19" t="str">
        <f>OBRA!N638</f>
        <v>GMJ 003 C-OP/2022</v>
      </c>
      <c r="X636" s="1402"/>
      <c r="Y636" s="1402"/>
      <c r="Z636" s="409" t="str">
        <f>OBRA!M638</f>
        <v>RAMO 33</v>
      </c>
      <c r="AA636" s="1402"/>
      <c r="AB636" s="2" t="str">
        <f>OBRA!O638</f>
        <v>ADJUDICACIÓN DIRECTA</v>
      </c>
      <c r="AC636" s="3" t="str">
        <f>OBRA!P638</f>
        <v>"REHABILITACIÓN DE DRENAJE SANITARIO DE 10" EN CALLE 14 DE FEBRERO Y/O CALLE 5 DE FEBRERO ENTRE CALLE 1RO DE MAYO Y CALLE 5 DE MAYO", EN LA AGENCIA DE LA LOMA, MUNICIPIO DE JOCOTEPEC, JALISCO.</v>
      </c>
      <c r="AD636" s="4">
        <f>OBRA!R638</f>
        <v>236056.39</v>
      </c>
      <c r="AE636" s="6">
        <f>OBRA!S638</f>
        <v>44628</v>
      </c>
      <c r="AF636" s="5">
        <f>OBRA!T638</f>
        <v>44634</v>
      </c>
      <c r="AG636" s="390">
        <f>OBRA!U638</f>
        <v>44653</v>
      </c>
      <c r="AH636" s="880"/>
      <c r="AI636" s="161"/>
      <c r="AJ636" s="219"/>
      <c r="AK636" s="219"/>
      <c r="AL636" s="632"/>
      <c r="AM636" s="519">
        <f>GRAL!B903</f>
        <v>0</v>
      </c>
    </row>
    <row r="637" spans="1:39" ht="165" hidden="1">
      <c r="A637" s="158">
        <f>OBRA!J639</f>
        <v>2022</v>
      </c>
      <c r="B637" s="1683"/>
      <c r="C637" s="1360"/>
      <c r="D637" s="163"/>
      <c r="E637" s="1169"/>
      <c r="F637" s="1169"/>
      <c r="G637" s="1184"/>
      <c r="H637" s="1185" t="str">
        <f>OBRA!AF639</f>
        <v>-</v>
      </c>
      <c r="I637" s="1186"/>
      <c r="J637" s="1361" t="str">
        <f>OBRA!AG639</f>
        <v>-</v>
      </c>
      <c r="K637" s="1187"/>
      <c r="L637" s="1185" t="str">
        <f>OBRA!AH639</f>
        <v>-</v>
      </c>
      <c r="M637" s="1188"/>
      <c r="N637" s="1185" t="str">
        <f>OBRA!AI639</f>
        <v>-</v>
      </c>
      <c r="O637" s="1185"/>
      <c r="P637" s="1185"/>
      <c r="Q637" s="1187"/>
      <c r="R637" s="437" t="str">
        <f>OBRA!AJ639</f>
        <v>-</v>
      </c>
      <c r="S637" s="535"/>
      <c r="T637" s="399" t="str">
        <f>OBRA!W639</f>
        <v>EDUARDO VENTURA PADILLA</v>
      </c>
      <c r="U637" s="408" t="str">
        <f>OBRA!X639</f>
        <v>ING. J. GUADALUPE IBARRA RAMIREZ</v>
      </c>
      <c r="V637" s="1090"/>
      <c r="W637" s="19" t="str">
        <f>OBRA!N639</f>
        <v>GMJ 004 C-OP/2022</v>
      </c>
      <c r="X637" s="1402"/>
      <c r="Y637" s="1402"/>
      <c r="Z637" s="409" t="str">
        <f>OBRA!M639</f>
        <v>RAMO 33</v>
      </c>
      <c r="AA637" s="1402"/>
      <c r="AB637" s="2" t="str">
        <f>OBRA!O639</f>
        <v>ADJUDICACIÓN DIRECTA</v>
      </c>
      <c r="AC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OBRA!R639</f>
        <v>2031883.8</v>
      </c>
      <c r="AE637" s="6">
        <f>OBRA!S639</f>
        <v>44690</v>
      </c>
      <c r="AF637" s="5">
        <f>OBRA!T639</f>
        <v>44692</v>
      </c>
      <c r="AG637" s="390">
        <f>OBRA!U639</f>
        <v>44765</v>
      </c>
      <c r="AH637" s="880"/>
      <c r="AI637" s="161"/>
      <c r="AJ637" s="219"/>
      <c r="AK637" s="219"/>
      <c r="AL637" s="632"/>
      <c r="AM637" s="519">
        <f>GRAL!B904</f>
        <v>0</v>
      </c>
    </row>
    <row r="638" spans="1:39" ht="60" hidden="1">
      <c r="A638" s="158">
        <f>OBRA!J640</f>
        <v>2022</v>
      </c>
      <c r="B638" s="1683"/>
      <c r="C638" s="1360"/>
      <c r="D638" s="163"/>
      <c r="E638" s="1169"/>
      <c r="F638" s="1169"/>
      <c r="G638" s="1184"/>
      <c r="H638" s="1185" t="str">
        <f>OBRA!AF640</f>
        <v>-</v>
      </c>
      <c r="I638" s="1186"/>
      <c r="J638" s="1361" t="str">
        <f>OBRA!AG640</f>
        <v>-</v>
      </c>
      <c r="K638" s="1187"/>
      <c r="L638" s="1185" t="str">
        <f>OBRA!AH640</f>
        <v>-</v>
      </c>
      <c r="M638" s="1188"/>
      <c r="N638" s="1185" t="str">
        <f>OBRA!AI640</f>
        <v>-</v>
      </c>
      <c r="O638" s="1185"/>
      <c r="P638" s="1185"/>
      <c r="Q638" s="1187"/>
      <c r="R638" s="437" t="str">
        <f>OBRA!AJ640</f>
        <v>-</v>
      </c>
      <c r="S638" s="535"/>
      <c r="T638" s="399" t="str">
        <f>OBRA!W640</f>
        <v>TERRACERÍAS Y PAVIMENTOS DE LA RIBERA, S.A. DE C.V.</v>
      </c>
      <c r="U638" s="408" t="str">
        <f>OBRA!X640</f>
        <v>C. DANIEL RODRIGUEZ VALENZUELA</v>
      </c>
      <c r="V638" s="1090"/>
      <c r="W638" s="19" t="str">
        <f>OBRA!N640</f>
        <v>GMJ 005 C-OP/2022</v>
      </c>
      <c r="X638" s="1402"/>
      <c r="Y638" s="1402"/>
      <c r="Z638" s="409" t="str">
        <f>OBRA!M640</f>
        <v>CUENTA CORRIENTE</v>
      </c>
      <c r="AA638" s="1402"/>
      <c r="AB638" s="2" t="str">
        <f>OBRA!O640</f>
        <v>ADJUDICACIÓN DIRECTA</v>
      </c>
      <c r="AC638" s="3" t="str">
        <f>OBRA!P640</f>
        <v>"REHABILITACIÓN DE RED DE DRENAJE EN LA CALLE MORELOS ENTRE RIVERA DEL LAGO Y MALECÓN", EN LA LOCALIDAD DE NEXTIPAC, DEL MUNICIPIO DE JOCOTEPEC, JALISCO.</v>
      </c>
      <c r="AD638" s="4">
        <f>OBRA!R640</f>
        <v>793754.52</v>
      </c>
      <c r="AE638" s="6">
        <f>OBRA!S640</f>
        <v>44704</v>
      </c>
      <c r="AF638" s="5">
        <f>OBRA!T640</f>
        <v>44705</v>
      </c>
      <c r="AG638" s="390">
        <f>OBRA!U640</f>
        <v>44712</v>
      </c>
      <c r="AH638" s="880"/>
      <c r="AI638" s="161"/>
      <c r="AJ638" s="219"/>
      <c r="AK638" s="219"/>
      <c r="AL638" s="632"/>
      <c r="AM638" s="519">
        <f>GRAL!B905</f>
        <v>0</v>
      </c>
    </row>
    <row r="639" spans="1:39" ht="75" hidden="1">
      <c r="A639" s="158">
        <f>OBRA!J641</f>
        <v>2022</v>
      </c>
      <c r="B639" s="1683"/>
      <c r="C639" s="1360"/>
      <c r="D639" s="163"/>
      <c r="E639" s="1169"/>
      <c r="F639" s="1169"/>
      <c r="G639" s="1184"/>
      <c r="H639" s="1185" t="str">
        <f>OBRA!AF641</f>
        <v>-</v>
      </c>
      <c r="I639" s="1186"/>
      <c r="J639" s="1361" t="str">
        <f>OBRA!AG641</f>
        <v>-</v>
      </c>
      <c r="K639" s="1187"/>
      <c r="L639" s="1185" t="str">
        <f>OBRA!AH641</f>
        <v>-</v>
      </c>
      <c r="M639" s="1188"/>
      <c r="N639" s="1185" t="str">
        <f>OBRA!AI641</f>
        <v>-</v>
      </c>
      <c r="O639" s="1185"/>
      <c r="P639" s="1185"/>
      <c r="Q639" s="1187"/>
      <c r="R639" s="437" t="str">
        <f>OBRA!AJ641</f>
        <v>-</v>
      </c>
      <c r="S639" s="535"/>
      <c r="T639" s="399" t="str">
        <f>OBRA!W641</f>
        <v>TERRACERÍAS Y PAVIMENTOS DE LA RIBERA, S.A. DE C.V.</v>
      </c>
      <c r="U639" s="408" t="str">
        <f>OBRA!X641</f>
        <v>C. DANIEL RODRIGUEZ VALENZUELA</v>
      </c>
      <c r="V639" s="1090"/>
      <c r="W639" s="19" t="str">
        <f>OBRA!N641</f>
        <v>GMJ 006 C-OP/2022</v>
      </c>
      <c r="X639" s="1402"/>
      <c r="Y639" s="1402"/>
      <c r="Z639" s="409" t="str">
        <f>OBRA!M641</f>
        <v>RAMO 33</v>
      </c>
      <c r="AA639" s="1402"/>
      <c r="AB639" s="2" t="str">
        <f>OBRA!O641</f>
        <v>ADJUDICACIÓN DIRECTA</v>
      </c>
      <c r="AC639" s="3" t="str">
        <f>OBRA!P641</f>
        <v>"REHABILITACIÓN DE ANDADOR, MURO DE CONTECIÓN Y ALUMBRADO PÚBLICO EN ANDADOR MORELOS ENTRE C. RIVERA DEL LAGO Y MALECÓN", EN LA LOCALIDAD DE NEXTIPAC, DEL MUNICIPIO DE JOCTEPEC, JALISCO.</v>
      </c>
      <c r="AD639" s="4">
        <f>OBRA!R641</f>
        <v>579637.71</v>
      </c>
      <c r="AE639" s="6">
        <f>OBRA!S641</f>
        <v>44704</v>
      </c>
      <c r="AF639" s="5">
        <f>OBRA!T641</f>
        <v>44712</v>
      </c>
      <c r="AG639" s="390">
        <f>OBRA!U641</f>
        <v>44722</v>
      </c>
      <c r="AH639" s="880"/>
      <c r="AI639" s="161"/>
      <c r="AJ639" s="219"/>
      <c r="AK639" s="219"/>
      <c r="AL639" s="632"/>
      <c r="AM639" s="519">
        <f>GRAL!B906</f>
        <v>0</v>
      </c>
    </row>
    <row r="640" spans="1:39" ht="75" hidden="1">
      <c r="A640" s="158">
        <f>OBRA!J642</f>
        <v>2022</v>
      </c>
      <c r="B640" s="1683"/>
      <c r="C640" s="1360"/>
      <c r="D640" s="163"/>
      <c r="E640" s="1169"/>
      <c r="F640" s="1169"/>
      <c r="G640" s="1184"/>
      <c r="H640" s="1185" t="str">
        <f>OBRA!AF642</f>
        <v>-</v>
      </c>
      <c r="I640" s="1186"/>
      <c r="J640" s="1361" t="str">
        <f>OBRA!AG642</f>
        <v>-</v>
      </c>
      <c r="K640" s="1187"/>
      <c r="L640" s="1185" t="str">
        <f>OBRA!AH642</f>
        <v>-</v>
      </c>
      <c r="M640" s="1188"/>
      <c r="N640" s="1185" t="str">
        <f>OBRA!AI642</f>
        <v>-</v>
      </c>
      <c r="O640" s="1185"/>
      <c r="P640" s="1185"/>
      <c r="Q640" s="1187"/>
      <c r="R640" s="437" t="str">
        <f>OBRA!AJ642</f>
        <v>-</v>
      </c>
      <c r="S640" s="535"/>
      <c r="T640" s="399" t="str">
        <f>OBRA!W642</f>
        <v>ESTRUCTURAS PLANEADAS DE OCCIDENTE, S.A. DE C.V.</v>
      </c>
      <c r="U640" s="408" t="str">
        <f>OBRA!X642</f>
        <v>C. DANIEL RODRIGUEZ VALENZUELA</v>
      </c>
      <c r="V640" s="1090"/>
      <c r="W640" s="19" t="str">
        <f>OBRA!N642</f>
        <v>GMJ 007 C-OP/2022</v>
      </c>
      <c r="X640" s="1402"/>
      <c r="Y640" s="1402"/>
      <c r="Z640" s="409" t="str">
        <f>OBRA!M642</f>
        <v>RAMO 33</v>
      </c>
      <c r="AA640" s="1402"/>
      <c r="AB640" s="2" t="str">
        <f>OBRA!O642</f>
        <v>ADJUDICACIÓN DIRECTA</v>
      </c>
      <c r="AC640" s="3" t="str">
        <f>OBRA!P642</f>
        <v>“CONSTRUCCIÓN DE DRENAJE SANITARIO, AGUA POTABLE Y SUPERFICIE DE RODAMIENTO EN PRIVADA GALEANA”, EN LA LOCALIDAD DE SAN JUAN COSALÁ, DEL MUNICIPIO DE JOCOTEPEC,JALISCO.</v>
      </c>
      <c r="AD640" s="4">
        <f>OBRA!R642</f>
        <v>627108.43000000005</v>
      </c>
      <c r="AE640" s="6">
        <f>OBRA!S642</f>
        <v>44704</v>
      </c>
      <c r="AF640" s="5">
        <f>OBRA!T642</f>
        <v>44705</v>
      </c>
      <c r="AG640" s="390">
        <f>OBRA!U642</f>
        <v>44742</v>
      </c>
      <c r="AH640" s="880"/>
      <c r="AI640" s="161"/>
      <c r="AJ640" s="219"/>
      <c r="AK640" s="219"/>
      <c r="AL640" s="632"/>
      <c r="AM640" s="519">
        <f>GRAL!B907</f>
        <v>0</v>
      </c>
    </row>
    <row r="641" spans="1:39" ht="75" hidden="1">
      <c r="A641" s="158">
        <f>OBRA!J643</f>
        <v>2022</v>
      </c>
      <c r="B641" s="1683"/>
      <c r="C641" s="1360"/>
      <c r="D641" s="163"/>
      <c r="E641" s="1169"/>
      <c r="F641" s="1169"/>
      <c r="G641" s="1184"/>
      <c r="H641" s="1185" t="str">
        <f>OBRA!AF643</f>
        <v>-</v>
      </c>
      <c r="I641" s="1186"/>
      <c r="J641" s="1361" t="str">
        <f>OBRA!AG643</f>
        <v>-</v>
      </c>
      <c r="K641" s="1187"/>
      <c r="L641" s="1185" t="str">
        <f>OBRA!AH643</f>
        <v>-</v>
      </c>
      <c r="M641" s="1188"/>
      <c r="N641" s="1185" t="str">
        <f>OBRA!AI643</f>
        <v>-</v>
      </c>
      <c r="O641" s="1185"/>
      <c r="P641" s="1185"/>
      <c r="Q641" s="1187"/>
      <c r="R641" s="437" t="str">
        <f>OBRA!AJ643</f>
        <v>-</v>
      </c>
      <c r="S641" s="535"/>
      <c r="T641" s="399" t="str">
        <f>OBRA!W643</f>
        <v xml:space="preserve">SERVICIOS Y CONSTRUCCIONES NATENIO, S.A. DE C.V. </v>
      </c>
      <c r="U641" s="408" t="str">
        <f>OBRA!X643</f>
        <v>C. DANIEL RODRIGUEZ VALENZUELA</v>
      </c>
      <c r="V641" s="1090"/>
      <c r="W641" s="19" t="str">
        <f>OBRA!N643</f>
        <v>GMJ 008 C-OP/2022</v>
      </c>
      <c r="X641" s="1402"/>
      <c r="Y641" s="1402"/>
      <c r="Z641" s="409" t="str">
        <f>OBRA!M643</f>
        <v>RAMO 33</v>
      </c>
      <c r="AA641" s="1402"/>
      <c r="AB641" s="2" t="str">
        <f>OBRA!O643</f>
        <v>ADJUDICACIÓN DIRECTA</v>
      </c>
      <c r="AC641" s="3" t="str">
        <f>OBRA!P643</f>
        <v>“REHABILITACIÓN DE LÍNEA DE DRENAJE SANITARIO  CON TUBERÍA DE 8” Y CONSTRUCCIÓN DE ANDADOR PEATONAL EN ARROYO CAMICHINES”, EN LA LOCALIDAD DE SAN JUAN COSALÁ, DEL MUNICIPIO DE JOCOTEPEC,JALISCO.</v>
      </c>
      <c r="AD641" s="4">
        <f>OBRA!R643</f>
        <v>168470.35</v>
      </c>
      <c r="AE641" s="6">
        <f>OBRA!S643</f>
        <v>44707</v>
      </c>
      <c r="AF641" s="5">
        <f>OBRA!T643</f>
        <v>44711</v>
      </c>
      <c r="AG641" s="390">
        <f>OBRA!U643</f>
        <v>44722</v>
      </c>
      <c r="AH641" s="880"/>
      <c r="AI641" s="161"/>
      <c r="AJ641" s="219"/>
      <c r="AK641" s="219"/>
      <c r="AL641" s="632"/>
      <c r="AM641" s="519">
        <f>GRAL!B908</f>
        <v>0</v>
      </c>
    </row>
    <row r="642" spans="1:39" ht="60" hidden="1">
      <c r="A642" s="158">
        <f>OBRA!J644</f>
        <v>2022</v>
      </c>
      <c r="B642" s="1683"/>
      <c r="C642" s="1360"/>
      <c r="D642" s="163"/>
      <c r="E642" s="1169"/>
      <c r="F642" s="1169"/>
      <c r="G642" s="1184"/>
      <c r="H642" s="1185" t="str">
        <f>OBRA!AF644</f>
        <v>-</v>
      </c>
      <c r="I642" s="1186"/>
      <c r="J642" s="1361" t="str">
        <f>OBRA!AG644</f>
        <v>-</v>
      </c>
      <c r="K642" s="1187"/>
      <c r="L642" s="1185" t="str">
        <f>OBRA!AH644</f>
        <v>-</v>
      </c>
      <c r="M642" s="1188"/>
      <c r="N642" s="1185" t="str">
        <f>OBRA!AI644</f>
        <v>-</v>
      </c>
      <c r="O642" s="1185"/>
      <c r="P642" s="1185"/>
      <c r="Q642" s="1187"/>
      <c r="R642" s="437" t="str">
        <f>OBRA!AJ644</f>
        <v>-</v>
      </c>
      <c r="S642" s="535"/>
      <c r="T642" s="399" t="str">
        <f>OBRA!W644</f>
        <v>SOLEC ENERGY, S.A. DE C.V.</v>
      </c>
      <c r="U642" s="408" t="str">
        <f>OBRA!X644</f>
        <v>C. DANIEL RODRIGUEZ VALENZUELA</v>
      </c>
      <c r="V642" s="1090"/>
      <c r="W642" s="19" t="str">
        <f>OBRA!N644</f>
        <v>GMJ 009 C-OP/2022</v>
      </c>
      <c r="X642" s="1402"/>
      <c r="Y642" s="1402"/>
      <c r="Z642" s="409" t="str">
        <f>OBRA!M644</f>
        <v>RAMO 33</v>
      </c>
      <c r="AA642" s="1402"/>
      <c r="AB642" s="2" t="str">
        <f>OBRA!O644</f>
        <v>ADJUDICACIÓN DIRECTA</v>
      </c>
      <c r="AC642" s="3" t="str">
        <f>OBRA!P644</f>
        <v>“PROYECTO, SUMINISTRO E INSTALACIÓN DE ALUMBRADO PÚBLICO EN CALLE PROLONGACIÓN MORELOS”, EN LA LOCALIDAD DE CHANTEPEC, DEL MUNICIPIO DE JOCOTEPEC, JALISCO</v>
      </c>
      <c r="AD642" s="4">
        <f>OBRA!R644</f>
        <v>809084.8</v>
      </c>
      <c r="AE642" s="6">
        <f>OBRA!S644</f>
        <v>44736</v>
      </c>
      <c r="AF642" s="5">
        <f>OBRA!T644</f>
        <v>44760</v>
      </c>
      <c r="AG642" s="390">
        <f>OBRA!U644</f>
        <v>44804</v>
      </c>
      <c r="AH642" s="880"/>
      <c r="AI642" s="161"/>
      <c r="AJ642" s="219"/>
      <c r="AK642" s="219"/>
      <c r="AL642" s="632"/>
      <c r="AM642" s="519">
        <f>GRAL!B909</f>
        <v>0</v>
      </c>
    </row>
    <row r="643" spans="1:39" ht="75" hidden="1">
      <c r="A643" s="158">
        <f>OBRA!J645</f>
        <v>2022</v>
      </c>
      <c r="B643" s="1683"/>
      <c r="C643" s="1360"/>
      <c r="D643" s="163"/>
      <c r="E643" s="1169"/>
      <c r="F643" s="1169"/>
      <c r="G643" s="1184"/>
      <c r="H643" s="1185" t="str">
        <f>OBRA!AF645</f>
        <v>-</v>
      </c>
      <c r="I643" s="1186"/>
      <c r="J643" s="1361" t="str">
        <f>OBRA!AG645</f>
        <v>-</v>
      </c>
      <c r="K643" s="1187"/>
      <c r="L643" s="1185" t="str">
        <f>OBRA!AH645</f>
        <v>-</v>
      </c>
      <c r="M643" s="1188"/>
      <c r="N643" s="1185" t="str">
        <f>OBRA!AI645</f>
        <v>-</v>
      </c>
      <c r="O643" s="1185"/>
      <c r="P643" s="1185"/>
      <c r="Q643" s="1187"/>
      <c r="R643" s="437" t="str">
        <f>OBRA!AJ645</f>
        <v>-</v>
      </c>
      <c r="S643" s="535"/>
      <c r="T643" s="399" t="str">
        <f>OBRA!W645</f>
        <v>ING. SERGIO CABRERA</v>
      </c>
      <c r="U643" s="408" t="str">
        <f>OBRA!X645</f>
        <v>C. DANIEL RODRIGUEZ VALENZUELA</v>
      </c>
      <c r="V643" s="1090"/>
      <c r="W643" s="19" t="str">
        <f>OBRA!N645</f>
        <v>GMJ 010 C-OP/2022</v>
      </c>
      <c r="X643" s="1402"/>
      <c r="Y643" s="1402"/>
      <c r="Z643" s="409" t="str">
        <f>OBRA!M645</f>
        <v>RAMO 33</v>
      </c>
      <c r="AA643" s="1402"/>
      <c r="AB643" s="2" t="str">
        <f>OBRA!O645</f>
        <v>ADJUDICACIÓN DIRECTA</v>
      </c>
      <c r="AC643" s="3" t="str">
        <f>OBRA!P645</f>
        <v>"PROYECTO DE CONSTRUCCIÓN DE TECHADO TIPO LONARIA EN AREA DE IMPARTICIÓN DE EDUCACIÓN FÍSICA EN LA ESCUELA CAM (CENTRO DE ATENCIÓN MULTIPLE GALLAUDET)" EN LA CABECERA MUNICIPAL DE JOCOTEPEC, JALISCO</v>
      </c>
      <c r="AD643" s="4">
        <f>OBRA!R645</f>
        <v>1697255.04</v>
      </c>
      <c r="AE643" s="6">
        <f>OBRA!S645</f>
        <v>44763</v>
      </c>
      <c r="AF643" s="5">
        <f>OBRA!T645</f>
        <v>44767</v>
      </c>
      <c r="AG643" s="390">
        <f>OBRA!U645</f>
        <v>44814</v>
      </c>
      <c r="AH643" s="880"/>
      <c r="AI643" s="161"/>
      <c r="AJ643" s="219"/>
      <c r="AK643" s="219"/>
      <c r="AL643" s="632"/>
      <c r="AM643" s="519">
        <f>GRAL!B910</f>
        <v>0</v>
      </c>
    </row>
    <row r="644" spans="1:39" ht="75" hidden="1">
      <c r="A644" s="158">
        <f>OBRA!J646</f>
        <v>2022</v>
      </c>
      <c r="B644" s="1683"/>
      <c r="C644" s="1360"/>
      <c r="D644" s="163"/>
      <c r="E644" s="1169"/>
      <c r="F644" s="1169"/>
      <c r="G644" s="1184"/>
      <c r="H644" s="1185" t="str">
        <f>OBRA!AF646</f>
        <v>-</v>
      </c>
      <c r="I644" s="1186"/>
      <c r="J644" s="1361" t="str">
        <f>OBRA!AG646</f>
        <v>-</v>
      </c>
      <c r="K644" s="1187"/>
      <c r="L644" s="1185" t="str">
        <f>OBRA!AH646</f>
        <v>-</v>
      </c>
      <c r="M644" s="1188"/>
      <c r="N644" s="1185" t="str">
        <f>OBRA!AI646</f>
        <v>-</v>
      </c>
      <c r="O644" s="1185"/>
      <c r="P644" s="1185"/>
      <c r="Q644" s="1187"/>
      <c r="R644" s="437" t="str">
        <f>OBRA!AJ646</f>
        <v>-</v>
      </c>
      <c r="S644" s="535"/>
      <c r="T644" s="399" t="str">
        <f>OBRA!W646</f>
        <v>ING. SERGIO CABRERA</v>
      </c>
      <c r="U644" s="408" t="str">
        <f>OBRA!X646</f>
        <v>ING. J. GUADALUPE IBARRA RAMIREZ</v>
      </c>
      <c r="V644" s="1090"/>
      <c r="W644" s="19" t="str">
        <f>OBRA!N646</f>
        <v>GMJ 011 C-OP/2022</v>
      </c>
      <c r="X644" s="1402"/>
      <c r="Y644" s="1402"/>
      <c r="Z644" s="409" t="str">
        <f>OBRA!M646</f>
        <v>CUENTA CORRIENTE</v>
      </c>
      <c r="AA644" s="1402"/>
      <c r="AB644" s="2" t="str">
        <f>OBRA!O646</f>
        <v>ADJUDICACIÓN DIRECTA</v>
      </c>
      <c r="AC644" s="3" t="str">
        <f>OBRA!P646</f>
        <v>"ELEVACIÓN DE NAVE EN RASTRO MUNICIPAL COMO COMPLEMENTO DE LA OBRA; SUMINISTRO E INSTALACIÓN DE EQUIPAMIENTO PARA RASTRO MUNICIPAL", EN LA CABECERA MUNICIPAL DE JOCOTEPEC, JALISCO</v>
      </c>
      <c r="AD644" s="4">
        <f>OBRA!R646</f>
        <v>1343062.53</v>
      </c>
      <c r="AE644" s="6">
        <f>OBRA!S646</f>
        <v>44767</v>
      </c>
      <c r="AF644" s="5">
        <f>OBRA!T646</f>
        <v>44770</v>
      </c>
      <c r="AG644" s="390">
        <f>OBRA!U646</f>
        <v>44814</v>
      </c>
      <c r="AH644" s="880"/>
      <c r="AI644" s="161"/>
      <c r="AJ644" s="219"/>
      <c r="AK644" s="219"/>
      <c r="AL644" s="632"/>
      <c r="AM644" s="519">
        <f>GRAL!B911</f>
        <v>0</v>
      </c>
    </row>
    <row r="645" spans="1:39" ht="60" hidden="1">
      <c r="A645" s="158">
        <f>OBRA!J647</f>
        <v>2022</v>
      </c>
      <c r="B645" s="1683"/>
      <c r="C645" s="1360"/>
      <c r="D645" s="163"/>
      <c r="E645" s="1169"/>
      <c r="F645" s="1169"/>
      <c r="G645" s="1184"/>
      <c r="H645" s="1185" t="str">
        <f>OBRA!AF647</f>
        <v>-</v>
      </c>
      <c r="I645" s="1186"/>
      <c r="J645" s="1361" t="str">
        <f>OBRA!AG647</f>
        <v>-</v>
      </c>
      <c r="K645" s="1187"/>
      <c r="L645" s="1185" t="str">
        <f>OBRA!AH647</f>
        <v>-</v>
      </c>
      <c r="M645" s="1188"/>
      <c r="N645" s="1185" t="str">
        <f>OBRA!AI647</f>
        <v>-</v>
      </c>
      <c r="O645" s="1185"/>
      <c r="P645" s="1185"/>
      <c r="Q645" s="1187"/>
      <c r="R645" s="437" t="str">
        <f>OBRA!AJ647</f>
        <v>-</v>
      </c>
      <c r="S645" s="535"/>
      <c r="T645" s="399" t="str">
        <f>OBRA!W647</f>
        <v>ESTRUCTURAS PLANEADAS DE OCCIDENTE, S.A. DE C.V.</v>
      </c>
      <c r="U645" s="408" t="str">
        <f>OBRA!X647</f>
        <v>ING. J. GUADALUPE IBARRA RAMIREZ</v>
      </c>
      <c r="V645" s="1090"/>
      <c r="W645" s="19" t="str">
        <f>OBRA!N647</f>
        <v>GMJ 012 C-OP/2022</v>
      </c>
      <c r="X645" s="1402"/>
      <c r="Y645" s="1402"/>
      <c r="Z645" s="409" t="str">
        <f>OBRA!M647</f>
        <v>CUENTA CORRIENTE</v>
      </c>
      <c r="AA645" s="1402"/>
      <c r="AB645" s="2" t="str">
        <f>OBRA!O647</f>
        <v>ADJUDICACIÓN DIRECTA</v>
      </c>
      <c r="AC645" s="3" t="str">
        <f>OBRA!P647</f>
        <v>"REPARACIÓN DE BANQUETA PERIMETRAL EN LA PLAZA PRINCIPAL" DE LA CABECERA MUNICPAL DE JOCOTEPEC, JALISCO.</v>
      </c>
      <c r="AD645" s="4">
        <f>OBRA!R647</f>
        <v>85733.34</v>
      </c>
      <c r="AE645" s="6">
        <f>OBRA!S647</f>
        <v>44816</v>
      </c>
      <c r="AF645" s="5">
        <f>OBRA!T647</f>
        <v>44817</v>
      </c>
      <c r="AG645" s="390">
        <f>OBRA!U647</f>
        <v>44834</v>
      </c>
      <c r="AH645" s="880"/>
      <c r="AI645" s="161"/>
      <c r="AJ645" s="219"/>
      <c r="AK645" s="219"/>
      <c r="AL645" s="632"/>
      <c r="AM645" s="519">
        <f>GRAL!B912</f>
        <v>0</v>
      </c>
    </row>
    <row r="646" spans="1:39" ht="238.5" customHeight="1">
      <c r="A646" s="158">
        <f>OBRA!J648</f>
        <v>2022</v>
      </c>
      <c r="B646" s="1685" t="str">
        <f>W646</f>
        <v>FAIS-RAMO/33-OP-CSS-013/2022</v>
      </c>
      <c r="C646" s="1271" t="s">
        <v>4584</v>
      </c>
      <c r="D646" s="1593" t="s">
        <v>5803</v>
      </c>
      <c r="E646" s="1598" t="s">
        <v>5804</v>
      </c>
      <c r="F646" s="601" t="s">
        <v>5520</v>
      </c>
      <c r="G646" s="503" t="s">
        <v>4584</v>
      </c>
      <c r="H646" s="580">
        <f>OBRA!AF648</f>
        <v>44796</v>
      </c>
      <c r="I646" s="502" t="s">
        <v>4584</v>
      </c>
      <c r="J646" s="581">
        <f>OBRA!AG648</f>
        <v>44798</v>
      </c>
      <c r="K646" s="524" t="s">
        <v>4584</v>
      </c>
      <c r="L646" s="580">
        <f>OBRA!AH648</f>
        <v>44799</v>
      </c>
      <c r="M646" s="546" t="s">
        <v>4584</v>
      </c>
      <c r="N646" s="166">
        <f>OBRA!AI648</f>
        <v>44804</v>
      </c>
      <c r="O646" s="166" t="s">
        <v>4590</v>
      </c>
      <c r="P646" s="1927">
        <v>0.41666666666666669</v>
      </c>
      <c r="Q646" s="524" t="s">
        <v>4584</v>
      </c>
      <c r="R646" s="205">
        <f>OBRA!AJ648</f>
        <v>44796</v>
      </c>
      <c r="S646" s="1333" t="s">
        <v>4591</v>
      </c>
      <c r="T646" s="148" t="str">
        <f>OBRA!W648</f>
        <v>PIERO MASCORRO OLMOS</v>
      </c>
      <c r="U646" s="55" t="str">
        <f>OBRA!X648</f>
        <v>C. DANIEL RODRIGUEZ VALENZUELA</v>
      </c>
      <c r="V646" s="146"/>
      <c r="W646" s="33" t="str">
        <f>OBRA!N648</f>
        <v>FAIS-RAMO/33-OP-CSS-013/2022</v>
      </c>
      <c r="X646" s="501" t="s">
        <v>4563</v>
      </c>
      <c r="Y646" s="1928" t="s">
        <v>4570</v>
      </c>
      <c r="Z646" s="12" t="str">
        <f>OBRA!M648</f>
        <v>RAMO 33</v>
      </c>
      <c r="AA646" s="12" t="s">
        <v>2360</v>
      </c>
      <c r="AB646" s="2" t="str">
        <f>OBRA!O648</f>
        <v>CONCURSO SIMPLIFICADO SUMARIO</v>
      </c>
      <c r="AC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OBRA!R648</f>
        <v>4165845.27</v>
      </c>
      <c r="AE646" s="67">
        <f>OBRA!S648</f>
        <v>44810</v>
      </c>
      <c r="AF646" s="5">
        <f>OBRA!T648</f>
        <v>44812</v>
      </c>
      <c r="AG646" s="11">
        <f>OBRA!U648</f>
        <v>44834</v>
      </c>
      <c r="AH646" s="207" t="s">
        <v>4445</v>
      </c>
      <c r="AI646" s="12"/>
      <c r="AJ646" s="495" t="s">
        <v>4584</v>
      </c>
      <c r="AK646" s="495" t="s">
        <v>4584</v>
      </c>
      <c r="AL646" s="704" t="s">
        <v>4584</v>
      </c>
      <c r="AM646" s="13" t="str">
        <f>GRAL!B650</f>
        <v>2021-2024</v>
      </c>
    </row>
    <row r="647" spans="1:39" ht="163.5" customHeight="1">
      <c r="A647" s="158">
        <f>OBRA!J649</f>
        <v>2022</v>
      </c>
      <c r="B647" s="1685" t="str">
        <f>W647</f>
        <v>FAIS-RAMO/33-OP-CSS-014/2022</v>
      </c>
      <c r="C647" s="1271" t="s">
        <v>4587</v>
      </c>
      <c r="D647" s="1593" t="s">
        <v>5803</v>
      </c>
      <c r="E647" s="1598" t="s">
        <v>5804</v>
      </c>
      <c r="F647" s="601" t="s">
        <v>5520</v>
      </c>
      <c r="G647" s="503" t="s">
        <v>4587</v>
      </c>
      <c r="H647" s="580">
        <f>OBRA!AF649</f>
        <v>44830</v>
      </c>
      <c r="I647" s="502" t="s">
        <v>4587</v>
      </c>
      <c r="J647" s="581">
        <f>OBRA!AG649</f>
        <v>44832</v>
      </c>
      <c r="K647" s="524" t="s">
        <v>4587</v>
      </c>
      <c r="L647" s="580">
        <f>OBRA!AH649</f>
        <v>44832</v>
      </c>
      <c r="M647" s="546" t="s">
        <v>4587</v>
      </c>
      <c r="N647" s="166">
        <f>OBRA!AI649</f>
        <v>44837</v>
      </c>
      <c r="O647" s="166" t="s">
        <v>4590</v>
      </c>
      <c r="P647" s="1927">
        <v>0.41666666666666669</v>
      </c>
      <c r="Q647" s="524" t="s">
        <v>4587</v>
      </c>
      <c r="R647" s="205">
        <f>OBRA!AJ649</f>
        <v>44839</v>
      </c>
      <c r="S647" s="1333" t="s">
        <v>4592</v>
      </c>
      <c r="T647" s="148" t="str">
        <f>OBRA!W649</f>
        <v>RAMPER DRILLINGS S.A. DE C.V.</v>
      </c>
      <c r="U647" s="55" t="str">
        <f>OBRA!X649</f>
        <v>ING. J. GUADALUPE IBARRA RAMIREZ</v>
      </c>
      <c r="V647" s="146"/>
      <c r="W647" s="33" t="str">
        <f>OBRA!N649</f>
        <v>FAIS-RAMO/33-OP-CSS-014/2022</v>
      </c>
      <c r="X647" s="501" t="s">
        <v>4563</v>
      </c>
      <c r="Y647" s="1928" t="s">
        <v>4571</v>
      </c>
      <c r="Z647" s="12" t="str">
        <f>OBRA!M649</f>
        <v>RAMO 33</v>
      </c>
      <c r="AA647" s="12" t="s">
        <v>2360</v>
      </c>
      <c r="AB647" s="2" t="str">
        <f>OBRA!O649</f>
        <v>CONCURSO SIMPLIFICADO SUMARIO</v>
      </c>
      <c r="AC647" s="3" t="str">
        <f>OBRA!P649</f>
        <v>"PERFORACIÓN, EQUIPAMIENTO, ELECTRIFICACIÓN, TREN DE DESCARGA, CASETA DE CLORACIÓN, CERCADO PERIMETRAL Y PUESTA EN MARCHA DEL POZO DE AGUA EN CALLE JUAN PABLO II, EN LA LOCALIDAD DE SAN JUAN COSALÁ, MUNICIPIO DE JOCOTEPEC,  JALISCO.</v>
      </c>
      <c r="AD647" s="79">
        <f>OBRA!R649</f>
        <v>4216204.78</v>
      </c>
      <c r="AE647" s="67">
        <f>OBRA!S649</f>
        <v>44839</v>
      </c>
      <c r="AF647" s="5">
        <f>OBRA!T649</f>
        <v>44847</v>
      </c>
      <c r="AG647" s="11">
        <f>OBRA!U649</f>
        <v>44895</v>
      </c>
      <c r="AH647" s="207" t="s">
        <v>4445</v>
      </c>
      <c r="AI647" s="12"/>
      <c r="AJ647" s="495" t="s">
        <v>4587</v>
      </c>
      <c r="AK647" s="495" t="s">
        <v>4587</v>
      </c>
      <c r="AL647" s="704" t="s">
        <v>4587</v>
      </c>
      <c r="AM647" s="13" t="str">
        <f>GRAL!B651</f>
        <v>2021-2024</v>
      </c>
    </row>
    <row r="648" spans="1:39" ht="160.5" customHeight="1">
      <c r="A648" s="158">
        <f>OBRA!J650</f>
        <v>2022</v>
      </c>
      <c r="B648" s="1685" t="str">
        <f>W648</f>
        <v>PROGRAMA CUENTA CORRIENTE-OP-CSS-015/2022</v>
      </c>
      <c r="C648" s="1271" t="s">
        <v>4587</v>
      </c>
      <c r="D648" s="1593" t="s">
        <v>5803</v>
      </c>
      <c r="E648" s="1598" t="s">
        <v>5804</v>
      </c>
      <c r="F648" s="601" t="s">
        <v>5520</v>
      </c>
      <c r="G648" s="503" t="s">
        <v>4588</v>
      </c>
      <c r="H648" s="580">
        <f>OBRA!AF650</f>
        <v>44830</v>
      </c>
      <c r="I648" s="502" t="s">
        <v>4587</v>
      </c>
      <c r="J648" s="581">
        <f>OBRA!AG650</f>
        <v>44832</v>
      </c>
      <c r="K648" s="524" t="s">
        <v>4587</v>
      </c>
      <c r="L648" s="580">
        <f>OBRA!AH650</f>
        <v>44832</v>
      </c>
      <c r="M648" s="546" t="s">
        <v>4588</v>
      </c>
      <c r="N648" s="166">
        <f>OBRA!AI650</f>
        <v>44837</v>
      </c>
      <c r="O648" s="166" t="s">
        <v>4590</v>
      </c>
      <c r="P648" s="1927">
        <v>0.5</v>
      </c>
      <c r="Q648" s="524" t="s">
        <v>4588</v>
      </c>
      <c r="R648" s="205">
        <f>OBRA!AJ650</f>
        <v>44839</v>
      </c>
      <c r="S648" s="1333" t="s">
        <v>4593</v>
      </c>
      <c r="T648" s="148" t="str">
        <f>OBRA!W650</f>
        <v>GRUPO ARANGE, S.A. DE C.V.</v>
      </c>
      <c r="U648" s="55" t="str">
        <f>OBRA!X650</f>
        <v>ING. J. GUADALUPE IBARRA RAMIREZ</v>
      </c>
      <c r="V648" s="146"/>
      <c r="W648" s="33" t="str">
        <f>OBRA!N650</f>
        <v>PROGRAMA CUENTA CORRIENTE-OP-CSS-015/2022</v>
      </c>
      <c r="X648" s="501" t="s">
        <v>4563</v>
      </c>
      <c r="Y648" s="1928" t="s">
        <v>4572</v>
      </c>
      <c r="Z648" s="412" t="str">
        <f>OBRA!M650</f>
        <v>CUENTA CORRIENTE</v>
      </c>
      <c r="AA648" s="12" t="s">
        <v>2320</v>
      </c>
      <c r="AB648" s="2" t="str">
        <f>OBRA!O650</f>
        <v>CONCURSO SIMPLIFICADO SUMARIO</v>
      </c>
      <c r="AC648" s="3" t="str">
        <f>OBRA!P650</f>
        <v>"PERFORACIÓN, EQUIPAMIENTO, ELECTRIFICACIÓN, TREN DE DESCARGA, CASETA DE CLORACIÓN, CERCADO PERIMETRAL Y PUESTA EN MARCHA DEL POZO DE AGUA EN LA LOCALIDAD DE CHANTEPEC, MUNICIPIO DE JOCOTEPEC, JALISCO.</v>
      </c>
      <c r="AD648" s="79">
        <f>OBRA!R650</f>
        <v>3845696.93</v>
      </c>
      <c r="AE648" s="67">
        <f>OBRA!S650</f>
        <v>44839</v>
      </c>
      <c r="AF648" s="5">
        <f>OBRA!T650</f>
        <v>44847</v>
      </c>
      <c r="AG648" s="11">
        <f>OBRA!U650</f>
        <v>44895</v>
      </c>
      <c r="AH648" s="207" t="s">
        <v>4445</v>
      </c>
      <c r="AI648" s="12"/>
      <c r="AJ648" s="2" t="s">
        <v>1177</v>
      </c>
      <c r="AK648" s="495" t="s">
        <v>4587</v>
      </c>
      <c r="AL648" s="704" t="s">
        <v>4587</v>
      </c>
      <c r="AM648" s="13" t="str">
        <f>GRAL!B652</f>
        <v>2021-2024</v>
      </c>
    </row>
    <row r="649" spans="1:39" ht="75" hidden="1">
      <c r="A649" s="158">
        <f>OBRA!J651</f>
        <v>2022</v>
      </c>
      <c r="B649" s="1683"/>
      <c r="C649" s="1360"/>
      <c r="D649" s="163"/>
      <c r="E649" s="1169"/>
      <c r="F649" s="1169"/>
      <c r="G649" s="1184"/>
      <c r="H649" s="1185" t="str">
        <f>OBRA!AF651</f>
        <v>-</v>
      </c>
      <c r="I649" s="1186"/>
      <c r="J649" s="1361" t="str">
        <f>OBRA!AG651</f>
        <v>-</v>
      </c>
      <c r="K649" s="1187"/>
      <c r="L649" s="1185" t="str">
        <f>OBRA!AH651</f>
        <v>-</v>
      </c>
      <c r="M649" s="1188"/>
      <c r="N649" s="1185" t="str">
        <f>OBRA!AI651</f>
        <v>-</v>
      </c>
      <c r="O649" s="1185"/>
      <c r="P649" s="1185"/>
      <c r="Q649" s="1187"/>
      <c r="R649" s="437" t="str">
        <f>OBRA!AJ651</f>
        <v>-</v>
      </c>
      <c r="S649" s="535"/>
      <c r="T649" s="399" t="str">
        <f>OBRA!W651</f>
        <v xml:space="preserve">INFRAESTRUCTURA Y EDIFICACIONES OROZCO S.A. DE C.V. </v>
      </c>
      <c r="U649" s="408" t="str">
        <f>OBRA!X651</f>
        <v>C. DANIEL RODRIGUEZ VALENZUELA</v>
      </c>
      <c r="V649" s="1090"/>
      <c r="W649" s="33" t="str">
        <f>OBRA!N651</f>
        <v>GMJ 016 C-OP/2022</v>
      </c>
      <c r="X649" s="1402"/>
      <c r="Y649" s="1402"/>
      <c r="Z649" s="409" t="str">
        <f>OBRA!M651</f>
        <v>RAMO 33</v>
      </c>
      <c r="AA649" s="1402"/>
      <c r="AB649" s="2" t="str">
        <f>OBRA!O651</f>
        <v>ADJUDICACIÓN DIRECTA</v>
      </c>
      <c r="AC649" s="3" t="str">
        <f>OBRA!P651</f>
        <v>"REHABILITACIÓN DE REDES HIDROSANITARIAS DE CALLE RIVERA DEL LAGO DE CALLE GUAYABITOS A 130 ML A LA CALLE CHUECA", EN LA LOCALIDAD DE NEXTIPAC, DEL MUNICIPIO DE JOCOTEPEC, JALISCO.</v>
      </c>
      <c r="AD649" s="4">
        <f>OBRA!R651</f>
        <v>645484.5</v>
      </c>
      <c r="AE649" s="6">
        <f>OBRA!S651</f>
        <v>44851</v>
      </c>
      <c r="AF649" s="5">
        <f>OBRA!T651</f>
        <v>44865</v>
      </c>
      <c r="AG649" s="390">
        <f>OBRA!U651</f>
        <v>44883</v>
      </c>
      <c r="AH649" s="880"/>
      <c r="AI649" s="161"/>
      <c r="AJ649" s="219"/>
      <c r="AK649" s="219"/>
      <c r="AL649" s="632"/>
      <c r="AM649" s="519">
        <f>GRAL!B916</f>
        <v>0</v>
      </c>
    </row>
    <row r="650" spans="1:39" ht="216">
      <c r="A650" s="158">
        <f>OBRA!J652</f>
        <v>2022</v>
      </c>
      <c r="B650" s="1685" t="str">
        <f>W650</f>
        <v>FAIS-RAMO/33-OP-CSS-017/2022</v>
      </c>
      <c r="C650" s="1271" t="s">
        <v>4589</v>
      </c>
      <c r="D650" s="1593" t="s">
        <v>5803</v>
      </c>
      <c r="E650" s="1598" t="s">
        <v>5804</v>
      </c>
      <c r="F650" s="601" t="s">
        <v>5520</v>
      </c>
      <c r="G650" s="503" t="s">
        <v>4589</v>
      </c>
      <c r="H650" s="580">
        <f>OBRA!AF652</f>
        <v>44848</v>
      </c>
      <c r="I650" s="502" t="s">
        <v>4589</v>
      </c>
      <c r="J650" s="581">
        <f>OBRA!AG652</f>
        <v>44851</v>
      </c>
      <c r="K650" s="524" t="s">
        <v>4589</v>
      </c>
      <c r="L650" s="580">
        <f>OBRA!AH652</f>
        <v>44851</v>
      </c>
      <c r="M650" s="546" t="s">
        <v>4589</v>
      </c>
      <c r="N650" s="166">
        <f>OBRA!AI652</f>
        <v>44855</v>
      </c>
      <c r="O650" s="166" t="s">
        <v>4590</v>
      </c>
      <c r="P650" s="1927">
        <v>0.5</v>
      </c>
      <c r="Q650" s="524" t="s">
        <v>4589</v>
      </c>
      <c r="R650" s="205">
        <f>OBRA!AJ652</f>
        <v>44858</v>
      </c>
      <c r="S650" s="1333" t="s">
        <v>4837</v>
      </c>
      <c r="T650" s="148" t="str">
        <f>OBRA!W652</f>
        <v>C. JOSÉ LUIS RANGEL GÁLVEZ</v>
      </c>
      <c r="U650" s="55" t="str">
        <f>OBRA!X652</f>
        <v>C. DANIEL RODRIGUEZ VALENZUELA</v>
      </c>
      <c r="V650" s="146"/>
      <c r="W650" s="33" t="str">
        <f>OBRA!N652</f>
        <v>FAIS-RAMO/33-OP-CSS-017/2022</v>
      </c>
      <c r="X650" s="501" t="s">
        <v>4563</v>
      </c>
      <c r="Y650" s="1202" t="s">
        <v>4573</v>
      </c>
      <c r="Z650" s="12" t="str">
        <f>OBRA!M652</f>
        <v>RAMO 33</v>
      </c>
      <c r="AA650" s="12" t="s">
        <v>2360</v>
      </c>
      <c r="AB650" s="2" t="str">
        <f>OBRA!O652</f>
        <v>CONCURSO SIMPLIFICADO SUMARIO</v>
      </c>
      <c r="AC650" s="3" t="str">
        <f>OBRA!P652</f>
        <v>REHABILITACIÓN DE REDES HIDROSANITARIAS Y SUPERFICIE DE RODAMIENTO DE LA CALLE INDEPENDENCIA NORTE ENTRE CALLE ITURBIDE Y CALLE ALDAMA", EN LA CABECERA MUNICIPAL DE JOCOTEPEC, JALISCO.</v>
      </c>
      <c r="AD650" s="79">
        <f>OBRA!R652</f>
        <v>2479806.63</v>
      </c>
      <c r="AE650" s="67">
        <f>OBRA!S652</f>
        <v>44859</v>
      </c>
      <c r="AF650" s="5">
        <f>OBRA!T652</f>
        <v>44862</v>
      </c>
      <c r="AG650" s="11">
        <f>OBRA!U652</f>
        <v>44898</v>
      </c>
      <c r="AH650" s="207" t="s">
        <v>4445</v>
      </c>
      <c r="AI650" s="12"/>
      <c r="AJ650" s="495" t="s">
        <v>4589</v>
      </c>
      <c r="AK650" s="495" t="s">
        <v>4589</v>
      </c>
      <c r="AL650" s="704" t="s">
        <v>4589</v>
      </c>
      <c r="AM650" s="13" t="str">
        <f>GRAL!B654</f>
        <v>2021-2024</v>
      </c>
    </row>
    <row r="651" spans="1:39" ht="204">
      <c r="A651" s="158">
        <f>OBRA!J653</f>
        <v>2022</v>
      </c>
      <c r="B651" s="1685" t="str">
        <f>W651</f>
        <v>FAIS-RAMO/33-OP-CSS-018/2022</v>
      </c>
      <c r="C651" s="1271" t="s">
        <v>4586</v>
      </c>
      <c r="D651" s="1593" t="s">
        <v>6454</v>
      </c>
      <c r="E651" s="1598" t="s">
        <v>5804</v>
      </c>
      <c r="F651" s="601" t="s">
        <v>5520</v>
      </c>
      <c r="G651" s="503" t="s">
        <v>4586</v>
      </c>
      <c r="H651" s="580">
        <f>OBRA!AF653</f>
        <v>44848</v>
      </c>
      <c r="I651" s="502" t="s">
        <v>4586</v>
      </c>
      <c r="J651" s="581">
        <f>OBRA!AG653</f>
        <v>44851</v>
      </c>
      <c r="K651" s="524" t="s">
        <v>4586</v>
      </c>
      <c r="L651" s="580">
        <f>OBRA!AH653</f>
        <v>44851</v>
      </c>
      <c r="M651" s="546" t="s">
        <v>4586</v>
      </c>
      <c r="N651" s="166">
        <f>OBRA!AI653</f>
        <v>44855</v>
      </c>
      <c r="O651" s="166" t="s">
        <v>4590</v>
      </c>
      <c r="P651" s="1927">
        <v>0.41666666666666669</v>
      </c>
      <c r="Q651" s="524" t="s">
        <v>4586</v>
      </c>
      <c r="R651" s="205">
        <f>OBRA!AJ653</f>
        <v>44858</v>
      </c>
      <c r="S651" s="1333" t="s">
        <v>4594</v>
      </c>
      <c r="T651" s="148" t="str">
        <f>OBRA!W653</f>
        <v>C. REFUGIO GUTIÉRREZ NIEVES</v>
      </c>
      <c r="U651" s="55" t="str">
        <f>OBRA!X653</f>
        <v>C. DANIEL RODRIGUEZ VALENZUELA</v>
      </c>
      <c r="V651" s="146"/>
      <c r="W651" s="33" t="str">
        <f>OBRA!N653</f>
        <v>FAIS-RAMO/33-OP-CSS-018/2022</v>
      </c>
      <c r="X651" s="501" t="s">
        <v>4563</v>
      </c>
      <c r="Y651" s="1202" t="s">
        <v>4574</v>
      </c>
      <c r="Z651" s="12" t="str">
        <f>OBRA!M653</f>
        <v>RAMO 33</v>
      </c>
      <c r="AA651" s="12" t="s">
        <v>2360</v>
      </c>
      <c r="AB651" s="2" t="str">
        <f>OBRA!O653</f>
        <v>CONCURSO SIMPLIFICADO SUMARIO</v>
      </c>
      <c r="AC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OBRA!R653</f>
        <v>2218847.77</v>
      </c>
      <c r="AE651" s="67">
        <f>OBRA!S653</f>
        <v>44859</v>
      </c>
      <c r="AF651" s="5">
        <f>OBRA!T653</f>
        <v>44862</v>
      </c>
      <c r="AG651" s="11">
        <f>OBRA!U653</f>
        <v>44898</v>
      </c>
      <c r="AH651" s="207" t="s">
        <v>4445</v>
      </c>
      <c r="AI651" s="12"/>
      <c r="AJ651" s="495" t="s">
        <v>4586</v>
      </c>
      <c r="AK651" s="495" t="s">
        <v>4586</v>
      </c>
      <c r="AL651" s="704" t="s">
        <v>4586</v>
      </c>
      <c r="AM651" s="13" t="str">
        <f>GRAL!B655</f>
        <v>2021-2024</v>
      </c>
    </row>
    <row r="652" spans="1:39" ht="75" hidden="1" customHeight="1">
      <c r="A652" s="158">
        <f>OBRA!J654</f>
        <v>2022</v>
      </c>
      <c r="B652" s="1683"/>
      <c r="C652" s="1360"/>
      <c r="D652" s="163"/>
      <c r="E652" s="1169"/>
      <c r="F652" s="1169"/>
      <c r="G652" s="1184"/>
      <c r="H652" s="1185" t="str">
        <f>OBRA!AF654</f>
        <v>-</v>
      </c>
      <c r="I652" s="1186"/>
      <c r="J652" s="1361" t="str">
        <f>OBRA!AG654</f>
        <v>-</v>
      </c>
      <c r="K652" s="1187"/>
      <c r="L652" s="1185" t="str">
        <f>OBRA!AH654</f>
        <v>-</v>
      </c>
      <c r="M652" s="1188"/>
      <c r="N652" s="1185" t="str">
        <f>OBRA!AI654</f>
        <v>-</v>
      </c>
      <c r="O652" s="1185"/>
      <c r="P652" s="1185"/>
      <c r="Q652" s="1187"/>
      <c r="R652" s="437" t="str">
        <f>OBRA!AJ654</f>
        <v>-</v>
      </c>
      <c r="S652" s="535"/>
      <c r="T652" s="399" t="str">
        <f>OBRA!W654</f>
        <v>ESTRUCTURAS PLANEADAS DE OCCIDENTE, S.A. DE C.V.</v>
      </c>
      <c r="U652" s="408" t="str">
        <f>OBRA!X654</f>
        <v>C. DANIEL RODRIGUEZ VALENZUELA</v>
      </c>
      <c r="V652" s="1090"/>
      <c r="W652" s="19" t="str">
        <f>OBRA!N654</f>
        <v>GMJ 019 C-OP/2022</v>
      </c>
      <c r="X652" s="1402"/>
      <c r="Y652" s="1402"/>
      <c r="Z652" s="409" t="str">
        <f>OBRA!M654</f>
        <v>RAMO 33</v>
      </c>
      <c r="AA652" s="1402"/>
      <c r="AB652" s="2" t="str">
        <f>OBRA!O654</f>
        <v>ADJUDICACIÓN DIRECTA</v>
      </c>
      <c r="AC652" s="3" t="str">
        <f>OBRA!P654</f>
        <v>“CONSTRUCCIÓN DE REDES HIDROSANITARÍAS EN CALLE PRIV. JUAN PABLO II”, EN LA LOCALIDAD DE SAN JUAN COSALÁ, DEL MUNICIPIO DE JOCOTEPEC, JALISCO</v>
      </c>
      <c r="AD652" s="4">
        <f>OBRA!R654</f>
        <v>762057.5</v>
      </c>
      <c r="AE652" s="6">
        <f>OBRA!S654</f>
        <v>44872</v>
      </c>
      <c r="AF652" s="5">
        <f>OBRA!T654</f>
        <v>44889</v>
      </c>
      <c r="AG652" s="390">
        <f>OBRA!U654</f>
        <v>44900</v>
      </c>
      <c r="AH652" s="880"/>
      <c r="AI652" s="161"/>
      <c r="AJ652" s="219"/>
      <c r="AK652" s="219"/>
      <c r="AL652" s="632"/>
      <c r="AM652" s="519">
        <f>GRAL!B919</f>
        <v>0</v>
      </c>
    </row>
    <row r="653" spans="1:39" ht="26.25" hidden="1" customHeight="1">
      <c r="A653" s="158">
        <f>OBRA!J655</f>
        <v>2022</v>
      </c>
      <c r="B653" s="1683"/>
      <c r="C653" s="1360"/>
      <c r="D653" s="163"/>
      <c r="E653" s="1169"/>
      <c r="F653" s="1169"/>
      <c r="G653" s="1184"/>
      <c r="H653" s="1185">
        <f>OBRA!AF655</f>
        <v>0</v>
      </c>
      <c r="I653" s="1186"/>
      <c r="J653" s="1361">
        <f>OBRA!AG655</f>
        <v>0</v>
      </c>
      <c r="K653" s="1187"/>
      <c r="L653" s="1185">
        <f>OBRA!AH655</f>
        <v>0</v>
      </c>
      <c r="M653" s="1188"/>
      <c r="N653" s="1185">
        <f>OBRA!AI655</f>
        <v>0</v>
      </c>
      <c r="O653" s="1185"/>
      <c r="P653" s="1185"/>
      <c r="Q653" s="1187"/>
      <c r="R653" s="437">
        <f>OBRA!AJ655</f>
        <v>0</v>
      </c>
      <c r="S653" s="535"/>
      <c r="T653" s="399">
        <f>OBRA!W655</f>
        <v>0</v>
      </c>
      <c r="U653" s="408">
        <f>OBRA!X655</f>
        <v>0</v>
      </c>
      <c r="V653" s="1090"/>
      <c r="W653" s="19" t="str">
        <f>OBRA!N655</f>
        <v>GMJ 020 C-OP/2022</v>
      </c>
      <c r="X653" s="1402"/>
      <c r="Y653" s="1402"/>
      <c r="Z653" s="409">
        <f>OBRA!M655</f>
        <v>0</v>
      </c>
      <c r="AA653" s="1402"/>
      <c r="AB653" s="2" t="str">
        <f>OBRA!O655</f>
        <v>CANCELADA</v>
      </c>
      <c r="AC653" s="3">
        <f>OBRA!P655</f>
        <v>0</v>
      </c>
      <c r="AD653" s="4">
        <f>OBRA!R655</f>
        <v>0</v>
      </c>
      <c r="AE653" s="6">
        <f>OBRA!S655</f>
        <v>0</v>
      </c>
      <c r="AF653" s="5">
        <f>OBRA!T655</f>
        <v>0</v>
      </c>
      <c r="AG653" s="390">
        <f>OBRA!U655</f>
        <v>0</v>
      </c>
      <c r="AH653" s="880"/>
      <c r="AI653" s="161"/>
      <c r="AJ653" s="219"/>
      <c r="AK653" s="219"/>
      <c r="AL653" s="632"/>
      <c r="AM653" s="519">
        <f>GRAL!B920</f>
        <v>0</v>
      </c>
    </row>
    <row r="654" spans="1:39" ht="15" hidden="1" customHeight="1">
      <c r="A654" s="158">
        <f>OBRA!J656</f>
        <v>2022</v>
      </c>
      <c r="B654" s="1683"/>
      <c r="C654" s="1360"/>
      <c r="D654" s="163"/>
      <c r="E654" s="1169"/>
      <c r="F654" s="1169"/>
      <c r="G654" s="1184"/>
      <c r="H654" s="1185" t="str">
        <f>OBRA!AF656</f>
        <v>-</v>
      </c>
      <c r="I654" s="1186"/>
      <c r="J654" s="1361" t="str">
        <f>OBRA!AG656</f>
        <v>-</v>
      </c>
      <c r="K654" s="1187"/>
      <c r="L654" s="1185" t="str">
        <f>OBRA!AH656</f>
        <v>-</v>
      </c>
      <c r="M654" s="1188"/>
      <c r="N654" s="1185" t="str">
        <f>OBRA!AI656</f>
        <v>-</v>
      </c>
      <c r="O654" s="1185"/>
      <c r="P654" s="1185"/>
      <c r="Q654" s="1187"/>
      <c r="R654" s="437" t="str">
        <f>OBRA!AJ656</f>
        <v>-</v>
      </c>
      <c r="S654" s="535"/>
      <c r="T654" s="399" t="str">
        <f>OBRA!W656</f>
        <v>-</v>
      </c>
      <c r="U654" s="408" t="str">
        <f>OBRA!X656</f>
        <v>-</v>
      </c>
      <c r="V654" s="1090"/>
      <c r="W654" s="19" t="str">
        <f>OBRA!N656</f>
        <v>CEA-FISE-003/2022</v>
      </c>
      <c r="X654" s="1402"/>
      <c r="Y654" s="1402"/>
      <c r="Z654" s="409" t="str">
        <f>OBRA!M656</f>
        <v>CEA-FISE</v>
      </c>
      <c r="AA654" s="1402"/>
      <c r="AB654" s="2" t="str">
        <f>OBRA!O656</f>
        <v>CONVENIO</v>
      </c>
      <c r="AC654" s="3" t="str">
        <f>OBRA!P656</f>
        <v xml:space="preserve">CONSTRUCCIÓN DE LÍNEA DE CONDUCCIÓN DE AGUA POTABLE DEL POZO ALLENDE AL TANQUE EXISTENTE Y LÍNEA DE DE CONEXIÓN A RED DE DISTRIBUCCIÓN DE AGUA POTABLE, EN LA CABECERA MUNICIPAL DE JOCOTEPEC, JALISCO". </v>
      </c>
      <c r="AD654" s="4">
        <f>OBRA!R656</f>
        <v>4000000</v>
      </c>
      <c r="AE654" s="6">
        <f>OBRA!S656</f>
        <v>44848</v>
      </c>
      <c r="AF654" s="5">
        <f>OBRA!T656</f>
        <v>45213</v>
      </c>
      <c r="AG654" s="390">
        <f>OBRA!U656</f>
        <v>45565</v>
      </c>
      <c r="AH654" s="880"/>
      <c r="AI654" s="161"/>
      <c r="AJ654" s="219"/>
      <c r="AK654" s="219"/>
      <c r="AL654" s="632"/>
      <c r="AM654" s="519">
        <f>GRAL!B921</f>
        <v>0</v>
      </c>
    </row>
    <row r="655" spans="1:39" ht="15" hidden="1" customHeight="1">
      <c r="A655" s="158">
        <f>OBRA!J657</f>
        <v>2022</v>
      </c>
      <c r="B655" s="1683"/>
      <c r="C655" s="1360"/>
      <c r="D655" s="163"/>
      <c r="E655" s="1169"/>
      <c r="F655" s="1169"/>
      <c r="G655" s="1184"/>
      <c r="H655" s="1185" t="str">
        <f>OBRA!AF657</f>
        <v>-</v>
      </c>
      <c r="I655" s="1186"/>
      <c r="J655" s="1361" t="str">
        <f>OBRA!AG657</f>
        <v>-</v>
      </c>
      <c r="K655" s="1187"/>
      <c r="L655" s="1185" t="str">
        <f>OBRA!AH657</f>
        <v>-</v>
      </c>
      <c r="M655" s="1188"/>
      <c r="N655" s="1185" t="str">
        <f>OBRA!AI657</f>
        <v>-</v>
      </c>
      <c r="O655" s="1185"/>
      <c r="P655" s="1185"/>
      <c r="Q655" s="1187"/>
      <c r="R655" s="437" t="str">
        <f>OBRA!AJ657</f>
        <v>-</v>
      </c>
      <c r="S655" s="535"/>
      <c r="T655" s="399" t="str">
        <f>OBRA!W657</f>
        <v>-</v>
      </c>
      <c r="U655" s="408" t="str">
        <f>OBRA!X657</f>
        <v>-</v>
      </c>
      <c r="V655" s="1090"/>
      <c r="W655" s="19" t="str">
        <f>OBRA!N657</f>
        <v>CEA-FISE-004/2022</v>
      </c>
      <c r="X655" s="1402"/>
      <c r="Y655" s="1402"/>
      <c r="Z655" s="409" t="str">
        <f>OBRA!M657</f>
        <v>CEA-FISE</v>
      </c>
      <c r="AA655" s="1402"/>
      <c r="AB655" s="2" t="str">
        <f>OBRA!O657</f>
        <v>CONVENIO</v>
      </c>
      <c r="AC655" s="3" t="str">
        <f>OBRA!P657</f>
        <v>CONSTRUCCIÓN DE COLECTOR PRINCIPAL Y CARCAMO DE BOMBEO, ENTRE CALLE VICENTE GUERRERO Y PLANTA DE TRATAMIENTO DE LA LOCALIDAD DE SAN CRISTÓBAL ZAPOTITLÁN, MUNICIPIO DE JOCOTEPEC, JALISCO.</v>
      </c>
      <c r="AD655" s="4">
        <f>OBRA!R657</f>
        <v>4000000</v>
      </c>
      <c r="AE655" s="6">
        <f>OBRA!S657</f>
        <v>44848</v>
      </c>
      <c r="AF655" s="5">
        <f>OBRA!T657</f>
        <v>44848</v>
      </c>
      <c r="AG655" s="390">
        <f>OBRA!U657</f>
        <v>45565</v>
      </c>
      <c r="AH655" s="880"/>
      <c r="AI655" s="161"/>
      <c r="AJ655" s="219"/>
      <c r="AK655" s="219"/>
      <c r="AL655" s="632"/>
      <c r="AM655" s="519">
        <f>GRAL!B922</f>
        <v>0</v>
      </c>
    </row>
    <row r="656" spans="1:39" ht="45" hidden="1">
      <c r="A656" s="158">
        <f>OBRA!J658</f>
        <v>2023</v>
      </c>
      <c r="B656" s="1685" t="str">
        <f>W656</f>
        <v>CONV/FOCOCI/014/2023</v>
      </c>
      <c r="C656" s="1360"/>
      <c r="D656" s="163"/>
      <c r="E656" s="1169"/>
      <c r="F656" s="1169"/>
      <c r="G656" s="1184"/>
      <c r="H656" s="1185" t="str">
        <f>OBRA!AF658</f>
        <v>-</v>
      </c>
      <c r="I656" s="1186"/>
      <c r="J656" s="1361" t="str">
        <f>OBRA!AG658</f>
        <v>-</v>
      </c>
      <c r="K656" s="1187"/>
      <c r="L656" s="1185" t="str">
        <f>OBRA!AH658</f>
        <v>-</v>
      </c>
      <c r="M656" s="1188"/>
      <c r="N656" s="1185" t="str">
        <f>OBRA!AI658</f>
        <v>-</v>
      </c>
      <c r="O656" s="1185"/>
      <c r="P656" s="1185"/>
      <c r="Q656" s="1187"/>
      <c r="R656" s="437" t="str">
        <f>OBRA!AJ658</f>
        <v>-</v>
      </c>
      <c r="S656" s="535"/>
      <c r="T656" s="399">
        <f>OBRA!W658</f>
        <v>0</v>
      </c>
      <c r="U656" s="408">
        <f>OBRA!X658</f>
        <v>0</v>
      </c>
      <c r="V656" s="1090"/>
      <c r="W656" s="33" t="str">
        <f>OBRA!N658</f>
        <v>CONV/FOCOCI/014/2023</v>
      </c>
      <c r="X656" s="1402"/>
      <c r="Y656" s="1402"/>
      <c r="Z656" s="410" t="str">
        <f>OBRA!M658</f>
        <v>FOCOCI</v>
      </c>
      <c r="AA656" s="12" t="s">
        <v>2360</v>
      </c>
      <c r="AB656" s="2" t="str">
        <f>OBRA!O658</f>
        <v>CONVENIO</v>
      </c>
      <c r="AC656" s="3" t="str">
        <f>OBRA!P658</f>
        <v>PAVIMENTACIÓN CON EMPEDRADO ZAMPEADO, EN CALLE LA PAZ EN LA DELEGACIÓN DE SAN JUAN COSALÁ, MUNICIPIO DE JOCOTPEC, JALISCO</v>
      </c>
      <c r="AD656" s="4">
        <f>OBRA!R658</f>
        <v>5000000</v>
      </c>
      <c r="AE656" s="6">
        <f>OBRA!S658</f>
        <v>45086</v>
      </c>
      <c r="AF656" s="5">
        <f>OBRA!T658</f>
        <v>45086</v>
      </c>
      <c r="AG656" s="390">
        <f>OBRA!U658</f>
        <v>45291</v>
      </c>
      <c r="AH656" s="880"/>
      <c r="AI656" s="161"/>
      <c r="AJ656" s="219"/>
      <c r="AK656" s="219"/>
      <c r="AL656" s="632"/>
      <c r="AM656" s="519" t="str">
        <f>GRAL!B658</f>
        <v>2021-2024</v>
      </c>
    </row>
    <row r="657" spans="1:39" ht="60" hidden="1">
      <c r="A657" s="158">
        <f>OBRA!J659</f>
        <v>2023</v>
      </c>
      <c r="B657" s="1683"/>
      <c r="C657" s="1360"/>
      <c r="D657" s="163"/>
      <c r="E657" s="1169"/>
      <c r="F657" s="1169"/>
      <c r="G657" s="1184"/>
      <c r="H657" s="1185" t="str">
        <f>OBRA!AF659</f>
        <v>-</v>
      </c>
      <c r="I657" s="1186"/>
      <c r="J657" s="1361" t="str">
        <f>OBRA!AG659</f>
        <v>-</v>
      </c>
      <c r="K657" s="1187"/>
      <c r="L657" s="1185" t="str">
        <f>OBRA!AH659</f>
        <v>-</v>
      </c>
      <c r="M657" s="1188"/>
      <c r="N657" s="1185" t="str">
        <f>OBRA!AI659</f>
        <v>-</v>
      </c>
      <c r="O657" s="1185"/>
      <c r="P657" s="1185"/>
      <c r="Q657" s="1187"/>
      <c r="R657" s="437" t="str">
        <f>OBRA!AJ659</f>
        <v>-</v>
      </c>
      <c r="S657" s="535"/>
      <c r="T657" s="399">
        <f>OBRA!W659</f>
        <v>0</v>
      </c>
      <c r="U657" s="408">
        <f>OBRA!X659</f>
        <v>0</v>
      </c>
      <c r="V657" s="1090"/>
      <c r="W657" s="19" t="str">
        <f>OBRA!N659</f>
        <v>CEA-IHAP-FISE-021/2023</v>
      </c>
      <c r="X657" s="1402"/>
      <c r="Y657" s="1402"/>
      <c r="Z657" s="409" t="str">
        <f>OBRA!M659</f>
        <v>CEA-FISE</v>
      </c>
      <c r="AA657" s="1402"/>
      <c r="AB657" s="2" t="str">
        <f>OBRA!O659</f>
        <v>CONVENIO</v>
      </c>
      <c r="AC657" s="3" t="str">
        <f>OBRA!P659</f>
        <v>PERFORACIÓN DE POZO PROFUNDO PARA LA EXTRACCIÓN DE AGUA POTABLE, UBICADO EN LA LOCALIDAD DE SAN JUAN COSALÁ MUNICIPIO DE JOCOTEPEC, JALISCO.</v>
      </c>
      <c r="AD657" s="4">
        <f>OBRA!R659</f>
        <v>4000000</v>
      </c>
      <c r="AE657" s="6">
        <f>OBRA!S659</f>
        <v>45153</v>
      </c>
      <c r="AF657" s="5">
        <f>OBRA!T659</f>
        <v>45153</v>
      </c>
      <c r="AG657" s="390">
        <f>OBRA!U659</f>
        <v>45565</v>
      </c>
      <c r="AH657" s="880"/>
      <c r="AI657" s="161"/>
      <c r="AJ657" s="219"/>
      <c r="AK657" s="219"/>
      <c r="AL657" s="632"/>
      <c r="AM657" s="519">
        <f>GRAL!B924</f>
        <v>0</v>
      </c>
    </row>
    <row r="658" spans="1:39" ht="45" hidden="1">
      <c r="A658" s="158">
        <f>OBRA!J660</f>
        <v>2023</v>
      </c>
      <c r="B658" s="1683"/>
      <c r="C658" s="1360"/>
      <c r="D658" s="163"/>
      <c r="E658" s="1169"/>
      <c r="F658" s="1169"/>
      <c r="G658" s="1184"/>
      <c r="H658" s="1185" t="str">
        <f>OBRA!AF660</f>
        <v>-</v>
      </c>
      <c r="I658" s="1186"/>
      <c r="J658" s="1361" t="str">
        <f>OBRA!AG660</f>
        <v>-</v>
      </c>
      <c r="K658" s="1187"/>
      <c r="L658" s="1185" t="str">
        <f>OBRA!AH660</f>
        <v>-</v>
      </c>
      <c r="M658" s="1188"/>
      <c r="N658" s="1185" t="str">
        <f>OBRA!AI660</f>
        <v>-</v>
      </c>
      <c r="O658" s="1185"/>
      <c r="P658" s="1185"/>
      <c r="Q658" s="1187"/>
      <c r="R658" s="437" t="str">
        <f>OBRA!AJ660</f>
        <v>-</v>
      </c>
      <c r="S658" s="535"/>
      <c r="T658" s="399">
        <f>OBRA!W660</f>
        <v>0</v>
      </c>
      <c r="U658" s="408">
        <f>OBRA!X660</f>
        <v>0</v>
      </c>
      <c r="V658" s="1090"/>
      <c r="W658" s="19" t="str">
        <f>OBRA!N660</f>
        <v>CEA-IHAP-FISE-022/2023</v>
      </c>
      <c r="X658" s="1402"/>
      <c r="Y658" s="1402"/>
      <c r="Z658" s="409" t="str">
        <f>OBRA!M660</f>
        <v>CEA-FISE</v>
      </c>
      <c r="AA658" s="1402"/>
      <c r="AB658" s="2" t="str">
        <f>OBRA!O660</f>
        <v>CONVENIO</v>
      </c>
      <c r="AC658" s="3" t="str">
        <f>OBRA!P660</f>
        <v>PERFORACIÓN DE POZO PROFUNDO PARA LA EXTRACCIÓN DE AGUA POTABLE, UBICADO EN LA CABECERA MUNICIPAL DE JOCOTEPEC, JALISCO.</v>
      </c>
      <c r="AD658" s="4">
        <f>OBRA!R660</f>
        <v>4000000</v>
      </c>
      <c r="AE658" s="6">
        <f>OBRA!S660</f>
        <v>45153</v>
      </c>
      <c r="AF658" s="5">
        <f>OBRA!T660</f>
        <v>45153</v>
      </c>
      <c r="AG658" s="390">
        <f>OBRA!U660</f>
        <v>45565</v>
      </c>
      <c r="AH658" s="880"/>
      <c r="AI658" s="161"/>
      <c r="AJ658" s="219"/>
      <c r="AK658" s="219"/>
      <c r="AL658" s="632"/>
      <c r="AM658" s="519">
        <f>GRAL!B925</f>
        <v>0</v>
      </c>
    </row>
    <row r="659" spans="1:39" ht="105" hidden="1">
      <c r="A659" s="158">
        <f>OBRA!J661</f>
        <v>2023</v>
      </c>
      <c r="B659" s="1683"/>
      <c r="C659" s="1360"/>
      <c r="D659" s="163"/>
      <c r="E659" s="1169"/>
      <c r="F659" s="1169"/>
      <c r="G659" s="1184"/>
      <c r="H659" s="1185" t="str">
        <f>OBRA!AF661</f>
        <v>-</v>
      </c>
      <c r="I659" s="1186"/>
      <c r="J659" s="1361" t="str">
        <f>OBRA!AG661</f>
        <v>-</v>
      </c>
      <c r="K659" s="1187"/>
      <c r="L659" s="1185" t="str">
        <f>OBRA!AH661</f>
        <v>-</v>
      </c>
      <c r="M659" s="1188"/>
      <c r="N659" s="1185" t="str">
        <f>OBRA!AI661</f>
        <v>-</v>
      </c>
      <c r="O659" s="1185"/>
      <c r="P659" s="1185"/>
      <c r="Q659" s="1187"/>
      <c r="R659" s="437" t="str">
        <f>OBRA!AJ661</f>
        <v>-</v>
      </c>
      <c r="S659" s="535"/>
      <c r="T659" s="399" t="str">
        <f>OBRA!W661</f>
        <v>ING. J. TRINIDAD NUÑEZ BRITO</v>
      </c>
      <c r="U659" s="408" t="str">
        <f>OBRA!X661</f>
        <v>ARQ. FRANCISCO SALAZAR</v>
      </c>
      <c r="V659" s="1090"/>
      <c r="W659" s="19" t="str">
        <f>OBRA!N661</f>
        <v>C.P.S.P. DOP 001/2023</v>
      </c>
      <c r="X659" s="1402"/>
      <c r="Y659" s="1402"/>
      <c r="Z659" s="409" t="str">
        <f>OBRA!M661</f>
        <v>CUENTA CORRIENTE</v>
      </c>
      <c r="AA659" s="1402"/>
      <c r="AB659" s="2" t="str">
        <f>OBRA!O661</f>
        <v>SERVICIOS</v>
      </c>
      <c r="AC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AD659" s="4">
        <f>OBRA!R661</f>
        <v>17400</v>
      </c>
      <c r="AE659" s="6">
        <f>OBRA!S661</f>
        <v>44928</v>
      </c>
      <c r="AF659" s="5">
        <f>OBRA!T661</f>
        <v>44929</v>
      </c>
      <c r="AG659" s="390">
        <f>OBRA!U661</f>
        <v>44931</v>
      </c>
      <c r="AH659" s="880"/>
      <c r="AI659" s="161"/>
      <c r="AJ659" s="219"/>
      <c r="AK659" s="219"/>
      <c r="AL659" s="632"/>
      <c r="AM659" s="519">
        <f>GRAL!B926</f>
        <v>0</v>
      </c>
    </row>
    <row r="660" spans="1:39" ht="105" hidden="1">
      <c r="A660" s="158">
        <f>OBRA!J662</f>
        <v>2023</v>
      </c>
      <c r="B660" s="1683"/>
      <c r="C660" s="1360"/>
      <c r="D660" s="163"/>
      <c r="E660" s="1169"/>
      <c r="F660" s="1169"/>
      <c r="G660" s="1184"/>
      <c r="H660" s="1185" t="str">
        <f>OBRA!AF662</f>
        <v>-</v>
      </c>
      <c r="I660" s="1186"/>
      <c r="J660" s="1361" t="str">
        <f>OBRA!AG662</f>
        <v>-</v>
      </c>
      <c r="K660" s="1187"/>
      <c r="L660" s="1185" t="str">
        <f>OBRA!AH662</f>
        <v>-</v>
      </c>
      <c r="M660" s="1188"/>
      <c r="N660" s="1185" t="str">
        <f>OBRA!AI662</f>
        <v>-</v>
      </c>
      <c r="O660" s="1185"/>
      <c r="P660" s="1185"/>
      <c r="Q660" s="1187"/>
      <c r="R660" s="437" t="str">
        <f>OBRA!AJ662</f>
        <v>-</v>
      </c>
      <c r="S660" s="535"/>
      <c r="T660" s="399" t="str">
        <f>OBRA!W662</f>
        <v>ING. J. TRINIDAD NUÑEZ BRITO</v>
      </c>
      <c r="U660" s="408" t="str">
        <f>OBRA!X662</f>
        <v>ARQ. FRANCISCO SALAZAR</v>
      </c>
      <c r="V660" s="1090"/>
      <c r="W660" s="19" t="str">
        <f>OBRA!N662</f>
        <v>C.P.S.P. DOP 002/2023</v>
      </c>
      <c r="X660" s="1402"/>
      <c r="Y660" s="1402"/>
      <c r="Z660" s="409" t="str">
        <f>OBRA!M662</f>
        <v>CUENTA CORRIENTE</v>
      </c>
      <c r="AA660" s="1402"/>
      <c r="AB660" s="2" t="str">
        <f>OBRA!O662</f>
        <v>SERVICIOS</v>
      </c>
      <c r="AC660" s="3" t="str">
        <f>OBRA!P662</f>
        <v>CONTRATACIÓN DEL SERVICIO PARA LA REALIZACIÓN DE: ESTUDIO GEOHIDROLÓGICO-GEOFÍSICO Y PROSPECCIÓN GEOFÍSICA CON FINES DE LOCALIZAR AGUA SUBTERRÁNEA EN POZO LA ERMITA EN LA LOCALIDAD DE SAN PEDRO TESISTÁN, DEL MUNICIPIO DE JOCOTEPEC, JALISCO.</v>
      </c>
      <c r="AD660" s="4">
        <f>OBRA!R662</f>
        <v>17400</v>
      </c>
      <c r="AE660" s="6">
        <f>OBRA!S662</f>
        <v>44928</v>
      </c>
      <c r="AF660" s="5">
        <f>OBRA!T662</f>
        <v>44931</v>
      </c>
      <c r="AG660" s="390">
        <f>OBRA!U662</f>
        <v>44932</v>
      </c>
      <c r="AH660" s="880"/>
      <c r="AI660" s="161"/>
      <c r="AJ660" s="219"/>
      <c r="AK660" s="219"/>
      <c r="AL660" s="632"/>
      <c r="AM660" s="519">
        <f>GRAL!B927</f>
        <v>0</v>
      </c>
    </row>
    <row r="661" spans="1:39" ht="105" hidden="1">
      <c r="A661" s="158">
        <f>OBRA!J663</f>
        <v>2023</v>
      </c>
      <c r="B661" s="1683"/>
      <c r="C661" s="1360"/>
      <c r="D661" s="163"/>
      <c r="E661" s="1169"/>
      <c r="F661" s="1169"/>
      <c r="G661" s="1184"/>
      <c r="H661" s="1185" t="str">
        <f>OBRA!AF663</f>
        <v>-</v>
      </c>
      <c r="I661" s="1186"/>
      <c r="J661" s="1361" t="str">
        <f>OBRA!AG663</f>
        <v>-</v>
      </c>
      <c r="K661" s="1187"/>
      <c r="L661" s="1185" t="str">
        <f>OBRA!AH663</f>
        <v>-</v>
      </c>
      <c r="M661" s="1188"/>
      <c r="N661" s="1185" t="str">
        <f>OBRA!AI663</f>
        <v>-</v>
      </c>
      <c r="O661" s="1185"/>
      <c r="P661" s="1185"/>
      <c r="Q661" s="1187"/>
      <c r="R661" s="437" t="str">
        <f>OBRA!AJ663</f>
        <v>-</v>
      </c>
      <c r="S661" s="535"/>
      <c r="T661" s="399" t="str">
        <f>OBRA!W663</f>
        <v>ING. J. TRINIDAD NUÑEZ BRITO</v>
      </c>
      <c r="U661" s="408" t="str">
        <f>OBRA!X663</f>
        <v>ARQ. FRANCISCO SALAZAR</v>
      </c>
      <c r="V661" s="1090"/>
      <c r="W661" s="19" t="str">
        <f>OBRA!N663</f>
        <v>C.P.S.P. DOP 003/2023</v>
      </c>
      <c r="X661" s="1402"/>
      <c r="Y661" s="1402"/>
      <c r="Z661" s="409" t="str">
        <f>OBRA!M663</f>
        <v>CUENTA CORRIENTE</v>
      </c>
      <c r="AA661" s="1402"/>
      <c r="AB661" s="2" t="str">
        <f>OBRA!O663</f>
        <v>SERVICIOS</v>
      </c>
      <c r="AC661" s="3" t="str">
        <f>OBRA!P663</f>
        <v>CONTRATACIÓN DEL SERVICIO PARA LA REALIZACIÓN DE: ESTUDIO GEOHIDROLÓGICO-GEOFÍSICO Y PROSPECCIÓN GEOFÍSICA CON FINES DE LOCALIZAR AGUA SUBTERRÁNEA EN POZO LA AZOTERA EN LA LOCALIDAD DE SAN PEDRO TESISTÁN, DEL MUNICIPIO DE JOCOTEPEC, JALISCO.</v>
      </c>
      <c r="AD661" s="4">
        <f>OBRA!R663</f>
        <v>17400</v>
      </c>
      <c r="AE661" s="6">
        <f>OBRA!S663</f>
        <v>44928</v>
      </c>
      <c r="AF661" s="5">
        <f>OBRA!T663</f>
        <v>44928</v>
      </c>
      <c r="AG661" s="390">
        <f>OBRA!U663</f>
        <v>44957</v>
      </c>
      <c r="AH661" s="880"/>
      <c r="AI661" s="161"/>
      <c r="AJ661" s="219"/>
      <c r="AK661" s="219"/>
      <c r="AL661" s="632"/>
      <c r="AM661" s="519">
        <f>GRAL!B928</f>
        <v>0</v>
      </c>
    </row>
    <row r="662" spans="1:39" ht="75" hidden="1">
      <c r="A662" s="158">
        <f>OBRA!J664</f>
        <v>2023</v>
      </c>
      <c r="B662" s="1683"/>
      <c r="C662" s="1360"/>
      <c r="D662" s="163"/>
      <c r="E662" s="1169"/>
      <c r="F662" s="1169"/>
      <c r="G662" s="1184"/>
      <c r="H662" s="1185" t="str">
        <f>OBRA!AF664</f>
        <v>-</v>
      </c>
      <c r="I662" s="1186"/>
      <c r="J662" s="1361" t="str">
        <f>OBRA!AG664</f>
        <v>-</v>
      </c>
      <c r="K662" s="1187"/>
      <c r="L662" s="1185" t="str">
        <f>OBRA!AH664</f>
        <v>-</v>
      </c>
      <c r="M662" s="1188"/>
      <c r="N662" s="1185" t="str">
        <f>OBRA!AI664</f>
        <v>-</v>
      </c>
      <c r="O662" s="1185"/>
      <c r="P662" s="1185"/>
      <c r="Q662" s="1187"/>
      <c r="R662" s="437" t="str">
        <f>OBRA!AJ664</f>
        <v>-</v>
      </c>
      <c r="S662" s="535"/>
      <c r="T662" s="399" t="str">
        <f>OBRA!W664</f>
        <v>ING. SERGIO CABRERA</v>
      </c>
      <c r="U662" s="408" t="str">
        <f>OBRA!X664</f>
        <v>ARQ. FRANCISCO SALAZAR</v>
      </c>
      <c r="V662" s="1090"/>
      <c r="W662" s="19" t="str">
        <f>OBRA!N664</f>
        <v>C.P.S.P. DOP 004/2023</v>
      </c>
      <c r="X662" s="1402"/>
      <c r="Y662" s="1402"/>
      <c r="Z662" s="409" t="str">
        <f>OBRA!M664</f>
        <v>CUENTA CORRIENTE</v>
      </c>
      <c r="AA662" s="1402"/>
      <c r="AB662" s="2" t="str">
        <f>OBRA!O664</f>
        <v>SERVICIOS</v>
      </c>
      <c r="AC662" s="3" t="str">
        <f>OBRA!P664</f>
        <v>CONTRATACIÓN PARA LA REALIZACIÓN DEL SIGUIENTE LEVANTAMIENTO TOPOGRÁFICO: PARA EL PROYECTO; REHABILITACIÓN DE UNIDAD DEPORTIVA DONATO GUERRA SUR, EN LA CABECERA MUNICIPAL DE JOCOTEPEC, JALISCO.</v>
      </c>
      <c r="AD662" s="4">
        <f>OBRA!R664</f>
        <v>25520</v>
      </c>
      <c r="AE662" s="6">
        <f>OBRA!S664</f>
        <v>44953</v>
      </c>
      <c r="AF662" s="5">
        <f>OBRA!T664</f>
        <v>44958</v>
      </c>
      <c r="AG662" s="390">
        <f>OBRA!U664</f>
        <v>44960</v>
      </c>
      <c r="AH662" s="880"/>
      <c r="AI662" s="161"/>
      <c r="AJ662" s="219"/>
      <c r="AK662" s="219"/>
      <c r="AL662" s="632"/>
      <c r="AM662" s="519">
        <f>GRAL!B929</f>
        <v>0</v>
      </c>
    </row>
    <row r="663" spans="1:39" ht="75" hidden="1">
      <c r="A663" s="158">
        <f>OBRA!J665</f>
        <v>2023</v>
      </c>
      <c r="B663" s="1683"/>
      <c r="C663" s="1360"/>
      <c r="D663" s="163"/>
      <c r="E663" s="1169"/>
      <c r="F663" s="1169"/>
      <c r="G663" s="1184"/>
      <c r="H663" s="1185" t="str">
        <f>OBRA!AF665</f>
        <v>-</v>
      </c>
      <c r="I663" s="1186"/>
      <c r="J663" s="1361" t="str">
        <f>OBRA!AG665</f>
        <v>-</v>
      </c>
      <c r="K663" s="1187"/>
      <c r="L663" s="1185" t="str">
        <f>OBRA!AH665</f>
        <v>-</v>
      </c>
      <c r="M663" s="1188"/>
      <c r="N663" s="1185" t="str">
        <f>OBRA!AI665</f>
        <v>-</v>
      </c>
      <c r="O663" s="1185"/>
      <c r="P663" s="1185"/>
      <c r="Q663" s="1187"/>
      <c r="R663" s="437" t="str">
        <f>OBRA!AJ665</f>
        <v>-</v>
      </c>
      <c r="S663" s="535"/>
      <c r="T663" s="399" t="str">
        <f>OBRA!W665</f>
        <v>ING. SERGIO CABRERA</v>
      </c>
      <c r="U663" s="408" t="str">
        <f>OBRA!X665</f>
        <v>ARQ. FRANCISCO SALAZAR</v>
      </c>
      <c r="V663" s="1090"/>
      <c r="W663" s="19" t="str">
        <f>OBRA!N665</f>
        <v>C.P.S.P. DOP 005/2023</v>
      </c>
      <c r="X663" s="1402"/>
      <c r="Y663" s="1402"/>
      <c r="Z663" s="409" t="str">
        <f>OBRA!M665</f>
        <v>CUENTA CORRIENTE</v>
      </c>
      <c r="AA663" s="1402"/>
      <c r="AB663" s="2" t="str">
        <f>OBRA!O665</f>
        <v>SERVICIOS</v>
      </c>
      <c r="AC663" s="3" t="str">
        <f>OBRA!P665</f>
        <v>CONTRATACIÓN PARA LA REALIZACIÓN DEL SIGUIENTE LEVANTAMIENTO TOPOGRÁFICO: PARA EL PROYECTO; REHABILITACIÓN DE UNIDAD DEPORTIVA ZARAGOZA NORTE, EN LA CABECERA MUNICIPAL DE JOCOTEPEC, JALISCO.</v>
      </c>
      <c r="AD663" s="4">
        <f>OBRA!R665</f>
        <v>17400</v>
      </c>
      <c r="AE663" s="6">
        <f>OBRA!S665</f>
        <v>44953</v>
      </c>
      <c r="AF663" s="5">
        <f>OBRA!T665</f>
        <v>44960</v>
      </c>
      <c r="AG663" s="390">
        <f>OBRA!U665</f>
        <v>44962</v>
      </c>
      <c r="AH663" s="880"/>
      <c r="AI663" s="161"/>
      <c r="AJ663" s="219"/>
      <c r="AK663" s="219"/>
      <c r="AL663" s="632"/>
      <c r="AM663" s="519">
        <f>GRAL!B930</f>
        <v>0</v>
      </c>
    </row>
    <row r="664" spans="1:39" ht="105" hidden="1">
      <c r="A664" s="158">
        <f>OBRA!J666</f>
        <v>2023</v>
      </c>
      <c r="B664" s="1683"/>
      <c r="C664" s="1360"/>
      <c r="D664" s="163"/>
      <c r="E664" s="1169"/>
      <c r="F664" s="1169"/>
      <c r="G664" s="1184"/>
      <c r="H664" s="1185" t="str">
        <f>OBRA!AF666</f>
        <v>-</v>
      </c>
      <c r="I664" s="1186"/>
      <c r="J664" s="1361" t="str">
        <f>OBRA!AG666</f>
        <v>-</v>
      </c>
      <c r="K664" s="1187"/>
      <c r="L664" s="1185" t="str">
        <f>OBRA!AH666</f>
        <v>-</v>
      </c>
      <c r="M664" s="1188"/>
      <c r="N664" s="1185" t="str">
        <f>OBRA!AI666</f>
        <v>-</v>
      </c>
      <c r="O664" s="1185"/>
      <c r="P664" s="1185"/>
      <c r="Q664" s="1187"/>
      <c r="R664" s="437" t="str">
        <f>OBRA!AJ666</f>
        <v>-</v>
      </c>
      <c r="S664" s="535"/>
      <c r="T664" s="399" t="str">
        <f>OBRA!W666</f>
        <v>PEDRO MACHUCA SAAVEDRA</v>
      </c>
      <c r="U664" s="408" t="str">
        <f>OBRA!X666</f>
        <v>ARQ. FRANCISCO SALAZAR</v>
      </c>
      <c r="V664" s="1090"/>
      <c r="W664" s="19" t="str">
        <f>OBRA!N666</f>
        <v>C.P.S.P. DOP 006/2023</v>
      </c>
      <c r="X664" s="1402"/>
      <c r="Y664" s="1402"/>
      <c r="Z664" s="409" t="str">
        <f>OBRA!M666</f>
        <v>CUENTA CORRIENTE</v>
      </c>
      <c r="AA664" s="1402"/>
      <c r="AB664" s="2" t="str">
        <f>OBRA!O666</f>
        <v>SERVICIOS</v>
      </c>
      <c r="AC664" s="3" t="str">
        <f>OBRA!P666</f>
        <v>CONTRACIÓN DEL SERVICIO PARA: LOCALIZACIÓN DE AGUA EN PREDIO PARA SU POSIBLE PERFORACIÓN DE POZO PROFUNDO POR MEDIO DE LA TÉCNICA DE RADIESTESIA UBICADO EN CALLE FLAMINGOS, EN LA LOCALIDAD DE NEXTIPAC, DEL MUNICIPIO DE JOCOTEPEC, JALISCO.</v>
      </c>
      <c r="AD664" s="4">
        <f>OBRA!R666</f>
        <v>3500</v>
      </c>
      <c r="AE664" s="6">
        <f>OBRA!S666</f>
        <v>44929</v>
      </c>
      <c r="AF664" s="5">
        <f>OBRA!T666</f>
        <v>44931</v>
      </c>
      <c r="AG664" s="390">
        <f>OBRA!U666</f>
        <v>44931</v>
      </c>
      <c r="AH664" s="880"/>
      <c r="AI664" s="161"/>
      <c r="AJ664" s="219"/>
      <c r="AK664" s="219"/>
      <c r="AL664" s="632"/>
      <c r="AM664" s="519">
        <f>GRAL!B931</f>
        <v>0</v>
      </c>
    </row>
    <row r="665" spans="1:39" ht="90" hidden="1">
      <c r="A665" s="158">
        <f>OBRA!J667</f>
        <v>2023</v>
      </c>
      <c r="B665" s="1683"/>
      <c r="C665" s="1360"/>
      <c r="D665" s="163"/>
      <c r="E665" s="1169"/>
      <c r="F665" s="1169"/>
      <c r="G665" s="1184"/>
      <c r="H665" s="1185" t="str">
        <f>OBRA!AF667</f>
        <v>-</v>
      </c>
      <c r="I665" s="1186"/>
      <c r="J665" s="1361" t="str">
        <f>OBRA!AG667</f>
        <v>-</v>
      </c>
      <c r="K665" s="1187"/>
      <c r="L665" s="1185" t="str">
        <f>OBRA!AH667</f>
        <v>-</v>
      </c>
      <c r="M665" s="1188"/>
      <c r="N665" s="1185" t="str">
        <f>OBRA!AI667</f>
        <v>-</v>
      </c>
      <c r="O665" s="1185"/>
      <c r="P665" s="1185"/>
      <c r="Q665" s="1187"/>
      <c r="R665" s="437" t="str">
        <f>OBRA!AJ667</f>
        <v>-</v>
      </c>
      <c r="S665" s="535"/>
      <c r="T665" s="399" t="str">
        <f>OBRA!W667</f>
        <v>PEDRO MACHUCA SAAVEDRA</v>
      </c>
      <c r="U665" s="408" t="str">
        <f>OBRA!X667</f>
        <v>ARQ. FRANCISCO SALAZAR</v>
      </c>
      <c r="V665" s="1090"/>
      <c r="W665" s="19" t="str">
        <f>OBRA!N667</f>
        <v>C.P.S.P. DOP 007/2023</v>
      </c>
      <c r="X665" s="1402"/>
      <c r="Y665" s="1402"/>
      <c r="Z665" s="409" t="str">
        <f>OBRA!M667</f>
        <v>CUENTA CORRIENTE</v>
      </c>
      <c r="AA665" s="1402"/>
      <c r="AB665" s="2" t="str">
        <f>OBRA!O667</f>
        <v>SERVICIOS</v>
      </c>
      <c r="AC665" s="3" t="str">
        <f>OBRA!P667</f>
        <v>CONTRACIÓN DEL SERVICIO PARA: LOCALIZACIÓN DE AGUA EN PREDIO PARA SU POSIBLE PERFORACIÓN DE POZO PROFUNDO POR MEDIO DE LA TÉCNICA DE RADIESTESIA UBICADO EN CALLE LA PUERTA, EN LA LOCALIDAD DE SAN JUAN COSALÁ, DEL MUNICIPIO DE JOCOTEPEC, JALISCO.</v>
      </c>
      <c r="AD665" s="4">
        <f>OBRA!R667</f>
        <v>3500</v>
      </c>
      <c r="AE665" s="6">
        <f>OBRA!S667</f>
        <v>44970</v>
      </c>
      <c r="AF665" s="5">
        <f>OBRA!T667</f>
        <v>44972</v>
      </c>
      <c r="AG665" s="390">
        <f>OBRA!U667</f>
        <v>44972</v>
      </c>
      <c r="AH665" s="880"/>
      <c r="AI665" s="161"/>
      <c r="AJ665" s="219"/>
      <c r="AK665" s="219"/>
      <c r="AL665" s="632"/>
      <c r="AM665" s="519">
        <f>GRAL!B932</f>
        <v>0</v>
      </c>
    </row>
    <row r="666" spans="1:39" ht="135" hidden="1">
      <c r="A666" s="158">
        <f>OBRA!J668</f>
        <v>2023</v>
      </c>
      <c r="B666" s="1683"/>
      <c r="C666" s="1360"/>
      <c r="D666" s="163"/>
      <c r="E666" s="1169"/>
      <c r="F666" s="1169"/>
      <c r="G666" s="1184"/>
      <c r="H666" s="1185" t="str">
        <f>OBRA!AF668</f>
        <v>-</v>
      </c>
      <c r="I666" s="1186"/>
      <c r="J666" s="1361" t="str">
        <f>OBRA!AG668</f>
        <v>-</v>
      </c>
      <c r="K666" s="1187"/>
      <c r="L666" s="1185" t="str">
        <f>OBRA!AH668</f>
        <v>-</v>
      </c>
      <c r="M666" s="1188"/>
      <c r="N666" s="1185" t="str">
        <f>OBRA!AI668</f>
        <v>-</v>
      </c>
      <c r="O666" s="1185"/>
      <c r="P666" s="1185"/>
      <c r="Q666" s="1187"/>
      <c r="R666" s="437" t="str">
        <f>OBRA!AJ668</f>
        <v>-</v>
      </c>
      <c r="S666" s="535"/>
      <c r="T666" s="399" t="str">
        <f>OBRA!W668</f>
        <v>ECCOC DE GUADALAJARA, S.A. DE C.V.</v>
      </c>
      <c r="U666" s="408" t="str">
        <f>OBRA!X668</f>
        <v>ARQ. FRANCISCO SALAZAR</v>
      </c>
      <c r="V666" s="1090"/>
      <c r="W666" s="19" t="str">
        <f>OBRA!N668</f>
        <v>C.P.S.P. DOP 008/2023</v>
      </c>
      <c r="X666" s="1402"/>
      <c r="Y666" s="1402"/>
      <c r="Z666" s="409" t="str">
        <f>OBRA!M668</f>
        <v>CUENTA CORRIENTE</v>
      </c>
      <c r="AA666" s="1402"/>
      <c r="AB666" s="2" t="str">
        <f>OBRA!O668</f>
        <v>SERVICIOS</v>
      </c>
      <c r="AC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OBRA!R668</f>
        <v>22272</v>
      </c>
      <c r="AE666" s="6">
        <f>OBRA!S668</f>
        <v>44978</v>
      </c>
      <c r="AF666" s="5">
        <f>OBRA!T668</f>
        <v>44979</v>
      </c>
      <c r="AG666" s="390">
        <f>OBRA!U668</f>
        <v>44979</v>
      </c>
      <c r="AH666" s="880"/>
      <c r="AI666" s="161"/>
      <c r="AJ666" s="219"/>
      <c r="AK666" s="219"/>
      <c r="AL666" s="632"/>
      <c r="AM666" s="519">
        <f>GRAL!B933</f>
        <v>0</v>
      </c>
    </row>
    <row r="667" spans="1:39" ht="165" hidden="1">
      <c r="A667" s="158">
        <f>OBRA!J669</f>
        <v>2023</v>
      </c>
      <c r="B667" s="1683"/>
      <c r="C667" s="1360"/>
      <c r="D667" s="163"/>
      <c r="E667" s="1169"/>
      <c r="F667" s="1169"/>
      <c r="G667" s="1184"/>
      <c r="H667" s="1185" t="str">
        <f>OBRA!AF669</f>
        <v>-</v>
      </c>
      <c r="I667" s="1186"/>
      <c r="J667" s="1361" t="str">
        <f>OBRA!AG669</f>
        <v>-</v>
      </c>
      <c r="K667" s="1187"/>
      <c r="L667" s="1185" t="str">
        <f>OBRA!AH669</f>
        <v>-</v>
      </c>
      <c r="M667" s="1188"/>
      <c r="N667" s="1185" t="str">
        <f>OBRA!AI669</f>
        <v>-</v>
      </c>
      <c r="O667" s="1185"/>
      <c r="P667" s="1185"/>
      <c r="Q667" s="1187"/>
      <c r="R667" s="437" t="str">
        <f>OBRA!AJ669</f>
        <v>-</v>
      </c>
      <c r="S667" s="535"/>
      <c r="T667" s="399" t="str">
        <f>OBRA!W669</f>
        <v>ECCOC DE GUADALAJARA, S.A. DE C.V.</v>
      </c>
      <c r="U667" s="408" t="str">
        <f>OBRA!X669</f>
        <v>ARQ. FRANCISCO SALAZAR</v>
      </c>
      <c r="V667" s="1090"/>
      <c r="W667" s="19" t="str">
        <f>OBRA!N669</f>
        <v>C.P.S.P. DOP 009/2023</v>
      </c>
      <c r="X667" s="1402"/>
      <c r="Y667" s="1402"/>
      <c r="Z667" s="409" t="str">
        <f>OBRA!M669</f>
        <v>CUENTA CORRIENTE</v>
      </c>
      <c r="AA667" s="1402"/>
      <c r="AB667" s="2" t="str">
        <f>OBRA!O669</f>
        <v>SERVICIOS</v>
      </c>
      <c r="AC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OBRA!R669</f>
        <v>20880</v>
      </c>
      <c r="AE667" s="6">
        <f>OBRA!S669</f>
        <v>45007</v>
      </c>
      <c r="AF667" s="5">
        <f>OBRA!T669</f>
        <v>45009</v>
      </c>
      <c r="AG667" s="390">
        <f>OBRA!U669</f>
        <v>45016</v>
      </c>
      <c r="AH667" s="880"/>
      <c r="AI667" s="161"/>
      <c r="AJ667" s="219"/>
      <c r="AK667" s="219"/>
      <c r="AL667" s="632"/>
      <c r="AM667" s="519">
        <f>GRAL!B934</f>
        <v>0</v>
      </c>
    </row>
    <row r="668" spans="1:39" ht="135" hidden="1">
      <c r="A668" s="158">
        <f>OBRA!J670</f>
        <v>2023</v>
      </c>
      <c r="B668" s="1683"/>
      <c r="C668" s="1360"/>
      <c r="D668" s="163"/>
      <c r="E668" s="1169"/>
      <c r="F668" s="1169"/>
      <c r="G668" s="1184"/>
      <c r="H668" s="1185" t="str">
        <f>OBRA!AF670</f>
        <v>-</v>
      </c>
      <c r="I668" s="1186"/>
      <c r="J668" s="1361" t="str">
        <f>OBRA!AG670</f>
        <v>-</v>
      </c>
      <c r="K668" s="1187"/>
      <c r="L668" s="1185" t="str">
        <f>OBRA!AH670</f>
        <v>-</v>
      </c>
      <c r="M668" s="1188"/>
      <c r="N668" s="1185" t="str">
        <f>OBRA!AI670</f>
        <v>-</v>
      </c>
      <c r="O668" s="1185"/>
      <c r="P668" s="1185"/>
      <c r="Q668" s="1187"/>
      <c r="R668" s="437" t="str">
        <f>OBRA!AJ670</f>
        <v>-</v>
      </c>
      <c r="S668" s="535"/>
      <c r="T668" s="399" t="str">
        <f>OBRA!W670</f>
        <v>ECCOC DE GUADALAJARA, S.A. DE C.V.</v>
      </c>
      <c r="U668" s="408" t="str">
        <f>OBRA!X670</f>
        <v>ARQ. FRANCISCO SALAZAR</v>
      </c>
      <c r="V668" s="1090"/>
      <c r="W668" s="19" t="str">
        <f>OBRA!N670</f>
        <v>C.P.S.P. DOP 010/2023</v>
      </c>
      <c r="X668" s="1402"/>
      <c r="Y668" s="1402"/>
      <c r="Z668" s="409" t="str">
        <f>OBRA!M670</f>
        <v>CUENTA CORRIENTE</v>
      </c>
      <c r="AA668" s="1402"/>
      <c r="AB668" s="2" t="str">
        <f>OBRA!O670</f>
        <v>SERVICIOS</v>
      </c>
      <c r="AC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OBRA!R670</f>
        <v>27839.999999999996</v>
      </c>
      <c r="AE668" s="6">
        <f>OBRA!S670</f>
        <v>45009</v>
      </c>
      <c r="AF668" s="5">
        <f>OBRA!T670</f>
        <v>45013</v>
      </c>
      <c r="AG668" s="390">
        <f>OBRA!U670</f>
        <v>45016</v>
      </c>
      <c r="AH668" s="880"/>
      <c r="AI668" s="161"/>
      <c r="AJ668" s="219"/>
      <c r="AK668" s="219"/>
      <c r="AL668" s="632"/>
      <c r="AM668" s="519">
        <f>GRAL!B935</f>
        <v>0</v>
      </c>
    </row>
    <row r="669" spans="1:39" ht="90" hidden="1">
      <c r="A669" s="158">
        <f>OBRA!J671</f>
        <v>2023</v>
      </c>
      <c r="B669" s="1683"/>
      <c r="C669" s="1360"/>
      <c r="D669" s="163"/>
      <c r="E669" s="1169"/>
      <c r="F669" s="1169"/>
      <c r="G669" s="1184"/>
      <c r="H669" s="1185" t="str">
        <f>OBRA!AF671</f>
        <v>-</v>
      </c>
      <c r="I669" s="1186"/>
      <c r="J669" s="1361" t="str">
        <f>OBRA!AG671</f>
        <v>-</v>
      </c>
      <c r="K669" s="1187"/>
      <c r="L669" s="1185" t="str">
        <f>OBRA!AH671</f>
        <v>-</v>
      </c>
      <c r="M669" s="1188"/>
      <c r="N669" s="1185" t="str">
        <f>OBRA!AI671</f>
        <v>-</v>
      </c>
      <c r="O669" s="1185"/>
      <c r="P669" s="1185"/>
      <c r="Q669" s="1187"/>
      <c r="R669" s="437" t="str">
        <f>OBRA!AJ671</f>
        <v>-</v>
      </c>
      <c r="S669" s="535"/>
      <c r="T669" s="399" t="str">
        <f>OBRA!W671</f>
        <v>LEXCLI, S. DE R.L. DE C.V.</v>
      </c>
      <c r="U669" s="408" t="str">
        <f>OBRA!X671</f>
        <v>ARQ. FRANCISCO SALAZAR</v>
      </c>
      <c r="V669" s="1090"/>
      <c r="W669" s="19" t="str">
        <f>OBRA!N671</f>
        <v>C.P.S.P. DOP 011/2023</v>
      </c>
      <c r="X669" s="1402"/>
      <c r="Y669" s="1402"/>
      <c r="Z669" s="409" t="str">
        <f>OBRA!M671</f>
        <v>CUENTA CORRIENTE</v>
      </c>
      <c r="AA669" s="1402"/>
      <c r="AB669" s="2" t="str">
        <f>OBRA!O671</f>
        <v>SERVICIOS</v>
      </c>
      <c r="AC669" s="3" t="str">
        <f>OBRA!P671</f>
        <v>CONTRATACIÓN PARA LA REALIZACIÓN DE: ESTUDIO GEOHIDROLÓGICO-GEOFÍSICO CON FINES DE LOCALIZAR AGUA SUBTERRÁNEA EN PREDIO DENOMINADO "LA AZOTERA" UBICADO EN LA LOCALIDAD DE SAN PEDRO TESISTÁN, DEL MUNICIPIO DE JOCOTEPEC, JALISCO.</v>
      </c>
      <c r="AD669" s="4">
        <f>OBRA!R671</f>
        <v>18560</v>
      </c>
      <c r="AE669" s="6">
        <f>OBRA!S671</f>
        <v>44988</v>
      </c>
      <c r="AF669" s="5">
        <f>OBRA!T671</f>
        <v>44991</v>
      </c>
      <c r="AG669" s="390">
        <f>OBRA!U671</f>
        <v>44995</v>
      </c>
      <c r="AH669" s="880"/>
      <c r="AI669" s="161"/>
      <c r="AJ669" s="219"/>
      <c r="AK669" s="219"/>
      <c r="AL669" s="632"/>
      <c r="AM669" s="519">
        <f>GRAL!B936</f>
        <v>0</v>
      </c>
    </row>
    <row r="670" spans="1:39" ht="90" hidden="1">
      <c r="A670" s="158">
        <f>OBRA!J672</f>
        <v>2023</v>
      </c>
      <c r="B670" s="1683"/>
      <c r="C670" s="1360"/>
      <c r="D670" s="163"/>
      <c r="E670" s="1169"/>
      <c r="F670" s="1169"/>
      <c r="G670" s="1184"/>
      <c r="H670" s="1185" t="str">
        <f>OBRA!AF672</f>
        <v>-</v>
      </c>
      <c r="I670" s="1186"/>
      <c r="J670" s="1361" t="str">
        <f>OBRA!AG672</f>
        <v>-</v>
      </c>
      <c r="K670" s="1187"/>
      <c r="L670" s="1185" t="str">
        <f>OBRA!AH672</f>
        <v>-</v>
      </c>
      <c r="M670" s="1188"/>
      <c r="N670" s="1185" t="str">
        <f>OBRA!AI672</f>
        <v>-</v>
      </c>
      <c r="O670" s="1185"/>
      <c r="P670" s="1185"/>
      <c r="Q670" s="1187"/>
      <c r="R670" s="437" t="str">
        <f>OBRA!AJ672</f>
        <v>-</v>
      </c>
      <c r="S670" s="535"/>
      <c r="T670" s="399" t="str">
        <f>OBRA!W672</f>
        <v>LEXCLI, S. DE R.L. DE C.V.</v>
      </c>
      <c r="U670" s="408" t="str">
        <f>OBRA!X672</f>
        <v>ARQ. FRANCISCO SALAZAR</v>
      </c>
      <c r="V670" s="1090"/>
      <c r="W670" s="19" t="str">
        <f>OBRA!N672</f>
        <v>C.P.S.P. DOP 012/2023</v>
      </c>
      <c r="X670" s="1402"/>
      <c r="Y670" s="1402"/>
      <c r="Z670" s="409" t="str">
        <f>OBRA!M672</f>
        <v>CUENTA CORRIENTE</v>
      </c>
      <c r="AA670" s="1402"/>
      <c r="AB670" s="2" t="str">
        <f>OBRA!O672</f>
        <v>SERVICIOS</v>
      </c>
      <c r="AC670" s="3" t="str">
        <f>OBRA!P672</f>
        <v>CONTRATACIÓN PARA LA REALIZACIÓN DE: ESTUDIO GEOHIDROLÓGICO-GEOFÍSICO CON FINES DE LOCALIZAR AGUA SUBTERRÁNEA EN PREDIO DENOMINADO "LA PUERTA" UBICADO EN LA LOCALIDAD DE SAN JUAN COSALÁ, DEL MUNICIPIO DE JOCOTEPEC, JALISCO.</v>
      </c>
      <c r="AD670" s="4">
        <f>OBRA!R672</f>
        <v>18560</v>
      </c>
      <c r="AE670" s="6">
        <f>OBRA!S672</f>
        <v>44995</v>
      </c>
      <c r="AF670" s="5">
        <f>OBRA!T672</f>
        <v>44998</v>
      </c>
      <c r="AG670" s="390">
        <f>OBRA!U672</f>
        <v>45002</v>
      </c>
      <c r="AH670" s="880"/>
      <c r="AI670" s="161"/>
      <c r="AJ670" s="219"/>
      <c r="AK670" s="219"/>
      <c r="AL670" s="632"/>
      <c r="AM670" s="519">
        <f>GRAL!B937</f>
        <v>0</v>
      </c>
    </row>
    <row r="671" spans="1:39" ht="90" hidden="1">
      <c r="A671" s="158">
        <f>OBRA!J673</f>
        <v>2023</v>
      </c>
      <c r="B671" s="1683"/>
      <c r="C671" s="1360"/>
      <c r="D671" s="163"/>
      <c r="E671" s="1169"/>
      <c r="F671" s="1169"/>
      <c r="G671" s="1184"/>
      <c r="H671" s="1185" t="str">
        <f>OBRA!AF673</f>
        <v>-</v>
      </c>
      <c r="I671" s="1186"/>
      <c r="J671" s="1361" t="str">
        <f>OBRA!AG673</f>
        <v>-</v>
      </c>
      <c r="K671" s="1187"/>
      <c r="L671" s="1185" t="str">
        <f>OBRA!AH673</f>
        <v>-</v>
      </c>
      <c r="M671" s="1188"/>
      <c r="N671" s="1185" t="str">
        <f>OBRA!AI673</f>
        <v>-</v>
      </c>
      <c r="O671" s="1185"/>
      <c r="P671" s="1185"/>
      <c r="Q671" s="1187"/>
      <c r="R671" s="437" t="str">
        <f>OBRA!AJ673</f>
        <v>-</v>
      </c>
      <c r="S671" s="535"/>
      <c r="T671" s="399" t="str">
        <f>OBRA!W673</f>
        <v>LEXCLI, S. DE R.L. DE C.V.</v>
      </c>
      <c r="U671" s="408" t="str">
        <f>OBRA!X673</f>
        <v>ARQ. FRANCISCO SALAZAR</v>
      </c>
      <c r="V671" s="1090"/>
      <c r="W671" s="19" t="str">
        <f>OBRA!N673</f>
        <v>C.P.S.P. DOP 013/2023</v>
      </c>
      <c r="X671" s="1402"/>
      <c r="Y671" s="1402"/>
      <c r="Z671" s="409" t="str">
        <f>OBRA!M673</f>
        <v>CUENTA CORRIENTE</v>
      </c>
      <c r="AA671" s="1402"/>
      <c r="AB671" s="2" t="str">
        <f>OBRA!O673</f>
        <v>SERVICIOS</v>
      </c>
      <c r="AC671" s="3" t="str">
        <f>OBRA!P673</f>
        <v>CONTRATACIÓN PARA LA REALIZACIÓN DE: ESTUDIO GEOHIDROLÓGICO-GEOFÍSICO CON FINES DE LOCALIZAR AGUA SUBTERRÁNEA EN ATRIO DEL TEMPLO DEL SR. DEL MONTE UBICADO EN LA CABECERA MUNICIPAL DE JOCOTEPEC, JALISCO.</v>
      </c>
      <c r="AD671" s="4">
        <f>OBRA!R673</f>
        <v>18560</v>
      </c>
      <c r="AE671" s="6">
        <f>OBRA!S673</f>
        <v>45002</v>
      </c>
      <c r="AF671" s="5">
        <f>OBRA!T673</f>
        <v>45005</v>
      </c>
      <c r="AG671" s="390">
        <f>OBRA!U673</f>
        <v>45009</v>
      </c>
      <c r="AH671" s="880"/>
      <c r="AI671" s="161"/>
      <c r="AJ671" s="219"/>
      <c r="AK671" s="219"/>
      <c r="AL671" s="632"/>
      <c r="AM671" s="519">
        <f>GRAL!B938</f>
        <v>0</v>
      </c>
    </row>
    <row r="672" spans="1:39" ht="90" hidden="1">
      <c r="A672" s="158">
        <f>OBRA!J674</f>
        <v>2023</v>
      </c>
      <c r="B672" s="1683"/>
      <c r="C672" s="1360"/>
      <c r="D672" s="163"/>
      <c r="E672" s="1169"/>
      <c r="F672" s="1169"/>
      <c r="G672" s="1184"/>
      <c r="H672" s="1185" t="str">
        <f>OBRA!AF674</f>
        <v>-</v>
      </c>
      <c r="I672" s="1186"/>
      <c r="J672" s="1361" t="str">
        <f>OBRA!AG674</f>
        <v>-</v>
      </c>
      <c r="K672" s="1187"/>
      <c r="L672" s="1185" t="str">
        <f>OBRA!AH674</f>
        <v>-</v>
      </c>
      <c r="M672" s="1188"/>
      <c r="N672" s="1185" t="str">
        <f>OBRA!AI674</f>
        <v>-</v>
      </c>
      <c r="O672" s="1185"/>
      <c r="P672" s="1185"/>
      <c r="Q672" s="1187"/>
      <c r="R672" s="437" t="str">
        <f>OBRA!AJ674</f>
        <v>-</v>
      </c>
      <c r="S672" s="535"/>
      <c r="T672" s="399" t="str">
        <f>OBRA!W674</f>
        <v>LEXCLI, S. DE R.L. DE C.V.</v>
      </c>
      <c r="U672" s="408" t="str">
        <f>OBRA!X674</f>
        <v>ARQ. FRANCISCO SALAZAR</v>
      </c>
      <c r="V672" s="1090"/>
      <c r="W672" s="19" t="str">
        <f>OBRA!N674</f>
        <v>C.P.S.P. DOP 014/2023</v>
      </c>
      <c r="X672" s="1402"/>
      <c r="Y672" s="1402"/>
      <c r="Z672" s="409" t="str">
        <f>OBRA!M674</f>
        <v>CUENTA CORRIENTE</v>
      </c>
      <c r="AA672" s="1402"/>
      <c r="AB672" s="2" t="str">
        <f>OBRA!O674</f>
        <v>SERVICIOS</v>
      </c>
      <c r="AC672" s="3" t="str">
        <f>OBRA!P674</f>
        <v>CONTRATACIÓN PARA LA REALIZACIÓN DE: ESTUDIO GEOHIDROLÓGICO-GEOFÍSICO CON FINES DE LOCALIZAR AGUA SUBTERRÁNEA EN CALLE VICENTE GUERRERO NORTE UBICADO EN LA LOCALICAS DE SAN JUAN COSALÁ, DEL MUNICIPIO DE JOCOTEPEC, JALISCO.</v>
      </c>
      <c r="AD672" s="4">
        <f>OBRA!R674</f>
        <v>18560</v>
      </c>
      <c r="AE672" s="6">
        <f>OBRA!S674</f>
        <v>45001</v>
      </c>
      <c r="AF672" s="5">
        <f>OBRA!T674</f>
        <v>45005</v>
      </c>
      <c r="AG672" s="390">
        <f>OBRA!U674</f>
        <v>45009</v>
      </c>
      <c r="AH672" s="880"/>
      <c r="AI672" s="161"/>
      <c r="AJ672" s="219"/>
      <c r="AK672" s="219"/>
      <c r="AL672" s="632"/>
      <c r="AM672" s="519">
        <f>GRAL!B939</f>
        <v>0</v>
      </c>
    </row>
    <row r="673" spans="1:39" ht="75" hidden="1">
      <c r="A673" s="158">
        <f>OBRA!J675</f>
        <v>2023</v>
      </c>
      <c r="B673" s="1683"/>
      <c r="C673" s="1360"/>
      <c r="D673" s="163"/>
      <c r="E673" s="1169"/>
      <c r="F673" s="1169"/>
      <c r="G673" s="1184"/>
      <c r="H673" s="1185" t="str">
        <f>OBRA!AF675</f>
        <v>-</v>
      </c>
      <c r="I673" s="1186"/>
      <c r="J673" s="1361" t="str">
        <f>OBRA!AG675</f>
        <v>-</v>
      </c>
      <c r="K673" s="1187"/>
      <c r="L673" s="1185" t="str">
        <f>OBRA!AH675</f>
        <v>-</v>
      </c>
      <c r="M673" s="1188"/>
      <c r="N673" s="1185" t="str">
        <f>OBRA!AI675</f>
        <v>-</v>
      </c>
      <c r="O673" s="1185"/>
      <c r="P673" s="1185"/>
      <c r="Q673" s="1187"/>
      <c r="R673" s="437" t="str">
        <f>OBRA!AJ675</f>
        <v>-</v>
      </c>
      <c r="S673" s="535"/>
      <c r="T673" s="399" t="str">
        <f>OBRA!W675</f>
        <v>ING. SERGIO CABRERA</v>
      </c>
      <c r="U673" s="408" t="str">
        <f>OBRA!X675</f>
        <v>ARQ. FRANCISCO SALAZAR</v>
      </c>
      <c r="V673" s="1090"/>
      <c r="W673" s="19" t="str">
        <f>OBRA!N675</f>
        <v>C.P.S.P. DOP 015/2023</v>
      </c>
      <c r="X673" s="1402"/>
      <c r="Y673" s="1402"/>
      <c r="Z673" s="409" t="str">
        <f>OBRA!M675</f>
        <v>CUENTA CORRIENTE</v>
      </c>
      <c r="AA673" s="1402"/>
      <c r="AB673" s="2" t="str">
        <f>OBRA!O675</f>
        <v>SERVICIOS</v>
      </c>
      <c r="AC673" s="3" t="str">
        <f>OBRA!P675</f>
        <v>CONTRATACIÓN PARA LA REALIZACIÓN DEL SIGUIENTE LEVANTAMIENTO TOPOGRAFICO: PARA EL PROYECTO DE; REMODELACIÓN DE LA PLAZA PRINCIPAL DE HUEJOTITÁN, DEL MUNICIPIO DE JOCOTEPEC, JALISCO.</v>
      </c>
      <c r="AD673" s="4">
        <f>OBRA!R675</f>
        <v>11600</v>
      </c>
      <c r="AE673" s="6">
        <f>OBRA!S675</f>
        <v>45005</v>
      </c>
      <c r="AF673" s="5">
        <f>OBRA!T675</f>
        <v>45012</v>
      </c>
      <c r="AG673" s="390">
        <f>OBRA!U675</f>
        <v>45016</v>
      </c>
      <c r="AH673" s="880"/>
      <c r="AI673" s="161"/>
      <c r="AJ673" s="219"/>
      <c r="AK673" s="219"/>
      <c r="AL673" s="632"/>
      <c r="AM673" s="519">
        <f>GRAL!B940</f>
        <v>0</v>
      </c>
    </row>
    <row r="674" spans="1:39" ht="75" hidden="1">
      <c r="A674" s="158">
        <f>OBRA!J676</f>
        <v>2023</v>
      </c>
      <c r="B674" s="1683"/>
      <c r="C674" s="1360"/>
      <c r="D674" s="163"/>
      <c r="E674" s="1169"/>
      <c r="F674" s="1169"/>
      <c r="G674" s="1184"/>
      <c r="H674" s="1185" t="str">
        <f>OBRA!AF676</f>
        <v>-</v>
      </c>
      <c r="I674" s="1186"/>
      <c r="J674" s="1361" t="str">
        <f>OBRA!AG676</f>
        <v>-</v>
      </c>
      <c r="K674" s="1187"/>
      <c r="L674" s="1185" t="str">
        <f>OBRA!AH676</f>
        <v>-</v>
      </c>
      <c r="M674" s="1188"/>
      <c r="N674" s="1185" t="str">
        <f>OBRA!AI676</f>
        <v>-</v>
      </c>
      <c r="O674" s="1185"/>
      <c r="P674" s="1185"/>
      <c r="Q674" s="1187"/>
      <c r="R674" s="437" t="str">
        <f>OBRA!AJ676</f>
        <v>-</v>
      </c>
      <c r="S674" s="535"/>
      <c r="T674" s="399" t="str">
        <f>OBRA!W676</f>
        <v>ING. SERGIO CABRERA</v>
      </c>
      <c r="U674" s="408" t="str">
        <f>OBRA!X676</f>
        <v>ARQ. FRANCISCO SALAZAR</v>
      </c>
      <c r="V674" s="1090"/>
      <c r="W674" s="19" t="str">
        <f>OBRA!N676</f>
        <v>C.P.S.P. DOP 016/2023</v>
      </c>
      <c r="X674" s="1402"/>
      <c r="Y674" s="1402"/>
      <c r="Z674" s="409" t="str">
        <f>OBRA!M676</f>
        <v>CUENTA CORRIENTE</v>
      </c>
      <c r="AA674" s="1402"/>
      <c r="AB674" s="2" t="str">
        <f>OBRA!O676</f>
        <v>SERVICIOS</v>
      </c>
      <c r="AC674" s="3" t="str">
        <f>OBRA!P680</f>
        <v>CONTRATACIÓN PARA LA REALIZACIÓN DE LOS SIGUIENTES LEVANTAMIENTOS TOPOGRAFICOS: DE LAS OBRAS DEL PROGRAMA "EMPEDRADOS PARA LA REACTIVACIÓN ECONÓMICA EN MUNICIPIOS" EJERCICIO FISCAL 2022.</v>
      </c>
      <c r="AD674" s="4">
        <f>OBRA!R680</f>
        <v>96447.573600000003</v>
      </c>
      <c r="AE674" s="6">
        <f>OBRA!S680</f>
        <v>45118</v>
      </c>
      <c r="AF674" s="5">
        <f>OBRA!T680</f>
        <v>45120</v>
      </c>
      <c r="AG674" s="390">
        <f>OBRA!U680</f>
        <v>45129</v>
      </c>
      <c r="AH674" s="880"/>
      <c r="AI674" s="161"/>
      <c r="AJ674" s="219"/>
      <c r="AK674" s="219"/>
      <c r="AL674" s="632"/>
      <c r="AM674" s="519">
        <f>GRAL!B941</f>
        <v>0</v>
      </c>
    </row>
    <row r="675" spans="1:39" ht="105" hidden="1">
      <c r="A675" s="158">
        <f>OBRA!J677</f>
        <v>2023</v>
      </c>
      <c r="B675" s="1683"/>
      <c r="C675" s="1360"/>
      <c r="D675" s="163"/>
      <c r="E675" s="1169"/>
      <c r="F675" s="1169"/>
      <c r="G675" s="1184"/>
      <c r="H675" s="1185" t="str">
        <f>OBRA!AF677</f>
        <v>-</v>
      </c>
      <c r="I675" s="1186"/>
      <c r="J675" s="1361" t="str">
        <f>OBRA!AG677</f>
        <v>-</v>
      </c>
      <c r="K675" s="1187"/>
      <c r="L675" s="1185" t="str">
        <f>OBRA!AH677</f>
        <v>-</v>
      </c>
      <c r="M675" s="1188"/>
      <c r="N675" s="1185" t="str">
        <f>OBRA!AI677</f>
        <v>-</v>
      </c>
      <c r="O675" s="1185"/>
      <c r="P675" s="1185"/>
      <c r="Q675" s="1187"/>
      <c r="R675" s="437" t="str">
        <f>OBRA!AJ677</f>
        <v>-</v>
      </c>
      <c r="S675" s="535"/>
      <c r="T675" s="399" t="str">
        <f>OBRA!W677</f>
        <v xml:space="preserve">CICLOS GIP SC </v>
      </c>
      <c r="U675" s="408" t="str">
        <f>OBRA!X677</f>
        <v>ARQ. FRANCISCO SALAZAR</v>
      </c>
      <c r="V675" s="1090"/>
      <c r="W675" s="19" t="str">
        <f>OBRA!N677</f>
        <v>C.P.S.P. DOP 017/2023</v>
      </c>
      <c r="X675" s="1402"/>
      <c r="Y675" s="1402"/>
      <c r="Z675" s="409" t="str">
        <f>OBRA!M677</f>
        <v>CUENTA CORRIENTE</v>
      </c>
      <c r="AA675" s="1402"/>
      <c r="AB675" s="2" t="str">
        <f>OBRA!O677</f>
        <v>SERVICIOS</v>
      </c>
      <c r="AC675" s="3" t="str">
        <f>OBRA!P677</f>
        <v>CONTRATACIÓN PARA LA REALIZACIÓN DE: ESTUDIOS DE EVALUACIÓN GEOLÓGICA-GEOHIDROLÓGICA REFORZADA CON INVESTIGACIÓNES GEOFÍSICAS-ELECTROMAGNÉTICAS REALIZADAS EN EL PROYECTO PARA EL POZO LOS ARCOS, EN LA CABECERA MUNICIPAL DE JOCOTEPEC, JALISCO.</v>
      </c>
      <c r="AD675" s="4">
        <f>OBRA!R677</f>
        <v>23200</v>
      </c>
      <c r="AE675" s="6">
        <f>OBRA!S677</f>
        <v>45065</v>
      </c>
      <c r="AF675" s="5">
        <f>OBRA!T677</f>
        <v>45068</v>
      </c>
      <c r="AG675" s="390">
        <f>OBRA!U677</f>
        <v>45070</v>
      </c>
      <c r="AH675" s="880"/>
      <c r="AI675" s="161"/>
      <c r="AJ675" s="219"/>
      <c r="AK675" s="219"/>
      <c r="AL675" s="632"/>
      <c r="AM675" s="519">
        <f>GRAL!B942</f>
        <v>0</v>
      </c>
    </row>
    <row r="676" spans="1:39" ht="105" hidden="1">
      <c r="A676" s="158">
        <f>OBRA!J678</f>
        <v>2023</v>
      </c>
      <c r="B676" s="1683"/>
      <c r="C676" s="1360"/>
      <c r="D676" s="163"/>
      <c r="E676" s="1169"/>
      <c r="F676" s="1169"/>
      <c r="G676" s="1184"/>
      <c r="H676" s="1185" t="str">
        <f>OBRA!AF678</f>
        <v>-</v>
      </c>
      <c r="I676" s="1186"/>
      <c r="J676" s="1361" t="str">
        <f>OBRA!AG678</f>
        <v>-</v>
      </c>
      <c r="K676" s="1187"/>
      <c r="L676" s="1185" t="str">
        <f>OBRA!AH678</f>
        <v>-</v>
      </c>
      <c r="M676" s="1188"/>
      <c r="N676" s="1185" t="str">
        <f>OBRA!AI678</f>
        <v>-</v>
      </c>
      <c r="O676" s="1185"/>
      <c r="P676" s="1185"/>
      <c r="Q676" s="1187"/>
      <c r="R676" s="437" t="str">
        <f>OBRA!AJ678</f>
        <v>-</v>
      </c>
      <c r="S676" s="535"/>
      <c r="T676" s="399" t="str">
        <f>OBRA!W678</f>
        <v xml:space="preserve">CICLOS GIP SC </v>
      </c>
      <c r="U676" s="408" t="str">
        <f>OBRA!X678</f>
        <v>ARQ. FRANCISCO SALAZAR</v>
      </c>
      <c r="V676" s="1090"/>
      <c r="W676" s="19" t="str">
        <f>OBRA!N678</f>
        <v>C.P.S.P. DOP 018/2023</v>
      </c>
      <c r="X676" s="1402"/>
      <c r="Y676" s="1402"/>
      <c r="Z676" s="409" t="str">
        <f>OBRA!M678</f>
        <v>CUENTA CORRIENTE</v>
      </c>
      <c r="AA676" s="1402"/>
      <c r="AB676" s="2" t="str">
        <f>OBRA!O678</f>
        <v>SERVICIOS</v>
      </c>
      <c r="AC676" s="3" t="str">
        <f>OBRA!P678</f>
        <v>CONTRATACIÓN PARA LA REALIZACIÓN DE: ESTUDIOS DE EVALUACIÓN GEOLÓGICA-GEOHIDROLÓGICA REFORZADA CON INVESTIGACIÓNES GEOFÍSICAS-ELECTROMAGNÉTICAS REALIZADAS EN EL PROYECTO PARA EL POZO CAMICHINES, EN LA CABECERA MUNICIPAL DE JOCOTEPEC, JALISCO.</v>
      </c>
      <c r="AD676" s="4">
        <f>OBRA!R678</f>
        <v>23200</v>
      </c>
      <c r="AE676" s="6">
        <f>OBRA!S678</f>
        <v>45069</v>
      </c>
      <c r="AF676" s="5">
        <f>OBRA!T678</f>
        <v>45071</v>
      </c>
      <c r="AG676" s="390">
        <f>OBRA!U678</f>
        <v>45072</v>
      </c>
      <c r="AH676" s="880"/>
      <c r="AI676" s="161"/>
      <c r="AJ676" s="219"/>
      <c r="AK676" s="219"/>
      <c r="AL676" s="632"/>
      <c r="AM676" s="519">
        <f>GRAL!B943</f>
        <v>0</v>
      </c>
    </row>
    <row r="677" spans="1:39" ht="75" hidden="1">
      <c r="A677" s="158">
        <f>OBRA!J679</f>
        <v>2023</v>
      </c>
      <c r="B677" s="1683"/>
      <c r="C677" s="1360"/>
      <c r="D677" s="163"/>
      <c r="E677" s="1169"/>
      <c r="F677" s="1169"/>
      <c r="G677" s="1184"/>
      <c r="H677" s="1185" t="str">
        <f>OBRA!AF679</f>
        <v>-</v>
      </c>
      <c r="I677" s="1186"/>
      <c r="J677" s="1361" t="str">
        <f>OBRA!AG679</f>
        <v>-</v>
      </c>
      <c r="K677" s="1187"/>
      <c r="L677" s="1185" t="str">
        <f>OBRA!AH679</f>
        <v>-</v>
      </c>
      <c r="M677" s="1188"/>
      <c r="N677" s="1185" t="str">
        <f>OBRA!AI679</f>
        <v>-</v>
      </c>
      <c r="O677" s="1185"/>
      <c r="P677" s="1185"/>
      <c r="Q677" s="1187"/>
      <c r="R677" s="437" t="str">
        <f>OBRA!AJ679</f>
        <v>-</v>
      </c>
      <c r="S677" s="535"/>
      <c r="T677" s="399" t="str">
        <f>OBRA!W679</f>
        <v>ING. LUIS JOEL HUERTA LOMA</v>
      </c>
      <c r="U677" s="408" t="str">
        <f>OBRA!X679</f>
        <v>ARQ. FRANCISCO SALAZAR</v>
      </c>
      <c r="V677" s="1090"/>
      <c r="W677" s="19" t="str">
        <f>OBRA!N679</f>
        <v>C.P.S.P. DOP 019/2023</v>
      </c>
      <c r="X677" s="1402"/>
      <c r="Y677" s="1402"/>
      <c r="Z677" s="409" t="str">
        <f>OBRA!M679</f>
        <v>CUENTA CORRIENTE</v>
      </c>
      <c r="AA677" s="1402"/>
      <c r="AB677" s="2" t="str">
        <f>OBRA!O679</f>
        <v>SERVICIOS</v>
      </c>
      <c r="AC677" s="3" t="str">
        <f>OBRA!P679</f>
        <v>CONTRATACIÓN PARA LA REALIZACIÓN DEL SIGUIENTE LEVANTAMIENTO TOPOGRAFICO: PARA EL PROYECTO EJECUTIVO DEL COLECTOR DE LA CABECERA MUNICIPAL DE JOCOTEPEC, JALISCO.</v>
      </c>
      <c r="AD677" s="4">
        <f>OBRA!R679</f>
        <v>5999.9955999999993</v>
      </c>
      <c r="AE677" s="6">
        <f>OBRA!S679</f>
        <v>45099</v>
      </c>
      <c r="AF677" s="5">
        <f>OBRA!T679</f>
        <v>45099</v>
      </c>
      <c r="AG677" s="390">
        <f>OBRA!U679</f>
        <v>45103</v>
      </c>
      <c r="AH677" s="880"/>
      <c r="AI677" s="161"/>
      <c r="AJ677" s="219"/>
      <c r="AK677" s="219"/>
      <c r="AL677" s="632"/>
      <c r="AM677" s="519">
        <f>GRAL!B944</f>
        <v>0</v>
      </c>
    </row>
    <row r="678" spans="1:39" ht="30" hidden="1">
      <c r="A678" s="158">
        <f>OBRA!J680</f>
        <v>2023</v>
      </c>
      <c r="B678" s="1683"/>
      <c r="C678" s="1360"/>
      <c r="D678" s="163"/>
      <c r="E678" s="1169"/>
      <c r="F678" s="1169"/>
      <c r="G678" s="1184"/>
      <c r="H678" s="1185" t="str">
        <f>OBRA!AF680</f>
        <v>-</v>
      </c>
      <c r="I678" s="1186"/>
      <c r="J678" s="1361" t="str">
        <f>OBRA!AG680</f>
        <v>-</v>
      </c>
      <c r="K678" s="1187"/>
      <c r="L678" s="1185" t="str">
        <f>OBRA!AH680</f>
        <v>-</v>
      </c>
      <c r="M678" s="1188"/>
      <c r="N678" s="1185" t="str">
        <f>OBRA!AI680</f>
        <v>-</v>
      </c>
      <c r="O678" s="1185"/>
      <c r="P678" s="1185"/>
      <c r="Q678" s="1187"/>
      <c r="R678" s="437" t="str">
        <f>OBRA!AJ680</f>
        <v>-</v>
      </c>
      <c r="S678" s="535"/>
      <c r="T678" s="399" t="str">
        <f>OBRA!W680</f>
        <v>ING. LUIS JOEL HUERTA LOMA</v>
      </c>
      <c r="U678" s="408" t="str">
        <f>OBRA!X680</f>
        <v>ARQ. FRANCISCO SALAZAR</v>
      </c>
      <c r="V678" s="1090"/>
      <c r="W678" s="19" t="str">
        <f>OBRA!N680</f>
        <v>C.P.S.P. DOP 020/2023</v>
      </c>
      <c r="X678" s="1402"/>
      <c r="Y678" s="1402"/>
      <c r="Z678" s="409" t="str">
        <f>OBRA!M680</f>
        <v>CUENTA CORRIENTE</v>
      </c>
      <c r="AA678" s="1402"/>
      <c r="AB678" s="2" t="str">
        <f>OBRA!O680</f>
        <v>SERVICIOS</v>
      </c>
      <c r="AC678" s="3" t="e">
        <f>OBRA!#REF!</f>
        <v>#REF!</v>
      </c>
      <c r="AD678" s="4" t="e">
        <f>OBRA!#REF!</f>
        <v>#REF!</v>
      </c>
      <c r="AE678" s="6" t="e">
        <f>OBRA!#REF!</f>
        <v>#REF!</v>
      </c>
      <c r="AF678" s="5" t="e">
        <f>OBRA!#REF!</f>
        <v>#REF!</v>
      </c>
      <c r="AG678" s="390" t="e">
        <f>OBRA!#REF!</f>
        <v>#REF!</v>
      </c>
      <c r="AH678" s="880"/>
      <c r="AI678" s="161"/>
      <c r="AJ678" s="219"/>
      <c r="AK678" s="219"/>
      <c r="AL678" s="632"/>
      <c r="AM678" s="519">
        <f>GRAL!B945</f>
        <v>0</v>
      </c>
    </row>
    <row r="679" spans="1:39" ht="180" hidden="1">
      <c r="A679" s="158">
        <f>OBRA!J681</f>
        <v>2023</v>
      </c>
      <c r="B679" s="1683"/>
      <c r="C679" s="1360"/>
      <c r="D679" s="163"/>
      <c r="E679" s="1169"/>
      <c r="F679" s="1169"/>
      <c r="G679" s="1184"/>
      <c r="H679" s="1185" t="str">
        <f>OBRA!AF681</f>
        <v>-</v>
      </c>
      <c r="I679" s="1186"/>
      <c r="J679" s="1361" t="str">
        <f>OBRA!AG681</f>
        <v>-</v>
      </c>
      <c r="K679" s="1187"/>
      <c r="L679" s="1185" t="str">
        <f>OBRA!AH681</f>
        <v>-</v>
      </c>
      <c r="M679" s="1188"/>
      <c r="N679" s="1185" t="str">
        <f>OBRA!AI681</f>
        <v>-</v>
      </c>
      <c r="O679" s="1185"/>
      <c r="P679" s="1185"/>
      <c r="Q679" s="1187"/>
      <c r="R679" s="437" t="str">
        <f>OBRA!AJ681</f>
        <v>-</v>
      </c>
      <c r="S679" s="535"/>
      <c r="T679" s="399" t="str">
        <f>OBRA!W681</f>
        <v>SOLEC ENERGY, S.A. DE C.V.</v>
      </c>
      <c r="U679" s="408" t="str">
        <f>OBRA!X681</f>
        <v>ARQ. FRANCISCO SALAZAR</v>
      </c>
      <c r="V679" s="1090"/>
      <c r="W679" s="19" t="str">
        <f>OBRA!N681</f>
        <v>C.P.S.P. DOP 021/2023</v>
      </c>
      <c r="X679" s="1402"/>
      <c r="Y679" s="1402"/>
      <c r="Z679" s="409" t="str">
        <f>OBRA!M681</f>
        <v>CUENTA CORRIENTE</v>
      </c>
      <c r="AA679" s="1402"/>
      <c r="AB679" s="2" t="str">
        <f>OBRA!O681</f>
        <v>SERVICIOS</v>
      </c>
      <c r="AC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OBRA!R681</f>
        <v>17400</v>
      </c>
      <c r="AE679" s="6">
        <f>OBRA!S681</f>
        <v>45131</v>
      </c>
      <c r="AF679" s="5">
        <f>OBRA!T681</f>
        <v>45138</v>
      </c>
      <c r="AG679" s="390">
        <f>OBRA!U681</f>
        <v>45187</v>
      </c>
      <c r="AH679" s="880"/>
      <c r="AI679" s="161"/>
      <c r="AJ679" s="219"/>
      <c r="AK679" s="219"/>
      <c r="AL679" s="632"/>
      <c r="AM679" s="519">
        <f>GRAL!B946</f>
        <v>0</v>
      </c>
    </row>
    <row r="680" spans="1:39" ht="90" hidden="1">
      <c r="A680" s="158">
        <f>OBRA!J682</f>
        <v>2023</v>
      </c>
      <c r="B680" s="1683"/>
      <c r="C680" s="1360"/>
      <c r="D680" s="163"/>
      <c r="E680" s="1169"/>
      <c r="F680" s="1169"/>
      <c r="G680" s="1184"/>
      <c r="H680" s="1185" t="str">
        <f>OBRA!AF682</f>
        <v>-</v>
      </c>
      <c r="I680" s="1186"/>
      <c r="J680" s="1361" t="str">
        <f>OBRA!AG682</f>
        <v>-</v>
      </c>
      <c r="K680" s="1187"/>
      <c r="L680" s="1185" t="str">
        <f>OBRA!AH682</f>
        <v>-</v>
      </c>
      <c r="M680" s="1188"/>
      <c r="N680" s="1185" t="str">
        <f>OBRA!AI682</f>
        <v>-</v>
      </c>
      <c r="O680" s="1185"/>
      <c r="P680" s="1185"/>
      <c r="Q680" s="1187"/>
      <c r="R680" s="437" t="str">
        <f>OBRA!AJ682</f>
        <v>-</v>
      </c>
      <c r="S680" s="535"/>
      <c r="T680" s="399" t="str">
        <f>OBRA!W682</f>
        <v>SOLEC ENERGY, S.A. DE C.V.</v>
      </c>
      <c r="U680" s="408" t="str">
        <f>OBRA!X682</f>
        <v>ARQ. FRANCISCO SALAZAR</v>
      </c>
      <c r="V680" s="1090"/>
      <c r="W680" s="19" t="str">
        <f>OBRA!N682</f>
        <v>C.P.S.P. DOP 022/2023</v>
      </c>
      <c r="X680" s="1402"/>
      <c r="Y680" s="1402"/>
      <c r="Z680" s="409" t="str">
        <f>OBRA!M682</f>
        <v>CUENTA CORRIENTE</v>
      </c>
      <c r="AA680" s="1402"/>
      <c r="AB680" s="2" t="str">
        <f>OBRA!O682</f>
        <v>SERVICIOS</v>
      </c>
      <c r="AC680" s="3" t="str">
        <f>OBRA!P682</f>
        <v>CONTRATACIÓN DE SERVICIOS PROFESIONALES PARA: REHABILITACIÓN DE ACOMETIDAS Y REACOMODO DE LA BAJA TENSIÓN EN CALLE PLAYAS DEL SOL EN LA LOCALIDAD DE CHANTEPEC, DEL MUNICIPIO DE JOCOTEPEC, JALISCO.</v>
      </c>
      <c r="AD680" s="4">
        <f>OBRA!R682</f>
        <v>73689.208799999993</v>
      </c>
      <c r="AE680" s="6">
        <f>OBRA!S682</f>
        <v>45133</v>
      </c>
      <c r="AF680" s="5">
        <f>OBRA!T682</f>
        <v>45141</v>
      </c>
      <c r="AG680" s="390">
        <f>OBRA!U682</f>
        <v>45155</v>
      </c>
      <c r="AH680" s="880"/>
      <c r="AI680" s="161"/>
      <c r="AJ680" s="219"/>
      <c r="AK680" s="219"/>
      <c r="AL680" s="632"/>
      <c r="AM680" s="519">
        <f>GRAL!B947</f>
        <v>0</v>
      </c>
    </row>
    <row r="681" spans="1:39" ht="90" hidden="1">
      <c r="A681" s="158">
        <f>OBRA!J683</f>
        <v>2023</v>
      </c>
      <c r="B681" s="1683"/>
      <c r="C681" s="1360"/>
      <c r="D681" s="163"/>
      <c r="E681" s="1169"/>
      <c r="F681" s="1169"/>
      <c r="G681" s="1184"/>
      <c r="H681" s="1185" t="str">
        <f>OBRA!AF683</f>
        <v>-</v>
      </c>
      <c r="I681" s="1186"/>
      <c r="J681" s="1361" t="str">
        <f>OBRA!AG683</f>
        <v>-</v>
      </c>
      <c r="K681" s="1187"/>
      <c r="L681" s="1185" t="str">
        <f>OBRA!AH683</f>
        <v>-</v>
      </c>
      <c r="M681" s="1188"/>
      <c r="N681" s="1185" t="str">
        <f>OBRA!AI683</f>
        <v>-</v>
      </c>
      <c r="O681" s="1185"/>
      <c r="P681" s="1185"/>
      <c r="Q681" s="1187"/>
      <c r="R681" s="437" t="str">
        <f>OBRA!AJ683</f>
        <v>-</v>
      </c>
      <c r="S681" s="535"/>
      <c r="T681" s="399" t="str">
        <f>OBRA!W683</f>
        <v>SOLEC ENERGY, S.A. DE C.V.</v>
      </c>
      <c r="U681" s="408" t="str">
        <f>OBRA!X683</f>
        <v>ARQ. FRANCISCO SALAZAR</v>
      </c>
      <c r="V681" s="1090"/>
      <c r="W681" s="19" t="str">
        <f>OBRA!N683</f>
        <v>C.P.S.P. DOP 023/2023</v>
      </c>
      <c r="X681" s="1402"/>
      <c r="Y681" s="1402"/>
      <c r="Z681" s="409" t="str">
        <f>OBRA!M683</f>
        <v>CUENTA CORRIENTE</v>
      </c>
      <c r="AA681" s="1402"/>
      <c r="AB681" s="2" t="str">
        <f>OBRA!O683</f>
        <v>SERVICIOS</v>
      </c>
      <c r="AC681" s="3" t="str">
        <f>OBRA!P683</f>
        <v>CONTRATACIÓN DE SERVICIOS PROFESIONALES PARA LA: ADECUACIONES COMPLEMENTARIAS PARA EL BUEN FUNCIONAMIENTO EN EL SERVICIO DE ENERGÍA ELÉCTRICA EN LA CICLOVÍA EN EL TRAMO DE SAN JUAN COSALÁ A NEXTIPAC, DEL MUNICIPIO DE JOCOTEPEC, JALISCO.</v>
      </c>
      <c r="AD681" s="4">
        <f>OBRA!R683</f>
        <v>161863.23319999999</v>
      </c>
      <c r="AE681" s="6">
        <f>OBRA!S683</f>
        <v>45148</v>
      </c>
      <c r="AF681" s="5">
        <f>OBRA!T683</f>
        <v>45152</v>
      </c>
      <c r="AG681" s="390">
        <f>OBRA!U683</f>
        <v>45163</v>
      </c>
      <c r="AH681" s="880"/>
      <c r="AI681" s="161"/>
      <c r="AJ681" s="219"/>
      <c r="AK681" s="219"/>
      <c r="AL681" s="632"/>
      <c r="AM681" s="519">
        <f>GRAL!B948</f>
        <v>0</v>
      </c>
    </row>
    <row r="682" spans="1:39" ht="120" hidden="1">
      <c r="A682" s="158">
        <f>OBRA!J684</f>
        <v>2023</v>
      </c>
      <c r="B682" s="1683"/>
      <c r="C682" s="1360"/>
      <c r="D682" s="163"/>
      <c r="E682" s="1169"/>
      <c r="F682" s="1169"/>
      <c r="G682" s="1184"/>
      <c r="H682" s="1185" t="str">
        <f>OBRA!AF684</f>
        <v>-</v>
      </c>
      <c r="I682" s="1186"/>
      <c r="J682" s="1361" t="str">
        <f>OBRA!AG684</f>
        <v>-</v>
      </c>
      <c r="K682" s="1187"/>
      <c r="L682" s="1185" t="str">
        <f>OBRA!AH684</f>
        <v>-</v>
      </c>
      <c r="M682" s="1188"/>
      <c r="N682" s="1185" t="str">
        <f>OBRA!AI684</f>
        <v>-</v>
      </c>
      <c r="O682" s="1185"/>
      <c r="P682" s="1185"/>
      <c r="Q682" s="1187"/>
      <c r="R682" s="437" t="str">
        <f>OBRA!AJ684</f>
        <v>-</v>
      </c>
      <c r="S682" s="535"/>
      <c r="T682" s="399" t="str">
        <f>OBRA!W684</f>
        <v>ING. LUIS JOEL HUERTA LOMA</v>
      </c>
      <c r="U682" s="408" t="str">
        <f>OBRA!X684</f>
        <v>ARQ. FRANCISCO SALAZAR</v>
      </c>
      <c r="V682" s="1090"/>
      <c r="W682" s="19" t="str">
        <f>OBRA!N684</f>
        <v>C.P.S.P. DOP 024/2023</v>
      </c>
      <c r="X682" s="1402"/>
      <c r="Y682" s="1402"/>
      <c r="Z682" s="409" t="str">
        <f>OBRA!M684</f>
        <v>CUENTA CORRIENTE</v>
      </c>
      <c r="AA682" s="1402"/>
      <c r="AB682" s="2" t="str">
        <f>OBRA!O684</f>
        <v>SERVICIOS</v>
      </c>
      <c r="AC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OBRA!R684</f>
        <v>34800</v>
      </c>
      <c r="AE682" s="6">
        <f>OBRA!S684</f>
        <v>45140</v>
      </c>
      <c r="AF682" s="5">
        <f>OBRA!T684</f>
        <v>45141</v>
      </c>
      <c r="AG682" s="390">
        <f>OBRA!U684</f>
        <v>45143</v>
      </c>
      <c r="AH682" s="880"/>
      <c r="AI682" s="161"/>
      <c r="AJ682" s="219"/>
      <c r="AK682" s="219"/>
      <c r="AL682" s="632"/>
      <c r="AM682" s="519">
        <f>GRAL!B949</f>
        <v>0</v>
      </c>
    </row>
    <row r="683" spans="1:39" ht="120" hidden="1">
      <c r="A683" s="158">
        <f>OBRA!J685</f>
        <v>2023</v>
      </c>
      <c r="B683" s="1683"/>
      <c r="C683" s="1360"/>
      <c r="D683" s="163"/>
      <c r="E683" s="1169"/>
      <c r="F683" s="1169"/>
      <c r="G683" s="1184"/>
      <c r="H683" s="1185" t="str">
        <f>OBRA!AF685</f>
        <v>-</v>
      </c>
      <c r="I683" s="1186"/>
      <c r="J683" s="1361" t="str">
        <f>OBRA!AG685</f>
        <v>-</v>
      </c>
      <c r="K683" s="1187"/>
      <c r="L683" s="1185" t="str">
        <f>OBRA!AH685</f>
        <v>-</v>
      </c>
      <c r="M683" s="1188"/>
      <c r="N683" s="1185" t="str">
        <f>OBRA!AI685</f>
        <v>-</v>
      </c>
      <c r="O683" s="1185"/>
      <c r="P683" s="1185"/>
      <c r="Q683" s="1187"/>
      <c r="R683" s="437" t="str">
        <f>OBRA!AJ685</f>
        <v>-</v>
      </c>
      <c r="S683" s="535"/>
      <c r="T683" s="399" t="str">
        <f>OBRA!W685</f>
        <v>ING. LUIS JOEL HUERTA LOMA</v>
      </c>
      <c r="U683" s="408" t="str">
        <f>OBRA!X685</f>
        <v>ARQ. FRANCISCO SALAZAR</v>
      </c>
      <c r="V683" s="1090"/>
      <c r="W683" s="19" t="str">
        <f>OBRA!N685</f>
        <v>C.P.S.P. DOP 025/2023</v>
      </c>
      <c r="X683" s="1402"/>
      <c r="Y683" s="1402"/>
      <c r="Z683" s="409" t="str">
        <f>OBRA!M685</f>
        <v>CUENTA CORRIENTE</v>
      </c>
      <c r="AA683" s="1402"/>
      <c r="AB683" s="2" t="str">
        <f>OBRA!O685</f>
        <v>SERVICIOS</v>
      </c>
      <c r="AC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OBRA!R685</f>
        <v>54531.6</v>
      </c>
      <c r="AE683" s="6">
        <f>OBRA!S685</f>
        <v>45140</v>
      </c>
      <c r="AF683" s="5">
        <f>OBRA!T685</f>
        <v>45152</v>
      </c>
      <c r="AG683" s="390">
        <f>OBRA!U685</f>
        <v>45155</v>
      </c>
      <c r="AH683" s="880"/>
      <c r="AI683" s="161"/>
      <c r="AJ683" s="219"/>
      <c r="AK683" s="219"/>
      <c r="AL683" s="632"/>
      <c r="AM683" s="519">
        <f>GRAL!B950</f>
        <v>0</v>
      </c>
    </row>
    <row r="684" spans="1:39" ht="120" hidden="1">
      <c r="A684" s="158">
        <f>OBRA!J686</f>
        <v>2023</v>
      </c>
      <c r="B684" s="1683"/>
      <c r="C684" s="1360"/>
      <c r="D684" s="163"/>
      <c r="E684" s="1169"/>
      <c r="F684" s="1169"/>
      <c r="G684" s="1184"/>
      <c r="H684" s="1185" t="str">
        <f>OBRA!AF686</f>
        <v>-</v>
      </c>
      <c r="I684" s="1186"/>
      <c r="J684" s="1361" t="str">
        <f>OBRA!AG686</f>
        <v>-</v>
      </c>
      <c r="K684" s="1187"/>
      <c r="L684" s="1185" t="str">
        <f>OBRA!AH686</f>
        <v>-</v>
      </c>
      <c r="M684" s="1188"/>
      <c r="N684" s="1185" t="str">
        <f>OBRA!AI686</f>
        <v>-</v>
      </c>
      <c r="O684" s="1185"/>
      <c r="P684" s="1185"/>
      <c r="Q684" s="1187"/>
      <c r="R684" s="437" t="str">
        <f>OBRA!AJ686</f>
        <v>-</v>
      </c>
      <c r="S684" s="535"/>
      <c r="T684" s="399" t="str">
        <f>OBRA!W686</f>
        <v>ING. LUIS JOEL HUERTA LOMA</v>
      </c>
      <c r="U684" s="408" t="str">
        <f>OBRA!X686</f>
        <v>ARQ. FRANCISCO SALAZAR</v>
      </c>
      <c r="V684" s="1090"/>
      <c r="W684" s="19" t="str">
        <f>OBRA!N686</f>
        <v>C.P.S.P. DOP 026/2023</v>
      </c>
      <c r="X684" s="1402"/>
      <c r="Y684" s="1402"/>
      <c r="Z684" s="409" t="str">
        <f>OBRA!M686</f>
        <v>CUENTA CORRIENTE</v>
      </c>
      <c r="AA684" s="1402"/>
      <c r="AB684" s="2" t="str">
        <f>OBRA!O686</f>
        <v>SERVICIOS</v>
      </c>
      <c r="AC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OBRA!R686</f>
        <v>34800</v>
      </c>
      <c r="AE684" s="6">
        <f>OBRA!S686</f>
        <v>45140</v>
      </c>
      <c r="AF684" s="5">
        <f>OBRA!T686</f>
        <v>45144</v>
      </c>
      <c r="AG684" s="390">
        <f>OBRA!U686</f>
        <v>45146</v>
      </c>
      <c r="AH684" s="880"/>
      <c r="AI684" s="161"/>
      <c r="AJ684" s="219"/>
      <c r="AK684" s="219"/>
      <c r="AL684" s="632"/>
      <c r="AM684" s="519">
        <f>GRAL!B951</f>
        <v>0</v>
      </c>
    </row>
    <row r="685" spans="1:39" ht="105" hidden="1">
      <c r="A685" s="158">
        <f>OBRA!J687</f>
        <v>2023</v>
      </c>
      <c r="B685" s="1683"/>
      <c r="C685" s="1360"/>
      <c r="D685" s="163"/>
      <c r="E685" s="1169"/>
      <c r="F685" s="1169"/>
      <c r="G685" s="1184"/>
      <c r="H685" s="1185" t="str">
        <f>OBRA!AF687</f>
        <v>-</v>
      </c>
      <c r="I685" s="1186"/>
      <c r="J685" s="1361" t="str">
        <f>OBRA!AG687</f>
        <v>-</v>
      </c>
      <c r="K685" s="1187"/>
      <c r="L685" s="1185" t="str">
        <f>OBRA!AH687</f>
        <v>-</v>
      </c>
      <c r="M685" s="1188"/>
      <c r="N685" s="1185" t="str">
        <f>OBRA!AI687</f>
        <v>-</v>
      </c>
      <c r="O685" s="1185"/>
      <c r="P685" s="1185"/>
      <c r="Q685" s="1187"/>
      <c r="R685" s="437" t="str">
        <f>OBRA!AJ687</f>
        <v>-</v>
      </c>
      <c r="S685" s="535"/>
      <c r="T685" s="399" t="str">
        <f>OBRA!W687</f>
        <v>PEDRO MACHUCA SAAVEDRA</v>
      </c>
      <c r="U685" s="408" t="str">
        <f>OBRA!X687</f>
        <v>ARQ. FRANCISCO SALAZAR</v>
      </c>
      <c r="V685" s="1090"/>
      <c r="W685" s="19" t="str">
        <f>OBRA!N687</f>
        <v>C.P.S.P. DOP 027/2023</v>
      </c>
      <c r="X685" s="1402"/>
      <c r="Y685" s="1402"/>
      <c r="Z685" s="409" t="str">
        <f>OBRA!M687</f>
        <v>CUENTA CORRIENTE</v>
      </c>
      <c r="AA685" s="1402"/>
      <c r="AB685" s="2" t="str">
        <f>OBRA!O687</f>
        <v>SERVICIOS</v>
      </c>
      <c r="AC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AD685" s="4">
        <f>OBRA!R687</f>
        <v>3500</v>
      </c>
      <c r="AE685" s="6">
        <f>OBRA!S687</f>
        <v>45140</v>
      </c>
      <c r="AF685" s="5">
        <f>OBRA!T687</f>
        <v>45142</v>
      </c>
      <c r="AG685" s="390">
        <f>OBRA!U687</f>
        <v>45142</v>
      </c>
      <c r="AH685" s="880"/>
      <c r="AI685" s="161"/>
      <c r="AJ685" s="219"/>
      <c r="AK685" s="219"/>
      <c r="AL685" s="632"/>
      <c r="AM685" s="519">
        <f>GRAL!B952</f>
        <v>0</v>
      </c>
    </row>
    <row r="686" spans="1:39" ht="120" hidden="1">
      <c r="A686" s="158">
        <f>OBRA!J688</f>
        <v>2023</v>
      </c>
      <c r="B686" s="1683"/>
      <c r="C686" s="1360"/>
      <c r="D686" s="163"/>
      <c r="E686" s="1169"/>
      <c r="F686" s="1169"/>
      <c r="G686" s="1184"/>
      <c r="H686" s="1185" t="str">
        <f>OBRA!AF688</f>
        <v>-</v>
      </c>
      <c r="I686" s="1186"/>
      <c r="J686" s="1361" t="str">
        <f>OBRA!AG688</f>
        <v>-</v>
      </c>
      <c r="K686" s="1187"/>
      <c r="L686" s="1185" t="str">
        <f>OBRA!AH688</f>
        <v>-</v>
      </c>
      <c r="M686" s="1188"/>
      <c r="N686" s="1185" t="str">
        <f>OBRA!AI688</f>
        <v>-</v>
      </c>
      <c r="O686" s="1185"/>
      <c r="P686" s="1185"/>
      <c r="Q686" s="1187"/>
      <c r="R686" s="437" t="str">
        <f>OBRA!AJ688</f>
        <v>-</v>
      </c>
      <c r="S686" s="535"/>
      <c r="T686" s="399" t="str">
        <f>OBRA!W688</f>
        <v>PEDRO MACHUCA SAAVEDRA</v>
      </c>
      <c r="U686" s="408" t="str">
        <f>OBRA!X688</f>
        <v>ARQ. FRANCISCO SALAZAR</v>
      </c>
      <c r="V686" s="1090"/>
      <c r="W686" s="19" t="str">
        <f>OBRA!N688</f>
        <v>C.P.S.P. DOP 028/2023</v>
      </c>
      <c r="X686" s="1402"/>
      <c r="Y686" s="1402"/>
      <c r="Z686" s="409" t="str">
        <f>OBRA!M688</f>
        <v>CUENTA CORRIENTE</v>
      </c>
      <c r="AA686" s="1402"/>
      <c r="AB686" s="2" t="str">
        <f>OBRA!O688</f>
        <v>SERVICIOS</v>
      </c>
      <c r="AC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OBRA!R688</f>
        <v>3500</v>
      </c>
      <c r="AE686" s="6">
        <f>OBRA!S688</f>
        <v>45140</v>
      </c>
      <c r="AF686" s="5">
        <f>OBRA!T688</f>
        <v>45143</v>
      </c>
      <c r="AG686" s="390">
        <f>OBRA!U688</f>
        <v>45143</v>
      </c>
      <c r="AH686" s="880"/>
      <c r="AI686" s="161"/>
      <c r="AJ686" s="219"/>
      <c r="AK686" s="219"/>
      <c r="AL686" s="632"/>
      <c r="AM686" s="519">
        <f>GRAL!B953</f>
        <v>0</v>
      </c>
    </row>
    <row r="687" spans="1:39" ht="105" hidden="1">
      <c r="A687" s="158">
        <f>OBRA!J689</f>
        <v>2023</v>
      </c>
      <c r="B687" s="1683"/>
      <c r="C687" s="1360"/>
      <c r="D687" s="163"/>
      <c r="E687" s="1169"/>
      <c r="F687" s="1169"/>
      <c r="G687" s="1184"/>
      <c r="H687" s="1185" t="str">
        <f>OBRA!AF689</f>
        <v>-</v>
      </c>
      <c r="I687" s="1186"/>
      <c r="J687" s="1361" t="str">
        <f>OBRA!AG689</f>
        <v>-</v>
      </c>
      <c r="K687" s="1187"/>
      <c r="L687" s="1185" t="str">
        <f>OBRA!AH689</f>
        <v>-</v>
      </c>
      <c r="M687" s="1188"/>
      <c r="N687" s="1185" t="str">
        <f>OBRA!AI689</f>
        <v>-</v>
      </c>
      <c r="O687" s="1185"/>
      <c r="P687" s="1185"/>
      <c r="Q687" s="1187"/>
      <c r="R687" s="437" t="str">
        <f>OBRA!AJ689</f>
        <v>-</v>
      </c>
      <c r="S687" s="535"/>
      <c r="T687" s="399" t="str">
        <f>OBRA!W689</f>
        <v>PEDRO MACHUCA SAAVEDRA</v>
      </c>
      <c r="U687" s="408" t="str">
        <f>OBRA!X689</f>
        <v>ARQ. FRANCISCO SALAZAR</v>
      </c>
      <c r="V687" s="1090"/>
      <c r="W687" s="19" t="str">
        <f>OBRA!N689</f>
        <v>C.P.S.P. DOP 029/2023</v>
      </c>
      <c r="X687" s="1402"/>
      <c r="Y687" s="1402"/>
      <c r="Z687" s="409" t="str">
        <f>OBRA!M689</f>
        <v>CUENTA CORRIENTE</v>
      </c>
      <c r="AA687" s="1402"/>
      <c r="AB687" s="2" t="str">
        <f>OBRA!O689</f>
        <v>SERVICIOS</v>
      </c>
      <c r="AC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OBRA!R689</f>
        <v>3500</v>
      </c>
      <c r="AE687" s="6">
        <f>OBRA!S689</f>
        <v>45140</v>
      </c>
      <c r="AF687" s="5">
        <f>OBRA!T689</f>
        <v>45145</v>
      </c>
      <c r="AG687" s="390">
        <f>OBRA!U689</f>
        <v>45145</v>
      </c>
      <c r="AH687" s="880"/>
      <c r="AI687" s="161"/>
      <c r="AJ687" s="219"/>
      <c r="AK687" s="219"/>
      <c r="AL687" s="632"/>
      <c r="AM687" s="519">
        <f>GRAL!B954</f>
        <v>0</v>
      </c>
    </row>
    <row r="688" spans="1:39" ht="105" hidden="1">
      <c r="A688" s="158">
        <f>OBRA!J690</f>
        <v>2023</v>
      </c>
      <c r="B688" s="1683"/>
      <c r="C688" s="1360"/>
      <c r="D688" s="163"/>
      <c r="E688" s="1169"/>
      <c r="F688" s="1169"/>
      <c r="G688" s="1184"/>
      <c r="H688" s="1185" t="str">
        <f>OBRA!AF690</f>
        <v>-</v>
      </c>
      <c r="I688" s="1186"/>
      <c r="J688" s="1361" t="str">
        <f>OBRA!AG690</f>
        <v>-</v>
      </c>
      <c r="K688" s="1187"/>
      <c r="L688" s="1185" t="str">
        <f>OBRA!AH690</f>
        <v>-</v>
      </c>
      <c r="M688" s="1188"/>
      <c r="N688" s="1185" t="str">
        <f>OBRA!AI690</f>
        <v>-</v>
      </c>
      <c r="O688" s="1185"/>
      <c r="P688" s="1185"/>
      <c r="Q688" s="1187"/>
      <c r="R688" s="437" t="str">
        <f>OBRA!AJ690</f>
        <v>-</v>
      </c>
      <c r="S688" s="535"/>
      <c r="T688" s="399" t="str">
        <f>OBRA!W690</f>
        <v>SOLEC ENERGY, S.A. DE C.V.</v>
      </c>
      <c r="U688" s="408" t="str">
        <f>OBRA!X690</f>
        <v>ARQ. FRANCISCO SALAZAR</v>
      </c>
      <c r="V688" s="1090"/>
      <c r="W688" s="19" t="str">
        <f>OBRA!N690</f>
        <v>C.P.S.P. DOP 030/2023</v>
      </c>
      <c r="X688" s="1402"/>
      <c r="Y688" s="1402"/>
      <c r="Z688" s="409" t="str">
        <f>OBRA!M690</f>
        <v>CUENTA CORRIENTE</v>
      </c>
      <c r="AA688" s="1402"/>
      <c r="AB688" s="2" t="str">
        <f>OBRA!O690</f>
        <v>SERVICIOS</v>
      </c>
      <c r="AC688" s="3" t="str">
        <f>OBRA!P690</f>
        <v>CONTRATACIÓN DE SERVICIOS PROFESIONALES PARA: TRABAJOS DIVERSOS EN CICLOVÍA DEL CADENAMIENTO 20.290976-103.410383 AL CADENAMIENTO 20.289391-103.349097 CON LA MANO DE OBRA CALIFICADA  EN EL TRAMO DE SAN JUAN COSALÁ, MUNICIPIO DE JOCOTEPEC, JALISCO.</v>
      </c>
      <c r="AD688" s="4">
        <f>OBRA!R690</f>
        <v>50489.60319999999</v>
      </c>
      <c r="AE688" s="6">
        <f>OBRA!S690</f>
        <v>45168</v>
      </c>
      <c r="AF688" s="5">
        <f>OBRA!T690</f>
        <v>45175</v>
      </c>
      <c r="AG688" s="390">
        <f>OBRA!U690</f>
        <v>45184</v>
      </c>
      <c r="AH688" s="880"/>
      <c r="AI688" s="161"/>
      <c r="AJ688" s="219"/>
      <c r="AK688" s="219"/>
      <c r="AL688" s="632"/>
      <c r="AM688" s="519">
        <f>GRAL!B955</f>
        <v>0</v>
      </c>
    </row>
    <row r="689" spans="1:39" ht="105" hidden="1">
      <c r="A689" s="158">
        <f>OBRA!J691</f>
        <v>2023</v>
      </c>
      <c r="B689" s="1683"/>
      <c r="C689" s="1360"/>
      <c r="D689" s="163"/>
      <c r="E689" s="1169"/>
      <c r="F689" s="1169"/>
      <c r="G689" s="1184"/>
      <c r="H689" s="1185" t="str">
        <f>OBRA!AF691</f>
        <v>-</v>
      </c>
      <c r="I689" s="1186"/>
      <c r="J689" s="1361" t="str">
        <f>OBRA!AG691</f>
        <v>-</v>
      </c>
      <c r="K689" s="1187"/>
      <c r="L689" s="1185" t="str">
        <f>OBRA!AH691</f>
        <v>-</v>
      </c>
      <c r="M689" s="1188"/>
      <c r="N689" s="1185" t="str">
        <f>OBRA!AI691</f>
        <v>-</v>
      </c>
      <c r="O689" s="1185"/>
      <c r="P689" s="1185"/>
      <c r="Q689" s="1187"/>
      <c r="R689" s="437" t="str">
        <f>OBRA!AJ691</f>
        <v>-</v>
      </c>
      <c r="S689" s="535"/>
      <c r="T689" s="399" t="str">
        <f>OBRA!W691</f>
        <v>SOLEC ENERGY, S.A. DE C.V.</v>
      </c>
      <c r="U689" s="408" t="str">
        <f>OBRA!X691</f>
        <v>ARQ. FRANCISCO SALAZAR</v>
      </c>
      <c r="V689" s="1090"/>
      <c r="W689" s="19" t="str">
        <f>OBRA!N691</f>
        <v>C.P.S.P. DOP 031/2023</v>
      </c>
      <c r="X689" s="1402"/>
      <c r="Y689" s="1402"/>
      <c r="Z689" s="409" t="str">
        <f>OBRA!M691</f>
        <v>CUENTA CORRIENTE</v>
      </c>
      <c r="AA689" s="1402"/>
      <c r="AB689" s="2" t="str">
        <f>OBRA!O691</f>
        <v>SERVICIOS</v>
      </c>
      <c r="AC689" s="3" t="str">
        <f>OBRA!P691</f>
        <v>CONTRATACIÓN DE SERVICIOS PROFESIONALES PARA: TRABAJOS DIVERSOS EN CICLOVÍA DEL CADENAMIENTO 20.29097-103.41065 AL CADENAMIENTO 20.289768-103.313651 CON LA MANO DE OBRA CALIFICADA  EN EL TRAMO DE SAN JUAN COSALÁ-NEXTIPAC, MUNICIPIO DE JOCOTEPEC, JALISCO.</v>
      </c>
      <c r="AD689" s="4">
        <f>OBRA!R691</f>
        <v>142089.26999999999</v>
      </c>
      <c r="AE689" s="6">
        <f>OBRA!S691</f>
        <v>45168</v>
      </c>
      <c r="AF689" s="5">
        <f>OBRA!T691</f>
        <v>45180</v>
      </c>
      <c r="AG689" s="390">
        <f>OBRA!U691</f>
        <v>45197</v>
      </c>
      <c r="AH689" s="880"/>
      <c r="AI689" s="161"/>
      <c r="AJ689" s="219"/>
      <c r="AK689" s="219"/>
      <c r="AL689" s="632"/>
      <c r="AM689" s="519">
        <f>GRAL!B956</f>
        <v>0</v>
      </c>
    </row>
    <row r="690" spans="1:39" ht="105" hidden="1">
      <c r="A690" s="158">
        <f>OBRA!J692</f>
        <v>2023</v>
      </c>
      <c r="B690" s="1683"/>
      <c r="C690" s="1360"/>
      <c r="D690" s="163"/>
      <c r="E690" s="1169"/>
      <c r="F690" s="1169"/>
      <c r="G690" s="1184"/>
      <c r="H690" s="1185" t="str">
        <f>OBRA!AF692</f>
        <v>-</v>
      </c>
      <c r="I690" s="1186"/>
      <c r="J690" s="1361" t="str">
        <f>OBRA!AG692</f>
        <v>-</v>
      </c>
      <c r="K690" s="1187"/>
      <c r="L690" s="1185" t="str">
        <f>OBRA!AH692</f>
        <v>-</v>
      </c>
      <c r="M690" s="1188"/>
      <c r="N690" s="1185" t="str">
        <f>OBRA!AI692</f>
        <v>-</v>
      </c>
      <c r="O690" s="1185"/>
      <c r="P690" s="1185"/>
      <c r="Q690" s="1187"/>
      <c r="R690" s="437" t="str">
        <f>OBRA!AJ692</f>
        <v>-</v>
      </c>
      <c r="S690" s="535"/>
      <c r="T690" s="399" t="str">
        <f>OBRA!W692</f>
        <v>LUIS JOEL HUERTA LOMA</v>
      </c>
      <c r="U690" s="408" t="str">
        <f>OBRA!X692</f>
        <v>ARQ. FRANCISCO SALAZAR</v>
      </c>
      <c r="V690" s="1090"/>
      <c r="W690" s="19" t="str">
        <f>OBRA!N692</f>
        <v>C.P.S.P. DOP 032/2023</v>
      </c>
      <c r="X690" s="1402"/>
      <c r="Y690" s="1402"/>
      <c r="Z690" s="409" t="str">
        <f>OBRA!M692</f>
        <v>CUENTA CORRIENTE</v>
      </c>
      <c r="AA690" s="1402"/>
      <c r="AB690" s="2" t="str">
        <f>OBRA!O692</f>
        <v>SERVICIOS</v>
      </c>
      <c r="AC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OBRA!R692</f>
        <v>9860</v>
      </c>
      <c r="AE690" s="6">
        <f>OBRA!S692</f>
        <v>45173</v>
      </c>
      <c r="AF690" s="5">
        <f>OBRA!T692</f>
        <v>45175</v>
      </c>
      <c r="AG690" s="390">
        <f>OBRA!U692</f>
        <v>45177</v>
      </c>
      <c r="AH690" s="880"/>
      <c r="AI690" s="161"/>
      <c r="AJ690" s="219"/>
      <c r="AK690" s="219"/>
      <c r="AL690" s="632"/>
      <c r="AM690" s="519">
        <f>GRAL!B957</f>
        <v>0</v>
      </c>
    </row>
    <row r="691" spans="1:39" ht="285" hidden="1">
      <c r="A691" s="158">
        <f>OBRA!J693</f>
        <v>2023</v>
      </c>
      <c r="B691" s="1683"/>
      <c r="C691" s="1360"/>
      <c r="D691" s="163"/>
      <c r="E691" s="1169"/>
      <c r="F691" s="1169"/>
      <c r="G691" s="1184"/>
      <c r="H691" s="1185" t="str">
        <f>OBRA!AF693</f>
        <v>-</v>
      </c>
      <c r="I691" s="1186"/>
      <c r="J691" s="1361" t="str">
        <f>OBRA!AG693</f>
        <v>-</v>
      </c>
      <c r="K691" s="1187"/>
      <c r="L691" s="1185" t="str">
        <f>OBRA!AH693</f>
        <v>-</v>
      </c>
      <c r="M691" s="1188"/>
      <c r="N691" s="1185" t="str">
        <f>OBRA!AI693</f>
        <v>-</v>
      </c>
      <c r="O691" s="1185"/>
      <c r="P691" s="1185"/>
      <c r="Q691" s="1187"/>
      <c r="R691" s="437" t="str">
        <f>OBRA!AJ693</f>
        <v>-</v>
      </c>
      <c r="S691" s="535"/>
      <c r="T691" s="399" t="str">
        <f>OBRA!W693</f>
        <v>ECCOC DE GUADALAJARA, S.A. DE C.V.</v>
      </c>
      <c r="U691" s="408" t="str">
        <f>OBRA!X693</f>
        <v>ARQ. FRANCISCO SALAZAR</v>
      </c>
      <c r="V691" s="1090"/>
      <c r="W691" s="19" t="str">
        <f>OBRA!N693</f>
        <v>C.P.S.P. DOP 033/2023</v>
      </c>
      <c r="X691" s="1402"/>
      <c r="Y691" s="1402"/>
      <c r="Z691" s="409" t="str">
        <f>OBRA!M693</f>
        <v>CUENTA CORRIENTE</v>
      </c>
      <c r="AA691" s="1402"/>
      <c r="AB691" s="2" t="str">
        <f>OBRA!O693</f>
        <v>SERVICIOS</v>
      </c>
      <c r="AC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OBRA!R693</f>
        <v>34800</v>
      </c>
      <c r="AE691" s="6">
        <f>OBRA!S693</f>
        <v>45190</v>
      </c>
      <c r="AF691" s="5">
        <f>OBRA!T693</f>
        <v>45194</v>
      </c>
      <c r="AG691" s="390">
        <f>OBRA!U693</f>
        <v>45195</v>
      </c>
      <c r="AH691" s="880"/>
      <c r="AI691" s="161"/>
      <c r="AJ691" s="219"/>
      <c r="AK691" s="219"/>
      <c r="AL691" s="632"/>
      <c r="AM691" s="519">
        <f>GRAL!B958</f>
        <v>0</v>
      </c>
    </row>
    <row r="692" spans="1:39" ht="135" hidden="1">
      <c r="A692" s="158">
        <f>OBRA!J694</f>
        <v>2023</v>
      </c>
      <c r="B692" s="1683"/>
      <c r="C692" s="1360"/>
      <c r="D692" s="163"/>
      <c r="E692" s="1169"/>
      <c r="F692" s="1169"/>
      <c r="G692" s="1184"/>
      <c r="H692" s="1185" t="str">
        <f>OBRA!AF694</f>
        <v>-</v>
      </c>
      <c r="I692" s="1186"/>
      <c r="J692" s="1361" t="str">
        <f>OBRA!AG694</f>
        <v>-</v>
      </c>
      <c r="K692" s="1187"/>
      <c r="L692" s="1185" t="str">
        <f>OBRA!AH694</f>
        <v>-</v>
      </c>
      <c r="M692" s="1188"/>
      <c r="N692" s="1185" t="str">
        <f>OBRA!AI694</f>
        <v>-</v>
      </c>
      <c r="O692" s="1185"/>
      <c r="P692" s="1185"/>
      <c r="Q692" s="1187"/>
      <c r="R692" s="437" t="str">
        <f>OBRA!AJ694</f>
        <v>-</v>
      </c>
      <c r="S692" s="535"/>
      <c r="T692" s="399" t="str">
        <f>OBRA!W694</f>
        <v>LUIS JOEL HUERTA LOMA</v>
      </c>
      <c r="U692" s="408" t="str">
        <f>OBRA!X694</f>
        <v>ARQ. FRANCISCO SALAZAR</v>
      </c>
      <c r="V692" s="1090"/>
      <c r="W692" s="19" t="str">
        <f>OBRA!N694</f>
        <v>C.P.S.P. DOP 034/2023</v>
      </c>
      <c r="X692" s="1402"/>
      <c r="Y692" s="1402"/>
      <c r="Z692" s="409" t="str">
        <f>OBRA!M694</f>
        <v>CUENTA CORRIENTE</v>
      </c>
      <c r="AA692" s="1402"/>
      <c r="AB692" s="2" t="str">
        <f>OBRA!O694</f>
        <v>SERVICIOS</v>
      </c>
      <c r="AC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OBRA!R694</f>
        <v>54287.999999999993</v>
      </c>
      <c r="AE692" s="6">
        <f>OBRA!S694</f>
        <v>45209</v>
      </c>
      <c r="AF692" s="5">
        <f>OBRA!T694</f>
        <v>45210</v>
      </c>
      <c r="AG692" s="390">
        <f>OBRA!U694</f>
        <v>45243</v>
      </c>
      <c r="AH692" s="880"/>
      <c r="AI692" s="161"/>
      <c r="AJ692" s="219"/>
      <c r="AK692" s="219"/>
      <c r="AL692" s="632"/>
      <c r="AM692" s="519">
        <f>GRAL!B959</f>
        <v>0</v>
      </c>
    </row>
    <row r="693" spans="1:39" ht="105" hidden="1">
      <c r="A693" s="158">
        <f>OBRA!J695</f>
        <v>2023</v>
      </c>
      <c r="B693" s="1683"/>
      <c r="C693" s="1360"/>
      <c r="D693" s="163"/>
      <c r="E693" s="1169"/>
      <c r="F693" s="1169"/>
      <c r="G693" s="1184"/>
      <c r="H693" s="1185" t="str">
        <f>OBRA!AF695</f>
        <v>-</v>
      </c>
      <c r="I693" s="1186"/>
      <c r="J693" s="1361" t="str">
        <f>OBRA!AG695</f>
        <v>-</v>
      </c>
      <c r="K693" s="1187"/>
      <c r="L693" s="1185" t="str">
        <f>OBRA!AH695</f>
        <v>-</v>
      </c>
      <c r="M693" s="1188"/>
      <c r="N693" s="1185" t="str">
        <f>OBRA!AI695</f>
        <v>-</v>
      </c>
      <c r="O693" s="1185"/>
      <c r="P693" s="1185"/>
      <c r="Q693" s="1187"/>
      <c r="R693" s="437" t="str">
        <f>OBRA!AJ695</f>
        <v>-</v>
      </c>
      <c r="S693" s="535"/>
      <c r="T693" s="399" t="str">
        <f>OBRA!W695</f>
        <v>SOLEC ENERGY, S.A. DE C.V.</v>
      </c>
      <c r="U693" s="408" t="str">
        <f>OBRA!X695</f>
        <v>ARQ. FRANCISCO SALAZAR</v>
      </c>
      <c r="V693" s="1090"/>
      <c r="W693" s="19" t="str">
        <f>OBRA!N695</f>
        <v>C.P.S.P. DOP 035/2023</v>
      </c>
      <c r="X693" s="1402"/>
      <c r="Y693" s="1402"/>
      <c r="Z693" s="409" t="str">
        <f>OBRA!M695</f>
        <v>CUENTA CORRIENTE</v>
      </c>
      <c r="AA693" s="1402"/>
      <c r="AB693" s="2" t="str">
        <f>OBRA!O695</f>
        <v>SERVICIOS</v>
      </c>
      <c r="AC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OBRA!R695</f>
        <v>30376.572</v>
      </c>
      <c r="AE693" s="6">
        <f>OBRA!S695</f>
        <v>45233</v>
      </c>
      <c r="AF693" s="5">
        <f>OBRA!T695</f>
        <v>45237</v>
      </c>
      <c r="AG693" s="390">
        <f>OBRA!U695</f>
        <v>45239</v>
      </c>
      <c r="AH693" s="880"/>
      <c r="AI693" s="161"/>
      <c r="AJ693" s="219"/>
      <c r="AK693" s="219"/>
      <c r="AL693" s="632"/>
      <c r="AM693" s="519">
        <f>GRAL!B960</f>
        <v>0</v>
      </c>
    </row>
    <row r="694" spans="1:39" ht="240" hidden="1">
      <c r="A694" s="158">
        <f>OBRA!J696</f>
        <v>2023</v>
      </c>
      <c r="B694" s="1683"/>
      <c r="C694" s="1360"/>
      <c r="D694" s="163"/>
      <c r="E694" s="1169"/>
      <c r="F694" s="1169"/>
      <c r="G694" s="1184"/>
      <c r="H694" s="1185" t="str">
        <f>OBRA!AF696</f>
        <v>-</v>
      </c>
      <c r="I694" s="1186"/>
      <c r="J694" s="1361" t="str">
        <f>OBRA!AG696</f>
        <v>-</v>
      </c>
      <c r="K694" s="1187"/>
      <c r="L694" s="1185" t="str">
        <f>OBRA!AH696</f>
        <v>-</v>
      </c>
      <c r="M694" s="1188"/>
      <c r="N694" s="1185" t="str">
        <f>OBRA!AI696</f>
        <v>-</v>
      </c>
      <c r="O694" s="1185"/>
      <c r="P694" s="1185"/>
      <c r="Q694" s="1187"/>
      <c r="R694" s="437" t="str">
        <f>OBRA!AJ696</f>
        <v>-</v>
      </c>
      <c r="S694" s="535"/>
      <c r="T694" s="399" t="str">
        <f>OBRA!W696</f>
        <v>LUIS JOEL HUERTA LOMA</v>
      </c>
      <c r="U694" s="408" t="str">
        <f>OBRA!X696</f>
        <v>ARQ. FRANCISCO SALAZAR</v>
      </c>
      <c r="V694" s="1090"/>
      <c r="W694" s="19" t="str">
        <f>OBRA!N696</f>
        <v>C.P.S.P. DOP 036/2023</v>
      </c>
      <c r="X694" s="1402"/>
      <c r="Y694" s="1402"/>
      <c r="Z694" s="409" t="str">
        <f>OBRA!M696</f>
        <v>CUENTA CORRIENTE</v>
      </c>
      <c r="AA694" s="1402"/>
      <c r="AB694" s="2" t="str">
        <f>OBRA!O696</f>
        <v>SERVICIOS</v>
      </c>
      <c r="AC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OBRA!R696</f>
        <v>56143.999999999993</v>
      </c>
      <c r="AE694" s="6">
        <f>OBRA!S696</f>
        <v>45225</v>
      </c>
      <c r="AF694" s="5">
        <f>OBRA!T696</f>
        <v>45226</v>
      </c>
      <c r="AG694" s="390">
        <f>OBRA!U696</f>
        <v>45229</v>
      </c>
      <c r="AH694" s="880"/>
      <c r="AI694" s="161"/>
      <c r="AJ694" s="219"/>
      <c r="AK694" s="219"/>
      <c r="AL694" s="632"/>
      <c r="AM694" s="519">
        <f>GRAL!B961</f>
        <v>0</v>
      </c>
    </row>
    <row r="695" spans="1:39" ht="90" hidden="1">
      <c r="A695" s="158">
        <f>OBRA!J697</f>
        <v>2023</v>
      </c>
      <c r="B695" s="1683"/>
      <c r="C695" s="1360"/>
      <c r="D695" s="163"/>
      <c r="E695" s="1169"/>
      <c r="F695" s="1169"/>
      <c r="G695" s="1184"/>
      <c r="H695" s="1185" t="str">
        <f>OBRA!AF697</f>
        <v>-</v>
      </c>
      <c r="I695" s="1186"/>
      <c r="J695" s="1361" t="str">
        <f>OBRA!AG697</f>
        <v>-</v>
      </c>
      <c r="K695" s="1187"/>
      <c r="L695" s="1185" t="str">
        <f>OBRA!AH697</f>
        <v>-</v>
      </c>
      <c r="M695" s="1188"/>
      <c r="N695" s="1185" t="str">
        <f>OBRA!AI697</f>
        <v>-</v>
      </c>
      <c r="O695" s="1185"/>
      <c r="P695" s="1185"/>
      <c r="Q695" s="1187"/>
      <c r="R695" s="437" t="str">
        <f>OBRA!AJ697</f>
        <v>-</v>
      </c>
      <c r="S695" s="535"/>
      <c r="T695" s="399" t="str">
        <f>OBRA!W697</f>
        <v>ALEJANDRO RAMÍREZ CORTES</v>
      </c>
      <c r="U695" s="408" t="str">
        <f>OBRA!X697</f>
        <v>ARQ. FRANCISCO SALAZAR</v>
      </c>
      <c r="V695" s="1090"/>
      <c r="W695" s="19" t="str">
        <f>OBRA!N697</f>
        <v>C.P.S.P. DOP 038/2023</v>
      </c>
      <c r="X695" s="1402"/>
      <c r="Y695" s="1402"/>
      <c r="Z695" s="409" t="str">
        <f>OBRA!M697</f>
        <v>CUENTA CORRIENTE</v>
      </c>
      <c r="AA695" s="1402"/>
      <c r="AB695" s="2" t="str">
        <f>OBRA!O697</f>
        <v>SERVICIOS</v>
      </c>
      <c r="AC695" s="3" t="str">
        <f>OBRA!P697</f>
        <v>CONTRATACIÓN DE SERVICIO PROFESIONALES: PARA LA ELABORACIÓN DE UN DICTAMEN Y REVISIÓN ESTRUCTURAL, DEL TANQUE DE ALMACENAMIENTO DE AGUA POTABLE EN ZONA NORTE, EN LA CABECERA MUNICIPAL DE JOCOTEPEC, JALISCO.</v>
      </c>
      <c r="AD695" s="4">
        <f>OBRA!R697</f>
        <v>102831.39</v>
      </c>
      <c r="AE695" s="6">
        <f>OBRA!S697</f>
        <v>45264</v>
      </c>
      <c r="AF695" s="5">
        <f>OBRA!T697</f>
        <v>45266</v>
      </c>
      <c r="AG695" s="390">
        <f>OBRA!U697</f>
        <v>45301</v>
      </c>
      <c r="AH695" s="880"/>
      <c r="AI695" s="161"/>
      <c r="AJ695" s="219"/>
      <c r="AK695" s="219"/>
      <c r="AL695" s="632"/>
      <c r="AM695" s="519">
        <f>GRAL!B962</f>
        <v>0</v>
      </c>
    </row>
    <row r="696" spans="1:39" ht="120" hidden="1">
      <c r="A696" s="158">
        <f>OBRA!J698</f>
        <v>2023</v>
      </c>
      <c r="B696" s="1683"/>
      <c r="C696" s="1360"/>
      <c r="D696" s="163"/>
      <c r="E696" s="1169"/>
      <c r="F696" s="1169"/>
      <c r="G696" s="1184"/>
      <c r="H696" s="1185" t="str">
        <f>OBRA!AF698</f>
        <v>-</v>
      </c>
      <c r="I696" s="1186"/>
      <c r="J696" s="1361" t="str">
        <f>OBRA!AG698</f>
        <v>-</v>
      </c>
      <c r="K696" s="1187"/>
      <c r="L696" s="1185" t="str">
        <f>OBRA!AH698</f>
        <v>-</v>
      </c>
      <c r="M696" s="1188"/>
      <c r="N696" s="1185" t="str">
        <f>OBRA!AI698</f>
        <v>-</v>
      </c>
      <c r="O696" s="1185"/>
      <c r="P696" s="1185"/>
      <c r="Q696" s="1187"/>
      <c r="R696" s="437" t="str">
        <f>OBRA!AJ698</f>
        <v>-</v>
      </c>
      <c r="S696" s="535"/>
      <c r="T696" s="399" t="str">
        <f>OBRA!W698</f>
        <v xml:space="preserve">CICLOS GIP SC </v>
      </c>
      <c r="U696" s="408" t="str">
        <f>OBRA!X698</f>
        <v>ARQ. FRANCISCO SALAZAR</v>
      </c>
      <c r="V696" s="1090"/>
      <c r="W696" s="19" t="str">
        <f>OBRA!N698</f>
        <v>C.P.S.P. DOP 039/2023</v>
      </c>
      <c r="X696" s="1402"/>
      <c r="Y696" s="1402"/>
      <c r="Z696" s="409" t="str">
        <f>OBRA!M698</f>
        <v>CUENTA CORRIENTE</v>
      </c>
      <c r="AA696" s="1402"/>
      <c r="AB696" s="2" t="str">
        <f>OBRA!O698</f>
        <v>SERVICIOS</v>
      </c>
      <c r="AC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OBRA!R698</f>
        <v>23200</v>
      </c>
      <c r="AE696" s="6">
        <f>OBRA!S698</f>
        <v>45265</v>
      </c>
      <c r="AF696" s="5">
        <f>OBRA!T698</f>
        <v>45266</v>
      </c>
      <c r="AG696" s="390">
        <f>OBRA!U698</f>
        <v>45267</v>
      </c>
      <c r="AH696" s="880"/>
      <c r="AI696" s="161"/>
      <c r="AJ696" s="219"/>
      <c r="AK696" s="219"/>
      <c r="AL696" s="632"/>
      <c r="AM696" s="519">
        <f>GRAL!B942</f>
        <v>0</v>
      </c>
    </row>
    <row r="697" spans="1:39" ht="135" hidden="1">
      <c r="A697" s="158">
        <f>OBRA!J699</f>
        <v>2023</v>
      </c>
      <c r="B697" s="1683"/>
      <c r="C697" s="1360"/>
      <c r="D697" s="163"/>
      <c r="E697" s="1169"/>
      <c r="F697" s="1169"/>
      <c r="G697" s="1184"/>
      <c r="H697" s="1185" t="str">
        <f>OBRA!AF699</f>
        <v>-</v>
      </c>
      <c r="I697" s="1186"/>
      <c r="J697" s="1361" t="str">
        <f>OBRA!AG699</f>
        <v>-</v>
      </c>
      <c r="K697" s="1187"/>
      <c r="L697" s="1185" t="str">
        <f>OBRA!AH699</f>
        <v>-</v>
      </c>
      <c r="M697" s="1188"/>
      <c r="N697" s="1185" t="str">
        <f>OBRA!AI699</f>
        <v>-</v>
      </c>
      <c r="O697" s="1185"/>
      <c r="P697" s="1185"/>
      <c r="Q697" s="1187"/>
      <c r="R697" s="437" t="str">
        <f>OBRA!AJ699</f>
        <v>-</v>
      </c>
      <c r="S697" s="535"/>
      <c r="T697" s="399" t="str">
        <f>OBRA!W699</f>
        <v>ALEJANDRO RAMÍREZ CORTES</v>
      </c>
      <c r="U697" s="408" t="str">
        <f>OBRA!X699</f>
        <v>ARQ. FRANCISCO SALAZAR</v>
      </c>
      <c r="V697" s="1090"/>
      <c r="W697" s="19" t="str">
        <f>OBRA!N699</f>
        <v>C.P.S.P. DOP 040/2023</v>
      </c>
      <c r="X697" s="1402"/>
      <c r="Y697" s="1402"/>
      <c r="Z697" s="409" t="str">
        <f>OBRA!M699</f>
        <v>CUENTA CORRIENTE</v>
      </c>
      <c r="AA697" s="1402"/>
      <c r="AB697" s="2" t="str">
        <f>OBRA!O699</f>
        <v>SERVICIOS</v>
      </c>
      <c r="AC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OBRA!R699</f>
        <v>45601.919999999998</v>
      </c>
      <c r="AE697" s="6">
        <f>OBRA!S699</f>
        <v>45267</v>
      </c>
      <c r="AF697" s="5">
        <f>OBRA!T699</f>
        <v>45271</v>
      </c>
      <c r="AG697" s="390">
        <f>OBRA!U699</f>
        <v>45299</v>
      </c>
      <c r="AH697" s="880"/>
      <c r="AI697" s="161"/>
      <c r="AJ697" s="219"/>
      <c r="AK697" s="219"/>
      <c r="AL697" s="632"/>
      <c r="AM697" s="519">
        <f>GRAL!B943</f>
        <v>0</v>
      </c>
    </row>
    <row r="698" spans="1:39" ht="60" hidden="1">
      <c r="A698" s="158">
        <f>OBRA!J700</f>
        <v>2023</v>
      </c>
      <c r="B698" s="1683"/>
      <c r="C698" s="1360"/>
      <c r="D698" s="163"/>
      <c r="E698" s="1169"/>
      <c r="F698" s="1169"/>
      <c r="G698" s="1184"/>
      <c r="H698" s="1185" t="str">
        <f>OBRA!AF700</f>
        <v>-</v>
      </c>
      <c r="I698" s="1186"/>
      <c r="J698" s="1361" t="str">
        <f>OBRA!AG700</f>
        <v>-</v>
      </c>
      <c r="K698" s="1187"/>
      <c r="L698" s="1185" t="str">
        <f>OBRA!AH700</f>
        <v>-</v>
      </c>
      <c r="M698" s="1188"/>
      <c r="N698" s="1185" t="str">
        <f>OBRA!AI700</f>
        <v>-</v>
      </c>
      <c r="O698" s="1185"/>
      <c r="P698" s="1185"/>
      <c r="Q698" s="1187"/>
      <c r="R698" s="437" t="str">
        <f>OBRA!AJ700</f>
        <v>-</v>
      </c>
      <c r="S698" s="535"/>
      <c r="T698" s="399" t="str">
        <f>OBRA!W700</f>
        <v>MARCO ANTONIO PAREDES RODRÍGUEZ</v>
      </c>
      <c r="U698" s="408" t="str">
        <f>OBRA!X700</f>
        <v>ARQ. FRANCISCO SALAZAR</v>
      </c>
      <c r="V698" s="1090"/>
      <c r="W698" s="19" t="str">
        <f>OBRA!N700</f>
        <v>C.P.S.P. DOP 041/2023</v>
      </c>
      <c r="X698" s="1402"/>
      <c r="Y698" s="1402"/>
      <c r="Z698" s="409" t="str">
        <f>OBRA!M700</f>
        <v>CUENTA CORRIENTE</v>
      </c>
      <c r="AA698" s="1402"/>
      <c r="AB698" s="2" t="str">
        <f>OBRA!O700</f>
        <v>SERVICIOS</v>
      </c>
      <c r="AC698" s="3" t="str">
        <f>OBRA!P700</f>
        <v>CONTRATACIÓN DEL SERVICIO PARA LA REALIZACIÓN DE LOS SIGUIENTES TRABAJOS, EN EL POZO DE CHANTEPEC, MUNICIPIO DE JOCOTEPEC, JALISCO.</v>
      </c>
      <c r="AD698" s="4">
        <f>OBRA!R700</f>
        <v>44196</v>
      </c>
      <c r="AE698" s="6">
        <f>OBRA!S700</f>
        <v>45275</v>
      </c>
      <c r="AF698" s="5">
        <f>OBRA!T700</f>
        <v>45280</v>
      </c>
      <c r="AG698" s="390">
        <f>OBRA!U700</f>
        <v>45282</v>
      </c>
      <c r="AH698" s="880"/>
      <c r="AI698" s="161"/>
      <c r="AJ698" s="219"/>
      <c r="AK698" s="219"/>
      <c r="AL698" s="632"/>
      <c r="AM698" s="519">
        <f>GRAL!B944</f>
        <v>0</v>
      </c>
    </row>
    <row r="699" spans="1:39" ht="75" hidden="1">
      <c r="A699" s="158">
        <f>OBRA!J701</f>
        <v>2023</v>
      </c>
      <c r="B699" s="1683"/>
      <c r="C699" s="1360"/>
      <c r="D699" s="163"/>
      <c r="E699" s="1169"/>
      <c r="F699" s="1169"/>
      <c r="G699" s="1184"/>
      <c r="H699" s="1185" t="str">
        <f>OBRA!AF701</f>
        <v>-</v>
      </c>
      <c r="I699" s="1186"/>
      <c r="J699" s="1361" t="str">
        <f>OBRA!AG701</f>
        <v>-</v>
      </c>
      <c r="K699" s="1187"/>
      <c r="L699" s="1185" t="str">
        <f>OBRA!AH701</f>
        <v>-</v>
      </c>
      <c r="M699" s="1188"/>
      <c r="N699" s="1185" t="str">
        <f>OBRA!AI701</f>
        <v>-</v>
      </c>
      <c r="O699" s="1185"/>
      <c r="P699" s="1185"/>
      <c r="Q699" s="1187"/>
      <c r="R699" s="437" t="str">
        <f>OBRA!AJ701</f>
        <v>-</v>
      </c>
      <c r="S699" s="535"/>
      <c r="T699" s="399" t="str">
        <f>OBRA!W701</f>
        <v>URBANIZADORA Y PAVIMENTADORA MONLE S.A. DE C.V.</v>
      </c>
      <c r="U699" s="408" t="str">
        <f>OBRA!X701</f>
        <v>C. DANIEL RODRIGUEZ VALENZUELA</v>
      </c>
      <c r="V699" s="1090"/>
      <c r="W699" s="19" t="str">
        <f>OBRA!N701</f>
        <v>C- OP 001/2023</v>
      </c>
      <c r="X699" s="1402"/>
      <c r="Y699" s="1402"/>
      <c r="Z699" s="409" t="str">
        <f>OBRA!M701</f>
        <v>CUENTA CORRIENTE</v>
      </c>
      <c r="AA699" s="1402"/>
      <c r="AB699" s="2" t="str">
        <f>OBRA!O701</f>
        <v>ARRENDAMIENTO</v>
      </c>
      <c r="AC699" s="3" t="str">
        <f>OBRA!P701</f>
        <v>RENTA DE UNA RETROEXCAVADORA JHON DEERE 310SJ 4X4, PARA SER UTILIZADAEN DIVERSOS MANTENIMIENTOS REQUERIDOS POR LA DIRECCIÓN DE OBRAS PÚBLICAS DEL GOBIERNO MUNICIPAL DE JOCOTEPEC, JALISCO.</v>
      </c>
      <c r="AD699" s="4">
        <f>OBRA!R701</f>
        <v>56839.999999999993</v>
      </c>
      <c r="AE699" s="6">
        <f>OBRA!S701</f>
        <v>44928</v>
      </c>
      <c r="AF699" s="5">
        <f>OBRA!T701</f>
        <v>44928</v>
      </c>
      <c r="AG699" s="390">
        <f>OBRA!U701</f>
        <v>44957</v>
      </c>
      <c r="AH699" s="880"/>
      <c r="AI699" s="161"/>
      <c r="AJ699" s="219"/>
      <c r="AK699" s="219"/>
      <c r="AL699" s="632"/>
      <c r="AM699" s="519">
        <f>GRAL!B943</f>
        <v>0</v>
      </c>
    </row>
    <row r="700" spans="1:39" ht="90" hidden="1">
      <c r="A700" s="158">
        <f>OBRA!J702</f>
        <v>2023</v>
      </c>
      <c r="B700" s="1683"/>
      <c r="C700" s="1360"/>
      <c r="D700" s="163"/>
      <c r="E700" s="1169"/>
      <c r="F700" s="1169"/>
      <c r="G700" s="1184"/>
      <c r="H700" s="1185" t="str">
        <f>OBRA!AF702</f>
        <v>-</v>
      </c>
      <c r="I700" s="1186"/>
      <c r="J700" s="1361" t="str">
        <f>OBRA!AG702</f>
        <v>-</v>
      </c>
      <c r="K700" s="1187"/>
      <c r="L700" s="1185" t="str">
        <f>OBRA!AH702</f>
        <v>-</v>
      </c>
      <c r="M700" s="1188"/>
      <c r="N700" s="1185" t="str">
        <f>OBRA!AI702</f>
        <v>-</v>
      </c>
      <c r="O700" s="1185"/>
      <c r="P700" s="1185"/>
      <c r="Q700" s="1187"/>
      <c r="R700" s="437" t="str">
        <f>OBRA!AJ702</f>
        <v>-</v>
      </c>
      <c r="S700" s="535"/>
      <c r="T700" s="399" t="str">
        <f>OBRA!W702</f>
        <v>BACHMEIER S.A. DE C.V.</v>
      </c>
      <c r="U700" s="408" t="str">
        <f>OBRA!X702</f>
        <v>ING. LUIS RIGOBERTO OLMEDO NAVARRO</v>
      </c>
      <c r="V700" s="1090"/>
      <c r="W700" s="19" t="str">
        <f>OBRA!N702</f>
        <v>C- OP 001A/2023</v>
      </c>
      <c r="X700" s="1402"/>
      <c r="Y700" s="1402"/>
      <c r="Z700" s="409" t="str">
        <f>OBRA!M702</f>
        <v>CUENTA CORRIENTE</v>
      </c>
      <c r="AA700" s="1402"/>
      <c r="AB700" s="2" t="str">
        <f>OBRA!O702</f>
        <v>ARRENDAMIENTO</v>
      </c>
      <c r="AC700" s="3" t="str">
        <f>OBRA!P702</f>
        <v>RENTA DE UN CAMIÓN (VOLTEO 7 M3) DODGE, MODELO 1989 CON PLACAS JL-0889, PARA SER UTILIZADO EN LAS OBRAS: MANTENIMIENTOS VARIOS EN LAS AGENCIAS, DELEGACIONES Y CABECERA MUNICIPAL DEL MUNICIPIO DE JOCOTEPEC, JALISCO.</v>
      </c>
      <c r="AD700" s="4">
        <f>OBRA!R702</f>
        <v>3248</v>
      </c>
      <c r="AE700" s="6">
        <f>OBRA!S702</f>
        <v>44929</v>
      </c>
      <c r="AF700" s="5">
        <f>OBRA!T702</f>
        <v>44929</v>
      </c>
      <c r="AG700" s="390">
        <f>OBRA!U702</f>
        <v>44985</v>
      </c>
      <c r="AH700" s="880"/>
      <c r="AI700" s="161"/>
      <c r="AJ700" s="219"/>
      <c r="AK700" s="219"/>
      <c r="AL700" s="632"/>
      <c r="AM700" s="519">
        <f>GRAL!B944</f>
        <v>0</v>
      </c>
    </row>
    <row r="701" spans="1:39" ht="105" hidden="1">
      <c r="A701" s="158">
        <f>OBRA!J703</f>
        <v>2023</v>
      </c>
      <c r="B701" s="1683"/>
      <c r="C701" s="1360"/>
      <c r="D701" s="163"/>
      <c r="E701" s="1169"/>
      <c r="F701" s="1169"/>
      <c r="G701" s="1184"/>
      <c r="H701" s="1185" t="str">
        <f>OBRA!AF703</f>
        <v>-</v>
      </c>
      <c r="I701" s="1186"/>
      <c r="J701" s="1361" t="str">
        <f>OBRA!AG703</f>
        <v>-</v>
      </c>
      <c r="K701" s="1187"/>
      <c r="L701" s="1185" t="str">
        <f>OBRA!AH703</f>
        <v>-</v>
      </c>
      <c r="M701" s="1188"/>
      <c r="N701" s="1185" t="str">
        <f>OBRA!AI703</f>
        <v>-</v>
      </c>
      <c r="O701" s="1185"/>
      <c r="P701" s="1185"/>
      <c r="Q701" s="1187"/>
      <c r="R701" s="437" t="str">
        <f>OBRA!AJ703</f>
        <v>-</v>
      </c>
      <c r="S701" s="535"/>
      <c r="T701" s="399" t="str">
        <f>OBRA!W703</f>
        <v>ALSERCON SA DE CV</v>
      </c>
      <c r="U701" s="408" t="str">
        <f>OBRA!X703</f>
        <v>C. DANIEL RODRIGUEZ VALENZUELA</v>
      </c>
      <c r="V701" s="1090"/>
      <c r="W701" s="19" t="str">
        <f>OBRA!N703</f>
        <v>C- OP 002/2023</v>
      </c>
      <c r="X701" s="1402"/>
      <c r="Y701" s="1402"/>
      <c r="Z701" s="409" t="str">
        <f>OBRA!M703</f>
        <v>CUENTA CORRIENTE</v>
      </c>
      <c r="AA701" s="1402"/>
      <c r="AB701" s="2" t="str">
        <f>OBRA!O703</f>
        <v>ARRENDAMIENTO</v>
      </c>
      <c r="AC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AD701" s="4">
        <f>OBRA!R703</f>
        <v>28999.999999999996</v>
      </c>
      <c r="AE701" s="6">
        <f>OBRA!S703</f>
        <v>45005</v>
      </c>
      <c r="AF701" s="5">
        <f>OBRA!T703</f>
        <v>45007</v>
      </c>
      <c r="AG701" s="390">
        <f>OBRA!U703</f>
        <v>45038</v>
      </c>
      <c r="AH701" s="880"/>
      <c r="AI701" s="161"/>
      <c r="AJ701" s="219"/>
      <c r="AK701" s="219"/>
      <c r="AL701" s="632"/>
      <c r="AM701" s="519">
        <f>GRAL!B945</f>
        <v>0</v>
      </c>
    </row>
    <row r="702" spans="1:39" ht="75" hidden="1">
      <c r="A702" s="158">
        <f>OBRA!J704</f>
        <v>2023</v>
      </c>
      <c r="B702" s="1683"/>
      <c r="C702" s="1360"/>
      <c r="D702" s="163"/>
      <c r="E702" s="1169"/>
      <c r="F702" s="1169"/>
      <c r="G702" s="1184"/>
      <c r="H702" s="1185" t="str">
        <f>OBRA!AF704</f>
        <v>-</v>
      </c>
      <c r="I702" s="1186"/>
      <c r="J702" s="1361" t="str">
        <f>OBRA!AG704</f>
        <v>-</v>
      </c>
      <c r="K702" s="1187"/>
      <c r="L702" s="1185" t="str">
        <f>OBRA!AH704</f>
        <v>-</v>
      </c>
      <c r="M702" s="1188"/>
      <c r="N702" s="1185" t="str">
        <f>OBRA!AI704</f>
        <v>-</v>
      </c>
      <c r="O702" s="1185"/>
      <c r="P702" s="1185"/>
      <c r="Q702" s="1187"/>
      <c r="R702" s="437" t="str">
        <f>OBRA!AJ704</f>
        <v>-</v>
      </c>
      <c r="S702" s="535"/>
      <c r="T702" s="399" t="str">
        <f>OBRA!W704</f>
        <v>URBANIZADORA Y PAVIMENTADORA MONLE S.A. DE C.V.</v>
      </c>
      <c r="U702" s="408" t="str">
        <f>OBRA!X704</f>
        <v>C. DANIEL RODRIGUEZ VALENZUELA</v>
      </c>
      <c r="V702" s="1090"/>
      <c r="W702" s="19" t="str">
        <f>OBRA!N704</f>
        <v>C- OP 003/2023</v>
      </c>
      <c r="X702" s="1402"/>
      <c r="Y702" s="1402"/>
      <c r="Z702" s="409" t="str">
        <f>OBRA!M704</f>
        <v>CUENTA CORRIENTE</v>
      </c>
      <c r="AA702" s="1402"/>
      <c r="AB702" s="2" t="str">
        <f>OBRA!O704</f>
        <v>ARRENDAMIENTO</v>
      </c>
      <c r="AC702" s="3" t="str">
        <f>OBRA!P704</f>
        <v>RENTA DE UNA RETROEXCAVADORA JHON DEERE 310SJ 4X4, PARA SER UTILIZADA EN DIVERSOS MANTENIMIENTOS REQUERIDOS POR LA DIRECCIÓN DE OBRAS PÚBLICAS DEL GOBIERNO MUNICIPAL DE JOCOTEPEC, JALISCO.</v>
      </c>
      <c r="AD702" s="4">
        <f>OBRA!R704</f>
        <v>59681.999999999993</v>
      </c>
      <c r="AE702" s="6">
        <f>OBRA!S704</f>
        <v>44956</v>
      </c>
      <c r="AF702" s="5">
        <f>OBRA!T704</f>
        <v>44958</v>
      </c>
      <c r="AG702" s="390">
        <f>OBRA!U704</f>
        <v>44985</v>
      </c>
      <c r="AH702" s="880"/>
      <c r="AI702" s="161"/>
      <c r="AJ702" s="219"/>
      <c r="AK702" s="219"/>
      <c r="AL702" s="632"/>
      <c r="AM702" s="519">
        <f>GRAL!B946</f>
        <v>0</v>
      </c>
    </row>
    <row r="703" spans="1:39" ht="90" hidden="1">
      <c r="A703" s="158">
        <f>OBRA!J705</f>
        <v>2023</v>
      </c>
      <c r="B703" s="1683"/>
      <c r="C703" s="1360"/>
      <c r="D703" s="163"/>
      <c r="E703" s="1169"/>
      <c r="F703" s="1169"/>
      <c r="G703" s="1184"/>
      <c r="H703" s="1185" t="str">
        <f>OBRA!AF705</f>
        <v>-</v>
      </c>
      <c r="I703" s="1186"/>
      <c r="J703" s="1361" t="str">
        <f>OBRA!AG705</f>
        <v>-</v>
      </c>
      <c r="K703" s="1187"/>
      <c r="L703" s="1185" t="str">
        <f>OBRA!AH705</f>
        <v>-</v>
      </c>
      <c r="M703" s="1188"/>
      <c r="N703" s="1185" t="str">
        <f>OBRA!AI705</f>
        <v>-</v>
      </c>
      <c r="O703" s="1185"/>
      <c r="P703" s="1185"/>
      <c r="Q703" s="1187"/>
      <c r="R703" s="437" t="str">
        <f>OBRA!AJ705</f>
        <v>-</v>
      </c>
      <c r="S703" s="535"/>
      <c r="T703" s="399" t="str">
        <f>OBRA!W705</f>
        <v xml:space="preserve">DORIA &amp; SAMPIER CONSTRUCTORA, S.A. DE C.V. </v>
      </c>
      <c r="U703" s="408" t="str">
        <f>OBRA!X705</f>
        <v>C. DANIEL RODRIGUEZ VALENZUELA</v>
      </c>
      <c r="V703" s="1090"/>
      <c r="W703" s="19" t="str">
        <f>OBRA!N705</f>
        <v>C- OP 004/2023</v>
      </c>
      <c r="X703" s="1402"/>
      <c r="Y703" s="1402"/>
      <c r="Z703" s="409" t="str">
        <f>OBRA!M705</f>
        <v>CUENTA CORRIENTE</v>
      </c>
      <c r="AA703" s="1402"/>
      <c r="AB703" s="2" t="str">
        <f>OBRA!O705</f>
        <v>ARRENDAMIENTO</v>
      </c>
      <c r="AC703" s="3" t="str">
        <f>OBRA!P705</f>
        <v>RENTA DE UNA RETROEXCAVADORA MARCA JCB MOD. 2000 SERIE 4214E, PARA SER UTILIZADA EN LA CONSTRUCCIÓN DE BASE PARA LA COLOCACIÓN DE LETRAS MONUMENTALES DE SAN JOSE POTRERILLOS, DEL MUNICIPIO DE JOCOTEPEC, JALISCO.</v>
      </c>
      <c r="AD703" s="4">
        <f>OBRA!R705</f>
        <v>638</v>
      </c>
      <c r="AE703" s="6">
        <f>OBRA!S705</f>
        <v>44981</v>
      </c>
      <c r="AF703" s="5">
        <f>OBRA!T705</f>
        <v>44985</v>
      </c>
      <c r="AG703" s="390">
        <f>OBRA!U705</f>
        <v>44989</v>
      </c>
      <c r="AH703" s="880"/>
      <c r="AI703" s="161"/>
      <c r="AJ703" s="219"/>
      <c r="AK703" s="219"/>
      <c r="AL703" s="632"/>
      <c r="AM703" s="519">
        <f>GRAL!B947</f>
        <v>0</v>
      </c>
    </row>
    <row r="704" spans="1:39" ht="75" hidden="1">
      <c r="A704" s="158">
        <f>OBRA!J706</f>
        <v>2023</v>
      </c>
      <c r="B704" s="1683"/>
      <c r="C704" s="1360"/>
      <c r="D704" s="163"/>
      <c r="E704" s="1169"/>
      <c r="F704" s="1169"/>
      <c r="G704" s="1184"/>
      <c r="H704" s="1185" t="str">
        <f>OBRA!AF706</f>
        <v>-</v>
      </c>
      <c r="I704" s="1186"/>
      <c r="J704" s="1361" t="str">
        <f>OBRA!AG706</f>
        <v>-</v>
      </c>
      <c r="K704" s="1187"/>
      <c r="L704" s="1185" t="str">
        <f>OBRA!AH706</f>
        <v>-</v>
      </c>
      <c r="M704" s="1188"/>
      <c r="N704" s="1185" t="str">
        <f>OBRA!AI706</f>
        <v>-</v>
      </c>
      <c r="O704" s="1185"/>
      <c r="P704" s="1185"/>
      <c r="Q704" s="1187"/>
      <c r="R704" s="437" t="str">
        <f>OBRA!AJ706</f>
        <v>-</v>
      </c>
      <c r="S704" s="535"/>
      <c r="T704" s="399" t="str">
        <f>OBRA!W706</f>
        <v>ALSERCON SA DE CV</v>
      </c>
      <c r="U704" s="408" t="str">
        <f>OBRA!X706</f>
        <v>C. DANIEL RODRIGUEZ VALENZUELA</v>
      </c>
      <c r="V704" s="1090"/>
      <c r="W704" s="19" t="str">
        <f>OBRA!N706</f>
        <v>C- OP 005/2023</v>
      </c>
      <c r="X704" s="1402"/>
      <c r="Y704" s="1402"/>
      <c r="Z704" s="409" t="str">
        <f>OBRA!M706</f>
        <v>CUENTA CORRIENTE</v>
      </c>
      <c r="AA704" s="1402"/>
      <c r="AB704" s="2" t="str">
        <f>OBRA!O706</f>
        <v>ARRENDAMIENTO</v>
      </c>
      <c r="AC704" s="3" t="str">
        <f>OBRA!P706</f>
        <v>RENTA DE CAMIÓN TIPO PIPA MARCA DODGE RAM 6500 MOD. 1996 PLACAS JM57075, CON CAPACIDAD DE 10,000 LITROS PARA EL SERVICIO DE ACARREO DE AGUA EN EL MUNICIPIO DE JOCOTEPEC, JALISCO.</v>
      </c>
      <c r="AD704" s="4">
        <f>OBRA!R706</f>
        <v>28999.999999999996</v>
      </c>
      <c r="AE704" s="6">
        <f>OBRA!S706</f>
        <v>45037</v>
      </c>
      <c r="AF704" s="5">
        <f>OBRA!T706</f>
        <v>45039</v>
      </c>
      <c r="AG704" s="390">
        <f>OBRA!U706</f>
        <v>45069</v>
      </c>
      <c r="AH704" s="880"/>
      <c r="AI704" s="161"/>
      <c r="AJ704" s="219"/>
      <c r="AK704" s="219"/>
      <c r="AL704" s="632"/>
      <c r="AM704" s="519">
        <f>GRAL!B948</f>
        <v>0</v>
      </c>
    </row>
    <row r="705" spans="1:39" ht="75" hidden="1">
      <c r="A705" s="158">
        <f>OBRA!J707</f>
        <v>2023</v>
      </c>
      <c r="B705" s="1683"/>
      <c r="C705" s="1360"/>
      <c r="D705" s="163"/>
      <c r="E705" s="1169"/>
      <c r="F705" s="1169"/>
      <c r="G705" s="1184"/>
      <c r="H705" s="1185" t="str">
        <f>OBRA!AF707</f>
        <v>-</v>
      </c>
      <c r="I705" s="1186"/>
      <c r="J705" s="1361" t="str">
        <f>OBRA!AG707</f>
        <v>-</v>
      </c>
      <c r="K705" s="1187"/>
      <c r="L705" s="1185" t="str">
        <f>OBRA!AH707</f>
        <v>-</v>
      </c>
      <c r="M705" s="1188"/>
      <c r="N705" s="1185" t="str">
        <f>OBRA!AI707</f>
        <v>-</v>
      </c>
      <c r="O705" s="1185"/>
      <c r="P705" s="1185"/>
      <c r="Q705" s="1187"/>
      <c r="R705" s="437" t="str">
        <f>OBRA!AJ707</f>
        <v>-</v>
      </c>
      <c r="S705" s="535"/>
      <c r="T705" s="399" t="str">
        <f>OBRA!W707</f>
        <v>URBANIZADORA Y PAVIMENTADORA MONLE S.A. DE C.V.</v>
      </c>
      <c r="U705" s="408" t="str">
        <f>OBRA!X707</f>
        <v>C. DANIEL RODRIGUEZ VALENZUELA</v>
      </c>
      <c r="V705" s="1090"/>
      <c r="W705" s="19" t="str">
        <f>OBRA!N707</f>
        <v>C- OP 006/2023</v>
      </c>
      <c r="X705" s="1402"/>
      <c r="Y705" s="1402"/>
      <c r="Z705" s="409" t="str">
        <f>OBRA!M707</f>
        <v>CUENTA CORRIENTE</v>
      </c>
      <c r="AA705" s="1402"/>
      <c r="AB705" s="2" t="str">
        <f>OBRA!O707</f>
        <v>ARRENDAMIENTO</v>
      </c>
      <c r="AC705" s="3" t="str">
        <f>OBRA!P707</f>
        <v>RENTA DE UNA RETROEXCAVADORA DEE 310SJ 4X4, PARA SER UTILIZADA EN DIVERSOS MANTENIMIENTOS REQUERIDOS POR LA DIRECCIÓN DE OBRAS PÚBLICAS DEL GOBIERNO MUNICIPAL DE JOCOTEPEC, JALISCO.</v>
      </c>
      <c r="AD705" s="4">
        <f>OBRA!R707</f>
        <v>59681.999999999993</v>
      </c>
      <c r="AE705" s="6">
        <f>OBRA!S707</f>
        <v>45015</v>
      </c>
      <c r="AF705" s="5">
        <f>OBRA!T707</f>
        <v>45017</v>
      </c>
      <c r="AG705" s="390">
        <f>OBRA!U707</f>
        <v>45046</v>
      </c>
      <c r="AH705" s="880"/>
      <c r="AI705" s="161"/>
      <c r="AJ705" s="219"/>
      <c r="AK705" s="219"/>
      <c r="AL705" s="632"/>
      <c r="AM705" s="519">
        <f>GRAL!B949</f>
        <v>0</v>
      </c>
    </row>
    <row r="706" spans="1:39" ht="75" hidden="1">
      <c r="A706" s="158">
        <f>OBRA!J708</f>
        <v>2023</v>
      </c>
      <c r="B706" s="1683"/>
      <c r="C706" s="1360"/>
      <c r="D706" s="163"/>
      <c r="E706" s="1169"/>
      <c r="F706" s="1169"/>
      <c r="G706" s="1184"/>
      <c r="H706" s="1185" t="str">
        <f>OBRA!AF708</f>
        <v>-</v>
      </c>
      <c r="I706" s="1186"/>
      <c r="J706" s="1361" t="str">
        <f>OBRA!AG708</f>
        <v>-</v>
      </c>
      <c r="K706" s="1187"/>
      <c r="L706" s="1185" t="str">
        <f>OBRA!AH708</f>
        <v>-</v>
      </c>
      <c r="M706" s="1188"/>
      <c r="N706" s="1185" t="str">
        <f>OBRA!AI708</f>
        <v>-</v>
      </c>
      <c r="O706" s="1185"/>
      <c r="P706" s="1185"/>
      <c r="Q706" s="1187"/>
      <c r="R706" s="437" t="str">
        <f>OBRA!AJ708</f>
        <v>-</v>
      </c>
      <c r="S706" s="535"/>
      <c r="T706" s="399" t="str">
        <f>OBRA!W708</f>
        <v>CONSTRUCTORES BACHMEIER S.A. DE C.V.</v>
      </c>
      <c r="U706" s="408" t="str">
        <f>OBRA!X708</f>
        <v>ING. LUIS RIGOBERTO OLMEDO NAVARRO</v>
      </c>
      <c r="V706" s="1090"/>
      <c r="W706" s="19" t="str">
        <f>OBRA!N708</f>
        <v>C- OP 006A/2023</v>
      </c>
      <c r="X706" s="1402"/>
      <c r="Y706" s="1402"/>
      <c r="Z706" s="409" t="str">
        <f>OBRA!M708</f>
        <v>CUENTA CORRIENTE</v>
      </c>
      <c r="AA706" s="1402"/>
      <c r="AB706" s="2" t="str">
        <f>OBRA!O708</f>
        <v>ARRENDAMIENTO</v>
      </c>
      <c r="AC706" s="3" t="str">
        <f>OBRA!P708</f>
        <v>RENTA DE EXCAVADORA CAT 320, PARA SER UTILIZADA EN LAS OBRAS: DESAZOLVES EN ARROYOS, DE LAS DELEGACIONES Y DE LA CABECERA DEL MUNICIPIO DE JOCOTEPEC, JALISCO.</v>
      </c>
      <c r="AD706" s="4">
        <f>OBRA!R708</f>
        <v>4750.0027999999993</v>
      </c>
      <c r="AE706" s="6">
        <f>OBRA!S708</f>
        <v>45033</v>
      </c>
      <c r="AF706" s="5">
        <f>OBRA!T708</f>
        <v>45033</v>
      </c>
      <c r="AG706" s="390">
        <f>OBRA!U708</f>
        <v>45094</v>
      </c>
      <c r="AH706" s="880"/>
      <c r="AI706" s="161"/>
      <c r="AJ706" s="219"/>
      <c r="AK706" s="219"/>
      <c r="AL706" s="632"/>
      <c r="AM706" s="519">
        <f>GRAL!B950</f>
        <v>0</v>
      </c>
    </row>
    <row r="707" spans="1:39" ht="75" hidden="1">
      <c r="A707" s="158">
        <f>OBRA!J709</f>
        <v>2023</v>
      </c>
      <c r="B707" s="1683"/>
      <c r="C707" s="1360"/>
      <c r="D707" s="163"/>
      <c r="E707" s="1169"/>
      <c r="F707" s="1169"/>
      <c r="G707" s="1184"/>
      <c r="H707" s="1185" t="str">
        <f>OBRA!AF709</f>
        <v>-</v>
      </c>
      <c r="I707" s="1186"/>
      <c r="J707" s="1361" t="str">
        <f>OBRA!AG709</f>
        <v>-</v>
      </c>
      <c r="K707" s="1187"/>
      <c r="L707" s="1185" t="str">
        <f>OBRA!AH709</f>
        <v>-</v>
      </c>
      <c r="M707" s="1188"/>
      <c r="N707" s="1185" t="str">
        <f>OBRA!AI709</f>
        <v>-</v>
      </c>
      <c r="O707" s="1185"/>
      <c r="P707" s="1185"/>
      <c r="Q707" s="1187"/>
      <c r="R707" s="437" t="str">
        <f>OBRA!AJ709</f>
        <v>-</v>
      </c>
      <c r="S707" s="535"/>
      <c r="T707" s="399" t="str">
        <f>OBRA!W709</f>
        <v>CONSTRUCTORES BACHMEIER S.A. DE C.V.</v>
      </c>
      <c r="U707" s="408" t="str">
        <f>OBRA!X709</f>
        <v>ING. LUIS RIGOBERTO OLMEDO NAVARRO</v>
      </c>
      <c r="V707" s="1090"/>
      <c r="W707" s="19" t="str">
        <f>OBRA!N709</f>
        <v>C- OP 006B/2023</v>
      </c>
      <c r="X707" s="1402"/>
      <c r="Y707" s="1402"/>
      <c r="Z707" s="409" t="str">
        <f>OBRA!M709</f>
        <v>CUENTA CORRIENTE</v>
      </c>
      <c r="AA707" s="1402"/>
      <c r="AB707" s="2" t="str">
        <f>OBRA!O709</f>
        <v>ARRENDAMIENTO</v>
      </c>
      <c r="AC707" s="3" t="str">
        <f>OBRA!P709</f>
        <v>RENTA DE UNA EXCAVADORA, PARA SER UTILIZADA EN LAS OBRAS: MANTENIMIENTOS VARIOS EN LAS AGENCIAS, DELEGACIONES Y CABECERA DEL MUNICIPIO DE JOCOTEPEC, JALISCO.</v>
      </c>
      <c r="AD707" s="4">
        <f>OBRA!R709</f>
        <v>1899.9987999999998</v>
      </c>
      <c r="AE707" s="6">
        <f>OBRA!S709</f>
        <v>45033</v>
      </c>
      <c r="AF707" s="5">
        <f>OBRA!T709</f>
        <v>45033</v>
      </c>
      <c r="AG707" s="390">
        <f>OBRA!U709</f>
        <v>45094</v>
      </c>
      <c r="AH707" s="880"/>
      <c r="AI707" s="161"/>
      <c r="AJ707" s="219"/>
      <c r="AK707" s="219"/>
      <c r="AL707" s="632"/>
      <c r="AM707" s="519">
        <f>GRAL!B951</f>
        <v>0</v>
      </c>
    </row>
    <row r="708" spans="1:39" ht="105" hidden="1">
      <c r="A708" s="158">
        <f>OBRA!J710</f>
        <v>2023</v>
      </c>
      <c r="B708" s="1683"/>
      <c r="C708" s="1360"/>
      <c r="D708" s="163"/>
      <c r="E708" s="1169"/>
      <c r="F708" s="1169"/>
      <c r="G708" s="1184"/>
      <c r="H708" s="1185" t="str">
        <f>OBRA!AF710</f>
        <v>-</v>
      </c>
      <c r="I708" s="1186"/>
      <c r="J708" s="1361" t="str">
        <f>OBRA!AG710</f>
        <v>-</v>
      </c>
      <c r="K708" s="1187"/>
      <c r="L708" s="1185" t="str">
        <f>OBRA!AH710</f>
        <v>-</v>
      </c>
      <c r="M708" s="1188"/>
      <c r="N708" s="1185" t="str">
        <f>OBRA!AI710</f>
        <v>-</v>
      </c>
      <c r="O708" s="1185"/>
      <c r="P708" s="1185"/>
      <c r="Q708" s="1187"/>
      <c r="R708" s="437" t="str">
        <f>OBRA!AJ710</f>
        <v>-</v>
      </c>
      <c r="S708" s="535"/>
      <c r="T708" s="399" t="str">
        <f>OBRA!W710</f>
        <v xml:space="preserve">DORIA &amp; SAMPIER CONSTRUCTORA, S.A. DE C.V. </v>
      </c>
      <c r="U708" s="408" t="str">
        <f>OBRA!X710</f>
        <v>C. DANIEL RODRIGUEZ VALENZUELA</v>
      </c>
      <c r="V708" s="1090"/>
      <c r="W708" s="19" t="str">
        <f>OBRA!N710</f>
        <v>C- OP 007/2023</v>
      </c>
      <c r="X708" s="1402"/>
      <c r="Y708" s="1402"/>
      <c r="Z708" s="409" t="str">
        <f>OBRA!M710</f>
        <v>CUENTA CORRIENTE</v>
      </c>
      <c r="AA708" s="1402"/>
      <c r="AB708" s="2" t="str">
        <f>OBRA!O710</f>
        <v>ARRENDAMIENTO</v>
      </c>
      <c r="AC708" s="3" t="str">
        <f>OBRA!P710</f>
        <v>RENTA DE UN CAMIÓN VOLTEO MARCA KENWORTH COLOR AZUL PLACA JU00932 Y UN CAMIÓN VOLTEO MARCA INTERNACIONAL COLOR AMARILLO PLACA 09AF9U, PARA SER UTILIZADO EN EL ACARREO DE MATERIAL POR DESAZOLVES DE ARROYOS EN EL MUNICIPIO DE JOCOTEPEC, JALISCO.</v>
      </c>
      <c r="AD708" s="4">
        <f>OBRA!R710</f>
        <v>5220</v>
      </c>
      <c r="AE708" s="6">
        <f>OBRA!S710</f>
        <v>45034</v>
      </c>
      <c r="AF708" s="5">
        <f>OBRA!T710</f>
        <v>45036</v>
      </c>
      <c r="AG708" s="390">
        <f>OBRA!U710</f>
        <v>45066</v>
      </c>
      <c r="AH708" s="880"/>
      <c r="AI708" s="161"/>
      <c r="AJ708" s="219"/>
      <c r="AK708" s="219"/>
      <c r="AL708" s="632"/>
      <c r="AM708" s="519">
        <f>GRAL!B952</f>
        <v>0</v>
      </c>
    </row>
    <row r="709" spans="1:39" ht="105" hidden="1">
      <c r="A709" s="158">
        <f>OBRA!J711</f>
        <v>2023</v>
      </c>
      <c r="B709" s="1683"/>
      <c r="C709" s="1360"/>
      <c r="D709" s="163"/>
      <c r="E709" s="1169"/>
      <c r="F709" s="1169"/>
      <c r="G709" s="1184"/>
      <c r="H709" s="1185" t="str">
        <f>OBRA!AF711</f>
        <v>-</v>
      </c>
      <c r="I709" s="1186"/>
      <c r="J709" s="1361" t="str">
        <f>OBRA!AG711</f>
        <v>-</v>
      </c>
      <c r="K709" s="1187"/>
      <c r="L709" s="1185" t="str">
        <f>OBRA!AH711</f>
        <v>-</v>
      </c>
      <c r="M709" s="1188"/>
      <c r="N709" s="1185" t="str">
        <f>OBRA!AI711</f>
        <v>-</v>
      </c>
      <c r="O709" s="1185"/>
      <c r="P709" s="1185"/>
      <c r="Q709" s="1187"/>
      <c r="R709" s="437" t="str">
        <f>OBRA!AJ711</f>
        <v>-</v>
      </c>
      <c r="S709" s="535"/>
      <c r="T709" s="399" t="str">
        <f>OBRA!W711</f>
        <v xml:space="preserve">DORIA &amp; SAMPIER CONSTRUCTORA, S.A. DE C.V. </v>
      </c>
      <c r="U709" s="408" t="str">
        <f>OBRA!X711</f>
        <v>C. DANIEL RODRIGUEZ VALENZUELA</v>
      </c>
      <c r="V709" s="1090"/>
      <c r="W709" s="19" t="str">
        <f>OBRA!N711</f>
        <v>C- OP 008/2023</v>
      </c>
      <c r="X709" s="1402"/>
      <c r="Y709" s="1402"/>
      <c r="Z709" s="409" t="str">
        <f>OBRA!M711</f>
        <v>CUENTA CORRIENTE</v>
      </c>
      <c r="AA709" s="1402"/>
      <c r="AB709" s="2" t="str">
        <f>OBRA!O711</f>
        <v>ARRENDAMIENTO</v>
      </c>
      <c r="AC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OBRA!R711</f>
        <v>5220</v>
      </c>
      <c r="AE709" s="6">
        <f>OBRA!S711</f>
        <v>45034</v>
      </c>
      <c r="AF709" s="5">
        <f>OBRA!T711</f>
        <v>45036</v>
      </c>
      <c r="AG709" s="390">
        <f>OBRA!U711</f>
        <v>45066</v>
      </c>
      <c r="AH709" s="880"/>
      <c r="AI709" s="161"/>
      <c r="AJ709" s="219"/>
      <c r="AK709" s="219"/>
      <c r="AL709" s="632"/>
      <c r="AM709" s="519">
        <f>GRAL!B953</f>
        <v>0</v>
      </c>
    </row>
    <row r="710" spans="1:39" ht="105" hidden="1">
      <c r="A710" s="158">
        <f>OBRA!J712</f>
        <v>2023</v>
      </c>
      <c r="B710" s="1683"/>
      <c r="C710" s="1360"/>
      <c r="D710" s="163"/>
      <c r="E710" s="1169"/>
      <c r="F710" s="1169"/>
      <c r="G710" s="1184"/>
      <c r="H710" s="1185" t="str">
        <f>OBRA!AF712</f>
        <v>-</v>
      </c>
      <c r="I710" s="1186"/>
      <c r="J710" s="1361" t="str">
        <f>OBRA!AG712</f>
        <v>-</v>
      </c>
      <c r="K710" s="1187"/>
      <c r="L710" s="1185" t="str">
        <f>OBRA!AH712</f>
        <v>-</v>
      </c>
      <c r="M710" s="1188"/>
      <c r="N710" s="1185" t="str">
        <f>OBRA!AI712</f>
        <v>-</v>
      </c>
      <c r="O710" s="1185"/>
      <c r="P710" s="1185"/>
      <c r="Q710" s="1187"/>
      <c r="R710" s="437" t="str">
        <f>OBRA!AJ712</f>
        <v>-</v>
      </c>
      <c r="S710" s="535"/>
      <c r="T710" s="399" t="str">
        <f>OBRA!W712</f>
        <v xml:space="preserve">DORIA &amp; SAMPIER CONSTRUCTORA, S.A. DE C.V. </v>
      </c>
      <c r="U710" s="408" t="str">
        <f>OBRA!X712</f>
        <v>C. DANIEL RODRIGUEZ VALENZUELA</v>
      </c>
      <c r="V710" s="1090"/>
      <c r="W710" s="19" t="str">
        <f>OBRA!N712</f>
        <v>C- OP 009/2023</v>
      </c>
      <c r="X710" s="1402"/>
      <c r="Y710" s="1402"/>
      <c r="Z710" s="409" t="str">
        <f>OBRA!M712</f>
        <v>CUENTA CORRIENTE</v>
      </c>
      <c r="AA710" s="1402"/>
      <c r="AB710" s="2" t="str">
        <f>OBRA!O712</f>
        <v>ARRENDAMIENTO</v>
      </c>
      <c r="AC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OBRA!R712</f>
        <v>696</v>
      </c>
      <c r="AE710" s="6">
        <f>OBRA!S712</f>
        <v>44972</v>
      </c>
      <c r="AF710" s="5">
        <f>OBRA!T712</f>
        <v>44974</v>
      </c>
      <c r="AG710" s="390">
        <f>OBRA!U712</f>
        <v>44976</v>
      </c>
      <c r="AH710" s="880"/>
      <c r="AI710" s="161"/>
      <c r="AJ710" s="219"/>
      <c r="AK710" s="219"/>
      <c r="AL710" s="632"/>
      <c r="AM710" s="519">
        <f>GRAL!B954</f>
        <v>0</v>
      </c>
    </row>
    <row r="711" spans="1:39" ht="105" hidden="1">
      <c r="A711" s="158">
        <f>OBRA!J713</f>
        <v>2023</v>
      </c>
      <c r="B711" s="1683"/>
      <c r="C711" s="1360"/>
      <c r="D711" s="163"/>
      <c r="E711" s="1169"/>
      <c r="F711" s="1169"/>
      <c r="G711" s="1184"/>
      <c r="H711" s="1185" t="str">
        <f>OBRA!AF713</f>
        <v>-</v>
      </c>
      <c r="I711" s="1186"/>
      <c r="J711" s="1361" t="str">
        <f>OBRA!AG713</f>
        <v>-</v>
      </c>
      <c r="K711" s="1187"/>
      <c r="L711" s="1185" t="str">
        <f>OBRA!AH713</f>
        <v>-</v>
      </c>
      <c r="M711" s="1188"/>
      <c r="N711" s="1185" t="str">
        <f>OBRA!AI713</f>
        <v>-</v>
      </c>
      <c r="O711" s="1185"/>
      <c r="P711" s="1185"/>
      <c r="Q711" s="1187"/>
      <c r="R711" s="437" t="str">
        <f>OBRA!AJ713</f>
        <v>-</v>
      </c>
      <c r="S711" s="535"/>
      <c r="T711" s="399" t="str">
        <f>OBRA!W713</f>
        <v xml:space="preserve">DORIA &amp; SAMPIER CONSTRUCTORA, S.A. DE C.V. </v>
      </c>
      <c r="U711" s="408" t="str">
        <f>OBRA!X713</f>
        <v>C. DANIEL RODRIGUEZ VALENZUELA</v>
      </c>
      <c r="V711" s="1090"/>
      <c r="W711" s="19" t="str">
        <f>OBRA!N713</f>
        <v>C- OP 010/2023</v>
      </c>
      <c r="X711" s="1402"/>
      <c r="Y711" s="1402"/>
      <c r="Z711" s="409" t="str">
        <f>OBRA!M713</f>
        <v>CUENTA CORRIENTE</v>
      </c>
      <c r="AA711" s="1402"/>
      <c r="AB711" s="2" t="str">
        <f>OBRA!O713</f>
        <v>ARRENDAMIENTO</v>
      </c>
      <c r="AC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AD711" s="4">
        <f>OBRA!R713</f>
        <v>754</v>
      </c>
      <c r="AE711" s="6">
        <f>OBRA!S713</f>
        <v>44966</v>
      </c>
      <c r="AF711" s="5">
        <f>OBRA!T713</f>
        <v>44970</v>
      </c>
      <c r="AG711" s="390">
        <f>OBRA!U713</f>
        <v>44976</v>
      </c>
      <c r="AH711" s="880"/>
      <c r="AI711" s="161"/>
      <c r="AJ711" s="219"/>
      <c r="AK711" s="219"/>
      <c r="AL711" s="632"/>
      <c r="AM711" s="519">
        <f>GRAL!B955</f>
        <v>0</v>
      </c>
    </row>
    <row r="712" spans="1:39" ht="105" hidden="1">
      <c r="A712" s="158">
        <f>OBRA!J714</f>
        <v>2023</v>
      </c>
      <c r="B712" s="1683"/>
      <c r="C712" s="1360"/>
      <c r="D712" s="163"/>
      <c r="E712" s="1169"/>
      <c r="F712" s="1169"/>
      <c r="G712" s="1184"/>
      <c r="H712" s="1185" t="str">
        <f>OBRA!AF714</f>
        <v>-</v>
      </c>
      <c r="I712" s="1186"/>
      <c r="J712" s="1361" t="str">
        <f>OBRA!AG714</f>
        <v>-</v>
      </c>
      <c r="K712" s="1187"/>
      <c r="L712" s="1185" t="str">
        <f>OBRA!AH714</f>
        <v>-</v>
      </c>
      <c r="M712" s="1188"/>
      <c r="N712" s="1185" t="str">
        <f>OBRA!AI714</f>
        <v>-</v>
      </c>
      <c r="O712" s="1185"/>
      <c r="P712" s="1185"/>
      <c r="Q712" s="1187"/>
      <c r="R712" s="437" t="str">
        <f>OBRA!AJ714</f>
        <v>-</v>
      </c>
      <c r="S712" s="535"/>
      <c r="T712" s="399" t="str">
        <f>OBRA!W714</f>
        <v xml:space="preserve">DORIA &amp; SAMPIER CONSTRUCTORA, S.A. DE C.V. </v>
      </c>
      <c r="U712" s="408" t="str">
        <f>OBRA!X714</f>
        <v>C. DANIEL RODRIGUEZ VALENZUELA</v>
      </c>
      <c r="V712" s="1090"/>
      <c r="W712" s="19" t="str">
        <f>OBRA!N714</f>
        <v>C- OP 011/2023</v>
      </c>
      <c r="X712" s="1402"/>
      <c r="Y712" s="1402"/>
      <c r="Z712" s="409" t="str">
        <f>OBRA!M714</f>
        <v>CUENTA CORRIENTE</v>
      </c>
      <c r="AA712" s="1402"/>
      <c r="AB712" s="2" t="str">
        <f>OBRA!O714</f>
        <v>ARRENDAMIENTO</v>
      </c>
      <c r="AC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OBRA!R714</f>
        <v>1020.8</v>
      </c>
      <c r="AE712" s="6">
        <f>OBRA!S714</f>
        <v>44966</v>
      </c>
      <c r="AF712" s="5">
        <f>OBRA!T714</f>
        <v>44970</v>
      </c>
      <c r="AG712" s="390">
        <f>OBRA!U714</f>
        <v>44977</v>
      </c>
      <c r="AH712" s="880"/>
      <c r="AI712" s="161"/>
      <c r="AJ712" s="219"/>
      <c r="AK712" s="219"/>
      <c r="AL712" s="632"/>
      <c r="AM712" s="519">
        <f>GRAL!B956</f>
        <v>0</v>
      </c>
    </row>
    <row r="713" spans="1:39" ht="105" hidden="1">
      <c r="A713" s="158">
        <f>OBRA!J715</f>
        <v>2023</v>
      </c>
      <c r="B713" s="1683"/>
      <c r="C713" s="1360"/>
      <c r="D713" s="163"/>
      <c r="E713" s="1169"/>
      <c r="F713" s="1169"/>
      <c r="G713" s="1184"/>
      <c r="H713" s="1185" t="str">
        <f>OBRA!AF715</f>
        <v>-</v>
      </c>
      <c r="I713" s="1186"/>
      <c r="J713" s="1361" t="str">
        <f>OBRA!AG715</f>
        <v>-</v>
      </c>
      <c r="K713" s="1187"/>
      <c r="L713" s="1185" t="str">
        <f>OBRA!AH715</f>
        <v>-</v>
      </c>
      <c r="M713" s="1188"/>
      <c r="N713" s="1185" t="str">
        <f>OBRA!AI715</f>
        <v>-</v>
      </c>
      <c r="O713" s="1185"/>
      <c r="P713" s="1185"/>
      <c r="Q713" s="1187"/>
      <c r="R713" s="437" t="str">
        <f>OBRA!AJ715</f>
        <v>-</v>
      </c>
      <c r="S713" s="535"/>
      <c r="T713" s="399" t="str">
        <f>OBRA!W715</f>
        <v xml:space="preserve">DORIA &amp; SAMPIER CONSTRUCTORA, S.A. DE C.V. </v>
      </c>
      <c r="U713" s="408" t="str">
        <f>OBRA!X715</f>
        <v>C. DANIEL RODRIGUEZ VALENZUELA</v>
      </c>
      <c r="V713" s="1090"/>
      <c r="W713" s="19" t="str">
        <f>OBRA!N715</f>
        <v>C- OP 012/2023</v>
      </c>
      <c r="X713" s="1402"/>
      <c r="Y713" s="1402"/>
      <c r="Z713" s="409" t="str">
        <f>OBRA!M715</f>
        <v>CUENTA CORRIENTE</v>
      </c>
      <c r="AA713" s="1402"/>
      <c r="AB713" s="2" t="str">
        <f>OBRA!O715</f>
        <v>ARRENDAMIENTO</v>
      </c>
      <c r="AC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OBRA!R715</f>
        <v>754</v>
      </c>
      <c r="AE713" s="6">
        <f>OBRA!S715</f>
        <v>44974</v>
      </c>
      <c r="AF713" s="5">
        <f>OBRA!T715</f>
        <v>44977</v>
      </c>
      <c r="AG713" s="390">
        <f>OBRA!U715</f>
        <v>44982</v>
      </c>
      <c r="AH713" s="880"/>
      <c r="AI713" s="161"/>
      <c r="AJ713" s="219"/>
      <c r="AK713" s="219"/>
      <c r="AL713" s="632"/>
      <c r="AM713" s="519">
        <f>GRAL!B957</f>
        <v>0</v>
      </c>
    </row>
    <row r="714" spans="1:39" ht="120" hidden="1">
      <c r="A714" s="158">
        <f>OBRA!J716</f>
        <v>2023</v>
      </c>
      <c r="B714" s="1683"/>
      <c r="C714" s="1360"/>
      <c r="D714" s="163"/>
      <c r="E714" s="1169"/>
      <c r="F714" s="1169"/>
      <c r="G714" s="1184"/>
      <c r="H714" s="1185" t="str">
        <f>OBRA!AF716</f>
        <v>-</v>
      </c>
      <c r="I714" s="1186"/>
      <c r="J714" s="1361" t="str">
        <f>OBRA!AG716</f>
        <v>-</v>
      </c>
      <c r="K714" s="1187"/>
      <c r="L714" s="1185" t="str">
        <f>OBRA!AH716</f>
        <v>-</v>
      </c>
      <c r="M714" s="1188"/>
      <c r="N714" s="1185" t="str">
        <f>OBRA!AI716</f>
        <v>-</v>
      </c>
      <c r="O714" s="1185"/>
      <c r="P714" s="1185"/>
      <c r="Q714" s="1187"/>
      <c r="R714" s="437" t="str">
        <f>OBRA!AJ716</f>
        <v>-</v>
      </c>
      <c r="S714" s="535"/>
      <c r="T714" s="399" t="str">
        <f>OBRA!W716</f>
        <v xml:space="preserve">DORIA &amp; SAMPIER CONSTRUCTORA, S.A. DE C.V. </v>
      </c>
      <c r="U714" s="408" t="str">
        <f>OBRA!X716</f>
        <v>C. DANIEL RODRIGUEZ VALENZUELA</v>
      </c>
      <c r="V714" s="1090"/>
      <c r="W714" s="19" t="str">
        <f>OBRA!N716</f>
        <v>C- OP 013/2023</v>
      </c>
      <c r="X714" s="1402"/>
      <c r="Y714" s="1402"/>
      <c r="Z714" s="409" t="str">
        <f>OBRA!M716</f>
        <v>CUENTA CORRIENTE</v>
      </c>
      <c r="AA714" s="1402"/>
      <c r="AB714" s="2" t="str">
        <f>OBRA!O716</f>
        <v>ARRENDAMIENTO</v>
      </c>
      <c r="AC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OBRA!R716</f>
        <v>1020.8</v>
      </c>
      <c r="AE714" s="6">
        <f>OBRA!S716</f>
        <v>44974</v>
      </c>
      <c r="AF714" s="5">
        <f>OBRA!T716</f>
        <v>44977</v>
      </c>
      <c r="AG714" s="390">
        <f>OBRA!U716</f>
        <v>44982</v>
      </c>
      <c r="AH714" s="880"/>
      <c r="AI714" s="161"/>
      <c r="AJ714" s="219"/>
      <c r="AK714" s="219"/>
      <c r="AL714" s="632"/>
      <c r="AM714" s="519">
        <f>GRAL!B958</f>
        <v>0</v>
      </c>
    </row>
    <row r="715" spans="1:39" ht="120" hidden="1">
      <c r="A715" s="158">
        <f>OBRA!J717</f>
        <v>2023</v>
      </c>
      <c r="B715" s="1683"/>
      <c r="C715" s="1360"/>
      <c r="D715" s="163"/>
      <c r="E715" s="1169"/>
      <c r="F715" s="1169"/>
      <c r="G715" s="1184"/>
      <c r="H715" s="1185" t="str">
        <f>OBRA!AF717</f>
        <v>-</v>
      </c>
      <c r="I715" s="1186"/>
      <c r="J715" s="1361" t="str">
        <f>OBRA!AG717</f>
        <v>-</v>
      </c>
      <c r="K715" s="1187"/>
      <c r="L715" s="1185" t="str">
        <f>OBRA!AH717</f>
        <v>-</v>
      </c>
      <c r="M715" s="1188"/>
      <c r="N715" s="1185" t="str">
        <f>OBRA!AI717</f>
        <v>-</v>
      </c>
      <c r="O715" s="1185"/>
      <c r="P715" s="1185"/>
      <c r="Q715" s="1187"/>
      <c r="R715" s="437" t="str">
        <f>OBRA!AJ717</f>
        <v>-</v>
      </c>
      <c r="S715" s="535"/>
      <c r="T715" s="399" t="str">
        <f>OBRA!W717</f>
        <v xml:space="preserve">DORIA &amp; SAMPIER CONSTRUCTORA, S.A. DE C.V. </v>
      </c>
      <c r="U715" s="408" t="str">
        <f>OBRA!X717</f>
        <v>C. DANIEL RODRIGUEZ VALENZUELA</v>
      </c>
      <c r="V715" s="1090"/>
      <c r="W715" s="19" t="str">
        <f>OBRA!N717</f>
        <v>C- OP 014/2023</v>
      </c>
      <c r="X715" s="1402"/>
      <c r="Y715" s="1402"/>
      <c r="Z715" s="409" t="str">
        <f>OBRA!M717</f>
        <v>CUENTA CORRIENTE</v>
      </c>
      <c r="AA715" s="1402"/>
      <c r="AB715" s="2" t="str">
        <f>OBRA!O717</f>
        <v>ARRENDAMIENTO</v>
      </c>
      <c r="AC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OBRA!R717</f>
        <v>696</v>
      </c>
      <c r="AE715" s="6">
        <f>OBRA!S717</f>
        <v>44977</v>
      </c>
      <c r="AF715" s="5">
        <f>OBRA!T717</f>
        <v>44978</v>
      </c>
      <c r="AG715" s="390">
        <f>OBRA!U717</f>
        <v>44982</v>
      </c>
      <c r="AH715" s="880"/>
      <c r="AI715" s="161"/>
      <c r="AJ715" s="219"/>
      <c r="AK715" s="219"/>
      <c r="AL715" s="632"/>
      <c r="AM715" s="519">
        <f>GRAL!B959</f>
        <v>0</v>
      </c>
    </row>
    <row r="716" spans="1:39" ht="75" hidden="1">
      <c r="A716" s="158">
        <f>OBRA!J718</f>
        <v>2023</v>
      </c>
      <c r="B716" s="1683"/>
      <c r="C716" s="1360"/>
      <c r="D716" s="163"/>
      <c r="E716" s="1169"/>
      <c r="F716" s="1169"/>
      <c r="G716" s="1184"/>
      <c r="H716" s="1185" t="str">
        <f>OBRA!AF718</f>
        <v>-</v>
      </c>
      <c r="I716" s="1186"/>
      <c r="J716" s="1361" t="str">
        <f>OBRA!AG718</f>
        <v>-</v>
      </c>
      <c r="K716" s="1187"/>
      <c r="L716" s="1185" t="str">
        <f>OBRA!AH718</f>
        <v>-</v>
      </c>
      <c r="M716" s="1188"/>
      <c r="N716" s="1185" t="str">
        <f>OBRA!AI718</f>
        <v>-</v>
      </c>
      <c r="O716" s="1185"/>
      <c r="P716" s="1185"/>
      <c r="Q716" s="1187"/>
      <c r="R716" s="437" t="str">
        <f>OBRA!AJ718</f>
        <v>-</v>
      </c>
      <c r="S716" s="535"/>
      <c r="T716" s="399" t="str">
        <f>OBRA!W718</f>
        <v>URBANIZADORA Y PAVIMENTADORA MONLE S.A. DE C.V.</v>
      </c>
      <c r="U716" s="408" t="str">
        <f>OBRA!X718</f>
        <v>C. DANIEL RODRIGUEZ VALENZUELA</v>
      </c>
      <c r="V716" s="1090"/>
      <c r="W716" s="19" t="str">
        <f>OBRA!N718</f>
        <v>C- OP 015/2023</v>
      </c>
      <c r="X716" s="1402"/>
      <c r="Y716" s="1402"/>
      <c r="Z716" s="409" t="str">
        <f>OBRA!M718</f>
        <v>CUENTA CORRIENTE</v>
      </c>
      <c r="AA716" s="1402"/>
      <c r="AB716" s="2" t="str">
        <f>OBRA!O718</f>
        <v>ARRENDAMIENTO</v>
      </c>
      <c r="AC716" s="3" t="str">
        <f>OBRA!P718</f>
        <v>RENTA DE UNA RETROEXCAVADORA JHON DEERE 310SJ 4X4, PARA SER UTILIZADA EN DIVERSOS MANTENIMIENTOS REQUERIDOS POR LA DIRECCIÓN DE OBRAS PÚBLICAS DEL GOBIERNO MUNICIPAL DE JOCOTEPEC, JALISCO.</v>
      </c>
      <c r="AD716" s="4">
        <f>OBRA!R718</f>
        <v>59681.999999999993</v>
      </c>
      <c r="AE716" s="6">
        <f>OBRA!S718</f>
        <v>45044</v>
      </c>
      <c r="AF716" s="5">
        <f>OBRA!T718</f>
        <v>45047</v>
      </c>
      <c r="AG716" s="390">
        <f>OBRA!U718</f>
        <v>45077</v>
      </c>
      <c r="AH716" s="880"/>
      <c r="AI716" s="161"/>
      <c r="AJ716" s="219"/>
      <c r="AK716" s="219"/>
      <c r="AL716" s="632"/>
      <c r="AM716" s="519">
        <f>GRAL!B947</f>
        <v>0</v>
      </c>
    </row>
    <row r="717" spans="1:39" ht="135" hidden="1">
      <c r="A717" s="158">
        <f>OBRA!J719</f>
        <v>2023</v>
      </c>
      <c r="B717" s="1683"/>
      <c r="C717" s="1360"/>
      <c r="D717" s="163"/>
      <c r="E717" s="1169"/>
      <c r="F717" s="1169"/>
      <c r="G717" s="1184"/>
      <c r="H717" s="1185" t="str">
        <f>OBRA!AF719</f>
        <v>-</v>
      </c>
      <c r="I717" s="1186"/>
      <c r="J717" s="1361" t="str">
        <f>OBRA!AG719</f>
        <v>-</v>
      </c>
      <c r="K717" s="1187"/>
      <c r="L717" s="1185" t="str">
        <f>OBRA!AH719</f>
        <v>-</v>
      </c>
      <c r="M717" s="1188"/>
      <c r="N717" s="1185" t="str">
        <f>OBRA!AI719</f>
        <v>-</v>
      </c>
      <c r="O717" s="1185"/>
      <c r="P717" s="1185"/>
      <c r="Q717" s="1187"/>
      <c r="R717" s="437" t="str">
        <f>OBRA!AJ719</f>
        <v>-</v>
      </c>
      <c r="S717" s="535"/>
      <c r="T717" s="399" t="str">
        <f>OBRA!W719</f>
        <v>GHR CONSTRUCTOR, S.A. DE C.V.</v>
      </c>
      <c r="U717" s="408" t="str">
        <f>OBRA!X719</f>
        <v>C. DANIEL RODRIGUEZ VALENZUELA</v>
      </c>
      <c r="V717" s="1090"/>
      <c r="W717" s="19" t="str">
        <f>OBRA!N719</f>
        <v>C- OP 016/2023</v>
      </c>
      <c r="X717" s="1402"/>
      <c r="Y717" s="1402"/>
      <c r="Z717" s="409" t="str">
        <f>OBRA!M719</f>
        <v>CUENTA CORRIENTE</v>
      </c>
      <c r="AA717" s="1402"/>
      <c r="AB717" s="2" t="str">
        <f>OBRA!O719</f>
        <v>ARRENDAMIENTO</v>
      </c>
      <c r="AC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OBRA!R719</f>
        <v>2900</v>
      </c>
      <c r="AE717" s="6">
        <f>OBRA!S719</f>
        <v>45113</v>
      </c>
      <c r="AF717" s="5">
        <f>OBRA!T719</f>
        <v>45117</v>
      </c>
      <c r="AG717" s="390">
        <f>OBRA!U719</f>
        <v>45127</v>
      </c>
      <c r="AH717" s="880"/>
      <c r="AI717" s="161"/>
      <c r="AJ717" s="219"/>
      <c r="AK717" s="219"/>
      <c r="AL717" s="632"/>
      <c r="AM717" s="519">
        <f>GRAL!B948</f>
        <v>0</v>
      </c>
    </row>
    <row r="718" spans="1:39" ht="75" hidden="1">
      <c r="A718" s="158">
        <f>OBRA!J720</f>
        <v>2023</v>
      </c>
      <c r="B718" s="1683"/>
      <c r="C718" s="1360"/>
      <c r="D718" s="163"/>
      <c r="E718" s="1169"/>
      <c r="F718" s="1169"/>
      <c r="G718" s="1184"/>
      <c r="H718" s="1185" t="str">
        <f>OBRA!AF720</f>
        <v>-</v>
      </c>
      <c r="I718" s="1186"/>
      <c r="J718" s="1361" t="str">
        <f>OBRA!AG720</f>
        <v>-</v>
      </c>
      <c r="K718" s="1187"/>
      <c r="L718" s="1185" t="str">
        <f>OBRA!AH720</f>
        <v>-</v>
      </c>
      <c r="M718" s="1188"/>
      <c r="N718" s="1185" t="str">
        <f>OBRA!AI720</f>
        <v>-</v>
      </c>
      <c r="O718" s="1185"/>
      <c r="P718" s="1185"/>
      <c r="Q718" s="1187"/>
      <c r="R718" s="437" t="str">
        <f>OBRA!AJ720</f>
        <v>-</v>
      </c>
      <c r="S718" s="535"/>
      <c r="T718" s="399" t="str">
        <f>OBRA!W720</f>
        <v>GHR CONSTRUCTOR, S.A. DE C.V.</v>
      </c>
      <c r="U718" s="408" t="str">
        <f>OBRA!X720</f>
        <v>C. DANIEL RODRIGUEZ VALENZUELA</v>
      </c>
      <c r="V718" s="1090"/>
      <c r="W718" s="19" t="str">
        <f>OBRA!N720</f>
        <v>C- OP 017/2023</v>
      </c>
      <c r="X718" s="1402"/>
      <c r="Y718" s="1402"/>
      <c r="Z718" s="409" t="str">
        <f>OBRA!M720</f>
        <v>CUENTA CORRIENTE</v>
      </c>
      <c r="AA718" s="1402"/>
      <c r="AB718" s="2" t="str">
        <f>OBRA!O720</f>
        <v>ARRENDAMIENTO</v>
      </c>
      <c r="AC718" s="3" t="str">
        <f>OBRA!P720</f>
        <v>RENTA DE UNA RETROEXCAVADORA CATERPILLAR 416E 4X4 DE 77HP, PARA SER UTITLIZADO PARA LA CONSTRUCCIÓN DE BASE PARA COLOCACIÓN DE LETRAS MONUMENTALES EN LAS TROJES, MUNICIPIO DE JOCOTEPEC, JALISCO</v>
      </c>
      <c r="AD718" s="4">
        <f>OBRA!R720</f>
        <v>696</v>
      </c>
      <c r="AE718" s="6">
        <f>OBRA!S720</f>
        <v>45133</v>
      </c>
      <c r="AF718" s="5">
        <f>OBRA!T720</f>
        <v>45139</v>
      </c>
      <c r="AG718" s="390">
        <f>OBRA!U720</f>
        <v>45148</v>
      </c>
      <c r="AH718" s="880"/>
      <c r="AI718" s="161"/>
      <c r="AJ718" s="219"/>
      <c r="AK718" s="219"/>
      <c r="AL718" s="632"/>
      <c r="AM718" s="519">
        <f>GRAL!B949</f>
        <v>0</v>
      </c>
    </row>
    <row r="719" spans="1:39" ht="75" hidden="1">
      <c r="A719" s="158">
        <f>OBRA!J721</f>
        <v>2023</v>
      </c>
      <c r="B719" s="1683"/>
      <c r="C719" s="1360"/>
      <c r="D719" s="163"/>
      <c r="E719" s="1169"/>
      <c r="F719" s="1169"/>
      <c r="G719" s="1184"/>
      <c r="H719" s="1185" t="str">
        <f>OBRA!AF721</f>
        <v>-</v>
      </c>
      <c r="I719" s="1186"/>
      <c r="J719" s="1361" t="str">
        <f>OBRA!AG721</f>
        <v>-</v>
      </c>
      <c r="K719" s="1187"/>
      <c r="L719" s="1185" t="str">
        <f>OBRA!AH721</f>
        <v>-</v>
      </c>
      <c r="M719" s="1188"/>
      <c r="N719" s="1185" t="str">
        <f>OBRA!AI721</f>
        <v>-</v>
      </c>
      <c r="O719" s="1185"/>
      <c r="P719" s="1185"/>
      <c r="Q719" s="1187"/>
      <c r="R719" s="437" t="str">
        <f>OBRA!AJ721</f>
        <v>-</v>
      </c>
      <c r="S719" s="535"/>
      <c r="T719" s="399" t="str">
        <f>OBRA!W721</f>
        <v>URBANIZADORA Y PAVIMENTADORA MONLE, S.A. DE C.V.</v>
      </c>
      <c r="U719" s="408" t="str">
        <f>OBRA!X721</f>
        <v>C. DANIEL RODRIGUEZ VALENZUELA</v>
      </c>
      <c r="V719" s="1090"/>
      <c r="W719" s="19" t="str">
        <f>OBRA!N721</f>
        <v>C- OP 018/2023</v>
      </c>
      <c r="X719" s="1402"/>
      <c r="Y719" s="1402"/>
      <c r="Z719" s="409" t="str">
        <f>OBRA!M721</f>
        <v>CUENTA CORRIENTE</v>
      </c>
      <c r="AA719" s="1402"/>
      <c r="AB719" s="2" t="str">
        <f>OBRA!O721</f>
        <v>ARRENDAMIENTO</v>
      </c>
      <c r="AC719" s="3" t="str">
        <f>OBRA!P721</f>
        <v>RENTA DE UNA RETROEXCAVADORA JHON DEERE 310SJ 4X4, PARA SER UTILIZADA EN DIVERSOS MANTENIMIENTOS REQUERIDOS POR LA DIRECCIÓN DE OBRAS PÚBLICAS DEL GOBIERNO MUNICIPAL DE JOCOTEPEC, JALISCO.</v>
      </c>
      <c r="AD719" s="4">
        <f>OBRA!R721</f>
        <v>56839.999999999993</v>
      </c>
      <c r="AE719" s="6">
        <f>OBRA!S721</f>
        <v>45077</v>
      </c>
      <c r="AF719" s="5">
        <f>OBRA!T721</f>
        <v>45078</v>
      </c>
      <c r="AG719" s="390">
        <f>OBRA!U721</f>
        <v>45138</v>
      </c>
      <c r="AH719" s="880"/>
      <c r="AI719" s="161"/>
      <c r="AJ719" s="219"/>
      <c r="AK719" s="219"/>
      <c r="AL719" s="632"/>
      <c r="AM719" s="519">
        <f>GRAL!B950</f>
        <v>0</v>
      </c>
    </row>
    <row r="720" spans="1:39" ht="75" hidden="1">
      <c r="A720" s="158">
        <f>OBRA!J722</f>
        <v>2023</v>
      </c>
      <c r="B720" s="1683"/>
      <c r="C720" s="1360"/>
      <c r="D720" s="163"/>
      <c r="E720" s="1169"/>
      <c r="F720" s="1169"/>
      <c r="G720" s="1184"/>
      <c r="H720" s="1185" t="str">
        <f>OBRA!AF722</f>
        <v>-</v>
      </c>
      <c r="I720" s="1186"/>
      <c r="J720" s="1361" t="str">
        <f>OBRA!AG722</f>
        <v>-</v>
      </c>
      <c r="K720" s="1187"/>
      <c r="L720" s="1185" t="str">
        <f>OBRA!AH722</f>
        <v>-</v>
      </c>
      <c r="M720" s="1188"/>
      <c r="N720" s="1185" t="str">
        <f>OBRA!AI722</f>
        <v>-</v>
      </c>
      <c r="O720" s="1185"/>
      <c r="P720" s="1185"/>
      <c r="Q720" s="1187"/>
      <c r="R720" s="437" t="str">
        <f>OBRA!AJ722</f>
        <v>-</v>
      </c>
      <c r="S720" s="535"/>
      <c r="T720" s="399" t="str">
        <f>OBRA!W722</f>
        <v xml:space="preserve">DORIA &amp; SAMPIER CONSTRUCTORA, S.A. DE C.V. </v>
      </c>
      <c r="U720" s="408" t="str">
        <f>OBRA!X722</f>
        <v>C. DANIEL RODRIGUEZ VALENZUELA</v>
      </c>
      <c r="V720" s="1090"/>
      <c r="W720" s="19" t="str">
        <f>OBRA!N722</f>
        <v>C- OP 019/2023</v>
      </c>
      <c r="X720" s="1402"/>
      <c r="Y720" s="1402"/>
      <c r="Z720" s="409" t="str">
        <f>OBRA!M722</f>
        <v>CUENTA CORRIENTE</v>
      </c>
      <c r="AA720" s="1402"/>
      <c r="AB720" s="2" t="str">
        <f>OBRA!O722</f>
        <v>ARRENDAMIENTO</v>
      </c>
      <c r="AC720" s="3" t="str">
        <f>OBRA!P722</f>
        <v>RENTA DE UNA RETROEXCAVADORA CATERPILLAR SERIE 416E, PARA LOS TRABAJOS DE NIVELACIÓN DE TERRENO EN POZO DE AGUA CAMICHINES EN CALLE FRANCISCO VILLA, CABECERA MUNICIPAL DE JOCOTEPEC, JALISCO.</v>
      </c>
      <c r="AD720" s="4">
        <f>OBRA!R722</f>
        <v>779.52</v>
      </c>
      <c r="AE720" s="6">
        <f>OBRA!S722</f>
        <v>45210</v>
      </c>
      <c r="AF720" s="5">
        <f>OBRA!T722</f>
        <v>45215</v>
      </c>
      <c r="AG720" s="390">
        <f>OBRA!U722</f>
        <v>45217</v>
      </c>
      <c r="AH720" s="880"/>
      <c r="AI720" s="161"/>
      <c r="AJ720" s="219"/>
      <c r="AK720" s="219"/>
      <c r="AL720" s="632"/>
      <c r="AM720" s="519">
        <f>GRAL!B951</f>
        <v>0</v>
      </c>
    </row>
    <row r="721" spans="1:39" ht="90" hidden="1">
      <c r="A721" s="158">
        <f>OBRA!J723</f>
        <v>2023</v>
      </c>
      <c r="B721" s="1683"/>
      <c r="C721" s="1360"/>
      <c r="D721" s="163"/>
      <c r="E721" s="1169"/>
      <c r="F721" s="1169"/>
      <c r="G721" s="1184"/>
      <c r="H721" s="1185" t="str">
        <f>OBRA!AF723</f>
        <v>-</v>
      </c>
      <c r="I721" s="1186"/>
      <c r="J721" s="1361" t="str">
        <f>OBRA!AG723</f>
        <v>-</v>
      </c>
      <c r="K721" s="1187"/>
      <c r="L721" s="1185" t="str">
        <f>OBRA!AH723</f>
        <v>-</v>
      </c>
      <c r="M721" s="1188"/>
      <c r="N721" s="1185" t="str">
        <f>OBRA!AI723</f>
        <v>-</v>
      </c>
      <c r="O721" s="1185"/>
      <c r="P721" s="1185"/>
      <c r="Q721" s="1187"/>
      <c r="R721" s="437" t="str">
        <f>OBRA!AJ723</f>
        <v>-</v>
      </c>
      <c r="S721" s="535"/>
      <c r="T721" s="399" t="str">
        <f>OBRA!W723</f>
        <v xml:space="preserve">DORIA &amp; SAMPIER CONSTRUCTORA, S.A. DE C.V. </v>
      </c>
      <c r="U721" s="408" t="str">
        <f>OBRA!X723</f>
        <v>C. DANIEL RODRIGUEZ VALENZUELA</v>
      </c>
      <c r="V721" s="1090"/>
      <c r="W721" s="19" t="str">
        <f>OBRA!N723</f>
        <v>C- OP 020/2023</v>
      </c>
      <c r="X721" s="1402"/>
      <c r="Y721" s="1402"/>
      <c r="Z721" s="409" t="str">
        <f>OBRA!M723</f>
        <v>CUENTA CORRIENTE</v>
      </c>
      <c r="AA721" s="1402"/>
      <c r="AB721" s="2" t="str">
        <f>OBRA!O723</f>
        <v>ARRENDAMIENTO</v>
      </c>
      <c r="AC721" s="3" t="str">
        <f>OBRA!P723</f>
        <v>RENTA DE UNA RETROEXCAVADORA CATERPILLAR SERIE 416E, PARA LA OBRA "REHABILITACIÓN DE REDES HIDROSANITARIAS Y COLECTOR DE CALLE RIVERA DEL LAGO ENTRE CALLE GUAYABITOS Y CALLE CHUECA", EN LA LOCALIDAD DE CHANTEPEC, MUNICIPIO DE JOCOTEPEC, JALISCO.</v>
      </c>
      <c r="AD721" s="4">
        <f>OBRA!R723</f>
        <v>730.8</v>
      </c>
      <c r="AE721" s="6">
        <f>OBRA!S723</f>
        <v>45204</v>
      </c>
      <c r="AF721" s="5">
        <f>OBRA!T723</f>
        <v>45208</v>
      </c>
      <c r="AG721" s="390">
        <f>OBRA!U723</f>
        <v>45240</v>
      </c>
      <c r="AH721" s="880"/>
      <c r="AI721" s="161"/>
      <c r="AJ721" s="219"/>
      <c r="AK721" s="219"/>
      <c r="AL721" s="632"/>
      <c r="AM721" s="519">
        <f>GRAL!B952</f>
        <v>0</v>
      </c>
    </row>
    <row r="722" spans="1:39" ht="105" hidden="1">
      <c r="A722" s="158">
        <f>OBRA!J724</f>
        <v>2023</v>
      </c>
      <c r="B722" s="1683"/>
      <c r="C722" s="1360"/>
      <c r="D722" s="163"/>
      <c r="E722" s="1169"/>
      <c r="F722" s="1169"/>
      <c r="G722" s="1184"/>
      <c r="H722" s="1185" t="str">
        <f>OBRA!AF724</f>
        <v>-</v>
      </c>
      <c r="I722" s="1186"/>
      <c r="J722" s="1361" t="str">
        <f>OBRA!AG724</f>
        <v>-</v>
      </c>
      <c r="K722" s="1187"/>
      <c r="L722" s="1185" t="str">
        <f>OBRA!AH724</f>
        <v>-</v>
      </c>
      <c r="M722" s="1188"/>
      <c r="N722" s="1185" t="str">
        <f>OBRA!AI724</f>
        <v>-</v>
      </c>
      <c r="O722" s="1185"/>
      <c r="P722" s="1185"/>
      <c r="Q722" s="1187"/>
      <c r="R722" s="437" t="str">
        <f>OBRA!AJ724</f>
        <v>-</v>
      </c>
      <c r="S722" s="535"/>
      <c r="T722" s="399" t="str">
        <f>OBRA!W724</f>
        <v xml:space="preserve">DORIA &amp; SAMPIER CONSTRUCTORA, S.A. DE C.V. </v>
      </c>
      <c r="U722" s="408" t="str">
        <f>OBRA!X724</f>
        <v>C. DANIEL RODRIGUEZ VALENZUELA</v>
      </c>
      <c r="V722" s="1090"/>
      <c r="W722" s="19" t="str">
        <f>OBRA!N724</f>
        <v>C- OP 021/2023</v>
      </c>
      <c r="X722" s="1402"/>
      <c r="Y722" s="1402"/>
      <c r="Z722" s="409" t="str">
        <f>OBRA!M724</f>
        <v>CUENTA CORRIENTE</v>
      </c>
      <c r="AA722" s="1402"/>
      <c r="AB722" s="2" t="str">
        <f>OBRA!O724</f>
        <v>ARRENDAMIENTO</v>
      </c>
      <c r="AC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OBRA!R724</f>
        <v>754</v>
      </c>
      <c r="AE722" s="6">
        <f>OBRA!S724</f>
        <v>45204</v>
      </c>
      <c r="AF722" s="5">
        <f>OBRA!T724</f>
        <v>45208</v>
      </c>
      <c r="AG722" s="390">
        <f>OBRA!U724</f>
        <v>45240</v>
      </c>
      <c r="AH722" s="880"/>
      <c r="AI722" s="161"/>
      <c r="AJ722" s="219"/>
      <c r="AK722" s="219"/>
      <c r="AL722" s="632"/>
      <c r="AM722" s="519">
        <f>GRAL!B953</f>
        <v>0</v>
      </c>
    </row>
    <row r="723" spans="1:39" ht="90" hidden="1">
      <c r="A723" s="158">
        <f>OBRA!J725</f>
        <v>2023</v>
      </c>
      <c r="B723" s="1683"/>
      <c r="C723" s="1360"/>
      <c r="D723" s="163"/>
      <c r="E723" s="1169"/>
      <c r="F723" s="1169"/>
      <c r="G723" s="1184"/>
      <c r="H723" s="1185" t="str">
        <f>OBRA!AF725</f>
        <v>-</v>
      </c>
      <c r="I723" s="1186"/>
      <c r="J723" s="1361" t="str">
        <f>OBRA!AG725</f>
        <v>-</v>
      </c>
      <c r="K723" s="1187"/>
      <c r="L723" s="1185" t="str">
        <f>OBRA!AH725</f>
        <v>-</v>
      </c>
      <c r="M723" s="1188"/>
      <c r="N723" s="1185" t="str">
        <f>OBRA!AI725</f>
        <v>-</v>
      </c>
      <c r="O723" s="1185"/>
      <c r="P723" s="1185"/>
      <c r="Q723" s="1187"/>
      <c r="R723" s="437" t="str">
        <f>OBRA!AJ725</f>
        <v>-</v>
      </c>
      <c r="S723" s="535"/>
      <c r="T723" s="399" t="str">
        <f>OBRA!W725</f>
        <v xml:space="preserve">DORIA &amp; SAMPIER CONSTRUCTORA, S.A. DE C.V. </v>
      </c>
      <c r="U723" s="408" t="str">
        <f>OBRA!X725</f>
        <v>C. DANIEL RODRIGUEZ VALENZUELA</v>
      </c>
      <c r="V723" s="1090"/>
      <c r="W723" s="19" t="str">
        <f>OBRA!N725</f>
        <v>C- OP 022/2023</v>
      </c>
      <c r="X723" s="1402"/>
      <c r="Y723" s="1402"/>
      <c r="Z723" s="409" t="str">
        <f>OBRA!M725</f>
        <v>CUENTA CORRIENTE</v>
      </c>
      <c r="AA723" s="1402"/>
      <c r="AB723" s="2" t="str">
        <f>OBRA!O725</f>
        <v>ARRENDAMIENTO</v>
      </c>
      <c r="AC723" s="3" t="str">
        <f>OBRA!P725</f>
        <v>RENTA DE UNA BAILARINA COMPACTADORA WACKER, PARA LA OBRA "REHABILITACIÓN DE REDES HIDROSANITARIAS Y COLECTOR DE CALLE RIVERA DEL LAGO ENTRE CALLE GUAYABITOS Y CALLE CHUECA", EN LA LOCALIDAD DE CHANTEPEC, MUNICIPIO DE JOCOTEPEC, JALISCO.</v>
      </c>
      <c r="AD723" s="4">
        <f>OBRA!R725</f>
        <v>580</v>
      </c>
      <c r="AE723" s="6">
        <f>OBRA!S725</f>
        <v>45204</v>
      </c>
      <c r="AF723" s="5">
        <f>OBRA!T725</f>
        <v>45208</v>
      </c>
      <c r="AG723" s="390">
        <f>OBRA!U725</f>
        <v>45240</v>
      </c>
      <c r="AH723" s="880"/>
      <c r="AI723" s="161"/>
      <c r="AJ723" s="219"/>
      <c r="AK723" s="219"/>
      <c r="AL723" s="632"/>
      <c r="AM723" s="519">
        <f>GRAL!B954</f>
        <v>0</v>
      </c>
    </row>
    <row r="724" spans="1:39" ht="90" hidden="1">
      <c r="A724" s="158">
        <f>OBRA!J726</f>
        <v>2023</v>
      </c>
      <c r="B724" s="1683"/>
      <c r="C724" s="1360"/>
      <c r="D724" s="163"/>
      <c r="E724" s="1169"/>
      <c r="F724" s="1169"/>
      <c r="G724" s="1184"/>
      <c r="H724" s="1185" t="str">
        <f>OBRA!AF726</f>
        <v>-</v>
      </c>
      <c r="I724" s="1186"/>
      <c r="J724" s="1361" t="str">
        <f>OBRA!AG726</f>
        <v>-</v>
      </c>
      <c r="K724" s="1187"/>
      <c r="L724" s="1185" t="str">
        <f>OBRA!AH726</f>
        <v>-</v>
      </c>
      <c r="M724" s="1188"/>
      <c r="N724" s="1185" t="str">
        <f>OBRA!AI726</f>
        <v>-</v>
      </c>
      <c r="O724" s="1185"/>
      <c r="P724" s="1185"/>
      <c r="Q724" s="1187"/>
      <c r="R724" s="437" t="str">
        <f>OBRA!AJ726</f>
        <v>-</v>
      </c>
      <c r="S724" s="535"/>
      <c r="T724" s="399" t="str">
        <f>OBRA!W726</f>
        <v xml:space="preserve">DORIA &amp; SAMPIER CONSTRUCTORA, S.A. DE C.V. </v>
      </c>
      <c r="U724" s="408" t="str">
        <f>OBRA!X726</f>
        <v>C. DANIEL RODRIGUEZ VALENZUELA</v>
      </c>
      <c r="V724" s="1090"/>
      <c r="W724" s="19" t="str">
        <f>OBRA!N726</f>
        <v>C- OP 023/2023</v>
      </c>
      <c r="X724" s="1402"/>
      <c r="Y724" s="1402"/>
      <c r="Z724" s="409" t="str">
        <f>OBRA!M726</f>
        <v>CUENTA CORRIENTE</v>
      </c>
      <c r="AA724" s="1402"/>
      <c r="AB724" s="2" t="str">
        <f>OBRA!O726</f>
        <v>ARRENDAMIENTO</v>
      </c>
      <c r="AC724" s="3" t="str">
        <f>OBRA!P726</f>
        <v>RENTA DE MOTOBOMBA MARCA HONDA, PARA LA OBRA "REHABILITACIÓN DE REDES HIDROSANITARIAS Y COLECTOR DE CALLE RIVERA DEL LAGO ENTRE CALLE GUAYABITOS Y CALLE CHUECA", EN LA LOCALIDAD DE CHANTEPEC, MUNICIPIO DE JOCOTEPEC, JALISCO.</v>
      </c>
      <c r="AD724" s="4">
        <f>OBRA!R726</f>
        <v>580</v>
      </c>
      <c r="AE724" s="6">
        <f>OBRA!S726</f>
        <v>45204</v>
      </c>
      <c r="AF724" s="5">
        <f>OBRA!T726</f>
        <v>45208</v>
      </c>
      <c r="AG724" s="390">
        <f>OBRA!U726</f>
        <v>45240</v>
      </c>
      <c r="AH724" s="880"/>
      <c r="AI724" s="161"/>
      <c r="AJ724" s="219"/>
      <c r="AK724" s="219"/>
      <c r="AL724" s="632"/>
      <c r="AM724" s="519">
        <f>GRAL!B955</f>
        <v>0</v>
      </c>
    </row>
    <row r="725" spans="1:39" ht="30" hidden="1">
      <c r="A725" s="158">
        <f>OBRA!J727</f>
        <v>2023</v>
      </c>
      <c r="B725" s="1683"/>
      <c r="C725" s="1360"/>
      <c r="D725" s="163"/>
      <c r="E725" s="1169"/>
      <c r="F725" s="1169"/>
      <c r="G725" s="1184"/>
      <c r="H725" s="1185" t="str">
        <f>OBRA!AF727</f>
        <v>-</v>
      </c>
      <c r="I725" s="1186"/>
      <c r="J725" s="1361" t="str">
        <f>OBRA!AG727</f>
        <v>-</v>
      </c>
      <c r="K725" s="1187"/>
      <c r="L725" s="1185" t="str">
        <f>OBRA!AH727</f>
        <v>-</v>
      </c>
      <c r="M725" s="1188"/>
      <c r="N725" s="1185" t="str">
        <f>OBRA!AI727</f>
        <v>-</v>
      </c>
      <c r="O725" s="1185"/>
      <c r="P725" s="1185"/>
      <c r="Q725" s="1187"/>
      <c r="R725" s="437" t="str">
        <f>OBRA!AJ727</f>
        <v>-</v>
      </c>
      <c r="S725" s="535"/>
      <c r="T725" s="399">
        <f>OBRA!W727</f>
        <v>0</v>
      </c>
      <c r="U725" s="408" t="str">
        <f>OBRA!X727</f>
        <v>ARQ. FRANCISCO SALAZAR</v>
      </c>
      <c r="V725" s="1090"/>
      <c r="W725" s="19" t="str">
        <f>OBRA!N727</f>
        <v>C.P.S.P. DOP 037/2023</v>
      </c>
      <c r="X725" s="1402"/>
      <c r="Y725" s="1402"/>
      <c r="Z725" s="409" t="str">
        <f>OBRA!M727</f>
        <v>CUENTA CORRIENTE</v>
      </c>
      <c r="AA725" s="1402"/>
      <c r="AB725" s="2" t="str">
        <f>OBRA!O727</f>
        <v>CANCELADA</v>
      </c>
      <c r="AC725" s="3" t="str">
        <f>OBRA!P727</f>
        <v>-</v>
      </c>
      <c r="AD725" s="4">
        <f>OBRA!R727</f>
        <v>0</v>
      </c>
      <c r="AE725" s="6">
        <f>OBRA!S727</f>
        <v>0</v>
      </c>
      <c r="AF725" s="5">
        <f>OBRA!T727</f>
        <v>0</v>
      </c>
      <c r="AG725" s="390">
        <f>OBRA!U727</f>
        <v>0</v>
      </c>
      <c r="AH725" s="880"/>
      <c r="AI725" s="161"/>
      <c r="AJ725" s="219"/>
      <c r="AK725" s="219"/>
      <c r="AL725" s="632"/>
      <c r="AM725" s="519">
        <f>GRAL!B956</f>
        <v>0</v>
      </c>
    </row>
    <row r="726" spans="1:39" ht="60" hidden="1">
      <c r="A726" s="158">
        <f>OBRA!J728</f>
        <v>2023</v>
      </c>
      <c r="B726" s="1683"/>
      <c r="C726" s="1360"/>
      <c r="D726" s="163"/>
      <c r="E726" s="1169"/>
      <c r="F726" s="1169"/>
      <c r="G726" s="1184"/>
      <c r="H726" s="1185" t="str">
        <f>OBRA!AF728</f>
        <v>-</v>
      </c>
      <c r="I726" s="1186"/>
      <c r="J726" s="1361" t="str">
        <f>OBRA!AG728</f>
        <v>-</v>
      </c>
      <c r="K726" s="1187"/>
      <c r="L726" s="1185" t="str">
        <f>OBRA!AH728</f>
        <v>-</v>
      </c>
      <c r="M726" s="1188"/>
      <c r="N726" s="1185" t="str">
        <f>OBRA!AI728</f>
        <v>-</v>
      </c>
      <c r="O726" s="1185"/>
      <c r="P726" s="1185"/>
      <c r="Q726" s="1187"/>
      <c r="R726" s="437" t="str">
        <f>OBRA!AJ728</f>
        <v>-</v>
      </c>
      <c r="S726" s="535"/>
      <c r="T726" s="399" t="str">
        <f>OBRA!W728</f>
        <v>-</v>
      </c>
      <c r="U726" s="408" t="str">
        <f>OBRA!X728</f>
        <v>C. DANIEL RODRIGUEZ VALENZUELA</v>
      </c>
      <c r="V726" s="1090"/>
      <c r="W726" s="19" t="str">
        <f>OBRA!N728</f>
        <v>DOP/AD/001/2023</v>
      </c>
      <c r="X726" s="1402"/>
      <c r="Y726" s="1402"/>
      <c r="Z726" s="409" t="str">
        <f>OBRA!M728</f>
        <v>CUENTA CORRIENTE</v>
      </c>
      <c r="AA726" s="1402"/>
      <c r="AB726" s="2" t="str">
        <f>OBRA!O728</f>
        <v>ADMINISTRACIÓN DIRECTA</v>
      </c>
      <c r="AC726" s="3" t="str">
        <f>OBRA!P728</f>
        <v>"CONSTRUCCIÓN DE REDES HIDROSANITARIAS EN CALLE FILÓSOFOS ENTRE CALLE JOSEFA ORTÍZ DE DOMINGUEZ E HIDALGO", EN LA CABECERA MUNICIPAL DE JOCOTEPEC, JALISCO</v>
      </c>
      <c r="AD726" s="4">
        <f>OBRA!R728</f>
        <v>307647.35999999999</v>
      </c>
      <c r="AE726" s="6">
        <f>OBRA!S728</f>
        <v>44967</v>
      </c>
      <c r="AF726" s="5">
        <f>OBRA!T728</f>
        <v>44968</v>
      </c>
      <c r="AG726" s="390">
        <f>OBRA!U728</f>
        <v>44985</v>
      </c>
      <c r="AH726" s="880"/>
      <c r="AI726" s="161"/>
      <c r="AJ726" s="219"/>
      <c r="AK726" s="219"/>
      <c r="AL726" s="632"/>
      <c r="AM726" s="519">
        <f>GRAL!B957</f>
        <v>0</v>
      </c>
    </row>
    <row r="727" spans="1:39" ht="60" hidden="1">
      <c r="A727" s="158">
        <f>OBRA!J729</f>
        <v>2023</v>
      </c>
      <c r="B727" s="1683"/>
      <c r="C727" s="1360"/>
      <c r="D727" s="163"/>
      <c r="E727" s="1169"/>
      <c r="F727" s="1169"/>
      <c r="G727" s="1184"/>
      <c r="H727" s="1185" t="str">
        <f>OBRA!AF729</f>
        <v>-</v>
      </c>
      <c r="I727" s="1186"/>
      <c r="J727" s="1361" t="str">
        <f>OBRA!AG729</f>
        <v>-</v>
      </c>
      <c r="K727" s="1187"/>
      <c r="L727" s="1185" t="str">
        <f>OBRA!AH729</f>
        <v>-</v>
      </c>
      <c r="M727" s="1188"/>
      <c r="N727" s="1185" t="str">
        <f>OBRA!AI729</f>
        <v>-</v>
      </c>
      <c r="O727" s="1185"/>
      <c r="P727" s="1185"/>
      <c r="Q727" s="1187"/>
      <c r="R727" s="437" t="str">
        <f>OBRA!AJ729</f>
        <v>-</v>
      </c>
      <c r="S727" s="535"/>
      <c r="T727" s="399" t="str">
        <f>OBRA!W729</f>
        <v>-</v>
      </c>
      <c r="U727" s="408" t="str">
        <f>OBRA!X729</f>
        <v>ARQ. JAIME CONDE GOMEZ</v>
      </c>
      <c r="V727" s="1090"/>
      <c r="W727" s="19" t="str">
        <f>OBRA!N729</f>
        <v>DOP/AD/002/2023</v>
      </c>
      <c r="X727" s="1402"/>
      <c r="Y727" s="1402"/>
      <c r="Z727" s="409" t="str">
        <f>OBRA!M729</f>
        <v>REGULARIZACIÓN DE VEHÍCULOS DE PROCEDENCIA EXTRANJERA - RAMO 23/2022</v>
      </c>
      <c r="AA727" s="1402"/>
      <c r="AB727" s="2" t="str">
        <f>OBRA!O729</f>
        <v>ADMINISTRACIÓN DIRECTA</v>
      </c>
      <c r="AC727" s="3" t="str">
        <f>OBRA!P729</f>
        <v>"BACHEO SUPERFICIAL AISLADO EN CALLE INDEPENDENCIA NORTE ENTRE C. MORELOS Y C. DEGOLLADO", EN LA CABECERA MUNICIPAL DE JOCOTEPEC, JALISCO.</v>
      </c>
      <c r="AD727" s="4">
        <f>OBRA!R729</f>
        <v>27472.5</v>
      </c>
      <c r="AE727" s="6">
        <f>OBRA!S729</f>
        <v>45033</v>
      </c>
      <c r="AF727" s="5">
        <f>OBRA!T729</f>
        <v>45036</v>
      </c>
      <c r="AG727" s="390">
        <f>OBRA!U729</f>
        <v>45038</v>
      </c>
      <c r="AH727" s="880"/>
      <c r="AI727" s="161"/>
      <c r="AJ727" s="219"/>
      <c r="AK727" s="219"/>
      <c r="AL727" s="632"/>
      <c r="AM727" s="519">
        <f>GRAL!B958</f>
        <v>0</v>
      </c>
    </row>
    <row r="728" spans="1:39" ht="174" hidden="1" customHeight="1">
      <c r="A728" s="158">
        <f>OBRA!J730</f>
        <v>2023</v>
      </c>
      <c r="B728" s="1685" t="str">
        <f>W728</f>
        <v>DOP/AD/003/2023</v>
      </c>
      <c r="C728" s="411" t="s">
        <v>5518</v>
      </c>
      <c r="D728" s="1593" t="s">
        <v>5803</v>
      </c>
      <c r="E728" s="1598" t="s">
        <v>5804</v>
      </c>
      <c r="F728" s="1598" t="s">
        <v>5801</v>
      </c>
      <c r="G728" s="503" t="s">
        <v>5518</v>
      </c>
      <c r="H728" s="580" t="str">
        <f>OBRA!AF730</f>
        <v>-</v>
      </c>
      <c r="I728" s="502" t="s">
        <v>5518</v>
      </c>
      <c r="J728" s="581" t="str">
        <f>OBRA!AG730</f>
        <v>-</v>
      </c>
      <c r="K728" s="524" t="s">
        <v>5518</v>
      </c>
      <c r="L728" s="580" t="str">
        <f>OBRA!AH730</f>
        <v>-</v>
      </c>
      <c r="M728" s="546" t="s">
        <v>5518</v>
      </c>
      <c r="N728" s="580" t="str">
        <f>OBRA!AI730</f>
        <v>-</v>
      </c>
      <c r="O728" s="1583" t="s">
        <v>4590</v>
      </c>
      <c r="P728" s="1584">
        <v>0.41666666666666669</v>
      </c>
      <c r="Q728" s="524" t="s">
        <v>5518</v>
      </c>
      <c r="R728" s="205" t="str">
        <f>OBRA!AJ730</f>
        <v>-</v>
      </c>
      <c r="S728" s="1330" t="s">
        <v>5519</v>
      </c>
      <c r="T728" s="399" t="str">
        <f>OBRA!W730</f>
        <v>-</v>
      </c>
      <c r="U728" s="408" t="str">
        <f>OBRA!X730</f>
        <v>C. DANIEL RODRIGUEZ VALENZUELA</v>
      </c>
      <c r="V728" s="1090"/>
      <c r="W728" s="33" t="str">
        <f>OBRA!N730</f>
        <v>DOP/AD/003/2023</v>
      </c>
      <c r="X728" s="1324" t="s">
        <v>5516</v>
      </c>
      <c r="Y728" s="12" t="s">
        <v>5400</v>
      </c>
      <c r="Z728" s="410" t="str">
        <f>OBRA!M730</f>
        <v>CUENTA CORRIENTE</v>
      </c>
      <c r="AA728" s="12" t="s">
        <v>2320</v>
      </c>
      <c r="AB728" s="2" t="str">
        <f>OBRA!O730</f>
        <v>ADMINISTRACIÓN DIRECTA</v>
      </c>
      <c r="AC728" s="3" t="str">
        <f>OBRA!P730</f>
        <v>REHABILITACIÓN DE REDES HIDROSANITARIAS Y COLECTOR DE CALLE RIVERA DEL LAGO ENTRE CALLE GUAYABITOS Y CALLE CHUECA", EN LA LOCALIDAD DE CHANTEPEC, MUNICIPIO DE JOCOTEPEC, JALISCO.</v>
      </c>
      <c r="AD728" s="4">
        <f>OBRA!R730</f>
        <v>495788.04</v>
      </c>
      <c r="AE728" s="6">
        <f>OBRA!S730</f>
        <v>45557</v>
      </c>
      <c r="AF728" s="5">
        <f>OBRA!T730</f>
        <v>45208</v>
      </c>
      <c r="AG728" s="11">
        <f>OBRA!U730</f>
        <v>45240</v>
      </c>
      <c r="AH728" s="207" t="s">
        <v>4446</v>
      </c>
      <c r="AI728" s="12" t="s">
        <v>1177</v>
      </c>
      <c r="AJ728" s="495" t="s">
        <v>5518</v>
      </c>
      <c r="AK728" s="495" t="s">
        <v>5518</v>
      </c>
      <c r="AL728" s="704" t="s">
        <v>5518</v>
      </c>
      <c r="AM728" s="1242" t="str">
        <f>GRAL!B732</f>
        <v>2021-2024</v>
      </c>
    </row>
    <row r="729" spans="1:39" ht="45" hidden="1">
      <c r="A729" s="158">
        <f>OBRA!J731</f>
        <v>2023</v>
      </c>
      <c r="B729" s="1683"/>
      <c r="C729" s="1360"/>
      <c r="D729" s="163"/>
      <c r="E729" s="1169"/>
      <c r="F729" s="1169"/>
      <c r="G729" s="1184"/>
      <c r="H729" s="1185" t="str">
        <f>OBRA!AF731</f>
        <v>-</v>
      </c>
      <c r="I729" s="1186"/>
      <c r="J729" s="1361" t="str">
        <f>OBRA!AG731</f>
        <v>-</v>
      </c>
      <c r="K729" s="1187"/>
      <c r="L729" s="1185" t="str">
        <f>OBRA!AH731</f>
        <v>-</v>
      </c>
      <c r="M729" s="1188"/>
      <c r="N729" s="1185" t="str">
        <f>OBRA!AI731</f>
        <v>-</v>
      </c>
      <c r="O729" s="1185"/>
      <c r="P729" s="1185"/>
      <c r="Q729" s="1187"/>
      <c r="R729" s="437" t="str">
        <f>OBRA!AJ731</f>
        <v>-</v>
      </c>
      <c r="S729" s="535"/>
      <c r="T729" s="399" t="str">
        <f>OBRA!W731</f>
        <v>-</v>
      </c>
      <c r="U729" s="408" t="str">
        <f>OBRA!X731</f>
        <v>C. DANIEL RODRIGUEZ VALENZUELA</v>
      </c>
      <c r="V729" s="1090"/>
      <c r="W729" s="19" t="str">
        <f>OBRA!N731</f>
        <v>DOP/AD/004/2023</v>
      </c>
      <c r="X729" s="1402"/>
      <c r="Y729" s="1402"/>
      <c r="Z729" s="409" t="str">
        <f>OBRA!M731</f>
        <v>CUENTA CORRIENTE</v>
      </c>
      <c r="AA729" s="1402"/>
      <c r="AB729" s="2" t="str">
        <f>OBRA!O731</f>
        <v>ADMINISTRACIÓN DIRECTA</v>
      </c>
      <c r="AC729" s="3" t="str">
        <f>OBRA!P731</f>
        <v>"IMPERMEABILIZACIÓN DE CUPULAS EN EL TEMPLO DEL SR. DEL MONTE", EN LA CABECERA MUNICIPAL DE JOCOTEPEC, JALISCO.</v>
      </c>
      <c r="AD729" s="4">
        <f>OBRA!R731</f>
        <v>80000</v>
      </c>
      <c r="AE729" s="6">
        <f>OBRA!S731</f>
        <v>45191</v>
      </c>
      <c r="AF729" s="5">
        <f>OBRA!T731</f>
        <v>45201</v>
      </c>
      <c r="AG729" s="390">
        <f>OBRA!U731</f>
        <v>45227</v>
      </c>
      <c r="AH729" s="880"/>
      <c r="AI729" s="161"/>
      <c r="AJ729" s="219"/>
      <c r="AK729" s="219"/>
      <c r="AL729" s="632"/>
      <c r="AM729" s="519">
        <f>GRAL!B960</f>
        <v>0</v>
      </c>
    </row>
    <row r="730" spans="1:39" ht="75" hidden="1">
      <c r="A730" s="158">
        <f>OBRA!J732</f>
        <v>2023</v>
      </c>
      <c r="B730" s="1683"/>
      <c r="C730" s="1360"/>
      <c r="D730" s="163"/>
      <c r="E730" s="1169"/>
      <c r="F730" s="1169"/>
      <c r="G730" s="1184"/>
      <c r="H730" s="1185" t="str">
        <f>OBRA!AF732</f>
        <v>-</v>
      </c>
      <c r="I730" s="1186"/>
      <c r="J730" s="1361" t="str">
        <f>OBRA!AG732</f>
        <v>-</v>
      </c>
      <c r="K730" s="1187"/>
      <c r="L730" s="1185" t="str">
        <f>OBRA!AH732</f>
        <v>-</v>
      </c>
      <c r="M730" s="1188"/>
      <c r="N730" s="1185" t="str">
        <f>OBRA!AI732</f>
        <v>-</v>
      </c>
      <c r="O730" s="1185"/>
      <c r="P730" s="1185"/>
      <c r="Q730" s="1187"/>
      <c r="R730" s="437" t="str">
        <f>OBRA!AJ732</f>
        <v>-</v>
      </c>
      <c r="S730" s="535"/>
      <c r="T730" s="399" t="str">
        <f>OBRA!W732</f>
        <v>-</v>
      </c>
      <c r="U730" s="408" t="str">
        <f>OBRA!X732</f>
        <v>ING. LUIS RIGOBERTO OLMEDO NAVARRO</v>
      </c>
      <c r="V730" s="1090"/>
      <c r="W730" s="19" t="str">
        <f>OBRA!N732</f>
        <v>DOP/AD/005/2023</v>
      </c>
      <c r="X730" s="1402"/>
      <c r="Y730" s="1402"/>
      <c r="Z730" s="409" t="str">
        <f>OBRA!M732</f>
        <v>REGULARIZACIÓN DE VEHÍCULOS DE PROCEDENCIA EXTRANJERA - RAMO 23/2023</v>
      </c>
      <c r="AA730" s="1402"/>
      <c r="AB730" s="2" t="str">
        <f>OBRA!O732</f>
        <v>ADMINISTRACIÓN DIRECTA</v>
      </c>
      <c r="AC730" s="3" t="str">
        <f>OBRA!P732</f>
        <v>"BACHEO SUPERFICIAL AISLADO DE MEZCLA ASFÁLTICA EN LA CALLE MORELOS ENTRE CALLE NIÑOS HÉROES YCALLE ZARAGOZA EN EL BARRIO LA CALABAZA" DE LA CABECERA MUNICIPAL DE JOCOTEPEC, MUNICIPIO DE JOCOTEPEC, JALISCO.</v>
      </c>
      <c r="AD730" s="4">
        <f>OBRA!R732</f>
        <v>92407.5</v>
      </c>
      <c r="AE730" s="6">
        <f>OBRA!S732</f>
        <v>45244</v>
      </c>
      <c r="AF730" s="5">
        <f>OBRA!T732</f>
        <v>45264</v>
      </c>
      <c r="AG730" s="390">
        <f>OBRA!U732</f>
        <v>45268</v>
      </c>
      <c r="AH730" s="880"/>
      <c r="AI730" s="161"/>
      <c r="AJ730" s="219"/>
      <c r="AK730" s="219"/>
      <c r="AL730" s="632"/>
      <c r="AM730" s="519">
        <f>GRAL!B961</f>
        <v>0</v>
      </c>
    </row>
    <row r="731" spans="1:39" ht="60" hidden="1">
      <c r="A731" s="158">
        <f>OBRA!J733</f>
        <v>2023</v>
      </c>
      <c r="B731" s="1683"/>
      <c r="C731" s="1360"/>
      <c r="D731" s="163"/>
      <c r="E731" s="1169"/>
      <c r="F731" s="1169"/>
      <c r="G731" s="1184"/>
      <c r="H731" s="1185" t="str">
        <f>OBRA!AF733</f>
        <v>-</v>
      </c>
      <c r="I731" s="1186"/>
      <c r="J731" s="1361" t="str">
        <f>OBRA!AG733</f>
        <v>-</v>
      </c>
      <c r="K731" s="1187"/>
      <c r="L731" s="1185" t="str">
        <f>OBRA!AH733</f>
        <v>-</v>
      </c>
      <c r="M731" s="1188"/>
      <c r="N731" s="1185" t="str">
        <f>OBRA!AI733</f>
        <v>-</v>
      </c>
      <c r="O731" s="1185"/>
      <c r="P731" s="1185"/>
      <c r="Q731" s="1187"/>
      <c r="R731" s="437" t="str">
        <f>OBRA!AJ733</f>
        <v>-</v>
      </c>
      <c r="S731" s="535"/>
      <c r="T731" s="399" t="str">
        <f>OBRA!W733</f>
        <v>-</v>
      </c>
      <c r="U731" s="408" t="str">
        <f>OBRA!X733</f>
        <v>C. DANIEL RODRIGUEZ VALENZUELA</v>
      </c>
      <c r="V731" s="1090"/>
      <c r="W731" s="19" t="str">
        <f>OBRA!N733</f>
        <v>DOP/AD/006/2023</v>
      </c>
      <c r="X731" s="1402"/>
      <c r="Y731" s="1402"/>
      <c r="Z731" s="409" t="str">
        <f>OBRA!M733</f>
        <v>CUENTA CORRIENTE</v>
      </c>
      <c r="AA731" s="1402"/>
      <c r="AB731" s="2" t="str">
        <f>OBRA!O733</f>
        <v>ADMINISTRACIÓN DIRECTA</v>
      </c>
      <c r="AC731" s="3" t="str">
        <f>OBRA!P733</f>
        <v>"EXTENSIÓN DE RED DE AGUA POTABLE DE 4" DE DIAMETRO EN LA CALLE CHUECA" EN LA LOCALIDAD DE CHANTEPEC, MUNICIPIO DE JOCOTEPEC, JALISCO.</v>
      </c>
      <c r="AD731" s="4">
        <f>OBRA!R733</f>
        <v>280000</v>
      </c>
      <c r="AE731" s="6">
        <f>OBRA!S733</f>
        <v>45257</v>
      </c>
      <c r="AF731" s="5">
        <f>OBRA!T733</f>
        <v>45264</v>
      </c>
      <c r="AG731" s="390">
        <f>OBRA!U733</f>
        <v>45288</v>
      </c>
      <c r="AH731" s="880"/>
      <c r="AI731" s="161"/>
      <c r="AJ731" s="219"/>
      <c r="AK731" s="219"/>
      <c r="AL731" s="632"/>
      <c r="AM731" s="519">
        <f>GRAL!B962</f>
        <v>0</v>
      </c>
    </row>
    <row r="732" spans="1:39" ht="26.25" hidden="1">
      <c r="A732" s="158">
        <f>OBRA!J734</f>
        <v>2023</v>
      </c>
      <c r="B732" s="1683"/>
      <c r="C732" s="1360"/>
      <c r="D732" s="163"/>
      <c r="E732" s="1169"/>
      <c r="F732" s="1169"/>
      <c r="G732" s="1184"/>
      <c r="H732" s="1185" t="str">
        <f>OBRA!AF734</f>
        <v>-</v>
      </c>
      <c r="I732" s="1186"/>
      <c r="J732" s="1361" t="str">
        <f>OBRA!AG734</f>
        <v>-</v>
      </c>
      <c r="K732" s="1187"/>
      <c r="L732" s="1185" t="str">
        <f>OBRA!AH734</f>
        <v>-</v>
      </c>
      <c r="M732" s="1188"/>
      <c r="N732" s="1185" t="str">
        <f>OBRA!AI734</f>
        <v>-</v>
      </c>
      <c r="O732" s="1185"/>
      <c r="P732" s="1185"/>
      <c r="Q732" s="1187"/>
      <c r="R732" s="437" t="str">
        <f>OBRA!AJ734</f>
        <v>-</v>
      </c>
      <c r="S732" s="535"/>
      <c r="T732" s="399" t="str">
        <f>OBRA!W734</f>
        <v>-</v>
      </c>
      <c r="U732" s="408">
        <f>OBRA!X734</f>
        <v>0</v>
      </c>
      <c r="V732" s="1090"/>
      <c r="W732" s="19" t="str">
        <f>OBRA!N734</f>
        <v>DOP/AD/007/2023</v>
      </c>
      <c r="X732" s="1402"/>
      <c r="Y732" s="1402"/>
      <c r="Z732" s="409">
        <f>OBRA!M734</f>
        <v>0</v>
      </c>
      <c r="AA732" s="1402"/>
      <c r="AB732" s="2" t="str">
        <f>OBRA!O734</f>
        <v>CANCELADA</v>
      </c>
      <c r="AC732" s="3" t="str">
        <f>OBRA!P734</f>
        <v>-</v>
      </c>
      <c r="AD732" s="4">
        <f>OBRA!R734</f>
        <v>0</v>
      </c>
      <c r="AE732" s="6">
        <f>OBRA!S734</f>
        <v>0</v>
      </c>
      <c r="AF732" s="5">
        <f>OBRA!T734</f>
        <v>0</v>
      </c>
      <c r="AG732" s="390">
        <f>OBRA!U734</f>
        <v>0</v>
      </c>
      <c r="AH732" s="880"/>
      <c r="AI732" s="161"/>
      <c r="AJ732" s="219"/>
      <c r="AK732" s="219"/>
      <c r="AL732" s="632"/>
      <c r="AM732" s="519">
        <f>GRAL!B963</f>
        <v>0</v>
      </c>
    </row>
    <row r="733" spans="1:39" ht="26.25" hidden="1">
      <c r="A733" s="158">
        <f>OBRA!J735</f>
        <v>2023</v>
      </c>
      <c r="B733" s="1683"/>
      <c r="C733" s="1360"/>
      <c r="D733" s="163"/>
      <c r="E733" s="1169"/>
      <c r="F733" s="1169"/>
      <c r="G733" s="1184"/>
      <c r="H733" s="1185" t="str">
        <f>OBRA!AF735</f>
        <v>-</v>
      </c>
      <c r="I733" s="1186"/>
      <c r="J733" s="1361" t="str">
        <f>OBRA!AG735</f>
        <v>-</v>
      </c>
      <c r="K733" s="1187"/>
      <c r="L733" s="1185" t="str">
        <f>OBRA!AH735</f>
        <v>-</v>
      </c>
      <c r="M733" s="1188"/>
      <c r="N733" s="1185" t="str">
        <f>OBRA!AI735</f>
        <v>-</v>
      </c>
      <c r="O733" s="1185"/>
      <c r="P733" s="1185"/>
      <c r="Q733" s="1187"/>
      <c r="R733" s="437" t="str">
        <f>OBRA!AJ735</f>
        <v>-</v>
      </c>
      <c r="S733" s="535"/>
      <c r="T733" s="399" t="str">
        <f>OBRA!W735</f>
        <v>-</v>
      </c>
      <c r="U733" s="408">
        <f>OBRA!X735</f>
        <v>0</v>
      </c>
      <c r="V733" s="1090"/>
      <c r="W733" s="19" t="str">
        <f>OBRA!N735</f>
        <v>DOP/AD/008/2023</v>
      </c>
      <c r="X733" s="1402"/>
      <c r="Y733" s="1402"/>
      <c r="Z733" s="409">
        <f>OBRA!M735</f>
        <v>0</v>
      </c>
      <c r="AA733" s="1402"/>
      <c r="AB733" s="2" t="str">
        <f>OBRA!O735</f>
        <v>CANCELADA</v>
      </c>
      <c r="AC733" s="3" t="str">
        <f>OBRA!P735</f>
        <v>-</v>
      </c>
      <c r="AD733" s="4">
        <f>OBRA!R735</f>
        <v>0</v>
      </c>
      <c r="AE733" s="6">
        <f>OBRA!S735</f>
        <v>0</v>
      </c>
      <c r="AF733" s="5">
        <f>OBRA!T735</f>
        <v>0</v>
      </c>
      <c r="AG733" s="390">
        <f>OBRA!U735</f>
        <v>0</v>
      </c>
      <c r="AH733" s="880"/>
      <c r="AI733" s="161"/>
      <c r="AJ733" s="219"/>
      <c r="AK733" s="219"/>
      <c r="AL733" s="632"/>
      <c r="AM733" s="519">
        <f>GRAL!B964</f>
        <v>0</v>
      </c>
    </row>
    <row r="734" spans="1:39" ht="26.25" hidden="1">
      <c r="A734" s="158">
        <f>OBRA!J736</f>
        <v>2023</v>
      </c>
      <c r="B734" s="1683"/>
      <c r="C734" s="1360"/>
      <c r="D734" s="163"/>
      <c r="E734" s="1169"/>
      <c r="F734" s="1169"/>
      <c r="G734" s="1184"/>
      <c r="H734" s="1185" t="str">
        <f>OBRA!AF736</f>
        <v>-</v>
      </c>
      <c r="I734" s="1186"/>
      <c r="J734" s="1361" t="str">
        <f>OBRA!AG736</f>
        <v>-</v>
      </c>
      <c r="K734" s="1187"/>
      <c r="L734" s="1185" t="str">
        <f>OBRA!AH736</f>
        <v>-</v>
      </c>
      <c r="M734" s="1188"/>
      <c r="N734" s="1185" t="str">
        <f>OBRA!AI736</f>
        <v>-</v>
      </c>
      <c r="O734" s="1185"/>
      <c r="P734" s="1185"/>
      <c r="Q734" s="1187"/>
      <c r="R734" s="437" t="str">
        <f>OBRA!AJ736</f>
        <v>-</v>
      </c>
      <c r="S734" s="535"/>
      <c r="T734" s="399" t="str">
        <f>OBRA!W736</f>
        <v>-</v>
      </c>
      <c r="U734" s="408">
        <f>OBRA!X736</f>
        <v>0</v>
      </c>
      <c r="V734" s="1090"/>
      <c r="W734" s="19" t="str">
        <f>OBRA!N736</f>
        <v>DOP/AD/009/2023</v>
      </c>
      <c r="X734" s="1402"/>
      <c r="Y734" s="1402"/>
      <c r="Z734" s="409">
        <f>OBRA!M736</f>
        <v>0</v>
      </c>
      <c r="AA734" s="1402"/>
      <c r="AB734" s="2" t="str">
        <f>OBRA!O736</f>
        <v>CANCELADA</v>
      </c>
      <c r="AC734" s="3" t="str">
        <f>OBRA!P736</f>
        <v>-</v>
      </c>
      <c r="AD734" s="4">
        <f>OBRA!R736</f>
        <v>0</v>
      </c>
      <c r="AE734" s="6">
        <f>OBRA!S736</f>
        <v>0</v>
      </c>
      <c r="AF734" s="5">
        <f>OBRA!T736</f>
        <v>0</v>
      </c>
      <c r="AG734" s="390">
        <f>OBRA!U736</f>
        <v>0</v>
      </c>
      <c r="AH734" s="880"/>
      <c r="AI734" s="161"/>
      <c r="AJ734" s="219"/>
      <c r="AK734" s="219"/>
      <c r="AL734" s="632"/>
      <c r="AM734" s="519">
        <f>GRAL!B965</f>
        <v>0</v>
      </c>
    </row>
    <row r="735" spans="1:39" ht="26.25" hidden="1">
      <c r="A735" s="158">
        <f>OBRA!J737</f>
        <v>2023</v>
      </c>
      <c r="B735" s="1683"/>
      <c r="C735" s="1360"/>
      <c r="D735" s="163"/>
      <c r="E735" s="1169"/>
      <c r="F735" s="1169"/>
      <c r="G735" s="1184"/>
      <c r="H735" s="1185" t="str">
        <f>OBRA!AF737</f>
        <v>-</v>
      </c>
      <c r="I735" s="1186"/>
      <c r="J735" s="1361" t="str">
        <f>OBRA!AG737</f>
        <v>-</v>
      </c>
      <c r="K735" s="1187"/>
      <c r="L735" s="1185" t="str">
        <f>OBRA!AH737</f>
        <v>-</v>
      </c>
      <c r="M735" s="1188"/>
      <c r="N735" s="1185" t="str">
        <f>OBRA!AI737</f>
        <v>-</v>
      </c>
      <c r="O735" s="1185"/>
      <c r="P735" s="1185"/>
      <c r="Q735" s="1187"/>
      <c r="R735" s="437" t="str">
        <f>OBRA!AJ737</f>
        <v>-</v>
      </c>
      <c r="S735" s="535"/>
      <c r="T735" s="399" t="str">
        <f>OBRA!W737</f>
        <v>-</v>
      </c>
      <c r="U735" s="408">
        <f>OBRA!X737</f>
        <v>0</v>
      </c>
      <c r="V735" s="1090"/>
      <c r="W735" s="19" t="str">
        <f>OBRA!N737</f>
        <v>DOP/AD/010/2023</v>
      </c>
      <c r="X735" s="1402"/>
      <c r="Y735" s="1402"/>
      <c r="Z735" s="409">
        <f>OBRA!M737</f>
        <v>0</v>
      </c>
      <c r="AA735" s="1402"/>
      <c r="AB735" s="2" t="str">
        <f>OBRA!O737</f>
        <v>CANCELADA</v>
      </c>
      <c r="AC735" s="3" t="str">
        <f>OBRA!P737</f>
        <v>-</v>
      </c>
      <c r="AD735" s="4">
        <f>OBRA!R737</f>
        <v>0</v>
      </c>
      <c r="AE735" s="6">
        <f>OBRA!S737</f>
        <v>0</v>
      </c>
      <c r="AF735" s="5">
        <f>OBRA!T737</f>
        <v>0</v>
      </c>
      <c r="AG735" s="390">
        <f>OBRA!U737</f>
        <v>0</v>
      </c>
      <c r="AH735" s="880"/>
      <c r="AI735" s="161"/>
      <c r="AJ735" s="219"/>
      <c r="AK735" s="219"/>
      <c r="AL735" s="632"/>
      <c r="AM735" s="519">
        <f>GRAL!B966</f>
        <v>0</v>
      </c>
    </row>
    <row r="736" spans="1:39" ht="105" hidden="1">
      <c r="A736" s="158">
        <f>OBRA!J738</f>
        <v>2023</v>
      </c>
      <c r="B736" s="1683"/>
      <c r="C736" s="1360"/>
      <c r="D736" s="163"/>
      <c r="E736" s="1169"/>
      <c r="F736" s="1169"/>
      <c r="G736" s="1184"/>
      <c r="H736" s="1185" t="str">
        <f>OBRA!AF738</f>
        <v>-</v>
      </c>
      <c r="I736" s="1186"/>
      <c r="J736" s="1361" t="str">
        <f>OBRA!AG738</f>
        <v>-</v>
      </c>
      <c r="K736" s="1187"/>
      <c r="L736" s="1185" t="str">
        <f>OBRA!AH738</f>
        <v>-</v>
      </c>
      <c r="M736" s="1188"/>
      <c r="N736" s="1185" t="str">
        <f>OBRA!AI738</f>
        <v>-</v>
      </c>
      <c r="O736" s="1185"/>
      <c r="P736" s="1185"/>
      <c r="Q736" s="1187"/>
      <c r="R736" s="437" t="str">
        <f>OBRA!AJ738</f>
        <v>-</v>
      </c>
      <c r="S736" s="535"/>
      <c r="T736" s="399" t="str">
        <f>OBRA!W738</f>
        <v>EDIFICACIONES Y TERRACERIAS CH, S.A. DE C.V.</v>
      </c>
      <c r="U736" s="408" t="str">
        <f>OBRA!X738</f>
        <v>C. DANIEL RODRIGUEZ VALENZUELA</v>
      </c>
      <c r="V736" s="1090"/>
      <c r="W736" s="19" t="str">
        <f>OBRA!N738</f>
        <v>GMJ 001C OP/2023</v>
      </c>
      <c r="X736" s="1402"/>
      <c r="Y736" s="1402"/>
      <c r="Z736" s="409" t="str">
        <f>OBRA!M738</f>
        <v>RAMO 33</v>
      </c>
      <c r="AA736" s="1402"/>
      <c r="AB736" s="2" t="str">
        <f>OBRA!O738</f>
        <v>ADJUDICACIÓN DIRECTA</v>
      </c>
      <c r="AC736" s="3" t="str">
        <f>OBRA!P738</f>
        <v>"CONSTRUCCIÓN DE LÍNEA DE DRENAJE SANITARIO, LÍNEA DE AGUA POTABLE, HUELLA DE CONCRETO Y EMPEDRADO AHOGADO EN CONCRETO EN LA CALLE JOSEFA ORTIZ DE DOMINGUEZ DE CALLE ALDAMA PONIENTE A CALLE FILÓSOFOS", EN LA CABECERA MUNICIPAL DE JOCOTEPEC, JALISCO.</v>
      </c>
      <c r="AD736" s="4">
        <f>OBRA!R738</f>
        <v>1211066.4099999999</v>
      </c>
      <c r="AE736" s="6">
        <f>OBRA!S738</f>
        <v>44974</v>
      </c>
      <c r="AF736" s="5">
        <f>OBRA!T738</f>
        <v>44977</v>
      </c>
      <c r="AG736" s="390">
        <f>OBRA!U738</f>
        <v>45021</v>
      </c>
      <c r="AH736" s="880"/>
      <c r="AI736" s="161"/>
      <c r="AJ736" s="219"/>
      <c r="AK736" s="219"/>
      <c r="AL736" s="632"/>
      <c r="AM736" s="519">
        <f>GRAL!B967</f>
        <v>0</v>
      </c>
    </row>
    <row r="737" spans="1:39" ht="75" hidden="1">
      <c r="A737" s="158">
        <f>OBRA!J739</f>
        <v>2023</v>
      </c>
      <c r="B737" s="1683"/>
      <c r="C737" s="1360"/>
      <c r="D737" s="163"/>
      <c r="E737" s="1169"/>
      <c r="F737" s="1169"/>
      <c r="G737" s="1184"/>
      <c r="H737" s="1185" t="str">
        <f>OBRA!AF739</f>
        <v>-</v>
      </c>
      <c r="I737" s="1186"/>
      <c r="J737" s="1361" t="str">
        <f>OBRA!AG739</f>
        <v>-</v>
      </c>
      <c r="K737" s="1187"/>
      <c r="L737" s="1185" t="str">
        <f>OBRA!AH739</f>
        <v>-</v>
      </c>
      <c r="M737" s="1188"/>
      <c r="N737" s="1185" t="str">
        <f>OBRA!AI739</f>
        <v>-</v>
      </c>
      <c r="O737" s="1185"/>
      <c r="P737" s="1185"/>
      <c r="Q737" s="1187"/>
      <c r="R737" s="437" t="str">
        <f>OBRA!AJ739</f>
        <v>-</v>
      </c>
      <c r="S737" s="535"/>
      <c r="T737" s="399" t="str">
        <f>OBRA!W739</f>
        <v>ING. SERGIO CABRERA</v>
      </c>
      <c r="U737" s="408" t="str">
        <f>OBRA!X739</f>
        <v>C. DANIEL RODRIGUEZ VALENZUELA</v>
      </c>
      <c r="V737" s="1090"/>
      <c r="W737" s="19" t="str">
        <f>OBRA!N739</f>
        <v>GMJ 002C OP/2023</v>
      </c>
      <c r="X737" s="1402"/>
      <c r="Y737" s="1402"/>
      <c r="Z737" s="409" t="str">
        <f>OBRA!M739</f>
        <v>RAMO 33</v>
      </c>
      <c r="AA737" s="1402"/>
      <c r="AB737" s="2" t="str">
        <f>OBRA!O739</f>
        <v>ADJUDICACIÓN DIRECTA</v>
      </c>
      <c r="AC737" s="3" t="str">
        <f>OBRA!P739</f>
        <v>"CONSTRUCCIÓN DE HUELLAS DE CONCRETO Y EMPEDRADO AHOGADO EN CEMENTO EN LA CALLE JOSEFA ORTIZ DE DOMINGUEZ DE CALLE ALDAMA PONIENTE A CALLE FILÓSOFOS", EN LA CABECERA MUNICIPAL DE JOCOTEPEC, JALISCO.</v>
      </c>
      <c r="AD737" s="4">
        <f>OBRA!R739</f>
        <v>1810170.95</v>
      </c>
      <c r="AE737" s="6">
        <f>OBRA!S739</f>
        <v>45022</v>
      </c>
      <c r="AF737" s="5">
        <f>OBRA!T739</f>
        <v>45024</v>
      </c>
      <c r="AG737" s="390">
        <f>OBRA!U739</f>
        <v>45061</v>
      </c>
      <c r="AH737" s="880"/>
      <c r="AI737" s="161"/>
      <c r="AJ737" s="219"/>
      <c r="AK737" s="219"/>
      <c r="AL737" s="632"/>
      <c r="AM737" s="519">
        <f>GRAL!B978</f>
        <v>0</v>
      </c>
    </row>
    <row r="738" spans="1:39" ht="173.25" customHeight="1">
      <c r="A738" s="158">
        <f>OBRA!J740</f>
        <v>2023</v>
      </c>
      <c r="B738" s="1685" t="str">
        <f t="shared" ref="B738" si="0">W738</f>
        <v>CSS-OP-CC-003/2023</v>
      </c>
      <c r="C738" s="1271" t="s">
        <v>5518</v>
      </c>
      <c r="D738" s="1593" t="s">
        <v>6455</v>
      </c>
      <c r="E738" s="1598" t="s">
        <v>5804</v>
      </c>
      <c r="F738" s="1929" t="s">
        <v>6453</v>
      </c>
      <c r="G738" s="503" t="s">
        <v>5518</v>
      </c>
      <c r="H738" s="580">
        <f>OBRA!AF740</f>
        <v>44967</v>
      </c>
      <c r="I738" s="503" t="s">
        <v>5518</v>
      </c>
      <c r="J738" s="581">
        <f>OBRA!AG740</f>
        <v>44970</v>
      </c>
      <c r="K738" s="503" t="s">
        <v>5518</v>
      </c>
      <c r="L738" s="580">
        <f>OBRA!AH740</f>
        <v>44970</v>
      </c>
      <c r="M738" s="503" t="s">
        <v>5518</v>
      </c>
      <c r="N738" s="580">
        <f>OBRA!AI740</f>
        <v>44977</v>
      </c>
      <c r="O738" s="166" t="s">
        <v>6456</v>
      </c>
      <c r="P738" s="547">
        <v>0.41666666666666669</v>
      </c>
      <c r="Q738" s="503" t="s">
        <v>5518</v>
      </c>
      <c r="R738" s="205">
        <f>OBRA!AJ740</f>
        <v>44967</v>
      </c>
      <c r="S738" s="1930" t="s">
        <v>6457</v>
      </c>
      <c r="T738" s="148" t="str">
        <f>OBRA!W740</f>
        <v>TERRACERÍAS Y PAVIMENTOS DE LA RIBERA, S.A. DE C.V.</v>
      </c>
      <c r="U738" s="55" t="str">
        <f>OBRA!X740</f>
        <v>C. DANIEL RODRIGUEZ VALENZUELA</v>
      </c>
      <c r="V738" s="146"/>
      <c r="W738" s="33" t="str">
        <f>OBRA!N740</f>
        <v>CSS-OP-CC-003/2023</v>
      </c>
      <c r="X738" s="1324" t="s">
        <v>5516</v>
      </c>
      <c r="Y738" s="1202" t="s">
        <v>6069</v>
      </c>
      <c r="Z738" s="412" t="str">
        <f>OBRA!M740</f>
        <v>CUENTA CORRIENTE</v>
      </c>
      <c r="AA738" s="12" t="s">
        <v>2320</v>
      </c>
      <c r="AB738" s="2" t="str">
        <f>OBRA!O740</f>
        <v>CONCURSO SIMPLIFICADO SUMARIO</v>
      </c>
      <c r="AC738" s="3" t="str">
        <f>OBRA!P740</f>
        <v>“CONSTRUCCIÓN DE LINEA DE DRENAJE, LINEA DE AGUA POTABLE, HUELLA DE CONCRETO Y EMPEDRADO AHOGADO EN CONCRETO EN LA CALLE JOSEFA ORTIZ DE DOMINGUEZ DE CALLE FILÓSOFOS HASTA EL LIBRAMIENTO”, EN LA CABECERA MUNICIPAL DE JOCOTEPEC, JALISCO.</v>
      </c>
      <c r="AD738" s="79">
        <f>OBRA!R740</f>
        <v>4378573.75</v>
      </c>
      <c r="AE738" s="67">
        <f>OBRA!S740</f>
        <v>44981</v>
      </c>
      <c r="AF738" s="5">
        <f>OBRA!T740</f>
        <v>44987</v>
      </c>
      <c r="AG738" s="11">
        <f>OBRA!U740</f>
        <v>45048</v>
      </c>
      <c r="AH738" s="207" t="s">
        <v>4446</v>
      </c>
      <c r="AI738" s="19" t="s">
        <v>1177</v>
      </c>
      <c r="AJ738" s="1" t="s">
        <v>1177</v>
      </c>
      <c r="AK738" s="503" t="s">
        <v>5518</v>
      </c>
      <c r="AL738" s="503" t="s">
        <v>5518</v>
      </c>
      <c r="AM738" s="13" t="str">
        <f>GRAL!B740</f>
        <v>2021-2024</v>
      </c>
    </row>
    <row r="739" spans="1:39" ht="153" hidden="1" customHeight="1">
      <c r="A739" s="158">
        <f>OBRA!J741</f>
        <v>2023</v>
      </c>
      <c r="B739" s="1685" t="str">
        <f>W739</f>
        <v>GMJ 004C OP/2023</v>
      </c>
      <c r="C739" s="411"/>
      <c r="D739" s="163"/>
      <c r="E739" s="1169"/>
      <c r="F739" s="1169"/>
      <c r="G739" s="1184"/>
      <c r="H739" s="580" t="str">
        <f>OBRA!AF741</f>
        <v>-</v>
      </c>
      <c r="I739" s="1186"/>
      <c r="J739" s="581" t="str">
        <f>OBRA!AG741</f>
        <v>-</v>
      </c>
      <c r="K739" s="1187"/>
      <c r="L739" s="580" t="str">
        <f>OBRA!AH741</f>
        <v>-</v>
      </c>
      <c r="M739" s="1188"/>
      <c r="N739" s="580" t="str">
        <f>OBRA!AI741</f>
        <v>-</v>
      </c>
      <c r="O739" s="1185"/>
      <c r="P739" s="1185"/>
      <c r="Q739" s="1187"/>
      <c r="R739" s="205" t="str">
        <f>OBRA!AJ741</f>
        <v>-</v>
      </c>
      <c r="S739" s="535"/>
      <c r="T739" s="399" t="str">
        <f>OBRA!W741</f>
        <v>URBANIZADORA Y PAVIMENTADORA MONLE S.A. DE C.V.</v>
      </c>
      <c r="U739" s="408" t="str">
        <f>OBRA!X741</f>
        <v>ING. J. GUADALUPE IBARRA RAMIREZ</v>
      </c>
      <c r="V739" s="1090"/>
      <c r="W739" s="33" t="str">
        <f>OBRA!N741</f>
        <v>GMJ 004C OP/2023</v>
      </c>
      <c r="X739" s="1324"/>
      <c r="Y739" s="1202"/>
      <c r="Z739" s="410" t="str">
        <f>OBRA!M741</f>
        <v>RAMO 33</v>
      </c>
      <c r="AA739" s="12" t="s">
        <v>2320</v>
      </c>
      <c r="AB739" s="2" t="str">
        <f>OBRA!O741</f>
        <v>ADJUDICACIÓN DIRECTA</v>
      </c>
      <c r="AC739" s="3" t="str">
        <f>OBRA!P741</f>
        <v>"COMPLEMENTO DE OBRA: EQUIPAMIENTO, ELECTRIFICACIÓN, TREN DE DESCARGA, CASETA DE CLORACIÓN, CERCADO PERIMETRAL Y PUESTA EN MARCHA DEL POZO DE AGUA", EN LA LOCALIDAD DE CHANTEPEC DEL MUNICIPIO DE JOCOTEPEC, JALISCO.</v>
      </c>
      <c r="AD739" s="4">
        <f>OBRA!R741</f>
        <v>1196296.56</v>
      </c>
      <c r="AE739" s="6">
        <f>OBRA!S741</f>
        <v>45036</v>
      </c>
      <c r="AF739" s="5">
        <f>OBRA!T741</f>
        <v>45048</v>
      </c>
      <c r="AG739" s="11">
        <f>OBRA!U741</f>
        <v>45079</v>
      </c>
      <c r="AH739" s="207" t="s">
        <v>4446</v>
      </c>
      <c r="AI739" s="255"/>
      <c r="AJ739" s="510"/>
      <c r="AK739" s="510"/>
      <c r="AL739" s="511"/>
      <c r="AM739" s="1242" t="str">
        <f>GRAL!B741</f>
        <v>2021-2024</v>
      </c>
    </row>
    <row r="740" spans="1:39" ht="90" hidden="1">
      <c r="A740" s="158">
        <f>OBRA!J742</f>
        <v>2023</v>
      </c>
      <c r="B740" s="1683"/>
      <c r="C740" s="411"/>
      <c r="D740" s="163"/>
      <c r="E740" s="1169"/>
      <c r="F740" s="1169"/>
      <c r="G740" s="1184"/>
      <c r="H740" s="1185" t="str">
        <f>OBRA!AF742</f>
        <v>-</v>
      </c>
      <c r="I740" s="1186"/>
      <c r="J740" s="1361" t="str">
        <f>OBRA!AG742</f>
        <v>-</v>
      </c>
      <c r="K740" s="1187"/>
      <c r="L740" s="1185" t="str">
        <f>OBRA!AH742</f>
        <v>-</v>
      </c>
      <c r="M740" s="1188"/>
      <c r="N740" s="1185" t="str">
        <f>OBRA!AI742</f>
        <v>-</v>
      </c>
      <c r="O740" s="1185"/>
      <c r="P740" s="1185"/>
      <c r="Q740" s="1187"/>
      <c r="R740" s="437" t="str">
        <f>OBRA!AJ742</f>
        <v>-</v>
      </c>
      <c r="S740" s="535"/>
      <c r="T740" s="399" t="str">
        <f>OBRA!W742</f>
        <v>CONSTRUCTORA ELÉCTRICA DEL LAGO S.A. DE C.V.</v>
      </c>
      <c r="U740" s="408" t="str">
        <f>OBRA!X742</f>
        <v>ING. J. GUADALUPE IBARRA RAMIREZ</v>
      </c>
      <c r="V740" s="1090"/>
      <c r="W740" s="33" t="str">
        <f>OBRA!N742</f>
        <v>GMJ 005C OP/2023</v>
      </c>
      <c r="X740" s="1324"/>
      <c r="Y740" s="1202"/>
      <c r="Z740" s="409" t="str">
        <f>OBRA!M742</f>
        <v>RAMO 33</v>
      </c>
      <c r="AA740" s="1402"/>
      <c r="AB740" s="2" t="str">
        <f>OBRA!O742</f>
        <v>ADJUDICACIÓN DIRECTA</v>
      </c>
      <c r="AC740" s="3" t="str">
        <f>OBRA!P742</f>
        <v>"COMPLEMENTO DE OBRA: EQUIPAMIENTO, ELECTRIFICACIÓN, TREN DE DESCARGA, CASETA DE CLORACIÓN, CERCADO PERIMETRAL Y PUESTA EN MARCHA DEL POZO DE AGUA", EN LA LOCALIDAD DE CHANTEPEC DEL MUNICIPIO DE JOCOTEPEC, JALISCO.</v>
      </c>
      <c r="AD740" s="4">
        <f>OBRA!R742</f>
        <v>544139.78</v>
      </c>
      <c r="AE740" s="6">
        <f>OBRA!S742</f>
        <v>45044</v>
      </c>
      <c r="AF740" s="5">
        <f>OBRA!T742</f>
        <v>45054</v>
      </c>
      <c r="AG740" s="11">
        <f>OBRA!U742</f>
        <v>45086</v>
      </c>
      <c r="AH740" s="207"/>
      <c r="AI740" s="161"/>
      <c r="AJ740" s="219"/>
      <c r="AK740" s="219"/>
      <c r="AL740" s="632"/>
      <c r="AM740" s="519">
        <f>GRAL!B981</f>
        <v>0</v>
      </c>
    </row>
    <row r="741" spans="1:39" ht="105" hidden="1">
      <c r="A741" s="158">
        <f>OBRA!J743</f>
        <v>2023</v>
      </c>
      <c r="B741" s="1685" t="str">
        <f>W741</f>
        <v>GMJ 006C OP/2023</v>
      </c>
      <c r="C741" s="411" t="s">
        <v>5878</v>
      </c>
      <c r="D741" s="163"/>
      <c r="E741" s="1169"/>
      <c r="F741" s="1169"/>
      <c r="G741" s="503" t="s">
        <v>5878</v>
      </c>
      <c r="H741" s="580" t="str">
        <f>OBRA!AF743</f>
        <v>-</v>
      </c>
      <c r="I741" s="503" t="s">
        <v>5878</v>
      </c>
      <c r="J741" s="581" t="str">
        <f>OBRA!AG743</f>
        <v>-</v>
      </c>
      <c r="K741" s="503" t="s">
        <v>5878</v>
      </c>
      <c r="L741" s="580" t="str">
        <f>OBRA!AH743</f>
        <v>-</v>
      </c>
      <c r="M741" s="503" t="s">
        <v>5878</v>
      </c>
      <c r="N741" s="580" t="str">
        <f>OBRA!AI743</f>
        <v>-</v>
      </c>
      <c r="O741" s="1185"/>
      <c r="P741" s="1185"/>
      <c r="Q741" s="503" t="s">
        <v>5878</v>
      </c>
      <c r="R741" s="205" t="str">
        <f>OBRA!AJ743</f>
        <v>-</v>
      </c>
      <c r="S741" s="1330" t="s">
        <v>5906</v>
      </c>
      <c r="T741" s="399" t="str">
        <f>OBRA!W743</f>
        <v>ESTRUCTURAS PLANEADAS DE OCCIDENTE, S.A. DE C.V.</v>
      </c>
      <c r="U741" s="408" t="str">
        <f>OBRA!X743</f>
        <v>ARQ. JAIME CONDE GOMEZ</v>
      </c>
      <c r="V741" s="1090"/>
      <c r="W741" s="33" t="str">
        <f>OBRA!N743</f>
        <v>GMJ 006C OP/2023</v>
      </c>
      <c r="X741" s="1324" t="s">
        <v>5529</v>
      </c>
      <c r="Y741" s="1202" t="s">
        <v>5877</v>
      </c>
      <c r="Z741" s="410" t="str">
        <f>OBRA!M743</f>
        <v>CUENTA CORRIENTE</v>
      </c>
      <c r="AA741" s="12" t="s">
        <v>2360</v>
      </c>
      <c r="AB741" s="2" t="str">
        <f>OBRA!O743</f>
        <v>ADJUDICACIÓN DIRECTA</v>
      </c>
      <c r="AC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OBRA!R743</f>
        <v>584259.75</v>
      </c>
      <c r="AE741" s="6">
        <f>OBRA!S743</f>
        <v>45042</v>
      </c>
      <c r="AF741" s="5">
        <f>OBRA!T743</f>
        <v>45048</v>
      </c>
      <c r="AG741" s="11">
        <f>OBRA!U743</f>
        <v>45168</v>
      </c>
      <c r="AH741" s="207" t="s">
        <v>5678</v>
      </c>
      <c r="AI741" s="255"/>
      <c r="AJ741" s="510"/>
      <c r="AK741" s="510"/>
      <c r="AL741" s="511"/>
      <c r="AM741" s="1242" t="str">
        <f>GRAL!B745</f>
        <v>2021-2024</v>
      </c>
    </row>
    <row r="742" spans="1:39" ht="75" hidden="1">
      <c r="A742" s="158">
        <f>OBRA!J744</f>
        <v>2023</v>
      </c>
      <c r="B742" s="1683"/>
      <c r="C742" s="411"/>
      <c r="D742" s="163"/>
      <c r="E742" s="1169"/>
      <c r="F742" s="1169"/>
      <c r="G742" s="1184"/>
      <c r="H742" s="1185" t="str">
        <f>OBRA!AF744</f>
        <v>-</v>
      </c>
      <c r="I742" s="1186"/>
      <c r="J742" s="1361" t="str">
        <f>OBRA!AG744</f>
        <v>-</v>
      </c>
      <c r="K742" s="1187"/>
      <c r="L742" s="1185" t="str">
        <f>OBRA!AH744</f>
        <v>-</v>
      </c>
      <c r="M742" s="1188"/>
      <c r="N742" s="1185" t="str">
        <f>OBRA!AI744</f>
        <v>-</v>
      </c>
      <c r="O742" s="1185"/>
      <c r="P742" s="1185"/>
      <c r="Q742" s="1187"/>
      <c r="R742" s="437" t="str">
        <f>OBRA!AJ744</f>
        <v>-</v>
      </c>
      <c r="S742" s="535"/>
      <c r="T742" s="399" t="str">
        <f>OBRA!W744</f>
        <v>EDIFICACIONES Y TERRACERIAS CH, S.A. DE C.V.</v>
      </c>
      <c r="U742" s="408" t="str">
        <f>OBRA!X744</f>
        <v>C. DANIEL RODRIGUEZ VALENZUELA</v>
      </c>
      <c r="V742" s="1090"/>
      <c r="W742" s="33" t="str">
        <f>OBRA!N744</f>
        <v>GMJ 007C OP/2023</v>
      </c>
      <c r="X742" s="1324"/>
      <c r="Y742" s="1202"/>
      <c r="Z742" s="409" t="str">
        <f>OBRA!M744</f>
        <v>CUENTA CORRIENTE</v>
      </c>
      <c r="AA742" s="1402"/>
      <c r="AB742" s="2" t="str">
        <f>OBRA!O744</f>
        <v>ADJUDICACIÓN DIRECTA</v>
      </c>
      <c r="AC742" s="3" t="str">
        <f>OBRA!P744</f>
        <v>“CONSTRUCCIÓN DE LÍNEA DE ABASTECIMIENTO DE AGUA POTABLE DE 6” EN CALLE JOSEFA ORTÍZ DE DOMINGUEZ DEL LIBRAMIENTO AL DEPÓSITO DE AGUA”, EN LA CABECERA MUNICIPAL DE JOCOTEPEC, JALISCO.</v>
      </c>
      <c r="AD742" s="4">
        <f>OBRA!R744</f>
        <v>387303.55</v>
      </c>
      <c r="AE742" s="6">
        <f>OBRA!S744</f>
        <v>45056</v>
      </c>
      <c r="AF742" s="5">
        <f>OBRA!T744</f>
        <v>45061</v>
      </c>
      <c r="AG742" s="11">
        <f>OBRA!U744</f>
        <v>45090</v>
      </c>
      <c r="AH742" s="207"/>
      <c r="AI742" s="161"/>
      <c r="AJ742" s="219"/>
      <c r="AK742" s="219"/>
      <c r="AL742" s="632"/>
      <c r="AM742" s="519">
        <f>GRAL!B983</f>
        <v>0</v>
      </c>
    </row>
    <row r="743" spans="1:39" ht="60" hidden="1">
      <c r="A743" s="158">
        <f>OBRA!J745</f>
        <v>2023</v>
      </c>
      <c r="B743" s="1683"/>
      <c r="C743" s="411"/>
      <c r="D743" s="163"/>
      <c r="E743" s="1169"/>
      <c r="F743" s="1169"/>
      <c r="G743" s="1184"/>
      <c r="H743" s="1185" t="str">
        <f>OBRA!AF745</f>
        <v>-</v>
      </c>
      <c r="I743" s="1186"/>
      <c r="J743" s="1361" t="str">
        <f>OBRA!AG745</f>
        <v>-</v>
      </c>
      <c r="K743" s="1187"/>
      <c r="L743" s="1185" t="str">
        <f>OBRA!AH745</f>
        <v>-</v>
      </c>
      <c r="M743" s="1188"/>
      <c r="N743" s="1185" t="str">
        <f>OBRA!AI745</f>
        <v>-</v>
      </c>
      <c r="O743" s="1185"/>
      <c r="P743" s="1185"/>
      <c r="Q743" s="1187"/>
      <c r="R743" s="437" t="str">
        <f>OBRA!AJ745</f>
        <v>-</v>
      </c>
      <c r="S743" s="535"/>
      <c r="T743" s="399" t="str">
        <f>OBRA!W745</f>
        <v>ESTRUCTURAS PLANEADAS DE OCCIDENTE, S.A. DE C.V.</v>
      </c>
      <c r="U743" s="408" t="str">
        <f>OBRA!X745</f>
        <v>ING. J. GUADALUPE IBARRA RAMIREZ</v>
      </c>
      <c r="V743" s="1090"/>
      <c r="W743" s="33" t="str">
        <f>OBRA!N745</f>
        <v>GMJ 008C OP/2023</v>
      </c>
      <c r="X743" s="1324"/>
      <c r="Y743" s="1202"/>
      <c r="Z743" s="409" t="str">
        <f>OBRA!M745</f>
        <v>CUENTA CORRIENTE</v>
      </c>
      <c r="AA743" s="1402"/>
      <c r="AB743" s="2" t="str">
        <f>OBRA!O745</f>
        <v>ADJUDICACIÓN DIRECTA</v>
      </c>
      <c r="AC743" s="3" t="str">
        <f>OBRA!P745</f>
        <v>“REPARACIÓN DE TANQUE ALMACENAMIENTO DE AGUA POTABLE ZONA NORTE”, EN LA CABECERA MUNICIPAL DE JOCOTEPEC, JALISCO</v>
      </c>
      <c r="AD743" s="4">
        <f>OBRA!R745</f>
        <v>374761.47</v>
      </c>
      <c r="AE743" s="6">
        <f>OBRA!S745</f>
        <v>45056</v>
      </c>
      <c r="AF743" s="5">
        <f>OBRA!T745</f>
        <v>45061</v>
      </c>
      <c r="AG743" s="11">
        <f>OBRA!U745</f>
        <v>45086</v>
      </c>
      <c r="AH743" s="207"/>
      <c r="AI743" s="161"/>
      <c r="AJ743" s="219"/>
      <c r="AK743" s="219"/>
      <c r="AL743" s="632"/>
      <c r="AM743" s="519">
        <f>GRAL!B984</f>
        <v>0</v>
      </c>
    </row>
    <row r="744" spans="1:39" ht="75" hidden="1">
      <c r="A744" s="158">
        <f>OBRA!J746</f>
        <v>2023</v>
      </c>
      <c r="B744" s="1683"/>
      <c r="C744" s="411"/>
      <c r="D744" s="163"/>
      <c r="E744" s="1169"/>
      <c r="F744" s="1169"/>
      <c r="G744" s="1184"/>
      <c r="H744" s="1185" t="str">
        <f>OBRA!AF746</f>
        <v>-</v>
      </c>
      <c r="I744" s="1186"/>
      <c r="J744" s="1361" t="str">
        <f>OBRA!AG746</f>
        <v>-</v>
      </c>
      <c r="K744" s="1187"/>
      <c r="L744" s="1185" t="str">
        <f>OBRA!AH746</f>
        <v>-</v>
      </c>
      <c r="M744" s="1188"/>
      <c r="N744" s="1185" t="str">
        <f>OBRA!AI746</f>
        <v>-</v>
      </c>
      <c r="O744" s="1185"/>
      <c r="P744" s="1185"/>
      <c r="Q744" s="1187"/>
      <c r="R744" s="437" t="str">
        <f>OBRA!AJ746</f>
        <v>-</v>
      </c>
      <c r="S744" s="535"/>
      <c r="T744" s="399" t="str">
        <f>OBRA!W746</f>
        <v>EDIFICACIONES Y TERRACERIAS CH, S.A. DE C.V.</v>
      </c>
      <c r="U744" s="408" t="str">
        <f>OBRA!X746</f>
        <v>C. DANIEL RODRIGUEZ VALENZUELA</v>
      </c>
      <c r="V744" s="1090"/>
      <c r="W744" s="33" t="str">
        <f>OBRA!N746</f>
        <v>GMJ 009C OP/2023</v>
      </c>
      <c r="X744" s="1324"/>
      <c r="Y744" s="1202"/>
      <c r="Z744" s="409" t="str">
        <f>OBRA!M746</f>
        <v>CUENTA CORRIENTE</v>
      </c>
      <c r="AA744" s="1402"/>
      <c r="AB744" s="2" t="str">
        <f>OBRA!O746</f>
        <v>ADJUDICACIÓN DIRECTA</v>
      </c>
      <c r="AC744" s="3" t="str">
        <f>OBRA!P746</f>
        <v>“CONSTRUCCIÓN DE LÍNEA DE ABASTECIMIENTO DE AGUA POTABLE DE 6” EN CALLE JOSEFA ORTÍZ DE DOMINGUEZ DEL LIBRAMIENTO A CALLE FILÓSOFOS”, EN LA CABECERA MUNICIPAL DE JOCOTEPEC, JALISCO</v>
      </c>
      <c r="AD744" s="4">
        <f>OBRA!R746</f>
        <v>835320.31999999995</v>
      </c>
      <c r="AE744" s="6">
        <f>OBRA!S746</f>
        <v>45056</v>
      </c>
      <c r="AF744" s="5">
        <f>OBRA!T746</f>
        <v>45061</v>
      </c>
      <c r="AG744" s="11">
        <f>OBRA!U746</f>
        <v>45090</v>
      </c>
      <c r="AH744" s="207"/>
      <c r="AI744" s="161"/>
      <c r="AJ744" s="219"/>
      <c r="AK744" s="219"/>
      <c r="AL744" s="632"/>
      <c r="AM744" s="519">
        <f>GRAL!B985</f>
        <v>0</v>
      </c>
    </row>
    <row r="745" spans="1:39" ht="60" hidden="1">
      <c r="A745" s="158">
        <f>OBRA!J747</f>
        <v>2023</v>
      </c>
      <c r="B745" s="1683"/>
      <c r="C745" s="411"/>
      <c r="D745" s="163"/>
      <c r="E745" s="1169"/>
      <c r="F745" s="1169"/>
      <c r="G745" s="1184"/>
      <c r="H745" s="1185" t="str">
        <f>OBRA!AF747</f>
        <v>-</v>
      </c>
      <c r="I745" s="1186"/>
      <c r="J745" s="1361" t="str">
        <f>OBRA!AG747</f>
        <v>-</v>
      </c>
      <c r="K745" s="1187"/>
      <c r="L745" s="1185" t="str">
        <f>OBRA!AH747</f>
        <v>-</v>
      </c>
      <c r="M745" s="1188"/>
      <c r="N745" s="1185" t="str">
        <f>OBRA!AI747</f>
        <v>-</v>
      </c>
      <c r="O745" s="1185"/>
      <c r="P745" s="1185"/>
      <c r="Q745" s="1187"/>
      <c r="R745" s="437" t="str">
        <f>OBRA!AJ747</f>
        <v>-</v>
      </c>
      <c r="S745" s="535"/>
      <c r="T745" s="399" t="str">
        <f>OBRA!W747</f>
        <v>ESTRUCTURAS PLANEADAS DE OCCIDENTE, S.A. DE C.V.</v>
      </c>
      <c r="U745" s="408" t="str">
        <f>OBRA!X747</f>
        <v>ING. J. GUADALUPE IBARRA RAMIREZ</v>
      </c>
      <c r="V745" s="1090"/>
      <c r="W745" s="33" t="str">
        <f>OBRA!N747</f>
        <v>GMJ 010C OP/2023</v>
      </c>
      <c r="X745" s="1324"/>
      <c r="Y745" s="1202"/>
      <c r="Z745" s="409" t="str">
        <f>OBRA!M747</f>
        <v>CUENTA CORRIENTE</v>
      </c>
      <c r="AA745" s="1402"/>
      <c r="AB745" s="2" t="str">
        <f>OBRA!O747</f>
        <v>ADJUDICACIÓN DIRECTA</v>
      </c>
      <c r="AC745" s="3" t="str">
        <f>OBRA!P747</f>
        <v>“REPARACIÓN DE TANQUE ALMACENAMIENTO DE AGUA POTABLE”, EN LA LOCALIDAD DE SAN CRISTÓBAL ZAPOTITLÁN DEL MUNICIPIO DE JOCOTEPEC, JALISCO</v>
      </c>
      <c r="AD745" s="4">
        <f>OBRA!R747</f>
        <v>168796.66</v>
      </c>
      <c r="AE745" s="6">
        <f>OBRA!S747</f>
        <v>45059</v>
      </c>
      <c r="AF745" s="5">
        <f>OBRA!T747</f>
        <v>45075</v>
      </c>
      <c r="AG745" s="11">
        <f>OBRA!U747</f>
        <v>45094</v>
      </c>
      <c r="AH745" s="207"/>
      <c r="AI745" s="161"/>
      <c r="AJ745" s="219"/>
      <c r="AK745" s="219"/>
      <c r="AL745" s="632"/>
      <c r="AM745" s="519">
        <f>GRAL!B986</f>
        <v>0</v>
      </c>
    </row>
    <row r="746" spans="1:39" ht="60" hidden="1">
      <c r="A746" s="158">
        <f>OBRA!J748</f>
        <v>2023</v>
      </c>
      <c r="B746" s="1683"/>
      <c r="C746" s="411"/>
      <c r="D746" s="163"/>
      <c r="E746" s="1169"/>
      <c r="F746" s="1169"/>
      <c r="G746" s="1184"/>
      <c r="H746" s="1185" t="str">
        <f>OBRA!AF748</f>
        <v>-</v>
      </c>
      <c r="I746" s="1186"/>
      <c r="J746" s="1361" t="str">
        <f>OBRA!AG748</f>
        <v>-</v>
      </c>
      <c r="K746" s="1187"/>
      <c r="L746" s="1185" t="str">
        <f>OBRA!AH748</f>
        <v>-</v>
      </c>
      <c r="M746" s="1188"/>
      <c r="N746" s="1185" t="str">
        <f>OBRA!AI748</f>
        <v>-</v>
      </c>
      <c r="O746" s="1185"/>
      <c r="P746" s="1185"/>
      <c r="Q746" s="1187"/>
      <c r="R746" s="437" t="str">
        <f>OBRA!AJ748</f>
        <v>-</v>
      </c>
      <c r="S746" s="535"/>
      <c r="T746" s="399" t="str">
        <f>OBRA!W748</f>
        <v>MANUEL PALOS VACA</v>
      </c>
      <c r="U746" s="408" t="str">
        <f>OBRA!X748</f>
        <v>C. DANIEL RODRIGUEZ VALENZUELA</v>
      </c>
      <c r="V746" s="1090"/>
      <c r="W746" s="33" t="str">
        <f>OBRA!N748</f>
        <v>GMJ 011C OP/2023</v>
      </c>
      <c r="X746" s="1324"/>
      <c r="Y746" s="1202"/>
      <c r="Z746" s="409" t="str">
        <f>OBRA!M748</f>
        <v>CUENTA CORRIENTE</v>
      </c>
      <c r="AA746" s="1402"/>
      <c r="AB746" s="2" t="str">
        <f>OBRA!O748</f>
        <v>ADJUDICACIÓN DIRECTA</v>
      </c>
      <c r="AC746" s="3" t="str">
        <f>OBRA!P748</f>
        <v>“CONSTRUCCIÓN DE REDES HIDROSANITARIAS EN CALLE FILÓSOFOS ENTRE CALLE HIDALGO NORTE Y CALLE ALLENDE”, EN LA CABECERA MUNICIPAL DE JOCOTEPEC, JALISCO</v>
      </c>
      <c r="AD746" s="4">
        <f>OBRA!R748</f>
        <v>254339.78</v>
      </c>
      <c r="AE746" s="6">
        <f>OBRA!S748</f>
        <v>45141</v>
      </c>
      <c r="AF746" s="5">
        <f>OBRA!T748</f>
        <v>45187</v>
      </c>
      <c r="AG746" s="11">
        <f>OBRA!U748</f>
        <v>45219</v>
      </c>
      <c r="AH746" s="207"/>
      <c r="AI746" s="161"/>
      <c r="AJ746" s="219"/>
      <c r="AK746" s="219"/>
      <c r="AL746" s="632"/>
      <c r="AM746" s="519">
        <f>GRAL!B987</f>
        <v>0</v>
      </c>
    </row>
    <row r="747" spans="1:39" ht="60" hidden="1">
      <c r="A747" s="158">
        <f>OBRA!J749</f>
        <v>2023</v>
      </c>
      <c r="B747" s="1683"/>
      <c r="C747" s="411"/>
      <c r="D747" s="163"/>
      <c r="E747" s="1169"/>
      <c r="F747" s="1169"/>
      <c r="G747" s="1184"/>
      <c r="H747" s="1185" t="str">
        <f>OBRA!AF749</f>
        <v>-</v>
      </c>
      <c r="I747" s="1186"/>
      <c r="J747" s="1361" t="str">
        <f>OBRA!AG749</f>
        <v>-</v>
      </c>
      <c r="K747" s="1187"/>
      <c r="L747" s="1185" t="str">
        <f>OBRA!AH749</f>
        <v>-</v>
      </c>
      <c r="M747" s="1188"/>
      <c r="N747" s="1185" t="str">
        <f>OBRA!AI749</f>
        <v>-</v>
      </c>
      <c r="O747" s="1185"/>
      <c r="P747" s="1185"/>
      <c r="Q747" s="1187"/>
      <c r="R747" s="437" t="str">
        <f>OBRA!AJ749</f>
        <v>-</v>
      </c>
      <c r="S747" s="535"/>
      <c r="T747" s="399" t="str">
        <f>OBRA!W749</f>
        <v>MANUEL PALOS VACA</v>
      </c>
      <c r="U747" s="408" t="str">
        <f>OBRA!X749</f>
        <v>C. DANIEL RODRIGUEZ VALENZUELA</v>
      </c>
      <c r="V747" s="1090"/>
      <c r="W747" s="33" t="str">
        <f>OBRA!N749</f>
        <v>GMJ 012C OP/2023</v>
      </c>
      <c r="X747" s="1324"/>
      <c r="Y747" s="1202"/>
      <c r="Z747" s="409" t="str">
        <f>OBRA!M749</f>
        <v>RAMO 33</v>
      </c>
      <c r="AA747" s="1402"/>
      <c r="AB747" s="2" t="str">
        <f>OBRA!O749</f>
        <v>ADJUDICACIÓN DIRECTA</v>
      </c>
      <c r="AC747" s="3" t="str">
        <f>OBRA!P749</f>
        <v>“CONSTRUCCIÓN DE REDES HIDROSANITARIAS EN CALLE FILÓSOFOS ENTRE CALLE INDEPENDENCIA Y CALLE JOSEFA ORTÍZ DE DOMÍNGUEZ”, EN LA CABECERA MUNICIPAL DE JOCOTEPEC, JALISCO</v>
      </c>
      <c r="AD747" s="4">
        <f>OBRA!R749</f>
        <v>553159.56000000006</v>
      </c>
      <c r="AE747" s="6">
        <f>OBRA!S749</f>
        <v>45141</v>
      </c>
      <c r="AF747" s="5">
        <f>OBRA!T749</f>
        <v>45148</v>
      </c>
      <c r="AG747" s="11">
        <f>OBRA!U749</f>
        <v>45170</v>
      </c>
      <c r="AH747" s="207"/>
      <c r="AI747" s="161"/>
      <c r="AJ747" s="219"/>
      <c r="AK747" s="219"/>
      <c r="AL747" s="632"/>
      <c r="AM747" s="519">
        <f>GRAL!B988</f>
        <v>0</v>
      </c>
    </row>
    <row r="748" spans="1:39" ht="60" hidden="1">
      <c r="A748" s="158">
        <f>OBRA!J750</f>
        <v>2023</v>
      </c>
      <c r="B748" s="1683"/>
      <c r="C748" s="411"/>
      <c r="D748" s="163"/>
      <c r="E748" s="1169"/>
      <c r="F748" s="1169"/>
      <c r="G748" s="1184"/>
      <c r="H748" s="1185" t="str">
        <f>OBRA!AF750</f>
        <v>-</v>
      </c>
      <c r="I748" s="1186"/>
      <c r="J748" s="1361" t="str">
        <f>OBRA!AG750</f>
        <v>-</v>
      </c>
      <c r="K748" s="1187"/>
      <c r="L748" s="1185" t="str">
        <f>OBRA!AH750</f>
        <v>-</v>
      </c>
      <c r="M748" s="1188"/>
      <c r="N748" s="1185" t="str">
        <f>OBRA!AI750</f>
        <v>-</v>
      </c>
      <c r="O748" s="1185"/>
      <c r="P748" s="1185"/>
      <c r="Q748" s="1187"/>
      <c r="R748" s="437" t="str">
        <f>OBRA!AJ750</f>
        <v>-</v>
      </c>
      <c r="S748" s="535"/>
      <c r="T748" s="399" t="str">
        <f>OBRA!W750</f>
        <v>EDIFICACIONES Y TERRACERIAS CH, S.A. DE C.V.</v>
      </c>
      <c r="U748" s="408" t="str">
        <f>OBRA!X750</f>
        <v>C. DANIEL RODRIGUEZ VALENZUELA</v>
      </c>
      <c r="V748" s="1090"/>
      <c r="W748" s="33" t="str">
        <f>OBRA!N750</f>
        <v>GMJ 013C OP/2023</v>
      </c>
      <c r="X748" s="1324"/>
      <c r="Y748" s="1202"/>
      <c r="Z748" s="409" t="str">
        <f>OBRA!M750</f>
        <v>RAMO 33</v>
      </c>
      <c r="AA748" s="1402"/>
      <c r="AB748" s="2" t="str">
        <f>OBRA!O750</f>
        <v>ADJUDICACIÓN DIRECTA</v>
      </c>
      <c r="AC748" s="3" t="str">
        <f>OBRA!P750</f>
        <v>“CONSTRUCCIÓN DE RED DE DRENAJE SANITARIO Y RED DE AGUA POTABLE EN CALLE PLAYAS DE LA LAGUNA”, EN LA LOCALIDAD DE CHANTEPEC DEL MUNICIPIO DE JOCOTEPEC, JALISCO</v>
      </c>
      <c r="AD748" s="4">
        <f>OBRA!R750</f>
        <v>724743.66</v>
      </c>
      <c r="AE748" s="6">
        <f>OBRA!S750</f>
        <v>45105</v>
      </c>
      <c r="AF748" s="5">
        <f>OBRA!T750</f>
        <v>45110</v>
      </c>
      <c r="AG748" s="11">
        <f>OBRA!U750</f>
        <v>45141</v>
      </c>
      <c r="AH748" s="207"/>
      <c r="AI748" s="161"/>
      <c r="AJ748" s="219"/>
      <c r="AK748" s="219"/>
      <c r="AL748" s="632"/>
      <c r="AM748" s="519">
        <f>GRAL!B989</f>
        <v>0</v>
      </c>
    </row>
    <row r="749" spans="1:39" ht="60" hidden="1">
      <c r="A749" s="158">
        <f>OBRA!J751</f>
        <v>2023</v>
      </c>
      <c r="B749" s="1683"/>
      <c r="C749" s="411"/>
      <c r="D749" s="163"/>
      <c r="E749" s="1169"/>
      <c r="F749" s="1169"/>
      <c r="G749" s="1184"/>
      <c r="H749" s="1185" t="str">
        <f>OBRA!AF751</f>
        <v>-</v>
      </c>
      <c r="I749" s="1186"/>
      <c r="J749" s="1361" t="str">
        <f>OBRA!AG751</f>
        <v>-</v>
      </c>
      <c r="K749" s="1187"/>
      <c r="L749" s="1185" t="str">
        <f>OBRA!AH751</f>
        <v>-</v>
      </c>
      <c r="M749" s="1188"/>
      <c r="N749" s="1185" t="str">
        <f>OBRA!AI751</f>
        <v>-</v>
      </c>
      <c r="O749" s="1185"/>
      <c r="P749" s="1185"/>
      <c r="Q749" s="1187"/>
      <c r="R749" s="437" t="str">
        <f>OBRA!AJ751</f>
        <v>-</v>
      </c>
      <c r="S749" s="535"/>
      <c r="T749" s="399" t="str">
        <f>OBRA!W751</f>
        <v>EDIFICACIONES Y TERRACERIAS CH, S.A. DE C.V.</v>
      </c>
      <c r="U749" s="408" t="str">
        <f>OBRA!X751</f>
        <v>C. DANIEL RODRIGUEZ VALENZUELA</v>
      </c>
      <c r="V749" s="1090"/>
      <c r="W749" s="33" t="str">
        <f>OBRA!N751</f>
        <v>GMJ 014C OP/2023</v>
      </c>
      <c r="X749" s="1324"/>
      <c r="Y749" s="1202"/>
      <c r="Z749" s="409" t="str">
        <f>OBRA!M751</f>
        <v>RAMO 33</v>
      </c>
      <c r="AA749" s="1402"/>
      <c r="AB749" s="2" t="str">
        <f>OBRA!O751</f>
        <v>ADJUDICACIÓN DIRECTA</v>
      </c>
      <c r="AC749" s="3" t="str">
        <f>OBRA!P751</f>
        <v>“CONSTRUCCIÓN DE RED DE DRENAJE SANITARIO Y RED DE AGUA POTABLE EN CALLE PLAYA AZUL”, EN LA LOCALIDAD DE CHANTEPEC DEL MUNICIPIO DE JOCOTEPEC, JALISCO</v>
      </c>
      <c r="AD749" s="4">
        <f>OBRA!R751</f>
        <v>543995.47</v>
      </c>
      <c r="AE749" s="6">
        <f>OBRA!S751</f>
        <v>45105</v>
      </c>
      <c r="AF749" s="5">
        <f>OBRA!T751</f>
        <v>45110</v>
      </c>
      <c r="AG749" s="11">
        <f>OBRA!U751</f>
        <v>45141</v>
      </c>
      <c r="AH749" s="207"/>
      <c r="AI749" s="161"/>
      <c r="AJ749" s="219"/>
      <c r="AK749" s="219"/>
      <c r="AL749" s="632"/>
      <c r="AM749" s="519">
        <f>GRAL!B990</f>
        <v>0</v>
      </c>
    </row>
    <row r="750" spans="1:39" ht="75" hidden="1">
      <c r="A750" s="158">
        <f>OBRA!J752</f>
        <v>2023</v>
      </c>
      <c r="B750" s="1683"/>
      <c r="C750" s="411"/>
      <c r="D750" s="163"/>
      <c r="E750" s="1169"/>
      <c r="F750" s="1169"/>
      <c r="G750" s="1184"/>
      <c r="H750" s="1185" t="str">
        <f>OBRA!AF752</f>
        <v>-</v>
      </c>
      <c r="I750" s="1186"/>
      <c r="J750" s="1361" t="str">
        <f>OBRA!AG752</f>
        <v>-</v>
      </c>
      <c r="K750" s="1187"/>
      <c r="L750" s="1185" t="str">
        <f>OBRA!AH752</f>
        <v>-</v>
      </c>
      <c r="M750" s="1188"/>
      <c r="N750" s="1185" t="str">
        <f>OBRA!AI752</f>
        <v>-</v>
      </c>
      <c r="O750" s="1185"/>
      <c r="P750" s="1185"/>
      <c r="Q750" s="1187"/>
      <c r="R750" s="437" t="str">
        <f>OBRA!AJ752</f>
        <v>-</v>
      </c>
      <c r="S750" s="535"/>
      <c r="T750" s="399" t="str">
        <f>OBRA!W752</f>
        <v>ALSERCON SA DE CV</v>
      </c>
      <c r="U750" s="408" t="str">
        <f>OBRA!X752</f>
        <v>C. DANIEL RODRIGUEZ VALENZUELA</v>
      </c>
      <c r="V750" s="1090"/>
      <c r="W750" s="33" t="str">
        <f>OBRA!N752</f>
        <v>GMJ 015C OP/2023</v>
      </c>
      <c r="X750" s="1324"/>
      <c r="Y750" s="1202"/>
      <c r="Z750" s="409" t="str">
        <f>OBRA!M752</f>
        <v>CUENTA CORRIENTE</v>
      </c>
      <c r="AA750" s="1402"/>
      <c r="AB750" s="2" t="str">
        <f>OBRA!O752</f>
        <v>ADJUDICACIÓN DIRECTA</v>
      </c>
      <c r="AC750" s="3" t="str">
        <f>OBRA!P752</f>
        <v>“TERMINACIÓN DE DEPÓSITO DE AGUA, LÍNEA DE LLENADO Y DISTRIBUCIÓN DE AGUA POTABLE EN CUARTEL DE LA GUARDIA NACIONAL (OBRA CIVIL)”, EN LA LOCALIDAD DE POTRERILLOS DEL MUNICIPIO DE JOCOTEPEC, JALISCO</v>
      </c>
      <c r="AD750" s="4">
        <f>OBRA!R752</f>
        <v>703136.32</v>
      </c>
      <c r="AE750" s="6">
        <f>OBRA!S752</f>
        <v>45105</v>
      </c>
      <c r="AF750" s="5">
        <f>OBRA!T752</f>
        <v>45113</v>
      </c>
      <c r="AG750" s="11">
        <f>OBRA!U752</f>
        <v>45168</v>
      </c>
      <c r="AH750" s="207"/>
      <c r="AI750" s="161"/>
      <c r="AJ750" s="219"/>
      <c r="AK750" s="219"/>
      <c r="AL750" s="632"/>
      <c r="AM750" s="519">
        <f>GRAL!B991</f>
        <v>0</v>
      </c>
    </row>
    <row r="751" spans="1:39" ht="45" hidden="1">
      <c r="A751" s="158">
        <f>OBRA!J753</f>
        <v>2023</v>
      </c>
      <c r="B751" s="1683"/>
      <c r="C751" s="411"/>
      <c r="D751" s="163"/>
      <c r="E751" s="1169"/>
      <c r="F751" s="1169"/>
      <c r="G751" s="1184"/>
      <c r="H751" s="1185" t="str">
        <f>OBRA!AF753</f>
        <v>-</v>
      </c>
      <c r="I751" s="1186"/>
      <c r="J751" s="1361" t="str">
        <f>OBRA!AG753</f>
        <v>-</v>
      </c>
      <c r="K751" s="1187"/>
      <c r="L751" s="1185" t="str">
        <f>OBRA!AH753</f>
        <v>-</v>
      </c>
      <c r="M751" s="1188"/>
      <c r="N751" s="1185" t="str">
        <f>OBRA!AI753</f>
        <v>-</v>
      </c>
      <c r="O751" s="1185"/>
      <c r="P751" s="1185"/>
      <c r="Q751" s="1187"/>
      <c r="R751" s="437" t="str">
        <f>OBRA!AJ753</f>
        <v>-</v>
      </c>
      <c r="S751" s="535"/>
      <c r="T751" s="399" t="str">
        <f>OBRA!W753</f>
        <v>C. ANA LUZ HIDALGO VELA</v>
      </c>
      <c r="U751" s="408" t="str">
        <f>OBRA!X753</f>
        <v>ARQ. JAIME CONDE GOMEZ</v>
      </c>
      <c r="V751" s="1090"/>
      <c r="W751" s="33" t="str">
        <f>OBRA!N753</f>
        <v>GMJ 016C OP/2023</v>
      </c>
      <c r="X751" s="1324"/>
      <c r="Y751" s="1202"/>
      <c r="Z751" s="409" t="str">
        <f>OBRA!M753</f>
        <v>CUENTA CORRIENTE</v>
      </c>
      <c r="AA751" s="1402"/>
      <c r="AB751" s="2" t="str">
        <f>OBRA!O753</f>
        <v>ADJUDICACIÓN DIRECTA</v>
      </c>
      <c r="AC751" s="3" t="str">
        <f>OBRA!P753</f>
        <v>“INTALACIÓN DE RIELERIA PARA EL PROCESO DE MATANZA EN RASTRO MUNICIPAL”, EN LA CABECERA MUNICIPAL DE JOCOTEPEC, JALISCO</v>
      </c>
      <c r="AD751" s="4">
        <f>OBRA!R753</f>
        <v>821212.44</v>
      </c>
      <c r="AE751" s="6">
        <f>OBRA!S753</f>
        <v>45134</v>
      </c>
      <c r="AF751" s="5">
        <f>OBRA!T753</f>
        <v>45145</v>
      </c>
      <c r="AG751" s="11">
        <f>OBRA!U753</f>
        <v>45169</v>
      </c>
      <c r="AH751" s="207"/>
      <c r="AI751" s="161"/>
      <c r="AJ751" s="219"/>
      <c r="AK751" s="219"/>
      <c r="AL751" s="632"/>
      <c r="AM751" s="519">
        <f>GRAL!B992</f>
        <v>0</v>
      </c>
    </row>
    <row r="752" spans="1:39" ht="180">
      <c r="A752" s="158">
        <f>OBRA!J754</f>
        <v>2023</v>
      </c>
      <c r="B752" s="1685" t="str">
        <f t="shared" ref="B752" si="1">W752</f>
        <v>CSS-OP-CC-017/2023</v>
      </c>
      <c r="C752" s="1271" t="s">
        <v>6107</v>
      </c>
      <c r="D752" s="1593" t="s">
        <v>6455</v>
      </c>
      <c r="E752" s="1598" t="s">
        <v>5804</v>
      </c>
      <c r="F752" s="1929" t="s">
        <v>6453</v>
      </c>
      <c r="G752" s="503" t="s">
        <v>6107</v>
      </c>
      <c r="H752" s="580">
        <f>OBRA!AF754</f>
        <v>45134</v>
      </c>
      <c r="I752" s="503" t="s">
        <v>6107</v>
      </c>
      <c r="J752" s="581">
        <f>OBRA!AG754</f>
        <v>45139</v>
      </c>
      <c r="K752" s="503" t="s">
        <v>6107</v>
      </c>
      <c r="L752" s="580">
        <f>OBRA!AH754</f>
        <v>45139</v>
      </c>
      <c r="M752" s="503" t="s">
        <v>6107</v>
      </c>
      <c r="N752" s="580">
        <f>OBRA!AI754</f>
        <v>45142</v>
      </c>
      <c r="O752" s="166" t="s">
        <v>6456</v>
      </c>
      <c r="P752" s="547">
        <v>0.41666666666666669</v>
      </c>
      <c r="Q752" s="503" t="s">
        <v>6107</v>
      </c>
      <c r="R752" s="205">
        <f>OBRA!AJ754</f>
        <v>45148</v>
      </c>
      <c r="S752" s="1930" t="s">
        <v>6475</v>
      </c>
      <c r="T752" s="148" t="str">
        <f>OBRA!W754</f>
        <v>C. SERGIO CABRERA</v>
      </c>
      <c r="U752" s="55" t="str">
        <f>OBRA!X754</f>
        <v>C. DANIEL RODRIGUEZ VALENZUELA</v>
      </c>
      <c r="V752" s="146"/>
      <c r="W752" s="33" t="str">
        <f>OBRA!N754</f>
        <v>CSS-OP-CC-017/2023</v>
      </c>
      <c r="X752" s="1324" t="s">
        <v>5529</v>
      </c>
      <c r="Y752" s="1202" t="s">
        <v>6106</v>
      </c>
      <c r="Z752" s="412" t="str">
        <f>OBRA!M754</f>
        <v>FOCOCI</v>
      </c>
      <c r="AA752" s="12" t="s">
        <v>2439</v>
      </c>
      <c r="AB752" s="2" t="str">
        <f>OBRA!O754</f>
        <v>CONCURSO SIMPLIFICADO SUMARIO</v>
      </c>
      <c r="AC752" s="3" t="str">
        <f>OBRA!P754</f>
        <v>“PAVIMENTACIÓN CON EMPEDRADO ZAMPEADO, EN CALLE LA PAZ EN LA DELEGACIÓN DE SAN JUAN COSALÁ, MUNICIPIO DE JOCOTEPEC, JALISCO”</v>
      </c>
      <c r="AD752" s="79">
        <f>OBRA!R754</f>
        <v>4998360.84</v>
      </c>
      <c r="AE752" s="67">
        <f>OBRA!S754</f>
        <v>45152</v>
      </c>
      <c r="AF752" s="5">
        <f>OBRA!T754</f>
        <v>45155</v>
      </c>
      <c r="AG752" s="11">
        <f>OBRA!U754</f>
        <v>45274</v>
      </c>
      <c r="AH752" s="207" t="s">
        <v>3816</v>
      </c>
      <c r="AI752" s="19" t="s">
        <v>1177</v>
      </c>
      <c r="AJ752" s="503" t="s">
        <v>6107</v>
      </c>
      <c r="AK752" s="503" t="s">
        <v>6107</v>
      </c>
      <c r="AL752" s="503" t="s">
        <v>6107</v>
      </c>
      <c r="AM752" s="13" t="str">
        <f>GRAL!B754</f>
        <v>2021-2024</v>
      </c>
    </row>
    <row r="753" spans="1:39" ht="180">
      <c r="A753" s="158">
        <f>OBRA!J755</f>
        <v>2023</v>
      </c>
      <c r="B753" s="1685" t="str">
        <f t="shared" ref="B753:B754" si="2">W753</f>
        <v>CSS-OP-CC-018/2023</v>
      </c>
      <c r="C753" s="1271" t="s">
        <v>6110</v>
      </c>
      <c r="D753" s="1593" t="s">
        <v>6455</v>
      </c>
      <c r="E753" s="1598" t="s">
        <v>5804</v>
      </c>
      <c r="F753" s="1929" t="s">
        <v>6453</v>
      </c>
      <c r="G753" s="503" t="s">
        <v>6110</v>
      </c>
      <c r="H753" s="580">
        <f>OBRA!AF755</f>
        <v>45154</v>
      </c>
      <c r="I753" s="503" t="s">
        <v>6110</v>
      </c>
      <c r="J753" s="581">
        <f>OBRA!AG755</f>
        <v>45156</v>
      </c>
      <c r="K753" s="503" t="s">
        <v>6110</v>
      </c>
      <c r="L753" s="580">
        <f>OBRA!AH755</f>
        <v>45156</v>
      </c>
      <c r="M753" s="503" t="s">
        <v>6110</v>
      </c>
      <c r="N753" s="580">
        <f>OBRA!AI755</f>
        <v>45162</v>
      </c>
      <c r="O753" s="166" t="s">
        <v>6456</v>
      </c>
      <c r="P753" s="547">
        <v>0.41666666666666669</v>
      </c>
      <c r="Q753" s="503" t="s">
        <v>6110</v>
      </c>
      <c r="R753" s="205">
        <f>OBRA!AJ755</f>
        <v>45167</v>
      </c>
      <c r="S753" s="1930" t="s">
        <v>6477</v>
      </c>
      <c r="T753" s="148" t="str">
        <f>OBRA!W755</f>
        <v>ALSERCON SA DE CV</v>
      </c>
      <c r="U753" s="55" t="str">
        <f>OBRA!X755</f>
        <v>C. DANIEL RODRIGUEZ VALENZUELA</v>
      </c>
      <c r="V753" s="146"/>
      <c r="W753" s="33" t="str">
        <f>OBRA!N755</f>
        <v>CSS-OP-CC-018/2023</v>
      </c>
      <c r="X753" s="1324" t="s">
        <v>5529</v>
      </c>
      <c r="Y753" s="1202" t="s">
        <v>6108</v>
      </c>
      <c r="Z753" s="412" t="str">
        <f>OBRA!M755</f>
        <v>RAMO 33</v>
      </c>
      <c r="AA753" s="12" t="s">
        <v>2439</v>
      </c>
      <c r="AB753" s="2" t="str">
        <f>OBRA!O755</f>
        <v>CONCURSO SIMPLIFICADO SUMARIO</v>
      </c>
      <c r="AC753" s="3" t="str">
        <f>OBRA!P755</f>
        <v>“CONSTRUCCIÓN DE SUPERFICIE DE RODAMIENTO EN CALLE PLAYAS DE LA LAGUNA”, EN LA LOCALIDAD DE CHANTEPEC, MUNICIPIO DE JOCOTEPEC, JALISCO</v>
      </c>
      <c r="AD753" s="79">
        <f>OBRA!R755</f>
        <v>2808816.17</v>
      </c>
      <c r="AE753" s="67">
        <f>OBRA!S755</f>
        <v>45168</v>
      </c>
      <c r="AF753" s="5">
        <f>OBRA!T755</f>
        <v>45173</v>
      </c>
      <c r="AG753" s="11">
        <f>OBRA!U755</f>
        <v>45237</v>
      </c>
      <c r="AH753" s="207" t="s">
        <v>3816</v>
      </c>
      <c r="AI753" s="19" t="s">
        <v>1177</v>
      </c>
      <c r="AJ753" s="1"/>
      <c r="AK753" s="1"/>
      <c r="AL753" s="17"/>
      <c r="AM753" s="13" t="str">
        <f>GRAL!B755</f>
        <v>2021-2024</v>
      </c>
    </row>
    <row r="754" spans="1:39" ht="45" hidden="1">
      <c r="A754" s="158">
        <f>OBRA!J756</f>
        <v>2023</v>
      </c>
      <c r="B754" s="1685" t="str">
        <f t="shared" si="2"/>
        <v>GMJ 019C OP/2023</v>
      </c>
      <c r="C754" s="411"/>
      <c r="D754" s="163"/>
      <c r="E754" s="1169"/>
      <c r="F754" s="1169"/>
      <c r="G754" s="1184"/>
      <c r="H754" s="1185" t="str">
        <f>OBRA!AF756</f>
        <v>-</v>
      </c>
      <c r="I754" s="1186"/>
      <c r="J754" s="1361" t="str">
        <f>OBRA!AG756</f>
        <v>-</v>
      </c>
      <c r="K754" s="1187"/>
      <c r="L754" s="1185" t="str">
        <f>OBRA!AH756</f>
        <v>-</v>
      </c>
      <c r="M754" s="1188"/>
      <c r="N754" s="1185" t="str">
        <f>OBRA!AI756</f>
        <v>-</v>
      </c>
      <c r="O754" s="1185"/>
      <c r="P754" s="1185"/>
      <c r="Q754" s="1187"/>
      <c r="R754" s="437" t="str">
        <f>OBRA!AJ756</f>
        <v>-</v>
      </c>
      <c r="S754" s="535"/>
      <c r="T754" s="399" t="str">
        <f>OBRA!W756</f>
        <v>C. REFUGIO GUTIÉRREZ NIEVES</v>
      </c>
      <c r="U754" s="408" t="str">
        <f>OBRA!X756</f>
        <v>C. DANIEL RODRIGUEZ VALENZUELA</v>
      </c>
      <c r="V754" s="1090"/>
      <c r="W754" s="33" t="str">
        <f>OBRA!N756</f>
        <v>GMJ 019C OP/2023</v>
      </c>
      <c r="X754" s="1324"/>
      <c r="Y754" s="1202"/>
      <c r="Z754" s="410" t="str">
        <f>OBRA!M756</f>
        <v>RAMO 33</v>
      </c>
      <c r="AA754" s="12" t="s">
        <v>2360</v>
      </c>
      <c r="AB754" s="2" t="str">
        <f>OBRA!O756</f>
        <v>ADJUDICACIÓN DIRECTA</v>
      </c>
      <c r="AC754" s="3" t="str">
        <f>OBRA!P756</f>
        <v>“CONSTRUCCIÓN DE SUPERFICIE DE RODAMIENTO EN CALLE PLAYA AZUL”, EN LA LOCALIDAD DE CHANTEPEC, MUNICIPIO DE JOCOTEPEC, JALISCO</v>
      </c>
      <c r="AD754" s="4">
        <f>OBRA!R756</f>
        <v>2049615.46</v>
      </c>
      <c r="AE754" s="6">
        <f>OBRA!S756</f>
        <v>45168</v>
      </c>
      <c r="AF754" s="5">
        <f>OBRA!T756</f>
        <v>45180</v>
      </c>
      <c r="AG754" s="11">
        <f>OBRA!U756</f>
        <v>45230</v>
      </c>
      <c r="AH754" s="207"/>
      <c r="AI754" s="161"/>
      <c r="AJ754" s="219"/>
      <c r="AK754" s="219"/>
      <c r="AL754" s="632"/>
      <c r="AM754" s="1242" t="str">
        <f>GRAL!B756</f>
        <v>2021-2024</v>
      </c>
    </row>
    <row r="755" spans="1:39" ht="45" hidden="1">
      <c r="A755" s="158">
        <f>OBRA!J757</f>
        <v>2023</v>
      </c>
      <c r="B755" s="1683"/>
      <c r="C755" s="411"/>
      <c r="D755" s="163"/>
      <c r="E755" s="1169"/>
      <c r="F755" s="1169"/>
      <c r="G755" s="1184"/>
      <c r="H755" s="1185" t="str">
        <f>OBRA!AF757</f>
        <v>-</v>
      </c>
      <c r="I755" s="1186"/>
      <c r="J755" s="1361" t="str">
        <f>OBRA!AG757</f>
        <v>-</v>
      </c>
      <c r="K755" s="1187"/>
      <c r="L755" s="1185" t="str">
        <f>OBRA!AH757</f>
        <v>-</v>
      </c>
      <c r="M755" s="1188"/>
      <c r="N755" s="1185" t="str">
        <f>OBRA!AI757</f>
        <v>-</v>
      </c>
      <c r="O755" s="1185"/>
      <c r="P755" s="1185"/>
      <c r="Q755" s="1187"/>
      <c r="R755" s="437" t="str">
        <f>OBRA!AJ757</f>
        <v>-</v>
      </c>
      <c r="S755" s="535"/>
      <c r="T755" s="399" t="str">
        <f>OBRA!W757</f>
        <v xml:space="preserve">DORIA &amp; SAMPIER CONSTRUCTORA, S.A. DE C.V. </v>
      </c>
      <c r="U755" s="408" t="str">
        <f>OBRA!X757</f>
        <v>ARQ. JAIME CONDE GOMEZ</v>
      </c>
      <c r="V755" s="1090"/>
      <c r="W755" s="33" t="str">
        <f>OBRA!N757</f>
        <v>GMJ 020C OP/2023</v>
      </c>
      <c r="X755" s="1324"/>
      <c r="Y755" s="1202"/>
      <c r="Z755" s="409" t="str">
        <f>OBRA!M757</f>
        <v>CUENTA CORRIENTE</v>
      </c>
      <c r="AA755" s="1402"/>
      <c r="AB755" s="2" t="str">
        <f>OBRA!O757</f>
        <v>ADJUDICACIÓN DIRECTA</v>
      </c>
      <c r="AC755" s="3" t="str">
        <f>OBRA!P757</f>
        <v>“REHABILITACIÓN DE PLAZA PRINCIPAL”, EN LA LOCALIDAD DE HUEJOTITÁN, MUNICIPIO DE JOCOTEPEC, JALISCO</v>
      </c>
      <c r="AD755" s="4">
        <f>OBRA!R757</f>
        <v>304838.93</v>
      </c>
      <c r="AE755" s="6">
        <f>OBRA!S757</f>
        <v>45166</v>
      </c>
      <c r="AF755" s="5">
        <f>OBRA!T757</f>
        <v>45168</v>
      </c>
      <c r="AG755" s="11">
        <f>OBRA!U757</f>
        <v>45199</v>
      </c>
      <c r="AH755" s="207"/>
      <c r="AI755" s="161"/>
      <c r="AJ755" s="219"/>
      <c r="AK755" s="219"/>
      <c r="AL755" s="632"/>
      <c r="AM755" s="519">
        <f>GRAL!B996</f>
        <v>0</v>
      </c>
    </row>
    <row r="756" spans="1:39" ht="90" hidden="1">
      <c r="A756" s="158">
        <f>OBRA!J758</f>
        <v>2023</v>
      </c>
      <c r="B756" s="1683"/>
      <c r="C756" s="411"/>
      <c r="D756" s="163"/>
      <c r="E756" s="1169"/>
      <c r="F756" s="1169"/>
      <c r="G756" s="1184"/>
      <c r="H756" s="1185" t="str">
        <f>OBRA!AF758</f>
        <v>-</v>
      </c>
      <c r="I756" s="1186"/>
      <c r="J756" s="1361" t="str">
        <f>OBRA!AG758</f>
        <v>-</v>
      </c>
      <c r="K756" s="1187"/>
      <c r="L756" s="1185" t="str">
        <f>OBRA!AH758</f>
        <v>-</v>
      </c>
      <c r="M756" s="1188"/>
      <c r="N756" s="1185" t="str">
        <f>OBRA!AI758</f>
        <v>-</v>
      </c>
      <c r="O756" s="1185"/>
      <c r="P756" s="1185"/>
      <c r="Q756" s="1187"/>
      <c r="R756" s="437" t="str">
        <f>OBRA!AJ758</f>
        <v>-</v>
      </c>
      <c r="S756" s="535"/>
      <c r="T756" s="399" t="str">
        <f>OBRA!W758</f>
        <v>ING. SERGIO CABRERA</v>
      </c>
      <c r="U756" s="408" t="str">
        <f>OBRA!X758</f>
        <v>C. DANIEL RODRIGUEZ VALENZUELA</v>
      </c>
      <c r="V756" s="1090"/>
      <c r="W756" s="33" t="str">
        <f>OBRA!N758</f>
        <v>GMJ 021 C-OP/2023</v>
      </c>
      <c r="X756" s="1324"/>
      <c r="Y756" s="1202"/>
      <c r="Z756" s="409" t="str">
        <f>OBRA!M758</f>
        <v>RAMO 33</v>
      </c>
      <c r="AA756" s="1402"/>
      <c r="AB756" s="2" t="str">
        <f>OBRA!O758</f>
        <v>ADJUDICACIÓN DIRECTA</v>
      </c>
      <c r="AC756" s="3" t="str">
        <f>OBRA!P758</f>
        <v>"CONSTRUCCIÓN DE BANQUETAS E IMAGEN URBANA EN CALLE LA PAZ DE CALLE HIDALGO A CALLE ROTARIO Y CALLE ROTARIO DE CALLE LA PAZ A CARRETERA JOCOTEPEC-CHAPALA", EN LA LOCALIDAD DE SAN JUAN COSALÁ, MUNICIPIO DE JOCOTEPEC, JALISCO.</v>
      </c>
      <c r="AD756" s="4">
        <f>OBRA!R758</f>
        <v>853249.52</v>
      </c>
      <c r="AE756" s="6">
        <f>OBRA!S758</f>
        <v>45203</v>
      </c>
      <c r="AF756" s="5">
        <f>OBRA!T758</f>
        <v>45209</v>
      </c>
      <c r="AG756" s="11">
        <f>OBRA!U758</f>
        <v>45222</v>
      </c>
      <c r="AH756" s="207"/>
      <c r="AI756" s="161"/>
      <c r="AJ756" s="219"/>
      <c r="AK756" s="219"/>
      <c r="AL756" s="632"/>
      <c r="AM756" s="519">
        <f>GRAL!B997</f>
        <v>0</v>
      </c>
    </row>
    <row r="757" spans="1:39" ht="45" hidden="1">
      <c r="A757" s="158">
        <f>OBRA!J759</f>
        <v>2023</v>
      </c>
      <c r="B757" s="1683"/>
      <c r="C757" s="411"/>
      <c r="D757" s="163"/>
      <c r="E757" s="1169"/>
      <c r="F757" s="1169"/>
      <c r="G757" s="1184"/>
      <c r="H757" s="1185" t="str">
        <f>OBRA!AF759</f>
        <v>-</v>
      </c>
      <c r="I757" s="1186"/>
      <c r="J757" s="1361" t="str">
        <f>OBRA!AG759</f>
        <v>-</v>
      </c>
      <c r="K757" s="1187"/>
      <c r="L757" s="1185" t="str">
        <f>OBRA!AH759</f>
        <v>-</v>
      </c>
      <c r="M757" s="1188"/>
      <c r="N757" s="1185" t="str">
        <f>OBRA!AI759</f>
        <v>-</v>
      </c>
      <c r="O757" s="1185"/>
      <c r="P757" s="1185"/>
      <c r="Q757" s="1187"/>
      <c r="R757" s="437" t="str">
        <f>OBRA!AJ759</f>
        <v>-</v>
      </c>
      <c r="S757" s="535"/>
      <c r="T757" s="399" t="str">
        <f>OBRA!W759</f>
        <v>SOLEC ENERGY, S.A. DE C.V.</v>
      </c>
      <c r="U757" s="408" t="str">
        <f>OBRA!X759</f>
        <v>C. DANIEL RODRIGUEZ VALENZUELA</v>
      </c>
      <c r="V757" s="1090"/>
      <c r="W757" s="33" t="str">
        <f>OBRA!N759</f>
        <v>GMJ 022 OP/2023</v>
      </c>
      <c r="X757" s="1324"/>
      <c r="Y757" s="1202"/>
      <c r="Z757" s="409" t="str">
        <f>OBRA!M759</f>
        <v>CUENTA CORRIENTE</v>
      </c>
      <c r="AA757" s="1402"/>
      <c r="AB757" s="2" t="str">
        <f>OBRA!O759</f>
        <v>CANCELADA</v>
      </c>
      <c r="AC757" s="3" t="str">
        <f>OBRA!P759</f>
        <v>"ELECTRIFICACIÓN DE POZO CAMICHINES UBICADO EN CALLE FRANCISCO VILLA", EN LA CABECERA MUNICIPAL DE JOCOTEPEC, JALISCO.</v>
      </c>
      <c r="AD757" s="4">
        <f>OBRA!R759</f>
        <v>247646.07999999999</v>
      </c>
      <c r="AE757" s="6">
        <f>OBRA!S759</f>
        <v>45212</v>
      </c>
      <c r="AF757" s="5">
        <f>OBRA!T759</f>
        <v>45215</v>
      </c>
      <c r="AG757" s="11">
        <f>OBRA!U759</f>
        <v>45258</v>
      </c>
      <c r="AH757" s="207"/>
      <c r="AI757" s="161"/>
      <c r="AJ757" s="219"/>
      <c r="AK757" s="219"/>
      <c r="AL757" s="632"/>
      <c r="AM757" s="519">
        <f>GRAL!B998</f>
        <v>0</v>
      </c>
    </row>
    <row r="758" spans="1:39" ht="60" hidden="1">
      <c r="A758" s="158">
        <f>OBRA!J760</f>
        <v>2023</v>
      </c>
      <c r="B758" s="1683"/>
      <c r="C758" s="411"/>
      <c r="D758" s="163"/>
      <c r="E758" s="1169"/>
      <c r="F758" s="1169"/>
      <c r="G758" s="1184"/>
      <c r="H758" s="1185" t="str">
        <f>OBRA!AF760</f>
        <v>-</v>
      </c>
      <c r="I758" s="1186"/>
      <c r="J758" s="1361" t="str">
        <f>OBRA!AG760</f>
        <v>-</v>
      </c>
      <c r="K758" s="1187"/>
      <c r="L758" s="1185" t="str">
        <f>OBRA!AH760</f>
        <v>-</v>
      </c>
      <c r="M758" s="1188"/>
      <c r="N758" s="1185" t="str">
        <f>OBRA!AI760</f>
        <v>-</v>
      </c>
      <c r="O758" s="1185"/>
      <c r="P758" s="1185"/>
      <c r="Q758" s="1187"/>
      <c r="R758" s="437" t="str">
        <f>OBRA!AJ760</f>
        <v>-</v>
      </c>
      <c r="S758" s="535"/>
      <c r="T758" s="399" t="str">
        <f>OBRA!W760</f>
        <v>SOLEC ENERGY, S.A. DE C.V.</v>
      </c>
      <c r="U758" s="408" t="str">
        <f>OBRA!X760</f>
        <v>C. DANIEL RODRIGUEZ VALENZUELA</v>
      </c>
      <c r="V758" s="1090"/>
      <c r="W758" s="33" t="str">
        <f>OBRA!N760</f>
        <v>GMJ 023 C-OP/2023</v>
      </c>
      <c r="X758" s="1324"/>
      <c r="Y758" s="1202"/>
      <c r="Z758" s="409" t="str">
        <f>OBRA!M760</f>
        <v>CUENTA CORRIENTE</v>
      </c>
      <c r="AA758" s="1402"/>
      <c r="AB758" s="2" t="str">
        <f>OBRA!O760</f>
        <v>ADJUDICACIÓN DIRECTA</v>
      </c>
      <c r="AC758" s="3" t="str">
        <f>OBRA!P760</f>
        <v>"ELECTRIFICACIÓN DE POZO EN PRIVADA GUADALUPE VICTORIA", EN LA LOCALIDAD DE SAN JUAN COSALÁ, MUNICIPIO DE JOCOTEPEC, JALISCO.</v>
      </c>
      <c r="AD758" s="4">
        <f>OBRA!R760</f>
        <v>330252</v>
      </c>
      <c r="AE758" s="6">
        <f>OBRA!S760</f>
        <v>45212</v>
      </c>
      <c r="AF758" s="5">
        <f>OBRA!T760</f>
        <v>45222</v>
      </c>
      <c r="AG758" s="11">
        <f>OBRA!U760</f>
        <v>45282</v>
      </c>
      <c r="AH758" s="207"/>
      <c r="AI758" s="161"/>
      <c r="AJ758" s="219"/>
      <c r="AK758" s="219"/>
      <c r="AL758" s="632"/>
      <c r="AM758" s="519">
        <f>GRAL!B999</f>
        <v>0</v>
      </c>
    </row>
    <row r="759" spans="1:39" ht="180">
      <c r="A759" s="158">
        <f>OBRA!J761</f>
        <v>2023</v>
      </c>
      <c r="B759" s="1685" t="str">
        <f t="shared" ref="B759" si="3">W759</f>
        <v>CSS-OP-CC-024/2023</v>
      </c>
      <c r="C759" s="1271" t="s">
        <v>5800</v>
      </c>
      <c r="D759" s="1593" t="s">
        <v>6455</v>
      </c>
      <c r="E759" s="1598" t="s">
        <v>5804</v>
      </c>
      <c r="F759" s="1929" t="s">
        <v>6453</v>
      </c>
      <c r="G759" s="503" t="s">
        <v>5800</v>
      </c>
      <c r="H759" s="580">
        <f>OBRA!AF761</f>
        <v>45231</v>
      </c>
      <c r="I759" s="503" t="s">
        <v>5800</v>
      </c>
      <c r="J759" s="581">
        <f>OBRA!AG761</f>
        <v>45233</v>
      </c>
      <c r="K759" s="503" t="s">
        <v>5800</v>
      </c>
      <c r="L759" s="580">
        <f>OBRA!AH761</f>
        <v>45233</v>
      </c>
      <c r="M759" s="503" t="s">
        <v>5800</v>
      </c>
      <c r="N759" s="580">
        <f>OBRA!AI761</f>
        <v>45240</v>
      </c>
      <c r="O759" s="166" t="s">
        <v>6456</v>
      </c>
      <c r="P759" s="547">
        <v>0.41666666666666669</v>
      </c>
      <c r="Q759" s="503" t="s">
        <v>5800</v>
      </c>
      <c r="R759" s="205">
        <f>OBRA!AJ761</f>
        <v>45244</v>
      </c>
      <c r="S759" s="1930" t="s">
        <v>6486</v>
      </c>
      <c r="T759" s="148" t="str">
        <f>OBRA!W761</f>
        <v>OCTAVA CUATRO VISITAS, S.A. DE C.V.</v>
      </c>
      <c r="U759" s="55" t="str">
        <f>OBRA!X761</f>
        <v>ING. J. GUADALUPE IBARRA RAMIREZ</v>
      </c>
      <c r="V759" s="146"/>
      <c r="W759" s="33" t="str">
        <f>OBRA!N761</f>
        <v>CSS-OP-CC-024/2023</v>
      </c>
      <c r="X759" s="1324" t="s">
        <v>6040</v>
      </c>
      <c r="Y759" s="1202" t="s">
        <v>6122</v>
      </c>
      <c r="Z759" s="412" t="str">
        <f>OBRA!M761</f>
        <v>CUENTA CORRIENTE</v>
      </c>
      <c r="AA759" s="12" t="s">
        <v>2320</v>
      </c>
      <c r="AB759" s="2" t="str">
        <f>OBRA!O761</f>
        <v>CONCURSO SIMPLIFICADO SUMARIO</v>
      </c>
      <c r="AC759" s="3" t="str">
        <f>OBRA!P761</f>
        <v>"CONSTRUCCIÓN DE 29 LOCALES COMERCIALES EN PLAZOLETA", EN LA LOCALIDAD DE CHANTEPEC, MUNICIPIO DE JOCOTEPEC, JALISCO.</v>
      </c>
      <c r="AD759" s="79">
        <f>OBRA!R761</f>
        <v>5281923.58</v>
      </c>
      <c r="AE759" s="67">
        <f>OBRA!S761</f>
        <v>45245</v>
      </c>
      <c r="AF759" s="5">
        <f>OBRA!T761</f>
        <v>45251</v>
      </c>
      <c r="AG759" s="11">
        <f>OBRA!U761</f>
        <v>45370</v>
      </c>
      <c r="AH759" s="207" t="s">
        <v>4446</v>
      </c>
      <c r="AI759" s="19" t="s">
        <v>1177</v>
      </c>
      <c r="AJ759" s="1" t="s">
        <v>1177</v>
      </c>
      <c r="AK759" s="495" t="s">
        <v>5800</v>
      </c>
      <c r="AL759" s="704" t="s">
        <v>5800</v>
      </c>
      <c r="AM759" s="13" t="str">
        <f>GRAL!B761</f>
        <v>2021-2024</v>
      </c>
    </row>
    <row r="760" spans="1:39" ht="216" hidden="1">
      <c r="A760" s="158">
        <f>OBRA!J762</f>
        <v>2023</v>
      </c>
      <c r="B760" s="1685" t="str">
        <f>W760</f>
        <v>GMJ 025C OP/2023</v>
      </c>
      <c r="C760" s="411" t="s">
        <v>5800</v>
      </c>
      <c r="D760" s="1593" t="s">
        <v>5803</v>
      </c>
      <c r="E760" s="1598" t="s">
        <v>5804</v>
      </c>
      <c r="F760" s="1598" t="s">
        <v>5801</v>
      </c>
      <c r="G760" s="503" t="s">
        <v>5800</v>
      </c>
      <c r="H760" s="1185" t="str">
        <f>OBRA!AF762</f>
        <v>-</v>
      </c>
      <c r="I760" s="503" t="s">
        <v>5800</v>
      </c>
      <c r="J760" s="1361" t="str">
        <f>OBRA!AG762</f>
        <v>-</v>
      </c>
      <c r="K760" s="503" t="s">
        <v>5800</v>
      </c>
      <c r="L760" s="1185" t="str">
        <f>OBRA!AH762</f>
        <v>-</v>
      </c>
      <c r="M760" s="503" t="s">
        <v>5800</v>
      </c>
      <c r="N760" s="1185" t="str">
        <f>OBRA!AI762</f>
        <v>-</v>
      </c>
      <c r="O760" s="1583" t="s">
        <v>4590</v>
      </c>
      <c r="P760" s="547">
        <v>0.41666666666666669</v>
      </c>
      <c r="Q760" s="503" t="s">
        <v>5800</v>
      </c>
      <c r="R760" s="437" t="str">
        <f>OBRA!AJ762</f>
        <v>-</v>
      </c>
      <c r="S760" s="1330" t="s">
        <v>5875</v>
      </c>
      <c r="T760" s="399" t="str">
        <f>OBRA!W762</f>
        <v xml:space="preserve">DORIA &amp; SAMPIER CONSTRUCTORA, S.A. DE C.V. </v>
      </c>
      <c r="U760" s="408" t="str">
        <f>OBRA!X762</f>
        <v>ARQ. JAIME CONDE GOMEZ</v>
      </c>
      <c r="V760" s="1090"/>
      <c r="W760" s="33" t="str">
        <f>OBRA!N762</f>
        <v>GMJ 025C OP/2023</v>
      </c>
      <c r="X760" s="1324" t="s">
        <v>5529</v>
      </c>
      <c r="Y760" s="1202" t="s">
        <v>5797</v>
      </c>
      <c r="Z760" s="410" t="str">
        <f>OBRA!M762</f>
        <v>CUENTA CORRIENTE</v>
      </c>
      <c r="AA760" s="12" t="s">
        <v>2320</v>
      </c>
      <c r="AB760" s="2" t="str">
        <f>OBRA!O762</f>
        <v>ADJUDICACIÓN DIRECTA</v>
      </c>
      <c r="AC760" s="3" t="str">
        <f>OBRA!P762</f>
        <v>"REHABILITACIÓN DE PLAZA PRINCIPAL (3RA ETAPA)", EN LA LOCALIDAD DE HUEJOTITÁN, MUNICIPIO DE JOCOTEPEC, JALISCO.</v>
      </c>
      <c r="AD760" s="4">
        <f>OBRA!R762</f>
        <v>441962.08</v>
      </c>
      <c r="AE760" s="6">
        <f>OBRA!S762</f>
        <v>45247</v>
      </c>
      <c r="AF760" s="5">
        <f>OBRA!T762</f>
        <v>45245</v>
      </c>
      <c r="AG760" s="11">
        <f>OBRA!U762</f>
        <v>45290</v>
      </c>
      <c r="AH760" s="207" t="s">
        <v>4446</v>
      </c>
      <c r="AI760" s="161"/>
      <c r="AJ760" s="219"/>
      <c r="AK760" s="219"/>
      <c r="AL760" s="632"/>
      <c r="AM760" s="1242" t="str">
        <f>GRAL!B762</f>
        <v>2021-2024</v>
      </c>
    </row>
    <row r="761" spans="1:39" ht="180">
      <c r="A761" s="158">
        <f>OBRA!J763</f>
        <v>2023</v>
      </c>
      <c r="B761" s="1685" t="str">
        <f t="shared" ref="B761" si="4">W761</f>
        <v>FAIS-RAMO33/CC-OP-CSS-026/2023</v>
      </c>
      <c r="C761" s="1271" t="s">
        <v>5878</v>
      </c>
      <c r="D761" s="1593" t="s">
        <v>6455</v>
      </c>
      <c r="E761" s="1598" t="s">
        <v>5804</v>
      </c>
      <c r="F761" s="1929" t="s">
        <v>6453</v>
      </c>
      <c r="G761" s="503" t="s">
        <v>5878</v>
      </c>
      <c r="H761" s="580">
        <f>OBRA!AF763</f>
        <v>45254</v>
      </c>
      <c r="I761" s="503" t="s">
        <v>5878</v>
      </c>
      <c r="J761" s="581">
        <f>OBRA!AG763</f>
        <v>45257</v>
      </c>
      <c r="K761" s="503" t="s">
        <v>5878</v>
      </c>
      <c r="L761" s="580">
        <f>OBRA!AH763</f>
        <v>45257</v>
      </c>
      <c r="M761" s="503" t="s">
        <v>5878</v>
      </c>
      <c r="N761" s="580">
        <f>OBRA!AI763</f>
        <v>45264</v>
      </c>
      <c r="O761" s="166" t="s">
        <v>6456</v>
      </c>
      <c r="P761" s="547">
        <v>0.41666666666666669</v>
      </c>
      <c r="Q761" s="503" t="s">
        <v>5878</v>
      </c>
      <c r="R761" s="205">
        <f>OBRA!AJ763</f>
        <v>45267</v>
      </c>
      <c r="S761" s="1930" t="s">
        <v>6489</v>
      </c>
      <c r="T761" s="148" t="str">
        <f>OBRA!W763</f>
        <v>EDIFICACIONES Y TERRACERIAS CH, S.A. DE C.V.</v>
      </c>
      <c r="U761" s="55" t="str">
        <f>OBRA!X763</f>
        <v>C. DANIEL RODRIGUEZ VALENZUELA</v>
      </c>
      <c r="V761" s="146"/>
      <c r="W761" s="33" t="str">
        <f>OBRA!N763</f>
        <v>FAIS-RAMO33/CC-OP-CSS-026/2023</v>
      </c>
      <c r="X761" s="1324" t="s">
        <v>6040</v>
      </c>
      <c r="Y761" s="1202" t="s">
        <v>5877</v>
      </c>
      <c r="Z761" s="412" t="str">
        <f>OBRA!M763</f>
        <v>CTA-CTE / RAMO 33</v>
      </c>
      <c r="AA761" s="12" t="s">
        <v>2360</v>
      </c>
      <c r="AB761" s="2" t="str">
        <f>OBRA!O763</f>
        <v>CONCURSO SIMPLIFICADO SUMARIO CON RECURSOS CONCURRIDOS</v>
      </c>
      <c r="AC761" s="3" t="str">
        <f>OBRA!P763</f>
        <v>"CONSTRUCCIÓN DE UN CARCAMO DE BOMBEO EN LA ZONA DEL MALECÓN, CERCA DE LA PLANTA DE TRATAMIENTO DE AGUAS RESIDUALES, POR CALLE RIVERA DEL LAGO, ESQUINA CON CALLE JOSÉ SANTANA", EN LA CABECERA MUNICIPAL DE JOCOTEPEC, JALISCO.</v>
      </c>
      <c r="AD761" s="79">
        <f>OBRA!R763</f>
        <v>2969939.23</v>
      </c>
      <c r="AE761" s="67">
        <f>OBRA!S763</f>
        <v>45268</v>
      </c>
      <c r="AF761" s="5">
        <f>OBRA!T763</f>
        <v>45271</v>
      </c>
      <c r="AG761" s="11">
        <f>OBRA!U763</f>
        <v>45290</v>
      </c>
      <c r="AH761" s="207" t="s">
        <v>3816</v>
      </c>
      <c r="AI761" s="19" t="s">
        <v>1177</v>
      </c>
      <c r="AJ761" s="1"/>
      <c r="AK761" s="503" t="s">
        <v>5878</v>
      </c>
      <c r="AL761" s="503" t="s">
        <v>5878</v>
      </c>
      <c r="AM761" s="13" t="str">
        <f>GRAL!B763</f>
        <v>2021-2024</v>
      </c>
    </row>
    <row r="762" spans="1:39" ht="60" hidden="1">
      <c r="A762" s="158">
        <f>OBRA!J764</f>
        <v>2023</v>
      </c>
      <c r="B762" s="1683"/>
      <c r="C762" s="411"/>
      <c r="D762" s="163"/>
      <c r="E762" s="1169"/>
      <c r="F762" s="1169"/>
      <c r="G762" s="1184"/>
      <c r="H762" s="1185" t="str">
        <f>OBRA!AF764</f>
        <v>-</v>
      </c>
      <c r="I762" s="1186"/>
      <c r="J762" s="1361" t="str">
        <f>OBRA!AG764</f>
        <v>-</v>
      </c>
      <c r="K762" s="1187"/>
      <c r="L762" s="1185" t="str">
        <f>OBRA!AH764</f>
        <v>-</v>
      </c>
      <c r="M762" s="1188"/>
      <c r="N762" s="1185" t="str">
        <f>OBRA!AI764</f>
        <v>-</v>
      </c>
      <c r="O762" s="1185"/>
      <c r="P762" s="1185"/>
      <c r="Q762" s="1187"/>
      <c r="R762" s="437" t="str">
        <f>OBRA!AJ764</f>
        <v>-</v>
      </c>
      <c r="S762" s="535"/>
      <c r="T762" s="399" t="str">
        <f>OBRA!W764</f>
        <v xml:space="preserve">DESARROLLADORA FARAR, S.A. DE C.V. </v>
      </c>
      <c r="U762" s="408" t="str">
        <f>OBRA!X764</f>
        <v>ING. J. GUADALUPE IBARRA RAMIREZ</v>
      </c>
      <c r="V762" s="1090"/>
      <c r="W762" s="33" t="str">
        <f>OBRA!N764</f>
        <v>GMJ 027C OP/2023</v>
      </c>
      <c r="X762" s="1324"/>
      <c r="Y762" s="1202"/>
      <c r="Z762" s="409" t="str">
        <f>OBRA!M764</f>
        <v>CUENTA CORRIENTE</v>
      </c>
      <c r="AA762" s="1402"/>
      <c r="AB762" s="2" t="str">
        <f>OBRA!O764</f>
        <v>ADJUDICACIÓN DIRECTA</v>
      </c>
      <c r="AC762" s="3" t="str">
        <f>OBRA!P764</f>
        <v>"CONSTRUCCIÓN DE CALLE, ESTACIONAMIENTO, MACHUELOS Y CANCHA DE UNIDAD DEPORTIVA", EN LA LOCALIDAD DE CHANTEPEC, MUNICIPIO DE JOCOTEPEC.</v>
      </c>
      <c r="AD762" s="4">
        <f>OBRA!R764</f>
        <v>1515153.08</v>
      </c>
      <c r="AE762" s="6">
        <f>OBRA!S764</f>
        <v>45258</v>
      </c>
      <c r="AF762" s="5">
        <f>OBRA!T764</f>
        <v>45264</v>
      </c>
      <c r="AG762" s="11">
        <f>OBRA!U764</f>
        <v>45374</v>
      </c>
      <c r="AH762" s="207"/>
      <c r="AI762" s="161"/>
      <c r="AJ762" s="219"/>
      <c r="AK762" s="219"/>
      <c r="AL762" s="632"/>
      <c r="AM762" s="519">
        <f>GRAL!B1003</f>
        <v>0</v>
      </c>
    </row>
    <row r="763" spans="1:39" ht="75" hidden="1">
      <c r="A763" s="158">
        <f>OBRA!J765</f>
        <v>2023</v>
      </c>
      <c r="B763" s="1683"/>
      <c r="C763" s="411"/>
      <c r="D763" s="163"/>
      <c r="E763" s="1169"/>
      <c r="F763" s="1169"/>
      <c r="G763" s="1184"/>
      <c r="H763" s="1185" t="str">
        <f>OBRA!AF765</f>
        <v>-</v>
      </c>
      <c r="I763" s="1186"/>
      <c r="J763" s="1361" t="str">
        <f>OBRA!AG765</f>
        <v>-</v>
      </c>
      <c r="K763" s="1187"/>
      <c r="L763" s="1185" t="str">
        <f>OBRA!AH765</f>
        <v>-</v>
      </c>
      <c r="M763" s="1188"/>
      <c r="N763" s="1185" t="str">
        <f>OBRA!AI765</f>
        <v>-</v>
      </c>
      <c r="O763" s="1185"/>
      <c r="P763" s="1185"/>
      <c r="Q763" s="1187"/>
      <c r="R763" s="437" t="str">
        <f>OBRA!AJ765</f>
        <v>-</v>
      </c>
      <c r="S763" s="535"/>
      <c r="T763" s="399" t="str">
        <f>OBRA!W765</f>
        <v>ACROX CONSTRUCCIONES, S.A. DE C.V.</v>
      </c>
      <c r="U763" s="408" t="str">
        <f>OBRA!X765</f>
        <v>ING. J. GUADALUPE IBARRA RAMIREZ</v>
      </c>
      <c r="V763" s="1090"/>
      <c r="W763" s="33" t="str">
        <f>OBRA!N765</f>
        <v>GMJ 028C OP/2023</v>
      </c>
      <c r="X763" s="1324"/>
      <c r="Y763" s="1202"/>
      <c r="Z763" s="409" t="str">
        <f>OBRA!M765</f>
        <v>CUENTA CORRIENTE</v>
      </c>
      <c r="AA763" s="1402"/>
      <c r="AB763" s="2" t="str">
        <f>OBRA!O765</f>
        <v>ADJUDICACIÓN DIRECTA</v>
      </c>
      <c r="AC763" s="3" t="str">
        <f>OBRA!P765</f>
        <v>"CONSTRUCCIÓN DE BAÑOS, VESTIDORES, LOCALES COMERCIALES, DRENAJE SANITARIO Y PLUVIALES EN UNIDAD DEPORTIVA", EN LA LOCALIDAD DE CHANTEPEC, MUNICIPIO DE JOCOTEPEC, JALISCO.</v>
      </c>
      <c r="AD763" s="4">
        <f>OBRA!R765</f>
        <v>1777367.51</v>
      </c>
      <c r="AE763" s="6">
        <f>OBRA!S765</f>
        <v>45258</v>
      </c>
      <c r="AF763" s="5">
        <f>OBRA!T765</f>
        <v>45264</v>
      </c>
      <c r="AG763" s="11">
        <f>OBRA!U765</f>
        <v>45374</v>
      </c>
      <c r="AH763" s="207"/>
      <c r="AI763" s="161"/>
      <c r="AJ763" s="219"/>
      <c r="AK763" s="219"/>
      <c r="AL763" s="632"/>
      <c r="AM763" s="519">
        <f>GRAL!B1004</f>
        <v>0</v>
      </c>
    </row>
    <row r="764" spans="1:39" ht="90" hidden="1">
      <c r="A764" s="158">
        <f>OBRA!J766</f>
        <v>2023</v>
      </c>
      <c r="B764" s="1683"/>
      <c r="C764" s="411"/>
      <c r="D764" s="163"/>
      <c r="E764" s="1169"/>
      <c r="F764" s="1169"/>
      <c r="G764" s="1184"/>
      <c r="H764" s="1185" t="str">
        <f>OBRA!AF766</f>
        <v>-</v>
      </c>
      <c r="I764" s="1186"/>
      <c r="J764" s="1361" t="str">
        <f>OBRA!AG766</f>
        <v>-</v>
      </c>
      <c r="K764" s="1187"/>
      <c r="L764" s="1185" t="str">
        <f>OBRA!AH766</f>
        <v>-</v>
      </c>
      <c r="M764" s="1188"/>
      <c r="N764" s="1185" t="str">
        <f>OBRA!AI766</f>
        <v>-</v>
      </c>
      <c r="O764" s="1185"/>
      <c r="P764" s="1185"/>
      <c r="Q764" s="1187"/>
      <c r="R764" s="437" t="str">
        <f>OBRA!AJ766</f>
        <v>-</v>
      </c>
      <c r="S764" s="535"/>
      <c r="T764" s="399" t="str">
        <f>OBRA!W766</f>
        <v>TERRACERÍAS Y PAVIMENTOS DE LA RIBERA, S.A. DE C.V.</v>
      </c>
      <c r="U764" s="408" t="str">
        <f>OBRA!X766</f>
        <v>C. DANIEL RODRIGUEZ VALENZUELA</v>
      </c>
      <c r="V764" s="1090"/>
      <c r="W764" s="33" t="str">
        <f>OBRA!N766</f>
        <v>GMJ 029C OP/2023</v>
      </c>
      <c r="X764" s="1324"/>
      <c r="Y764" s="1202"/>
      <c r="Z764" s="409" t="str">
        <f>OBRA!M766</f>
        <v>RAMO 33</v>
      </c>
      <c r="AA764" s="1402"/>
      <c r="AB764" s="2" t="str">
        <f>OBRA!O766</f>
        <v>ADJUDICACIÓN DIRECTA</v>
      </c>
      <c r="AC764" s="3" t="str">
        <f>OBRA!P766</f>
        <v>"CONSTRUCCIÓN DE LÍNEA DE COLECTOR SANITARIO DE PVC DE 18 PULGADAS A NUEVO CARCAMO DE BOMBEO Y LÍNEA DE BOMBEO DE ACERO DE 8 PULGADAS DE NUEVO CARCAMO A PLANTA DE TRATAMIENTO", EN LA CABECERA MUNICIPAL DE JOCOTEPEC, JALISCO.</v>
      </c>
      <c r="AD764" s="4">
        <f>OBRA!R766</f>
        <v>521271.1</v>
      </c>
      <c r="AE764" s="6">
        <f>OBRA!S766</f>
        <v>45257</v>
      </c>
      <c r="AF764" s="5">
        <f>OBRA!T766</f>
        <v>45258</v>
      </c>
      <c r="AG764" s="11">
        <f>OBRA!U766</f>
        <v>45276</v>
      </c>
      <c r="AH764" s="207"/>
      <c r="AI764" s="161"/>
      <c r="AJ764" s="219"/>
      <c r="AK764" s="219"/>
      <c r="AL764" s="632"/>
      <c r="AM764" s="519">
        <f>GRAL!B1005</f>
        <v>0</v>
      </c>
    </row>
    <row r="765" spans="1:39" ht="75" hidden="1">
      <c r="A765" s="158">
        <f>OBRA!J767</f>
        <v>2023</v>
      </c>
      <c r="B765" s="1683"/>
      <c r="C765" s="411"/>
      <c r="D765" s="163"/>
      <c r="E765" s="1169"/>
      <c r="F765" s="1169"/>
      <c r="G765" s="1184"/>
      <c r="H765" s="1185" t="str">
        <f>OBRA!AF767</f>
        <v>-</v>
      </c>
      <c r="I765" s="1186"/>
      <c r="J765" s="1361" t="str">
        <f>OBRA!AG767</f>
        <v>-</v>
      </c>
      <c r="K765" s="1187"/>
      <c r="L765" s="1185" t="str">
        <f>OBRA!AH767</f>
        <v>-</v>
      </c>
      <c r="M765" s="1188"/>
      <c r="N765" s="1185" t="str">
        <f>OBRA!AI767</f>
        <v>-</v>
      </c>
      <c r="O765" s="1185"/>
      <c r="P765" s="1185"/>
      <c r="Q765" s="1187"/>
      <c r="R765" s="437" t="str">
        <f>OBRA!AJ767</f>
        <v>-</v>
      </c>
      <c r="S765" s="535"/>
      <c r="T765" s="399" t="str">
        <f>OBRA!W767</f>
        <v>ESTRUCTURAS PLANEADAS DE OCCIDENTE, S.A. DE C.V.</v>
      </c>
      <c r="U765" s="408" t="str">
        <f>OBRA!X767</f>
        <v>C. DANIEL RODRIGUEZ VALENZUELA</v>
      </c>
      <c r="V765" s="1090"/>
      <c r="W765" s="33" t="str">
        <f>OBRA!N767</f>
        <v>GMJ 030C OP/2023</v>
      </c>
      <c r="X765" s="1324"/>
      <c r="Y765" s="1202"/>
      <c r="Z765" s="409" t="str">
        <f>OBRA!M767</f>
        <v xml:space="preserve">FORTAMUN </v>
      </c>
      <c r="AA765" s="1402"/>
      <c r="AB765" s="2" t="str">
        <f>OBRA!O767</f>
        <v>ADJUDICACIÓN DIRECTA</v>
      </c>
      <c r="AC765" s="3" t="str">
        <f>OBRA!P767</f>
        <v>"CONSTRUCCIÓN DE LÍNEA DE ABASTECIMIENTO DEL POZO DE AGUA POTABLE EN PRIV. GUADALUPE VICTORIA A RED PRINCIPAL EN C. ZARAGOZA", EN LA LOCALIDAD DE SAN JUAN COSALÁ, MUNICIPIO DE JOCOTEPEC, JALISCO.</v>
      </c>
      <c r="AD765" s="4">
        <f>OBRA!R767</f>
        <v>810268.98</v>
      </c>
      <c r="AE765" s="6">
        <f>OBRA!S767</f>
        <v>45269</v>
      </c>
      <c r="AF765" s="5">
        <f>OBRA!T767</f>
        <v>45271</v>
      </c>
      <c r="AG765" s="11">
        <f>OBRA!U767</f>
        <v>45290</v>
      </c>
      <c r="AH765" s="207"/>
      <c r="AI765" s="161"/>
      <c r="AJ765" s="219"/>
      <c r="AK765" s="219"/>
      <c r="AL765" s="632"/>
      <c r="AM765" s="519">
        <f>GRAL!B1006</f>
        <v>0</v>
      </c>
    </row>
    <row r="766" spans="1:39" ht="26.25" hidden="1">
      <c r="A766" s="158">
        <f>OBRA!J768</f>
        <v>2023</v>
      </c>
      <c r="B766" s="1683"/>
      <c r="C766" s="411"/>
      <c r="D766" s="163"/>
      <c r="E766" s="1169"/>
      <c r="F766" s="1169"/>
      <c r="G766" s="1184"/>
      <c r="H766" s="1185">
        <f>OBRA!AF768</f>
        <v>0</v>
      </c>
      <c r="I766" s="1186"/>
      <c r="J766" s="1361">
        <f>OBRA!AG768</f>
        <v>0</v>
      </c>
      <c r="K766" s="1187"/>
      <c r="L766" s="1185">
        <f>OBRA!AH768</f>
        <v>0</v>
      </c>
      <c r="M766" s="1188"/>
      <c r="N766" s="1185">
        <f>OBRA!AI768</f>
        <v>0</v>
      </c>
      <c r="O766" s="1185"/>
      <c r="P766" s="1185"/>
      <c r="Q766" s="1187"/>
      <c r="R766" s="437">
        <f>OBRA!AJ768</f>
        <v>0</v>
      </c>
      <c r="S766" s="535"/>
      <c r="T766" s="399">
        <f>OBRA!W768</f>
        <v>0</v>
      </c>
      <c r="U766" s="408">
        <f>OBRA!X768</f>
        <v>0</v>
      </c>
      <c r="V766" s="1090"/>
      <c r="W766" s="33" t="str">
        <f>OBRA!N768</f>
        <v>GMJ 031C OP/2023</v>
      </c>
      <c r="X766" s="1324"/>
      <c r="Y766" s="1202"/>
      <c r="Z766" s="409">
        <f>OBRA!M768</f>
        <v>0</v>
      </c>
      <c r="AA766" s="1402"/>
      <c r="AB766" s="2" t="str">
        <f>OBRA!O768</f>
        <v>CANCELADA</v>
      </c>
      <c r="AC766" s="3">
        <f>OBRA!P768</f>
        <v>0</v>
      </c>
      <c r="AD766" s="4">
        <f>OBRA!R768</f>
        <v>0</v>
      </c>
      <c r="AE766" s="6">
        <f>OBRA!S768</f>
        <v>0</v>
      </c>
      <c r="AF766" s="5">
        <f>OBRA!T768</f>
        <v>0</v>
      </c>
      <c r="AG766" s="11">
        <f>OBRA!U768</f>
        <v>0</v>
      </c>
      <c r="AH766" s="207"/>
      <c r="AI766" s="161"/>
      <c r="AJ766" s="219"/>
      <c r="AK766" s="219"/>
      <c r="AL766" s="632"/>
      <c r="AM766" s="519">
        <f>GRAL!B1007</f>
        <v>0</v>
      </c>
    </row>
    <row r="767" spans="1:39" ht="60" hidden="1">
      <c r="A767" s="158">
        <f>OBRA!J769</f>
        <v>2023</v>
      </c>
      <c r="B767" s="1683"/>
      <c r="C767" s="411"/>
      <c r="D767" s="163"/>
      <c r="E767" s="1169"/>
      <c r="F767" s="1169"/>
      <c r="G767" s="1184"/>
      <c r="H767" s="1185" t="str">
        <f>OBRA!AF769</f>
        <v>-</v>
      </c>
      <c r="I767" s="1186"/>
      <c r="J767" s="1361" t="str">
        <f>OBRA!AG769</f>
        <v>-</v>
      </c>
      <c r="K767" s="1187"/>
      <c r="L767" s="1185" t="str">
        <f>OBRA!AH769</f>
        <v>-</v>
      </c>
      <c r="M767" s="1188"/>
      <c r="N767" s="1185" t="str">
        <f>OBRA!AI769</f>
        <v>-</v>
      </c>
      <c r="O767" s="1185"/>
      <c r="P767" s="1185"/>
      <c r="Q767" s="1187"/>
      <c r="R767" s="437" t="str">
        <f>OBRA!AJ769</f>
        <v>-</v>
      </c>
      <c r="S767" s="535"/>
      <c r="T767" s="399" t="str">
        <f>OBRA!W769</f>
        <v>URBANIZADORA Y PAVIMENTADORA MONLE, S.A. DE C.V.</v>
      </c>
      <c r="U767" s="408" t="str">
        <f>OBRA!X769</f>
        <v>C. DANIEL RODRIGUEZ VALENZUELA</v>
      </c>
      <c r="V767" s="1090"/>
      <c r="W767" s="33" t="str">
        <f>OBRA!N769</f>
        <v>GMJ 032C OP/2023</v>
      </c>
      <c r="X767" s="1324"/>
      <c r="Y767" s="1202"/>
      <c r="Z767" s="409" t="str">
        <f>OBRA!M769</f>
        <v xml:space="preserve">FORTAMUN </v>
      </c>
      <c r="AA767" s="1402"/>
      <c r="AB767" s="2" t="str">
        <f>OBRA!O769</f>
        <v>ADJUDICACIÓN DIRECTA</v>
      </c>
      <c r="AC767" s="3" t="str">
        <f>OBRA!P769</f>
        <v>"REHABILITACIÓN DE LA UNIDAD DEPORTIVA DONATO GUERRA SUR", EN LA CABECERA MUNICIPAL DE JOCOTEPEC, JALISCO.</v>
      </c>
      <c r="AD767" s="4">
        <f>OBRA!R769</f>
        <v>1060774.83</v>
      </c>
      <c r="AE767" s="6">
        <f>OBRA!S769</f>
        <v>45275</v>
      </c>
      <c r="AF767" s="5">
        <f>OBRA!T769</f>
        <v>45278</v>
      </c>
      <c r="AG767" s="11">
        <f>OBRA!U769</f>
        <v>45322</v>
      </c>
      <c r="AH767" s="207"/>
      <c r="AI767" s="161"/>
      <c r="AJ767" s="219"/>
      <c r="AK767" s="219"/>
      <c r="AL767" s="632"/>
      <c r="AM767" s="519">
        <f>GRAL!B1008</f>
        <v>0</v>
      </c>
    </row>
    <row r="768" spans="1:39" ht="30" hidden="1">
      <c r="A768" s="158">
        <f>OBRA!J770</f>
        <v>2024</v>
      </c>
      <c r="B768" s="1683"/>
      <c r="C768" s="411"/>
      <c r="D768" s="163"/>
      <c r="E768" s="1169"/>
      <c r="F768" s="1169"/>
      <c r="G768" s="1184"/>
      <c r="H768" s="1185" t="str">
        <f>OBRA!AF770</f>
        <v>-</v>
      </c>
      <c r="I768" s="1186"/>
      <c r="J768" s="1361" t="str">
        <f>OBRA!AG770</f>
        <v>-</v>
      </c>
      <c r="K768" s="1187"/>
      <c r="L768" s="1185" t="str">
        <f>OBRA!AH770</f>
        <v>-</v>
      </c>
      <c r="M768" s="1188"/>
      <c r="N768" s="1185" t="str">
        <f>OBRA!AI770</f>
        <v>-</v>
      </c>
      <c r="O768" s="1185"/>
      <c r="P768" s="1185"/>
      <c r="Q768" s="1187"/>
      <c r="R768" s="437" t="str">
        <f>OBRA!AJ770</f>
        <v>-</v>
      </c>
      <c r="S768" s="535"/>
      <c r="T768" s="399">
        <f>OBRA!W770</f>
        <v>0</v>
      </c>
      <c r="U768" s="408">
        <f>OBRA!X770</f>
        <v>0</v>
      </c>
      <c r="V768" s="1090"/>
      <c r="W768" s="33" t="str">
        <f>OBRA!N770</f>
        <v>-</v>
      </c>
      <c r="X768" s="1324"/>
      <c r="Y768" s="1202"/>
      <c r="Z768" s="409" t="str">
        <f>OBRA!M770</f>
        <v>RAMO 23</v>
      </c>
      <c r="AA768" s="1402"/>
      <c r="AB768" s="2" t="str">
        <f>OBRA!O770</f>
        <v>CONVENIO</v>
      </c>
      <c r="AC768" s="3" t="str">
        <f>OBRA!P770</f>
        <v>PAVIMENTACIÓN EN EL MUNICIPIO DE JOCOTEPEC</v>
      </c>
      <c r="AD768" s="4">
        <f>OBRA!R770</f>
        <v>0</v>
      </c>
      <c r="AE768" s="6" t="str">
        <f>OBRA!S770</f>
        <v>-</v>
      </c>
      <c r="AF768" s="5">
        <f>OBRA!T770</f>
        <v>0</v>
      </c>
      <c r="AG768" s="11">
        <f>OBRA!U770</f>
        <v>0</v>
      </c>
      <c r="AH768" s="207"/>
      <c r="AI768" s="161"/>
      <c r="AJ768" s="219"/>
      <c r="AK768" s="219"/>
      <c r="AL768" s="632"/>
      <c r="AM768" s="519">
        <f>GRAL!B1009</f>
        <v>0</v>
      </c>
    </row>
    <row r="769" spans="1:39" ht="90" hidden="1">
      <c r="A769" s="158">
        <f>OBRA!J771</f>
        <v>2024</v>
      </c>
      <c r="B769" s="1683"/>
      <c r="C769" s="411"/>
      <c r="D769" s="163"/>
      <c r="E769" s="1169"/>
      <c r="F769" s="1169"/>
      <c r="G769" s="1184"/>
      <c r="H769" s="1185" t="str">
        <f>OBRA!AF771</f>
        <v>-</v>
      </c>
      <c r="I769" s="1186"/>
      <c r="J769" s="1361" t="str">
        <f>OBRA!AG771</f>
        <v>-</v>
      </c>
      <c r="K769" s="1187"/>
      <c r="L769" s="1185" t="str">
        <f>OBRA!AH771</f>
        <v>-</v>
      </c>
      <c r="M769" s="1188"/>
      <c r="N769" s="1185" t="str">
        <f>OBRA!AI771</f>
        <v>-</v>
      </c>
      <c r="O769" s="1185"/>
      <c r="P769" s="1185"/>
      <c r="Q769" s="1187"/>
      <c r="R769" s="437" t="str">
        <f>OBRA!AJ771</f>
        <v>-</v>
      </c>
      <c r="S769" s="535"/>
      <c r="T769" s="399" t="str">
        <f>OBRA!W771</f>
        <v>SOLUCIONES INTEGRALES A POZOS, S.A. DE C.V.</v>
      </c>
      <c r="U769" s="408" t="str">
        <f>OBRA!X771</f>
        <v>C. IMELDA KARINA PÉREZ GONZÁLEZ</v>
      </c>
      <c r="V769" s="1090"/>
      <c r="W769" s="33" t="str">
        <f>OBRA!N771</f>
        <v>CPSP DOP 001/2024</v>
      </c>
      <c r="X769" s="1324"/>
      <c r="Y769" s="1202"/>
      <c r="Z769" s="409" t="str">
        <f>OBRA!M771</f>
        <v>CUENTA CORRIENTE</v>
      </c>
      <c r="AA769" s="1402"/>
      <c r="AB769" s="2" t="str">
        <f>OBRA!O771</f>
        <v>SERVICIOS</v>
      </c>
      <c r="AC769" s="3" t="str">
        <f>OBRA!P771</f>
        <v>CONTRATACIÓN DE SERVICIOS PARA REALIZACIÓN DE: UN VIDEO INSPECCIÓN INTERIOR PARA CONOCERSU ESTATUS Y ESTRUCTURA DEL POZO UBICADO EN EL ATRIO DE LA PARROQUÍA DEL SR. DEL MONTE, EN LA CABECERA MUNICIPAL DE JOCOTEPEC, JALISCO.</v>
      </c>
      <c r="AD769" s="4">
        <f>OBRA!R771</f>
        <v>9222</v>
      </c>
      <c r="AE769" s="6">
        <f>OBRA!S771</f>
        <v>45293</v>
      </c>
      <c r="AF769" s="5">
        <f>OBRA!T771</f>
        <v>45294</v>
      </c>
      <c r="AG769" s="11">
        <f>OBRA!U771</f>
        <v>45295</v>
      </c>
      <c r="AH769" s="207"/>
      <c r="AI769" s="161"/>
      <c r="AJ769" s="219"/>
      <c r="AK769" s="219"/>
      <c r="AL769" s="632"/>
      <c r="AM769" s="519">
        <f>GRAL!B1010</f>
        <v>0</v>
      </c>
    </row>
    <row r="770" spans="1:39" ht="120" hidden="1">
      <c r="A770" s="158">
        <f>OBRA!J772</f>
        <v>2024</v>
      </c>
      <c r="B770" s="1683"/>
      <c r="C770" s="411"/>
      <c r="D770" s="163"/>
      <c r="E770" s="1169"/>
      <c r="F770" s="1169"/>
      <c r="G770" s="1184"/>
      <c r="H770" s="1185" t="str">
        <f>OBRA!AF772</f>
        <v>-</v>
      </c>
      <c r="I770" s="1186"/>
      <c r="J770" s="1361" t="str">
        <f>OBRA!AG772</f>
        <v>-</v>
      </c>
      <c r="K770" s="1187"/>
      <c r="L770" s="1185" t="str">
        <f>OBRA!AH772</f>
        <v>-</v>
      </c>
      <c r="M770" s="1188"/>
      <c r="N770" s="1185" t="str">
        <f>OBRA!AI772</f>
        <v>-</v>
      </c>
      <c r="O770" s="1185"/>
      <c r="P770" s="1185"/>
      <c r="Q770" s="1187"/>
      <c r="R770" s="437" t="str">
        <f>OBRA!AJ772</f>
        <v>-</v>
      </c>
      <c r="S770" s="535"/>
      <c r="T770" s="399" t="str">
        <f>OBRA!W772</f>
        <v xml:space="preserve">CICLOS GIP SC </v>
      </c>
      <c r="U770" s="408" t="str">
        <f>OBRA!X772</f>
        <v>C. IMELDA KARINA PÉREZ GONZÁLEZ</v>
      </c>
      <c r="V770" s="1090"/>
      <c r="W770" s="33" t="str">
        <f>OBRA!N772</f>
        <v>CPSP DOP 002/2024</v>
      </c>
      <c r="X770" s="1324"/>
      <c r="Y770" s="1202"/>
      <c r="Z770" s="409" t="str">
        <f>OBRA!M772</f>
        <v>CUENTA CORRIENTE</v>
      </c>
      <c r="AA770" s="1402"/>
      <c r="AB770" s="2" t="str">
        <f>OBRA!O772</f>
        <v>SERVICIOS</v>
      </c>
      <c r="AC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OBRA!R772</f>
        <v>23200</v>
      </c>
      <c r="AE770" s="6">
        <f>OBRA!S772</f>
        <v>45293</v>
      </c>
      <c r="AF770" s="5">
        <f>OBRA!T772</f>
        <v>45293</v>
      </c>
      <c r="AG770" s="11">
        <f>OBRA!U772</f>
        <v>45294</v>
      </c>
      <c r="AH770" s="207"/>
      <c r="AI770" s="161"/>
      <c r="AJ770" s="219"/>
      <c r="AK770" s="219"/>
      <c r="AL770" s="632"/>
      <c r="AM770" s="519">
        <f>GRAL!B1011</f>
        <v>0</v>
      </c>
    </row>
    <row r="771" spans="1:39" ht="75" hidden="1">
      <c r="A771" s="158">
        <f>OBRA!J773</f>
        <v>2024</v>
      </c>
      <c r="B771" s="1683"/>
      <c r="C771" s="411"/>
      <c r="D771" s="163"/>
      <c r="E771" s="1169"/>
      <c r="F771" s="1169"/>
      <c r="G771" s="1184"/>
      <c r="H771" s="1185" t="str">
        <f>OBRA!AF773</f>
        <v>-</v>
      </c>
      <c r="I771" s="1186"/>
      <c r="J771" s="1361" t="str">
        <f>OBRA!AG773</f>
        <v>-</v>
      </c>
      <c r="K771" s="1187"/>
      <c r="L771" s="1185" t="str">
        <f>OBRA!AH773</f>
        <v>-</v>
      </c>
      <c r="M771" s="1188"/>
      <c r="N771" s="1185" t="str">
        <f>OBRA!AI773</f>
        <v>-</v>
      </c>
      <c r="O771" s="1185"/>
      <c r="P771" s="1185"/>
      <c r="Q771" s="1187"/>
      <c r="R771" s="437" t="str">
        <f>OBRA!AJ773</f>
        <v>-</v>
      </c>
      <c r="S771" s="535"/>
      <c r="T771" s="399" t="str">
        <f>OBRA!W773</f>
        <v>SOLEC ENERGY, S.A. DE C.V.</v>
      </c>
      <c r="U771" s="408" t="str">
        <f>OBRA!X773</f>
        <v>C. IMELDA KARINA PÉREZ GONZÁLEZ</v>
      </c>
      <c r="V771" s="1090"/>
      <c r="W771" s="33" t="str">
        <f>OBRA!N773</f>
        <v>CPSP DOP 003/2024</v>
      </c>
      <c r="X771" s="1324"/>
      <c r="Y771" s="1202"/>
      <c r="Z771" s="409" t="str">
        <f>OBRA!M773</f>
        <v>CUENTA CORRIENTE</v>
      </c>
      <c r="AA771" s="1402"/>
      <c r="AB771" s="2" t="str">
        <f>OBRA!O773</f>
        <v>SERVICIOS</v>
      </c>
      <c r="AC771" s="3" t="str">
        <f>OBRA!P773</f>
        <v>CONTRATACIÓN DE SERVICIOS PROFESIONALES: PARA REUBICACIÓN Y LEVANTAMIENTO DE LA BAJA TENSIÓN EN CALLE PLAYAS DEL SOL, EN LA LOCALIDAD DE CHANTEPEC, MUNICIPIO DE JOCOTEPEC, JALISCO</v>
      </c>
      <c r="AD771" s="4">
        <f>OBRA!R773</f>
        <v>33325.64</v>
      </c>
      <c r="AE771" s="6">
        <f>OBRA!S773</f>
        <v>45308</v>
      </c>
      <c r="AF771" s="5">
        <f>OBRA!T773</f>
        <v>45309</v>
      </c>
      <c r="AG771" s="11">
        <f>OBRA!U773</f>
        <v>45315</v>
      </c>
      <c r="AH771" s="207"/>
      <c r="AI771" s="161"/>
      <c r="AJ771" s="219"/>
      <c r="AK771" s="219"/>
      <c r="AL771" s="632"/>
      <c r="AM771" s="519">
        <f>GRAL!B1012</f>
        <v>0</v>
      </c>
    </row>
    <row r="772" spans="1:39" ht="120" hidden="1">
      <c r="A772" s="158">
        <f>OBRA!J774</f>
        <v>2024</v>
      </c>
      <c r="B772" s="1683"/>
      <c r="C772" s="411"/>
      <c r="D772" s="163"/>
      <c r="E772" s="1169"/>
      <c r="F772" s="1169"/>
      <c r="G772" s="1184"/>
      <c r="H772" s="1185" t="str">
        <f>OBRA!AF774</f>
        <v>-</v>
      </c>
      <c r="I772" s="1186"/>
      <c r="J772" s="1361" t="str">
        <f>OBRA!AG774</f>
        <v>-</v>
      </c>
      <c r="K772" s="1187"/>
      <c r="L772" s="1185" t="str">
        <f>OBRA!AH774</f>
        <v>-</v>
      </c>
      <c r="M772" s="1188"/>
      <c r="N772" s="1185" t="str">
        <f>OBRA!AI774</f>
        <v>-</v>
      </c>
      <c r="O772" s="1185"/>
      <c r="P772" s="1185"/>
      <c r="Q772" s="1187"/>
      <c r="R772" s="437" t="str">
        <f>OBRA!AJ774</f>
        <v>-</v>
      </c>
      <c r="S772" s="535"/>
      <c r="T772" s="399" t="str">
        <f>OBRA!W774</f>
        <v>ING. MARCO ANTONIO PAREDES RODRÍGUEZ</v>
      </c>
      <c r="U772" s="408" t="str">
        <f>OBRA!X774</f>
        <v>C. IMELDA KARINA PÉREZ GONZÁLEZ</v>
      </c>
      <c r="V772" s="1090"/>
      <c r="W772" s="33" t="str">
        <f>OBRA!N774</f>
        <v>CPSP DOP 004/2024</v>
      </c>
      <c r="X772" s="1324"/>
      <c r="Y772" s="1202"/>
      <c r="Z772" s="409" t="str">
        <f>OBRA!M774</f>
        <v>CUENTA CORRIENTE</v>
      </c>
      <c r="AA772" s="1402"/>
      <c r="AB772" s="2" t="str">
        <f>OBRA!O774</f>
        <v>SERVICIOS</v>
      </c>
      <c r="AC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OBRA!R774</f>
        <v>25520</v>
      </c>
      <c r="AE772" s="6">
        <f>OBRA!S774</f>
        <v>45296</v>
      </c>
      <c r="AF772" s="5">
        <f>OBRA!T774</f>
        <v>45299</v>
      </c>
      <c r="AG772" s="11">
        <f>OBRA!U774</f>
        <v>45300</v>
      </c>
      <c r="AH772" s="207"/>
      <c r="AI772" s="161"/>
      <c r="AJ772" s="219"/>
      <c r="AK772" s="219"/>
      <c r="AL772" s="632"/>
      <c r="AM772" s="519">
        <f>GRAL!B1013</f>
        <v>0</v>
      </c>
    </row>
    <row r="773" spans="1:39" ht="180" hidden="1">
      <c r="A773" s="158">
        <f>OBRA!J775</f>
        <v>2024</v>
      </c>
      <c r="B773" s="1683"/>
      <c r="C773" s="411"/>
      <c r="D773" s="163"/>
      <c r="E773" s="1169"/>
      <c r="F773" s="1169"/>
      <c r="G773" s="1184"/>
      <c r="H773" s="1185" t="str">
        <f>OBRA!AF775</f>
        <v>-</v>
      </c>
      <c r="I773" s="1186"/>
      <c r="J773" s="1361" t="str">
        <f>OBRA!AG775</f>
        <v>-</v>
      </c>
      <c r="K773" s="1187"/>
      <c r="L773" s="1185" t="str">
        <f>OBRA!AH775</f>
        <v>-</v>
      </c>
      <c r="M773" s="1188"/>
      <c r="N773" s="1185" t="str">
        <f>OBRA!AI775</f>
        <v>-</v>
      </c>
      <c r="O773" s="1185"/>
      <c r="P773" s="1185"/>
      <c r="Q773" s="1187"/>
      <c r="R773" s="437" t="str">
        <f>OBRA!AJ775</f>
        <v>-</v>
      </c>
      <c r="S773" s="535"/>
      <c r="T773" s="399" t="str">
        <f>OBRA!W775</f>
        <v xml:space="preserve">CICLOS GIP SC </v>
      </c>
      <c r="U773" s="408" t="str">
        <f>OBRA!X775</f>
        <v>C. IMELDA KARINA PÉREZ GONZÁLEZ</v>
      </c>
      <c r="V773" s="1090"/>
      <c r="W773" s="33" t="str">
        <f>OBRA!N775</f>
        <v>CPSP DOP 005/2024</v>
      </c>
      <c r="X773" s="1324"/>
      <c r="Y773" s="1202"/>
      <c r="Z773" s="409" t="str">
        <f>OBRA!M775</f>
        <v>CUENTA CORRIENTE</v>
      </c>
      <c r="AA773" s="1402"/>
      <c r="AB773" s="2" t="str">
        <f>OBRA!O775</f>
        <v>SERVICIOS</v>
      </c>
      <c r="AC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OBRA!R775</f>
        <v>69600</v>
      </c>
      <c r="AE773" s="6">
        <f>OBRA!S775</f>
        <v>45348</v>
      </c>
      <c r="AF773" s="5">
        <f>OBRA!T775</f>
        <v>45349</v>
      </c>
      <c r="AG773" s="11">
        <f>OBRA!U775</f>
        <v>45352</v>
      </c>
      <c r="AH773" s="207"/>
      <c r="AI773" s="161"/>
      <c r="AJ773" s="219"/>
      <c r="AK773" s="219"/>
      <c r="AL773" s="632"/>
      <c r="AM773" s="519">
        <f>GRAL!B1014</f>
        <v>0</v>
      </c>
    </row>
    <row r="774" spans="1:39" ht="90" hidden="1">
      <c r="A774" s="158">
        <f>OBRA!J776</f>
        <v>2024</v>
      </c>
      <c r="B774" s="1683"/>
      <c r="C774" s="411"/>
      <c r="D774" s="163"/>
      <c r="E774" s="1169"/>
      <c r="F774" s="1169"/>
      <c r="G774" s="1184"/>
      <c r="H774" s="1185" t="str">
        <f>OBRA!AF776</f>
        <v>-</v>
      </c>
      <c r="I774" s="1186"/>
      <c r="J774" s="1361" t="str">
        <f>OBRA!AG776</f>
        <v>-</v>
      </c>
      <c r="K774" s="1187"/>
      <c r="L774" s="1185" t="str">
        <f>OBRA!AH776</f>
        <v>-</v>
      </c>
      <c r="M774" s="1188"/>
      <c r="N774" s="1185" t="str">
        <f>OBRA!AI776</f>
        <v>-</v>
      </c>
      <c r="O774" s="1185"/>
      <c r="P774" s="1185"/>
      <c r="Q774" s="1187"/>
      <c r="R774" s="437" t="str">
        <f>OBRA!AJ776</f>
        <v>-</v>
      </c>
      <c r="S774" s="535"/>
      <c r="T774" s="399" t="str">
        <f>OBRA!W776</f>
        <v>SOLEC ENERGY, S.A. DE C.V.</v>
      </c>
      <c r="U774" s="408" t="str">
        <f>OBRA!X776</f>
        <v>C. IMELDA KARINA PÉREZ GONZÁLEZ</v>
      </c>
      <c r="V774" s="1090"/>
      <c r="W774" s="33" t="str">
        <f>OBRA!N776</f>
        <v>CPSP DOP 006/2024</v>
      </c>
      <c r="X774" s="1324"/>
      <c r="Y774" s="1202"/>
      <c r="Z774" s="409" t="str">
        <f>OBRA!M776</f>
        <v>CUENTA CORRIENTE</v>
      </c>
      <c r="AA774" s="1402"/>
      <c r="AB774" s="2" t="str">
        <f>OBRA!O776</f>
        <v>SERVICIOS</v>
      </c>
      <c r="AC774" s="3" t="str">
        <f>OBRA!P776</f>
        <v>CONTRATACIÓN DE SERVICIOS PROFESIONALES PARA REUBICACIÓN DE ACOMETIDA AÉREA DE CFE DE LOS LOCALES DE LOS PORTALES Y MOVIMIENTO DE FIBRA ÓPTICA EN LA CALLE MIGUEL ARANA, MUNICIPIO DE JOCOTEPEC, JALISCO.</v>
      </c>
      <c r="AD774" s="4">
        <f>OBRA!R776</f>
        <v>9048</v>
      </c>
      <c r="AE774" s="6">
        <f>OBRA!S776</f>
        <v>45362</v>
      </c>
      <c r="AF774" s="5">
        <f>OBRA!T776</f>
        <v>45363</v>
      </c>
      <c r="AG774" s="11">
        <f>OBRA!U776</f>
        <v>45365</v>
      </c>
      <c r="AH774" s="207"/>
      <c r="AI774" s="161"/>
      <c r="AJ774" s="219"/>
      <c r="AK774" s="219"/>
      <c r="AL774" s="632"/>
      <c r="AM774" s="519">
        <f>GRAL!B1015</f>
        <v>0</v>
      </c>
    </row>
    <row r="775" spans="1:39" ht="255" hidden="1">
      <c r="A775" s="158">
        <f>OBRA!J777</f>
        <v>2024</v>
      </c>
      <c r="B775" s="1683"/>
      <c r="C775" s="411"/>
      <c r="D775" s="163"/>
      <c r="E775" s="1169"/>
      <c r="F775" s="1169"/>
      <c r="G775" s="1184"/>
      <c r="H775" s="1185" t="str">
        <f>OBRA!AF777</f>
        <v>-</v>
      </c>
      <c r="I775" s="1186"/>
      <c r="J775" s="1361" t="str">
        <f>OBRA!AG777</f>
        <v>-</v>
      </c>
      <c r="K775" s="1187"/>
      <c r="L775" s="1185" t="str">
        <f>OBRA!AH777</f>
        <v>-</v>
      </c>
      <c r="M775" s="1188"/>
      <c r="N775" s="1185" t="str">
        <f>OBRA!AI777</f>
        <v>-</v>
      </c>
      <c r="O775" s="1185"/>
      <c r="P775" s="1185"/>
      <c r="Q775" s="1187"/>
      <c r="R775" s="437" t="str">
        <f>OBRA!AJ777</f>
        <v>-</v>
      </c>
      <c r="S775" s="535"/>
      <c r="T775" s="399" t="str">
        <f>OBRA!W777</f>
        <v>C. ROBERTO GARCÍA NAVARRO</v>
      </c>
      <c r="U775" s="408" t="str">
        <f>OBRA!X777</f>
        <v>C. IMELDA KARINA PÉREZ GONZÁLEZ</v>
      </c>
      <c r="V775" s="1090"/>
      <c r="W775" s="33" t="str">
        <f>OBRA!N777</f>
        <v>CPSP DOP 007/2024</v>
      </c>
      <c r="X775" s="1324"/>
      <c r="Y775" s="1202"/>
      <c r="Z775" s="409" t="str">
        <f>OBRA!M777</f>
        <v>CUENTA CORRIENTE</v>
      </c>
      <c r="AA775" s="1402"/>
      <c r="AB775" s="2" t="str">
        <f>OBRA!O777</f>
        <v>SERVICIOS</v>
      </c>
      <c r="AC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OBRA!R777</f>
        <v>5800</v>
      </c>
      <c r="AE775" s="6">
        <f>OBRA!S777</f>
        <v>45363</v>
      </c>
      <c r="AF775" s="5">
        <f>OBRA!T777</f>
        <v>45365</v>
      </c>
      <c r="AG775" s="11">
        <f>OBRA!U777</f>
        <v>45365</v>
      </c>
      <c r="AH775" s="207"/>
      <c r="AI775" s="161"/>
      <c r="AJ775" s="219"/>
      <c r="AK775" s="219"/>
      <c r="AL775" s="632"/>
      <c r="AM775" s="519">
        <f>GRAL!B1016</f>
        <v>0</v>
      </c>
    </row>
    <row r="776" spans="1:39" ht="150" hidden="1">
      <c r="A776" s="158">
        <f>OBRA!J778</f>
        <v>2024</v>
      </c>
      <c r="B776" s="1683"/>
      <c r="C776" s="411"/>
      <c r="D776" s="163"/>
      <c r="E776" s="1169"/>
      <c r="F776" s="1169"/>
      <c r="G776" s="1184"/>
      <c r="H776" s="1185" t="str">
        <f>OBRA!AF778</f>
        <v>-</v>
      </c>
      <c r="I776" s="1186"/>
      <c r="J776" s="1361" t="str">
        <f>OBRA!AG778</f>
        <v>-</v>
      </c>
      <c r="K776" s="1187"/>
      <c r="L776" s="1185" t="str">
        <f>OBRA!AH778</f>
        <v>-</v>
      </c>
      <c r="M776" s="1188"/>
      <c r="N776" s="1185" t="str">
        <f>OBRA!AI778</f>
        <v>-</v>
      </c>
      <c r="O776" s="1185"/>
      <c r="P776" s="1185"/>
      <c r="Q776" s="1187"/>
      <c r="R776" s="437" t="str">
        <f>OBRA!AJ778</f>
        <v>-</v>
      </c>
      <c r="S776" s="535"/>
      <c r="T776" s="399" t="str">
        <f>OBRA!W778</f>
        <v>ING. MARCO ANTONIO PAREDES RODRÍGUEZ</v>
      </c>
      <c r="U776" s="408" t="str">
        <f>OBRA!X778</f>
        <v>C. IMELDA KARINA PÉREZ GONZÁLEZ</v>
      </c>
      <c r="V776" s="1090"/>
      <c r="W776" s="33" t="str">
        <f>OBRA!N778</f>
        <v>CPSP DOP 008/2024</v>
      </c>
      <c r="X776" s="1324"/>
      <c r="Y776" s="1202"/>
      <c r="Z776" s="409" t="str">
        <f>OBRA!M778</f>
        <v>CUENTA CORRIENTE</v>
      </c>
      <c r="AA776" s="1402"/>
      <c r="AB776" s="2" t="str">
        <f>OBRA!O778</f>
        <v>SERVICIOS</v>
      </c>
      <c r="AC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OBRA!R778</f>
        <v>77546</v>
      </c>
      <c r="AE776" s="6">
        <f>OBRA!S778</f>
        <v>45362</v>
      </c>
      <c r="AF776" s="5">
        <f>OBRA!T778</f>
        <v>45363</v>
      </c>
      <c r="AG776" s="11">
        <f>OBRA!U778</f>
        <v>45364</v>
      </c>
      <c r="AH776" s="207"/>
      <c r="AI776" s="161"/>
      <c r="AJ776" s="219"/>
      <c r="AK776" s="219"/>
      <c r="AL776" s="632"/>
      <c r="AM776" s="519">
        <f>GRAL!B1017</f>
        <v>0</v>
      </c>
    </row>
    <row r="777" spans="1:39" ht="120" hidden="1">
      <c r="A777" s="158">
        <f>OBRA!J779</f>
        <v>2024</v>
      </c>
      <c r="B777" s="1683"/>
      <c r="C777" s="411"/>
      <c r="D777" s="163"/>
      <c r="E777" s="1169"/>
      <c r="F777" s="1169"/>
      <c r="G777" s="1184"/>
      <c r="H777" s="1185" t="str">
        <f>OBRA!AF779</f>
        <v>-</v>
      </c>
      <c r="I777" s="1186"/>
      <c r="J777" s="1361" t="str">
        <f>OBRA!AG779</f>
        <v>-</v>
      </c>
      <c r="K777" s="1187"/>
      <c r="L777" s="1185" t="str">
        <f>OBRA!AH779</f>
        <v>-</v>
      </c>
      <c r="M777" s="1188"/>
      <c r="N777" s="1185" t="str">
        <f>OBRA!AI779</f>
        <v>-</v>
      </c>
      <c r="O777" s="1185"/>
      <c r="P777" s="1185"/>
      <c r="Q777" s="1187"/>
      <c r="R777" s="437" t="str">
        <f>OBRA!AJ779</f>
        <v>-</v>
      </c>
      <c r="S777" s="535"/>
      <c r="T777" s="399" t="str">
        <f>OBRA!W779</f>
        <v>ING. SERGIO CABRERA</v>
      </c>
      <c r="U777" s="408" t="str">
        <f>OBRA!X779</f>
        <v>C. IMELDA KARINA PÉREZ GONZÁLEZ</v>
      </c>
      <c r="V777" s="1090"/>
      <c r="W777" s="33" t="str">
        <f>OBRA!N779</f>
        <v>CPSP DOP 009/2024</v>
      </c>
      <c r="X777" s="1324"/>
      <c r="Y777" s="1202"/>
      <c r="Z777" s="409" t="str">
        <f>OBRA!M779</f>
        <v>CUENTA CORRIENTE</v>
      </c>
      <c r="AA777" s="1402"/>
      <c r="AB777" s="2" t="str">
        <f>OBRA!O779</f>
        <v>SERVICIOS</v>
      </c>
      <c r="AC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OBRA!R779</f>
        <v>61479.999999999993</v>
      </c>
      <c r="AE777" s="6">
        <f>OBRA!S779</f>
        <v>45369</v>
      </c>
      <c r="AF777" s="5">
        <f>OBRA!T779</f>
        <v>45370</v>
      </c>
      <c r="AG777" s="11">
        <f>OBRA!U779</f>
        <v>45372</v>
      </c>
      <c r="AH777" s="207"/>
      <c r="AI777" s="161"/>
      <c r="AJ777" s="219"/>
      <c r="AK777" s="219"/>
      <c r="AL777" s="632"/>
      <c r="AM777" s="519">
        <f>GRAL!B1018</f>
        <v>0</v>
      </c>
    </row>
    <row r="778" spans="1:39" ht="90" hidden="1">
      <c r="A778" s="158">
        <f>OBRA!J780</f>
        <v>2024</v>
      </c>
      <c r="B778" s="1683"/>
      <c r="C778" s="411"/>
      <c r="D778" s="163"/>
      <c r="E778" s="1169"/>
      <c r="F778" s="1169"/>
      <c r="G778" s="1184"/>
      <c r="H778" s="1185" t="str">
        <f>OBRA!AF780</f>
        <v>-</v>
      </c>
      <c r="I778" s="1186"/>
      <c r="J778" s="1361" t="str">
        <f>OBRA!AG780</f>
        <v>-</v>
      </c>
      <c r="K778" s="1187"/>
      <c r="L778" s="1185" t="str">
        <f>OBRA!AH780</f>
        <v>-</v>
      </c>
      <c r="M778" s="1188"/>
      <c r="N778" s="1185" t="str">
        <f>OBRA!AI780</f>
        <v>-</v>
      </c>
      <c r="O778" s="1185"/>
      <c r="P778" s="1185"/>
      <c r="Q778" s="1187"/>
      <c r="R778" s="437" t="str">
        <f>OBRA!AJ780</f>
        <v>-</v>
      </c>
      <c r="S778" s="535"/>
      <c r="T778" s="399" t="str">
        <f>OBRA!W780</f>
        <v>C. JUAN CARLOS CHAIRES SALCEDO</v>
      </c>
      <c r="U778" s="408" t="str">
        <f>OBRA!X780</f>
        <v>C. IMELDA KARINA PÉREZ GONZÁLEZ</v>
      </c>
      <c r="V778" s="1090"/>
      <c r="W778" s="33" t="str">
        <f>OBRA!N780</f>
        <v>CPSP DOP 010/2024</v>
      </c>
      <c r="X778" s="1324"/>
      <c r="Y778" s="1202"/>
      <c r="Z778" s="409" t="str">
        <f>OBRA!M780</f>
        <v>CUENTA CORRIENTE</v>
      </c>
      <c r="AA778" s="1402"/>
      <c r="AB778" s="2" t="str">
        <f>OBRA!O780</f>
        <v>SERVICIOS</v>
      </c>
      <c r="AC778" s="3" t="str">
        <f>OBRA!P780</f>
        <v>CONTRATACIÓN DE SERVICIOS PROFEFESIONALES PARA: ALIMENTACIÓN ELÉCTRICA DE BASE 7-200 A PASTILLA GENERAL DEL POZO DE AGUA POTABLE UBICADO EN PRIV. GUADALUPE VICTORIA, EN LA LOCALIDAD DE SAN JUAN COSALÁ,  MUNICIPIO DE JOCOTEPEC, JALISCO.</v>
      </c>
      <c r="AD778" s="4">
        <f>OBRA!R780</f>
        <v>47923.079999999994</v>
      </c>
      <c r="AE778" s="6">
        <f>OBRA!S780</f>
        <v>45370</v>
      </c>
      <c r="AF778" s="5">
        <f>OBRA!T780</f>
        <v>45372</v>
      </c>
      <c r="AG778" s="11">
        <f>OBRA!U780</f>
        <v>45376</v>
      </c>
      <c r="AH778" s="207"/>
      <c r="AI778" s="161"/>
      <c r="AJ778" s="219"/>
      <c r="AK778" s="219"/>
      <c r="AL778" s="632"/>
      <c r="AM778" s="519">
        <f>GRAL!B1019</f>
        <v>0</v>
      </c>
    </row>
    <row r="779" spans="1:39" ht="240" hidden="1">
      <c r="A779" s="158">
        <f>OBRA!J781</f>
        <v>2024</v>
      </c>
      <c r="B779" s="1683"/>
      <c r="C779" s="411"/>
      <c r="D779" s="163"/>
      <c r="E779" s="1169"/>
      <c r="F779" s="1169"/>
      <c r="G779" s="1184"/>
      <c r="H779" s="1185" t="str">
        <f>OBRA!AF781</f>
        <v>-</v>
      </c>
      <c r="I779" s="1186"/>
      <c r="J779" s="1361" t="str">
        <f>OBRA!AG781</f>
        <v>-</v>
      </c>
      <c r="K779" s="1187"/>
      <c r="L779" s="1185" t="str">
        <f>OBRA!AH781</f>
        <v>-</v>
      </c>
      <c r="M779" s="1188"/>
      <c r="N779" s="1185" t="str">
        <f>OBRA!AI781</f>
        <v>-</v>
      </c>
      <c r="O779" s="1185"/>
      <c r="P779" s="1185"/>
      <c r="Q779" s="1187"/>
      <c r="R779" s="437" t="str">
        <f>OBRA!AJ781</f>
        <v>-</v>
      </c>
      <c r="S779" s="535"/>
      <c r="T779" s="399" t="str">
        <f>OBRA!W781</f>
        <v>ING. MARCO ANTONIO PAREDES RODRÍGUEZ</v>
      </c>
      <c r="U779" s="408" t="str">
        <f>OBRA!X781</f>
        <v>C. IMELDA KARINA PÉREZ GONZÁLEZ</v>
      </c>
      <c r="V779" s="1090"/>
      <c r="W779" s="33" t="str">
        <f>OBRA!N781</f>
        <v>CPSP DOP 011/2024</v>
      </c>
      <c r="X779" s="1324"/>
      <c r="Y779" s="1202"/>
      <c r="Z779" s="409" t="str">
        <f>OBRA!M781</f>
        <v>CUENTA CORRIENTE</v>
      </c>
      <c r="AA779" s="1402"/>
      <c r="AB779" s="2" t="str">
        <f>OBRA!O781</f>
        <v>SERVICIOS</v>
      </c>
      <c r="AC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OBRA!R781</f>
        <v>97208</v>
      </c>
      <c r="AE779" s="6">
        <f>OBRA!S781</f>
        <v>45383</v>
      </c>
      <c r="AF779" s="5">
        <f>OBRA!T781</f>
        <v>45384</v>
      </c>
      <c r="AG779" s="11">
        <f>OBRA!U781</f>
        <v>45386</v>
      </c>
      <c r="AH779" s="207"/>
      <c r="AI779" s="161"/>
      <c r="AJ779" s="219"/>
      <c r="AK779" s="219"/>
      <c r="AL779" s="632"/>
      <c r="AM779" s="519">
        <f>GRAL!B1020</f>
        <v>0</v>
      </c>
    </row>
    <row r="780" spans="1:39" ht="60" hidden="1">
      <c r="A780" s="158">
        <f>OBRA!J782</f>
        <v>2024</v>
      </c>
      <c r="B780" s="1683"/>
      <c r="C780" s="411"/>
      <c r="D780" s="163"/>
      <c r="E780" s="1169"/>
      <c r="F780" s="1169"/>
      <c r="G780" s="1184"/>
      <c r="H780" s="1185" t="str">
        <f>OBRA!AF782</f>
        <v>-</v>
      </c>
      <c r="I780" s="1186"/>
      <c r="J780" s="1361" t="str">
        <f>OBRA!AG782</f>
        <v>-</v>
      </c>
      <c r="K780" s="1187"/>
      <c r="L780" s="1185" t="str">
        <f>OBRA!AH782</f>
        <v>-</v>
      </c>
      <c r="M780" s="1188"/>
      <c r="N780" s="1185" t="str">
        <f>OBRA!AI782</f>
        <v>-</v>
      </c>
      <c r="O780" s="1185"/>
      <c r="P780" s="1185"/>
      <c r="Q780" s="1187"/>
      <c r="R780" s="437" t="str">
        <f>OBRA!AJ782</f>
        <v>-</v>
      </c>
      <c r="S780" s="535"/>
      <c r="T780" s="399" t="str">
        <f>OBRA!W782</f>
        <v>PERFORACIONES TEPATITLÁN, S.A. DE C.V.</v>
      </c>
      <c r="U780" s="408" t="str">
        <f>OBRA!X782</f>
        <v>C. IMELDA KARINA PÉREZ GONZÁLEZ</v>
      </c>
      <c r="V780" s="1090"/>
      <c r="W780" s="33" t="str">
        <f>OBRA!N782</f>
        <v>CPSP DOP 012/2024</v>
      </c>
      <c r="X780" s="1324"/>
      <c r="Y780" s="1202"/>
      <c r="Z780" s="409" t="str">
        <f>OBRA!M782</f>
        <v>CUENTA CORRIENTE</v>
      </c>
      <c r="AA780" s="1402"/>
      <c r="AB780" s="2" t="str">
        <f>OBRA!O782</f>
        <v>SERVICIOS</v>
      </c>
      <c r="AC780" s="3" t="str">
        <f>OBRA!P782</f>
        <v>"AFORO DE POZO PROFUNDO UBICADO EN CALLE MIGUEL ARANA CRUCE CON CALLE ALLENDE (ZONA CENTRO)", EN LA CABECERA MUNICIPAL DE JOCOTEPEC, JALISCO.</v>
      </c>
      <c r="AD780" s="4">
        <f>OBRA!R782</f>
        <v>174092.79999999999</v>
      </c>
      <c r="AE780" s="6">
        <f>OBRA!S782</f>
        <v>45400</v>
      </c>
      <c r="AF780" s="5">
        <f>OBRA!T782</f>
        <v>45404</v>
      </c>
      <c r="AG780" s="11">
        <f>OBRA!U782</f>
        <v>45408</v>
      </c>
      <c r="AH780" s="207"/>
      <c r="AI780" s="161"/>
      <c r="AJ780" s="219"/>
      <c r="AK780" s="219"/>
      <c r="AL780" s="632"/>
      <c r="AM780" s="519">
        <f>GRAL!B1021</f>
        <v>0</v>
      </c>
    </row>
    <row r="781" spans="1:39" ht="180" hidden="1">
      <c r="A781" s="158">
        <f>OBRA!J783</f>
        <v>2024</v>
      </c>
      <c r="B781" s="1683"/>
      <c r="C781" s="411"/>
      <c r="D781" s="163"/>
      <c r="E781" s="1169"/>
      <c r="F781" s="1169"/>
      <c r="G781" s="1184"/>
      <c r="H781" s="1185" t="str">
        <f>OBRA!AF783</f>
        <v>-</v>
      </c>
      <c r="I781" s="1186"/>
      <c r="J781" s="1361" t="str">
        <f>OBRA!AG783</f>
        <v>-</v>
      </c>
      <c r="K781" s="1187"/>
      <c r="L781" s="1185" t="str">
        <f>OBRA!AH783</f>
        <v>-</v>
      </c>
      <c r="M781" s="1188"/>
      <c r="N781" s="1185" t="str">
        <f>OBRA!AI783</f>
        <v>-</v>
      </c>
      <c r="O781" s="1185"/>
      <c r="P781" s="1185"/>
      <c r="Q781" s="1187"/>
      <c r="R781" s="437" t="str">
        <f>OBRA!AJ783</f>
        <v>-</v>
      </c>
      <c r="S781" s="535"/>
      <c r="T781" s="399" t="str">
        <f>OBRA!W783</f>
        <v xml:space="preserve">DORIA &amp; SAMPIER CONSTRUCTORA, S.A. DE C.V. </v>
      </c>
      <c r="U781" s="408" t="str">
        <f>OBRA!X783</f>
        <v>C. IMELDA KARINA PÉREZ GONZÁLEZ</v>
      </c>
      <c r="V781" s="1090"/>
      <c r="W781" s="33" t="str">
        <f>OBRA!N783</f>
        <v>CPSP DOP 013/2024</v>
      </c>
      <c r="X781" s="1324"/>
      <c r="Y781" s="1202"/>
      <c r="Z781" s="409" t="str">
        <f>OBRA!M783</f>
        <v>CUENTA CORRIENTE</v>
      </c>
      <c r="AA781" s="1402"/>
      <c r="AB781" s="2" t="str">
        <f>OBRA!O783</f>
        <v>SERVICIOS</v>
      </c>
      <c r="AC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OBRA!R783</f>
        <v>6380</v>
      </c>
      <c r="AE781" s="6">
        <f>OBRA!S783</f>
        <v>45399</v>
      </c>
      <c r="AF781" s="5">
        <f>OBRA!T783</f>
        <v>45400</v>
      </c>
      <c r="AG781" s="11">
        <f>OBRA!U783</f>
        <v>45401</v>
      </c>
      <c r="AH781" s="207"/>
      <c r="AI781" s="161"/>
      <c r="AJ781" s="219"/>
      <c r="AK781" s="219"/>
      <c r="AL781" s="632"/>
      <c r="AM781" s="519">
        <f>GRAL!B1022</f>
        <v>0</v>
      </c>
    </row>
    <row r="782" spans="1:39" ht="270" hidden="1">
      <c r="A782" s="158">
        <f>OBRA!J784</f>
        <v>2024</v>
      </c>
      <c r="B782" s="1683"/>
      <c r="C782" s="411"/>
      <c r="D782" s="163"/>
      <c r="E782" s="1169"/>
      <c r="F782" s="1169"/>
      <c r="G782" s="1184"/>
      <c r="H782" s="1185" t="str">
        <f>OBRA!AF784</f>
        <v>-</v>
      </c>
      <c r="I782" s="1186"/>
      <c r="J782" s="1361" t="str">
        <f>OBRA!AG784</f>
        <v>-</v>
      </c>
      <c r="K782" s="1187"/>
      <c r="L782" s="1185" t="str">
        <f>OBRA!AH784</f>
        <v>-</v>
      </c>
      <c r="M782" s="1188"/>
      <c r="N782" s="1185" t="str">
        <f>OBRA!AI784</f>
        <v>-</v>
      </c>
      <c r="O782" s="1185"/>
      <c r="P782" s="1185"/>
      <c r="Q782" s="1187"/>
      <c r="R782" s="437" t="str">
        <f>OBRA!AJ784</f>
        <v>-</v>
      </c>
      <c r="S782" s="535"/>
      <c r="T782" s="399" t="str">
        <f>OBRA!W784</f>
        <v xml:space="preserve">CICLOS GIP SC </v>
      </c>
      <c r="U782" s="408" t="str">
        <f>OBRA!X784</f>
        <v>C. IMELDA KARINA PÉREZ GONZÁLEZ</v>
      </c>
      <c r="V782" s="1090"/>
      <c r="W782" s="33" t="str">
        <f>OBRA!N784</f>
        <v>CPSP DOP 014/2024</v>
      </c>
      <c r="X782" s="1324"/>
      <c r="Y782" s="1202"/>
      <c r="Z782" s="409" t="str">
        <f>OBRA!M784</f>
        <v>CUENTA CORRIENTE</v>
      </c>
      <c r="AA782" s="1402"/>
      <c r="AB782" s="2" t="str">
        <f>OBRA!O784</f>
        <v>SERVICIOS</v>
      </c>
      <c r="AC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OBRA!R784</f>
        <v>23200</v>
      </c>
      <c r="AE782" s="6">
        <f>OBRA!S784</f>
        <v>45397</v>
      </c>
      <c r="AF782" s="5">
        <f>OBRA!T784</f>
        <v>45398</v>
      </c>
      <c r="AG782" s="11">
        <f>OBRA!U784</f>
        <v>45401</v>
      </c>
      <c r="AH782" s="207"/>
      <c r="AI782" s="161"/>
      <c r="AJ782" s="219"/>
      <c r="AK782" s="219"/>
      <c r="AL782" s="632"/>
      <c r="AM782" s="519">
        <f>GRAL!B1023</f>
        <v>0</v>
      </c>
    </row>
    <row r="783" spans="1:39" ht="180" hidden="1">
      <c r="A783" s="158">
        <f>OBRA!J785</f>
        <v>2024</v>
      </c>
      <c r="B783" s="1683"/>
      <c r="C783" s="411"/>
      <c r="D783" s="163"/>
      <c r="E783" s="1169"/>
      <c r="F783" s="1169"/>
      <c r="G783" s="1184"/>
      <c r="H783" s="1185" t="str">
        <f>OBRA!AF785</f>
        <v>-</v>
      </c>
      <c r="I783" s="1186"/>
      <c r="J783" s="1361" t="str">
        <f>OBRA!AG785</f>
        <v>-</v>
      </c>
      <c r="K783" s="1187"/>
      <c r="L783" s="1185" t="str">
        <f>OBRA!AH785</f>
        <v>-</v>
      </c>
      <c r="M783" s="1188"/>
      <c r="N783" s="1185" t="str">
        <f>OBRA!AI785</f>
        <v>-</v>
      </c>
      <c r="O783" s="1185"/>
      <c r="P783" s="1185"/>
      <c r="Q783" s="1187"/>
      <c r="R783" s="437" t="str">
        <f>OBRA!AJ785</f>
        <v>-</v>
      </c>
      <c r="S783" s="535"/>
      <c r="T783" s="399" t="str">
        <f>OBRA!W785</f>
        <v xml:space="preserve">DORIA &amp; SAMPIER CONSTRUCTORA, S.A. DE C.V. </v>
      </c>
      <c r="U783" s="408" t="str">
        <f>OBRA!X785</f>
        <v>C. IMELDA KARINA PÉREZ GONZÁLEZ</v>
      </c>
      <c r="V783" s="1090"/>
      <c r="W783" s="33" t="str">
        <f>OBRA!N785</f>
        <v>CPSP DOP 015/2024</v>
      </c>
      <c r="X783" s="1324"/>
      <c r="Y783" s="1202"/>
      <c r="Z783" s="409" t="str">
        <f>OBRA!M785</f>
        <v>CUENTA CORRIENTE</v>
      </c>
      <c r="AA783" s="1402"/>
      <c r="AB783" s="2" t="str">
        <f>OBRA!O785</f>
        <v>SERVICIOS</v>
      </c>
      <c r="AC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OBRA!R785</f>
        <v>6380</v>
      </c>
      <c r="AE783" s="6">
        <f>OBRA!S785</f>
        <v>45401</v>
      </c>
      <c r="AF783" s="5">
        <f>OBRA!T785</f>
        <v>45405</v>
      </c>
      <c r="AG783" s="11">
        <f>OBRA!U785</f>
        <v>45406</v>
      </c>
      <c r="AH783" s="207"/>
      <c r="AI783" s="161"/>
      <c r="AJ783" s="219"/>
      <c r="AK783" s="219"/>
      <c r="AL783" s="632"/>
      <c r="AM783" s="519">
        <f>GRAL!B1024</f>
        <v>0</v>
      </c>
    </row>
    <row r="784" spans="1:39" ht="60" hidden="1">
      <c r="A784" s="158">
        <f>OBRA!J786</f>
        <v>2024</v>
      </c>
      <c r="B784" s="1683"/>
      <c r="C784" s="411"/>
      <c r="D784" s="163"/>
      <c r="E784" s="1169"/>
      <c r="F784" s="1169"/>
      <c r="G784" s="1184"/>
      <c r="H784" s="1185" t="str">
        <f>OBRA!AF786</f>
        <v>-</v>
      </c>
      <c r="I784" s="1186"/>
      <c r="J784" s="1361" t="str">
        <f>OBRA!AG786</f>
        <v>-</v>
      </c>
      <c r="K784" s="1187"/>
      <c r="L784" s="1185" t="str">
        <f>OBRA!AH786</f>
        <v>-</v>
      </c>
      <c r="M784" s="1188"/>
      <c r="N784" s="1185" t="str">
        <f>OBRA!AI786</f>
        <v>-</v>
      </c>
      <c r="O784" s="1185"/>
      <c r="P784" s="1185"/>
      <c r="Q784" s="1187"/>
      <c r="R784" s="437" t="str">
        <f>OBRA!AJ786</f>
        <v>-</v>
      </c>
      <c r="S784" s="535"/>
      <c r="T784" s="399" t="str">
        <f>OBRA!W786</f>
        <v xml:space="preserve">CICLOS GIP SC </v>
      </c>
      <c r="U784" s="408" t="str">
        <f>OBRA!X786</f>
        <v>C. IMELDA KARINA PÉREZ GONZÁLEZ</v>
      </c>
      <c r="V784" s="1090"/>
      <c r="W784" s="33" t="str">
        <f>OBRA!N786</f>
        <v>CPSP DOP 016/2024</v>
      </c>
      <c r="X784" s="1324"/>
      <c r="Y784" s="1202"/>
      <c r="Z784" s="409" t="str">
        <f>OBRA!M786</f>
        <v>CUENTA CORRIENTE</v>
      </c>
      <c r="AA784" s="1402"/>
      <c r="AB784" s="2" t="str">
        <f>OBRA!O786</f>
        <v>SERVICIOS</v>
      </c>
      <c r="AC784" s="3" t="str">
        <f>OBRA!P786</f>
        <v>CONTRATACIÓN PARA REALIZAR: EL REGISTRO ELÉCTRICO EN POZO NUEVO DE AGUA POTABLE UBICADO EN CALLE MORELOS, EN LA CABECERA MUNICIPAL DE JOCTEPEC, JALISCO.</v>
      </c>
      <c r="AD784" s="4">
        <f>OBRA!R786</f>
        <v>19720</v>
      </c>
      <c r="AE784" s="6">
        <f>OBRA!S786</f>
        <v>45450</v>
      </c>
      <c r="AF784" s="5">
        <f>OBRA!T786</f>
        <v>45453</v>
      </c>
      <c r="AG784" s="11">
        <f>OBRA!U786</f>
        <v>45453</v>
      </c>
      <c r="AH784" s="207"/>
      <c r="AI784" s="161"/>
      <c r="AJ784" s="219"/>
      <c r="AK784" s="219"/>
      <c r="AL784" s="632"/>
      <c r="AM784" s="519">
        <f>GRAL!B1025</f>
        <v>0</v>
      </c>
    </row>
    <row r="785" spans="1:39" ht="405" hidden="1">
      <c r="A785" s="158">
        <f>OBRA!J787</f>
        <v>2024</v>
      </c>
      <c r="B785" s="1683"/>
      <c r="C785" s="411"/>
      <c r="D785" s="163"/>
      <c r="E785" s="1169"/>
      <c r="F785" s="1169"/>
      <c r="G785" s="1184"/>
      <c r="H785" s="1185" t="str">
        <f>OBRA!AF787</f>
        <v>-</v>
      </c>
      <c r="I785" s="1186"/>
      <c r="J785" s="1361" t="str">
        <f>OBRA!AG787</f>
        <v>-</v>
      </c>
      <c r="K785" s="1187"/>
      <c r="L785" s="1185" t="str">
        <f>OBRA!AH787</f>
        <v>-</v>
      </c>
      <c r="M785" s="1188"/>
      <c r="N785" s="1185" t="str">
        <f>OBRA!AI787</f>
        <v>-</v>
      </c>
      <c r="O785" s="1185"/>
      <c r="P785" s="1185"/>
      <c r="Q785" s="1187"/>
      <c r="R785" s="437" t="str">
        <f>OBRA!AJ787</f>
        <v>-</v>
      </c>
      <c r="S785" s="535"/>
      <c r="T785" s="399" t="str">
        <f>OBRA!W787</f>
        <v>ECCOC DE GUADALAJARA, S.A. DE C.V.</v>
      </c>
      <c r="U785" s="408" t="str">
        <f>OBRA!X787</f>
        <v>C. IMELDA KARINA PÉREZ GONZÁLEZ</v>
      </c>
      <c r="V785" s="1090"/>
      <c r="W785" s="33" t="str">
        <f>OBRA!N787</f>
        <v>CPSP DOP 017/2024</v>
      </c>
      <c r="X785" s="1324"/>
      <c r="Y785" s="1202"/>
      <c r="Z785" s="409" t="str">
        <f>OBRA!M787</f>
        <v>CUENTA CORRIENTE</v>
      </c>
      <c r="AA785" s="1402"/>
      <c r="AB785" s="2" t="str">
        <f>OBRA!O787</f>
        <v>SERVICIOS</v>
      </c>
      <c r="AC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OBRA!R787</f>
        <v>85747.199999999997</v>
      </c>
      <c r="AE785" s="6">
        <f>OBRA!S787</f>
        <v>45456</v>
      </c>
      <c r="AF785" s="5">
        <f>OBRA!T787</f>
        <v>45460</v>
      </c>
      <c r="AG785" s="11">
        <f>OBRA!U787</f>
        <v>45471</v>
      </c>
      <c r="AH785" s="207"/>
      <c r="AI785" s="161"/>
      <c r="AJ785" s="219"/>
      <c r="AK785" s="219"/>
      <c r="AL785" s="632"/>
      <c r="AM785" s="519">
        <f>GRAL!B1026</f>
        <v>0</v>
      </c>
    </row>
    <row r="786" spans="1:39" ht="180" hidden="1">
      <c r="A786" s="158">
        <f>OBRA!J788</f>
        <v>2024</v>
      </c>
      <c r="B786" s="1683"/>
      <c r="C786" s="411"/>
      <c r="D786" s="163"/>
      <c r="E786" s="1169"/>
      <c r="F786" s="1169"/>
      <c r="G786" s="1184"/>
      <c r="H786" s="1185" t="str">
        <f>OBRA!AF788</f>
        <v>-</v>
      </c>
      <c r="I786" s="1186"/>
      <c r="J786" s="1361" t="str">
        <f>OBRA!AG788</f>
        <v>-</v>
      </c>
      <c r="K786" s="1187"/>
      <c r="L786" s="1185" t="str">
        <f>OBRA!AH788</f>
        <v>-</v>
      </c>
      <c r="M786" s="1188"/>
      <c r="N786" s="1185" t="str">
        <f>OBRA!AI788</f>
        <v>-</v>
      </c>
      <c r="O786" s="1185"/>
      <c r="P786" s="1185"/>
      <c r="Q786" s="1187"/>
      <c r="R786" s="437" t="str">
        <f>OBRA!AJ788</f>
        <v>-</v>
      </c>
      <c r="S786" s="535"/>
      <c r="T786" s="399" t="str">
        <f>OBRA!W788</f>
        <v>ING. MARCO ANTONIO PAREDES RODRÍGUEZ</v>
      </c>
      <c r="U786" s="408" t="str">
        <f>OBRA!X788</f>
        <v>ING. LUIS RIGOBERTO OLMEDO NAVARRO</v>
      </c>
      <c r="V786" s="1090"/>
      <c r="W786" s="33" t="str">
        <f>OBRA!N788</f>
        <v>CPSP DOP 018/2024</v>
      </c>
      <c r="X786" s="1324"/>
      <c r="Y786" s="1202"/>
      <c r="Z786" s="409" t="str">
        <f>OBRA!M788</f>
        <v>CUENTA CORRIENTE</v>
      </c>
      <c r="AA786" s="1402"/>
      <c r="AB786" s="2" t="str">
        <f>OBRA!O788</f>
        <v>SERVICIOS</v>
      </c>
      <c r="AC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OBRA!R788</f>
        <v>39770</v>
      </c>
      <c r="AE786" s="6">
        <f>OBRA!S788</f>
        <v>45443</v>
      </c>
      <c r="AF786" s="5">
        <f>OBRA!T788</f>
        <v>45444</v>
      </c>
      <c r="AG786" s="11">
        <f>OBRA!U788</f>
        <v>45451</v>
      </c>
      <c r="AH786" s="207"/>
      <c r="AI786" s="161"/>
      <c r="AJ786" s="219"/>
      <c r="AK786" s="219"/>
      <c r="AL786" s="632"/>
      <c r="AM786" s="519">
        <f>GRAL!B1027</f>
        <v>0</v>
      </c>
    </row>
    <row r="787" spans="1:39" ht="135" hidden="1">
      <c r="A787" s="158">
        <f>OBRA!J789</f>
        <v>2024</v>
      </c>
      <c r="B787" s="1683"/>
      <c r="C787" s="411"/>
      <c r="D787" s="163"/>
      <c r="E787" s="1169"/>
      <c r="F787" s="1169"/>
      <c r="G787" s="1184"/>
      <c r="H787" s="1185" t="str">
        <f>OBRA!AF789</f>
        <v>-</v>
      </c>
      <c r="I787" s="1186"/>
      <c r="J787" s="1361" t="str">
        <f>OBRA!AG789</f>
        <v>-</v>
      </c>
      <c r="K787" s="1187"/>
      <c r="L787" s="1185" t="str">
        <f>OBRA!AH789</f>
        <v>-</v>
      </c>
      <c r="M787" s="1188"/>
      <c r="N787" s="1185" t="str">
        <f>OBRA!AI789</f>
        <v>-</v>
      </c>
      <c r="O787" s="1185"/>
      <c r="P787" s="1185"/>
      <c r="Q787" s="1187"/>
      <c r="R787" s="437" t="str">
        <f>OBRA!AJ789</f>
        <v>-</v>
      </c>
      <c r="S787" s="535"/>
      <c r="T787" s="399" t="str">
        <f>OBRA!W789</f>
        <v>ING. MARCO ANTONIO PAREDES RODRÍGUEZ</v>
      </c>
      <c r="U787" s="408" t="str">
        <f>OBRA!X789</f>
        <v>ING. LUIS RIGOBERTO OLMEDO NAVARRO</v>
      </c>
      <c r="V787" s="1090"/>
      <c r="W787" s="33" t="str">
        <f>OBRA!N789</f>
        <v>CPSP DOP 019/2024</v>
      </c>
      <c r="X787" s="1324"/>
      <c r="Y787" s="1202"/>
      <c r="Z787" s="409" t="str">
        <f>OBRA!M789</f>
        <v>CUENTA CORRIENTE</v>
      </c>
      <c r="AA787" s="1402"/>
      <c r="AB787" s="2" t="str">
        <f>OBRA!O789</f>
        <v>SERVICIOS</v>
      </c>
      <c r="AC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OBRA!R789</f>
        <v>46080</v>
      </c>
      <c r="AE787" s="6">
        <f>OBRA!S789</f>
        <v>45450</v>
      </c>
      <c r="AF787" s="5">
        <f>OBRA!T789</f>
        <v>45452</v>
      </c>
      <c r="AG787" s="11">
        <f>OBRA!U789</f>
        <v>45463</v>
      </c>
      <c r="AH787" s="207"/>
      <c r="AI787" s="161"/>
      <c r="AJ787" s="219"/>
      <c r="AK787" s="219"/>
      <c r="AL787" s="632"/>
      <c r="AM787" s="519">
        <f>GRAL!B1028</f>
        <v>0</v>
      </c>
    </row>
    <row r="788" spans="1:39" ht="165" hidden="1">
      <c r="A788" s="158">
        <f>OBRA!J790</f>
        <v>2024</v>
      </c>
      <c r="B788" s="1683"/>
      <c r="C788" s="411"/>
      <c r="D788" s="163"/>
      <c r="E788" s="1169"/>
      <c r="F788" s="1169"/>
      <c r="G788" s="1184"/>
      <c r="H788" s="1185" t="str">
        <f>OBRA!AF790</f>
        <v>-</v>
      </c>
      <c r="I788" s="1186"/>
      <c r="J788" s="1361" t="str">
        <f>OBRA!AG790</f>
        <v>-</v>
      </c>
      <c r="K788" s="1187"/>
      <c r="L788" s="1185" t="str">
        <f>OBRA!AH790</f>
        <v>-</v>
      </c>
      <c r="M788" s="1188"/>
      <c r="N788" s="1185" t="str">
        <f>OBRA!AI790</f>
        <v>-</v>
      </c>
      <c r="O788" s="1185"/>
      <c r="P788" s="1185"/>
      <c r="Q788" s="1187"/>
      <c r="R788" s="437" t="str">
        <f>OBRA!AJ790</f>
        <v>-</v>
      </c>
      <c r="S788" s="535"/>
      <c r="T788" s="399" t="str">
        <f>OBRA!W790</f>
        <v>PEDRO MORALES HERNÁNDEZ</v>
      </c>
      <c r="U788" s="408" t="str">
        <f>OBRA!X790</f>
        <v>C. DANIEL RODRIGUEZ VALENZUELA</v>
      </c>
      <c r="V788" s="1090"/>
      <c r="W788" s="33" t="str">
        <f>OBRA!N790</f>
        <v>CPSP DOP 020/2024</v>
      </c>
      <c r="X788" s="1324"/>
      <c r="Y788" s="1202"/>
      <c r="Z788" s="409" t="str">
        <f>OBRA!M790</f>
        <v>CUENTA CORRIENTE</v>
      </c>
      <c r="AA788" s="1402"/>
      <c r="AB788" s="2" t="str">
        <f>OBRA!O790</f>
        <v>SERVICIOS</v>
      </c>
      <c r="AC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OBRA!R790</f>
        <v>30159.999999999996</v>
      </c>
      <c r="AE788" s="6">
        <f>OBRA!S790</f>
        <v>45469</v>
      </c>
      <c r="AF788" s="5">
        <f>OBRA!T790</f>
        <v>45470</v>
      </c>
      <c r="AG788" s="11">
        <f>OBRA!U790</f>
        <v>45474</v>
      </c>
      <c r="AH788" s="207"/>
      <c r="AI788" s="161"/>
      <c r="AJ788" s="219"/>
      <c r="AK788" s="219"/>
      <c r="AL788" s="632"/>
      <c r="AM788" s="519">
        <f>GRAL!B1029</f>
        <v>0</v>
      </c>
    </row>
    <row r="789" spans="1:39" ht="135" hidden="1">
      <c r="A789" s="158">
        <f>OBRA!J791</f>
        <v>2024</v>
      </c>
      <c r="B789" s="1683"/>
      <c r="C789" s="411"/>
      <c r="D789" s="163"/>
      <c r="E789" s="1169"/>
      <c r="F789" s="1169"/>
      <c r="G789" s="1184"/>
      <c r="H789" s="1185" t="str">
        <f>OBRA!AF791</f>
        <v>-</v>
      </c>
      <c r="I789" s="1186"/>
      <c r="J789" s="1361" t="str">
        <f>OBRA!AG791</f>
        <v>-</v>
      </c>
      <c r="K789" s="1187"/>
      <c r="L789" s="1185" t="str">
        <f>OBRA!AH791</f>
        <v>-</v>
      </c>
      <c r="M789" s="1188"/>
      <c r="N789" s="1185" t="str">
        <f>OBRA!AI791</f>
        <v>-</v>
      </c>
      <c r="O789" s="1185"/>
      <c r="P789" s="1185"/>
      <c r="Q789" s="1187"/>
      <c r="R789" s="437" t="str">
        <f>OBRA!AJ791</f>
        <v>-</v>
      </c>
      <c r="S789" s="535"/>
      <c r="T789" s="399" t="str">
        <f>OBRA!W791</f>
        <v>ING. MARCO ANTONIO PAREDES RODRÍGUEZ</v>
      </c>
      <c r="U789" s="408" t="str">
        <f>OBRA!X791</f>
        <v>ING. LUIS RIGOBERTO OLMEDO NAVARRO</v>
      </c>
      <c r="V789" s="1090"/>
      <c r="W789" s="33" t="str">
        <f>OBRA!N791</f>
        <v>CPSP DOP 021/2024</v>
      </c>
      <c r="X789" s="1324"/>
      <c r="Y789" s="1202"/>
      <c r="Z789" s="409" t="str">
        <f>OBRA!M791</f>
        <v>CUENTA CORRIENTE</v>
      </c>
      <c r="AA789" s="1402"/>
      <c r="AB789" s="2" t="str">
        <f>OBRA!O791</f>
        <v>SERVICIOS</v>
      </c>
      <c r="AC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OBRA!R791</f>
        <v>31180.799999999999</v>
      </c>
      <c r="AE789" s="6">
        <f>OBRA!S791</f>
        <v>45463</v>
      </c>
      <c r="AF789" s="5">
        <f>OBRA!T791</f>
        <v>45464</v>
      </c>
      <c r="AG789" s="11">
        <f>OBRA!U791</f>
        <v>45470</v>
      </c>
      <c r="AH789" s="207"/>
      <c r="AI789" s="161"/>
      <c r="AJ789" s="219"/>
      <c r="AK789" s="219"/>
      <c r="AL789" s="632"/>
      <c r="AM789" s="519">
        <f>GRAL!B1030</f>
        <v>0</v>
      </c>
    </row>
    <row r="790" spans="1:39" ht="180" hidden="1">
      <c r="A790" s="158">
        <f>OBRA!J792</f>
        <v>2024</v>
      </c>
      <c r="B790" s="1683"/>
      <c r="C790" s="411"/>
      <c r="D790" s="163"/>
      <c r="E790" s="1169"/>
      <c r="F790" s="1169"/>
      <c r="G790" s="1184"/>
      <c r="H790" s="1185" t="str">
        <f>OBRA!AF792</f>
        <v>-</v>
      </c>
      <c r="I790" s="1186"/>
      <c r="J790" s="1361" t="str">
        <f>OBRA!AG792</f>
        <v>-</v>
      </c>
      <c r="K790" s="1187"/>
      <c r="L790" s="1185" t="str">
        <f>OBRA!AH792</f>
        <v>-</v>
      </c>
      <c r="M790" s="1188"/>
      <c r="N790" s="1185" t="str">
        <f>OBRA!AI792</f>
        <v>-</v>
      </c>
      <c r="O790" s="1185"/>
      <c r="P790" s="1185"/>
      <c r="Q790" s="1187"/>
      <c r="R790" s="437" t="str">
        <f>OBRA!AJ792</f>
        <v>-</v>
      </c>
      <c r="S790" s="535"/>
      <c r="T790" s="399" t="str">
        <f>OBRA!W792</f>
        <v>C. CESAR EDUARDO LOMELÍ VALDÉZ</v>
      </c>
      <c r="U790" s="408" t="str">
        <f>OBRA!X792</f>
        <v>ARQ. JAIME CONDE GOMEZ</v>
      </c>
      <c r="V790" s="1090"/>
      <c r="W790" s="33" t="str">
        <f>OBRA!N792</f>
        <v>CPSP DOP 022/2024</v>
      </c>
      <c r="X790" s="1324"/>
      <c r="Y790" s="1202"/>
      <c r="Z790" s="409" t="str">
        <f>OBRA!M792</f>
        <v>CUENTA CORRIENTE</v>
      </c>
      <c r="AA790" s="1402"/>
      <c r="AB790" s="2" t="str">
        <f>OBRA!O792</f>
        <v>SERVICIOS</v>
      </c>
      <c r="AC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OBRA!R792</f>
        <v>205842</v>
      </c>
      <c r="AE790" s="6">
        <f>OBRA!S792</f>
        <v>45502</v>
      </c>
      <c r="AF790" s="5">
        <f>OBRA!T792</f>
        <v>45503</v>
      </c>
      <c r="AG790" s="11">
        <f>OBRA!U792</f>
        <v>45517</v>
      </c>
      <c r="AH790" s="207"/>
      <c r="AI790" s="161"/>
      <c r="AJ790" s="219"/>
      <c r="AK790" s="219"/>
      <c r="AL790" s="632"/>
      <c r="AM790" s="519">
        <f>GRAL!B1031</f>
        <v>0</v>
      </c>
    </row>
    <row r="791" spans="1:39" ht="90" hidden="1">
      <c r="A791" s="158">
        <f>OBRA!J793</f>
        <v>2024</v>
      </c>
      <c r="B791" s="1683"/>
      <c r="C791" s="411"/>
      <c r="D791" s="163"/>
      <c r="E791" s="1169"/>
      <c r="F791" s="1169"/>
      <c r="G791" s="1184"/>
      <c r="H791" s="1185" t="str">
        <f>OBRA!AF793</f>
        <v>-</v>
      </c>
      <c r="I791" s="1186"/>
      <c r="J791" s="1361" t="str">
        <f>OBRA!AG793</f>
        <v>-</v>
      </c>
      <c r="K791" s="1187"/>
      <c r="L791" s="1185" t="str">
        <f>OBRA!AH793</f>
        <v>-</v>
      </c>
      <c r="M791" s="1188"/>
      <c r="N791" s="1185" t="str">
        <f>OBRA!AI793</f>
        <v>-</v>
      </c>
      <c r="O791" s="1185"/>
      <c r="P791" s="1185"/>
      <c r="Q791" s="1187"/>
      <c r="R791" s="437" t="str">
        <f>OBRA!AJ793</f>
        <v>-</v>
      </c>
      <c r="S791" s="535"/>
      <c r="T791" s="399" t="str">
        <f>OBRA!W793</f>
        <v>C. CESAR EDUARDO LOMELÍ VALDÉZ</v>
      </c>
      <c r="U791" s="408" t="str">
        <f>OBRA!X793</f>
        <v>C. IMELDA KARINA PÉREZ GONZÁLEZ</v>
      </c>
      <c r="V791" s="1090"/>
      <c r="W791" s="33" t="str">
        <f>OBRA!N793</f>
        <v>CPSP DOP 023/2024</v>
      </c>
      <c r="X791" s="1324"/>
      <c r="Y791" s="1202"/>
      <c r="Z791" s="409" t="str">
        <f>OBRA!M793</f>
        <v>CUENTA CORRIENTE</v>
      </c>
      <c r="AA791" s="1402"/>
      <c r="AB791" s="2" t="str">
        <f>OBRA!O793</f>
        <v>SERVICIOS</v>
      </c>
      <c r="AC791" s="3" t="str">
        <f>OBRA!P793</f>
        <v>CONTRATACIÓN DEL SERVICIO PARA LOS TRÁMITES DE GESTORÍA PARA EL AUMENTO DE CARGA DEL POZO DE AGUA POTABLE UBICASO EN PRIV. JUAN PABLO II, EN LA LOCALIDAD DE SAN JUAN COSALÁ, MUNICIPIO DE JOCOTEPEC, JALISCO.</v>
      </c>
      <c r="AD791" s="4">
        <f>OBRA!R793</f>
        <v>28419.999999999996</v>
      </c>
      <c r="AE791" s="6">
        <f>OBRA!S793</f>
        <v>45520</v>
      </c>
      <c r="AF791" s="5">
        <f>OBRA!T793</f>
        <v>45524</v>
      </c>
      <c r="AG791" s="11">
        <f>OBRA!U793</f>
        <v>45530</v>
      </c>
      <c r="AH791" s="207"/>
      <c r="AI791" s="161"/>
      <c r="AJ791" s="219"/>
      <c r="AK791" s="219"/>
      <c r="AL791" s="632"/>
      <c r="AM791" s="519">
        <f>GRAL!B1032</f>
        <v>0</v>
      </c>
    </row>
    <row r="792" spans="1:39" ht="60" hidden="1">
      <c r="A792" s="158">
        <f>OBRA!J794</f>
        <v>2024</v>
      </c>
      <c r="B792" s="1683"/>
      <c r="C792" s="411"/>
      <c r="D792" s="163"/>
      <c r="E792" s="1169"/>
      <c r="F792" s="1169"/>
      <c r="G792" s="1184"/>
      <c r="H792" s="1185" t="str">
        <f>OBRA!AF794</f>
        <v>-</v>
      </c>
      <c r="I792" s="1186"/>
      <c r="J792" s="1361" t="str">
        <f>OBRA!AG794</f>
        <v>-</v>
      </c>
      <c r="K792" s="1187"/>
      <c r="L792" s="1185" t="str">
        <f>OBRA!AH794</f>
        <v>-</v>
      </c>
      <c r="M792" s="1188"/>
      <c r="N792" s="1185" t="str">
        <f>OBRA!AI794</f>
        <v>-</v>
      </c>
      <c r="O792" s="1185"/>
      <c r="P792" s="1185"/>
      <c r="Q792" s="1187"/>
      <c r="R792" s="437" t="str">
        <f>OBRA!AJ794</f>
        <v>-</v>
      </c>
      <c r="S792" s="535"/>
      <c r="T792" s="399" t="str">
        <f>OBRA!W794</f>
        <v>ECCOC DE GUADALAJARA, S.A. DE C.V.</v>
      </c>
      <c r="U792" s="408" t="str">
        <f>OBRA!X794</f>
        <v>C. IMELDA KARINA PÉREZ GONZÁLEZ</v>
      </c>
      <c r="V792" s="1090"/>
      <c r="W792" s="33" t="str">
        <f>OBRA!N794</f>
        <v>CPSP DOP 024/2024</v>
      </c>
      <c r="X792" s="1324"/>
      <c r="Y792" s="1202"/>
      <c r="Z792" s="409" t="str">
        <f>OBRA!M794</f>
        <v>CUENTA CORRIENTE</v>
      </c>
      <c r="AA792" s="1402"/>
      <c r="AB792" s="2" t="str">
        <f>OBRA!O794</f>
        <v>SERVICIOS</v>
      </c>
      <c r="AC792" s="3" t="str">
        <f>OBRA!P794</f>
        <v>CONTRATACIÓN DE SERVICIO PARA REALIZAR ESTUDIO DE MATERIALES PARA LA BASE HIDRÁULICA EN CALLE MATAMOROS SUR, EN LA CABECERA MUNICIPAL DE JOCOTEPEC, JALISCO.</v>
      </c>
      <c r="AD792" s="4">
        <f>OBRA!R794</f>
        <v>13919.999999999998</v>
      </c>
      <c r="AE792" s="6">
        <f>OBRA!S794</f>
        <v>45520</v>
      </c>
      <c r="AF792" s="5">
        <f>OBRA!T794</f>
        <v>45523</v>
      </c>
      <c r="AG792" s="11">
        <f>OBRA!U794</f>
        <v>45524</v>
      </c>
      <c r="AH792" s="207"/>
      <c r="AI792" s="161"/>
      <c r="AJ792" s="219"/>
      <c r="AK792" s="219"/>
      <c r="AL792" s="632"/>
      <c r="AM792" s="519">
        <f>GRAL!B1033</f>
        <v>0</v>
      </c>
    </row>
    <row r="793" spans="1:39" ht="120" hidden="1">
      <c r="A793" s="158">
        <f>OBRA!J795</f>
        <v>2024</v>
      </c>
      <c r="B793" s="1683"/>
      <c r="C793" s="411"/>
      <c r="D793" s="163"/>
      <c r="E793" s="1169"/>
      <c r="F793" s="1169"/>
      <c r="G793" s="1184"/>
      <c r="H793" s="1185" t="str">
        <f>OBRA!AF795</f>
        <v>-</v>
      </c>
      <c r="I793" s="1186"/>
      <c r="J793" s="1361" t="str">
        <f>OBRA!AG795</f>
        <v>-</v>
      </c>
      <c r="K793" s="1187"/>
      <c r="L793" s="1185" t="str">
        <f>OBRA!AH795</f>
        <v>-</v>
      </c>
      <c r="M793" s="1188"/>
      <c r="N793" s="1185" t="str">
        <f>OBRA!AI795</f>
        <v>-</v>
      </c>
      <c r="O793" s="1185"/>
      <c r="P793" s="1185"/>
      <c r="Q793" s="1187"/>
      <c r="R793" s="437" t="str">
        <f>OBRA!AJ795</f>
        <v>-</v>
      </c>
      <c r="S793" s="535"/>
      <c r="T793" s="399" t="str">
        <f>OBRA!W795</f>
        <v>ING. MARCO ANTONIO PAREDES RODRÍGUEZ</v>
      </c>
      <c r="U793" s="408" t="str">
        <f>OBRA!X795</f>
        <v>C. IMELDA KARINA PÉREZ GONZÁLEZ</v>
      </c>
      <c r="V793" s="1090"/>
      <c r="W793" s="33" t="str">
        <f>OBRA!N795</f>
        <v>CPSP DOP 025/2024</v>
      </c>
      <c r="X793" s="1324"/>
      <c r="Y793" s="1202"/>
      <c r="Z793" s="409" t="str">
        <f>OBRA!M795</f>
        <v>CUENTA CORRIENTE</v>
      </c>
      <c r="AA793" s="1402"/>
      <c r="AB793" s="2" t="str">
        <f>OBRA!O795</f>
        <v>SERVICIOS</v>
      </c>
      <c r="AC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OBRA!R795</f>
        <v>32479.999999999996</v>
      </c>
      <c r="AE793" s="6">
        <f>OBRA!S795</f>
        <v>45533</v>
      </c>
      <c r="AF793" s="5">
        <f>OBRA!T795</f>
        <v>45537</v>
      </c>
      <c r="AG793" s="11">
        <f>OBRA!U795</f>
        <v>45538</v>
      </c>
      <c r="AH793" s="207"/>
      <c r="AI793" s="161"/>
      <c r="AJ793" s="219"/>
      <c r="AK793" s="219"/>
      <c r="AL793" s="632"/>
      <c r="AM793" s="519">
        <f>GRAL!B1034</f>
        <v>0</v>
      </c>
    </row>
    <row r="794" spans="1:39" ht="120" hidden="1">
      <c r="A794" s="158">
        <f>OBRA!J796</f>
        <v>2024</v>
      </c>
      <c r="B794" s="1683"/>
      <c r="C794" s="411"/>
      <c r="D794" s="163"/>
      <c r="E794" s="1169"/>
      <c r="F794" s="1169"/>
      <c r="G794" s="1184"/>
      <c r="H794" s="1185" t="str">
        <f>OBRA!AF796</f>
        <v>-</v>
      </c>
      <c r="I794" s="1186"/>
      <c r="J794" s="1361" t="str">
        <f>OBRA!AG796</f>
        <v>-</v>
      </c>
      <c r="K794" s="1187"/>
      <c r="L794" s="1185" t="str">
        <f>OBRA!AH796</f>
        <v>-</v>
      </c>
      <c r="M794" s="1188"/>
      <c r="N794" s="1185" t="str">
        <f>OBRA!AI796</f>
        <v>-</v>
      </c>
      <c r="O794" s="1185"/>
      <c r="P794" s="1185"/>
      <c r="Q794" s="1187"/>
      <c r="R794" s="437" t="str">
        <f>OBRA!AJ796</f>
        <v>-</v>
      </c>
      <c r="S794" s="535"/>
      <c r="T794" s="399" t="str">
        <f>OBRA!W796</f>
        <v>ING. MARCO ANTONIO PAREDES RODRÍGUEZ</v>
      </c>
      <c r="U794" s="408" t="str">
        <f>OBRA!X796</f>
        <v>C. IMELDA KARINA PÉREZ GONZÁLEZ</v>
      </c>
      <c r="V794" s="1090"/>
      <c r="W794" s="33" t="str">
        <f>OBRA!N796</f>
        <v>CPSP DOP 026/2024</v>
      </c>
      <c r="X794" s="1324"/>
      <c r="Y794" s="1202"/>
      <c r="Z794" s="409" t="str">
        <f>OBRA!M796</f>
        <v>CUENTA CORRIENTE</v>
      </c>
      <c r="AA794" s="1402"/>
      <c r="AB794" s="2" t="str">
        <f>OBRA!O796</f>
        <v>SERVICIOS</v>
      </c>
      <c r="AC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OBRA!R796</f>
        <v>30125.199999999997</v>
      </c>
      <c r="AE794" s="6">
        <f>OBRA!S796</f>
        <v>45533</v>
      </c>
      <c r="AF794" s="5">
        <f>OBRA!T796</f>
        <v>45539</v>
      </c>
      <c r="AG794" s="11">
        <f>OBRA!U796</f>
        <v>45540</v>
      </c>
      <c r="AH794" s="207"/>
      <c r="AI794" s="161"/>
      <c r="AJ794" s="219"/>
      <c r="AK794" s="219"/>
      <c r="AL794" s="632"/>
      <c r="AM794" s="519">
        <f>GRAL!B1035</f>
        <v>0</v>
      </c>
    </row>
    <row r="795" spans="1:39" ht="34.5" hidden="1">
      <c r="A795" s="158" t="e">
        <f>OBRA!#REF!</f>
        <v>#REF!</v>
      </c>
      <c r="B795" s="1683"/>
      <c r="C795" s="411"/>
      <c r="D795" s="163"/>
      <c r="E795" s="1169"/>
      <c r="F795" s="1169"/>
      <c r="G795" s="1184"/>
      <c r="H795" s="1185" t="e">
        <f>OBRA!#REF!</f>
        <v>#REF!</v>
      </c>
      <c r="I795" s="1186"/>
      <c r="J795" s="1361" t="e">
        <f>OBRA!#REF!</f>
        <v>#REF!</v>
      </c>
      <c r="K795" s="1187"/>
      <c r="L795" s="1185" t="e">
        <f>OBRA!#REF!</f>
        <v>#REF!</v>
      </c>
      <c r="M795" s="1188"/>
      <c r="N795" s="1185" t="e">
        <f>OBRA!#REF!</f>
        <v>#REF!</v>
      </c>
      <c r="O795" s="1185"/>
      <c r="P795" s="1185"/>
      <c r="Q795" s="1187"/>
      <c r="R795" s="437" t="e">
        <f>OBRA!#REF!</f>
        <v>#REF!</v>
      </c>
      <c r="S795" s="535"/>
      <c r="T795" s="399" t="e">
        <f>OBRA!#REF!</f>
        <v>#REF!</v>
      </c>
      <c r="U795" s="408" t="e">
        <f>OBRA!#REF!</f>
        <v>#REF!</v>
      </c>
      <c r="V795" s="1090"/>
      <c r="W795" s="33" t="e">
        <f>OBRA!#REF!</f>
        <v>#REF!</v>
      </c>
      <c r="X795" s="1324"/>
      <c r="Y795" s="1202"/>
      <c r="Z795" s="409" t="e">
        <f>OBRA!#REF!</f>
        <v>#REF!</v>
      </c>
      <c r="AA795" s="1402"/>
      <c r="AB795" s="2" t="e">
        <f>OBRA!#REF!</f>
        <v>#REF!</v>
      </c>
      <c r="AC795" s="3" t="e">
        <f>OBRA!#REF!</f>
        <v>#REF!</v>
      </c>
      <c r="AD795" s="4" t="e">
        <f>OBRA!#REF!</f>
        <v>#REF!</v>
      </c>
      <c r="AE795" s="6" t="e">
        <f>OBRA!#REF!</f>
        <v>#REF!</v>
      </c>
      <c r="AF795" s="5" t="e">
        <f>OBRA!#REF!</f>
        <v>#REF!</v>
      </c>
      <c r="AG795" s="11" t="e">
        <f>OBRA!#REF!</f>
        <v>#REF!</v>
      </c>
      <c r="AH795" s="207"/>
      <c r="AI795" s="161"/>
      <c r="AJ795" s="219"/>
      <c r="AK795" s="219"/>
      <c r="AL795" s="632"/>
      <c r="AM795" s="519">
        <f>GRAL!B1036</f>
        <v>0</v>
      </c>
    </row>
    <row r="796" spans="1:39" ht="75" hidden="1">
      <c r="A796" s="158">
        <f>OBRA!J797</f>
        <v>2024</v>
      </c>
      <c r="B796" s="1683"/>
      <c r="C796" s="411"/>
      <c r="D796" s="163"/>
      <c r="E796" s="1169"/>
      <c r="F796" s="1169"/>
      <c r="G796" s="1184"/>
      <c r="H796" s="1185" t="str">
        <f>OBRA!AF797</f>
        <v>-</v>
      </c>
      <c r="I796" s="1186"/>
      <c r="J796" s="1361" t="str">
        <f>OBRA!AG797</f>
        <v>-</v>
      </c>
      <c r="K796" s="1187"/>
      <c r="L796" s="1185" t="str">
        <f>OBRA!AH797</f>
        <v>-</v>
      </c>
      <c r="M796" s="1188"/>
      <c r="N796" s="1185" t="str">
        <f>OBRA!AI797</f>
        <v>-</v>
      </c>
      <c r="O796" s="1185"/>
      <c r="P796" s="1185"/>
      <c r="Q796" s="1187"/>
      <c r="R796" s="437" t="str">
        <f>OBRA!AJ797</f>
        <v>-</v>
      </c>
      <c r="S796" s="535"/>
      <c r="T796" s="399" t="str">
        <f>OBRA!W797</f>
        <v>ING. SERGIO CABRERA</v>
      </c>
      <c r="U796" s="408" t="str">
        <f>OBRA!X797</f>
        <v>ING. LUIS RIGOBERTO OLMEDO NAVARRO</v>
      </c>
      <c r="V796" s="1090"/>
      <c r="W796" s="33" t="str">
        <f>OBRA!N797</f>
        <v>C- OP 001/2024</v>
      </c>
      <c r="X796" s="1324"/>
      <c r="Y796" s="1202"/>
      <c r="Z796" s="409" t="str">
        <f>OBRA!M797</f>
        <v>CUENTA CORRIENTE</v>
      </c>
      <c r="AA796" s="1402"/>
      <c r="AB796" s="2" t="str">
        <f>OBRA!O797</f>
        <v>ARRENDAMIENTO</v>
      </c>
      <c r="AC796" s="3" t="str">
        <f>OBRA!P797</f>
        <v>RENTA DE UNA EXCAVADORA SOBRE ORUGAS CATERPILLAR 336E Y CAMIÓN DE VOLTEO DE 14M3, PARA LA LIMPIEZA A LA ORILLA DE LA PLAYA EN LA ZONA DEL MALECÓN DE SAN JUAN COSALÁ, MUNICIPIO DE JOCOTEPEC, JALISCO.</v>
      </c>
      <c r="AD796" s="4">
        <f>OBRA!R797</f>
        <v>3943.9999999999995</v>
      </c>
      <c r="AE796" s="6">
        <f>OBRA!S797</f>
        <v>45341</v>
      </c>
      <c r="AF796" s="5">
        <f>OBRA!T797</f>
        <v>45343</v>
      </c>
      <c r="AG796" s="11">
        <f>OBRA!U797</f>
        <v>45349</v>
      </c>
      <c r="AH796" s="207"/>
      <c r="AI796" s="161"/>
      <c r="AJ796" s="219"/>
      <c r="AK796" s="219"/>
      <c r="AL796" s="632"/>
      <c r="AM796" s="519">
        <f>GRAL!B1020</f>
        <v>0</v>
      </c>
    </row>
    <row r="797" spans="1:39" ht="90" hidden="1">
      <c r="A797" s="158">
        <f>OBRA!J798</f>
        <v>2024</v>
      </c>
      <c r="B797" s="1683"/>
      <c r="C797" s="411"/>
      <c r="D797" s="163"/>
      <c r="E797" s="1169"/>
      <c r="F797" s="1169"/>
      <c r="G797" s="1184"/>
      <c r="H797" s="1185" t="str">
        <f>OBRA!AF798</f>
        <v>-</v>
      </c>
      <c r="I797" s="1186"/>
      <c r="J797" s="1361" t="str">
        <f>OBRA!AG798</f>
        <v>-</v>
      </c>
      <c r="K797" s="1187"/>
      <c r="L797" s="1185" t="str">
        <f>OBRA!AH798</f>
        <v>-</v>
      </c>
      <c r="M797" s="1188"/>
      <c r="N797" s="1185" t="str">
        <f>OBRA!AI798</f>
        <v>-</v>
      </c>
      <c r="O797" s="1185"/>
      <c r="P797" s="1185"/>
      <c r="Q797" s="1187"/>
      <c r="R797" s="437" t="str">
        <f>OBRA!AJ798</f>
        <v>-</v>
      </c>
      <c r="S797" s="535"/>
      <c r="T797" s="399" t="str">
        <f>OBRA!W798</f>
        <v>ING. SERGIO CABRERA</v>
      </c>
      <c r="U797" s="408" t="str">
        <f>OBRA!X798</f>
        <v>C. IMELDA KARINA PÉREZ GONZÁLEZ</v>
      </c>
      <c r="V797" s="1090"/>
      <c r="W797" s="33" t="str">
        <f>OBRA!N798</f>
        <v>C- OP 002/2024</v>
      </c>
      <c r="X797" s="1324"/>
      <c r="Y797" s="1202"/>
      <c r="Z797" s="409" t="str">
        <f>OBRA!M798</f>
        <v>CUENTA CORRIENTE</v>
      </c>
      <c r="AA797" s="1402"/>
      <c r="AB797" s="2" t="str">
        <f>OBRA!O798</f>
        <v>ARRENDAMIENTO</v>
      </c>
      <c r="AC797" s="3" t="str">
        <f>OBRA!P798</f>
        <v>RENTA DE UNA MOTOCONFORMADORA CATERPILLAR 160 Y UNA PIPA DE 10,000 LITROS MARCA INTERNATIONAL, PARA LA CONFORMACIÓN DE BASE EN CALLE COLÓN SUR, EN LA CABECERA MUNICIPAL DE JOCOTEPEC, JALISCO.</v>
      </c>
      <c r="AD797" s="4">
        <f>OBRA!R798</f>
        <v>2204</v>
      </c>
      <c r="AE797" s="6">
        <f>OBRA!S798</f>
        <v>45345</v>
      </c>
      <c r="AF797" s="5">
        <f>OBRA!T798</f>
        <v>45348</v>
      </c>
      <c r="AG797" s="11">
        <f>OBRA!U798</f>
        <v>45350</v>
      </c>
      <c r="AH797" s="207"/>
      <c r="AI797" s="161"/>
      <c r="AJ797" s="219"/>
      <c r="AK797" s="219"/>
      <c r="AL797" s="632"/>
      <c r="AM797" s="519">
        <f>GRAL!B1021</f>
        <v>0</v>
      </c>
    </row>
    <row r="798" spans="1:39" ht="90" hidden="1">
      <c r="A798" s="158">
        <f>OBRA!J799</f>
        <v>2024</v>
      </c>
      <c r="B798" s="1683"/>
      <c r="C798" s="411"/>
      <c r="D798" s="163"/>
      <c r="E798" s="1169"/>
      <c r="F798" s="1169"/>
      <c r="G798" s="1184"/>
      <c r="H798" s="1185" t="str">
        <f>OBRA!AF799</f>
        <v>-</v>
      </c>
      <c r="I798" s="1186"/>
      <c r="J798" s="1361" t="str">
        <f>OBRA!AG799</f>
        <v>-</v>
      </c>
      <c r="K798" s="1187"/>
      <c r="L798" s="1185" t="str">
        <f>OBRA!AH799</f>
        <v>-</v>
      </c>
      <c r="M798" s="1188"/>
      <c r="N798" s="1185" t="str">
        <f>OBRA!AI799</f>
        <v>-</v>
      </c>
      <c r="O798" s="1185"/>
      <c r="P798" s="1185"/>
      <c r="Q798" s="1187"/>
      <c r="R798" s="437" t="str">
        <f>OBRA!AJ799</f>
        <v>-</v>
      </c>
      <c r="S798" s="535"/>
      <c r="T798" s="399" t="str">
        <f>OBRA!W799</f>
        <v xml:space="preserve">DORIA &amp; SAMPIER CONSTRUCTORA, S.A. DE C.V. </v>
      </c>
      <c r="U798" s="408" t="str">
        <f>OBRA!X799</f>
        <v>C. IMELDA KARINA PÉREZ GONZÁLEZ</v>
      </c>
      <c r="V798" s="1090"/>
      <c r="W798" s="33" t="str">
        <f>OBRA!N799</f>
        <v>C- OP 003/2024</v>
      </c>
      <c r="X798" s="1324"/>
      <c r="Y798" s="1202"/>
      <c r="Z798" s="409" t="str">
        <f>OBRA!M799</f>
        <v>CUENTA CORRIENTE</v>
      </c>
      <c r="AA798" s="1402"/>
      <c r="AB798" s="2" t="str">
        <f>OBRA!O799</f>
        <v>ARRENDAMIENTO</v>
      </c>
      <c r="AC798" s="3" t="str">
        <f>OBRA!P799</f>
        <v>RENTA DE UNA RETROEXCAVADORA CARTEPILLAR 416E, PARA RECONEXIÓN DE DESCARGA DOMICILIARÍA EN TELESECUNDARÍA ENTRE CALLE ZARAGOZA Y VICENTE GUERRERO", EN LA LOCALIDAD DE ZAPOTITÁN DE HIDALGO, DEL MUNICIPIO DE JOCOTEPEC, JALISCO.</v>
      </c>
      <c r="AD798" s="4">
        <f>OBRA!R799</f>
        <v>696</v>
      </c>
      <c r="AE798" s="6">
        <f>OBRA!S799</f>
        <v>45345</v>
      </c>
      <c r="AF798" s="5">
        <f>OBRA!T799</f>
        <v>45348</v>
      </c>
      <c r="AG798" s="11">
        <f>OBRA!U799</f>
        <v>45353</v>
      </c>
      <c r="AH798" s="207"/>
      <c r="AI798" s="161"/>
      <c r="AJ798" s="219"/>
      <c r="AK798" s="219"/>
      <c r="AL798" s="632"/>
      <c r="AM798" s="519">
        <f>GRAL!B1022</f>
        <v>0</v>
      </c>
    </row>
    <row r="799" spans="1:39" ht="90" hidden="1">
      <c r="A799" s="158">
        <f>OBRA!J800</f>
        <v>2024</v>
      </c>
      <c r="B799" s="1683"/>
      <c r="C799" s="411"/>
      <c r="D799" s="163"/>
      <c r="E799" s="1169"/>
      <c r="F799" s="1169"/>
      <c r="G799" s="1184"/>
      <c r="H799" s="1185" t="str">
        <f>OBRA!AF800</f>
        <v>-</v>
      </c>
      <c r="I799" s="1186"/>
      <c r="J799" s="1361" t="str">
        <f>OBRA!AG800</f>
        <v>-</v>
      </c>
      <c r="K799" s="1187"/>
      <c r="L799" s="1185" t="str">
        <f>OBRA!AH800</f>
        <v>-</v>
      </c>
      <c r="M799" s="1188"/>
      <c r="N799" s="1185" t="str">
        <f>OBRA!AI800</f>
        <v>-</v>
      </c>
      <c r="O799" s="1185"/>
      <c r="P799" s="1185"/>
      <c r="Q799" s="1187"/>
      <c r="R799" s="437" t="str">
        <f>OBRA!AJ800</f>
        <v>-</v>
      </c>
      <c r="S799" s="535"/>
      <c r="T799" s="399" t="str">
        <f>OBRA!W800</f>
        <v>C. URIEL PALOS VACA</v>
      </c>
      <c r="U799" s="408" t="str">
        <f>OBRA!X800</f>
        <v>C. IMELDA KARINA PÉREZ GONZÁLEZ</v>
      </c>
      <c r="V799" s="1090"/>
      <c r="W799" s="33" t="str">
        <f>OBRA!N800</f>
        <v>C- OP 004/2024</v>
      </c>
      <c r="X799" s="1324"/>
      <c r="Y799" s="1202"/>
      <c r="Z799" s="409" t="str">
        <f>OBRA!M800</f>
        <v>CUENTA CORRIENTE</v>
      </c>
      <c r="AA799" s="1402"/>
      <c r="AB799" s="2" t="str">
        <f>OBRA!O800</f>
        <v>ARRENDAMIENTO</v>
      </c>
      <c r="AC799" s="3" t="str">
        <f>OBRA!P800</f>
        <v>RENTA DE UNA EXCAVADORA JOHN DEER 200B, RETROEXCAVADORA JCV 214E, 4 CAMIONES DE VOLTEO FREIGHLINER DE 14 M3, PARA LA LIMPIEZA DE LA PLAYA EN LA ZONA DEL EMBARCADERO DEL MALECÓN DE JOCOTEPEC, JALISCO.</v>
      </c>
      <c r="AD799" s="4">
        <f>OBRA!R800</f>
        <v>4292</v>
      </c>
      <c r="AE799" s="6">
        <f>OBRA!S800</f>
        <v>45363</v>
      </c>
      <c r="AF799" s="5">
        <f>OBRA!T800</f>
        <v>45365</v>
      </c>
      <c r="AG799" s="11">
        <f>OBRA!U800</f>
        <v>45372</v>
      </c>
      <c r="AH799" s="207"/>
      <c r="AI799" s="161"/>
      <c r="AJ799" s="219"/>
      <c r="AK799" s="219"/>
      <c r="AL799" s="632"/>
      <c r="AM799" s="519">
        <f>GRAL!B1023</f>
        <v>0</v>
      </c>
    </row>
    <row r="800" spans="1:39" ht="90" hidden="1">
      <c r="A800" s="158">
        <f>OBRA!J801</f>
        <v>2024</v>
      </c>
      <c r="B800" s="1683"/>
      <c r="C800" s="411"/>
      <c r="D800" s="163"/>
      <c r="E800" s="1169"/>
      <c r="F800" s="1169"/>
      <c r="G800" s="1184"/>
      <c r="H800" s="1185" t="str">
        <f>OBRA!AF801</f>
        <v>-</v>
      </c>
      <c r="I800" s="1186"/>
      <c r="J800" s="1361" t="str">
        <f>OBRA!AG801</f>
        <v>-</v>
      </c>
      <c r="K800" s="1187"/>
      <c r="L800" s="1185" t="str">
        <f>OBRA!AH801</f>
        <v>-</v>
      </c>
      <c r="M800" s="1188"/>
      <c r="N800" s="1185" t="str">
        <f>OBRA!AI801</f>
        <v>-</v>
      </c>
      <c r="O800" s="1185"/>
      <c r="P800" s="1185"/>
      <c r="Q800" s="1187"/>
      <c r="R800" s="437" t="str">
        <f>OBRA!AJ801</f>
        <v>-</v>
      </c>
      <c r="S800" s="535"/>
      <c r="T800" s="399" t="str">
        <f>OBRA!W801</f>
        <v>ING. SERGIO CABRERA</v>
      </c>
      <c r="U800" s="408" t="str">
        <f>OBRA!X801</f>
        <v>C. IMELDA KARINA PÉREZ GONZÁLEZ</v>
      </c>
      <c r="V800" s="1090"/>
      <c r="W800" s="33" t="str">
        <f>OBRA!N801</f>
        <v>C- OP 005/2024</v>
      </c>
      <c r="X800" s="1324"/>
      <c r="Y800" s="1202"/>
      <c r="Z800" s="409" t="str">
        <f>OBRA!M801</f>
        <v>CUENTA CORRIENTE</v>
      </c>
      <c r="AA800" s="1402"/>
      <c r="AB800" s="2" t="str">
        <f>OBRA!O801</f>
        <v>ARRENDAMIENTO</v>
      </c>
      <c r="AC800" s="3" t="str">
        <f>OBRA!P801</f>
        <v>RENTA DE UNA EXCAVADORA SOBRE ORUGAS CATERPILLAR 336E Y CAMIÓN DE VOLTEO DE 14M3, PARA LA LIMPIEZA A LA ORILLA DE LA PLAYA EN LA ZONA DEL MALECÓN DE SAN CRISTÓBAL ZAPOTITLÁN, MUNICIPIO DE JOCOTEPEC, JALISCO</v>
      </c>
      <c r="AD800" s="4">
        <f>OBRA!R801</f>
        <v>3711.9999999999995</v>
      </c>
      <c r="AE800" s="6">
        <f>OBRA!S801</f>
        <v>45362</v>
      </c>
      <c r="AF800" s="5">
        <f>OBRA!T801</f>
        <v>45363</v>
      </c>
      <c r="AG800" s="11">
        <f>OBRA!U801</f>
        <v>45367</v>
      </c>
      <c r="AH800" s="207"/>
      <c r="AI800" s="161"/>
      <c r="AJ800" s="219"/>
      <c r="AK800" s="219"/>
      <c r="AL800" s="632"/>
      <c r="AM800" s="519">
        <f>GRAL!B1024</f>
        <v>0</v>
      </c>
    </row>
    <row r="801" spans="1:39" ht="60" hidden="1">
      <c r="A801" s="158">
        <f>OBRA!J802</f>
        <v>2024</v>
      </c>
      <c r="B801" s="1683"/>
      <c r="C801" s="411"/>
      <c r="D801" s="163"/>
      <c r="E801" s="1169"/>
      <c r="F801" s="1169"/>
      <c r="G801" s="1184"/>
      <c r="H801" s="1185" t="str">
        <f>OBRA!AF802</f>
        <v>-</v>
      </c>
      <c r="I801" s="1186"/>
      <c r="J801" s="1361" t="str">
        <f>OBRA!AG802</f>
        <v>-</v>
      </c>
      <c r="K801" s="1187"/>
      <c r="L801" s="1185" t="str">
        <f>OBRA!AH802</f>
        <v>-</v>
      </c>
      <c r="M801" s="1188"/>
      <c r="N801" s="1185" t="str">
        <f>OBRA!AI802</f>
        <v>-</v>
      </c>
      <c r="O801" s="1185"/>
      <c r="P801" s="1185"/>
      <c r="Q801" s="1187"/>
      <c r="R801" s="437" t="str">
        <f>OBRA!AJ802</f>
        <v>-</v>
      </c>
      <c r="S801" s="535"/>
      <c r="T801" s="399" t="str">
        <f>OBRA!W802</f>
        <v>ING. SERGIO CABRERA</v>
      </c>
      <c r="U801" s="408" t="str">
        <f>OBRA!X802</f>
        <v>C. IMELDA KARINA PÉREZ GONZÁLEZ</v>
      </c>
      <c r="V801" s="1090"/>
      <c r="W801" s="33" t="str">
        <f>OBRA!N802</f>
        <v>C- OP 006/2024</v>
      </c>
      <c r="X801" s="1324"/>
      <c r="Y801" s="1202"/>
      <c r="Z801" s="409" t="str">
        <f>OBRA!M802</f>
        <v>CUENTA CORRIENTE</v>
      </c>
      <c r="AA801" s="1402"/>
      <c r="AB801" s="2" t="str">
        <f>OBRA!O802</f>
        <v>ARRENDAMIENTO</v>
      </c>
      <c r="AC801" s="3" t="str">
        <f>OBRA!P802</f>
        <v>RENTA DE CAMIÓN TIPO PIPA MARCA DINA, PLACAS JU-79-346, CON CAPACIDAD DE 10,000 LITROS, PARA EL TRASLADO DE AGUA POTABLE EN EL MUNICIPIO DE JOCOTEPEC, JALISCO.</v>
      </c>
      <c r="AD801" s="4">
        <f>OBRA!R802</f>
        <v>1971.9999999999998</v>
      </c>
      <c r="AE801" s="6">
        <f>OBRA!S802</f>
        <v>45352</v>
      </c>
      <c r="AF801" s="5">
        <f>OBRA!T802</f>
        <v>45352</v>
      </c>
      <c r="AG801" s="11">
        <f>OBRA!U802</f>
        <v>45381</v>
      </c>
      <c r="AH801" s="207"/>
      <c r="AI801" s="161"/>
      <c r="AJ801" s="219"/>
      <c r="AK801" s="219"/>
      <c r="AL801" s="632"/>
      <c r="AM801" s="519">
        <f>GRAL!B1025</f>
        <v>0</v>
      </c>
    </row>
    <row r="802" spans="1:39" ht="60" hidden="1">
      <c r="A802" s="158">
        <f>OBRA!J803</f>
        <v>2024</v>
      </c>
      <c r="B802" s="1683"/>
      <c r="C802" s="411"/>
      <c r="D802" s="163"/>
      <c r="E802" s="1169"/>
      <c r="F802" s="1169"/>
      <c r="G802" s="1184"/>
      <c r="H802" s="1185" t="str">
        <f>OBRA!AF803</f>
        <v>-</v>
      </c>
      <c r="I802" s="1186"/>
      <c r="J802" s="1361" t="str">
        <f>OBRA!AG803</f>
        <v>-</v>
      </c>
      <c r="K802" s="1187"/>
      <c r="L802" s="1185" t="str">
        <f>OBRA!AH803</f>
        <v>-</v>
      </c>
      <c r="M802" s="1188"/>
      <c r="N802" s="1185" t="str">
        <f>OBRA!AI803</f>
        <v>-</v>
      </c>
      <c r="O802" s="1185"/>
      <c r="P802" s="1185"/>
      <c r="Q802" s="1187"/>
      <c r="R802" s="437" t="str">
        <f>OBRA!AJ803</f>
        <v>-</v>
      </c>
      <c r="S802" s="535"/>
      <c r="T802" s="399" t="str">
        <f>OBRA!W803</f>
        <v>ING. SERGIO CABRERA</v>
      </c>
      <c r="U802" s="408" t="str">
        <f>OBRA!X803</f>
        <v>C. IMELDA KARINA PÉREZ GONZÁLEZ</v>
      </c>
      <c r="V802" s="1090"/>
      <c r="W802" s="33" t="str">
        <f>OBRA!N803</f>
        <v>C- OP 007/2024</v>
      </c>
      <c r="X802" s="1324"/>
      <c r="Y802" s="1202"/>
      <c r="Z802" s="409" t="str">
        <f>OBRA!M803</f>
        <v>CUENTA CORRIENTE</v>
      </c>
      <c r="AA802" s="1402"/>
      <c r="AB802" s="2" t="str">
        <f>OBRA!O803</f>
        <v>ARRENDAMIENTO</v>
      </c>
      <c r="AC802" s="3" t="str">
        <f>OBRA!P803</f>
        <v>RENTA DE UNA RETROEXCAVADORA CATERPILLAR 420E Y CAMIÓN VOLTEO DE 14 M3, PARA LA LIMPIEZA EN ZONAS DE LA CABECERA MUNICIPAL DE JOCOTEPEC, JALISCO.</v>
      </c>
      <c r="AD802" s="4">
        <f>OBRA!R803</f>
        <v>1508</v>
      </c>
      <c r="AE802" s="6">
        <f>OBRA!S803</f>
        <v>45378</v>
      </c>
      <c r="AF802" s="5">
        <f>OBRA!T803</f>
        <v>45383</v>
      </c>
      <c r="AG802" s="11">
        <f>OBRA!U803</f>
        <v>45412</v>
      </c>
      <c r="AH802" s="207"/>
      <c r="AI802" s="161"/>
      <c r="AJ802" s="219"/>
      <c r="AK802" s="219"/>
      <c r="AL802" s="632"/>
      <c r="AM802" s="519">
        <f>GRAL!B1026</f>
        <v>0</v>
      </c>
    </row>
    <row r="803" spans="1:39" ht="75" hidden="1">
      <c r="A803" s="158">
        <f>OBRA!J804</f>
        <v>2024</v>
      </c>
      <c r="B803" s="1683"/>
      <c r="C803" s="411"/>
      <c r="D803" s="163"/>
      <c r="E803" s="1169"/>
      <c r="F803" s="1169"/>
      <c r="G803" s="1184"/>
      <c r="H803" s="1185" t="str">
        <f>OBRA!AF804</f>
        <v>-</v>
      </c>
      <c r="I803" s="1186"/>
      <c r="J803" s="1361" t="str">
        <f>OBRA!AG804</f>
        <v>-</v>
      </c>
      <c r="K803" s="1187"/>
      <c r="L803" s="1185" t="str">
        <f>OBRA!AH804</f>
        <v>-</v>
      </c>
      <c r="M803" s="1188"/>
      <c r="N803" s="1185" t="str">
        <f>OBRA!AI804</f>
        <v>-</v>
      </c>
      <c r="O803" s="1185"/>
      <c r="P803" s="1185"/>
      <c r="Q803" s="1187"/>
      <c r="R803" s="437" t="str">
        <f>OBRA!AJ804</f>
        <v>-</v>
      </c>
      <c r="S803" s="535"/>
      <c r="T803" s="399" t="str">
        <f>OBRA!W804</f>
        <v xml:space="preserve">DORIA &amp; SAMPIER CONSTRUCTORA, S.A. DE C.V. </v>
      </c>
      <c r="U803" s="408" t="str">
        <f>OBRA!X804</f>
        <v>C. IMELDA KARINA PÉREZ GONZÁLEZ</v>
      </c>
      <c r="V803" s="1090"/>
      <c r="W803" s="33" t="str">
        <f>OBRA!N804</f>
        <v>C- OP 008/2024</v>
      </c>
      <c r="X803" s="1324"/>
      <c r="Y803" s="1202"/>
      <c r="Z803" s="409" t="str">
        <f>OBRA!M804</f>
        <v>CUENTA CORRIENTE</v>
      </c>
      <c r="AA803" s="1402"/>
      <c r="AB803" s="2" t="str">
        <f>OBRA!O804</f>
        <v>ARRENDAMIENTO</v>
      </c>
      <c r="AC803" s="3" t="str">
        <f>OBRA!P804</f>
        <v>RENTA DE CAMIÓN TIPO PIPA MARCA KENWORT T800, PLACAS JY-06-625, CON CAPACIDAD DE 20,000 LITROS, PARA EL TRASLADO DE AGUA POTABLE EN EL MUNICIPIO DE JOCOTEPEC, JALISCO.</v>
      </c>
      <c r="AD803" s="4">
        <f>OBRA!R804</f>
        <v>4640</v>
      </c>
      <c r="AE803" s="6">
        <f>OBRA!S804</f>
        <v>45394</v>
      </c>
      <c r="AF803" s="5">
        <f>OBRA!T804</f>
        <v>45397</v>
      </c>
      <c r="AG803" s="11">
        <f>OBRA!U804</f>
        <v>45401</v>
      </c>
      <c r="AH803" s="207"/>
      <c r="AI803" s="161"/>
      <c r="AJ803" s="219"/>
      <c r="AK803" s="219"/>
      <c r="AL803" s="632"/>
      <c r="AM803" s="519">
        <f>GRAL!B1027</f>
        <v>0</v>
      </c>
    </row>
    <row r="804" spans="1:39" ht="105" hidden="1">
      <c r="A804" s="158">
        <f>OBRA!J805</f>
        <v>2024</v>
      </c>
      <c r="B804" s="1683"/>
      <c r="C804" s="411"/>
      <c r="D804" s="163"/>
      <c r="E804" s="1169"/>
      <c r="F804" s="1169"/>
      <c r="G804" s="1184"/>
      <c r="H804" s="1185" t="str">
        <f>OBRA!AF805</f>
        <v>-</v>
      </c>
      <c r="I804" s="1186"/>
      <c r="J804" s="1361" t="str">
        <f>OBRA!AG805</f>
        <v>-</v>
      </c>
      <c r="K804" s="1187"/>
      <c r="L804" s="1185" t="str">
        <f>OBRA!AH805</f>
        <v>-</v>
      </c>
      <c r="M804" s="1188"/>
      <c r="N804" s="1185" t="str">
        <f>OBRA!AI805</f>
        <v>-</v>
      </c>
      <c r="O804" s="1185"/>
      <c r="P804" s="1185"/>
      <c r="Q804" s="1187"/>
      <c r="R804" s="437" t="str">
        <f>OBRA!AJ805</f>
        <v>-</v>
      </c>
      <c r="S804" s="535"/>
      <c r="T804" s="399" t="str">
        <f>OBRA!W805</f>
        <v>INFRAESTRUCTURA GUSEV, S.A. DE C.V.</v>
      </c>
      <c r="U804" s="408" t="str">
        <f>OBRA!X805</f>
        <v>C. DANIEL RODRIGUEZ VALENZUELA</v>
      </c>
      <c r="V804" s="1090"/>
      <c r="W804" s="33" t="str">
        <f>OBRA!N805</f>
        <v>C- OP 009/2024</v>
      </c>
      <c r="X804" s="1324"/>
      <c r="Y804" s="1202"/>
      <c r="Z804" s="409" t="str">
        <f>OBRA!M805</f>
        <v>CUENTA CORRIENTE</v>
      </c>
      <c r="AA804" s="1402"/>
      <c r="AB804" s="2" t="str">
        <f>OBRA!O805</f>
        <v>ARRENDAMIENTO</v>
      </c>
      <c r="AC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AD804" s="4">
        <f>OBRA!R805</f>
        <v>788.8</v>
      </c>
      <c r="AE804" s="6">
        <f>OBRA!S805</f>
        <v>45352</v>
      </c>
      <c r="AF804" s="5">
        <f>OBRA!T805</f>
        <v>45352</v>
      </c>
      <c r="AG804" s="11">
        <f>OBRA!U805</f>
        <v>45443</v>
      </c>
      <c r="AH804" s="207"/>
      <c r="AI804" s="161"/>
      <c r="AJ804" s="219"/>
      <c r="AK804" s="219"/>
      <c r="AL804" s="632"/>
      <c r="AM804" s="519">
        <f>GRAL!B1028</f>
        <v>0</v>
      </c>
    </row>
    <row r="805" spans="1:39" ht="105" hidden="1">
      <c r="A805" s="158">
        <f>OBRA!J806</f>
        <v>2024</v>
      </c>
      <c r="B805" s="1683"/>
      <c r="C805" s="411"/>
      <c r="D805" s="163"/>
      <c r="E805" s="1169"/>
      <c r="F805" s="1169"/>
      <c r="G805" s="1184"/>
      <c r="H805" s="1185" t="str">
        <f>OBRA!AF806</f>
        <v>-</v>
      </c>
      <c r="I805" s="1186"/>
      <c r="J805" s="1361" t="str">
        <f>OBRA!AG806</f>
        <v>-</v>
      </c>
      <c r="K805" s="1187"/>
      <c r="L805" s="1185" t="str">
        <f>OBRA!AH806</f>
        <v>-</v>
      </c>
      <c r="M805" s="1188"/>
      <c r="N805" s="1185" t="str">
        <f>OBRA!AI806</f>
        <v>-</v>
      </c>
      <c r="O805" s="1185"/>
      <c r="P805" s="1185"/>
      <c r="Q805" s="1187"/>
      <c r="R805" s="437" t="str">
        <f>OBRA!AJ806</f>
        <v>-</v>
      </c>
      <c r="S805" s="535"/>
      <c r="T805" s="399" t="str">
        <f>OBRA!W806</f>
        <v xml:space="preserve">DORIA &amp; SAMPIER CONSTRUCTORA, S.A. DE C.V. </v>
      </c>
      <c r="U805" s="408" t="str">
        <f>OBRA!X806</f>
        <v>ING. J. GUADALUPE IBARRA RAMIREZ</v>
      </c>
      <c r="V805" s="1090"/>
      <c r="W805" s="33" t="str">
        <f>OBRA!N806</f>
        <v>C- OP 010/2024</v>
      </c>
      <c r="X805" s="1324"/>
      <c r="Y805" s="1202"/>
      <c r="Z805" s="409" t="str">
        <f>OBRA!M806</f>
        <v>CUENTA CORRIENTE</v>
      </c>
      <c r="AA805" s="1402"/>
      <c r="AB805" s="2" t="str">
        <f>OBRA!O806</f>
        <v>ARRENDAMIENTO</v>
      </c>
      <c r="AC805" s="3" t="str">
        <f>OBRA!P806</f>
        <v>RENTA DE CAMIÓN VOLTEO CON CAPACIDAD DE 7 M3, PARA EL RETIRO DE MATERIAL POR LOS TRABAJOS DE INSTALACIÓN Y ACONDICIONAMIENTO DE DRENAJE SANITARIO EN CALLE ZARAGOZA EN JDN NIÑOS HÉROES", EN LA CABECERA MUNICIPAL DE JOCOTEPEC, JALISCO.</v>
      </c>
      <c r="AD805" s="4">
        <f>OBRA!R806</f>
        <v>1482.4799999999998</v>
      </c>
      <c r="AE805" s="6">
        <f>OBRA!S806</f>
        <v>45420</v>
      </c>
      <c r="AF805" s="5">
        <f>OBRA!T806</f>
        <v>45422</v>
      </c>
      <c r="AG805" s="11">
        <f>OBRA!U806</f>
        <v>45423</v>
      </c>
      <c r="AH805" s="207"/>
      <c r="AI805" s="161"/>
      <c r="AJ805" s="219"/>
      <c r="AK805" s="219"/>
      <c r="AL805" s="632"/>
      <c r="AM805" s="519">
        <f>GRAL!B1029</f>
        <v>0</v>
      </c>
    </row>
    <row r="806" spans="1:39" ht="75" hidden="1">
      <c r="A806" s="158">
        <f>OBRA!J807</f>
        <v>2024</v>
      </c>
      <c r="B806" s="1683"/>
      <c r="C806" s="411"/>
      <c r="D806" s="163"/>
      <c r="E806" s="1169"/>
      <c r="F806" s="1169"/>
      <c r="G806" s="1184"/>
      <c r="H806" s="1185" t="str">
        <f>OBRA!AF807</f>
        <v>-</v>
      </c>
      <c r="I806" s="1186"/>
      <c r="J806" s="1361" t="str">
        <f>OBRA!AG807</f>
        <v>-</v>
      </c>
      <c r="K806" s="1187"/>
      <c r="L806" s="1185" t="str">
        <f>OBRA!AH807</f>
        <v>-</v>
      </c>
      <c r="M806" s="1188"/>
      <c r="N806" s="1185" t="str">
        <f>OBRA!AI807</f>
        <v>-</v>
      </c>
      <c r="O806" s="1185"/>
      <c r="P806" s="1185"/>
      <c r="Q806" s="1187"/>
      <c r="R806" s="437" t="str">
        <f>OBRA!AJ807</f>
        <v>-</v>
      </c>
      <c r="S806" s="535"/>
      <c r="T806" s="399" t="str">
        <f>OBRA!W807</f>
        <v xml:space="preserve">DORIA &amp; SAMPIER CONSTRUCTORA, S.A. DE C.V. </v>
      </c>
      <c r="U806" s="408" t="str">
        <f>OBRA!X807</f>
        <v>C. IMELDA KARINA PÉREZ GONZÁLEZ</v>
      </c>
      <c r="V806" s="1090"/>
      <c r="W806" s="33" t="str">
        <f>OBRA!N807</f>
        <v>C- OP 011/2024</v>
      </c>
      <c r="X806" s="1324"/>
      <c r="Y806" s="1202"/>
      <c r="Z806" s="409" t="str">
        <f>OBRA!M807</f>
        <v>CUENTA CORRIENTE</v>
      </c>
      <c r="AA806" s="1402"/>
      <c r="AB806" s="2" t="str">
        <f>OBRA!O807</f>
        <v>ARRENDAMIENTO</v>
      </c>
      <c r="AC806" s="3" t="str">
        <f>OBRA!P807</f>
        <v>RENTA DE CAMIÓN TIPO PIPA MARCA INTERNATIONAL, PLACAS JU-51-888, CON CAPACIDAD DE 20,000 LITROS, PARA EL TRASLADO DE AGUA POTABLE EN EL MUNICIPIO DE JOCOTEPEC, JALISCO.</v>
      </c>
      <c r="AD806" s="4">
        <f>OBRA!R807</f>
        <v>4640</v>
      </c>
      <c r="AE806" s="6">
        <f>OBRA!S807</f>
        <v>45425</v>
      </c>
      <c r="AF806" s="5">
        <f>OBRA!T807</f>
        <v>45425</v>
      </c>
      <c r="AG806" s="11">
        <f>OBRA!U807</f>
        <v>45430</v>
      </c>
      <c r="AH806" s="207"/>
      <c r="AI806" s="161"/>
      <c r="AJ806" s="219"/>
      <c r="AK806" s="219"/>
      <c r="AL806" s="632"/>
      <c r="AM806" s="519">
        <f>GRAL!B1030</f>
        <v>0</v>
      </c>
    </row>
    <row r="807" spans="1:39" ht="90" hidden="1">
      <c r="A807" s="158">
        <f>OBRA!J808</f>
        <v>2024</v>
      </c>
      <c r="B807" s="1683"/>
      <c r="C807" s="411"/>
      <c r="D807" s="163"/>
      <c r="E807" s="1169"/>
      <c r="F807" s="1169"/>
      <c r="G807" s="1184"/>
      <c r="H807" s="1185" t="str">
        <f>OBRA!AF808</f>
        <v>-</v>
      </c>
      <c r="I807" s="1186"/>
      <c r="J807" s="1361" t="str">
        <f>OBRA!AG808</f>
        <v>-</v>
      </c>
      <c r="K807" s="1187"/>
      <c r="L807" s="1185" t="str">
        <f>OBRA!AH808</f>
        <v>-</v>
      </c>
      <c r="M807" s="1188"/>
      <c r="N807" s="1185" t="str">
        <f>OBRA!AI808</f>
        <v>-</v>
      </c>
      <c r="O807" s="1185"/>
      <c r="P807" s="1185"/>
      <c r="Q807" s="1187"/>
      <c r="R807" s="437" t="str">
        <f>OBRA!AJ808</f>
        <v>-</v>
      </c>
      <c r="S807" s="535"/>
      <c r="T807" s="399" t="str">
        <f>OBRA!W808</f>
        <v>INFRAESTRUCTURA GUSEV, S.A. DE C.V.</v>
      </c>
      <c r="U807" s="408" t="str">
        <f>OBRA!X808</f>
        <v>C. DANIEL RODRIGUEZ VALENZUELA</v>
      </c>
      <c r="V807" s="1090"/>
      <c r="W807" s="33" t="str">
        <f>OBRA!N808</f>
        <v>C- OP 012/2024</v>
      </c>
      <c r="X807" s="1324"/>
      <c r="Y807" s="1202"/>
      <c r="Z807" s="409" t="str">
        <f>OBRA!M808</f>
        <v>CUENTA CORRIENTE</v>
      </c>
      <c r="AA807" s="1402"/>
      <c r="AB807" s="2" t="str">
        <f>OBRA!O808</f>
        <v>ARRENDAMIENTO</v>
      </c>
      <c r="AC807" s="3" t="str">
        <f>OBRA!P808</f>
        <v>RENTA DE UNA EXCAVADORA CAT SERIE 416E, PARA LOS TRABAJOS DE CONSTRUCCIÓN DE BASE Y LETRAS MONUMENTALES "HUEJOTITÁN" EN INGRESO A LA POBLACIÓN, EN LA LOCALIDAD DE HUEJOTITÁN, DEL MUNICIPIO DE JOCOTEPEC, JALISCO.</v>
      </c>
      <c r="AD807" s="4">
        <f>OBRA!R808</f>
        <v>788.8</v>
      </c>
      <c r="AE807" s="6">
        <f>OBRA!S808</f>
        <v>45372</v>
      </c>
      <c r="AF807" s="5">
        <f>OBRA!T808</f>
        <v>45372</v>
      </c>
      <c r="AG807" s="11">
        <f>OBRA!U808</f>
        <v>45411</v>
      </c>
      <c r="AH807" s="207"/>
      <c r="AI807" s="161"/>
      <c r="AJ807" s="219"/>
      <c r="AK807" s="219"/>
      <c r="AL807" s="632"/>
      <c r="AM807" s="519">
        <f>GRAL!B1031</f>
        <v>0</v>
      </c>
    </row>
    <row r="808" spans="1:39" ht="135" hidden="1">
      <c r="A808" s="158">
        <f>OBRA!J809</f>
        <v>2024</v>
      </c>
      <c r="B808" s="1683"/>
      <c r="C808" s="411"/>
      <c r="D808" s="163"/>
      <c r="E808" s="1169"/>
      <c r="F808" s="1169"/>
      <c r="G808" s="1184"/>
      <c r="H808" s="1185" t="str">
        <f>OBRA!AF809</f>
        <v>-</v>
      </c>
      <c r="I808" s="1186"/>
      <c r="J808" s="1361" t="str">
        <f>OBRA!AG809</f>
        <v>-</v>
      </c>
      <c r="K808" s="1187"/>
      <c r="L808" s="1185" t="str">
        <f>OBRA!AH809</f>
        <v>-</v>
      </c>
      <c r="M808" s="1188"/>
      <c r="N808" s="1185" t="str">
        <f>OBRA!AI809</f>
        <v>-</v>
      </c>
      <c r="O808" s="1185"/>
      <c r="P808" s="1185"/>
      <c r="Q808" s="1187"/>
      <c r="R808" s="437" t="str">
        <f>OBRA!AJ809</f>
        <v>-</v>
      </c>
      <c r="S808" s="535"/>
      <c r="T808" s="399" t="str">
        <f>OBRA!W809</f>
        <v>INFRAESTRUCTURA GUSEV, S.A. DE C.V.</v>
      </c>
      <c r="U808" s="408" t="str">
        <f>OBRA!X809</f>
        <v>C. DANIEL RODRIGUEZ VALENZUELA</v>
      </c>
      <c r="V808" s="1090"/>
      <c r="W808" s="33" t="str">
        <f>OBRA!N809</f>
        <v>C- OP 013/2024</v>
      </c>
      <c r="X808" s="1324"/>
      <c r="Y808" s="1202"/>
      <c r="Z808" s="409" t="str">
        <f>OBRA!M809</f>
        <v>CUENTA CORRIENTE</v>
      </c>
      <c r="AA808" s="1402"/>
      <c r="AB808" s="2" t="str">
        <f>OBRA!O809</f>
        <v>ARRENDAMIENTO</v>
      </c>
      <c r="AC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8" s="4">
        <f>OBRA!R809</f>
        <v>4605.2</v>
      </c>
      <c r="AE808" s="6">
        <f>OBRA!S809</f>
        <v>45432</v>
      </c>
      <c r="AF808" s="5">
        <f>OBRA!T809</f>
        <v>45434</v>
      </c>
      <c r="AG808" s="11">
        <f>OBRA!U809</f>
        <v>45478</v>
      </c>
      <c r="AH808" s="207"/>
      <c r="AI808" s="161"/>
      <c r="AJ808" s="219"/>
      <c r="AK808" s="219"/>
      <c r="AL808" s="632"/>
      <c r="AM808" s="519">
        <f>GRAL!B1032</f>
        <v>0</v>
      </c>
    </row>
    <row r="809" spans="1:39" ht="75" hidden="1">
      <c r="A809" s="158">
        <f>OBRA!J810</f>
        <v>2024</v>
      </c>
      <c r="B809" s="1683"/>
      <c r="C809" s="411"/>
      <c r="D809" s="163"/>
      <c r="E809" s="1169"/>
      <c r="F809" s="1169"/>
      <c r="G809" s="1184"/>
      <c r="H809" s="1185" t="str">
        <f>OBRA!AF810</f>
        <v>-</v>
      </c>
      <c r="I809" s="1186"/>
      <c r="J809" s="1361" t="str">
        <f>OBRA!AG810</f>
        <v>-</v>
      </c>
      <c r="K809" s="1187"/>
      <c r="L809" s="1185" t="str">
        <f>OBRA!AH810</f>
        <v>-</v>
      </c>
      <c r="M809" s="1188"/>
      <c r="N809" s="1185" t="str">
        <f>OBRA!AI810</f>
        <v>-</v>
      </c>
      <c r="O809" s="1185"/>
      <c r="P809" s="1185"/>
      <c r="Q809" s="1187"/>
      <c r="R809" s="437" t="str">
        <f>OBRA!AJ810</f>
        <v>-</v>
      </c>
      <c r="S809" s="535"/>
      <c r="T809" s="399" t="str">
        <f>OBRA!W810</f>
        <v xml:space="preserve">DORIA &amp; SAMPIER CONSTRUCTORA, S.A. DE C.V. </v>
      </c>
      <c r="U809" s="408" t="str">
        <f>OBRA!X810</f>
        <v>C. IMELDA KARINA PÉREZ GONZÁLEZ</v>
      </c>
      <c r="V809" s="1090"/>
      <c r="W809" s="33" t="str">
        <f>OBRA!N810</f>
        <v>C- OP 014/2024</v>
      </c>
      <c r="X809" s="1324"/>
      <c r="Y809" s="1202"/>
      <c r="Z809" s="409" t="str">
        <f>OBRA!M810</f>
        <v>CUENTA CORRIENTE</v>
      </c>
      <c r="AA809" s="1402"/>
      <c r="AB809" s="2" t="str">
        <f>OBRA!O810</f>
        <v>ARRENDAMIENTO</v>
      </c>
      <c r="AC809" s="3" t="str">
        <f>OBRA!P810</f>
        <v>RENTA DE CAMIÓN TIPO PIPA MARCA INTERNATIONAL, MODELO 2014 CON CAPACIDAD DE 10,000 LITROS, PARA EL TRASLADO DE AGUA POTABLE EN EL MUNICIPIO DE JOCOTEPEC, JALISCO.</v>
      </c>
      <c r="AD809" s="4">
        <f>OBRA!R810</f>
        <v>90828</v>
      </c>
      <c r="AE809" s="6">
        <f>OBRA!S810</f>
        <v>45380</v>
      </c>
      <c r="AF809" s="5">
        <f>OBRA!T810</f>
        <v>45383</v>
      </c>
      <c r="AG809" s="11">
        <f>OBRA!U810</f>
        <v>45412</v>
      </c>
      <c r="AH809" s="207"/>
      <c r="AI809" s="161"/>
      <c r="AJ809" s="219"/>
      <c r="AK809" s="219"/>
      <c r="AL809" s="632"/>
      <c r="AM809" s="519">
        <f>GRAL!B1033</f>
        <v>0</v>
      </c>
    </row>
    <row r="810" spans="1:39" ht="60" hidden="1">
      <c r="A810" s="158">
        <f>OBRA!J811</f>
        <v>2024</v>
      </c>
      <c r="B810" s="1683"/>
      <c r="C810" s="411"/>
      <c r="D810" s="163"/>
      <c r="E810" s="1169"/>
      <c r="F810" s="1169"/>
      <c r="G810" s="1184"/>
      <c r="H810" s="1185" t="str">
        <f>OBRA!AF811</f>
        <v>-</v>
      </c>
      <c r="I810" s="1186"/>
      <c r="J810" s="1361" t="str">
        <f>OBRA!AG811</f>
        <v>-</v>
      </c>
      <c r="K810" s="1187"/>
      <c r="L810" s="1185" t="str">
        <f>OBRA!AH811</f>
        <v>-</v>
      </c>
      <c r="M810" s="1188"/>
      <c r="N810" s="1185" t="str">
        <f>OBRA!AI811</f>
        <v>-</v>
      </c>
      <c r="O810" s="1185"/>
      <c r="P810" s="1185"/>
      <c r="Q810" s="1187"/>
      <c r="R810" s="437" t="str">
        <f>OBRA!AJ811</f>
        <v>-</v>
      </c>
      <c r="S810" s="535"/>
      <c r="T810" s="399" t="str">
        <f>OBRA!W811</f>
        <v xml:space="preserve">DORIA &amp; SAMPIER CONSTRUCTORA, S.A. DE C.V. </v>
      </c>
      <c r="U810" s="408" t="str">
        <f>OBRA!X811</f>
        <v>C. IMELDA KARINA PÉREZ GONZÁLEZ</v>
      </c>
      <c r="V810" s="1090"/>
      <c r="W810" s="33" t="str">
        <f>OBRA!N811</f>
        <v>C- OP 015/2024</v>
      </c>
      <c r="X810" s="1324"/>
      <c r="Y810" s="1202"/>
      <c r="Z810" s="409" t="str">
        <f>OBRA!M811</f>
        <v>CUENTA CORRIENTE</v>
      </c>
      <c r="AA810" s="1402"/>
      <c r="AB810" s="2" t="str">
        <f>OBRA!O811</f>
        <v>ARRENDAMIENTO</v>
      </c>
      <c r="AC810" s="3" t="str">
        <f>OBRA!P811</f>
        <v>RENTA DE CAMIÓN TIPO PIPA MARCA FREIGHTLINER, CON CAPACIDAD DE 10,000 LITROS, PARA EL TRASLADO DE AGUA POTABLE EN EL MUNICIPIO DE JOCOTEPEC, JALISCO.</v>
      </c>
      <c r="AD810" s="4">
        <f>OBRA!R811</f>
        <v>90828</v>
      </c>
      <c r="AE810" s="6">
        <f>OBRA!S811</f>
        <v>45412</v>
      </c>
      <c r="AF810" s="5">
        <f>OBRA!T811</f>
        <v>45413</v>
      </c>
      <c r="AG810" s="11">
        <f>OBRA!U811</f>
        <v>45443</v>
      </c>
      <c r="AH810" s="207"/>
      <c r="AI810" s="161"/>
      <c r="AJ810" s="219"/>
      <c r="AK810" s="219"/>
      <c r="AL810" s="632"/>
      <c r="AM810" s="519">
        <f>GRAL!B1034</f>
        <v>0</v>
      </c>
    </row>
    <row r="811" spans="1:39" ht="60" hidden="1">
      <c r="A811" s="158">
        <f>OBRA!J812</f>
        <v>2024</v>
      </c>
      <c r="B811" s="1683"/>
      <c r="C811" s="411"/>
      <c r="D811" s="163"/>
      <c r="E811" s="1169"/>
      <c r="F811" s="1169"/>
      <c r="G811" s="1184"/>
      <c r="H811" s="1185" t="str">
        <f>OBRA!AF812</f>
        <v>-</v>
      </c>
      <c r="I811" s="1186"/>
      <c r="J811" s="1361" t="str">
        <f>OBRA!AG812</f>
        <v>-</v>
      </c>
      <c r="K811" s="1187"/>
      <c r="L811" s="1185" t="str">
        <f>OBRA!AH812</f>
        <v>-</v>
      </c>
      <c r="M811" s="1188"/>
      <c r="N811" s="1185" t="str">
        <f>OBRA!AI812</f>
        <v>-</v>
      </c>
      <c r="O811" s="1185"/>
      <c r="P811" s="1185"/>
      <c r="Q811" s="1187"/>
      <c r="R811" s="437" t="str">
        <f>OBRA!AJ812</f>
        <v>-</v>
      </c>
      <c r="S811" s="535"/>
      <c r="T811" s="399" t="str">
        <f>OBRA!W812</f>
        <v>TERRACERÍAS Y PAVIMENTOS DE LA RIBERA, S.A. DE C.V.</v>
      </c>
      <c r="U811" s="408" t="str">
        <f>OBRA!X812</f>
        <v>C. IMELDA KARINA PÉREZ GONZÁLEZ</v>
      </c>
      <c r="V811" s="1090"/>
      <c r="W811" s="33" t="str">
        <f>OBRA!N812</f>
        <v>C- OP 016/2024</v>
      </c>
      <c r="X811" s="1324"/>
      <c r="Y811" s="1202"/>
      <c r="Z811" s="409" t="str">
        <f>OBRA!M812</f>
        <v>CUENTA CORRIENTE</v>
      </c>
      <c r="AA811" s="1402"/>
      <c r="AB811" s="2" t="str">
        <f>OBRA!O812</f>
        <v>ARRENDAMIENTO</v>
      </c>
      <c r="AC811" s="3" t="str">
        <f>OBRA!P812</f>
        <v>RENTA DE CAMIÓN TIPO PIPA MARCA KENWORT CON CAPACIDAD DE 10,000 LITROS, PARA EL TRASLADO DE AGUA POTABLE EN EL MUNICIPIO DE JOCOTEPEC, JALISCO.</v>
      </c>
      <c r="AD811" s="4">
        <f>OBRA!R812</f>
        <v>3711.9999999999995</v>
      </c>
      <c r="AE811" s="6">
        <f>OBRA!S812</f>
        <v>45443</v>
      </c>
      <c r="AF811" s="5">
        <f>OBRA!T812</f>
        <v>45446</v>
      </c>
      <c r="AG811" s="11">
        <f>OBRA!U812</f>
        <v>45453</v>
      </c>
      <c r="AH811" s="207"/>
      <c r="AI811" s="161"/>
      <c r="AJ811" s="219"/>
      <c r="AK811" s="219"/>
      <c r="AL811" s="632"/>
      <c r="AM811" s="519">
        <f>GRAL!B1035</f>
        <v>0</v>
      </c>
    </row>
    <row r="812" spans="1:39" ht="75" hidden="1">
      <c r="A812" s="158">
        <f>OBRA!J813</f>
        <v>2024</v>
      </c>
      <c r="B812" s="1683"/>
      <c r="C812" s="411"/>
      <c r="D812" s="163"/>
      <c r="E812" s="1169"/>
      <c r="F812" s="1169"/>
      <c r="G812" s="1184"/>
      <c r="H812" s="1185" t="str">
        <f>OBRA!AF813</f>
        <v>-</v>
      </c>
      <c r="I812" s="1186"/>
      <c r="J812" s="1361" t="str">
        <f>OBRA!AG813</f>
        <v>-</v>
      </c>
      <c r="K812" s="1187"/>
      <c r="L812" s="1185" t="str">
        <f>OBRA!AH813</f>
        <v>-</v>
      </c>
      <c r="M812" s="1188"/>
      <c r="N812" s="1185" t="str">
        <f>OBRA!AI813</f>
        <v>-</v>
      </c>
      <c r="O812" s="1185"/>
      <c r="P812" s="1185"/>
      <c r="Q812" s="1187"/>
      <c r="R812" s="437" t="str">
        <f>OBRA!AJ813</f>
        <v>-</v>
      </c>
      <c r="S812" s="535"/>
      <c r="T812" s="399" t="str">
        <f>OBRA!W813</f>
        <v>INFRAESTRUCTURA GUSEV, S.A. DE C.V.</v>
      </c>
      <c r="U812" s="408" t="str">
        <f>OBRA!X813</f>
        <v>ING. J. GUADALUPE IBARRA RAMIREZ</v>
      </c>
      <c r="V812" s="1090"/>
      <c r="W812" s="33" t="str">
        <f>OBRA!N813</f>
        <v>C- OP 017/2024</v>
      </c>
      <c r="X812" s="1324"/>
      <c r="Y812" s="1202"/>
      <c r="Z812" s="409" t="str">
        <f>OBRA!M813</f>
        <v>CUENTA CORRIENTE</v>
      </c>
      <c r="AA812" s="1402"/>
      <c r="AB812" s="2" t="str">
        <f>OBRA!O813</f>
        <v>ARRENDAMIENTO</v>
      </c>
      <c r="AC812" s="3" t="str">
        <f>OBRA!P813</f>
        <v>RENTA DE RETROEXCAVADORA CAT SERIE 416E, PARA TRABAJOS DE DEMOLICIÓN Y ADECUACIONES PARA LOS EQUIPOS DE PERFORACIÓN DE POZO PROFUNDO, EN LA CABECERA MUNICIPAL DE JOCOTEPEC, JALISCO.</v>
      </c>
      <c r="AD812" s="4">
        <f>OBRA!R813</f>
        <v>696</v>
      </c>
      <c r="AE812" s="6">
        <f>OBRA!S813</f>
        <v>45372</v>
      </c>
      <c r="AF812" s="5">
        <f>OBRA!T813</f>
        <v>45358</v>
      </c>
      <c r="AG812" s="11">
        <f>OBRA!U813</f>
        <v>45363</v>
      </c>
      <c r="AH812" s="207"/>
      <c r="AI812" s="161"/>
      <c r="AJ812" s="219"/>
      <c r="AK812" s="219"/>
      <c r="AL812" s="632"/>
      <c r="AM812" s="519">
        <f>GRAL!B1036</f>
        <v>0</v>
      </c>
    </row>
    <row r="813" spans="1:39" ht="135" hidden="1">
      <c r="A813" s="158">
        <f>OBRA!J814</f>
        <v>2024</v>
      </c>
      <c r="B813" s="1683"/>
      <c r="C813" s="411"/>
      <c r="D813" s="163"/>
      <c r="E813" s="1169"/>
      <c r="F813" s="1169"/>
      <c r="G813" s="1184"/>
      <c r="H813" s="1185" t="str">
        <f>OBRA!AF814</f>
        <v>-</v>
      </c>
      <c r="I813" s="1186"/>
      <c r="J813" s="1361" t="str">
        <f>OBRA!AG814</f>
        <v>-</v>
      </c>
      <c r="K813" s="1187"/>
      <c r="L813" s="1185" t="str">
        <f>OBRA!AH814</f>
        <v>-</v>
      </c>
      <c r="M813" s="1188"/>
      <c r="N813" s="1185" t="str">
        <f>OBRA!AI814</f>
        <v>-</v>
      </c>
      <c r="O813" s="1185"/>
      <c r="P813" s="1185"/>
      <c r="Q813" s="1187"/>
      <c r="R813" s="437" t="str">
        <f>OBRA!AJ814</f>
        <v>-</v>
      </c>
      <c r="S813" s="535"/>
      <c r="T813" s="399" t="str">
        <f>OBRA!W814</f>
        <v>INFRAESTRUCTURA GUSEV, S.A. DE C.V.</v>
      </c>
      <c r="U813" s="408" t="str">
        <f>OBRA!X814</f>
        <v>C. DANIEL RODRIGUEZ VALENZUELA</v>
      </c>
      <c r="V813" s="1090"/>
      <c r="W813" s="33" t="str">
        <f>OBRA!N814</f>
        <v>C- OP 018/2024</v>
      </c>
      <c r="X813" s="1324"/>
      <c r="Y813" s="1202"/>
      <c r="Z813" s="409" t="str">
        <f>OBRA!M814</f>
        <v>CUENTA CORRIENTE</v>
      </c>
      <c r="AA813" s="1402"/>
      <c r="AB813" s="2" t="str">
        <f>OBRA!O814</f>
        <v>ARRENDAMIENTO</v>
      </c>
      <c r="AC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3" s="4">
        <f>OBRA!R814</f>
        <v>3329.2</v>
      </c>
      <c r="AE813" s="6">
        <f>OBRA!S814</f>
        <v>45415</v>
      </c>
      <c r="AF813" s="5">
        <f>OBRA!T814</f>
        <v>45418</v>
      </c>
      <c r="AG813" s="11">
        <f>OBRA!U814</f>
        <v>45437</v>
      </c>
      <c r="AH813" s="207"/>
      <c r="AI813" s="161"/>
      <c r="AJ813" s="219"/>
      <c r="AK813" s="219"/>
      <c r="AL813" s="632"/>
      <c r="AM813" s="519">
        <f>GRAL!B1037</f>
        <v>0</v>
      </c>
    </row>
    <row r="814" spans="1:39" ht="30" hidden="1">
      <c r="A814" s="158">
        <f>OBRA!J815</f>
        <v>2024</v>
      </c>
      <c r="B814" s="1683"/>
      <c r="C814" s="411"/>
      <c r="D814" s="163"/>
      <c r="E814" s="1169"/>
      <c r="F814" s="1169"/>
      <c r="G814" s="1184"/>
      <c r="H814" s="1185" t="str">
        <f>OBRA!AF815</f>
        <v>-</v>
      </c>
      <c r="I814" s="1186"/>
      <c r="J814" s="1361" t="str">
        <f>OBRA!AG815</f>
        <v>-</v>
      </c>
      <c r="K814" s="1187"/>
      <c r="L814" s="1185" t="str">
        <f>OBRA!AH815</f>
        <v>-</v>
      </c>
      <c r="M814" s="1188"/>
      <c r="N814" s="1185" t="str">
        <f>OBRA!AI815</f>
        <v>-</v>
      </c>
      <c r="O814" s="1185"/>
      <c r="P814" s="1185"/>
      <c r="Q814" s="1187"/>
      <c r="R814" s="437" t="str">
        <f>OBRA!AJ815</f>
        <v>-</v>
      </c>
      <c r="S814" s="535"/>
      <c r="T814" s="399">
        <f>OBRA!W815</f>
        <v>0</v>
      </c>
      <c r="U814" s="408" t="str">
        <f>OBRA!X815</f>
        <v>C. IMELDA KARINA PÉREZ GONZÁLEZ</v>
      </c>
      <c r="V814" s="1090"/>
      <c r="W814" s="33" t="str">
        <f>OBRA!N815</f>
        <v>C- OP 019/2024</v>
      </c>
      <c r="X814" s="1324"/>
      <c r="Y814" s="1202"/>
      <c r="Z814" s="409" t="str">
        <f>OBRA!M815</f>
        <v>CUENTA CORRIENTE</v>
      </c>
      <c r="AA814" s="1402"/>
      <c r="AB814" s="2" t="str">
        <f>OBRA!O815</f>
        <v>CANCELADA</v>
      </c>
      <c r="AC814" s="3">
        <f>OBRA!P815</f>
        <v>0</v>
      </c>
      <c r="AD814" s="4">
        <f>OBRA!R815</f>
        <v>0</v>
      </c>
      <c r="AE814" s="6" t="str">
        <f>OBRA!S815</f>
        <v>-</v>
      </c>
      <c r="AF814" s="5">
        <f>OBRA!T815</f>
        <v>0</v>
      </c>
      <c r="AG814" s="11">
        <f>OBRA!U815</f>
        <v>0</v>
      </c>
      <c r="AH814" s="207"/>
      <c r="AI814" s="161"/>
      <c r="AJ814" s="219"/>
      <c r="AK814" s="219"/>
      <c r="AL814" s="632"/>
      <c r="AM814" s="519">
        <f>GRAL!B1038</f>
        <v>0</v>
      </c>
    </row>
    <row r="815" spans="1:39" ht="180" hidden="1">
      <c r="A815" s="158">
        <f>OBRA!J816</f>
        <v>2024</v>
      </c>
      <c r="B815" s="1683"/>
      <c r="C815" s="411"/>
      <c r="D815" s="163"/>
      <c r="E815" s="1169"/>
      <c r="F815" s="1169"/>
      <c r="G815" s="1184"/>
      <c r="H815" s="1185" t="str">
        <f>OBRA!AF816</f>
        <v>-</v>
      </c>
      <c r="I815" s="1186"/>
      <c r="J815" s="1361" t="str">
        <f>OBRA!AG816</f>
        <v>-</v>
      </c>
      <c r="K815" s="1187"/>
      <c r="L815" s="1185" t="str">
        <f>OBRA!AH816</f>
        <v>-</v>
      </c>
      <c r="M815" s="1188"/>
      <c r="N815" s="1185" t="str">
        <f>OBRA!AI816</f>
        <v>-</v>
      </c>
      <c r="O815" s="1185"/>
      <c r="P815" s="1185"/>
      <c r="Q815" s="1187"/>
      <c r="R815" s="437" t="str">
        <f>OBRA!AJ816</f>
        <v>-</v>
      </c>
      <c r="S815" s="535"/>
      <c r="T815" s="399" t="str">
        <f>OBRA!W816</f>
        <v>GURPO CONSTRUCTOR GASPEC, S.A. DE C.V.</v>
      </c>
      <c r="U815" s="408" t="str">
        <f>OBRA!X816</f>
        <v>C. DANIEL RODRIGUEZ VALENZUELA</v>
      </c>
      <c r="V815" s="1090"/>
      <c r="W815" s="33" t="str">
        <f>OBRA!N816</f>
        <v>C- OP 020/2024</v>
      </c>
      <c r="X815" s="1324"/>
      <c r="Y815" s="1202"/>
      <c r="Z815" s="409" t="str">
        <f>OBRA!M816</f>
        <v>CUENTA CORRIENTE</v>
      </c>
      <c r="AA815" s="1402"/>
      <c r="AB815" s="2" t="str">
        <f>OBRA!O816</f>
        <v>ARRENDAMIENTO</v>
      </c>
      <c r="AC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5" s="4">
        <f>OBRA!R816</f>
        <v>2888.3999999999996</v>
      </c>
      <c r="AE815" s="6">
        <f>OBRA!S816</f>
        <v>45468</v>
      </c>
      <c r="AF815" s="5">
        <f>OBRA!T816</f>
        <v>45469</v>
      </c>
      <c r="AG815" s="11">
        <f>OBRA!U816</f>
        <v>45499</v>
      </c>
      <c r="AH815" s="207"/>
      <c r="AI815" s="161"/>
      <c r="AJ815" s="219"/>
      <c r="AK815" s="219"/>
      <c r="AL815" s="632"/>
      <c r="AM815" s="519">
        <f>GRAL!B1039</f>
        <v>0</v>
      </c>
    </row>
    <row r="816" spans="1:39" ht="105" hidden="1">
      <c r="A816" s="158">
        <f>OBRA!J817</f>
        <v>2024</v>
      </c>
      <c r="B816" s="1683"/>
      <c r="C816" s="411"/>
      <c r="D816" s="163"/>
      <c r="E816" s="1169"/>
      <c r="F816" s="1169"/>
      <c r="G816" s="1184"/>
      <c r="H816" s="1185" t="str">
        <f>OBRA!AF817</f>
        <v>-</v>
      </c>
      <c r="I816" s="1186"/>
      <c r="J816" s="1361" t="str">
        <f>OBRA!AG817</f>
        <v>-</v>
      </c>
      <c r="K816" s="1187"/>
      <c r="L816" s="1185" t="str">
        <f>OBRA!AH817</f>
        <v>-</v>
      </c>
      <c r="M816" s="1188"/>
      <c r="N816" s="1185" t="str">
        <f>OBRA!AI817</f>
        <v>-</v>
      </c>
      <c r="O816" s="1185"/>
      <c r="P816" s="1185"/>
      <c r="Q816" s="1187"/>
      <c r="R816" s="437" t="str">
        <f>OBRA!AJ817</f>
        <v>-</v>
      </c>
      <c r="S816" s="535"/>
      <c r="T816" s="399" t="str">
        <f>OBRA!W817</f>
        <v>DZ SERVICIOS CONSTRUCTIVOS E INFRAESTRUCTURA, S.A.S. DE C.V.</v>
      </c>
      <c r="U816" s="408" t="str">
        <f>OBRA!X817</f>
        <v>ARQ. JAIME CONDE GOMEZ</v>
      </c>
      <c r="V816" s="1090"/>
      <c r="W816" s="33" t="str">
        <f>OBRA!N817</f>
        <v>C- OP 021/2024</v>
      </c>
      <c r="X816" s="1324"/>
      <c r="Y816" s="1202"/>
      <c r="Z816" s="409" t="str">
        <f>OBRA!M817</f>
        <v>CUENTA CORRIENTE</v>
      </c>
      <c r="AA816" s="1402"/>
      <c r="AB816" s="2" t="str">
        <f>OBRA!O817</f>
        <v>ARRENDAMIENTO</v>
      </c>
      <c r="AC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6" s="4">
        <f>OBRA!R817</f>
        <v>1252.8</v>
      </c>
      <c r="AE816" s="6">
        <f>OBRA!S817</f>
        <v>45397</v>
      </c>
      <c r="AF816" s="5">
        <f>OBRA!T817</f>
        <v>45399</v>
      </c>
      <c r="AG816" s="11">
        <f>OBRA!U817</f>
        <v>45434</v>
      </c>
      <c r="AH816" s="207"/>
      <c r="AI816" s="161"/>
      <c r="AJ816" s="219"/>
      <c r="AK816" s="219"/>
      <c r="AL816" s="632"/>
      <c r="AM816" s="519">
        <f>GRAL!B1040</f>
        <v>0</v>
      </c>
    </row>
    <row r="817" spans="1:39" ht="30" hidden="1">
      <c r="A817" s="158">
        <f>OBRA!J818</f>
        <v>2024</v>
      </c>
      <c r="B817" s="1683"/>
      <c r="C817" s="411"/>
      <c r="D817" s="163"/>
      <c r="E817" s="1169"/>
      <c r="F817" s="1169"/>
      <c r="G817" s="1184"/>
      <c r="H817" s="1185" t="str">
        <f>OBRA!AF818</f>
        <v>-</v>
      </c>
      <c r="I817" s="1186"/>
      <c r="J817" s="1361" t="str">
        <f>OBRA!AG818</f>
        <v>-</v>
      </c>
      <c r="K817" s="1187"/>
      <c r="L817" s="1185" t="str">
        <f>OBRA!AH818</f>
        <v>-</v>
      </c>
      <c r="M817" s="1188"/>
      <c r="N817" s="1185" t="str">
        <f>OBRA!AI818</f>
        <v>-</v>
      </c>
      <c r="O817" s="1185"/>
      <c r="P817" s="1185"/>
      <c r="Q817" s="1187"/>
      <c r="R817" s="437" t="str">
        <f>OBRA!AJ818</f>
        <v>-</v>
      </c>
      <c r="S817" s="535"/>
      <c r="T817" s="399">
        <f>OBRA!W818</f>
        <v>0</v>
      </c>
      <c r="U817" s="408" t="str">
        <f>OBRA!X818</f>
        <v>C. IMELDA KARINA PÉREZ GONZÁLEZ</v>
      </c>
      <c r="V817" s="1090"/>
      <c r="W817" s="33" t="str">
        <f>OBRA!N818</f>
        <v>C- OP 022/2024</v>
      </c>
      <c r="X817" s="1324"/>
      <c r="Y817" s="1202"/>
      <c r="Z817" s="409" t="str">
        <f>OBRA!M818</f>
        <v>CUENTA CORRIENTE</v>
      </c>
      <c r="AA817" s="1402"/>
      <c r="AB817" s="2" t="str">
        <f>OBRA!O818</f>
        <v>CANCELADA</v>
      </c>
      <c r="AC817" s="3">
        <f>OBRA!P818</f>
        <v>0</v>
      </c>
      <c r="AD817" s="4">
        <f>OBRA!R818</f>
        <v>0</v>
      </c>
      <c r="AE817" s="6" t="str">
        <f>OBRA!S818</f>
        <v>-</v>
      </c>
      <c r="AF817" s="5">
        <f>OBRA!T818</f>
        <v>0</v>
      </c>
      <c r="AG817" s="11">
        <f>OBRA!U818</f>
        <v>0</v>
      </c>
      <c r="AH817" s="207"/>
      <c r="AI817" s="161"/>
      <c r="AJ817" s="219"/>
      <c r="AK817" s="219"/>
      <c r="AL817" s="632"/>
      <c r="AM817" s="519">
        <f>GRAL!B1041</f>
        <v>0</v>
      </c>
    </row>
    <row r="818" spans="1:39" ht="135" hidden="1">
      <c r="A818" s="158">
        <f>OBRA!J819</f>
        <v>2024</v>
      </c>
      <c r="B818" s="1683"/>
      <c r="C818" s="411"/>
      <c r="D818" s="163"/>
      <c r="E818" s="1169"/>
      <c r="F818" s="1169"/>
      <c r="G818" s="1184"/>
      <c r="H818" s="1185" t="str">
        <f>OBRA!AF819</f>
        <v>-</v>
      </c>
      <c r="I818" s="1186"/>
      <c r="J818" s="1361" t="str">
        <f>OBRA!AG819</f>
        <v>-</v>
      </c>
      <c r="K818" s="1187"/>
      <c r="L818" s="1185" t="str">
        <f>OBRA!AH819</f>
        <v>-</v>
      </c>
      <c r="M818" s="1188"/>
      <c r="N818" s="1185" t="str">
        <f>OBRA!AI819</f>
        <v>-</v>
      </c>
      <c r="O818" s="1185"/>
      <c r="P818" s="1185"/>
      <c r="Q818" s="1187"/>
      <c r="R818" s="437" t="str">
        <f>OBRA!AJ819</f>
        <v>-</v>
      </c>
      <c r="S818" s="535"/>
      <c r="T818" s="399" t="str">
        <f>OBRA!W819</f>
        <v>TERRACERÍAS Y PAVIMENTOS DE LA RIBERA, S.A. DE C.V.</v>
      </c>
      <c r="U818" s="408" t="str">
        <f>OBRA!X819</f>
        <v>ING. LUIS RIGOBERTO OLMEDO NAVARRO</v>
      </c>
      <c r="V818" s="1090"/>
      <c r="W818" s="33" t="str">
        <f>OBRA!N819</f>
        <v>C- OP 023/2024</v>
      </c>
      <c r="X818" s="1324"/>
      <c r="Y818" s="1202"/>
      <c r="Z818" s="409" t="str">
        <f>OBRA!M819</f>
        <v>CUENTA CORRIENTE</v>
      </c>
      <c r="AA818" s="1402"/>
      <c r="AB818" s="2" t="str">
        <f>OBRA!O819</f>
        <v>ARRENDAMIENTO</v>
      </c>
      <c r="AC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8" s="4">
        <f>OBRA!R819</f>
        <v>1400.0039999999999</v>
      </c>
      <c r="AE818" s="6">
        <f>OBRA!S819</f>
        <v>45491</v>
      </c>
      <c r="AF818" s="5">
        <f>OBRA!T819</f>
        <v>45495</v>
      </c>
      <c r="AG818" s="11">
        <f>OBRA!U819</f>
        <v>45504</v>
      </c>
      <c r="AH818" s="207"/>
      <c r="AI818" s="161"/>
      <c r="AJ818" s="219"/>
      <c r="AK818" s="219"/>
      <c r="AL818" s="632"/>
      <c r="AM818" s="519">
        <f>GRAL!B1042</f>
        <v>0</v>
      </c>
    </row>
    <row r="819" spans="1:39" ht="135" hidden="1">
      <c r="A819" s="158">
        <f>OBRA!J820</f>
        <v>2024</v>
      </c>
      <c r="B819" s="1683"/>
      <c r="C819" s="411"/>
      <c r="D819" s="163"/>
      <c r="E819" s="1169"/>
      <c r="F819" s="1169"/>
      <c r="G819" s="1184"/>
      <c r="H819" s="1185" t="str">
        <f>OBRA!AF820</f>
        <v>-</v>
      </c>
      <c r="I819" s="1186"/>
      <c r="J819" s="1361" t="str">
        <f>OBRA!AG820</f>
        <v>-</v>
      </c>
      <c r="K819" s="1187"/>
      <c r="L819" s="1185" t="str">
        <f>OBRA!AH820</f>
        <v>-</v>
      </c>
      <c r="M819" s="1188"/>
      <c r="N819" s="1185" t="str">
        <f>OBRA!AI820</f>
        <v>-</v>
      </c>
      <c r="O819" s="1185"/>
      <c r="P819" s="1185"/>
      <c r="Q819" s="1187"/>
      <c r="R819" s="437" t="str">
        <f>OBRA!AJ820</f>
        <v>-</v>
      </c>
      <c r="S819" s="535"/>
      <c r="T819" s="399" t="str">
        <f>OBRA!W820</f>
        <v>ING. SERGIO CABRERA</v>
      </c>
      <c r="U819" s="408" t="str">
        <f>OBRA!X820</f>
        <v>C. DANIEL RODRIGUEZ VALENZUELA</v>
      </c>
      <c r="V819" s="1090"/>
      <c r="W819" s="33" t="str">
        <f>OBRA!N820</f>
        <v>C- OP 024/2024</v>
      </c>
      <c r="X819" s="1324"/>
      <c r="Y819" s="1202"/>
      <c r="Z819" s="409" t="str">
        <f>OBRA!M820</f>
        <v>CUENTA CORRIENTE</v>
      </c>
      <c r="AA819" s="1402"/>
      <c r="AB819" s="2" t="str">
        <f>OBRA!O820</f>
        <v>ARRENDAMIENTO</v>
      </c>
      <c r="AC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9" s="4">
        <f>OBRA!R820</f>
        <v>9512</v>
      </c>
      <c r="AE819" s="6">
        <f>OBRA!S820</f>
        <v>45531</v>
      </c>
      <c r="AF819" s="5">
        <f>OBRA!T820</f>
        <v>45533</v>
      </c>
      <c r="AG819" s="11">
        <f>OBRA!U820</f>
        <v>45537</v>
      </c>
      <c r="AH819" s="207"/>
      <c r="AI819" s="161"/>
      <c r="AJ819" s="219"/>
      <c r="AK819" s="219"/>
      <c r="AL819" s="632"/>
      <c r="AM819" s="519">
        <f>GRAL!B1043</f>
        <v>0</v>
      </c>
    </row>
    <row r="820" spans="1:39" ht="135" hidden="1">
      <c r="A820" s="158">
        <f>OBRA!J821</f>
        <v>2024</v>
      </c>
      <c r="B820" s="1683"/>
      <c r="C820" s="411"/>
      <c r="D820" s="163"/>
      <c r="E820" s="1169"/>
      <c r="F820" s="1169"/>
      <c r="G820" s="1184"/>
      <c r="H820" s="1185" t="str">
        <f>OBRA!AF821</f>
        <v>-</v>
      </c>
      <c r="I820" s="1186"/>
      <c r="J820" s="1361" t="str">
        <f>OBRA!AG821</f>
        <v>-</v>
      </c>
      <c r="K820" s="1187"/>
      <c r="L820" s="1185" t="str">
        <f>OBRA!AH821</f>
        <v>-</v>
      </c>
      <c r="M820" s="1188"/>
      <c r="N820" s="1185" t="str">
        <f>OBRA!AI821</f>
        <v>-</v>
      </c>
      <c r="O820" s="1185"/>
      <c r="P820" s="1185"/>
      <c r="Q820" s="1187"/>
      <c r="R820" s="437" t="str">
        <f>OBRA!AJ821</f>
        <v>-</v>
      </c>
      <c r="S820" s="535"/>
      <c r="T820" s="399" t="str">
        <f>OBRA!W821</f>
        <v>GURPO CONSTRUCTOR GASPEC, S.A. DE C.V.</v>
      </c>
      <c r="U820" s="408" t="str">
        <f>OBRA!X821</f>
        <v>C. DANIEL RODRIGUEZ VALENZUELA</v>
      </c>
      <c r="V820" s="1090"/>
      <c r="W820" s="33" t="str">
        <f>OBRA!N821</f>
        <v>C- OP 025/2024</v>
      </c>
      <c r="X820" s="1324"/>
      <c r="Y820" s="1202"/>
      <c r="Z820" s="409" t="str">
        <f>OBRA!M821</f>
        <v>CUENTA CORRIENTE</v>
      </c>
      <c r="AA820" s="1402"/>
      <c r="AB820" s="2" t="str">
        <f>OBRA!O821</f>
        <v>ARRENDAMIENTO</v>
      </c>
      <c r="AC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OBRA!R821</f>
        <v>4452.1611999999996</v>
      </c>
      <c r="AE820" s="6">
        <f>OBRA!S821</f>
        <v>45474</v>
      </c>
      <c r="AF820" s="5">
        <f>OBRA!T821</f>
        <v>45488</v>
      </c>
      <c r="AG820" s="11">
        <f>OBRA!U821</f>
        <v>45545</v>
      </c>
      <c r="AH820" s="207"/>
      <c r="AI820" s="161"/>
      <c r="AJ820" s="219"/>
      <c r="AK820" s="219"/>
      <c r="AL820" s="632"/>
      <c r="AM820" s="519">
        <f>GRAL!B1044</f>
        <v>0</v>
      </c>
    </row>
    <row r="821" spans="1:39" ht="135" hidden="1">
      <c r="A821" s="158">
        <f>OBRA!J822</f>
        <v>2024</v>
      </c>
      <c r="B821" s="1683"/>
      <c r="C821" s="411"/>
      <c r="D821" s="163"/>
      <c r="E821" s="1169"/>
      <c r="F821" s="1169"/>
      <c r="G821" s="1184"/>
      <c r="H821" s="1185" t="str">
        <f>OBRA!AF822</f>
        <v>-</v>
      </c>
      <c r="I821" s="1186"/>
      <c r="J821" s="1361" t="str">
        <f>OBRA!AG822</f>
        <v>-</v>
      </c>
      <c r="K821" s="1187"/>
      <c r="L821" s="1185" t="str">
        <f>OBRA!AH822</f>
        <v>-</v>
      </c>
      <c r="M821" s="1188"/>
      <c r="N821" s="1185" t="str">
        <f>OBRA!AI822</f>
        <v>-</v>
      </c>
      <c r="O821" s="1185"/>
      <c r="P821" s="1185"/>
      <c r="Q821" s="1187"/>
      <c r="R821" s="437" t="str">
        <f>OBRA!AJ822</f>
        <v>-</v>
      </c>
      <c r="S821" s="535"/>
      <c r="T821" s="399" t="str">
        <f>OBRA!W822</f>
        <v>GURPO CONSTRUCTOR GASPEC, S.A. DE C.V.</v>
      </c>
      <c r="U821" s="408" t="str">
        <f>OBRA!X822</f>
        <v>C. DANIEL RODRIGUEZ VALENZUELA</v>
      </c>
      <c r="V821" s="1090"/>
      <c r="W821" s="33" t="str">
        <f>OBRA!N822</f>
        <v>C- OP 026/2024</v>
      </c>
      <c r="X821" s="1324"/>
      <c r="Y821" s="1202"/>
      <c r="Z821" s="409" t="str">
        <f>OBRA!M822</f>
        <v>CUENTA CORRIENTE</v>
      </c>
      <c r="AA821" s="1402"/>
      <c r="AB821" s="2" t="str">
        <f>OBRA!O822</f>
        <v>ARRENDAMIENTO</v>
      </c>
      <c r="AC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1" s="4">
        <f>OBRA!R822</f>
        <v>4452.1611999999996</v>
      </c>
      <c r="AE821" s="6">
        <f>OBRA!S822</f>
        <v>45474</v>
      </c>
      <c r="AF821" s="5">
        <f>OBRA!T822</f>
        <v>45488</v>
      </c>
      <c r="AG821" s="11">
        <f>OBRA!U822</f>
        <v>45545</v>
      </c>
      <c r="AH821" s="207"/>
      <c r="AI821" s="161"/>
      <c r="AJ821" s="219"/>
      <c r="AK821" s="219"/>
      <c r="AL821" s="632"/>
      <c r="AM821" s="519">
        <f>GRAL!B1045</f>
        <v>0</v>
      </c>
    </row>
    <row r="822" spans="1:39" ht="90" hidden="1">
      <c r="A822" s="158">
        <f>OBRA!J823</f>
        <v>2024</v>
      </c>
      <c r="B822" s="1683"/>
      <c r="C822" s="411"/>
      <c r="D822" s="163"/>
      <c r="E822" s="1169"/>
      <c r="F822" s="1169"/>
      <c r="G822" s="1184"/>
      <c r="H822" s="1185" t="str">
        <f>OBRA!AF823</f>
        <v>-</v>
      </c>
      <c r="I822" s="1186"/>
      <c r="J822" s="1361" t="str">
        <f>OBRA!AG823</f>
        <v>-</v>
      </c>
      <c r="K822" s="1187"/>
      <c r="L822" s="1185" t="str">
        <f>OBRA!AH823</f>
        <v>-</v>
      </c>
      <c r="M822" s="1188"/>
      <c r="N822" s="1185" t="str">
        <f>OBRA!AI823</f>
        <v>-</v>
      </c>
      <c r="O822" s="1185"/>
      <c r="P822" s="1185"/>
      <c r="Q822" s="1187"/>
      <c r="R822" s="437" t="str">
        <f>OBRA!AJ823</f>
        <v>-</v>
      </c>
      <c r="S822" s="535"/>
      <c r="T822" s="399" t="str">
        <f>OBRA!W823</f>
        <v>ING. SERGIO CABRERA</v>
      </c>
      <c r="U822" s="408" t="str">
        <f>OBRA!X823</f>
        <v>C. DANIEL RODRIGUEZ VALENZUELA</v>
      </c>
      <c r="V822" s="1090"/>
      <c r="W822" s="33" t="str">
        <f>OBRA!N823</f>
        <v>C- OP 027/2024</v>
      </c>
      <c r="X822" s="1324"/>
      <c r="Y822" s="1202"/>
      <c r="Z822" s="409" t="str">
        <f>OBRA!M823</f>
        <v>CUENTA CORRIENTE</v>
      </c>
      <c r="AA822" s="1402"/>
      <c r="AB822" s="2" t="str">
        <f>OBRA!O823</f>
        <v>ARRENDAMIENTO</v>
      </c>
      <c r="AC822" s="3" t="str">
        <f>OBRA!P823</f>
        <v>RENTA DE UNA RETROEXCAVADORA 420E, UN CAMIÓN VOLTEO DE 14 M3 Y JORNAL DE LIMPIEZA, PARA LOS TRABAJOS DE LIMPIEZA EN LA CALLE DEGOLLADO DE CALLE MATAMOROS A CALLE NICOLÁS BRAVO, EN LA CABECERA MUNICIPAL DE JOCOTEPEC, JALISCO.</v>
      </c>
      <c r="AD822" s="4">
        <f>OBRA!R823</f>
        <v>2204</v>
      </c>
      <c r="AE822" s="6">
        <f>OBRA!S823</f>
        <v>45541</v>
      </c>
      <c r="AF822" s="5">
        <f>OBRA!T823</f>
        <v>45544</v>
      </c>
      <c r="AG822" s="11">
        <f>OBRA!U823</f>
        <v>45548</v>
      </c>
      <c r="AH822" s="207"/>
      <c r="AI822" s="161"/>
      <c r="AJ822" s="219"/>
      <c r="AK822" s="219"/>
      <c r="AL822" s="632"/>
      <c r="AM822" s="519">
        <f>GRAL!B1046</f>
        <v>0</v>
      </c>
    </row>
    <row r="823" spans="1:39" ht="90" hidden="1">
      <c r="A823" s="158">
        <f>OBRA!J824</f>
        <v>2024</v>
      </c>
      <c r="B823" s="1683"/>
      <c r="C823" s="411"/>
      <c r="D823" s="163"/>
      <c r="E823" s="1169"/>
      <c r="F823" s="1169"/>
      <c r="G823" s="1184"/>
      <c r="H823" s="1185" t="str">
        <f>OBRA!AF824</f>
        <v>-</v>
      </c>
      <c r="I823" s="1186"/>
      <c r="J823" s="1361" t="str">
        <f>OBRA!AG824</f>
        <v>-</v>
      </c>
      <c r="K823" s="1187"/>
      <c r="L823" s="1185" t="str">
        <f>OBRA!AH824</f>
        <v>-</v>
      </c>
      <c r="M823" s="1188"/>
      <c r="N823" s="1185" t="str">
        <f>OBRA!AI824</f>
        <v>-</v>
      </c>
      <c r="O823" s="1185"/>
      <c r="P823" s="1185"/>
      <c r="Q823" s="1187"/>
      <c r="R823" s="437" t="str">
        <f>OBRA!AJ824</f>
        <v>-</v>
      </c>
      <c r="S823" s="535"/>
      <c r="T823" s="399" t="str">
        <f>OBRA!W824</f>
        <v>-</v>
      </c>
      <c r="U823" s="408" t="str">
        <f>OBRA!X824</f>
        <v>ING. LUIS RIGOBERTO OLMEDO NAVARRO</v>
      </c>
      <c r="V823" s="1090"/>
      <c r="W823" s="33" t="str">
        <f>OBRA!N824</f>
        <v>DOP/AD/001/2024</v>
      </c>
      <c r="X823" s="1324"/>
      <c r="Y823" s="1202"/>
      <c r="Z823" s="409" t="str">
        <f>OBRA!M824</f>
        <v>REGULARIZACIÓN DE VEHÍCULOS DE PROCEDENCIA EXTRANJERA - RAMO 23/2024</v>
      </c>
      <c r="AA823" s="1402"/>
      <c r="AB823" s="2" t="str">
        <f>OBRA!O824</f>
        <v>ADMINISTRACIÓN DIRECTA</v>
      </c>
      <c r="AC823" s="3" t="str">
        <f>OBRA!P824</f>
        <v>"BACHEO SUPERFICIAL AISLADO CON MEZCLA ASFÁLTICA EN LA CALLE NIÑÓS HÉROES ENTRE CALLE DEGOLLADO Y CALLE ITURBIDE EN EL BARRIO LA CALABAZA DE LA CABECERA MUNICIPAL DE JOCOTEPEC, JALISCO, MUNICIPIO DE JOCOTEPEC, JALISCO</v>
      </c>
      <c r="AD823" s="4">
        <f>OBRA!R824</f>
        <v>89910</v>
      </c>
      <c r="AE823" s="6" t="str">
        <f>OBRA!S824</f>
        <v>-</v>
      </c>
      <c r="AF823" s="5">
        <f>OBRA!T824</f>
        <v>45392</v>
      </c>
      <c r="AG823" s="11">
        <f>OBRA!U824</f>
        <v>45394</v>
      </c>
      <c r="AH823" s="207"/>
      <c r="AI823" s="161"/>
      <c r="AJ823" s="219"/>
      <c r="AK823" s="219"/>
      <c r="AL823" s="632"/>
      <c r="AM823" s="519">
        <f>GRAL!B1030</f>
        <v>0</v>
      </c>
    </row>
    <row r="824" spans="1:39" ht="60" hidden="1">
      <c r="A824" s="158">
        <f>OBRA!J825</f>
        <v>2024</v>
      </c>
      <c r="B824" s="1683"/>
      <c r="C824" s="411"/>
      <c r="D824" s="163"/>
      <c r="E824" s="1169"/>
      <c r="F824" s="1169"/>
      <c r="G824" s="1184"/>
      <c r="H824" s="1185" t="str">
        <f>OBRA!AF825</f>
        <v>-</v>
      </c>
      <c r="I824" s="1186"/>
      <c r="J824" s="1361" t="str">
        <f>OBRA!AG825</f>
        <v>-</v>
      </c>
      <c r="K824" s="1187"/>
      <c r="L824" s="1185" t="str">
        <f>OBRA!AH825</f>
        <v>-</v>
      </c>
      <c r="M824" s="1188"/>
      <c r="N824" s="1185" t="str">
        <f>OBRA!AI825</f>
        <v>-</v>
      </c>
      <c r="O824" s="1185"/>
      <c r="P824" s="1185"/>
      <c r="Q824" s="1187"/>
      <c r="R824" s="437" t="str">
        <f>OBRA!AJ825</f>
        <v>-</v>
      </c>
      <c r="S824" s="535"/>
      <c r="T824" s="399" t="str">
        <f>OBRA!W825</f>
        <v>-</v>
      </c>
      <c r="U824" s="408" t="str">
        <f>OBRA!X825</f>
        <v>C. DANIEL RODRIGUEZ VALENZUELA</v>
      </c>
      <c r="V824" s="1090"/>
      <c r="W824" s="33" t="str">
        <f>OBRA!N825</f>
        <v>DOP/AD/002/2024</v>
      </c>
      <c r="X824" s="1324"/>
      <c r="Y824" s="1202"/>
      <c r="Z824" s="409" t="str">
        <f>OBRA!M825</f>
        <v>RAMO 33</v>
      </c>
      <c r="AA824" s="1402"/>
      <c r="AB824" s="2" t="str">
        <f>OBRA!O825</f>
        <v>ADMINISTRACIÓN DIRECTA</v>
      </c>
      <c r="AC824" s="3" t="str">
        <f>OBRA!P825</f>
        <v>"CONSTRUCCIÓN DE DRENAJE EN CARRETERA JOCOTEPEC-CHAPALA DE CALLE XOCHITL A CALLE PLAYAS DEL SOL", EN LA LOCALIDAD DE CHANTEPEC, MUNICIPIO DE JOCOTEPEC, JALISCO.</v>
      </c>
      <c r="AD824" s="4">
        <f>OBRA!R825</f>
        <v>448614.85</v>
      </c>
      <c r="AE824" s="6">
        <f>OBRA!S825</f>
        <v>45414</v>
      </c>
      <c r="AF824" s="5">
        <f>OBRA!T825</f>
        <v>45418</v>
      </c>
      <c r="AG824" s="11">
        <f>OBRA!U825</f>
        <v>45437</v>
      </c>
      <c r="AH824" s="207"/>
      <c r="AI824" s="161"/>
      <c r="AJ824" s="219"/>
      <c r="AK824" s="219"/>
      <c r="AL824" s="632"/>
      <c r="AM824" s="519">
        <f>GRAL!B1031</f>
        <v>0</v>
      </c>
    </row>
    <row r="825" spans="1:39" ht="45" hidden="1">
      <c r="A825" s="158">
        <f>OBRA!J826</f>
        <v>2024</v>
      </c>
      <c r="B825" s="1683"/>
      <c r="C825" s="411"/>
      <c r="D825" s="163"/>
      <c r="E825" s="1169"/>
      <c r="F825" s="1169"/>
      <c r="G825" s="1184"/>
      <c r="H825" s="1185" t="str">
        <f>OBRA!AF826</f>
        <v>-</v>
      </c>
      <c r="I825" s="1186"/>
      <c r="J825" s="1361" t="str">
        <f>OBRA!AG826</f>
        <v>-</v>
      </c>
      <c r="K825" s="1187"/>
      <c r="L825" s="1185" t="str">
        <f>OBRA!AH826</f>
        <v>-</v>
      </c>
      <c r="M825" s="1188"/>
      <c r="N825" s="1185" t="str">
        <f>OBRA!AI826</f>
        <v>-</v>
      </c>
      <c r="O825" s="1185"/>
      <c r="P825" s="1185"/>
      <c r="Q825" s="1187"/>
      <c r="R825" s="437" t="str">
        <f>OBRA!AJ826</f>
        <v>-</v>
      </c>
      <c r="S825" s="535"/>
      <c r="T825" s="399" t="str">
        <f>OBRA!W826</f>
        <v>-</v>
      </c>
      <c r="U825" s="408" t="str">
        <f>OBRA!X826</f>
        <v>C. DANIEL RODRIGUEZ VALENZUELA</v>
      </c>
      <c r="V825" s="1090"/>
      <c r="W825" s="33" t="str">
        <f>OBRA!N826</f>
        <v>DOP/AD/003/2024</v>
      </c>
      <c r="X825" s="1324"/>
      <c r="Y825" s="1202"/>
      <c r="Z825" s="409" t="str">
        <f>OBRA!M826</f>
        <v>CUENTA CORRIENTE</v>
      </c>
      <c r="AA825" s="1402"/>
      <c r="AB825" s="2" t="str">
        <f>OBRA!O826</f>
        <v>ADMINISTRACIÓN DIRECTA</v>
      </c>
      <c r="AC825" s="3" t="str">
        <f>OBRA!P826</f>
        <v xml:space="preserve">"DELIMITACIÓN PERIMETRAL, CASETA DE CONTROL U CLORACIÓN DEL POZO DE AGUA", EN LA LOCALIDAD DE SAN PEDRO TESITÁN </v>
      </c>
      <c r="AD825" s="4">
        <f>OBRA!R826</f>
        <v>831839.5</v>
      </c>
      <c r="AE825" s="6">
        <f>OBRA!S826</f>
        <v>45432</v>
      </c>
      <c r="AF825" s="5">
        <f>OBRA!T826</f>
        <v>45434</v>
      </c>
      <c r="AG825" s="11">
        <f>OBRA!U826</f>
        <v>45478</v>
      </c>
      <c r="AH825" s="207"/>
      <c r="AI825" s="161"/>
      <c r="AJ825" s="219"/>
      <c r="AK825" s="219"/>
      <c r="AL825" s="632"/>
      <c r="AM825" s="519">
        <f>GRAL!B1032</f>
        <v>0</v>
      </c>
    </row>
    <row r="826" spans="1:39" ht="60" hidden="1">
      <c r="A826" s="158">
        <f>OBRA!J827</f>
        <v>2024</v>
      </c>
      <c r="B826" s="1683"/>
      <c r="C826" s="411"/>
      <c r="D826" s="163"/>
      <c r="E826" s="1169"/>
      <c r="F826" s="1169"/>
      <c r="G826" s="1184"/>
      <c r="H826" s="1185" t="str">
        <f>OBRA!AF827</f>
        <v>-</v>
      </c>
      <c r="I826" s="1186"/>
      <c r="J826" s="1361" t="str">
        <f>OBRA!AG827</f>
        <v>-</v>
      </c>
      <c r="K826" s="1187"/>
      <c r="L826" s="1185" t="str">
        <f>OBRA!AH827</f>
        <v>-</v>
      </c>
      <c r="M826" s="1188"/>
      <c r="N826" s="1185" t="str">
        <f>OBRA!AI827</f>
        <v>-</v>
      </c>
      <c r="O826" s="1185"/>
      <c r="P826" s="1185"/>
      <c r="Q826" s="1187"/>
      <c r="R826" s="437" t="str">
        <f>OBRA!AJ827</f>
        <v>-</v>
      </c>
      <c r="S826" s="535"/>
      <c r="T826" s="399" t="str">
        <f>OBRA!W827</f>
        <v>-</v>
      </c>
      <c r="U826" s="408" t="str">
        <f>OBRA!X827</f>
        <v>C. DANIEL RODRIGUEZ VALENZUELA</v>
      </c>
      <c r="V826" s="1090"/>
      <c r="W826" s="33" t="str">
        <f>OBRA!N827</f>
        <v>DOP/AD/004/2024</v>
      </c>
      <c r="X826" s="1324"/>
      <c r="Y826" s="1202"/>
      <c r="Z826" s="409" t="str">
        <f>OBRA!M827</f>
        <v>RAMO 33</v>
      </c>
      <c r="AA826" s="1402"/>
      <c r="AB826" s="2" t="str">
        <f>OBRA!O827</f>
        <v>ADMINISTRACIÓN DIRECTA</v>
      </c>
      <c r="AC826" s="3" t="str">
        <f>OBRA!P827</f>
        <v>"REHABILITACIÓN DE SUPERFICIE DE RODAMIENTO Y CONSTRUCCIÓN DE BOCA DE TORMENTA EN CALLE MATAMOROS", EN LA CABECERA MUNICIPAL DE JOCOTEPEC, JALISCO.</v>
      </c>
      <c r="AD826" s="4">
        <f>OBRA!R827</f>
        <v>1572787.58</v>
      </c>
      <c r="AE826" s="6">
        <f>OBRA!S827</f>
        <v>45474</v>
      </c>
      <c r="AF826" s="5">
        <f>OBRA!T827</f>
        <v>45488</v>
      </c>
      <c r="AG826" s="11">
        <f>OBRA!U827</f>
        <v>45545</v>
      </c>
      <c r="AH826" s="207"/>
      <c r="AI826" s="161"/>
      <c r="AJ826" s="219"/>
      <c r="AK826" s="219"/>
      <c r="AL826" s="632"/>
      <c r="AM826" s="519">
        <f>GRAL!B1033</f>
        <v>0</v>
      </c>
    </row>
    <row r="827" spans="1:39" ht="60" hidden="1">
      <c r="A827" s="158">
        <f>OBRA!J828</f>
        <v>2024</v>
      </c>
      <c r="B827" s="1683"/>
      <c r="C827" s="411"/>
      <c r="D827" s="163"/>
      <c r="E827" s="1169"/>
      <c r="F827" s="1169"/>
      <c r="G827" s="1184"/>
      <c r="H827" s="1185" t="str">
        <f>OBRA!AF828</f>
        <v>-</v>
      </c>
      <c r="I827" s="1186"/>
      <c r="J827" s="1361" t="str">
        <f>OBRA!AG828</f>
        <v>-</v>
      </c>
      <c r="K827" s="1187"/>
      <c r="L827" s="1185" t="str">
        <f>OBRA!AH828</f>
        <v>-</v>
      </c>
      <c r="M827" s="1188"/>
      <c r="N827" s="1185" t="str">
        <f>OBRA!AI828</f>
        <v>-</v>
      </c>
      <c r="O827" s="1185"/>
      <c r="P827" s="1185"/>
      <c r="Q827" s="1187"/>
      <c r="R827" s="437" t="str">
        <f>OBRA!AJ828</f>
        <v>-</v>
      </c>
      <c r="S827" s="535"/>
      <c r="T827" s="399" t="str">
        <f>OBRA!W828</f>
        <v>-</v>
      </c>
      <c r="U827" s="408" t="str">
        <f>OBRA!X828</f>
        <v>ARQ. JOSÉ ANTONIO CASILLAS MEDINA</v>
      </c>
      <c r="V827" s="1090"/>
      <c r="W827" s="33" t="str">
        <f>OBRA!N828</f>
        <v>DOP/AD/005/2024</v>
      </c>
      <c r="X827" s="1324"/>
      <c r="Y827" s="1202"/>
      <c r="Z827" s="409" t="str">
        <f>OBRA!M828</f>
        <v>CUENTA CORRIENTE</v>
      </c>
      <c r="AA827" s="1402"/>
      <c r="AB827" s="2" t="str">
        <f>OBRA!O828</f>
        <v>ADMINISTRACIÓN DIRECTA</v>
      </c>
      <c r="AC827" s="3" t="str">
        <f>OBRA!P828</f>
        <v>"REHABILITACIÓN DE SUPERFICIE DE RODAMIENTO Y CONSTRUCCIÓN DE BOCA DE TORMENTA EN CALLE MATAMOROS", EN LA CABECERA MUNICIPAL DE JOCOTEPEC, JALISCO.</v>
      </c>
      <c r="AD827" s="4">
        <f>OBRA!R828</f>
        <v>600000</v>
      </c>
      <c r="AE827" s="6">
        <f>OBRA!S828</f>
        <v>45492</v>
      </c>
      <c r="AF827" s="5">
        <f>OBRA!T828</f>
        <v>45496</v>
      </c>
      <c r="AG827" s="11">
        <f>OBRA!U828</f>
        <v>45549</v>
      </c>
      <c r="AH827" s="207"/>
      <c r="AI827" s="161"/>
      <c r="AJ827" s="219"/>
      <c r="AK827" s="219"/>
      <c r="AL827" s="632"/>
      <c r="AM827" s="519">
        <f>GRAL!B1034</f>
        <v>0</v>
      </c>
    </row>
    <row r="828" spans="1:39" ht="60" hidden="1">
      <c r="A828" s="158">
        <f>OBRA!J829</f>
        <v>2024</v>
      </c>
      <c r="B828" s="1683"/>
      <c r="C828" s="411"/>
      <c r="D828" s="163"/>
      <c r="E828" s="1169"/>
      <c r="F828" s="1169"/>
      <c r="G828" s="1184"/>
      <c r="H828" s="1185" t="str">
        <f>OBRA!AF829</f>
        <v>-</v>
      </c>
      <c r="I828" s="1186"/>
      <c r="J828" s="1361" t="str">
        <f>OBRA!AG829</f>
        <v>-</v>
      </c>
      <c r="K828" s="1187"/>
      <c r="L828" s="1185" t="str">
        <f>OBRA!AH829</f>
        <v>-</v>
      </c>
      <c r="M828" s="1188"/>
      <c r="N828" s="1185" t="str">
        <f>OBRA!AI829</f>
        <v>-</v>
      </c>
      <c r="O828" s="1185"/>
      <c r="P828" s="1185"/>
      <c r="Q828" s="1187"/>
      <c r="R828" s="437" t="str">
        <f>OBRA!AJ829</f>
        <v>-</v>
      </c>
      <c r="S828" s="535"/>
      <c r="T828" s="399" t="str">
        <f>OBRA!W829</f>
        <v>-</v>
      </c>
      <c r="U828" s="408" t="str">
        <f>OBRA!X829</f>
        <v>ARQ. EDGAR RUBÉN SAUCEDO AGUILAR</v>
      </c>
      <c r="V828" s="1090"/>
      <c r="W828" s="33" t="str">
        <f>OBRA!N829</f>
        <v>DOP/AD/001/2024</v>
      </c>
      <c r="X828" s="1324"/>
      <c r="Y828" s="1202"/>
      <c r="Z828" s="409" t="str">
        <f>OBRA!M829</f>
        <v>RAMO 33</v>
      </c>
      <c r="AA828" s="1402"/>
      <c r="AB828" s="2" t="str">
        <f>OBRA!O829</f>
        <v>ADMINISTRACIÓN DIRECTA</v>
      </c>
      <c r="AC828" s="3" t="str">
        <f>OBRA!P829</f>
        <v>REHABILITACIÓN DE REDES HIDROSANITARIAS Y SUPERFICIE DE RODAMIENTO EN C. MATAMOROS ENTRE DEGOLLADO Y ALDAMA", EN LA CABECERA MUNICIPAL DE JOCOTEPEC, JALISCO.</v>
      </c>
      <c r="AD828" s="4">
        <f>OBRA!R829</f>
        <v>1057005.33</v>
      </c>
      <c r="AE828" s="6">
        <f>OBRA!S829</f>
        <v>45616</v>
      </c>
      <c r="AF828" s="5">
        <f>OBRA!T829</f>
        <v>45617</v>
      </c>
      <c r="AG828" s="11">
        <f>OBRA!U829</f>
        <v>45645</v>
      </c>
      <c r="AH828" s="207"/>
      <c r="AI828" s="161"/>
      <c r="AJ828" s="219"/>
      <c r="AK828" s="219"/>
      <c r="AL828" s="632"/>
      <c r="AM828" s="519">
        <f>GRAL!B1035</f>
        <v>0</v>
      </c>
    </row>
    <row r="829" spans="1:39" ht="60" hidden="1">
      <c r="A829" s="158">
        <f>OBRA!J830</f>
        <v>2024</v>
      </c>
      <c r="B829" s="1683"/>
      <c r="C829" s="411"/>
      <c r="D829" s="163"/>
      <c r="E829" s="1169"/>
      <c r="F829" s="1169"/>
      <c r="G829" s="1184"/>
      <c r="H829" s="1185" t="str">
        <f>OBRA!AF830</f>
        <v>-</v>
      </c>
      <c r="I829" s="1186"/>
      <c r="J829" s="1361" t="str">
        <f>OBRA!AG830</f>
        <v>-</v>
      </c>
      <c r="K829" s="1187"/>
      <c r="L829" s="1185" t="str">
        <f>OBRA!AH830</f>
        <v>-</v>
      </c>
      <c r="M829" s="1188"/>
      <c r="N829" s="1185" t="str">
        <f>OBRA!AI830</f>
        <v>-</v>
      </c>
      <c r="O829" s="1185"/>
      <c r="P829" s="1185"/>
      <c r="Q829" s="1187"/>
      <c r="R829" s="437" t="str">
        <f>OBRA!AJ830</f>
        <v>-</v>
      </c>
      <c r="S829" s="535"/>
      <c r="T829" s="399" t="str">
        <f>OBRA!W830</f>
        <v>-</v>
      </c>
      <c r="U829" s="408" t="str">
        <f>OBRA!X830</f>
        <v>ARQ. JOSÉ ANTONIO CASILLAS MEDINA</v>
      </c>
      <c r="V829" s="1090"/>
      <c r="W829" s="33" t="str">
        <f>OBRA!N830</f>
        <v>DOP/AD/002/2024</v>
      </c>
      <c r="X829" s="1324"/>
      <c r="Y829" s="1202"/>
      <c r="Z829" s="409" t="str">
        <f>OBRA!M830</f>
        <v>RAMO 33</v>
      </c>
      <c r="AA829" s="1402"/>
      <c r="AB829" s="2" t="str">
        <f>OBRA!O830</f>
        <v>ADMINISTRACIÓN DIRECTA</v>
      </c>
      <c r="AC829" s="3" t="str">
        <f>OBRA!P830</f>
        <v>"CONSTRUCCIÓN DE SUPERFICIE DE RODAMIENTO EN CALLE JOSÉ SANTANA DE C. RIVERA DEL LAGO A 30 ML HACIA COLÓN", EN LA CABECERA MUNICIPAL DE JOCOTEPEC, JALISCO.</v>
      </c>
      <c r="AD829" s="4">
        <f>OBRA!R830</f>
        <v>722232.67</v>
      </c>
      <c r="AE829" s="6">
        <f>OBRA!S830</f>
        <v>45616</v>
      </c>
      <c r="AF829" s="5">
        <f>OBRA!T830</f>
        <v>45618</v>
      </c>
      <c r="AG829" s="11">
        <f>OBRA!U830</f>
        <v>45645</v>
      </c>
      <c r="AH829" s="207"/>
      <c r="AI829" s="161"/>
      <c r="AJ829" s="219"/>
      <c r="AK829" s="219"/>
      <c r="AL829" s="632"/>
      <c r="AM829" s="519">
        <f>GRAL!B1036</f>
        <v>0</v>
      </c>
    </row>
    <row r="830" spans="1:39" ht="30" hidden="1">
      <c r="A830" s="158">
        <f>OBRA!J831</f>
        <v>2024</v>
      </c>
      <c r="B830" s="1683"/>
      <c r="C830" s="411"/>
      <c r="D830" s="163"/>
      <c r="E830" s="1169"/>
      <c r="F830" s="1169"/>
      <c r="G830" s="1184"/>
      <c r="H830" s="1185" t="str">
        <f>OBRA!AF831</f>
        <v>-</v>
      </c>
      <c r="I830" s="1186"/>
      <c r="J830" s="1361" t="str">
        <f>OBRA!AG831</f>
        <v>-</v>
      </c>
      <c r="K830" s="1187"/>
      <c r="L830" s="1185" t="str">
        <f>OBRA!AH831</f>
        <v>-</v>
      </c>
      <c r="M830" s="1188"/>
      <c r="N830" s="1185" t="str">
        <f>OBRA!AI831</f>
        <v>-</v>
      </c>
      <c r="O830" s="1185"/>
      <c r="P830" s="1185"/>
      <c r="Q830" s="1187"/>
      <c r="R830" s="437" t="str">
        <f>OBRA!AJ831</f>
        <v>-</v>
      </c>
      <c r="S830" s="535"/>
      <c r="T830" s="399" t="str">
        <f>OBRA!W831</f>
        <v>-</v>
      </c>
      <c r="U830" s="408">
        <f>OBRA!X831</f>
        <v>0</v>
      </c>
      <c r="V830" s="1090"/>
      <c r="W830" s="33" t="str">
        <f>OBRA!N831</f>
        <v>DOP/AD/003/2024</v>
      </c>
      <c r="X830" s="1324"/>
      <c r="Y830" s="1202"/>
      <c r="Z830" s="409">
        <f>OBRA!M831</f>
        <v>0</v>
      </c>
      <c r="AA830" s="1402"/>
      <c r="AB830" s="2" t="str">
        <f>OBRA!O831</f>
        <v>ADMINISTRACIÓN DIRECTA</v>
      </c>
      <c r="AC830" s="3">
        <f>OBRA!P831</f>
        <v>0</v>
      </c>
      <c r="AD830" s="4">
        <f>OBRA!R831</f>
        <v>0</v>
      </c>
      <c r="AE830" s="6" t="str">
        <f>OBRA!S831</f>
        <v>-</v>
      </c>
      <c r="AF830" s="5">
        <f>OBRA!T831</f>
        <v>0</v>
      </c>
      <c r="AG830" s="11">
        <f>OBRA!U831</f>
        <v>0</v>
      </c>
      <c r="AH830" s="207"/>
      <c r="AI830" s="161"/>
      <c r="AJ830" s="219"/>
      <c r="AK830" s="219"/>
      <c r="AL830" s="632"/>
      <c r="AM830" s="519">
        <f>GRAL!B1037</f>
        <v>0</v>
      </c>
    </row>
    <row r="831" spans="1:39" ht="30" hidden="1">
      <c r="A831" s="158">
        <f>OBRA!J832</f>
        <v>2024</v>
      </c>
      <c r="B831" s="1683"/>
      <c r="C831" s="411"/>
      <c r="D831" s="163"/>
      <c r="E831" s="1169"/>
      <c r="F831" s="1169"/>
      <c r="G831" s="1184"/>
      <c r="H831" s="1185" t="str">
        <f>OBRA!AF832</f>
        <v>-</v>
      </c>
      <c r="I831" s="1186"/>
      <c r="J831" s="1361" t="str">
        <f>OBRA!AG832</f>
        <v>-</v>
      </c>
      <c r="K831" s="1187"/>
      <c r="L831" s="1185" t="str">
        <f>OBRA!AH832</f>
        <v>-</v>
      </c>
      <c r="M831" s="1188"/>
      <c r="N831" s="1185" t="str">
        <f>OBRA!AI832</f>
        <v>-</v>
      </c>
      <c r="O831" s="1185"/>
      <c r="P831" s="1185"/>
      <c r="Q831" s="1187"/>
      <c r="R831" s="437" t="str">
        <f>OBRA!AJ832</f>
        <v>-</v>
      </c>
      <c r="S831" s="535"/>
      <c r="T831" s="399" t="str">
        <f>OBRA!W832</f>
        <v>-</v>
      </c>
      <c r="U831" s="408">
        <f>OBRA!X832</f>
        <v>0</v>
      </c>
      <c r="V831" s="1090"/>
      <c r="W831" s="33" t="str">
        <f>OBRA!N832</f>
        <v>DOP/AD/004/2024</v>
      </c>
      <c r="X831" s="1324"/>
      <c r="Y831" s="1202"/>
      <c r="Z831" s="409">
        <f>OBRA!M832</f>
        <v>0</v>
      </c>
      <c r="AA831" s="1402"/>
      <c r="AB831" s="2" t="str">
        <f>OBRA!O832</f>
        <v>ADMINISTRACIÓN DIRECTA</v>
      </c>
      <c r="AC831" s="3">
        <f>OBRA!P832</f>
        <v>0</v>
      </c>
      <c r="AD831" s="4">
        <f>OBRA!R832</f>
        <v>0</v>
      </c>
      <c r="AE831" s="6" t="str">
        <f>OBRA!S832</f>
        <v>-</v>
      </c>
      <c r="AF831" s="5">
        <f>OBRA!T832</f>
        <v>0</v>
      </c>
      <c r="AG831" s="11">
        <f>OBRA!U832</f>
        <v>0</v>
      </c>
      <c r="AH831" s="207"/>
      <c r="AI831" s="161"/>
      <c r="AJ831" s="219"/>
      <c r="AK831" s="219"/>
      <c r="AL831" s="632"/>
      <c r="AM831" s="519">
        <f>GRAL!B1038</f>
        <v>0</v>
      </c>
    </row>
    <row r="832" spans="1:39" ht="30" hidden="1">
      <c r="A832" s="158">
        <f>OBRA!J833</f>
        <v>2024</v>
      </c>
      <c r="B832" s="1683"/>
      <c r="C832" s="411"/>
      <c r="D832" s="163"/>
      <c r="E832" s="1169"/>
      <c r="F832" s="1169"/>
      <c r="G832" s="1184"/>
      <c r="H832" s="1185" t="str">
        <f>OBRA!AF833</f>
        <v>-</v>
      </c>
      <c r="I832" s="1186"/>
      <c r="J832" s="1361" t="str">
        <f>OBRA!AG833</f>
        <v>-</v>
      </c>
      <c r="K832" s="1187"/>
      <c r="L832" s="1185" t="str">
        <f>OBRA!AH833</f>
        <v>-</v>
      </c>
      <c r="M832" s="1188"/>
      <c r="N832" s="1185" t="str">
        <f>OBRA!AI833</f>
        <v>-</v>
      </c>
      <c r="O832" s="1185"/>
      <c r="P832" s="1185"/>
      <c r="Q832" s="1187"/>
      <c r="R832" s="437" t="str">
        <f>OBRA!AJ833</f>
        <v>-</v>
      </c>
      <c r="S832" s="535"/>
      <c r="T832" s="399" t="str">
        <f>OBRA!W833</f>
        <v>-</v>
      </c>
      <c r="U832" s="408">
        <f>OBRA!X833</f>
        <v>0</v>
      </c>
      <c r="V832" s="1090"/>
      <c r="W832" s="33" t="str">
        <f>OBRA!N833</f>
        <v>DOP/AD/005/2024</v>
      </c>
      <c r="X832" s="1324"/>
      <c r="Y832" s="1202"/>
      <c r="Z832" s="409">
        <f>OBRA!M833</f>
        <v>0</v>
      </c>
      <c r="AA832" s="1402"/>
      <c r="AB832" s="2" t="str">
        <f>OBRA!O833</f>
        <v>ADMINISTRACIÓN DIRECTA</v>
      </c>
      <c r="AC832" s="3">
        <f>OBRA!P833</f>
        <v>0</v>
      </c>
      <c r="AD832" s="4">
        <f>OBRA!R833</f>
        <v>0</v>
      </c>
      <c r="AE832" s="6" t="str">
        <f>OBRA!S833</f>
        <v>-</v>
      </c>
      <c r="AF832" s="5">
        <f>OBRA!T833</f>
        <v>0</v>
      </c>
      <c r="AG832" s="11">
        <f>OBRA!U833</f>
        <v>0</v>
      </c>
      <c r="AH832" s="207"/>
      <c r="AI832" s="161"/>
      <c r="AJ832" s="219"/>
      <c r="AK832" s="219"/>
      <c r="AL832" s="632"/>
      <c r="AM832" s="519">
        <f>GRAL!B1039</f>
        <v>0</v>
      </c>
    </row>
    <row r="833" spans="1:39" ht="60" hidden="1">
      <c r="A833" s="158">
        <f>OBRA!J834</f>
        <v>2024</v>
      </c>
      <c r="B833" s="1683"/>
      <c r="C833" s="411"/>
      <c r="D833" s="163"/>
      <c r="E833" s="1169"/>
      <c r="F833" s="1169"/>
      <c r="G833" s="1184"/>
      <c r="H833" s="1185" t="str">
        <f>OBRA!AF834</f>
        <v>-</v>
      </c>
      <c r="I833" s="1186"/>
      <c r="J833" s="1361" t="str">
        <f>OBRA!AG834</f>
        <v>-</v>
      </c>
      <c r="K833" s="1187"/>
      <c r="L833" s="1185" t="str">
        <f>OBRA!AH834</f>
        <v>-</v>
      </c>
      <c r="M833" s="1188"/>
      <c r="N833" s="1185" t="str">
        <f>OBRA!AI834</f>
        <v>-</v>
      </c>
      <c r="O833" s="1185"/>
      <c r="P833" s="1185"/>
      <c r="Q833" s="1187"/>
      <c r="R833" s="437" t="str">
        <f>OBRA!AJ834</f>
        <v>-</v>
      </c>
      <c r="S833" s="535"/>
      <c r="T833" s="399" t="str">
        <f>OBRA!W834</f>
        <v>C. EDURADO VENTURA PADILLA</v>
      </c>
      <c r="U833" s="408" t="str">
        <f>OBRA!X834</f>
        <v>ING. DANIEL RODRIGUEZ VALENZUELA</v>
      </c>
      <c r="V833" s="1090"/>
      <c r="W833" s="33" t="str">
        <f>OBRA!N834</f>
        <v>GMJ 001C- OP/2024</v>
      </c>
      <c r="X833" s="1324"/>
      <c r="Y833" s="1202"/>
      <c r="Z833" s="409" t="str">
        <f>OBRA!M834</f>
        <v>CUENTA CORRIENTE</v>
      </c>
      <c r="AA833" s="1402"/>
      <c r="AB833" s="2" t="str">
        <f>OBRA!O834</f>
        <v>ADJUDICACIÓN DIRECTA</v>
      </c>
      <c r="AC833" s="3" t="str">
        <f>OBRA!P834</f>
        <v>"EQUIPAMIENTO DE POZO PROFUNDO EN PRIVADA GUADALUPE VICTORIA, EN LA LOCALIDAD DE SAN JUAN COSALÁ, MUNICIPIO DE JOCOTEPEC, JALISCO.</v>
      </c>
      <c r="AD833" s="4">
        <f>OBRA!R834</f>
        <v>653611.4</v>
      </c>
      <c r="AE833" s="6">
        <f>OBRA!S834</f>
        <v>45322</v>
      </c>
      <c r="AF833" s="5">
        <f>OBRA!T834</f>
        <v>45331</v>
      </c>
      <c r="AG833" s="11">
        <f>OBRA!U834</f>
        <v>45320</v>
      </c>
      <c r="AH833" s="207"/>
      <c r="AI833" s="161"/>
      <c r="AJ833" s="219"/>
      <c r="AK833" s="219"/>
      <c r="AL833" s="632"/>
      <c r="AM833" s="519">
        <f>GRAL!B1040</f>
        <v>0</v>
      </c>
    </row>
    <row r="834" spans="1:39" ht="75" hidden="1">
      <c r="A834" s="158">
        <f>OBRA!J835</f>
        <v>2024</v>
      </c>
      <c r="B834" s="1683"/>
      <c r="C834" s="411"/>
      <c r="D834" s="163"/>
      <c r="E834" s="1169"/>
      <c r="F834" s="1169"/>
      <c r="G834" s="1184"/>
      <c r="H834" s="1185" t="str">
        <f>OBRA!AF835</f>
        <v>-</v>
      </c>
      <c r="I834" s="1186"/>
      <c r="J834" s="1361" t="str">
        <f>OBRA!AG835</f>
        <v>-</v>
      </c>
      <c r="K834" s="1187"/>
      <c r="L834" s="1185" t="str">
        <f>OBRA!AH835</f>
        <v>-</v>
      </c>
      <c r="M834" s="1188"/>
      <c r="N834" s="1185" t="str">
        <f>OBRA!AI835</f>
        <v>-</v>
      </c>
      <c r="O834" s="1185"/>
      <c r="P834" s="1185"/>
      <c r="Q834" s="1187"/>
      <c r="R834" s="437" t="str">
        <f>OBRA!AJ835</f>
        <v>-</v>
      </c>
      <c r="S834" s="535"/>
      <c r="T834" s="399" t="str">
        <f>OBRA!W835</f>
        <v>ESTRUCTURAS PLANEADAS DE OCCIDENTE, S.A. DE C.V.</v>
      </c>
      <c r="U834" s="408" t="str">
        <f>OBRA!X835</f>
        <v>ING. DANIEL RODRIGUEZ VALENZUELA</v>
      </c>
      <c r="V834" s="1090"/>
      <c r="W834" s="33" t="str">
        <f>OBRA!N835</f>
        <v>GMJ 002C- OP/2024</v>
      </c>
      <c r="X834" s="1324"/>
      <c r="Y834" s="1202"/>
      <c r="Z834" s="409" t="str">
        <f>OBRA!M835</f>
        <v>CUENTA CORRIENTE</v>
      </c>
      <c r="AA834" s="1402"/>
      <c r="AB834" s="2" t="str">
        <f>OBRA!O835</f>
        <v>ADJUDICACIÓN DIRECTA</v>
      </c>
      <c r="AC834" s="3" t="str">
        <f>OBRA!P835</f>
        <v>"CASETA DE CONTROL Y CLORACIÒN, ENMALLADO, DELIMITACIÒN DE PREDIO EN POZO EN PRIVADA GUADALUPE VICTORIA", EN LA LOCALIDAD DE SAN JUAN COSALÁ, MUNICIPIO DE JOCOTEPEC, JALISCO.</v>
      </c>
      <c r="AD834" s="4">
        <f>OBRA!R835</f>
        <v>388619.27</v>
      </c>
      <c r="AE834" s="6">
        <f>OBRA!S835</f>
        <v>45335</v>
      </c>
      <c r="AF834" s="5">
        <f>OBRA!T835</f>
        <v>45336</v>
      </c>
      <c r="AG834" s="11">
        <f>OBRA!U835</f>
        <v>45351</v>
      </c>
      <c r="AH834" s="207"/>
      <c r="AI834" s="161"/>
      <c r="AJ834" s="219"/>
      <c r="AK834" s="219"/>
      <c r="AL834" s="632"/>
      <c r="AM834" s="519">
        <f>GRAL!B1041</f>
        <v>0</v>
      </c>
    </row>
    <row r="835" spans="1:39" ht="75" hidden="1">
      <c r="A835" s="158">
        <f>OBRA!J836</f>
        <v>2024</v>
      </c>
      <c r="B835" s="1683"/>
      <c r="C835" s="411"/>
      <c r="D835" s="163"/>
      <c r="E835" s="1169"/>
      <c r="F835" s="1169"/>
      <c r="G835" s="1184"/>
      <c r="H835" s="1185" t="str">
        <f>OBRA!AF836</f>
        <v>-</v>
      </c>
      <c r="I835" s="1186"/>
      <c r="J835" s="1361" t="str">
        <f>OBRA!AG836</f>
        <v>-</v>
      </c>
      <c r="K835" s="1187"/>
      <c r="L835" s="1185" t="str">
        <f>OBRA!AH836</f>
        <v>-</v>
      </c>
      <c r="M835" s="1188"/>
      <c r="N835" s="1185" t="str">
        <f>OBRA!AI836</f>
        <v>-</v>
      </c>
      <c r="O835" s="1185"/>
      <c r="P835" s="1185"/>
      <c r="Q835" s="1187"/>
      <c r="R835" s="437" t="str">
        <f>OBRA!AJ836</f>
        <v>-</v>
      </c>
      <c r="S835" s="535"/>
      <c r="T835" s="399" t="str">
        <f>OBRA!W836</f>
        <v>ING. SERGIO CABRERA</v>
      </c>
      <c r="U835" s="408" t="str">
        <f>OBRA!X836</f>
        <v>ING. DANIEL RODRIGUEZ VALENZUELA</v>
      </c>
      <c r="V835" s="1090"/>
      <c r="W835" s="33" t="str">
        <f>OBRA!N836</f>
        <v>GMJ 003C- OP/2024</v>
      </c>
      <c r="X835" s="1324"/>
      <c r="Y835" s="1202"/>
      <c r="Z835" s="409" t="str">
        <f>OBRA!M836</f>
        <v>CUENTA CORRIENTE</v>
      </c>
      <c r="AA835" s="1402"/>
      <c r="AB835" s="2" t="str">
        <f>OBRA!O836</f>
        <v>ADJUDICACIÓN DIRECTA</v>
      </c>
      <c r="AC835" s="3" t="str">
        <f>OBRA!P836</f>
        <v>"CONSTRUCCIÒN DE BANQUETAS Y SUPERFICIE DE RODAMIENTO EN C. MATAMOROS ENTRTE CARRETERA JOCOTEPEC-CHAPALA Y C. LA PAZ", EN LA LOCALIDAD DE SAN JUAN COSALÁ, MUNICIPIO DE JOCOTEPEC, JALISCO.</v>
      </c>
      <c r="AD835" s="4">
        <f>OBRA!R836</f>
        <v>132689.01999999999</v>
      </c>
      <c r="AE835" s="6">
        <f>OBRA!S836</f>
        <v>45331</v>
      </c>
      <c r="AF835" s="5">
        <f>OBRA!T836</f>
        <v>45332</v>
      </c>
      <c r="AG835" s="11">
        <f>OBRA!U836</f>
        <v>45344</v>
      </c>
      <c r="AH835" s="207"/>
      <c r="AI835" s="161"/>
      <c r="AJ835" s="219"/>
      <c r="AK835" s="219"/>
      <c r="AL835" s="632"/>
      <c r="AM835" s="519">
        <f>GRAL!B1042</f>
        <v>0</v>
      </c>
    </row>
    <row r="836" spans="1:39" ht="122.25" customHeight="1">
      <c r="A836" s="158">
        <f>OBRA!J837</f>
        <v>2024</v>
      </c>
      <c r="B836" s="1685" t="str">
        <f>W836</f>
        <v>CSS-OP-CC-004/2024</v>
      </c>
      <c r="C836" s="1271" t="s">
        <v>6048</v>
      </c>
      <c r="D836" s="1593" t="s">
        <v>6455</v>
      </c>
      <c r="E836" s="1598" t="s">
        <v>5804</v>
      </c>
      <c r="F836" s="1929" t="s">
        <v>6453</v>
      </c>
      <c r="G836" s="503" t="s">
        <v>6048</v>
      </c>
      <c r="H836" s="166">
        <f>OBRA!AF837</f>
        <v>45328</v>
      </c>
      <c r="I836" s="502" t="s">
        <v>6048</v>
      </c>
      <c r="J836" s="1591">
        <f>OBRA!AG837</f>
        <v>45330</v>
      </c>
      <c r="K836" s="524" t="s">
        <v>6048</v>
      </c>
      <c r="L836" s="166">
        <f>OBRA!AH837</f>
        <v>45330</v>
      </c>
      <c r="M836" s="546" t="s">
        <v>6048</v>
      </c>
      <c r="N836" s="580">
        <f>OBRA!AI837</f>
        <v>45335</v>
      </c>
      <c r="O836" s="166" t="s">
        <v>6456</v>
      </c>
      <c r="P836" s="547">
        <v>0.41666666666666669</v>
      </c>
      <c r="Q836" s="524" t="s">
        <v>6048</v>
      </c>
      <c r="R836" s="205">
        <f>OBRA!AJ837</f>
        <v>45337</v>
      </c>
      <c r="S836" s="1931" t="s">
        <v>6558</v>
      </c>
      <c r="T836" s="148" t="str">
        <f>OBRA!W837</f>
        <v>RAMPER DRILLINGS S.A. DE C.V.</v>
      </c>
      <c r="U836" s="55" t="str">
        <f>OBRA!X837</f>
        <v>ARQ. JAIME CONDE GOMEZ</v>
      </c>
      <c r="V836" s="146"/>
      <c r="W836" s="33" t="str">
        <f>OBRA!N837</f>
        <v>CSS-OP-CC-004/2024</v>
      </c>
      <c r="X836" s="1324" t="s">
        <v>6041</v>
      </c>
      <c r="Y836" s="1202" t="s">
        <v>6032</v>
      </c>
      <c r="Z836" s="412" t="str">
        <f>OBRA!M837</f>
        <v>CUENTA CORRIENTE</v>
      </c>
      <c r="AA836" s="12" t="s">
        <v>2320</v>
      </c>
      <c r="AB836" s="2" t="str">
        <f>OBRA!O837</f>
        <v>CONCURSO SIMPLIFICADO SUMARIO</v>
      </c>
      <c r="AC836" s="3" t="str">
        <f>OBRA!P837</f>
        <v>"PERFORACIÓN DE UN POZO PROFUNDO PARA LA EXTRACIÓN DE AGUA POTABLE A 250 ML", EN LA LOCALIDAD DE SAN PEDRO TESISTÁN, MUNICIPIO DE JOCOTEPEC, JALISCO.</v>
      </c>
      <c r="AD836" s="79">
        <f>OBRA!R837</f>
        <v>4461580.4000000004</v>
      </c>
      <c r="AE836" s="67">
        <f>OBRA!S837</f>
        <v>45338</v>
      </c>
      <c r="AF836" s="5">
        <f>OBRA!T837</f>
        <v>45343</v>
      </c>
      <c r="AG836" s="11">
        <f>OBRA!U837</f>
        <v>45402</v>
      </c>
      <c r="AH836" s="207" t="s">
        <v>4446</v>
      </c>
      <c r="AI836" s="19" t="s">
        <v>1177</v>
      </c>
      <c r="AJ836" s="1" t="s">
        <v>1177</v>
      </c>
      <c r="AK836" s="503" t="s">
        <v>6048</v>
      </c>
      <c r="AL836" s="503" t="s">
        <v>6048</v>
      </c>
      <c r="AM836" s="13" t="str">
        <f>GRAL!B837</f>
        <v>2021-2024</v>
      </c>
    </row>
    <row r="837" spans="1:39" ht="75" hidden="1">
      <c r="A837" s="158">
        <f>OBRA!J838</f>
        <v>2024</v>
      </c>
      <c r="B837" s="1683"/>
      <c r="C837" s="411"/>
      <c r="D837" s="163"/>
      <c r="E837" s="1169"/>
      <c r="F837" s="1169"/>
      <c r="G837" s="1184"/>
      <c r="H837" s="1185" t="str">
        <f>OBRA!AF838</f>
        <v>-</v>
      </c>
      <c r="I837" s="1186"/>
      <c r="J837" s="1361" t="str">
        <f>OBRA!AG838</f>
        <v>-</v>
      </c>
      <c r="K837" s="1187"/>
      <c r="L837" s="1185" t="str">
        <f>OBRA!AH838</f>
        <v>-</v>
      </c>
      <c r="M837" s="1188"/>
      <c r="N837" s="1185" t="str">
        <f>OBRA!AI838</f>
        <v>-</v>
      </c>
      <c r="O837" s="1185"/>
      <c r="P837" s="1185"/>
      <c r="Q837" s="1187"/>
      <c r="R837" s="437" t="str">
        <f>OBRA!AJ838</f>
        <v>-</v>
      </c>
      <c r="S837" s="535"/>
      <c r="T837" s="399" t="str">
        <f>OBRA!W838</f>
        <v>C. SERGIO CABRERA</v>
      </c>
      <c r="U837" s="408" t="str">
        <f>OBRA!X838</f>
        <v>ING. DALIA JUDITH VARGAS HOYOS</v>
      </c>
      <c r="V837" s="1090"/>
      <c r="W837" s="33" t="str">
        <f>OBRA!N838</f>
        <v>GMJ 005C- OP/2024</v>
      </c>
      <c r="X837" s="1324"/>
      <c r="Y837" s="1202"/>
      <c r="Z837" s="409" t="str">
        <f>OBRA!M838</f>
        <v>CUENTA CORRIENTE</v>
      </c>
      <c r="AA837" s="1402"/>
      <c r="AB837" s="2" t="str">
        <f>OBRA!O838</f>
        <v>ADJUDICACIÓN DIRECTA</v>
      </c>
      <c r="AC837" s="3" t="str">
        <f>OBRA!P838</f>
        <v>"REHABILITACIÓN DE LÍNEAS HIDROSANITARIAS EN CALLE RAMÓN CORONA ENTRE CARRETERA JIQUILPAN-GUADALAJARA Y CALLE PINO SUAREZ", EN LA LOCALIDAD DE SAN PEDRO TESISTÁN, MUNICIPIO DE JOCOTEPEC, JALISCO.</v>
      </c>
      <c r="AD837" s="4">
        <f>OBRA!R838</f>
        <v>1863104.13</v>
      </c>
      <c r="AE837" s="6">
        <f>OBRA!S838</f>
        <v>45356</v>
      </c>
      <c r="AF837" s="5">
        <f>OBRA!T838</f>
        <v>45362</v>
      </c>
      <c r="AG837" s="11">
        <f>OBRA!U838</f>
        <v>45376</v>
      </c>
      <c r="AH837" s="207"/>
      <c r="AI837" s="161"/>
      <c r="AJ837" s="219"/>
      <c r="AK837" s="219"/>
      <c r="AL837" s="632"/>
      <c r="AM837" s="519">
        <f>GRAL!B1044</f>
        <v>0</v>
      </c>
    </row>
    <row r="838" spans="1:39" ht="75" hidden="1">
      <c r="A838" s="158">
        <f>OBRA!J839</f>
        <v>2024</v>
      </c>
      <c r="B838" s="1683"/>
      <c r="C838" s="411"/>
      <c r="D838" s="163"/>
      <c r="E838" s="1169"/>
      <c r="F838" s="1169"/>
      <c r="G838" s="1184"/>
      <c r="H838" s="1185" t="str">
        <f>OBRA!AF839</f>
        <v>-</v>
      </c>
      <c r="I838" s="1186"/>
      <c r="J838" s="1361" t="str">
        <f>OBRA!AG839</f>
        <v>-</v>
      </c>
      <c r="K838" s="1187"/>
      <c r="L838" s="1185" t="str">
        <f>OBRA!AH839</f>
        <v>-</v>
      </c>
      <c r="M838" s="1188"/>
      <c r="N838" s="1185" t="str">
        <f>OBRA!AI839</f>
        <v>-</v>
      </c>
      <c r="O838" s="1185"/>
      <c r="P838" s="1185"/>
      <c r="Q838" s="1187"/>
      <c r="R838" s="437" t="str">
        <f>OBRA!AJ839</f>
        <v>-</v>
      </c>
      <c r="S838" s="535"/>
      <c r="T838" s="399" t="str">
        <f>OBRA!W839</f>
        <v>C. SERGIO CABRERA</v>
      </c>
      <c r="U838" s="408" t="str">
        <f>OBRA!X839</f>
        <v>ING. DALIA JUDITH VARGAS HOYOS</v>
      </c>
      <c r="V838" s="1090"/>
      <c r="W838" s="33" t="str">
        <f>OBRA!N839</f>
        <v>GMJ 006C- OP/2024</v>
      </c>
      <c r="X838" s="1324"/>
      <c r="Y838" s="1202"/>
      <c r="Z838" s="409" t="str">
        <f>OBRA!M839</f>
        <v>CUENTA CORRIENTE</v>
      </c>
      <c r="AA838" s="1402"/>
      <c r="AB838" s="2" t="str">
        <f>OBRA!O839</f>
        <v>ADJUDICACIÓN DIRECTA</v>
      </c>
      <c r="AC838" s="3" t="str">
        <f>OBRA!P839</f>
        <v>"REHABILITACIÓN DE SUPERFICIE DE RODAMIENTO EN CALLE RAMÓN CORONA ENTRE CARRETERA JIQUILPAN-GUADALAJARA Y CALLE PINO SUAREZ", EN LA LOCALIDAD DE SAN PEDRO TESISTÁN, MUNICIPIO DE JOCOTEPEC, JALISCO.</v>
      </c>
      <c r="AD838" s="4">
        <f>OBRA!R839</f>
        <v>1911380.28</v>
      </c>
      <c r="AE838" s="6">
        <f>OBRA!S839</f>
        <v>45355</v>
      </c>
      <c r="AF838" s="5">
        <f>OBRA!T839</f>
        <v>45355</v>
      </c>
      <c r="AG838" s="11">
        <f>OBRA!U839</f>
        <v>45369</v>
      </c>
      <c r="AH838" s="207"/>
      <c r="AI838" s="161"/>
      <c r="AJ838" s="219"/>
      <c r="AK838" s="219"/>
      <c r="AL838" s="632"/>
      <c r="AM838" s="519">
        <f>GRAL!B1045</f>
        <v>0</v>
      </c>
    </row>
    <row r="839" spans="1:39" ht="75" hidden="1">
      <c r="A839" s="158">
        <f>OBRA!J840</f>
        <v>2024</v>
      </c>
      <c r="B839" s="1683"/>
      <c r="C839" s="411"/>
      <c r="D839" s="163"/>
      <c r="E839" s="1169"/>
      <c r="F839" s="1169"/>
      <c r="G839" s="1184"/>
      <c r="H839" s="1185" t="str">
        <f>OBRA!AF840</f>
        <v>-</v>
      </c>
      <c r="I839" s="1186"/>
      <c r="J839" s="1361" t="str">
        <f>OBRA!AG840</f>
        <v>-</v>
      </c>
      <c r="K839" s="1187"/>
      <c r="L839" s="1185" t="str">
        <f>OBRA!AH840</f>
        <v>-</v>
      </c>
      <c r="M839" s="1188"/>
      <c r="N839" s="1185" t="str">
        <f>OBRA!AI840</f>
        <v>-</v>
      </c>
      <c r="O839" s="1185"/>
      <c r="P839" s="1185"/>
      <c r="Q839" s="1187"/>
      <c r="R839" s="437" t="str">
        <f>OBRA!AJ840</f>
        <v>-</v>
      </c>
      <c r="S839" s="535"/>
      <c r="T839" s="399" t="str">
        <f>OBRA!W840</f>
        <v>TERRACERÍAS Y PAVIMENTOS DE LA RIBERA, S.A. DE C.V.</v>
      </c>
      <c r="U839" s="408" t="str">
        <f>OBRA!X840</f>
        <v>ING. DALIA JUDITH VARGAS HOYOS</v>
      </c>
      <c r="V839" s="1090"/>
      <c r="W839" s="33" t="str">
        <f>OBRA!N840</f>
        <v>GMJ 007C- OP/2024</v>
      </c>
      <c r="X839" s="1324"/>
      <c r="Y839" s="1202"/>
      <c r="Z839" s="409" t="str">
        <f>OBRA!M840</f>
        <v>CUENTA CORRIENTE</v>
      </c>
      <c r="AA839" s="1402"/>
      <c r="AB839" s="2" t="str">
        <f>OBRA!O840</f>
        <v>ADJUDICACIÓN DIRECTA</v>
      </c>
      <c r="AC839" s="3" t="str">
        <f>OBRA!P840</f>
        <v>"REHABILITACIÓN DE BANQUETAS E IMAGEN URBANA EN CALLE RAMÓN CORONA ENTRE CARRETERA JIQUILPAN-GUADALAJARA Y CALLE PINO SUAREZ", EN LA LOCALIDAD DE SAN PEDRO TESISTÁN, MUNICIPIO DE JOCOTEPEC, JALISCO.</v>
      </c>
      <c r="AD839" s="4">
        <f>OBRA!R840</f>
        <v>431465.57</v>
      </c>
      <c r="AE839" s="6">
        <f>OBRA!S840</f>
        <v>45356</v>
      </c>
      <c r="AF839" s="5">
        <f>OBRA!T840</f>
        <v>45374</v>
      </c>
      <c r="AG839" s="11">
        <f>OBRA!U840</f>
        <v>45379</v>
      </c>
      <c r="AH839" s="207"/>
      <c r="AI839" s="161"/>
      <c r="AJ839" s="219"/>
      <c r="AK839" s="219"/>
      <c r="AL839" s="632"/>
      <c r="AM839" s="519">
        <f>GRAL!B1046</f>
        <v>0</v>
      </c>
    </row>
    <row r="840" spans="1:39" ht="180">
      <c r="A840" s="158">
        <f>OBRA!J841</f>
        <v>2024</v>
      </c>
      <c r="B840" s="1685" t="str">
        <f>W840</f>
        <v>CSS-OP-CC-008/2024</v>
      </c>
      <c r="C840" s="1271" t="s">
        <v>6167</v>
      </c>
      <c r="D840" s="1593" t="s">
        <v>6455</v>
      </c>
      <c r="E840" s="1598" t="s">
        <v>5804</v>
      </c>
      <c r="F840" s="1929" t="s">
        <v>6453</v>
      </c>
      <c r="G840" s="503" t="s">
        <v>6167</v>
      </c>
      <c r="H840" s="580">
        <f>OBRA!AF841</f>
        <v>45345</v>
      </c>
      <c r="I840" s="503" t="s">
        <v>6167</v>
      </c>
      <c r="J840" s="581">
        <f>OBRA!AG841</f>
        <v>45346</v>
      </c>
      <c r="K840" s="503" t="s">
        <v>6167</v>
      </c>
      <c r="L840" s="580">
        <f>OBRA!AH841</f>
        <v>45346</v>
      </c>
      <c r="M840" s="503" t="s">
        <v>6167</v>
      </c>
      <c r="N840" s="580">
        <f>OBRA!AI841</f>
        <v>45348</v>
      </c>
      <c r="O840" s="166" t="s">
        <v>6456</v>
      </c>
      <c r="P840" s="547">
        <v>0.41666666666666669</v>
      </c>
      <c r="Q840" s="503" t="s">
        <v>6167</v>
      </c>
      <c r="R840" s="205">
        <f>OBRA!AJ841</f>
        <v>45349</v>
      </c>
      <c r="S840" s="1931" t="s">
        <v>6559</v>
      </c>
      <c r="T840" s="148" t="str">
        <f>OBRA!W841</f>
        <v xml:space="preserve">EDIFICACIONES GRADINA, S.A. DE C.V. </v>
      </c>
      <c r="U840" s="55" t="str">
        <f>OBRA!X841</f>
        <v>ING. J. GUADALUPE IBARRA RAMIREZ</v>
      </c>
      <c r="V840" s="146"/>
      <c r="W840" s="33" t="str">
        <f>OBRA!N841</f>
        <v>CSS-OP-CC-008/2024</v>
      </c>
      <c r="X840" s="1324" t="s">
        <v>6041</v>
      </c>
      <c r="Y840" s="1202" t="s">
        <v>6038</v>
      </c>
      <c r="Z840" s="412" t="str">
        <f>OBRA!M841</f>
        <v>CUENTA CORRIENTE</v>
      </c>
      <c r="AA840" s="12" t="s">
        <v>2320</v>
      </c>
      <c r="AB840" s="2" t="str">
        <f>OBRA!O841</f>
        <v>CONCURSO SIMPLIFICADO SUMARIO</v>
      </c>
      <c r="AC840" s="3" t="str">
        <f>OBRA!P841</f>
        <v>"PERFORACIÓN DE UN POZO PROFUNDO EN CALLE MIGUEL ARANA CRUCE CON ALLENDE (ZONA CENTRO)", EN LA CABECERA MUNICIPAL DE JOCOTEPEC, JALISCO.</v>
      </c>
      <c r="AD840" s="79">
        <f>OBRA!R841</f>
        <v>7514599.0899999999</v>
      </c>
      <c r="AE840" s="67">
        <f>OBRA!S841</f>
        <v>45350</v>
      </c>
      <c r="AF840" s="5">
        <f>OBRA!T841</f>
        <v>45351</v>
      </c>
      <c r="AG840" s="11">
        <f>OBRA!U841</f>
        <v>45427</v>
      </c>
      <c r="AH840" s="207" t="s">
        <v>4446</v>
      </c>
      <c r="AI840" s="19" t="s">
        <v>1177</v>
      </c>
      <c r="AJ840" s="1" t="s">
        <v>1177</v>
      </c>
      <c r="AK840" s="495" t="s">
        <v>6167</v>
      </c>
      <c r="AL840" s="704" t="s">
        <v>6167</v>
      </c>
      <c r="AM840" s="13" t="str">
        <f>GRAL!B841</f>
        <v>2021-2024</v>
      </c>
    </row>
    <row r="841" spans="1:39" ht="60" hidden="1">
      <c r="A841" s="158">
        <f>OBRA!J842</f>
        <v>2024</v>
      </c>
      <c r="B841" s="1683"/>
      <c r="C841" s="411"/>
      <c r="D841" s="163"/>
      <c r="E841" s="1169"/>
      <c r="F841" s="1169"/>
      <c r="G841" s="1184"/>
      <c r="H841" s="1185" t="str">
        <f>OBRA!AF842</f>
        <v>-</v>
      </c>
      <c r="I841" s="1186"/>
      <c r="J841" s="1361" t="str">
        <f>OBRA!AG842</f>
        <v>-</v>
      </c>
      <c r="K841" s="1187"/>
      <c r="L841" s="1185" t="str">
        <f>OBRA!AH842</f>
        <v>-</v>
      </c>
      <c r="M841" s="1188"/>
      <c r="N841" s="1185" t="str">
        <f>OBRA!AI842</f>
        <v>-</v>
      </c>
      <c r="O841" s="1185"/>
      <c r="P841" s="1185"/>
      <c r="Q841" s="1187"/>
      <c r="R841" s="437" t="str">
        <f>OBRA!AJ842</f>
        <v>-</v>
      </c>
      <c r="S841" s="535"/>
      <c r="T841" s="399" t="str">
        <f>OBRA!W842</f>
        <v>SOLEC ENERGY, S.A. DE C.V.</v>
      </c>
      <c r="U841" s="408" t="str">
        <f>OBRA!X842</f>
        <v>ING. LUIS RIGOBERTO OLMEDO NAVARRO</v>
      </c>
      <c r="V841" s="1090"/>
      <c r="W841" s="33" t="str">
        <f>OBRA!N842</f>
        <v>GMJ 009C- OP/2024</v>
      </c>
      <c r="X841" s="1402"/>
      <c r="Y841" s="1402"/>
      <c r="Z841" s="409" t="str">
        <f>OBRA!M842</f>
        <v>CUENTA CORRIENTE</v>
      </c>
      <c r="AA841" s="1402"/>
      <c r="AB841" s="2" t="str">
        <f>OBRA!O842</f>
        <v>ADJUDICACIÓN DIRECTA</v>
      </c>
      <c r="AC841" s="3" t="str">
        <f>OBRA!P842</f>
        <v>"ELECTRIFICACIÓN DE NUEVO CÁRCAMO DE BOMBEO UBICADO EN LA CALLE RIVERA DEL LAGO ESQUINA CON JOSÉ SANTANA", EN LA CABECERA MUNICIPAL DE JOCOTEPEC, JALISCO.</v>
      </c>
      <c r="AD841" s="4">
        <f>OBRA!R842</f>
        <v>948599.13</v>
      </c>
      <c r="AE841" s="6">
        <f>OBRA!S842</f>
        <v>45363</v>
      </c>
      <c r="AF841" s="5">
        <f>OBRA!T842</f>
        <v>45384</v>
      </c>
      <c r="AG841" s="11">
        <f>OBRA!U842</f>
        <v>45467</v>
      </c>
      <c r="AH841" s="207"/>
      <c r="AI841" s="161"/>
      <c r="AJ841" s="219"/>
      <c r="AK841" s="219"/>
      <c r="AL841" s="632"/>
      <c r="AM841" s="519">
        <f>GRAL!B1048</f>
        <v>0</v>
      </c>
    </row>
    <row r="842" spans="1:39" ht="45" hidden="1">
      <c r="A842" s="158">
        <f>OBRA!J843</f>
        <v>2024</v>
      </c>
      <c r="B842" s="1683"/>
      <c r="C842" s="411"/>
      <c r="D842" s="163"/>
      <c r="E842" s="1169"/>
      <c r="F842" s="1169"/>
      <c r="G842" s="1184"/>
      <c r="H842" s="1185" t="str">
        <f>OBRA!AF843</f>
        <v>-</v>
      </c>
      <c r="I842" s="1186"/>
      <c r="J842" s="1361" t="str">
        <f>OBRA!AG843</f>
        <v>-</v>
      </c>
      <c r="K842" s="1187"/>
      <c r="L842" s="1185" t="str">
        <f>OBRA!AH843</f>
        <v>-</v>
      </c>
      <c r="M842" s="1188"/>
      <c r="N842" s="1185" t="str">
        <f>OBRA!AI843</f>
        <v>-</v>
      </c>
      <c r="O842" s="1185"/>
      <c r="P842" s="1185"/>
      <c r="Q842" s="1187"/>
      <c r="R842" s="437" t="str">
        <f>OBRA!AJ843</f>
        <v>-</v>
      </c>
      <c r="S842" s="535"/>
      <c r="T842" s="399" t="str">
        <f>OBRA!W843</f>
        <v>ALSERCON SA DE CV</v>
      </c>
      <c r="U842" s="408" t="str">
        <f>OBRA!X843</f>
        <v>ARQ. JAIME CONDE GOMEZ</v>
      </c>
      <c r="V842" s="1090"/>
      <c r="W842" s="33" t="str">
        <f>OBRA!N843</f>
        <v>GMJ 010C- OP/2024</v>
      </c>
      <c r="X842" s="1402"/>
      <c r="Y842" s="1402"/>
      <c r="Z842" s="409" t="str">
        <f>OBRA!M843</f>
        <v>RAMO 33</v>
      </c>
      <c r="AA842" s="1402"/>
      <c r="AB842" s="2" t="str">
        <f>OBRA!O843</f>
        <v>ADJUDICACIÓN DIRECTA</v>
      </c>
      <c r="AC842" s="3" t="str">
        <f>OBRA!P843</f>
        <v>"CONSTRUCCIÓN DE PUENTE PEATONAL EN CALLE LIBERTAD", EN LA LOCALIDAD DE ZAPOTITÁN DE HIDALGO, MUNICIPIO DE JOCOTEPEC, JALISCO.</v>
      </c>
      <c r="AD842" s="4">
        <f>OBRA!R843</f>
        <v>568143.82999999996</v>
      </c>
      <c r="AE842" s="6">
        <f>OBRA!S843</f>
        <v>45364</v>
      </c>
      <c r="AF842" s="5">
        <f>OBRA!T843</f>
        <v>45376</v>
      </c>
      <c r="AG842" s="11">
        <f>OBRA!U843</f>
        <v>45413</v>
      </c>
      <c r="AH842" s="207"/>
      <c r="AI842" s="161"/>
      <c r="AJ842" s="219"/>
      <c r="AK842" s="219"/>
      <c r="AL842" s="632"/>
      <c r="AM842" s="519">
        <f>GRAL!B1049</f>
        <v>0</v>
      </c>
    </row>
    <row r="843" spans="1:39" ht="121.5" customHeight="1">
      <c r="A843" s="158">
        <f>OBRA!J844</f>
        <v>2024</v>
      </c>
      <c r="B843" s="1685" t="str">
        <f>W843</f>
        <v>CSS-OP-FAIS/RAMO 33-011/2024</v>
      </c>
      <c r="C843" s="1271"/>
      <c r="D843" s="146"/>
      <c r="E843" s="148"/>
      <c r="F843" s="148"/>
      <c r="G843" s="503" t="s">
        <v>6506</v>
      </c>
      <c r="H843" s="580">
        <f>OBRA!AF844</f>
        <v>45383</v>
      </c>
      <c r="I843" s="503" t="s">
        <v>6506</v>
      </c>
      <c r="J843" s="581">
        <f>OBRA!AG844</f>
        <v>45385</v>
      </c>
      <c r="K843" s="503" t="s">
        <v>6506</v>
      </c>
      <c r="L843" s="580">
        <f>OBRA!AH844</f>
        <v>45385</v>
      </c>
      <c r="M843" s="503" t="s">
        <v>6506</v>
      </c>
      <c r="N843" s="580">
        <f>OBRA!AI844</f>
        <v>45390</v>
      </c>
      <c r="O843" s="166" t="s">
        <v>6456</v>
      </c>
      <c r="P843" s="547">
        <v>0.41666666666666669</v>
      </c>
      <c r="Q843" s="503" t="s">
        <v>6506</v>
      </c>
      <c r="R843" s="205">
        <f>OBRA!AJ844</f>
        <v>45392</v>
      </c>
      <c r="S843" s="1931" t="s">
        <v>6560</v>
      </c>
      <c r="T843" s="148" t="str">
        <f>OBRA!W844</f>
        <v>TERRACERÍAS Y PAVIMENTOS DE LA RIBERA, S.A. DE C.V.</v>
      </c>
      <c r="U843" s="55" t="str">
        <f>OBRA!X844</f>
        <v>C. DANIEL RODRIGUEZ VALENZUELA</v>
      </c>
      <c r="V843" s="146"/>
      <c r="W843" s="33" t="str">
        <f>OBRA!N844</f>
        <v>CSS-OP-FAIS/RAMO 33-011/2024</v>
      </c>
      <c r="X843" s="1324" t="s">
        <v>6490</v>
      </c>
      <c r="Y843" s="1202" t="s">
        <v>6507</v>
      </c>
      <c r="Z843" s="12" t="str">
        <f>OBRA!M844</f>
        <v>RAMO 33</v>
      </c>
      <c r="AA843" s="12" t="s">
        <v>2360</v>
      </c>
      <c r="AB843" s="2" t="str">
        <f>OBRA!O844</f>
        <v>CONCURSO SIMPLIFICADO SUMARIO</v>
      </c>
      <c r="AC843" s="3" t="str">
        <f>OBRA!P844</f>
        <v>"CONSTRUCCIÓN DE LÍNEA DE COLECTOR  DE 18", EN LA CABECERA MUNICIPAL DE JOCOTEPEC, JALISCO.</v>
      </c>
      <c r="AD843" s="79">
        <f>OBRA!R844</f>
        <v>5799082.5300000003</v>
      </c>
      <c r="AE843" s="67">
        <f>OBRA!S844</f>
        <v>45394</v>
      </c>
      <c r="AF843" s="5">
        <f>OBRA!T844</f>
        <v>45397</v>
      </c>
      <c r="AG843" s="11">
        <f>OBRA!U844</f>
        <v>45458</v>
      </c>
      <c r="AH843" s="207" t="s">
        <v>3816</v>
      </c>
      <c r="AI843" s="499" t="s">
        <v>6490</v>
      </c>
      <c r="AJ843" s="1"/>
      <c r="AK843" s="2"/>
      <c r="AL843" s="503" t="s">
        <v>6506</v>
      </c>
      <c r="AM843" s="13" t="str">
        <f>GRAL!B844</f>
        <v>2021-2024</v>
      </c>
    </row>
    <row r="844" spans="1:39" ht="180">
      <c r="A844" s="158">
        <f>OBRA!J845</f>
        <v>2024</v>
      </c>
      <c r="B844" s="1685" t="str">
        <f>W844</f>
        <v>CSS-OP-CC-012/2024</v>
      </c>
      <c r="C844" s="1271" t="s">
        <v>6508</v>
      </c>
      <c r="D844" s="1593" t="s">
        <v>6455</v>
      </c>
      <c r="E844" s="1598" t="s">
        <v>5804</v>
      </c>
      <c r="F844" s="1929" t="s">
        <v>6453</v>
      </c>
      <c r="G844" s="503" t="s">
        <v>6508</v>
      </c>
      <c r="H844" s="580">
        <f>OBRA!AF845</f>
        <v>45383</v>
      </c>
      <c r="I844" s="503" t="s">
        <v>6508</v>
      </c>
      <c r="J844" s="581">
        <f>OBRA!AG845</f>
        <v>45385</v>
      </c>
      <c r="K844" s="503" t="s">
        <v>6508</v>
      </c>
      <c r="L844" s="580">
        <f>OBRA!AH845</f>
        <v>45385</v>
      </c>
      <c r="M844" s="503" t="s">
        <v>6508</v>
      </c>
      <c r="N844" s="580">
        <f>OBRA!AI845</f>
        <v>45391</v>
      </c>
      <c r="O844" s="166" t="s">
        <v>6456</v>
      </c>
      <c r="P844" s="547">
        <v>0.41666666666666669</v>
      </c>
      <c r="Q844" s="503" t="s">
        <v>6508</v>
      </c>
      <c r="R844" s="205">
        <f>OBRA!AJ845</f>
        <v>45393</v>
      </c>
      <c r="S844" s="1931" t="s">
        <v>6561</v>
      </c>
      <c r="T844" s="148" t="str">
        <f>OBRA!W845</f>
        <v>VICTOR SAUL RAMOS MORALES</v>
      </c>
      <c r="U844" s="55" t="str">
        <f>OBRA!X845</f>
        <v>ING. LUIS RIGOBERTO OLMEDO NAVARRO</v>
      </c>
      <c r="V844" s="146"/>
      <c r="W844" s="33" t="str">
        <f>OBRA!N845</f>
        <v>CSS-OP-CC-012/2024</v>
      </c>
      <c r="X844" s="1324" t="s">
        <v>6490</v>
      </c>
      <c r="Y844" s="1202" t="s">
        <v>6177</v>
      </c>
      <c r="Z844" s="412" t="str">
        <f>OBRA!M845</f>
        <v>CUENTA CORRIENTE</v>
      </c>
      <c r="AA844" s="12" t="s">
        <v>2320</v>
      </c>
      <c r="AB844" s="2" t="str">
        <f>OBRA!O845</f>
        <v>CONCURSO SIMPLIFICADO SUMARIO</v>
      </c>
      <c r="AC844" s="3" t="str">
        <f>OBRA!P845</f>
        <v>"PERFORACIÓN DE UN POZO PROFUNDO A 250 ML EN CALLE MORELOS CRUCE CON C. GONZÁLEZ ORTEGA", EN LA CABECERA MUNICIPAL DE JOCOTEPEC, JALISCO</v>
      </c>
      <c r="AD844" s="79">
        <f>OBRA!R845</f>
        <v>4428068</v>
      </c>
      <c r="AE844" s="67">
        <f>OBRA!S845</f>
        <v>45394</v>
      </c>
      <c r="AF844" s="5">
        <f>OBRA!T845</f>
        <v>45414</v>
      </c>
      <c r="AG844" s="11">
        <f>OBRA!U845</f>
        <v>45458</v>
      </c>
      <c r="AH844" s="207" t="s">
        <v>4446</v>
      </c>
      <c r="AI844" s="499" t="s">
        <v>6490</v>
      </c>
      <c r="AJ844" s="1"/>
      <c r="AK844" s="503" t="s">
        <v>6508</v>
      </c>
      <c r="AL844" s="18"/>
      <c r="AM844" s="13" t="str">
        <f>GRAL!B845</f>
        <v>2021-2024</v>
      </c>
    </row>
    <row r="845" spans="1:39" ht="60" hidden="1">
      <c r="A845" s="158">
        <f>OBRA!J846</f>
        <v>2024</v>
      </c>
      <c r="B845" s="1683"/>
      <c r="C845" s="1360"/>
      <c r="D845" s="163"/>
      <c r="E845" s="1169"/>
      <c r="F845" s="1169"/>
      <c r="G845" s="1184"/>
      <c r="H845" s="1185" t="str">
        <f>OBRA!AF846</f>
        <v>-</v>
      </c>
      <c r="I845" s="1186"/>
      <c r="J845" s="1361" t="str">
        <f>OBRA!AG846</f>
        <v>-</v>
      </c>
      <c r="K845" s="1187"/>
      <c r="L845" s="1185" t="str">
        <f>OBRA!AH846</f>
        <v>-</v>
      </c>
      <c r="M845" s="1188"/>
      <c r="N845" s="1185" t="str">
        <f>OBRA!AI846</f>
        <v>-</v>
      </c>
      <c r="O845" s="1185"/>
      <c r="P845" s="1185"/>
      <c r="Q845" s="1187"/>
      <c r="R845" s="437" t="str">
        <f>OBRA!AJ846</f>
        <v>-</v>
      </c>
      <c r="S845" s="535"/>
      <c r="T845" s="399" t="str">
        <f>OBRA!W846</f>
        <v>ALSERCON SA DE CV</v>
      </c>
      <c r="U845" s="408" t="str">
        <f>OBRA!X846</f>
        <v>ARQ. JAIME CONDE GOMEZ</v>
      </c>
      <c r="V845" s="1090"/>
      <c r="W845" s="19" t="str">
        <f>OBRA!N846</f>
        <v>GMJ 013C- OP/2024</v>
      </c>
      <c r="X845" s="1402"/>
      <c r="Y845" s="1402"/>
      <c r="Z845" s="409" t="str">
        <f>OBRA!M846</f>
        <v>RAMO 33</v>
      </c>
      <c r="AA845" s="1402"/>
      <c r="AB845" s="2" t="str">
        <f>OBRA!O846</f>
        <v>ADJUDICACIÓN DIRECTA</v>
      </c>
      <c r="AC845" s="3" t="str">
        <f>OBRA!P846</f>
        <v>"CONSTRUCCIÓN DE PUENTE PEATONAL EN CALLE GALEANA", EN LA DELEGACIÓN DE ZAPOTITÁN DE HIDALGO, DEL MUNICIPIO DE JOCOTEPEC, JALISCO.</v>
      </c>
      <c r="AD845" s="4">
        <f>OBRA!R846</f>
        <v>979189.38</v>
      </c>
      <c r="AE845" s="6">
        <f>OBRA!S846</f>
        <v>45400</v>
      </c>
      <c r="AF845" s="5">
        <f>OBRA!T846</f>
        <v>45418</v>
      </c>
      <c r="AG845" s="390">
        <f>OBRA!U846</f>
        <v>45443</v>
      </c>
      <c r="AH845" s="880"/>
      <c r="AI845" s="161"/>
      <c r="AJ845" s="219"/>
      <c r="AK845" s="219"/>
      <c r="AL845" s="632"/>
      <c r="AM845" s="519">
        <f>GRAL!B1052</f>
        <v>0</v>
      </c>
    </row>
    <row r="846" spans="1:39" ht="90" hidden="1">
      <c r="A846" s="158">
        <f>OBRA!J847</f>
        <v>2024</v>
      </c>
      <c r="B846" s="1683"/>
      <c r="C846" s="1360"/>
      <c r="D846" s="163"/>
      <c r="E846" s="1169"/>
      <c r="F846" s="1169"/>
      <c r="G846" s="1184"/>
      <c r="H846" s="1185" t="str">
        <f>OBRA!AF847</f>
        <v>-</v>
      </c>
      <c r="I846" s="1186"/>
      <c r="J846" s="1361" t="str">
        <f>OBRA!AG847</f>
        <v>-</v>
      </c>
      <c r="K846" s="1187"/>
      <c r="L846" s="1185" t="str">
        <f>OBRA!AH847</f>
        <v>-</v>
      </c>
      <c r="M846" s="1188"/>
      <c r="N846" s="1185" t="str">
        <f>OBRA!AI847</f>
        <v>-</v>
      </c>
      <c r="O846" s="1185"/>
      <c r="P846" s="1185"/>
      <c r="Q846" s="1187"/>
      <c r="R846" s="437" t="str">
        <f>OBRA!AJ847</f>
        <v>-</v>
      </c>
      <c r="S846" s="535"/>
      <c r="T846" s="399" t="str">
        <f>OBRA!W847</f>
        <v>ING. MARCO ANTONIO PAREDES RODRÍGUEZ</v>
      </c>
      <c r="U846" s="408" t="str">
        <f>OBRA!X847</f>
        <v>ING. J. GUADALUPE IBARRA RAMIREZ</v>
      </c>
      <c r="V846" s="1090"/>
      <c r="W846" s="19" t="str">
        <f>OBRA!N847</f>
        <v>GMJ 014C- OP/2024</v>
      </c>
      <c r="X846" s="1402"/>
      <c r="Y846" s="1402"/>
      <c r="Z846" s="409" t="str">
        <f>OBRA!M847</f>
        <v>CUENTA CORRIENTE</v>
      </c>
      <c r="AA846" s="1402"/>
      <c r="AB846" s="2" t="str">
        <f>OBRA!O847</f>
        <v>ADJUDICACIÓN DIRECTA</v>
      </c>
      <c r="AC846" s="3" t="str">
        <f>OBRA!P847</f>
        <v>"EQUIPAMIENTO DE NUEVO POZO PROFUNDO DE AGUA POTABLE EN CALLE MIGUEL ARANA CRUCE CON CALLE ALLENDE (ZONA CENTRO) Y ADECUACIÓN DE GARZA EN POZO ACTUAL UBICADO EN EL ATRIO", EN LA CABECERA MUNICIPAL DE JOCOTEPEC, JALISCO.</v>
      </c>
      <c r="AD846" s="4">
        <f>OBRA!R847</f>
        <v>802898.64</v>
      </c>
      <c r="AE846" s="6">
        <f>OBRA!S847</f>
        <v>45419</v>
      </c>
      <c r="AF846" s="5">
        <f>OBRA!T847</f>
        <v>45420</v>
      </c>
      <c r="AG846" s="390">
        <f>OBRA!U847</f>
        <v>45442</v>
      </c>
      <c r="AH846" s="880"/>
      <c r="AI846" s="161"/>
      <c r="AJ846" s="219"/>
      <c r="AK846" s="219"/>
      <c r="AL846" s="632"/>
      <c r="AM846" s="519">
        <f>GRAL!B1053</f>
        <v>0</v>
      </c>
    </row>
    <row r="847" spans="1:39" ht="105" hidden="1">
      <c r="A847" s="158">
        <f>OBRA!J848</f>
        <v>2024</v>
      </c>
      <c r="B847" s="1683"/>
      <c r="C847" s="1360"/>
      <c r="D847" s="163"/>
      <c r="E847" s="1169"/>
      <c r="F847" s="1169"/>
      <c r="G847" s="1184"/>
      <c r="H847" s="1185" t="str">
        <f>OBRA!AF848</f>
        <v>-</v>
      </c>
      <c r="I847" s="1186"/>
      <c r="J847" s="1361" t="str">
        <f>OBRA!AG848</f>
        <v>-</v>
      </c>
      <c r="K847" s="1187"/>
      <c r="L847" s="1185" t="str">
        <f>OBRA!AH848</f>
        <v>-</v>
      </c>
      <c r="M847" s="1188"/>
      <c r="N847" s="1185" t="str">
        <f>OBRA!AI848</f>
        <v>-</v>
      </c>
      <c r="O847" s="1185"/>
      <c r="P847" s="1185"/>
      <c r="Q847" s="1187"/>
      <c r="R847" s="437" t="str">
        <f>OBRA!AJ848</f>
        <v>-</v>
      </c>
      <c r="S847" s="535"/>
      <c r="T847" s="399" t="str">
        <f>OBRA!W848</f>
        <v>SOLEC ENERGY, S.A. DE C.V.</v>
      </c>
      <c r="U847" s="408" t="str">
        <f>OBRA!X848</f>
        <v>ING. J. GUADALUPE IBARRA RAMIREZ</v>
      </c>
      <c r="V847" s="1090"/>
      <c r="W847" s="19" t="str">
        <f>OBRA!N848</f>
        <v>GMJ 015C- OP/2024</v>
      </c>
      <c r="X847" s="1402"/>
      <c r="Y847" s="1402"/>
      <c r="Z847" s="409" t="str">
        <f>OBRA!M848</f>
        <v>RAMO 33</v>
      </c>
      <c r="AA847" s="1402"/>
      <c r="AB847" s="2" t="str">
        <f>OBRA!O848</f>
        <v>ADJUDICACIÓN DIRECTA</v>
      </c>
      <c r="AC847" s="3" t="str">
        <f>OBRA!P848</f>
        <v>"ELECTRIFICACIÓN DE NUEVO POZO PROFUNDO DE AGUA POTABLE ENTUBADA EN JOCOTEPEC CENTRO, INCLUYE CONSTRUCCIÓN Y ELECTRIFICACIÓN DE CASETA DE CONTROL ELÉCTRICO EN POZO ACTUAL UBICADO EN EL ATRIO", EN LA CABECERA MUNICIPAL DE JOCOTEPEC, JALISCO</v>
      </c>
      <c r="AD847" s="4">
        <f>OBRA!R848</f>
        <v>944743.84</v>
      </c>
      <c r="AE847" s="6">
        <f>OBRA!S848</f>
        <v>45419</v>
      </c>
      <c r="AF847" s="5">
        <f>OBRA!T848</f>
        <v>45423</v>
      </c>
      <c r="AG847" s="390">
        <f>OBRA!U848</f>
        <v>45443</v>
      </c>
      <c r="AH847" s="880"/>
      <c r="AI847" s="161"/>
      <c r="AJ847" s="219"/>
      <c r="AK847" s="219"/>
      <c r="AL847" s="632"/>
      <c r="AM847" s="519">
        <f>GRAL!B1054</f>
        <v>0</v>
      </c>
    </row>
    <row r="848" spans="1:39" ht="75" hidden="1">
      <c r="A848" s="158">
        <f>OBRA!J849</f>
        <v>2024</v>
      </c>
      <c r="B848" s="1683"/>
      <c r="C848" s="1360"/>
      <c r="D848" s="163"/>
      <c r="E848" s="1169"/>
      <c r="F848" s="1169"/>
      <c r="G848" s="1184"/>
      <c r="H848" s="1185" t="str">
        <f>OBRA!AF849</f>
        <v>-</v>
      </c>
      <c r="I848" s="1186"/>
      <c r="J848" s="1361" t="str">
        <f>OBRA!AG849</f>
        <v>-</v>
      </c>
      <c r="K848" s="1187"/>
      <c r="L848" s="1185" t="str">
        <f>OBRA!AH849</f>
        <v>-</v>
      </c>
      <c r="M848" s="1188"/>
      <c r="N848" s="1185" t="str">
        <f>OBRA!AI849</f>
        <v>-</v>
      </c>
      <c r="O848" s="1185"/>
      <c r="P848" s="1185"/>
      <c r="Q848" s="1187"/>
      <c r="R848" s="437" t="str">
        <f>OBRA!AJ849</f>
        <v>-</v>
      </c>
      <c r="S848" s="535"/>
      <c r="T848" s="399" t="str">
        <f>OBRA!W849</f>
        <v>SOLEC ENERGY, S.A. DE C.V.</v>
      </c>
      <c r="U848" s="408" t="str">
        <f>OBRA!X849</f>
        <v>ING. LUIS RIGOBERTO OLMEDO NAVARRO</v>
      </c>
      <c r="V848" s="1090"/>
      <c r="W848" s="19" t="str">
        <f>OBRA!N849</f>
        <v>GMJ 016C- OP/2024</v>
      </c>
      <c r="X848" s="1402"/>
      <c r="Y848" s="1402"/>
      <c r="Z848" s="409" t="str">
        <f>OBRA!M849</f>
        <v>CUENTA CORRIENTE</v>
      </c>
      <c r="AA848" s="1402"/>
      <c r="AB848" s="2" t="str">
        <f>OBRA!O849</f>
        <v>ADJUDICACIÓN DIRECTA</v>
      </c>
      <c r="AC848" s="3" t="str">
        <f>OBRA!P849</f>
        <v>"SUMINISTRO E INSTALACIÓN DE POSTES PARA ALUMBRADO DE CAMPO DE FUTBOL EN LA UNIDAD DEPORTIVA SUR DONATO GUERRA", EN LA CABECERA MUNICIPAL DE JOCOTEPEC, JALISCO.</v>
      </c>
      <c r="AD848" s="4">
        <f>OBRA!R849</f>
        <v>152167.64000000001</v>
      </c>
      <c r="AE848" s="6">
        <f>OBRA!S849</f>
        <v>45446</v>
      </c>
      <c r="AF848" s="5">
        <f>OBRA!T849</f>
        <v>45432</v>
      </c>
      <c r="AG848" s="390">
        <f>OBRA!U849</f>
        <v>45440</v>
      </c>
      <c r="AH848" s="880"/>
      <c r="AI848" s="161"/>
      <c r="AJ848" s="219"/>
      <c r="AK848" s="219"/>
      <c r="AL848" s="632"/>
      <c r="AM848" s="519">
        <f>GRAL!B1055</f>
        <v>0</v>
      </c>
    </row>
    <row r="849" spans="1:39" ht="90" hidden="1">
      <c r="A849" s="158">
        <f>OBRA!J850</f>
        <v>2024</v>
      </c>
      <c r="B849" s="1683"/>
      <c r="C849" s="1360"/>
      <c r="D849" s="163"/>
      <c r="E849" s="1169"/>
      <c r="F849" s="1169"/>
      <c r="G849" s="1184"/>
      <c r="H849" s="1185" t="str">
        <f>OBRA!AF850</f>
        <v>-</v>
      </c>
      <c r="I849" s="1186"/>
      <c r="J849" s="1361" t="str">
        <f>OBRA!AG850</f>
        <v>-</v>
      </c>
      <c r="K849" s="1187"/>
      <c r="L849" s="1185" t="str">
        <f>OBRA!AH850</f>
        <v>-</v>
      </c>
      <c r="M849" s="1188"/>
      <c r="N849" s="1185" t="str">
        <f>OBRA!AI850</f>
        <v>-</v>
      </c>
      <c r="O849" s="1185"/>
      <c r="P849" s="1185"/>
      <c r="Q849" s="1187"/>
      <c r="R849" s="437" t="str">
        <f>OBRA!AJ850</f>
        <v>-</v>
      </c>
      <c r="S849" s="535"/>
      <c r="T849" s="399" t="str">
        <f>OBRA!W850</f>
        <v xml:space="preserve">DORIA &amp; SAMPIER CONSTRUCTORA, S.A. DE C.V. </v>
      </c>
      <c r="U849" s="408" t="str">
        <f>OBRA!X850</f>
        <v>ING. J. GUADALUPE IBARRA RAMIREZ</v>
      </c>
      <c r="V849" s="1090"/>
      <c r="W849" s="19" t="str">
        <f>OBRA!N850</f>
        <v>GMJ 017C- OP/2024</v>
      </c>
      <c r="X849" s="1402"/>
      <c r="Y849" s="1402"/>
      <c r="Z849" s="409" t="str">
        <f>OBRA!M850</f>
        <v>CUENTA CORRIENTE</v>
      </c>
      <c r="AA849" s="1402"/>
      <c r="AB849" s="2" t="str">
        <f>OBRA!O850</f>
        <v>ADJUDICACIÓN DIRECTA</v>
      </c>
      <c r="AC849" s="3" t="str">
        <f>OBRA!P850</f>
        <v>"TRABAJOS PRELIMINARES DE DELIMITACIÓN, DESPALME Y CONFORMACIÓN DE PLATAFORMA, REHABILITACIÓN DE CAMINO DE ACCESO Y EXCAVACIÓN DE FOSA Y CANAL PREVIA CANCELACIÓN DE VERTEDERO MUNICIPAL", EN LA CABECERA MUNICIPAL DE JOCOTEPEC, JALISCO.</v>
      </c>
      <c r="AD849" s="4">
        <f>OBRA!R850</f>
        <v>687485.47</v>
      </c>
      <c r="AE849" s="6">
        <f>OBRA!S850</f>
        <v>45450</v>
      </c>
      <c r="AF849" s="5">
        <f>OBRA!T850</f>
        <v>45453</v>
      </c>
      <c r="AG849" s="390">
        <f>OBRA!U850</f>
        <v>45471</v>
      </c>
      <c r="AH849" s="880"/>
      <c r="AI849" s="161"/>
      <c r="AJ849" s="219"/>
      <c r="AK849" s="219"/>
      <c r="AL849" s="632"/>
      <c r="AM849" s="519">
        <f>GRAL!B1056</f>
        <v>0</v>
      </c>
    </row>
    <row r="850" spans="1:39" ht="75" hidden="1">
      <c r="A850" s="158">
        <f>OBRA!J851</f>
        <v>2024</v>
      </c>
      <c r="B850" s="1683"/>
      <c r="C850" s="1360"/>
      <c r="D850" s="163"/>
      <c r="E850" s="1169"/>
      <c r="F850" s="1169"/>
      <c r="G850" s="1184"/>
      <c r="H850" s="1185" t="str">
        <f>OBRA!AF851</f>
        <v>-</v>
      </c>
      <c r="I850" s="1186"/>
      <c r="J850" s="1361" t="str">
        <f>OBRA!AG851</f>
        <v>-</v>
      </c>
      <c r="K850" s="1187"/>
      <c r="L850" s="1185" t="str">
        <f>OBRA!AH851</f>
        <v>-</v>
      </c>
      <c r="M850" s="1188"/>
      <c r="N850" s="1185" t="str">
        <f>OBRA!AI851</f>
        <v>-</v>
      </c>
      <c r="O850" s="1185"/>
      <c r="P850" s="1185"/>
      <c r="Q850" s="1187"/>
      <c r="R850" s="437" t="str">
        <f>OBRA!AJ851</f>
        <v>-</v>
      </c>
      <c r="S850" s="535"/>
      <c r="T850" s="399" t="str">
        <f>OBRA!W851</f>
        <v>INFRAESTRUCTURA GUSEV, S.A. DE C.V.</v>
      </c>
      <c r="U850" s="408" t="str">
        <f>OBRA!X851</f>
        <v>C. DANIEL RODRIGUEZ VALENZUELA</v>
      </c>
      <c r="V850" s="1090"/>
      <c r="W850" s="19" t="str">
        <f>OBRA!N851</f>
        <v>GMJ 018C- OP/2024</v>
      </c>
      <c r="X850" s="1402"/>
      <c r="Y850" s="1402"/>
      <c r="Z850" s="409" t="str">
        <f>OBRA!M851</f>
        <v xml:space="preserve">FORTAMUN </v>
      </c>
      <c r="AA850" s="1402"/>
      <c r="AB850" s="2" t="str">
        <f>OBRA!O851</f>
        <v>ADJUDICACIÓN DIRECTA</v>
      </c>
      <c r="AC850" s="3" t="str">
        <f>OBRA!P851</f>
        <v>"CONSTRUCCIÓN DE LÍNEA DE ABASTECIMIENTO DE 6" DEL POZO DE AGUA POTABLE NUEVO A RED PRINCIPAL EN ZONA ORIENTE DE LA POBLACIÓN", EN LA LOCALIDAD DE SAN PEDRO TESISTÁN, MUNICIPIO DE JOCOTEPEC, JALISCO.</v>
      </c>
      <c r="AD850" s="4">
        <f>OBRA!R851</f>
        <v>1298701.05</v>
      </c>
      <c r="AE850" s="6">
        <f>OBRA!S851</f>
        <v>45448</v>
      </c>
      <c r="AF850" s="5">
        <f>OBRA!T851</f>
        <v>45450</v>
      </c>
      <c r="AG850" s="390">
        <f>OBRA!U851</f>
        <v>45464</v>
      </c>
      <c r="AH850" s="880"/>
      <c r="AI850" s="161"/>
      <c r="AJ850" s="219"/>
      <c r="AK850" s="219"/>
      <c r="AL850" s="632"/>
      <c r="AM850" s="519">
        <f>GRAL!B1057</f>
        <v>0</v>
      </c>
    </row>
    <row r="851" spans="1:39" ht="60" hidden="1">
      <c r="A851" s="158">
        <f>OBRA!J852</f>
        <v>2024</v>
      </c>
      <c r="B851" s="1683"/>
      <c r="C851" s="1360"/>
      <c r="D851" s="163"/>
      <c r="E851" s="1169"/>
      <c r="F851" s="1169"/>
      <c r="G851" s="1184"/>
      <c r="H851" s="1185" t="str">
        <f>OBRA!AF852</f>
        <v>-</v>
      </c>
      <c r="I851" s="1186"/>
      <c r="J851" s="1361" t="str">
        <f>OBRA!AG852</f>
        <v>-</v>
      </c>
      <c r="K851" s="1187"/>
      <c r="L851" s="1185" t="str">
        <f>OBRA!AH852</f>
        <v>-</v>
      </c>
      <c r="M851" s="1188"/>
      <c r="N851" s="1185" t="str">
        <f>OBRA!AI852</f>
        <v>-</v>
      </c>
      <c r="O851" s="1185"/>
      <c r="P851" s="1185"/>
      <c r="Q851" s="1187"/>
      <c r="R851" s="437" t="str">
        <f>OBRA!AJ852</f>
        <v>-</v>
      </c>
      <c r="S851" s="535"/>
      <c r="T851" s="399" t="str">
        <f>OBRA!W852</f>
        <v>SOLEC ENERGY, S.A. DE C.V.</v>
      </c>
      <c r="U851" s="408" t="str">
        <f>OBRA!X852</f>
        <v>ING. LUIS RIGOBERTO OLMEDO NAVARRO</v>
      </c>
      <c r="V851" s="1090"/>
      <c r="W851" s="19" t="str">
        <f>OBRA!N852</f>
        <v>GMJ 019C- OP/2024</v>
      </c>
      <c r="X851" s="1402"/>
      <c r="Y851" s="1402"/>
      <c r="Z851" s="409" t="str">
        <f>OBRA!M852</f>
        <v xml:space="preserve">FORTAMUN </v>
      </c>
      <c r="AA851" s="1402"/>
      <c r="AB851" s="2" t="str">
        <f>OBRA!O852</f>
        <v>ADJUDICACIÓN DIRECTA</v>
      </c>
      <c r="AC851" s="3" t="str">
        <f>OBRA!P852</f>
        <v>"AMPLIACIÓN DE ALUMBRADO PÚBLICO EN CALLE JOSEFA ORTÍZ DE DOMINGUEZ ENTRE CALLE CIENTÍFICOS Y LIBRAMIENTO", EN LA CABECERA MUNICIPAL DE JOCOTEPEC, JALISCO.</v>
      </c>
      <c r="AD851" s="4">
        <f>OBRA!R852</f>
        <v>204310.14</v>
      </c>
      <c r="AE851" s="6">
        <f>OBRA!S852</f>
        <v>45470</v>
      </c>
      <c r="AF851" s="5">
        <f>OBRA!T852</f>
        <v>45477</v>
      </c>
      <c r="AG851" s="390">
        <f>OBRA!U852</f>
        <v>45491</v>
      </c>
      <c r="AH851" s="880"/>
      <c r="AI851" s="161"/>
      <c r="AJ851" s="219"/>
      <c r="AK851" s="219"/>
      <c r="AL851" s="632"/>
      <c r="AM851" s="519">
        <f>GRAL!B1058</f>
        <v>0</v>
      </c>
    </row>
    <row r="852" spans="1:39" ht="60" hidden="1">
      <c r="A852" s="158">
        <f>OBRA!J853</f>
        <v>2024</v>
      </c>
      <c r="B852" s="1683"/>
      <c r="C852" s="1360"/>
      <c r="D852" s="163"/>
      <c r="E852" s="1169"/>
      <c r="F852" s="1169"/>
      <c r="G852" s="1184"/>
      <c r="H852" s="1185" t="str">
        <f>OBRA!AF853</f>
        <v>-</v>
      </c>
      <c r="I852" s="1186"/>
      <c r="J852" s="1361" t="str">
        <f>OBRA!AG853</f>
        <v>-</v>
      </c>
      <c r="K852" s="1187"/>
      <c r="L852" s="1185" t="str">
        <f>OBRA!AH853</f>
        <v>-</v>
      </c>
      <c r="M852" s="1188"/>
      <c r="N852" s="1185" t="str">
        <f>OBRA!AI853</f>
        <v>-</v>
      </c>
      <c r="O852" s="1185"/>
      <c r="P852" s="1185"/>
      <c r="Q852" s="1187"/>
      <c r="R852" s="437" t="str">
        <f>OBRA!AJ853</f>
        <v>-</v>
      </c>
      <c r="S852" s="535"/>
      <c r="T852" s="399" t="str">
        <f>OBRA!W853</f>
        <v>INFRAESTRUCTURA GUSEV, S.A. DE C.V.</v>
      </c>
      <c r="U852" s="408" t="str">
        <f>OBRA!X853</f>
        <v>C. DANIEL RODRIGUEZ VALENZUELA</v>
      </c>
      <c r="V852" s="1090"/>
      <c r="W852" s="19" t="str">
        <f>OBRA!N853</f>
        <v>GMJ 020C- OP/2024</v>
      </c>
      <c r="X852" s="1402"/>
      <c r="Y852" s="1402"/>
      <c r="Z852" s="409" t="str">
        <f>OBRA!M853</f>
        <v xml:space="preserve">FORTAMUN </v>
      </c>
      <c r="AA852" s="1402"/>
      <c r="AB852" s="2" t="str">
        <f>OBRA!O853</f>
        <v>ADJUDICACIÓN DIRECTA</v>
      </c>
      <c r="AC852" s="3" t="str">
        <f>OBRA!P853</f>
        <v>"REMODELACIÓN DE LAS INSTALACIONES DE LA COMANDANCIA MUNICIPAL", EN LA CABECERA MUNICIPAL", EN LA CABECERA MUNICIPAL DE JOCOTEPEC, JALISCO.</v>
      </c>
      <c r="AD852" s="4">
        <f>OBRA!R853</f>
        <v>1801948.36</v>
      </c>
      <c r="AE852" s="6">
        <f>OBRA!S853</f>
        <v>45468</v>
      </c>
      <c r="AF852" s="5">
        <f>OBRA!T853</f>
        <v>45470</v>
      </c>
      <c r="AG852" s="390">
        <f>OBRA!U853</f>
        <v>45548</v>
      </c>
      <c r="AH852" s="880"/>
      <c r="AI852" s="161"/>
      <c r="AJ852" s="219"/>
      <c r="AK852" s="219"/>
      <c r="AL852" s="632"/>
      <c r="AM852" s="519">
        <f>GRAL!B1059</f>
        <v>0</v>
      </c>
    </row>
    <row r="853" spans="1:39" ht="75" hidden="1">
      <c r="A853" s="158">
        <f>OBRA!J854</f>
        <v>2024</v>
      </c>
      <c r="B853" s="1683"/>
      <c r="C853" s="1360"/>
      <c r="D853" s="163"/>
      <c r="E853" s="1169"/>
      <c r="F853" s="1169"/>
      <c r="G853" s="1184"/>
      <c r="H853" s="1185" t="str">
        <f>OBRA!AF854</f>
        <v>-</v>
      </c>
      <c r="I853" s="1186"/>
      <c r="J853" s="1361" t="str">
        <f>OBRA!AG854</f>
        <v>-</v>
      </c>
      <c r="K853" s="1187"/>
      <c r="L853" s="1185" t="str">
        <f>OBRA!AH854</f>
        <v>-</v>
      </c>
      <c r="M853" s="1188"/>
      <c r="N853" s="1185" t="str">
        <f>OBRA!AI854</f>
        <v>-</v>
      </c>
      <c r="O853" s="1185"/>
      <c r="P853" s="1185"/>
      <c r="Q853" s="1187"/>
      <c r="R853" s="437" t="str">
        <f>OBRA!AJ854</f>
        <v>-</v>
      </c>
      <c r="S853" s="535"/>
      <c r="T853" s="399" t="str">
        <f>OBRA!W854</f>
        <v>SERGIO CABRERA</v>
      </c>
      <c r="U853" s="408" t="str">
        <f>OBRA!X854</f>
        <v>C. DANIEL RODRIGUEZ VALENZUELA</v>
      </c>
      <c r="V853" s="1090"/>
      <c r="W853" s="19" t="str">
        <f>OBRA!N854</f>
        <v>GMJ 021C- OP/2024</v>
      </c>
      <c r="X853" s="1402"/>
      <c r="Y853" s="1402"/>
      <c r="Z853" s="409" t="str">
        <f>OBRA!M854</f>
        <v xml:space="preserve">FORTAMUN </v>
      </c>
      <c r="AA853" s="1402"/>
      <c r="AB853" s="2" t="str">
        <f>OBRA!O854</f>
        <v>ADJUDICACIÓN DIRECTA</v>
      </c>
      <c r="AC853" s="3" t="str">
        <f>OBRA!P854</f>
        <v>"REHABILITACIÓN DE LÍNEA DE DRENAJE DE 12" EN CALLE RIVERA DEL LAGO ENTRE ANDADOR XOCHITL Y CARRETERA JOCOTEPEC, CHAPALA", EN LA LOCALIDAD DE NEXTIPAC, MUNICIPIO DE JOCOTEPEC, JALISCO.</v>
      </c>
      <c r="AD853" s="4">
        <f>OBRA!R854</f>
        <v>424277.78</v>
      </c>
      <c r="AE853" s="6">
        <f>OBRA!S854</f>
        <v>45470</v>
      </c>
      <c r="AF853" s="5">
        <f>OBRA!T854</f>
        <v>45471</v>
      </c>
      <c r="AG853" s="390">
        <f>OBRA!U854</f>
        <v>45476</v>
      </c>
      <c r="AH853" s="880"/>
      <c r="AI853" s="161"/>
      <c r="AJ853" s="219"/>
      <c r="AK853" s="219"/>
      <c r="AL853" s="632"/>
      <c r="AM853" s="519">
        <f>GRAL!B1060</f>
        <v>0</v>
      </c>
    </row>
    <row r="854" spans="1:39" ht="75" hidden="1">
      <c r="A854" s="158">
        <f>OBRA!J855</f>
        <v>2024</v>
      </c>
      <c r="B854" s="1683"/>
      <c r="C854" s="1360"/>
      <c r="D854" s="163"/>
      <c r="E854" s="1169"/>
      <c r="F854" s="1169"/>
      <c r="G854" s="1184"/>
      <c r="H854" s="1185" t="str">
        <f>OBRA!AF855</f>
        <v>-</v>
      </c>
      <c r="I854" s="1186"/>
      <c r="J854" s="1361" t="str">
        <f>OBRA!AG855</f>
        <v>-</v>
      </c>
      <c r="K854" s="1187"/>
      <c r="L854" s="1185" t="str">
        <f>OBRA!AH855</f>
        <v>-</v>
      </c>
      <c r="M854" s="1188"/>
      <c r="N854" s="1185" t="str">
        <f>OBRA!AI855</f>
        <v>-</v>
      </c>
      <c r="O854" s="1185"/>
      <c r="P854" s="1185"/>
      <c r="Q854" s="1187"/>
      <c r="R854" s="437" t="str">
        <f>OBRA!AJ855</f>
        <v>-</v>
      </c>
      <c r="S854" s="535"/>
      <c r="T854" s="399" t="str">
        <f>OBRA!W855</f>
        <v>SERGIO CABRERA</v>
      </c>
      <c r="U854" s="408" t="str">
        <f>OBRA!X855</f>
        <v>C. DANIEL RODRIGUEZ VALENZUELA</v>
      </c>
      <c r="V854" s="1090"/>
      <c r="W854" s="19" t="str">
        <f>OBRA!N855</f>
        <v>GMJ 022C- OP/2024</v>
      </c>
      <c r="X854" s="1402"/>
      <c r="Y854" s="1402"/>
      <c r="Z854" s="409" t="str">
        <f>OBRA!M855</f>
        <v xml:space="preserve">FORTAMUN </v>
      </c>
      <c r="AA854" s="1402"/>
      <c r="AB854" s="2" t="str">
        <f>OBRA!O855</f>
        <v>ADJUDICACIÓN DIRECTA</v>
      </c>
      <c r="AC854" s="3" t="str">
        <f>OBRA!P855</f>
        <v>"REHABILITACIÓN DE LÍNEA DE AGUA POTABLE DE 3" EN CALLE RIVERA DEL LAGO ENTRE ANDADOR XOCHITL Y CARRETERA JOCOTEPEC, CHAPALA", EN LA LOCALIDAD DE NEXTIPAC, MUNICIPIO DE JOCOTPEC, JALISCO.</v>
      </c>
      <c r="AD854" s="4">
        <f>OBRA!R855</f>
        <v>238287.78</v>
      </c>
      <c r="AE854" s="6">
        <f>OBRA!S855</f>
        <v>45470</v>
      </c>
      <c r="AF854" s="5">
        <f>OBRA!T855</f>
        <v>45477</v>
      </c>
      <c r="AG854" s="390">
        <f>OBRA!U855</f>
        <v>45483</v>
      </c>
      <c r="AH854" s="880"/>
      <c r="AI854" s="161"/>
      <c r="AJ854" s="219"/>
      <c r="AK854" s="219"/>
      <c r="AL854" s="632"/>
      <c r="AM854" s="519">
        <f>GRAL!B1061</f>
        <v>0</v>
      </c>
    </row>
    <row r="855" spans="1:39" ht="75" hidden="1">
      <c r="A855" s="158">
        <f>OBRA!J856</f>
        <v>2024</v>
      </c>
      <c r="B855" s="1683"/>
      <c r="C855" s="1360"/>
      <c r="D855" s="163"/>
      <c r="E855" s="1169"/>
      <c r="F855" s="1169"/>
      <c r="G855" s="1184"/>
      <c r="H855" s="1185" t="str">
        <f>OBRA!AF856</f>
        <v>-</v>
      </c>
      <c r="I855" s="1186"/>
      <c r="J855" s="1361" t="str">
        <f>OBRA!AG856</f>
        <v>-</v>
      </c>
      <c r="K855" s="1187"/>
      <c r="L855" s="1185" t="str">
        <f>OBRA!AH856</f>
        <v>-</v>
      </c>
      <c r="M855" s="1188"/>
      <c r="N855" s="1185" t="str">
        <f>OBRA!AI856</f>
        <v>-</v>
      </c>
      <c r="O855" s="1185"/>
      <c r="P855" s="1185"/>
      <c r="Q855" s="1187"/>
      <c r="R855" s="437" t="str">
        <f>OBRA!AJ856</f>
        <v>-</v>
      </c>
      <c r="S855" s="535"/>
      <c r="T855" s="399" t="str">
        <f>OBRA!W856</f>
        <v>SERGIO CABRERA</v>
      </c>
      <c r="U855" s="408" t="str">
        <f>OBRA!X856</f>
        <v>C. DANIEL RODRIGUEZ VALENZUELA</v>
      </c>
      <c r="V855" s="1090"/>
      <c r="W855" s="19" t="str">
        <f>OBRA!N856</f>
        <v>GMJ 023C- OP/2024</v>
      </c>
      <c r="X855" s="1402"/>
      <c r="Y855" s="1402"/>
      <c r="Z855" s="409" t="str">
        <f>OBRA!M856</f>
        <v xml:space="preserve">FORTAMUN </v>
      </c>
      <c r="AA855" s="1402"/>
      <c r="AB855" s="2" t="str">
        <f>OBRA!O856</f>
        <v>ADJUDICACIÓN DIRECTA</v>
      </c>
      <c r="AC855" s="3" t="str">
        <f>OBRA!P856</f>
        <v>"REHABILITACIÓN DE SUPERFICIE DE RODAMIENTO EN CALLE RIVERA DEL LAGO ENTRE ANDADOR XOCHITL Y CARRETERA JOCOTEPEC, CHAPALA", EN LA LOCALIDAD DE NEXTIPAC, MUNICIPIO DE JOCOTEPEC, JALISCO.</v>
      </c>
      <c r="AD855" s="4">
        <f>OBRA!R856</f>
        <v>974176.38</v>
      </c>
      <c r="AE855" s="6">
        <f>OBRA!S856</f>
        <v>45470</v>
      </c>
      <c r="AF855" s="5">
        <f>OBRA!T856</f>
        <v>45484</v>
      </c>
      <c r="AG855" s="390">
        <f>OBRA!U856</f>
        <v>45497</v>
      </c>
      <c r="AH855" s="880"/>
      <c r="AI855" s="161"/>
      <c r="AJ855" s="219"/>
      <c r="AK855" s="219"/>
      <c r="AL855" s="632"/>
      <c r="AM855" s="519">
        <f>GRAL!B1062</f>
        <v>0</v>
      </c>
    </row>
    <row r="856" spans="1:39">
      <c r="AJ856"/>
      <c r="AK856"/>
      <c r="AL856"/>
      <c r="AM856"/>
    </row>
    <row r="857" spans="1:39">
      <c r="AJ857"/>
      <c r="AK857"/>
      <c r="AL857"/>
      <c r="AM857"/>
    </row>
    <row r="858" spans="1:39" ht="18.75">
      <c r="C858" s="2056" t="s">
        <v>2442</v>
      </c>
      <c r="D858" s="2057"/>
      <c r="E858" s="2057"/>
      <c r="F858" s="2057"/>
      <c r="AJ858"/>
      <c r="AK858"/>
      <c r="AL858"/>
      <c r="AM858"/>
    </row>
    <row r="859" spans="1:39">
      <c r="C859" s="424"/>
      <c r="F859" s="381"/>
      <c r="AJ859"/>
      <c r="AK859"/>
      <c r="AL859"/>
      <c r="AM859"/>
    </row>
    <row r="860" spans="1:39" ht="18.75">
      <c r="A860" s="423"/>
      <c r="B860" s="423"/>
      <c r="C860" s="425">
        <v>4</v>
      </c>
      <c r="D860" t="s">
        <v>2275</v>
      </c>
      <c r="F860" s="381"/>
      <c r="AJ860"/>
      <c r="AK860"/>
      <c r="AL860"/>
      <c r="AM860"/>
    </row>
    <row r="861" spans="1:39" ht="18.75">
      <c r="A861" s="423"/>
      <c r="B861" s="423"/>
      <c r="C861" s="425">
        <v>5</v>
      </c>
      <c r="D861" t="s">
        <v>2443</v>
      </c>
      <c r="F861" s="381"/>
      <c r="AJ861"/>
      <c r="AK861"/>
      <c r="AL861"/>
      <c r="AM861"/>
    </row>
    <row r="862" spans="1:39" ht="18.75">
      <c r="A862" s="423"/>
      <c r="B862" s="423"/>
      <c r="C862" s="426"/>
      <c r="D862" s="427"/>
      <c r="E862" s="427"/>
      <c r="F862" s="381"/>
      <c r="AD862" s="505"/>
      <c r="AJ862"/>
      <c r="AK862"/>
      <c r="AL862"/>
      <c r="AM862"/>
    </row>
    <row r="863" spans="1:39">
      <c r="F863" s="512"/>
      <c r="AJ863"/>
      <c r="AK863"/>
      <c r="AL863"/>
      <c r="AM863"/>
    </row>
    <row r="864" spans="1:39">
      <c r="AJ864"/>
      <c r="AK864"/>
      <c r="AL864"/>
      <c r="AM864"/>
    </row>
    <row r="865" spans="4:39" ht="15.75" thickBot="1">
      <c r="AJ865"/>
      <c r="AK865"/>
      <c r="AL865"/>
      <c r="AM865"/>
    </row>
    <row r="866" spans="4:39" ht="21">
      <c r="D866" s="1834" t="s">
        <v>2182</v>
      </c>
      <c r="AJ866"/>
      <c r="AK866"/>
      <c r="AL866"/>
      <c r="AM866"/>
    </row>
    <row r="867" spans="4:39" ht="29.25" thickBot="1">
      <c r="D867" s="1835">
        <f>OBRA!P878</f>
        <v>45631</v>
      </c>
      <c r="E867" s="159"/>
      <c r="F867" s="159"/>
      <c r="G867" s="159"/>
      <c r="AJ867"/>
      <c r="AK867"/>
      <c r="AL867"/>
      <c r="AM867"/>
    </row>
    <row r="868" spans="4:39">
      <c r="T868" s="690"/>
      <c r="AJ868"/>
      <c r="AK868"/>
      <c r="AL868"/>
      <c r="AM868"/>
    </row>
  </sheetData>
  <autoFilter ref="A6:AM855"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M1"/>
    <mergeCell ref="W3:AG3"/>
    <mergeCell ref="C3:R3"/>
    <mergeCell ref="S3:U3"/>
    <mergeCell ref="C858:F858"/>
    <mergeCell ref="Z4:AA4"/>
    <mergeCell ref="W4:X4"/>
    <mergeCell ref="A2:AM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6" r:id="rId149" xr:uid="{00000000-0004-0000-0500-0000D5000000}"/>
    <hyperlink ref="X840" r:id="rId150" xr:uid="{00000000-0004-0000-0500-0000D6000000}"/>
    <hyperlink ref="C836" r:id="rId151" xr:uid="{00000000-0004-0000-0500-0000D7000000}"/>
    <hyperlink ref="G836" r:id="rId152" xr:uid="{00000000-0004-0000-0500-0000D8000000}"/>
    <hyperlink ref="I836" r:id="rId153" xr:uid="{00000000-0004-0000-0500-0000D9000000}"/>
    <hyperlink ref="K836" r:id="rId154" xr:uid="{00000000-0004-0000-0500-0000DA000000}"/>
    <hyperlink ref="M836" r:id="rId155" xr:uid="{00000000-0004-0000-0500-0000DB000000}"/>
    <hyperlink ref="Q836"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40" r:id="rId168" xr:uid="{00000000-0004-0000-0500-0000E8000000}"/>
    <hyperlink ref="G840" r:id="rId169" xr:uid="{00000000-0004-0000-0500-0000E9000000}"/>
    <hyperlink ref="I840" r:id="rId170" xr:uid="{00000000-0004-0000-0500-0000EA000000}"/>
    <hyperlink ref="K840" r:id="rId171" xr:uid="{00000000-0004-0000-0500-0000EB000000}"/>
    <hyperlink ref="M840" r:id="rId172" xr:uid="{00000000-0004-0000-0500-0000EC000000}"/>
    <hyperlink ref="Q840"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3" r:id="rId204" xr:uid="{3699839E-634E-401A-A493-DB3FE0898DB9}"/>
    <hyperlink ref="X844" r:id="rId205" xr:uid="{4A50BACA-7FF6-4BD4-A2EA-F6DE75119967}"/>
    <hyperlink ref="AK836" r:id="rId206" xr:uid="{9C09845E-3E6B-4CD4-AA5C-23DCFF100481}"/>
    <hyperlink ref="AL836" r:id="rId207" xr:uid="{E747E628-120C-432E-8E12-CD9C560FB2CD}"/>
    <hyperlink ref="G843" r:id="rId208" xr:uid="{6FF0AB91-501A-41D0-9C3E-7B70C6BF41EA}"/>
    <hyperlink ref="I843" r:id="rId209" xr:uid="{BB41D90A-690E-4E6D-81A3-038278A4C1D8}"/>
    <hyperlink ref="K843" r:id="rId210" xr:uid="{E500BAEB-F725-46B5-BDD1-97A4AC386E81}"/>
    <hyperlink ref="M843" r:id="rId211" xr:uid="{2982CFF1-1951-4663-B395-E7EC00C0E3D5}"/>
    <hyperlink ref="Q843" r:id="rId212" xr:uid="{37A2AD42-306E-434F-A064-7E64054CEA58}"/>
    <hyperlink ref="AL843" r:id="rId213" xr:uid="{60D1C2A4-375D-4AD2-A6C5-BACD7DCDCF13}"/>
    <hyperlink ref="C844" r:id="rId214" xr:uid="{0854D6D5-DA3F-4425-9B42-4B05F9278753}"/>
    <hyperlink ref="G844" r:id="rId215" xr:uid="{46BFF980-079F-4D47-A1AD-55FB9B9A9F1C}"/>
    <hyperlink ref="I844" r:id="rId216" xr:uid="{9E91E372-4FCC-4BB3-B9CD-D1A2D847A7C6}"/>
    <hyperlink ref="K844" r:id="rId217" xr:uid="{2C100932-0816-401E-A2F6-9A9B68AC2786}"/>
    <hyperlink ref="M844" r:id="rId218" xr:uid="{D3714D8D-0E54-4088-AEF6-4EFF833EE97F}"/>
    <hyperlink ref="AK844" r:id="rId219" xr:uid="{B50C959A-26AE-4DD1-AB04-CEF6219A125D}"/>
    <hyperlink ref="Q844" r:id="rId220" xr:uid="{1D6ED1DB-BC75-4063-8EBF-206A1D211E87}"/>
    <hyperlink ref="K753" r:id="rId221" xr:uid="{C2C563FC-CCA1-4A2C-969C-D5DC6333DF2A}"/>
    <hyperlink ref="AI843" r:id="rId222" xr:uid="{4F64D475-D605-4D12-9A17-BA3CB2C54AED}"/>
    <hyperlink ref="AI844" r:id="rId223" xr:uid="{77417BE7-7481-46E9-A453-D615E4407995}"/>
    <hyperlink ref="AK759" r:id="rId224" xr:uid="{28F63D0D-1E15-4E93-ACDF-EF04835035DC}"/>
    <hyperlink ref="AL759" r:id="rId225" xr:uid="{1615A358-E440-420E-A2FD-752643D2D4E3}"/>
    <hyperlink ref="AK840" r:id="rId226" xr:uid="{650FC8DE-6246-4270-8E8A-1B32AC4020A1}"/>
    <hyperlink ref="AL840" r:id="rId227" xr:uid="{D3A51D05-9242-4F9F-BBE4-FCAC478E6FCA}"/>
  </hyperlinks>
  <pageMargins left="0.23622047244094491" right="0.23622047244094491" top="0.47244094488188981" bottom="0.31496062992125984" header="0.31496062992125984" footer="0.31496062992125984"/>
  <pageSetup scale="34" orientation="landscape" r:id="rId228"/>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44"/>
      <c r="C2" s="944"/>
      <c r="D2" s="944"/>
      <c r="E2" s="944"/>
      <c r="F2" s="944"/>
      <c r="G2" s="944"/>
      <c r="H2" s="944"/>
      <c r="I2" s="944"/>
      <c r="J2" s="945" t="s">
        <v>2444</v>
      </c>
      <c r="K2" s="944"/>
      <c r="L2" s="944"/>
      <c r="M2" s="944"/>
      <c r="N2" s="944"/>
      <c r="O2" s="944"/>
      <c r="P2" s="944"/>
      <c r="Q2" s="944"/>
      <c r="R2" s="944"/>
    </row>
    <row r="3" spans="1:19" ht="15.75" thickBot="1"/>
    <row r="4" spans="1:19" s="940" customFormat="1" ht="18" customHeight="1">
      <c r="A4" s="2068"/>
      <c r="B4" s="2073" t="s">
        <v>1409</v>
      </c>
      <c r="C4" s="2073" t="s">
        <v>19</v>
      </c>
      <c r="D4" s="2066" t="s">
        <v>2445</v>
      </c>
      <c r="E4" s="2066" t="s">
        <v>2206</v>
      </c>
      <c r="F4" s="2066" t="s">
        <v>2446</v>
      </c>
      <c r="G4" s="2075" t="s">
        <v>2447</v>
      </c>
      <c r="H4" s="2066" t="s">
        <v>1412</v>
      </c>
      <c r="I4" s="2066" t="s">
        <v>25</v>
      </c>
      <c r="J4" s="2072" t="s">
        <v>28</v>
      </c>
      <c r="K4" s="2072"/>
      <c r="L4" s="2072" t="s">
        <v>2448</v>
      </c>
      <c r="M4" s="2072"/>
      <c r="N4" s="2072"/>
      <c r="O4" s="2066" t="s">
        <v>2449</v>
      </c>
      <c r="P4" s="2066" t="s">
        <v>2450</v>
      </c>
      <c r="Q4" s="2066" t="s">
        <v>2451</v>
      </c>
      <c r="R4" s="2066" t="s">
        <v>2452</v>
      </c>
      <c r="S4" s="2070"/>
    </row>
    <row r="5" spans="1:19" s="940" customFormat="1" ht="13.5" customHeight="1">
      <c r="A5" s="2069"/>
      <c r="B5" s="2074"/>
      <c r="C5" s="2074"/>
      <c r="D5" s="2067"/>
      <c r="E5" s="2067"/>
      <c r="F5" s="2067"/>
      <c r="G5" s="2076"/>
      <c r="H5" s="2067"/>
      <c r="I5" s="2067"/>
      <c r="J5" s="941" t="s">
        <v>2453</v>
      </c>
      <c r="K5" s="942" t="s">
        <v>2454</v>
      </c>
      <c r="L5" s="941" t="s">
        <v>2455</v>
      </c>
      <c r="M5" s="943" t="s">
        <v>2456</v>
      </c>
      <c r="N5" s="942" t="s">
        <v>2457</v>
      </c>
      <c r="O5" s="2067"/>
      <c r="P5" s="2067"/>
      <c r="Q5" s="2067"/>
      <c r="R5" s="2067"/>
      <c r="S5" s="2071"/>
    </row>
    <row r="6" spans="1:19" s="729" customFormat="1" ht="9" customHeight="1">
      <c r="A6" s="947"/>
      <c r="B6" s="946"/>
      <c r="C6" s="946"/>
      <c r="D6" s="946"/>
      <c r="E6" s="946"/>
      <c r="F6" s="946"/>
      <c r="G6" s="946"/>
      <c r="H6" s="946"/>
      <c r="I6" s="946"/>
      <c r="J6" s="946"/>
      <c r="K6" s="946"/>
      <c r="L6" s="946"/>
      <c r="M6" s="946"/>
      <c r="N6" s="946"/>
      <c r="O6" s="946"/>
      <c r="P6" s="946"/>
      <c r="Q6" s="946"/>
      <c r="R6" s="946"/>
      <c r="S6" s="948"/>
    </row>
    <row r="7" spans="1:19" s="952" customFormat="1">
      <c r="A7" s="949"/>
      <c r="B7" s="950" t="s">
        <v>2458</v>
      </c>
      <c r="C7" s="950">
        <v>2019</v>
      </c>
      <c r="D7" s="950"/>
      <c r="E7" s="928"/>
      <c r="F7" s="950">
        <v>1</v>
      </c>
      <c r="G7" s="928"/>
      <c r="H7" s="928"/>
      <c r="I7" s="956"/>
      <c r="J7" s="950"/>
      <c r="K7" s="950"/>
      <c r="L7" s="950"/>
      <c r="M7" s="956"/>
      <c r="N7" s="956"/>
      <c r="O7" s="928"/>
      <c r="P7" s="959"/>
      <c r="Q7" s="959">
        <f>P7*1.16</f>
        <v>0</v>
      </c>
      <c r="R7" s="950"/>
      <c r="S7" s="951"/>
    </row>
    <row r="8" spans="1:19" s="952" customFormat="1">
      <c r="A8" s="949"/>
      <c r="B8" s="950" t="s">
        <v>2458</v>
      </c>
      <c r="C8" s="950">
        <v>2019</v>
      </c>
      <c r="D8" s="950"/>
      <c r="E8" s="928"/>
      <c r="F8" s="950">
        <v>2</v>
      </c>
      <c r="G8" s="928"/>
      <c r="H8" s="928"/>
      <c r="I8" s="956"/>
      <c r="J8" s="950"/>
      <c r="K8" s="950"/>
      <c r="L8" s="950"/>
      <c r="M8" s="956"/>
      <c r="N8" s="956"/>
      <c r="O8" s="928"/>
      <c r="P8" s="959"/>
      <c r="Q8" s="959">
        <f t="shared" ref="Q8:Q64" si="0">P8*1.16</f>
        <v>0</v>
      </c>
      <c r="R8" s="950"/>
      <c r="S8" s="951"/>
    </row>
    <row r="9" spans="1:19" s="952" customFormat="1">
      <c r="A9" s="949"/>
      <c r="B9" s="950" t="s">
        <v>2458</v>
      </c>
      <c r="C9" s="950">
        <v>2019</v>
      </c>
      <c r="D9" s="950"/>
      <c r="E9" s="928"/>
      <c r="F9" s="950">
        <v>3</v>
      </c>
      <c r="G9" s="928"/>
      <c r="H9" s="928"/>
      <c r="I9" s="956"/>
      <c r="J9" s="950"/>
      <c r="K9" s="950"/>
      <c r="L9" s="950"/>
      <c r="M9" s="956"/>
      <c r="N9" s="956"/>
      <c r="O9" s="928"/>
      <c r="P9" s="959"/>
      <c r="Q9" s="959">
        <f t="shared" si="0"/>
        <v>0</v>
      </c>
      <c r="R9" s="950"/>
      <c r="S9" s="951"/>
    </row>
    <row r="10" spans="1:19" s="952" customFormat="1" ht="107.25" customHeight="1">
      <c r="A10" s="949"/>
      <c r="B10" s="950" t="s">
        <v>2458</v>
      </c>
      <c r="C10" s="950">
        <v>2019</v>
      </c>
      <c r="D10" s="950" t="s">
        <v>1159</v>
      </c>
      <c r="E10" s="928" t="str">
        <f>OBRA!P346</f>
        <v>"CONSTRUCCIÓN DE LÍNEA DE AGUA POTABLE EN CALLE EL DOMINGUILLO (RED DE ABASTECIMIENTO)", EN LA LOCALIDAD DE SAN JUAN COSALA, DEL MUNICIPIO DE JOCOTEPEC, JALISCO</v>
      </c>
      <c r="F10" s="950" t="s">
        <v>2459</v>
      </c>
      <c r="G10" s="928" t="s">
        <v>2460</v>
      </c>
      <c r="H10" s="961" t="s">
        <v>2461</v>
      </c>
      <c r="I10" s="956">
        <v>43544</v>
      </c>
      <c r="J10" s="950" t="s">
        <v>68</v>
      </c>
      <c r="K10" s="950" t="s">
        <v>69</v>
      </c>
      <c r="L10" s="950" t="s">
        <v>2462</v>
      </c>
      <c r="M10" s="956" t="s">
        <v>68</v>
      </c>
      <c r="N10" s="956" t="s">
        <v>68</v>
      </c>
      <c r="O10" s="928" t="s">
        <v>2463</v>
      </c>
      <c r="P10" s="959">
        <v>700</v>
      </c>
      <c r="Q10" s="959">
        <f t="shared" si="0"/>
        <v>812</v>
      </c>
      <c r="R10" s="950"/>
      <c r="S10" s="951"/>
    </row>
    <row r="11" spans="1:19" s="952" customFormat="1">
      <c r="A11" s="949"/>
      <c r="B11" s="950" t="s">
        <v>2458</v>
      </c>
      <c r="C11" s="950">
        <v>2019</v>
      </c>
      <c r="D11" s="950"/>
      <c r="E11" s="928"/>
      <c r="F11" s="950">
        <v>5</v>
      </c>
      <c r="G11" s="928"/>
      <c r="H11" s="928"/>
      <c r="I11" s="956"/>
      <c r="J11" s="950"/>
      <c r="K11" s="950"/>
      <c r="L11" s="950"/>
      <c r="M11" s="956"/>
      <c r="N11" s="956"/>
      <c r="O11" s="928"/>
      <c r="P11" s="959"/>
      <c r="Q11" s="959">
        <f t="shared" si="0"/>
        <v>0</v>
      </c>
      <c r="R11" s="950"/>
      <c r="S11" s="951"/>
    </row>
    <row r="12" spans="1:19" s="952" customFormat="1">
      <c r="A12" s="949"/>
      <c r="B12" s="950" t="s">
        <v>2458</v>
      </c>
      <c r="C12" s="950">
        <v>2019</v>
      </c>
      <c r="D12" s="950"/>
      <c r="E12" s="928"/>
      <c r="F12" s="950">
        <v>6</v>
      </c>
      <c r="G12" s="928"/>
      <c r="H12" s="928"/>
      <c r="I12" s="956"/>
      <c r="J12" s="950"/>
      <c r="K12" s="950"/>
      <c r="L12" s="950"/>
      <c r="M12" s="956"/>
      <c r="N12" s="956"/>
      <c r="O12" s="928"/>
      <c r="P12" s="959"/>
      <c r="Q12" s="959">
        <f t="shared" si="0"/>
        <v>0</v>
      </c>
      <c r="R12" s="950"/>
      <c r="S12" s="951"/>
    </row>
    <row r="13" spans="1:19" s="952" customFormat="1" ht="106.5" customHeight="1">
      <c r="A13" s="949"/>
      <c r="B13" s="950" t="s">
        <v>2458</v>
      </c>
      <c r="C13" s="950">
        <v>2019</v>
      </c>
      <c r="D13" s="950" t="s">
        <v>1175</v>
      </c>
      <c r="E13" s="928" t="str">
        <f>OBRA!P359</f>
        <v>"MANTENIMIENTO Y CONSERVACIÓN CON MAQUINARIA PESADA DE CALLES Y CAMINOS EN LAS AGENCIAS, DELEGACIONES Y CABECERA DEL MUNICIPIO DE JOCOTEPEC, JALISCO"</v>
      </c>
      <c r="F13" s="950" t="s">
        <v>2464</v>
      </c>
      <c r="G13" s="928" t="s">
        <v>2465</v>
      </c>
      <c r="H13" s="961" t="s">
        <v>2466</v>
      </c>
      <c r="I13" s="956">
        <v>43657</v>
      </c>
      <c r="J13" s="950" t="s">
        <v>68</v>
      </c>
      <c r="K13" s="928" t="s">
        <v>2467</v>
      </c>
      <c r="L13" s="950" t="s">
        <v>2468</v>
      </c>
      <c r="M13" s="956" t="s">
        <v>68</v>
      </c>
      <c r="N13" s="956" t="s">
        <v>68</v>
      </c>
      <c r="O13" s="928" t="s">
        <v>2463</v>
      </c>
      <c r="P13" s="959">
        <v>4000</v>
      </c>
      <c r="Q13" s="959">
        <f t="shared" si="0"/>
        <v>4640</v>
      </c>
      <c r="R13" s="950"/>
      <c r="S13" s="951"/>
    </row>
    <row r="14" spans="1:19" s="952" customFormat="1">
      <c r="A14" s="949"/>
      <c r="B14" s="950"/>
      <c r="C14" s="950"/>
      <c r="D14" s="950"/>
      <c r="E14" s="928"/>
      <c r="F14" s="950"/>
      <c r="G14" s="928"/>
      <c r="H14" s="928"/>
      <c r="I14" s="956"/>
      <c r="J14" s="950"/>
      <c r="K14" s="950"/>
      <c r="L14" s="950"/>
      <c r="M14" s="956"/>
      <c r="N14" s="956"/>
      <c r="O14" s="928"/>
      <c r="P14" s="959"/>
      <c r="Q14" s="959">
        <f t="shared" si="0"/>
        <v>0</v>
      </c>
      <c r="R14" s="950"/>
      <c r="S14" s="951"/>
    </row>
    <row r="15" spans="1:19" s="952" customFormat="1">
      <c r="A15" s="949"/>
      <c r="B15" s="950"/>
      <c r="C15" s="950"/>
      <c r="D15" s="950"/>
      <c r="E15" s="928"/>
      <c r="F15" s="950"/>
      <c r="G15" s="928"/>
      <c r="H15" s="928"/>
      <c r="I15" s="956"/>
      <c r="J15" s="950"/>
      <c r="K15" s="950"/>
      <c r="L15" s="950"/>
      <c r="M15" s="956"/>
      <c r="N15" s="956"/>
      <c r="O15" s="928"/>
      <c r="P15" s="959"/>
      <c r="Q15" s="959">
        <f t="shared" si="0"/>
        <v>0</v>
      </c>
      <c r="R15" s="950"/>
      <c r="S15" s="951"/>
    </row>
    <row r="16" spans="1:19" s="952" customFormat="1">
      <c r="A16" s="949"/>
      <c r="B16" s="950"/>
      <c r="C16" s="950"/>
      <c r="D16" s="950"/>
      <c r="E16" s="928"/>
      <c r="F16" s="950"/>
      <c r="G16" s="928"/>
      <c r="H16" s="928"/>
      <c r="I16" s="956"/>
      <c r="J16" s="950"/>
      <c r="K16" s="950"/>
      <c r="L16" s="950"/>
      <c r="M16" s="956"/>
      <c r="N16" s="956"/>
      <c r="O16" s="928"/>
      <c r="P16" s="959"/>
      <c r="Q16" s="959">
        <f t="shared" si="0"/>
        <v>0</v>
      </c>
      <c r="R16" s="950"/>
      <c r="S16" s="951"/>
    </row>
    <row r="17" spans="1:19" s="952" customFormat="1">
      <c r="A17" s="949"/>
      <c r="B17" s="950"/>
      <c r="C17" s="950"/>
      <c r="D17" s="950"/>
      <c r="E17" s="928"/>
      <c r="F17" s="950"/>
      <c r="G17" s="928"/>
      <c r="H17" s="928"/>
      <c r="I17" s="956"/>
      <c r="J17" s="950"/>
      <c r="K17" s="950"/>
      <c r="L17" s="950"/>
      <c r="M17" s="956"/>
      <c r="N17" s="956"/>
      <c r="O17" s="928"/>
      <c r="P17" s="959"/>
      <c r="Q17" s="959">
        <f t="shared" si="0"/>
        <v>0</v>
      </c>
      <c r="R17" s="950"/>
      <c r="S17" s="951"/>
    </row>
    <row r="18" spans="1:19" s="952" customFormat="1">
      <c r="A18" s="949"/>
      <c r="B18" s="950"/>
      <c r="C18" s="950"/>
      <c r="D18" s="950"/>
      <c r="E18" s="928"/>
      <c r="F18" s="950"/>
      <c r="G18" s="928"/>
      <c r="H18" s="928"/>
      <c r="I18" s="956"/>
      <c r="J18" s="950"/>
      <c r="K18" s="950"/>
      <c r="L18" s="950"/>
      <c r="M18" s="956"/>
      <c r="N18" s="956"/>
      <c r="O18" s="928"/>
      <c r="P18" s="959"/>
      <c r="Q18" s="959">
        <f t="shared" si="0"/>
        <v>0</v>
      </c>
      <c r="R18" s="950"/>
      <c r="S18" s="951"/>
    </row>
    <row r="19" spans="1:19" s="952" customFormat="1">
      <c r="A19" s="949"/>
      <c r="B19" s="950"/>
      <c r="C19" s="950"/>
      <c r="D19" s="950"/>
      <c r="E19" s="928"/>
      <c r="F19" s="950"/>
      <c r="G19" s="928"/>
      <c r="H19" s="928"/>
      <c r="I19" s="956"/>
      <c r="J19" s="950"/>
      <c r="K19" s="950"/>
      <c r="L19" s="950"/>
      <c r="M19" s="956"/>
      <c r="N19" s="956"/>
      <c r="O19" s="928"/>
      <c r="P19" s="959"/>
      <c r="Q19" s="959">
        <f t="shared" si="0"/>
        <v>0</v>
      </c>
      <c r="R19" s="950"/>
      <c r="S19" s="951"/>
    </row>
    <row r="20" spans="1:19" s="952" customFormat="1">
      <c r="A20" s="949"/>
      <c r="B20" s="950"/>
      <c r="C20" s="950"/>
      <c r="D20" s="950"/>
      <c r="E20" s="928"/>
      <c r="F20" s="950"/>
      <c r="G20" s="928"/>
      <c r="H20" s="928"/>
      <c r="I20" s="956"/>
      <c r="J20" s="950"/>
      <c r="K20" s="950"/>
      <c r="L20" s="950"/>
      <c r="M20" s="956"/>
      <c r="N20" s="956"/>
      <c r="O20" s="928"/>
      <c r="P20" s="959"/>
      <c r="Q20" s="959">
        <f t="shared" si="0"/>
        <v>0</v>
      </c>
      <c r="R20" s="950"/>
      <c r="S20" s="951"/>
    </row>
    <row r="21" spans="1:19" s="952" customFormat="1">
      <c r="A21" s="949"/>
      <c r="B21" s="950"/>
      <c r="C21" s="950"/>
      <c r="D21" s="950"/>
      <c r="E21" s="928"/>
      <c r="F21" s="950"/>
      <c r="G21" s="928"/>
      <c r="H21" s="928"/>
      <c r="I21" s="956"/>
      <c r="J21" s="950"/>
      <c r="K21" s="950"/>
      <c r="L21" s="950"/>
      <c r="M21" s="956"/>
      <c r="N21" s="956"/>
      <c r="O21" s="928"/>
      <c r="P21" s="959"/>
      <c r="Q21" s="959">
        <f t="shared" si="0"/>
        <v>0</v>
      </c>
      <c r="R21" s="950"/>
      <c r="S21" s="951"/>
    </row>
    <row r="22" spans="1:19" s="952" customFormat="1">
      <c r="A22" s="949"/>
      <c r="B22" s="950"/>
      <c r="C22" s="950"/>
      <c r="D22" s="950"/>
      <c r="E22" s="928"/>
      <c r="F22" s="950"/>
      <c r="G22" s="928"/>
      <c r="H22" s="928"/>
      <c r="I22" s="956"/>
      <c r="J22" s="950"/>
      <c r="K22" s="950"/>
      <c r="L22" s="950"/>
      <c r="M22" s="956"/>
      <c r="N22" s="956"/>
      <c r="O22" s="928"/>
      <c r="P22" s="959"/>
      <c r="Q22" s="959">
        <f t="shared" si="0"/>
        <v>0</v>
      </c>
      <c r="R22" s="950"/>
      <c r="S22" s="951"/>
    </row>
    <row r="23" spans="1:19" s="952" customFormat="1">
      <c r="A23" s="949"/>
      <c r="B23" s="950"/>
      <c r="C23" s="950"/>
      <c r="D23" s="950"/>
      <c r="E23" s="928"/>
      <c r="F23" s="950"/>
      <c r="G23" s="928"/>
      <c r="H23" s="928"/>
      <c r="I23" s="956"/>
      <c r="J23" s="950"/>
      <c r="K23" s="950"/>
      <c r="L23" s="950"/>
      <c r="M23" s="956"/>
      <c r="N23" s="956"/>
      <c r="O23" s="928"/>
      <c r="P23" s="959"/>
      <c r="Q23" s="959">
        <f t="shared" si="0"/>
        <v>0</v>
      </c>
      <c r="R23" s="950"/>
      <c r="S23" s="951"/>
    </row>
    <row r="24" spans="1:19" s="952" customFormat="1">
      <c r="A24" s="949"/>
      <c r="B24" s="950"/>
      <c r="C24" s="950"/>
      <c r="D24" s="950"/>
      <c r="E24" s="928"/>
      <c r="F24" s="950"/>
      <c r="G24" s="928"/>
      <c r="H24" s="928"/>
      <c r="I24" s="956"/>
      <c r="J24" s="950"/>
      <c r="K24" s="950"/>
      <c r="L24" s="950"/>
      <c r="M24" s="956"/>
      <c r="N24" s="956"/>
      <c r="O24" s="928"/>
      <c r="P24" s="959"/>
      <c r="Q24" s="959">
        <f t="shared" si="0"/>
        <v>0</v>
      </c>
      <c r="R24" s="950"/>
      <c r="S24" s="951"/>
    </row>
    <row r="25" spans="1:19" s="952" customFormat="1">
      <c r="A25" s="949"/>
      <c r="B25" s="950"/>
      <c r="C25" s="950"/>
      <c r="D25" s="950"/>
      <c r="E25" s="928"/>
      <c r="F25" s="950"/>
      <c r="G25" s="928"/>
      <c r="H25" s="928"/>
      <c r="I25" s="956"/>
      <c r="J25" s="950"/>
      <c r="K25" s="950"/>
      <c r="L25" s="950"/>
      <c r="M25" s="956"/>
      <c r="N25" s="956"/>
      <c r="O25" s="928"/>
      <c r="P25" s="959"/>
      <c r="Q25" s="959">
        <f t="shared" si="0"/>
        <v>0</v>
      </c>
      <c r="R25" s="950"/>
      <c r="S25" s="951"/>
    </row>
    <row r="26" spans="1:19" s="952" customFormat="1">
      <c r="A26" s="949"/>
      <c r="B26" s="950"/>
      <c r="C26" s="950"/>
      <c r="D26" s="950"/>
      <c r="E26" s="928"/>
      <c r="F26" s="950"/>
      <c r="G26" s="928"/>
      <c r="H26" s="928"/>
      <c r="I26" s="956"/>
      <c r="J26" s="950"/>
      <c r="K26" s="950"/>
      <c r="L26" s="950"/>
      <c r="M26" s="956"/>
      <c r="N26" s="956"/>
      <c r="O26" s="928"/>
      <c r="P26" s="959"/>
      <c r="Q26" s="959">
        <f t="shared" si="0"/>
        <v>0</v>
      </c>
      <c r="R26" s="950"/>
      <c r="S26" s="951"/>
    </row>
    <row r="27" spans="1:19" s="952" customFormat="1">
      <c r="A27" s="949"/>
      <c r="B27" s="950"/>
      <c r="C27" s="950"/>
      <c r="D27" s="950"/>
      <c r="E27" s="928"/>
      <c r="F27" s="950"/>
      <c r="G27" s="928"/>
      <c r="H27" s="928"/>
      <c r="I27" s="956"/>
      <c r="J27" s="950"/>
      <c r="K27" s="950"/>
      <c r="L27" s="950"/>
      <c r="M27" s="956"/>
      <c r="N27" s="956"/>
      <c r="O27" s="928"/>
      <c r="P27" s="959"/>
      <c r="Q27" s="959">
        <f t="shared" si="0"/>
        <v>0</v>
      </c>
      <c r="R27" s="950"/>
      <c r="S27" s="951"/>
    </row>
    <row r="28" spans="1:19" s="952" customFormat="1">
      <c r="A28" s="949"/>
      <c r="B28" s="950"/>
      <c r="C28" s="950"/>
      <c r="D28" s="950"/>
      <c r="E28" s="928"/>
      <c r="F28" s="950"/>
      <c r="G28" s="928"/>
      <c r="H28" s="928"/>
      <c r="I28" s="956"/>
      <c r="J28" s="950"/>
      <c r="K28" s="950"/>
      <c r="L28" s="950"/>
      <c r="M28" s="956"/>
      <c r="N28" s="956"/>
      <c r="O28" s="928"/>
      <c r="P28" s="959"/>
      <c r="Q28" s="959">
        <f t="shared" si="0"/>
        <v>0</v>
      </c>
      <c r="R28" s="950"/>
      <c r="S28" s="951"/>
    </row>
    <row r="29" spans="1:19" s="952" customFormat="1">
      <c r="A29" s="949"/>
      <c r="B29" s="950"/>
      <c r="C29" s="950"/>
      <c r="D29" s="950"/>
      <c r="E29" s="928"/>
      <c r="F29" s="950"/>
      <c r="G29" s="928"/>
      <c r="H29" s="928"/>
      <c r="I29" s="956"/>
      <c r="J29" s="950"/>
      <c r="K29" s="950"/>
      <c r="L29" s="950"/>
      <c r="M29" s="956"/>
      <c r="N29" s="956"/>
      <c r="O29" s="928"/>
      <c r="P29" s="959"/>
      <c r="Q29" s="959">
        <f t="shared" si="0"/>
        <v>0</v>
      </c>
      <c r="R29" s="950"/>
      <c r="S29" s="951"/>
    </row>
    <row r="30" spans="1:19" s="952" customFormat="1">
      <c r="A30" s="949"/>
      <c r="B30" s="950"/>
      <c r="C30" s="950"/>
      <c r="D30" s="950"/>
      <c r="E30" s="928"/>
      <c r="F30" s="950"/>
      <c r="G30" s="928"/>
      <c r="H30" s="928"/>
      <c r="I30" s="956"/>
      <c r="J30" s="950"/>
      <c r="K30" s="950"/>
      <c r="L30" s="950"/>
      <c r="M30" s="956"/>
      <c r="N30" s="956"/>
      <c r="O30" s="928"/>
      <c r="P30" s="959"/>
      <c r="Q30" s="959">
        <f t="shared" si="0"/>
        <v>0</v>
      </c>
      <c r="R30" s="950"/>
      <c r="S30" s="951"/>
    </row>
    <row r="31" spans="1:19" s="952" customFormat="1">
      <c r="A31" s="949"/>
      <c r="B31" s="950"/>
      <c r="C31" s="950"/>
      <c r="D31" s="950"/>
      <c r="E31" s="928"/>
      <c r="F31" s="950"/>
      <c r="G31" s="928"/>
      <c r="H31" s="928"/>
      <c r="I31" s="956"/>
      <c r="J31" s="950"/>
      <c r="K31" s="950"/>
      <c r="L31" s="950"/>
      <c r="M31" s="956"/>
      <c r="N31" s="956"/>
      <c r="O31" s="928"/>
      <c r="P31" s="959"/>
      <c r="Q31" s="959">
        <f t="shared" si="0"/>
        <v>0</v>
      </c>
      <c r="R31" s="950"/>
      <c r="S31" s="951"/>
    </row>
    <row r="32" spans="1:19" s="952" customFormat="1">
      <c r="A32" s="949"/>
      <c r="B32" s="950"/>
      <c r="C32" s="950"/>
      <c r="D32" s="950"/>
      <c r="E32" s="928"/>
      <c r="F32" s="950"/>
      <c r="G32" s="928"/>
      <c r="H32" s="928"/>
      <c r="I32" s="956"/>
      <c r="J32" s="950"/>
      <c r="K32" s="950"/>
      <c r="L32" s="950"/>
      <c r="M32" s="956"/>
      <c r="N32" s="956"/>
      <c r="O32" s="928"/>
      <c r="P32" s="959"/>
      <c r="Q32" s="959">
        <f t="shared" si="0"/>
        <v>0</v>
      </c>
      <c r="R32" s="950"/>
      <c r="S32" s="951"/>
    </row>
    <row r="33" spans="1:19" s="952" customFormat="1">
      <c r="A33" s="949"/>
      <c r="B33" s="950"/>
      <c r="C33" s="950"/>
      <c r="D33" s="950"/>
      <c r="E33" s="928"/>
      <c r="F33" s="950"/>
      <c r="G33" s="928"/>
      <c r="H33" s="928"/>
      <c r="I33" s="956"/>
      <c r="J33" s="950"/>
      <c r="K33" s="950"/>
      <c r="L33" s="950"/>
      <c r="M33" s="956"/>
      <c r="N33" s="956"/>
      <c r="O33" s="928"/>
      <c r="P33" s="959"/>
      <c r="Q33" s="959">
        <f t="shared" si="0"/>
        <v>0</v>
      </c>
      <c r="R33" s="950"/>
      <c r="S33" s="951"/>
    </row>
    <row r="34" spans="1:19" s="952" customFormat="1">
      <c r="A34" s="949"/>
      <c r="B34" s="950"/>
      <c r="C34" s="950"/>
      <c r="D34" s="950"/>
      <c r="E34" s="928"/>
      <c r="F34" s="950"/>
      <c r="G34" s="928"/>
      <c r="H34" s="928"/>
      <c r="I34" s="956"/>
      <c r="J34" s="950"/>
      <c r="K34" s="950"/>
      <c r="L34" s="950"/>
      <c r="M34" s="956"/>
      <c r="N34" s="956"/>
      <c r="O34" s="928"/>
      <c r="P34" s="959"/>
      <c r="Q34" s="959">
        <f t="shared" si="0"/>
        <v>0</v>
      </c>
      <c r="R34" s="950"/>
      <c r="S34" s="951"/>
    </row>
    <row r="35" spans="1:19" s="952" customFormat="1">
      <c r="A35" s="949"/>
      <c r="B35" s="950"/>
      <c r="C35" s="950"/>
      <c r="D35" s="950"/>
      <c r="E35" s="928"/>
      <c r="F35" s="950"/>
      <c r="G35" s="928"/>
      <c r="H35" s="928"/>
      <c r="I35" s="956"/>
      <c r="J35" s="950"/>
      <c r="K35" s="950"/>
      <c r="L35" s="950"/>
      <c r="M35" s="956"/>
      <c r="N35" s="956"/>
      <c r="O35" s="928"/>
      <c r="P35" s="959"/>
      <c r="Q35" s="959">
        <f t="shared" si="0"/>
        <v>0</v>
      </c>
      <c r="R35" s="950"/>
      <c r="S35" s="951"/>
    </row>
    <row r="36" spans="1:19" s="952" customFormat="1">
      <c r="A36" s="949"/>
      <c r="B36" s="950"/>
      <c r="C36" s="950"/>
      <c r="D36" s="950"/>
      <c r="E36" s="928"/>
      <c r="F36" s="950"/>
      <c r="G36" s="928"/>
      <c r="H36" s="928"/>
      <c r="I36" s="956"/>
      <c r="J36" s="950"/>
      <c r="K36" s="950"/>
      <c r="L36" s="950"/>
      <c r="M36" s="956"/>
      <c r="N36" s="956"/>
      <c r="O36" s="928"/>
      <c r="P36" s="959"/>
      <c r="Q36" s="959">
        <f t="shared" si="0"/>
        <v>0</v>
      </c>
      <c r="R36" s="950"/>
      <c r="S36" s="951"/>
    </row>
    <row r="37" spans="1:19" s="952" customFormat="1">
      <c r="A37" s="949"/>
      <c r="B37" s="950"/>
      <c r="C37" s="950"/>
      <c r="D37" s="950"/>
      <c r="E37" s="928"/>
      <c r="F37" s="950"/>
      <c r="G37" s="928"/>
      <c r="H37" s="928"/>
      <c r="I37" s="956"/>
      <c r="J37" s="950"/>
      <c r="K37" s="950"/>
      <c r="L37" s="950"/>
      <c r="M37" s="956"/>
      <c r="N37" s="956"/>
      <c r="O37" s="928"/>
      <c r="P37" s="959"/>
      <c r="Q37" s="959">
        <f t="shared" si="0"/>
        <v>0</v>
      </c>
      <c r="R37" s="950"/>
      <c r="S37" s="951"/>
    </row>
    <row r="38" spans="1:19" s="952" customFormat="1">
      <c r="A38" s="949"/>
      <c r="B38" s="950"/>
      <c r="C38" s="950"/>
      <c r="D38" s="950"/>
      <c r="E38" s="928"/>
      <c r="F38" s="950"/>
      <c r="G38" s="928"/>
      <c r="H38" s="928"/>
      <c r="I38" s="956"/>
      <c r="J38" s="950"/>
      <c r="K38" s="950"/>
      <c r="L38" s="950"/>
      <c r="M38" s="956"/>
      <c r="N38" s="956"/>
      <c r="O38" s="928"/>
      <c r="P38" s="959"/>
      <c r="Q38" s="959">
        <f t="shared" si="0"/>
        <v>0</v>
      </c>
      <c r="R38" s="950"/>
      <c r="S38" s="951"/>
    </row>
    <row r="39" spans="1:19" s="952" customFormat="1">
      <c r="A39" s="949"/>
      <c r="B39" s="950"/>
      <c r="C39" s="950"/>
      <c r="D39" s="950"/>
      <c r="E39" s="928"/>
      <c r="F39" s="950"/>
      <c r="G39" s="928"/>
      <c r="H39" s="928"/>
      <c r="I39" s="956"/>
      <c r="J39" s="950"/>
      <c r="K39" s="950"/>
      <c r="L39" s="950"/>
      <c r="M39" s="956"/>
      <c r="N39" s="956"/>
      <c r="O39" s="928"/>
      <c r="P39" s="959"/>
      <c r="Q39" s="959">
        <f t="shared" si="0"/>
        <v>0</v>
      </c>
      <c r="R39" s="950"/>
      <c r="S39" s="951"/>
    </row>
    <row r="40" spans="1:19" s="952" customFormat="1">
      <c r="A40" s="949"/>
      <c r="B40" s="950"/>
      <c r="C40" s="950"/>
      <c r="D40" s="950"/>
      <c r="E40" s="928"/>
      <c r="F40" s="950"/>
      <c r="G40" s="928"/>
      <c r="H40" s="928"/>
      <c r="I40" s="956"/>
      <c r="J40" s="950"/>
      <c r="K40" s="950"/>
      <c r="L40" s="950"/>
      <c r="M40" s="956"/>
      <c r="N40" s="956"/>
      <c r="O40" s="928"/>
      <c r="P40" s="959"/>
      <c r="Q40" s="959">
        <f t="shared" si="0"/>
        <v>0</v>
      </c>
      <c r="R40" s="950"/>
      <c r="S40" s="951"/>
    </row>
    <row r="41" spans="1:19" s="952" customFormat="1">
      <c r="A41" s="949"/>
      <c r="B41" s="950"/>
      <c r="C41" s="950"/>
      <c r="D41" s="950"/>
      <c r="E41" s="928"/>
      <c r="F41" s="950"/>
      <c r="G41" s="928"/>
      <c r="H41" s="928"/>
      <c r="I41" s="956"/>
      <c r="J41" s="950"/>
      <c r="K41" s="950"/>
      <c r="L41" s="950"/>
      <c r="M41" s="956"/>
      <c r="N41" s="956"/>
      <c r="O41" s="928"/>
      <c r="P41" s="959"/>
      <c r="Q41" s="959">
        <f t="shared" si="0"/>
        <v>0</v>
      </c>
      <c r="R41" s="950"/>
      <c r="S41" s="951"/>
    </row>
    <row r="42" spans="1:19" s="952" customFormat="1">
      <c r="A42" s="949"/>
      <c r="B42" s="950"/>
      <c r="C42" s="950"/>
      <c r="D42" s="950"/>
      <c r="E42" s="928"/>
      <c r="F42" s="950"/>
      <c r="G42" s="928"/>
      <c r="H42" s="928"/>
      <c r="I42" s="956"/>
      <c r="J42" s="950"/>
      <c r="K42" s="950"/>
      <c r="L42" s="950"/>
      <c r="M42" s="956"/>
      <c r="N42" s="956"/>
      <c r="O42" s="928"/>
      <c r="P42" s="959"/>
      <c r="Q42" s="959">
        <f t="shared" si="0"/>
        <v>0</v>
      </c>
      <c r="R42" s="950"/>
      <c r="S42" s="951"/>
    </row>
    <row r="43" spans="1:19" s="952" customFormat="1">
      <c r="A43" s="949"/>
      <c r="B43" s="950"/>
      <c r="C43" s="950"/>
      <c r="D43" s="950"/>
      <c r="E43" s="928"/>
      <c r="F43" s="950"/>
      <c r="G43" s="928"/>
      <c r="H43" s="928"/>
      <c r="I43" s="956"/>
      <c r="J43" s="950"/>
      <c r="K43" s="950"/>
      <c r="L43" s="950"/>
      <c r="M43" s="956"/>
      <c r="N43" s="956"/>
      <c r="O43" s="928"/>
      <c r="P43" s="959"/>
      <c r="Q43" s="959">
        <f t="shared" si="0"/>
        <v>0</v>
      </c>
      <c r="R43" s="950"/>
      <c r="S43" s="951"/>
    </row>
    <row r="44" spans="1:19" s="952" customFormat="1">
      <c r="A44" s="949"/>
      <c r="B44" s="950"/>
      <c r="C44" s="950"/>
      <c r="D44" s="950"/>
      <c r="E44" s="928"/>
      <c r="F44" s="950"/>
      <c r="G44" s="928"/>
      <c r="H44" s="928"/>
      <c r="I44" s="956"/>
      <c r="J44" s="950"/>
      <c r="K44" s="950"/>
      <c r="L44" s="950"/>
      <c r="M44" s="956"/>
      <c r="N44" s="956"/>
      <c r="O44" s="928"/>
      <c r="P44" s="959"/>
      <c r="Q44" s="959">
        <f t="shared" si="0"/>
        <v>0</v>
      </c>
      <c r="R44" s="950"/>
      <c r="S44" s="951"/>
    </row>
    <row r="45" spans="1:19" s="952" customFormat="1">
      <c r="A45" s="949"/>
      <c r="B45" s="950"/>
      <c r="C45" s="950"/>
      <c r="D45" s="950"/>
      <c r="E45" s="928"/>
      <c r="F45" s="950"/>
      <c r="G45" s="928"/>
      <c r="H45" s="928"/>
      <c r="I45" s="956"/>
      <c r="J45" s="950"/>
      <c r="K45" s="950"/>
      <c r="L45" s="950"/>
      <c r="M45" s="956"/>
      <c r="N45" s="956"/>
      <c r="O45" s="928"/>
      <c r="P45" s="959"/>
      <c r="Q45" s="959">
        <f t="shared" si="0"/>
        <v>0</v>
      </c>
      <c r="R45" s="950"/>
      <c r="S45" s="951"/>
    </row>
    <row r="46" spans="1:19" s="952" customFormat="1">
      <c r="A46" s="949"/>
      <c r="B46" s="950"/>
      <c r="C46" s="950"/>
      <c r="D46" s="950"/>
      <c r="E46" s="928"/>
      <c r="F46" s="950"/>
      <c r="G46" s="928"/>
      <c r="H46" s="928"/>
      <c r="I46" s="956"/>
      <c r="J46" s="950"/>
      <c r="K46" s="950"/>
      <c r="L46" s="950"/>
      <c r="M46" s="956"/>
      <c r="N46" s="956"/>
      <c r="O46" s="928"/>
      <c r="P46" s="959"/>
      <c r="Q46" s="959">
        <f t="shared" si="0"/>
        <v>0</v>
      </c>
      <c r="R46" s="950"/>
      <c r="S46" s="951"/>
    </row>
    <row r="47" spans="1:19" s="952" customFormat="1">
      <c r="A47" s="949"/>
      <c r="B47" s="950"/>
      <c r="C47" s="950"/>
      <c r="D47" s="950"/>
      <c r="E47" s="928"/>
      <c r="F47" s="950"/>
      <c r="G47" s="928"/>
      <c r="H47" s="928"/>
      <c r="I47" s="956"/>
      <c r="J47" s="950"/>
      <c r="K47" s="950"/>
      <c r="L47" s="950"/>
      <c r="M47" s="956"/>
      <c r="N47" s="956"/>
      <c r="O47" s="928"/>
      <c r="P47" s="959"/>
      <c r="Q47" s="959">
        <f t="shared" si="0"/>
        <v>0</v>
      </c>
      <c r="R47" s="950"/>
      <c r="S47" s="951"/>
    </row>
    <row r="48" spans="1:19" s="952" customFormat="1">
      <c r="A48" s="949"/>
      <c r="B48" s="950"/>
      <c r="C48" s="950"/>
      <c r="D48" s="950"/>
      <c r="E48" s="928"/>
      <c r="F48" s="950"/>
      <c r="G48" s="928"/>
      <c r="H48" s="928"/>
      <c r="I48" s="956"/>
      <c r="J48" s="950"/>
      <c r="K48" s="950"/>
      <c r="L48" s="950"/>
      <c r="M48" s="956"/>
      <c r="N48" s="956"/>
      <c r="O48" s="928"/>
      <c r="P48" s="959"/>
      <c r="Q48" s="959">
        <f t="shared" si="0"/>
        <v>0</v>
      </c>
      <c r="R48" s="950"/>
      <c r="S48" s="951"/>
    </row>
    <row r="49" spans="1:19" s="952" customFormat="1">
      <c r="A49" s="949"/>
      <c r="B49" s="950"/>
      <c r="C49" s="950"/>
      <c r="D49" s="950"/>
      <c r="E49" s="928"/>
      <c r="F49" s="950"/>
      <c r="G49" s="928"/>
      <c r="H49" s="928"/>
      <c r="I49" s="956"/>
      <c r="J49" s="950"/>
      <c r="K49" s="950"/>
      <c r="L49" s="950"/>
      <c r="M49" s="956"/>
      <c r="N49" s="956"/>
      <c r="O49" s="928"/>
      <c r="P49" s="959"/>
      <c r="Q49" s="959">
        <f t="shared" si="0"/>
        <v>0</v>
      </c>
      <c r="R49" s="950"/>
      <c r="S49" s="951"/>
    </row>
    <row r="50" spans="1:19" s="952" customFormat="1">
      <c r="A50" s="949"/>
      <c r="B50" s="950"/>
      <c r="C50" s="950"/>
      <c r="D50" s="950"/>
      <c r="E50" s="928"/>
      <c r="F50" s="950"/>
      <c r="G50" s="928"/>
      <c r="H50" s="928"/>
      <c r="I50" s="956"/>
      <c r="J50" s="950"/>
      <c r="K50" s="950"/>
      <c r="L50" s="950"/>
      <c r="M50" s="956"/>
      <c r="N50" s="956"/>
      <c r="O50" s="928"/>
      <c r="P50" s="959"/>
      <c r="Q50" s="959">
        <f t="shared" si="0"/>
        <v>0</v>
      </c>
      <c r="R50" s="950"/>
      <c r="S50" s="951"/>
    </row>
    <row r="51" spans="1:19" s="952" customFormat="1">
      <c r="A51" s="949"/>
      <c r="B51" s="950"/>
      <c r="C51" s="950"/>
      <c r="D51" s="950"/>
      <c r="E51" s="928"/>
      <c r="F51" s="950"/>
      <c r="G51" s="928"/>
      <c r="H51" s="928"/>
      <c r="I51" s="956"/>
      <c r="J51" s="950"/>
      <c r="K51" s="950"/>
      <c r="L51" s="950"/>
      <c r="M51" s="956"/>
      <c r="N51" s="956"/>
      <c r="O51" s="928"/>
      <c r="P51" s="959"/>
      <c r="Q51" s="959">
        <f t="shared" si="0"/>
        <v>0</v>
      </c>
      <c r="R51" s="950"/>
      <c r="S51" s="951"/>
    </row>
    <row r="52" spans="1:19" s="952" customFormat="1">
      <c r="A52" s="949"/>
      <c r="B52" s="950"/>
      <c r="C52" s="950"/>
      <c r="D52" s="950"/>
      <c r="E52" s="928"/>
      <c r="F52" s="950"/>
      <c r="G52" s="928"/>
      <c r="H52" s="928"/>
      <c r="I52" s="956"/>
      <c r="J52" s="950"/>
      <c r="K52" s="950"/>
      <c r="L52" s="950"/>
      <c r="M52" s="956"/>
      <c r="N52" s="956"/>
      <c r="O52" s="928"/>
      <c r="P52" s="959"/>
      <c r="Q52" s="959">
        <f t="shared" si="0"/>
        <v>0</v>
      </c>
      <c r="R52" s="950"/>
      <c r="S52" s="951"/>
    </row>
    <row r="53" spans="1:19" s="952" customFormat="1">
      <c r="A53" s="949"/>
      <c r="B53" s="950"/>
      <c r="C53" s="950"/>
      <c r="D53" s="950"/>
      <c r="E53" s="928"/>
      <c r="F53" s="950"/>
      <c r="G53" s="928"/>
      <c r="H53" s="928"/>
      <c r="I53" s="956"/>
      <c r="J53" s="950"/>
      <c r="K53" s="950"/>
      <c r="L53" s="950"/>
      <c r="M53" s="956"/>
      <c r="N53" s="956"/>
      <c r="O53" s="928"/>
      <c r="P53" s="959"/>
      <c r="Q53" s="959">
        <f t="shared" si="0"/>
        <v>0</v>
      </c>
      <c r="R53" s="950"/>
      <c r="S53" s="951"/>
    </row>
    <row r="54" spans="1:19" s="952" customFormat="1">
      <c r="A54" s="949"/>
      <c r="B54" s="950"/>
      <c r="C54" s="950"/>
      <c r="D54" s="950"/>
      <c r="E54" s="928"/>
      <c r="F54" s="950"/>
      <c r="G54" s="928"/>
      <c r="H54" s="928"/>
      <c r="I54" s="956"/>
      <c r="J54" s="950"/>
      <c r="K54" s="950"/>
      <c r="L54" s="950"/>
      <c r="M54" s="956"/>
      <c r="N54" s="956"/>
      <c r="O54" s="928"/>
      <c r="P54" s="959"/>
      <c r="Q54" s="959">
        <f t="shared" si="0"/>
        <v>0</v>
      </c>
      <c r="R54" s="950"/>
      <c r="S54" s="951"/>
    </row>
    <row r="55" spans="1:19" s="952" customFormat="1">
      <c r="A55" s="949"/>
      <c r="B55" s="950"/>
      <c r="C55" s="950"/>
      <c r="D55" s="950"/>
      <c r="E55" s="928"/>
      <c r="F55" s="950"/>
      <c r="G55" s="928"/>
      <c r="H55" s="928"/>
      <c r="I55" s="956"/>
      <c r="J55" s="950"/>
      <c r="K55" s="950"/>
      <c r="L55" s="950"/>
      <c r="M55" s="956"/>
      <c r="N55" s="956"/>
      <c r="O55" s="928"/>
      <c r="P55" s="959"/>
      <c r="Q55" s="959">
        <f t="shared" si="0"/>
        <v>0</v>
      </c>
      <c r="R55" s="950"/>
      <c r="S55" s="951"/>
    </row>
    <row r="56" spans="1:19" s="952" customFormat="1">
      <c r="A56" s="949"/>
      <c r="B56" s="950"/>
      <c r="C56" s="950"/>
      <c r="D56" s="950"/>
      <c r="E56" s="928"/>
      <c r="F56" s="950"/>
      <c r="G56" s="928"/>
      <c r="H56" s="928"/>
      <c r="I56" s="956"/>
      <c r="J56" s="950"/>
      <c r="K56" s="950"/>
      <c r="L56" s="950"/>
      <c r="M56" s="956"/>
      <c r="N56" s="956"/>
      <c r="O56" s="928"/>
      <c r="P56" s="959"/>
      <c r="Q56" s="959">
        <f t="shared" si="0"/>
        <v>0</v>
      </c>
      <c r="R56" s="950"/>
      <c r="S56" s="951"/>
    </row>
    <row r="57" spans="1:19" s="952" customFormat="1">
      <c r="A57" s="949"/>
      <c r="B57" s="950"/>
      <c r="C57" s="950"/>
      <c r="D57" s="950"/>
      <c r="E57" s="928"/>
      <c r="F57" s="950"/>
      <c r="G57" s="928"/>
      <c r="H57" s="928"/>
      <c r="I57" s="956"/>
      <c r="J57" s="950"/>
      <c r="K57" s="950"/>
      <c r="L57" s="950"/>
      <c r="M57" s="956"/>
      <c r="N57" s="956"/>
      <c r="O57" s="928"/>
      <c r="P57" s="959"/>
      <c r="Q57" s="959">
        <f t="shared" si="0"/>
        <v>0</v>
      </c>
      <c r="R57" s="950"/>
      <c r="S57" s="951"/>
    </row>
    <row r="58" spans="1:19" s="952" customFormat="1">
      <c r="A58" s="949"/>
      <c r="B58" s="950"/>
      <c r="C58" s="950"/>
      <c r="D58" s="950"/>
      <c r="E58" s="928"/>
      <c r="F58" s="950"/>
      <c r="G58" s="928"/>
      <c r="H58" s="928"/>
      <c r="I58" s="956"/>
      <c r="J58" s="950"/>
      <c r="K58" s="950"/>
      <c r="L58" s="950"/>
      <c r="M58" s="956"/>
      <c r="N58" s="956"/>
      <c r="O58" s="928"/>
      <c r="P58" s="959"/>
      <c r="Q58" s="959">
        <f t="shared" si="0"/>
        <v>0</v>
      </c>
      <c r="R58" s="950"/>
      <c r="S58" s="951"/>
    </row>
    <row r="59" spans="1:19" s="952" customFormat="1">
      <c r="A59" s="949"/>
      <c r="B59" s="950"/>
      <c r="C59" s="950"/>
      <c r="D59" s="950"/>
      <c r="E59" s="928"/>
      <c r="F59" s="950"/>
      <c r="G59" s="928"/>
      <c r="H59" s="928"/>
      <c r="I59" s="956"/>
      <c r="J59" s="950"/>
      <c r="K59" s="950"/>
      <c r="L59" s="950"/>
      <c r="M59" s="956"/>
      <c r="N59" s="956"/>
      <c r="O59" s="928"/>
      <c r="P59" s="959"/>
      <c r="Q59" s="959">
        <f t="shared" si="0"/>
        <v>0</v>
      </c>
      <c r="R59" s="950"/>
      <c r="S59" s="951"/>
    </row>
    <row r="60" spans="1:19" s="952" customFormat="1">
      <c r="A60" s="949"/>
      <c r="B60" s="950"/>
      <c r="C60" s="950"/>
      <c r="D60" s="950"/>
      <c r="E60" s="928"/>
      <c r="F60" s="950"/>
      <c r="G60" s="928"/>
      <c r="H60" s="928"/>
      <c r="I60" s="956"/>
      <c r="J60" s="950"/>
      <c r="K60" s="950"/>
      <c r="L60" s="950"/>
      <c r="M60" s="956"/>
      <c r="N60" s="956"/>
      <c r="O60" s="928"/>
      <c r="P60" s="959"/>
      <c r="Q60" s="959">
        <f t="shared" si="0"/>
        <v>0</v>
      </c>
      <c r="R60" s="950"/>
      <c r="S60" s="951"/>
    </row>
    <row r="61" spans="1:19" s="952" customFormat="1">
      <c r="A61" s="949"/>
      <c r="B61" s="950"/>
      <c r="C61" s="950"/>
      <c r="D61" s="950"/>
      <c r="E61" s="928"/>
      <c r="F61" s="950"/>
      <c r="G61" s="928"/>
      <c r="H61" s="928"/>
      <c r="I61" s="956"/>
      <c r="J61" s="950"/>
      <c r="K61" s="950"/>
      <c r="L61" s="950"/>
      <c r="M61" s="956"/>
      <c r="N61" s="956"/>
      <c r="O61" s="928"/>
      <c r="P61" s="959"/>
      <c r="Q61" s="959">
        <f t="shared" si="0"/>
        <v>0</v>
      </c>
      <c r="R61" s="950"/>
      <c r="S61" s="951"/>
    </row>
    <row r="62" spans="1:19" s="952" customFormat="1">
      <c r="A62" s="949"/>
      <c r="B62" s="950"/>
      <c r="C62" s="950"/>
      <c r="D62" s="950"/>
      <c r="E62" s="928"/>
      <c r="F62" s="950"/>
      <c r="G62" s="928"/>
      <c r="H62" s="928"/>
      <c r="I62" s="956"/>
      <c r="J62" s="950"/>
      <c r="K62" s="950"/>
      <c r="L62" s="950"/>
      <c r="M62" s="956"/>
      <c r="N62" s="956"/>
      <c r="O62" s="928"/>
      <c r="P62" s="959"/>
      <c r="Q62" s="959">
        <f t="shared" si="0"/>
        <v>0</v>
      </c>
      <c r="R62" s="950"/>
      <c r="S62" s="951"/>
    </row>
    <row r="63" spans="1:19" s="952" customFormat="1">
      <c r="A63" s="949"/>
      <c r="B63" s="950"/>
      <c r="C63" s="950"/>
      <c r="D63" s="950"/>
      <c r="E63" s="928"/>
      <c r="F63" s="950"/>
      <c r="G63" s="928"/>
      <c r="H63" s="928"/>
      <c r="I63" s="956"/>
      <c r="J63" s="950"/>
      <c r="K63" s="950"/>
      <c r="L63" s="950"/>
      <c r="M63" s="956"/>
      <c r="N63" s="956"/>
      <c r="O63" s="928"/>
      <c r="P63" s="959"/>
      <c r="Q63" s="959">
        <f t="shared" si="0"/>
        <v>0</v>
      </c>
      <c r="R63" s="950"/>
      <c r="S63" s="951"/>
    </row>
    <row r="64" spans="1:19" s="952" customFormat="1">
      <c r="A64" s="949"/>
      <c r="B64" s="950"/>
      <c r="C64" s="950"/>
      <c r="D64" s="950"/>
      <c r="E64" s="928"/>
      <c r="F64" s="950"/>
      <c r="G64" s="928"/>
      <c r="H64" s="928"/>
      <c r="I64" s="956"/>
      <c r="J64" s="950"/>
      <c r="K64" s="950"/>
      <c r="L64" s="950"/>
      <c r="M64" s="956"/>
      <c r="N64" s="956"/>
      <c r="O64" s="928"/>
      <c r="P64" s="959"/>
      <c r="Q64" s="959">
        <f t="shared" si="0"/>
        <v>0</v>
      </c>
      <c r="R64" s="950"/>
      <c r="S64" s="951"/>
    </row>
    <row r="65" spans="1:19" s="952" customFormat="1">
      <c r="A65" s="949"/>
      <c r="B65" s="950"/>
      <c r="C65" s="950"/>
      <c r="D65" s="950"/>
      <c r="E65" s="928"/>
      <c r="F65" s="950"/>
      <c r="G65" s="928"/>
      <c r="H65" s="928"/>
      <c r="I65" s="956"/>
      <c r="J65" s="950"/>
      <c r="K65" s="950"/>
      <c r="L65" s="950"/>
      <c r="M65" s="956"/>
      <c r="N65" s="956"/>
      <c r="O65" s="928"/>
      <c r="P65" s="959"/>
      <c r="Q65" s="959">
        <f t="shared" ref="Q65:Q86" si="1">P65*1.16</f>
        <v>0</v>
      </c>
      <c r="R65" s="950"/>
      <c r="S65" s="951"/>
    </row>
    <row r="66" spans="1:19" s="952" customFormat="1">
      <c r="A66" s="949"/>
      <c r="B66" s="950"/>
      <c r="C66" s="950"/>
      <c r="D66" s="950"/>
      <c r="E66" s="928"/>
      <c r="F66" s="950"/>
      <c r="G66" s="928"/>
      <c r="H66" s="928"/>
      <c r="I66" s="956"/>
      <c r="J66" s="950"/>
      <c r="K66" s="950"/>
      <c r="L66" s="950"/>
      <c r="M66" s="956"/>
      <c r="N66" s="956"/>
      <c r="O66" s="928"/>
      <c r="P66" s="959"/>
      <c r="Q66" s="959">
        <f t="shared" si="1"/>
        <v>0</v>
      </c>
      <c r="R66" s="950"/>
      <c r="S66" s="951"/>
    </row>
    <row r="67" spans="1:19" s="952" customFormat="1">
      <c r="A67" s="949"/>
      <c r="B67" s="950"/>
      <c r="C67" s="950"/>
      <c r="D67" s="950"/>
      <c r="E67" s="928"/>
      <c r="F67" s="950"/>
      <c r="G67" s="928"/>
      <c r="H67" s="928"/>
      <c r="I67" s="956"/>
      <c r="J67" s="950"/>
      <c r="K67" s="950"/>
      <c r="L67" s="950"/>
      <c r="M67" s="956"/>
      <c r="N67" s="956"/>
      <c r="O67" s="928"/>
      <c r="P67" s="959"/>
      <c r="Q67" s="959">
        <f t="shared" si="1"/>
        <v>0</v>
      </c>
      <c r="R67" s="950"/>
      <c r="S67" s="951"/>
    </row>
    <row r="68" spans="1:19" s="952" customFormat="1">
      <c r="A68" s="949"/>
      <c r="B68" s="950"/>
      <c r="C68" s="950"/>
      <c r="D68" s="950"/>
      <c r="E68" s="928"/>
      <c r="F68" s="950"/>
      <c r="G68" s="928"/>
      <c r="H68" s="928"/>
      <c r="I68" s="956"/>
      <c r="J68" s="950"/>
      <c r="K68" s="950"/>
      <c r="L68" s="950"/>
      <c r="M68" s="956"/>
      <c r="N68" s="956"/>
      <c r="O68" s="928"/>
      <c r="P68" s="959"/>
      <c r="Q68" s="959">
        <f t="shared" si="1"/>
        <v>0</v>
      </c>
      <c r="R68" s="950"/>
      <c r="S68" s="951"/>
    </row>
    <row r="69" spans="1:19" s="952" customFormat="1">
      <c r="A69" s="949"/>
      <c r="B69" s="950"/>
      <c r="C69" s="950"/>
      <c r="D69" s="950"/>
      <c r="E69" s="928"/>
      <c r="F69" s="950"/>
      <c r="G69" s="928"/>
      <c r="H69" s="928"/>
      <c r="I69" s="956"/>
      <c r="J69" s="950"/>
      <c r="K69" s="950"/>
      <c r="L69" s="950"/>
      <c r="M69" s="956"/>
      <c r="N69" s="956"/>
      <c r="O69" s="928"/>
      <c r="P69" s="959"/>
      <c r="Q69" s="959">
        <f t="shared" si="1"/>
        <v>0</v>
      </c>
      <c r="R69" s="950"/>
      <c r="S69" s="951"/>
    </row>
    <row r="70" spans="1:19" s="952" customFormat="1">
      <c r="A70" s="949"/>
      <c r="B70" s="950"/>
      <c r="C70" s="950"/>
      <c r="D70" s="950"/>
      <c r="E70" s="928"/>
      <c r="F70" s="950"/>
      <c r="G70" s="928"/>
      <c r="H70" s="928"/>
      <c r="I70" s="956"/>
      <c r="J70" s="950"/>
      <c r="K70" s="950"/>
      <c r="L70" s="950"/>
      <c r="M70" s="956"/>
      <c r="N70" s="956"/>
      <c r="O70" s="928"/>
      <c r="P70" s="959"/>
      <c r="Q70" s="959">
        <f t="shared" si="1"/>
        <v>0</v>
      </c>
      <c r="R70" s="950"/>
      <c r="S70" s="951"/>
    </row>
    <row r="71" spans="1:19" s="952" customFormat="1">
      <c r="A71" s="949"/>
      <c r="B71" s="950"/>
      <c r="C71" s="950"/>
      <c r="D71" s="950"/>
      <c r="E71" s="928"/>
      <c r="F71" s="950"/>
      <c r="G71" s="928"/>
      <c r="H71" s="928"/>
      <c r="I71" s="956"/>
      <c r="J71" s="950"/>
      <c r="K71" s="950"/>
      <c r="L71" s="950"/>
      <c r="M71" s="956"/>
      <c r="N71" s="956"/>
      <c r="O71" s="928"/>
      <c r="P71" s="959"/>
      <c r="Q71" s="959">
        <f t="shared" si="1"/>
        <v>0</v>
      </c>
      <c r="R71" s="950"/>
      <c r="S71" s="951"/>
    </row>
    <row r="72" spans="1:19" s="952" customFormat="1">
      <c r="A72" s="949"/>
      <c r="B72" s="950"/>
      <c r="C72" s="950"/>
      <c r="D72" s="950"/>
      <c r="E72" s="928"/>
      <c r="F72" s="950"/>
      <c r="G72" s="928"/>
      <c r="H72" s="928"/>
      <c r="I72" s="956"/>
      <c r="J72" s="950"/>
      <c r="K72" s="950"/>
      <c r="L72" s="950"/>
      <c r="M72" s="956"/>
      <c r="N72" s="956"/>
      <c r="O72" s="928"/>
      <c r="P72" s="959"/>
      <c r="Q72" s="959">
        <f t="shared" si="1"/>
        <v>0</v>
      </c>
      <c r="R72" s="950"/>
      <c r="S72" s="951"/>
    </row>
    <row r="73" spans="1:19" s="952" customFormat="1">
      <c r="A73" s="949"/>
      <c r="B73" s="950"/>
      <c r="C73" s="950"/>
      <c r="D73" s="950"/>
      <c r="E73" s="928"/>
      <c r="F73" s="950"/>
      <c r="G73" s="928"/>
      <c r="H73" s="928"/>
      <c r="I73" s="956"/>
      <c r="J73" s="950"/>
      <c r="K73" s="950"/>
      <c r="L73" s="950"/>
      <c r="M73" s="956"/>
      <c r="N73" s="956"/>
      <c r="O73" s="928"/>
      <c r="P73" s="959"/>
      <c r="Q73" s="959">
        <f t="shared" si="1"/>
        <v>0</v>
      </c>
      <c r="R73" s="950"/>
      <c r="S73" s="951"/>
    </row>
    <row r="74" spans="1:19" s="952" customFormat="1">
      <c r="A74" s="949"/>
      <c r="B74" s="950"/>
      <c r="C74" s="950"/>
      <c r="D74" s="950"/>
      <c r="E74" s="928"/>
      <c r="F74" s="950"/>
      <c r="G74" s="928"/>
      <c r="H74" s="928"/>
      <c r="I74" s="956"/>
      <c r="J74" s="950"/>
      <c r="K74" s="950"/>
      <c r="L74" s="950"/>
      <c r="M74" s="956"/>
      <c r="N74" s="956"/>
      <c r="O74" s="928"/>
      <c r="P74" s="959"/>
      <c r="Q74" s="959">
        <f t="shared" si="1"/>
        <v>0</v>
      </c>
      <c r="R74" s="950"/>
      <c r="S74" s="951"/>
    </row>
    <row r="75" spans="1:19" s="952" customFormat="1">
      <c r="A75" s="949"/>
      <c r="B75" s="950"/>
      <c r="C75" s="950"/>
      <c r="D75" s="950"/>
      <c r="E75" s="928"/>
      <c r="F75" s="950"/>
      <c r="G75" s="928"/>
      <c r="H75" s="928"/>
      <c r="I75" s="956"/>
      <c r="J75" s="950"/>
      <c r="K75" s="950"/>
      <c r="L75" s="950"/>
      <c r="M75" s="956"/>
      <c r="N75" s="956"/>
      <c r="O75" s="928"/>
      <c r="P75" s="959"/>
      <c r="Q75" s="959">
        <f t="shared" si="1"/>
        <v>0</v>
      </c>
      <c r="R75" s="950"/>
      <c r="S75" s="951"/>
    </row>
    <row r="76" spans="1:19" s="952" customFormat="1">
      <c r="A76" s="949"/>
      <c r="B76" s="950"/>
      <c r="C76" s="950"/>
      <c r="D76" s="950"/>
      <c r="E76" s="928"/>
      <c r="F76" s="950"/>
      <c r="G76" s="928"/>
      <c r="H76" s="928"/>
      <c r="I76" s="956"/>
      <c r="J76" s="950"/>
      <c r="K76" s="950"/>
      <c r="L76" s="950"/>
      <c r="M76" s="956"/>
      <c r="N76" s="956"/>
      <c r="O76" s="928"/>
      <c r="P76" s="959"/>
      <c r="Q76" s="959">
        <f t="shared" si="1"/>
        <v>0</v>
      </c>
      <c r="R76" s="950"/>
      <c r="S76" s="951"/>
    </row>
    <row r="77" spans="1:19" s="952" customFormat="1">
      <c r="A77" s="949"/>
      <c r="B77" s="950"/>
      <c r="C77" s="950"/>
      <c r="D77" s="950"/>
      <c r="E77" s="928"/>
      <c r="F77" s="950"/>
      <c r="G77" s="928"/>
      <c r="H77" s="928"/>
      <c r="I77" s="956"/>
      <c r="J77" s="950"/>
      <c r="K77" s="950"/>
      <c r="L77" s="950"/>
      <c r="M77" s="956"/>
      <c r="N77" s="956"/>
      <c r="O77" s="928"/>
      <c r="P77" s="959"/>
      <c r="Q77" s="959">
        <f t="shared" si="1"/>
        <v>0</v>
      </c>
      <c r="R77" s="950"/>
      <c r="S77" s="951"/>
    </row>
    <row r="78" spans="1:19" s="952" customFormat="1">
      <c r="A78" s="949"/>
      <c r="B78" s="950"/>
      <c r="C78" s="950"/>
      <c r="D78" s="950"/>
      <c r="E78" s="928"/>
      <c r="F78" s="950"/>
      <c r="G78" s="928"/>
      <c r="H78" s="928"/>
      <c r="I78" s="956"/>
      <c r="J78" s="950"/>
      <c r="K78" s="950"/>
      <c r="L78" s="950"/>
      <c r="M78" s="956"/>
      <c r="N78" s="956"/>
      <c r="O78" s="928"/>
      <c r="P78" s="959"/>
      <c r="Q78" s="959">
        <f t="shared" si="1"/>
        <v>0</v>
      </c>
      <c r="R78" s="950"/>
      <c r="S78" s="951"/>
    </row>
    <row r="79" spans="1:19" s="952" customFormat="1">
      <c r="A79" s="949"/>
      <c r="B79" s="950"/>
      <c r="C79" s="950"/>
      <c r="D79" s="950"/>
      <c r="E79" s="928"/>
      <c r="F79" s="950"/>
      <c r="G79" s="928"/>
      <c r="H79" s="928"/>
      <c r="I79" s="956"/>
      <c r="J79" s="950"/>
      <c r="K79" s="950"/>
      <c r="L79" s="950"/>
      <c r="M79" s="956"/>
      <c r="N79" s="956"/>
      <c r="O79" s="928"/>
      <c r="P79" s="959"/>
      <c r="Q79" s="959">
        <f t="shared" si="1"/>
        <v>0</v>
      </c>
      <c r="R79" s="950"/>
      <c r="S79" s="951"/>
    </row>
    <row r="80" spans="1:19" s="952" customFormat="1">
      <c r="A80" s="949"/>
      <c r="B80" s="950"/>
      <c r="C80" s="950"/>
      <c r="D80" s="950"/>
      <c r="E80" s="928"/>
      <c r="F80" s="950"/>
      <c r="G80" s="928"/>
      <c r="H80" s="928"/>
      <c r="I80" s="956"/>
      <c r="J80" s="950"/>
      <c r="K80" s="950"/>
      <c r="L80" s="950"/>
      <c r="M80" s="956"/>
      <c r="N80" s="956"/>
      <c r="O80" s="928"/>
      <c r="P80" s="959"/>
      <c r="Q80" s="959">
        <f t="shared" si="1"/>
        <v>0</v>
      </c>
      <c r="R80" s="950"/>
      <c r="S80" s="951"/>
    </row>
    <row r="81" spans="1:19" s="952" customFormat="1">
      <c r="A81" s="949"/>
      <c r="B81" s="950"/>
      <c r="C81" s="950"/>
      <c r="D81" s="950"/>
      <c r="E81" s="928"/>
      <c r="F81" s="950"/>
      <c r="G81" s="928"/>
      <c r="H81" s="928"/>
      <c r="I81" s="956"/>
      <c r="J81" s="950"/>
      <c r="K81" s="950"/>
      <c r="L81" s="950"/>
      <c r="M81" s="956"/>
      <c r="N81" s="956"/>
      <c r="O81" s="928"/>
      <c r="P81" s="959"/>
      <c r="Q81" s="959">
        <f t="shared" si="1"/>
        <v>0</v>
      </c>
      <c r="R81" s="950"/>
      <c r="S81" s="951"/>
    </row>
    <row r="82" spans="1:19" s="952" customFormat="1">
      <c r="A82" s="949"/>
      <c r="B82" s="950"/>
      <c r="C82" s="950"/>
      <c r="D82" s="950"/>
      <c r="E82" s="928"/>
      <c r="F82" s="950"/>
      <c r="G82" s="928"/>
      <c r="H82" s="928"/>
      <c r="I82" s="956"/>
      <c r="J82" s="950"/>
      <c r="K82" s="950"/>
      <c r="L82" s="950"/>
      <c r="M82" s="956"/>
      <c r="N82" s="956"/>
      <c r="O82" s="928"/>
      <c r="P82" s="959"/>
      <c r="Q82" s="959">
        <f t="shared" si="1"/>
        <v>0</v>
      </c>
      <c r="R82" s="950"/>
      <c r="S82" s="951"/>
    </row>
    <row r="83" spans="1:19" s="952" customFormat="1">
      <c r="A83" s="949"/>
      <c r="B83" s="950"/>
      <c r="C83" s="950"/>
      <c r="D83" s="950"/>
      <c r="E83" s="928"/>
      <c r="F83" s="950"/>
      <c r="G83" s="928"/>
      <c r="H83" s="928"/>
      <c r="I83" s="956"/>
      <c r="J83" s="950"/>
      <c r="K83" s="950"/>
      <c r="L83" s="950"/>
      <c r="M83" s="956"/>
      <c r="N83" s="956"/>
      <c r="O83" s="928"/>
      <c r="P83" s="959"/>
      <c r="Q83" s="959">
        <f t="shared" si="1"/>
        <v>0</v>
      </c>
      <c r="R83" s="950"/>
      <c r="S83" s="951"/>
    </row>
    <row r="84" spans="1:19" s="952" customFormat="1">
      <c r="A84" s="949"/>
      <c r="B84" s="950"/>
      <c r="C84" s="950"/>
      <c r="D84" s="950"/>
      <c r="E84" s="928"/>
      <c r="F84" s="950"/>
      <c r="G84" s="928"/>
      <c r="H84" s="928"/>
      <c r="I84" s="956"/>
      <c r="J84" s="950"/>
      <c r="K84" s="950"/>
      <c r="L84" s="950"/>
      <c r="M84" s="956"/>
      <c r="N84" s="956"/>
      <c r="O84" s="928"/>
      <c r="P84" s="959"/>
      <c r="Q84" s="959">
        <f t="shared" si="1"/>
        <v>0</v>
      </c>
      <c r="R84" s="950"/>
      <c r="S84" s="951"/>
    </row>
    <row r="85" spans="1:19" s="952" customFormat="1">
      <c r="A85" s="949"/>
      <c r="B85" s="950"/>
      <c r="C85" s="950"/>
      <c r="D85" s="950"/>
      <c r="E85" s="928"/>
      <c r="F85" s="950"/>
      <c r="G85" s="928"/>
      <c r="H85" s="928"/>
      <c r="I85" s="956"/>
      <c r="J85" s="950"/>
      <c r="K85" s="950"/>
      <c r="L85" s="950"/>
      <c r="M85" s="956"/>
      <c r="N85" s="956"/>
      <c r="O85" s="928"/>
      <c r="P85" s="959"/>
      <c r="Q85" s="959">
        <f t="shared" si="1"/>
        <v>0</v>
      </c>
      <c r="R85" s="950"/>
      <c r="S85" s="951"/>
    </row>
    <row r="86" spans="1:19" s="952" customFormat="1">
      <c r="A86" s="949"/>
      <c r="B86" s="950"/>
      <c r="C86" s="950"/>
      <c r="D86" s="950"/>
      <c r="E86" s="928"/>
      <c r="F86" s="950"/>
      <c r="G86" s="928"/>
      <c r="H86" s="928"/>
      <c r="I86" s="956"/>
      <c r="J86" s="950"/>
      <c r="K86" s="950"/>
      <c r="L86" s="950"/>
      <c r="M86" s="956"/>
      <c r="N86" s="956"/>
      <c r="O86" s="928"/>
      <c r="P86" s="959"/>
      <c r="Q86" s="959">
        <f t="shared" si="1"/>
        <v>0</v>
      </c>
      <c r="R86" s="950"/>
      <c r="S86" s="951"/>
    </row>
    <row r="87" spans="1:19" s="952" customFormat="1">
      <c r="A87" s="949"/>
      <c r="B87" s="950"/>
      <c r="C87" s="950"/>
      <c r="D87" s="950"/>
      <c r="E87" s="928"/>
      <c r="F87" s="950"/>
      <c r="G87" s="928"/>
      <c r="H87" s="928"/>
      <c r="I87" s="956"/>
      <c r="J87" s="950"/>
      <c r="K87" s="950"/>
      <c r="L87" s="950"/>
      <c r="M87" s="956"/>
      <c r="N87" s="956"/>
      <c r="O87" s="928"/>
      <c r="P87" s="959"/>
      <c r="Q87" s="959">
        <f t="shared" ref="Q87:Q127" si="2">P87*1.16</f>
        <v>0</v>
      </c>
      <c r="R87" s="950"/>
      <c r="S87" s="951"/>
    </row>
    <row r="88" spans="1:19" s="952" customFormat="1">
      <c r="A88" s="949"/>
      <c r="B88" s="950"/>
      <c r="C88" s="950"/>
      <c r="D88" s="950"/>
      <c r="E88" s="928"/>
      <c r="F88" s="950"/>
      <c r="G88" s="928"/>
      <c r="H88" s="928"/>
      <c r="I88" s="956"/>
      <c r="J88" s="950"/>
      <c r="K88" s="950"/>
      <c r="L88" s="950"/>
      <c r="M88" s="956"/>
      <c r="N88" s="956"/>
      <c r="O88" s="928"/>
      <c r="P88" s="959"/>
      <c r="Q88" s="959">
        <f t="shared" si="2"/>
        <v>0</v>
      </c>
      <c r="R88" s="950"/>
      <c r="S88" s="951"/>
    </row>
    <row r="89" spans="1:19" s="952" customFormat="1">
      <c r="A89" s="949"/>
      <c r="B89" s="950"/>
      <c r="C89" s="950"/>
      <c r="D89" s="950"/>
      <c r="E89" s="928"/>
      <c r="F89" s="950"/>
      <c r="G89" s="928"/>
      <c r="H89" s="928"/>
      <c r="I89" s="956"/>
      <c r="J89" s="950"/>
      <c r="K89" s="950"/>
      <c r="L89" s="950"/>
      <c r="M89" s="956"/>
      <c r="N89" s="956"/>
      <c r="O89" s="928"/>
      <c r="P89" s="959"/>
      <c r="Q89" s="959">
        <f t="shared" si="2"/>
        <v>0</v>
      </c>
      <c r="R89" s="950"/>
      <c r="S89" s="951"/>
    </row>
    <row r="90" spans="1:19" s="952" customFormat="1">
      <c r="A90" s="949"/>
      <c r="B90" s="950"/>
      <c r="C90" s="950"/>
      <c r="D90" s="950"/>
      <c r="E90" s="928"/>
      <c r="F90" s="950"/>
      <c r="G90" s="928"/>
      <c r="H90" s="928"/>
      <c r="I90" s="956"/>
      <c r="J90" s="950"/>
      <c r="K90" s="950"/>
      <c r="L90" s="950"/>
      <c r="M90" s="956"/>
      <c r="N90" s="956"/>
      <c r="O90" s="928"/>
      <c r="P90" s="959"/>
      <c r="Q90" s="959">
        <f t="shared" si="2"/>
        <v>0</v>
      </c>
      <c r="R90" s="950"/>
      <c r="S90" s="951"/>
    </row>
    <row r="91" spans="1:19" s="952" customFormat="1">
      <c r="A91" s="949"/>
      <c r="B91" s="950"/>
      <c r="C91" s="950"/>
      <c r="D91" s="950"/>
      <c r="E91" s="928"/>
      <c r="F91" s="950"/>
      <c r="G91" s="928"/>
      <c r="H91" s="928"/>
      <c r="I91" s="956"/>
      <c r="J91" s="950"/>
      <c r="K91" s="950"/>
      <c r="L91" s="950"/>
      <c r="M91" s="956"/>
      <c r="N91" s="956"/>
      <c r="O91" s="928"/>
      <c r="P91" s="959"/>
      <c r="Q91" s="959">
        <f t="shared" si="2"/>
        <v>0</v>
      </c>
      <c r="R91" s="950"/>
      <c r="S91" s="951"/>
    </row>
    <row r="92" spans="1:19" s="952" customFormat="1">
      <c r="A92" s="949"/>
      <c r="B92" s="950"/>
      <c r="C92" s="950"/>
      <c r="D92" s="950"/>
      <c r="E92" s="928"/>
      <c r="F92" s="950"/>
      <c r="G92" s="928"/>
      <c r="H92" s="928"/>
      <c r="I92" s="956"/>
      <c r="J92" s="950"/>
      <c r="K92" s="950"/>
      <c r="L92" s="950"/>
      <c r="M92" s="956"/>
      <c r="N92" s="956"/>
      <c r="O92" s="928"/>
      <c r="P92" s="959"/>
      <c r="Q92" s="959">
        <f t="shared" si="2"/>
        <v>0</v>
      </c>
      <c r="R92" s="950"/>
      <c r="S92" s="951"/>
    </row>
    <row r="93" spans="1:19" s="952" customFormat="1">
      <c r="A93" s="949"/>
      <c r="B93" s="950"/>
      <c r="C93" s="950"/>
      <c r="D93" s="950"/>
      <c r="E93" s="928"/>
      <c r="F93" s="950"/>
      <c r="G93" s="928"/>
      <c r="H93" s="928"/>
      <c r="I93" s="956"/>
      <c r="J93" s="950"/>
      <c r="K93" s="950"/>
      <c r="L93" s="950"/>
      <c r="M93" s="956"/>
      <c r="N93" s="956"/>
      <c r="O93" s="928"/>
      <c r="P93" s="959"/>
      <c r="Q93" s="959">
        <f t="shared" si="2"/>
        <v>0</v>
      </c>
      <c r="R93" s="950"/>
      <c r="S93" s="951"/>
    </row>
    <row r="94" spans="1:19" s="952" customFormat="1">
      <c r="A94" s="949"/>
      <c r="B94" s="950"/>
      <c r="C94" s="950"/>
      <c r="D94" s="950"/>
      <c r="E94" s="928"/>
      <c r="F94" s="950"/>
      <c r="G94" s="928"/>
      <c r="H94" s="928"/>
      <c r="I94" s="956"/>
      <c r="J94" s="950"/>
      <c r="K94" s="950"/>
      <c r="L94" s="950"/>
      <c r="M94" s="956"/>
      <c r="N94" s="956"/>
      <c r="O94" s="928"/>
      <c r="P94" s="959"/>
      <c r="Q94" s="959">
        <f t="shared" si="2"/>
        <v>0</v>
      </c>
      <c r="R94" s="950"/>
      <c r="S94" s="951"/>
    </row>
    <row r="95" spans="1:19" s="952" customFormat="1">
      <c r="A95" s="949"/>
      <c r="B95" s="950"/>
      <c r="C95" s="950"/>
      <c r="D95" s="950"/>
      <c r="E95" s="928"/>
      <c r="F95" s="950"/>
      <c r="G95" s="928"/>
      <c r="H95" s="928"/>
      <c r="I95" s="956"/>
      <c r="J95" s="950"/>
      <c r="K95" s="950"/>
      <c r="L95" s="950"/>
      <c r="M95" s="956"/>
      <c r="N95" s="956"/>
      <c r="O95" s="928"/>
      <c r="P95" s="959"/>
      <c r="Q95" s="959">
        <f t="shared" si="2"/>
        <v>0</v>
      </c>
      <c r="R95" s="950"/>
      <c r="S95" s="951"/>
    </row>
    <row r="96" spans="1:19" s="952" customFormat="1">
      <c r="A96" s="949"/>
      <c r="B96" s="950"/>
      <c r="C96" s="950"/>
      <c r="D96" s="950"/>
      <c r="E96" s="928"/>
      <c r="F96" s="950"/>
      <c r="G96" s="928"/>
      <c r="H96" s="928"/>
      <c r="I96" s="956"/>
      <c r="J96" s="950"/>
      <c r="K96" s="950"/>
      <c r="L96" s="950"/>
      <c r="M96" s="956"/>
      <c r="N96" s="956"/>
      <c r="O96" s="928"/>
      <c r="P96" s="959"/>
      <c r="Q96" s="959">
        <f t="shared" si="2"/>
        <v>0</v>
      </c>
      <c r="R96" s="950"/>
      <c r="S96" s="951"/>
    </row>
    <row r="97" spans="1:19" s="952" customFormat="1">
      <c r="A97" s="949"/>
      <c r="B97" s="950"/>
      <c r="C97" s="950"/>
      <c r="D97" s="950"/>
      <c r="E97" s="928"/>
      <c r="F97" s="950"/>
      <c r="G97" s="928"/>
      <c r="H97" s="928"/>
      <c r="I97" s="956"/>
      <c r="J97" s="950"/>
      <c r="K97" s="950"/>
      <c r="L97" s="950"/>
      <c r="M97" s="956"/>
      <c r="N97" s="956"/>
      <c r="O97" s="928"/>
      <c r="P97" s="959"/>
      <c r="Q97" s="959">
        <f t="shared" si="2"/>
        <v>0</v>
      </c>
      <c r="R97" s="950"/>
      <c r="S97" s="951"/>
    </row>
    <row r="98" spans="1:19" s="952" customFormat="1">
      <c r="A98" s="949"/>
      <c r="B98" s="950"/>
      <c r="C98" s="950"/>
      <c r="D98" s="950"/>
      <c r="E98" s="928"/>
      <c r="F98" s="950"/>
      <c r="G98" s="928"/>
      <c r="H98" s="928"/>
      <c r="I98" s="956"/>
      <c r="J98" s="950"/>
      <c r="K98" s="950"/>
      <c r="L98" s="950"/>
      <c r="M98" s="956"/>
      <c r="N98" s="956"/>
      <c r="O98" s="928"/>
      <c r="P98" s="959"/>
      <c r="Q98" s="959">
        <f t="shared" si="2"/>
        <v>0</v>
      </c>
      <c r="R98" s="950"/>
      <c r="S98" s="951"/>
    </row>
    <row r="99" spans="1:19" s="952" customFormat="1">
      <c r="A99" s="949"/>
      <c r="B99" s="950"/>
      <c r="C99" s="950"/>
      <c r="D99" s="950"/>
      <c r="E99" s="928"/>
      <c r="F99" s="950"/>
      <c r="G99" s="928"/>
      <c r="H99" s="928"/>
      <c r="I99" s="956"/>
      <c r="J99" s="950"/>
      <c r="K99" s="950"/>
      <c r="L99" s="950"/>
      <c r="M99" s="956"/>
      <c r="N99" s="956"/>
      <c r="O99" s="928"/>
      <c r="P99" s="959"/>
      <c r="Q99" s="959">
        <f t="shared" si="2"/>
        <v>0</v>
      </c>
      <c r="R99" s="950"/>
      <c r="S99" s="951"/>
    </row>
    <row r="100" spans="1:19" s="952" customFormat="1">
      <c r="A100" s="949"/>
      <c r="B100" s="950"/>
      <c r="C100" s="950"/>
      <c r="D100" s="950"/>
      <c r="E100" s="928"/>
      <c r="F100" s="950"/>
      <c r="G100" s="928"/>
      <c r="H100" s="928"/>
      <c r="I100" s="956"/>
      <c r="J100" s="950"/>
      <c r="K100" s="950"/>
      <c r="L100" s="950"/>
      <c r="M100" s="956"/>
      <c r="N100" s="956"/>
      <c r="O100" s="928"/>
      <c r="P100" s="959"/>
      <c r="Q100" s="959">
        <f t="shared" si="2"/>
        <v>0</v>
      </c>
      <c r="R100" s="950"/>
      <c r="S100" s="951"/>
    </row>
    <row r="101" spans="1:19" s="952" customFormat="1">
      <c r="A101" s="949"/>
      <c r="B101" s="950"/>
      <c r="C101" s="950"/>
      <c r="D101" s="950"/>
      <c r="E101" s="928"/>
      <c r="F101" s="950"/>
      <c r="G101" s="928"/>
      <c r="H101" s="928"/>
      <c r="I101" s="956"/>
      <c r="J101" s="950"/>
      <c r="K101" s="950"/>
      <c r="L101" s="950"/>
      <c r="M101" s="956"/>
      <c r="N101" s="956"/>
      <c r="O101" s="928"/>
      <c r="P101" s="959"/>
      <c r="Q101" s="959">
        <f t="shared" si="2"/>
        <v>0</v>
      </c>
      <c r="R101" s="950"/>
      <c r="S101" s="951"/>
    </row>
    <row r="102" spans="1:19" s="952" customFormat="1">
      <c r="A102" s="949"/>
      <c r="B102" s="950"/>
      <c r="C102" s="950"/>
      <c r="D102" s="950"/>
      <c r="E102" s="928"/>
      <c r="F102" s="950"/>
      <c r="G102" s="928"/>
      <c r="H102" s="928"/>
      <c r="I102" s="956"/>
      <c r="J102" s="950"/>
      <c r="K102" s="950"/>
      <c r="L102" s="950"/>
      <c r="M102" s="956"/>
      <c r="N102" s="956"/>
      <c r="O102" s="928"/>
      <c r="P102" s="959"/>
      <c r="Q102" s="959">
        <f t="shared" si="2"/>
        <v>0</v>
      </c>
      <c r="R102" s="950"/>
      <c r="S102" s="951"/>
    </row>
    <row r="103" spans="1:19" s="952" customFormat="1">
      <c r="A103" s="949"/>
      <c r="B103" s="950"/>
      <c r="C103" s="950"/>
      <c r="D103" s="950"/>
      <c r="E103" s="928"/>
      <c r="F103" s="950"/>
      <c r="G103" s="928"/>
      <c r="H103" s="928"/>
      <c r="I103" s="956"/>
      <c r="J103" s="950"/>
      <c r="K103" s="950"/>
      <c r="L103" s="950"/>
      <c r="M103" s="956"/>
      <c r="N103" s="956"/>
      <c r="O103" s="928"/>
      <c r="P103" s="959"/>
      <c r="Q103" s="959">
        <f t="shared" si="2"/>
        <v>0</v>
      </c>
      <c r="R103" s="950"/>
      <c r="S103" s="951"/>
    </row>
    <row r="104" spans="1:19" s="952" customFormat="1">
      <c r="A104" s="949"/>
      <c r="B104" s="950"/>
      <c r="C104" s="950"/>
      <c r="D104" s="950"/>
      <c r="E104" s="928"/>
      <c r="F104" s="950"/>
      <c r="G104" s="928"/>
      <c r="H104" s="928"/>
      <c r="I104" s="956"/>
      <c r="J104" s="950"/>
      <c r="K104" s="950"/>
      <c r="L104" s="950"/>
      <c r="M104" s="956"/>
      <c r="N104" s="956"/>
      <c r="O104" s="928"/>
      <c r="P104" s="959"/>
      <c r="Q104" s="959">
        <f t="shared" si="2"/>
        <v>0</v>
      </c>
      <c r="R104" s="950"/>
      <c r="S104" s="951"/>
    </row>
    <row r="105" spans="1:19" s="952" customFormat="1">
      <c r="A105" s="949"/>
      <c r="B105" s="950"/>
      <c r="C105" s="950"/>
      <c r="D105" s="950"/>
      <c r="E105" s="928"/>
      <c r="F105" s="950"/>
      <c r="G105" s="928"/>
      <c r="H105" s="928"/>
      <c r="I105" s="956"/>
      <c r="J105" s="950"/>
      <c r="K105" s="950"/>
      <c r="L105" s="950"/>
      <c r="M105" s="956"/>
      <c r="N105" s="956"/>
      <c r="O105" s="928"/>
      <c r="P105" s="959"/>
      <c r="Q105" s="959">
        <f t="shared" si="2"/>
        <v>0</v>
      </c>
      <c r="R105" s="950"/>
      <c r="S105" s="951"/>
    </row>
    <row r="106" spans="1:19" s="952" customFormat="1">
      <c r="A106" s="949"/>
      <c r="B106" s="950"/>
      <c r="C106" s="950"/>
      <c r="D106" s="950"/>
      <c r="E106" s="928"/>
      <c r="F106" s="950"/>
      <c r="G106" s="928"/>
      <c r="H106" s="928"/>
      <c r="I106" s="956"/>
      <c r="J106" s="950"/>
      <c r="K106" s="950"/>
      <c r="L106" s="950"/>
      <c r="M106" s="956"/>
      <c r="N106" s="956"/>
      <c r="O106" s="928"/>
      <c r="P106" s="959"/>
      <c r="Q106" s="959">
        <f t="shared" si="2"/>
        <v>0</v>
      </c>
      <c r="R106" s="950"/>
      <c r="S106" s="951"/>
    </row>
    <row r="107" spans="1:19" s="952" customFormat="1">
      <c r="A107" s="949"/>
      <c r="B107" s="950"/>
      <c r="C107" s="950"/>
      <c r="D107" s="950"/>
      <c r="E107" s="928"/>
      <c r="F107" s="950"/>
      <c r="G107" s="928"/>
      <c r="H107" s="928"/>
      <c r="I107" s="956"/>
      <c r="J107" s="950"/>
      <c r="K107" s="950"/>
      <c r="L107" s="950"/>
      <c r="M107" s="956"/>
      <c r="N107" s="956"/>
      <c r="O107" s="928"/>
      <c r="P107" s="959"/>
      <c r="Q107" s="959">
        <f t="shared" si="2"/>
        <v>0</v>
      </c>
      <c r="R107" s="950"/>
      <c r="S107" s="951"/>
    </row>
    <row r="108" spans="1:19" s="952" customFormat="1">
      <c r="A108" s="949"/>
      <c r="B108" s="950"/>
      <c r="C108" s="950"/>
      <c r="D108" s="950"/>
      <c r="E108" s="928"/>
      <c r="F108" s="950"/>
      <c r="G108" s="928"/>
      <c r="H108" s="928"/>
      <c r="I108" s="956"/>
      <c r="J108" s="950"/>
      <c r="K108" s="950"/>
      <c r="L108" s="950"/>
      <c r="M108" s="956"/>
      <c r="N108" s="956"/>
      <c r="O108" s="928"/>
      <c r="P108" s="959"/>
      <c r="Q108" s="959">
        <f t="shared" si="2"/>
        <v>0</v>
      </c>
      <c r="R108" s="950"/>
      <c r="S108" s="951"/>
    </row>
    <row r="109" spans="1:19" s="952" customFormat="1">
      <c r="A109" s="949"/>
      <c r="B109" s="950"/>
      <c r="C109" s="950"/>
      <c r="D109" s="950"/>
      <c r="E109" s="928"/>
      <c r="F109" s="950"/>
      <c r="G109" s="928"/>
      <c r="H109" s="928"/>
      <c r="I109" s="956"/>
      <c r="J109" s="950"/>
      <c r="K109" s="950"/>
      <c r="L109" s="950"/>
      <c r="M109" s="956"/>
      <c r="N109" s="956"/>
      <c r="O109" s="928"/>
      <c r="P109" s="959"/>
      <c r="Q109" s="959">
        <f t="shared" si="2"/>
        <v>0</v>
      </c>
      <c r="R109" s="950"/>
      <c r="S109" s="951"/>
    </row>
    <row r="110" spans="1:19" s="952" customFormat="1">
      <c r="A110" s="949"/>
      <c r="B110" s="950"/>
      <c r="C110" s="950"/>
      <c r="D110" s="950"/>
      <c r="E110" s="928"/>
      <c r="F110" s="950"/>
      <c r="G110" s="928"/>
      <c r="H110" s="928"/>
      <c r="I110" s="956"/>
      <c r="J110" s="950"/>
      <c r="K110" s="950"/>
      <c r="L110" s="950"/>
      <c r="M110" s="956"/>
      <c r="N110" s="956"/>
      <c r="O110" s="928"/>
      <c r="P110" s="959"/>
      <c r="Q110" s="959">
        <f t="shared" si="2"/>
        <v>0</v>
      </c>
      <c r="R110" s="950"/>
      <c r="S110" s="951"/>
    </row>
    <row r="111" spans="1:19" s="952" customFormat="1">
      <c r="A111" s="949"/>
      <c r="B111" s="950"/>
      <c r="C111" s="950"/>
      <c r="D111" s="950"/>
      <c r="E111" s="928"/>
      <c r="F111" s="950"/>
      <c r="G111" s="928"/>
      <c r="H111" s="928"/>
      <c r="I111" s="956"/>
      <c r="J111" s="950"/>
      <c r="K111" s="950"/>
      <c r="L111" s="950"/>
      <c r="M111" s="956"/>
      <c r="N111" s="956"/>
      <c r="O111" s="928"/>
      <c r="P111" s="959"/>
      <c r="Q111" s="959">
        <f t="shared" si="2"/>
        <v>0</v>
      </c>
      <c r="R111" s="950"/>
      <c r="S111" s="951"/>
    </row>
    <row r="112" spans="1:19" s="952" customFormat="1">
      <c r="A112" s="949"/>
      <c r="B112" s="950"/>
      <c r="C112" s="950"/>
      <c r="D112" s="950"/>
      <c r="E112" s="928"/>
      <c r="F112" s="950"/>
      <c r="G112" s="928"/>
      <c r="H112" s="928"/>
      <c r="I112" s="956"/>
      <c r="J112" s="950"/>
      <c r="K112" s="950"/>
      <c r="L112" s="950"/>
      <c r="M112" s="956"/>
      <c r="N112" s="956"/>
      <c r="O112" s="928"/>
      <c r="P112" s="959"/>
      <c r="Q112" s="959">
        <f t="shared" si="2"/>
        <v>0</v>
      </c>
      <c r="R112" s="950"/>
      <c r="S112" s="951"/>
    </row>
    <row r="113" spans="1:19" s="952" customFormat="1">
      <c r="A113" s="949"/>
      <c r="B113" s="950"/>
      <c r="C113" s="950"/>
      <c r="D113" s="950"/>
      <c r="E113" s="928"/>
      <c r="F113" s="950"/>
      <c r="G113" s="928"/>
      <c r="H113" s="928"/>
      <c r="I113" s="956"/>
      <c r="J113" s="950"/>
      <c r="K113" s="950"/>
      <c r="L113" s="950"/>
      <c r="M113" s="956"/>
      <c r="N113" s="956"/>
      <c r="O113" s="928"/>
      <c r="P113" s="959"/>
      <c r="Q113" s="959">
        <f t="shared" si="2"/>
        <v>0</v>
      </c>
      <c r="R113" s="950"/>
      <c r="S113" s="951"/>
    </row>
    <row r="114" spans="1:19" s="952" customFormat="1">
      <c r="A114" s="949"/>
      <c r="B114" s="950"/>
      <c r="C114" s="950"/>
      <c r="D114" s="950"/>
      <c r="E114" s="928"/>
      <c r="F114" s="950"/>
      <c r="G114" s="928"/>
      <c r="H114" s="928"/>
      <c r="I114" s="956"/>
      <c r="J114" s="950"/>
      <c r="K114" s="950"/>
      <c r="L114" s="950"/>
      <c r="M114" s="956"/>
      <c r="N114" s="956"/>
      <c r="O114" s="928"/>
      <c r="P114" s="959"/>
      <c r="Q114" s="959">
        <f t="shared" si="2"/>
        <v>0</v>
      </c>
      <c r="R114" s="950"/>
      <c r="S114" s="951"/>
    </row>
    <row r="115" spans="1:19" s="952" customFormat="1">
      <c r="A115" s="949"/>
      <c r="B115" s="950"/>
      <c r="C115" s="950"/>
      <c r="D115" s="950"/>
      <c r="E115" s="928"/>
      <c r="F115" s="950"/>
      <c r="G115" s="928"/>
      <c r="H115" s="928"/>
      <c r="I115" s="956"/>
      <c r="J115" s="950"/>
      <c r="K115" s="950"/>
      <c r="L115" s="950"/>
      <c r="M115" s="956"/>
      <c r="N115" s="956"/>
      <c r="O115" s="928"/>
      <c r="P115" s="959"/>
      <c r="Q115" s="959">
        <f t="shared" si="2"/>
        <v>0</v>
      </c>
      <c r="R115" s="950"/>
      <c r="S115" s="951"/>
    </row>
    <row r="116" spans="1:19" s="952" customFormat="1">
      <c r="A116" s="949"/>
      <c r="B116" s="950"/>
      <c r="C116" s="950"/>
      <c r="D116" s="950"/>
      <c r="E116" s="928"/>
      <c r="F116" s="950"/>
      <c r="G116" s="928"/>
      <c r="H116" s="928"/>
      <c r="I116" s="956"/>
      <c r="J116" s="950"/>
      <c r="K116" s="950"/>
      <c r="L116" s="950"/>
      <c r="M116" s="956"/>
      <c r="N116" s="956"/>
      <c r="O116" s="928"/>
      <c r="P116" s="959"/>
      <c r="Q116" s="959">
        <f t="shared" si="2"/>
        <v>0</v>
      </c>
      <c r="R116" s="950"/>
      <c r="S116" s="951"/>
    </row>
    <row r="117" spans="1:19" s="952" customFormat="1">
      <c r="A117" s="949"/>
      <c r="B117" s="950"/>
      <c r="C117" s="950"/>
      <c r="D117" s="950"/>
      <c r="E117" s="928"/>
      <c r="F117" s="950"/>
      <c r="G117" s="928"/>
      <c r="H117" s="928"/>
      <c r="I117" s="956"/>
      <c r="J117" s="950"/>
      <c r="K117" s="950"/>
      <c r="L117" s="950"/>
      <c r="M117" s="956"/>
      <c r="N117" s="956"/>
      <c r="O117" s="928"/>
      <c r="P117" s="959"/>
      <c r="Q117" s="959">
        <f t="shared" si="2"/>
        <v>0</v>
      </c>
      <c r="R117" s="950"/>
      <c r="S117" s="951"/>
    </row>
    <row r="118" spans="1:19" s="952" customFormat="1">
      <c r="A118" s="949"/>
      <c r="B118" s="950"/>
      <c r="C118" s="950"/>
      <c r="D118" s="950"/>
      <c r="E118" s="928"/>
      <c r="F118" s="950"/>
      <c r="G118" s="928"/>
      <c r="H118" s="928"/>
      <c r="I118" s="956"/>
      <c r="J118" s="950"/>
      <c r="K118" s="950"/>
      <c r="L118" s="950"/>
      <c r="M118" s="956"/>
      <c r="N118" s="956"/>
      <c r="O118" s="928"/>
      <c r="P118" s="959"/>
      <c r="Q118" s="959">
        <f t="shared" si="2"/>
        <v>0</v>
      </c>
      <c r="R118" s="950"/>
      <c r="S118" s="951"/>
    </row>
    <row r="119" spans="1:19" s="952" customFormat="1">
      <c r="A119" s="949"/>
      <c r="B119" s="950"/>
      <c r="C119" s="950"/>
      <c r="D119" s="950"/>
      <c r="E119" s="928"/>
      <c r="F119" s="950"/>
      <c r="G119" s="928"/>
      <c r="H119" s="928"/>
      <c r="I119" s="956"/>
      <c r="J119" s="950"/>
      <c r="K119" s="950"/>
      <c r="L119" s="950"/>
      <c r="M119" s="956"/>
      <c r="N119" s="956"/>
      <c r="O119" s="928"/>
      <c r="P119" s="959"/>
      <c r="Q119" s="959">
        <f t="shared" si="2"/>
        <v>0</v>
      </c>
      <c r="R119" s="950"/>
      <c r="S119" s="951"/>
    </row>
    <row r="120" spans="1:19" s="952" customFormat="1">
      <c r="A120" s="949"/>
      <c r="B120" s="950"/>
      <c r="C120" s="950"/>
      <c r="D120" s="950"/>
      <c r="E120" s="928"/>
      <c r="F120" s="950"/>
      <c r="G120" s="928"/>
      <c r="H120" s="928"/>
      <c r="I120" s="956"/>
      <c r="J120" s="950"/>
      <c r="K120" s="950"/>
      <c r="L120" s="950"/>
      <c r="M120" s="956"/>
      <c r="N120" s="956"/>
      <c r="O120" s="928"/>
      <c r="P120" s="959"/>
      <c r="Q120" s="959">
        <f t="shared" si="2"/>
        <v>0</v>
      </c>
      <c r="R120" s="950"/>
      <c r="S120" s="951"/>
    </row>
    <row r="121" spans="1:19" s="952" customFormat="1">
      <c r="A121" s="949"/>
      <c r="B121" s="950"/>
      <c r="C121" s="950"/>
      <c r="D121" s="950"/>
      <c r="E121" s="928"/>
      <c r="F121" s="950"/>
      <c r="G121" s="928"/>
      <c r="H121" s="928"/>
      <c r="I121" s="956"/>
      <c r="J121" s="950"/>
      <c r="K121" s="950"/>
      <c r="L121" s="950"/>
      <c r="M121" s="956"/>
      <c r="N121" s="956"/>
      <c r="O121" s="928"/>
      <c r="P121" s="959"/>
      <c r="Q121" s="959">
        <f t="shared" si="2"/>
        <v>0</v>
      </c>
      <c r="R121" s="950"/>
      <c r="S121" s="951"/>
    </row>
    <row r="122" spans="1:19" s="952" customFormat="1">
      <c r="A122" s="949"/>
      <c r="B122" s="950"/>
      <c r="C122" s="950"/>
      <c r="D122" s="950"/>
      <c r="E122" s="928"/>
      <c r="F122" s="950"/>
      <c r="G122" s="928"/>
      <c r="H122" s="928"/>
      <c r="I122" s="956"/>
      <c r="J122" s="950"/>
      <c r="K122" s="950"/>
      <c r="L122" s="950"/>
      <c r="M122" s="956"/>
      <c r="N122" s="956"/>
      <c r="O122" s="928"/>
      <c r="P122" s="959"/>
      <c r="Q122" s="959">
        <f t="shared" si="2"/>
        <v>0</v>
      </c>
      <c r="R122" s="950"/>
      <c r="S122" s="951"/>
    </row>
    <row r="123" spans="1:19" s="952" customFormat="1">
      <c r="A123" s="949"/>
      <c r="B123" s="950"/>
      <c r="C123" s="950"/>
      <c r="D123" s="950"/>
      <c r="E123" s="928"/>
      <c r="F123" s="950"/>
      <c r="G123" s="928"/>
      <c r="H123" s="928"/>
      <c r="I123" s="956"/>
      <c r="J123" s="950"/>
      <c r="K123" s="950"/>
      <c r="L123" s="950"/>
      <c r="M123" s="956"/>
      <c r="N123" s="956"/>
      <c r="O123" s="928"/>
      <c r="P123" s="959"/>
      <c r="Q123" s="959">
        <f t="shared" si="2"/>
        <v>0</v>
      </c>
      <c r="R123" s="950"/>
      <c r="S123" s="951"/>
    </row>
    <row r="124" spans="1:19" s="952" customFormat="1">
      <c r="A124" s="949"/>
      <c r="B124" s="950"/>
      <c r="C124" s="950"/>
      <c r="D124" s="950"/>
      <c r="E124" s="928"/>
      <c r="F124" s="950"/>
      <c r="G124" s="928"/>
      <c r="H124" s="928"/>
      <c r="I124" s="956"/>
      <c r="J124" s="950"/>
      <c r="K124" s="950"/>
      <c r="L124" s="950"/>
      <c r="M124" s="956"/>
      <c r="N124" s="956"/>
      <c r="O124" s="928"/>
      <c r="P124" s="959"/>
      <c r="Q124" s="959">
        <f t="shared" si="2"/>
        <v>0</v>
      </c>
      <c r="R124" s="950"/>
      <c r="S124" s="951"/>
    </row>
    <row r="125" spans="1:19" s="952" customFormat="1">
      <c r="A125" s="949"/>
      <c r="B125" s="950"/>
      <c r="C125" s="950"/>
      <c r="D125" s="950"/>
      <c r="E125" s="928"/>
      <c r="F125" s="950"/>
      <c r="G125" s="928"/>
      <c r="H125" s="928"/>
      <c r="I125" s="956"/>
      <c r="J125" s="950"/>
      <c r="K125" s="950"/>
      <c r="L125" s="950"/>
      <c r="M125" s="956"/>
      <c r="N125" s="956"/>
      <c r="O125" s="928"/>
      <c r="P125" s="959"/>
      <c r="Q125" s="959">
        <f t="shared" si="2"/>
        <v>0</v>
      </c>
      <c r="R125" s="950"/>
      <c r="S125" s="951"/>
    </row>
    <row r="126" spans="1:19" s="952" customFormat="1">
      <c r="A126" s="949"/>
      <c r="B126" s="950"/>
      <c r="C126" s="950"/>
      <c r="D126" s="950"/>
      <c r="E126" s="928"/>
      <c r="F126" s="950"/>
      <c r="G126" s="928"/>
      <c r="H126" s="928"/>
      <c r="I126" s="956"/>
      <c r="J126" s="950"/>
      <c r="K126" s="950"/>
      <c r="L126" s="950"/>
      <c r="M126" s="956"/>
      <c r="N126" s="956"/>
      <c r="O126" s="928"/>
      <c r="P126" s="959"/>
      <c r="Q126" s="959">
        <f t="shared" si="2"/>
        <v>0</v>
      </c>
      <c r="R126" s="950"/>
      <c r="S126" s="951"/>
    </row>
    <row r="127" spans="1:19" s="952" customFormat="1" ht="15.75" thickBot="1">
      <c r="A127" s="953"/>
      <c r="B127" s="954"/>
      <c r="C127" s="954"/>
      <c r="D127" s="954"/>
      <c r="E127" s="928"/>
      <c r="F127" s="954"/>
      <c r="G127" s="958"/>
      <c r="H127" s="958"/>
      <c r="I127" s="957"/>
      <c r="J127" s="954"/>
      <c r="K127" s="954"/>
      <c r="L127" s="954"/>
      <c r="M127" s="957"/>
      <c r="N127" s="957"/>
      <c r="O127" s="954"/>
      <c r="P127" s="960"/>
      <c r="Q127" s="960">
        <f t="shared" si="2"/>
        <v>0</v>
      </c>
      <c r="R127" s="954"/>
      <c r="S127" s="955"/>
    </row>
    <row r="129" spans="4:5">
      <c r="D129" t="s">
        <v>2469</v>
      </c>
    </row>
    <row r="130" spans="4:5">
      <c r="D130" s="2065">
        <v>43741</v>
      </c>
      <c r="E130" s="2065"/>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38" customWidth="1"/>
    <col min="16" max="17" width="19.5703125" customWidth="1"/>
    <col min="18" max="18" width="34.7109375" customWidth="1"/>
    <col min="19" max="20" width="34.28515625" customWidth="1"/>
    <col min="21" max="21" width="6.140625" customWidth="1"/>
  </cols>
  <sheetData>
    <row r="1" spans="1:21" ht="26.25">
      <c r="A1" s="2077" t="s">
        <v>2895</v>
      </c>
      <c r="B1" s="2077"/>
      <c r="C1" s="2077"/>
      <c r="D1" s="2077"/>
      <c r="E1" s="2077"/>
      <c r="F1" s="2077"/>
      <c r="G1" s="2077"/>
      <c r="H1" s="2077"/>
      <c r="I1" s="2077"/>
      <c r="J1" s="2077"/>
      <c r="K1" s="2077"/>
      <c r="L1" s="2077"/>
      <c r="M1" s="2077"/>
      <c r="N1" s="2077"/>
      <c r="O1" s="2077"/>
      <c r="P1" s="2077"/>
      <c r="Q1" s="2077"/>
      <c r="R1" s="2077"/>
      <c r="S1" s="2077"/>
      <c r="T1" s="2077"/>
      <c r="U1" s="2077"/>
    </row>
    <row r="2" spans="1:21">
      <c r="A2" s="2078" t="str">
        <f>GRAL!A2</f>
        <v>DEL 01 DE ENERO 2021 A FECHA ACTUAL</v>
      </c>
      <c r="B2" s="2078"/>
      <c r="C2" s="2078"/>
      <c r="D2" s="2078"/>
      <c r="E2" s="2078"/>
      <c r="F2" s="2078"/>
      <c r="G2" s="2078"/>
      <c r="H2" s="2078"/>
      <c r="I2" s="2078"/>
      <c r="J2" s="2078"/>
      <c r="K2" s="2078"/>
      <c r="L2" s="2078"/>
      <c r="M2" s="2078"/>
      <c r="N2" s="2078"/>
      <c r="O2" s="2078"/>
      <c r="P2" s="2078"/>
      <c r="Q2" s="2078"/>
      <c r="R2" s="2078"/>
      <c r="S2" s="2078"/>
      <c r="T2" s="2078"/>
      <c r="U2" s="2078"/>
    </row>
    <row r="3" spans="1:21" ht="15.75">
      <c r="A3" s="1110" t="s">
        <v>2852</v>
      </c>
      <c r="B3" s="2079">
        <v>45602</v>
      </c>
      <c r="C3" s="2079"/>
      <c r="D3" s="2079"/>
      <c r="E3" s="2079"/>
      <c r="F3" s="2079"/>
      <c r="G3" s="2079"/>
      <c r="H3" s="1109"/>
      <c r="I3" s="1109"/>
      <c r="J3" s="1109"/>
      <c r="K3" s="1109"/>
      <c r="L3" s="1109"/>
      <c r="M3" s="1109"/>
      <c r="N3" s="1109"/>
      <c r="O3" s="1531"/>
      <c r="P3" s="1109"/>
      <c r="Q3" s="1109"/>
      <c r="R3" s="1109"/>
      <c r="S3" s="1109"/>
      <c r="T3" s="1109"/>
      <c r="U3" s="1109"/>
    </row>
    <row r="5" spans="1:21" s="938" customFormat="1" ht="60" customHeight="1">
      <c r="A5" s="937" t="s">
        <v>2470</v>
      </c>
      <c r="B5" s="937" t="s">
        <v>25</v>
      </c>
      <c r="C5" s="937" t="s">
        <v>2471</v>
      </c>
      <c r="D5" s="937" t="s">
        <v>2472</v>
      </c>
      <c r="E5" s="923" t="s">
        <v>2473</v>
      </c>
      <c r="F5" s="1174" t="s">
        <v>3055</v>
      </c>
      <c r="G5" s="937" t="s">
        <v>2206</v>
      </c>
      <c r="H5" s="939" t="s">
        <v>2474</v>
      </c>
      <c r="I5" s="939" t="s">
        <v>3052</v>
      </c>
      <c r="J5" s="923" t="s">
        <v>5784</v>
      </c>
      <c r="K5" s="939" t="s">
        <v>3053</v>
      </c>
      <c r="L5" s="939" t="s">
        <v>3054</v>
      </c>
      <c r="M5" s="937" t="s">
        <v>2475</v>
      </c>
      <c r="N5" s="937" t="s">
        <v>2958</v>
      </c>
      <c r="O5" s="937" t="s">
        <v>2196</v>
      </c>
      <c r="P5" s="937" t="s">
        <v>2956</v>
      </c>
      <c r="Q5" s="937" t="s">
        <v>2957</v>
      </c>
      <c r="R5" s="937" t="s">
        <v>2476</v>
      </c>
      <c r="S5" s="937" t="s">
        <v>2477</v>
      </c>
      <c r="T5" s="937" t="s">
        <v>3663</v>
      </c>
      <c r="U5" s="937"/>
    </row>
    <row r="6" spans="1:21">
      <c r="A6" s="924"/>
      <c r="B6" s="924"/>
      <c r="C6" s="924"/>
      <c r="D6" s="924"/>
      <c r="E6" s="925"/>
      <c r="F6" s="925"/>
      <c r="G6" s="924"/>
      <c r="H6" s="924"/>
      <c r="I6" s="924"/>
      <c r="J6" s="1704"/>
      <c r="K6" s="1701"/>
      <c r="L6" s="1702"/>
      <c r="M6" s="924"/>
      <c r="N6" s="924"/>
      <c r="O6" s="1532"/>
      <c r="P6" s="924"/>
      <c r="Q6" s="924"/>
      <c r="R6" s="924"/>
      <c r="S6" s="924"/>
      <c r="T6" s="924"/>
      <c r="U6" s="924"/>
    </row>
    <row r="7" spans="1:21" ht="57" hidden="1" customHeight="1">
      <c r="A7" s="926" t="s">
        <v>2476</v>
      </c>
      <c r="B7" s="927"/>
      <c r="C7" s="926"/>
      <c r="D7" s="926"/>
      <c r="E7" s="935"/>
      <c r="F7" s="926"/>
      <c r="G7" s="1013"/>
      <c r="H7" s="929"/>
      <c r="I7" s="929"/>
      <c r="J7" s="1705"/>
      <c r="K7" s="176"/>
      <c r="L7" s="5"/>
      <c r="M7" s="1175"/>
      <c r="N7" s="3"/>
      <c r="O7" s="929"/>
      <c r="P7" s="927"/>
      <c r="Q7" s="927"/>
      <c r="R7" s="1012" t="s">
        <v>4220</v>
      </c>
      <c r="S7" s="933"/>
      <c r="T7" s="1534"/>
      <c r="U7" s="926"/>
    </row>
    <row r="8" spans="1:21" ht="42" customHeight="1">
      <c r="A8" s="926" t="s">
        <v>2476</v>
      </c>
      <c r="B8" s="927">
        <v>45043</v>
      </c>
      <c r="C8" s="926">
        <v>5</v>
      </c>
      <c r="D8" s="926">
        <v>4</v>
      </c>
      <c r="E8" s="935"/>
      <c r="F8" s="926">
        <v>1</v>
      </c>
      <c r="G8" s="1013" t="s">
        <v>5695</v>
      </c>
      <c r="H8" s="929"/>
      <c r="I8" s="929"/>
      <c r="J8" s="1705"/>
      <c r="K8" s="176"/>
      <c r="L8" s="5"/>
      <c r="M8" s="1175" t="s">
        <v>5696</v>
      </c>
      <c r="N8" s="3" t="s">
        <v>2524</v>
      </c>
      <c r="O8" s="929" t="s">
        <v>3108</v>
      </c>
      <c r="P8" s="927">
        <v>45043</v>
      </c>
      <c r="Q8" s="927">
        <v>45043</v>
      </c>
      <c r="R8" s="1012" t="s">
        <v>4220</v>
      </c>
      <c r="S8" s="933"/>
      <c r="T8" s="1534"/>
      <c r="U8" s="926"/>
    </row>
    <row r="9" spans="1:21" ht="40.5" customHeight="1">
      <c r="A9" s="926" t="s">
        <v>2476</v>
      </c>
      <c r="B9" s="927">
        <v>45043</v>
      </c>
      <c r="C9" s="926">
        <f>C8</f>
        <v>5</v>
      </c>
      <c r="D9" s="926">
        <f>D8</f>
        <v>4</v>
      </c>
      <c r="E9" s="935"/>
      <c r="F9" s="926">
        <f>F8+1</f>
        <v>2</v>
      </c>
      <c r="G9" s="1013" t="s">
        <v>5697</v>
      </c>
      <c r="H9" s="929"/>
      <c r="I9" s="929"/>
      <c r="J9" s="1705"/>
      <c r="K9" s="176"/>
      <c r="L9" s="5"/>
      <c r="M9" s="1175" t="s">
        <v>4746</v>
      </c>
      <c r="N9" s="3" t="s">
        <v>2538</v>
      </c>
      <c r="O9" s="929" t="s">
        <v>166</v>
      </c>
      <c r="P9" s="927">
        <v>45043</v>
      </c>
      <c r="Q9" s="927">
        <v>45043</v>
      </c>
      <c r="R9" s="1012" t="s">
        <v>4220</v>
      </c>
      <c r="S9" s="933"/>
      <c r="T9" s="1534"/>
      <c r="U9" s="926"/>
    </row>
    <row r="10" spans="1:21" ht="40.5" customHeight="1">
      <c r="A10" s="926" t="s">
        <v>2476</v>
      </c>
      <c r="B10" s="927">
        <v>45043</v>
      </c>
      <c r="C10" s="926">
        <f t="shared" ref="C10:C73" si="0">C9</f>
        <v>5</v>
      </c>
      <c r="D10" s="926">
        <f t="shared" ref="D10:D73" si="1">D9</f>
        <v>4</v>
      </c>
      <c r="E10" s="935"/>
      <c r="F10" s="926">
        <f t="shared" ref="F10:F73" si="2">F9+1</f>
        <v>3</v>
      </c>
      <c r="G10" s="1013" t="s">
        <v>5698</v>
      </c>
      <c r="H10" s="929"/>
      <c r="I10" s="929"/>
      <c r="J10" s="1705"/>
      <c r="K10" s="176"/>
      <c r="L10" s="5"/>
      <c r="M10" s="1175" t="s">
        <v>4746</v>
      </c>
      <c r="N10" s="3" t="s">
        <v>2538</v>
      </c>
      <c r="O10" s="929" t="s">
        <v>166</v>
      </c>
      <c r="P10" s="927">
        <v>45043</v>
      </c>
      <c r="Q10" s="927">
        <v>45043</v>
      </c>
      <c r="R10" s="1012" t="s">
        <v>4220</v>
      </c>
      <c r="S10" s="933"/>
      <c r="T10" s="1534"/>
      <c r="U10" s="926"/>
    </row>
    <row r="11" spans="1:21" ht="36.75" customHeight="1">
      <c r="A11" s="926" t="s">
        <v>2476</v>
      </c>
      <c r="B11" s="927">
        <v>45043</v>
      </c>
      <c r="C11" s="926">
        <f t="shared" si="0"/>
        <v>5</v>
      </c>
      <c r="D11" s="926">
        <f t="shared" si="1"/>
        <v>4</v>
      </c>
      <c r="E11" s="935"/>
      <c r="F11" s="926">
        <f t="shared" si="2"/>
        <v>4</v>
      </c>
      <c r="G11" s="1013" t="s">
        <v>5699</v>
      </c>
      <c r="H11" s="929"/>
      <c r="I11" s="929"/>
      <c r="J11" s="1705"/>
      <c r="K11" s="176"/>
      <c r="L11" s="5"/>
      <c r="M11" s="1175"/>
      <c r="N11" s="3" t="s">
        <v>2663</v>
      </c>
      <c r="O11" s="929" t="s">
        <v>166</v>
      </c>
      <c r="P11" s="927">
        <v>45043</v>
      </c>
      <c r="Q11" s="927">
        <v>45043</v>
      </c>
      <c r="R11" s="1012" t="s">
        <v>4220</v>
      </c>
      <c r="S11" s="933"/>
      <c r="T11" s="1534"/>
      <c r="U11" s="926"/>
    </row>
    <row r="12" spans="1:21" ht="57" customHeight="1">
      <c r="A12" s="926" t="s">
        <v>2476</v>
      </c>
      <c r="B12" s="927">
        <v>45043</v>
      </c>
      <c r="C12" s="926">
        <f t="shared" si="0"/>
        <v>5</v>
      </c>
      <c r="D12" s="926">
        <f t="shared" si="1"/>
        <v>4</v>
      </c>
      <c r="E12" s="935" t="s">
        <v>5405</v>
      </c>
      <c r="F12" s="926">
        <f t="shared" si="2"/>
        <v>5</v>
      </c>
      <c r="G12" s="1013" t="s">
        <v>5700</v>
      </c>
      <c r="H12" s="929"/>
      <c r="I12" s="929" t="s">
        <v>551</v>
      </c>
      <c r="J12" s="1705"/>
      <c r="K12" s="176">
        <v>44987</v>
      </c>
      <c r="L12" s="5">
        <v>45048</v>
      </c>
      <c r="M12" s="1175" t="s">
        <v>5324</v>
      </c>
      <c r="N12" s="3" t="s">
        <v>1975</v>
      </c>
      <c r="O12" s="929" t="s">
        <v>166</v>
      </c>
      <c r="P12" s="927">
        <v>45043</v>
      </c>
      <c r="Q12" s="927">
        <v>45043</v>
      </c>
      <c r="R12" s="1012" t="s">
        <v>4220</v>
      </c>
      <c r="S12" s="933"/>
      <c r="T12" s="1534"/>
      <c r="U12" s="926"/>
    </row>
    <row r="13" spans="1:21" ht="70.5" customHeight="1">
      <c r="A13" s="926" t="s">
        <v>2476</v>
      </c>
      <c r="B13" s="927">
        <v>45043</v>
      </c>
      <c r="C13" s="926">
        <f t="shared" si="0"/>
        <v>5</v>
      </c>
      <c r="D13" s="926">
        <f t="shared" si="1"/>
        <v>4</v>
      </c>
      <c r="E13" s="935" t="s">
        <v>5405</v>
      </c>
      <c r="F13" s="926">
        <f t="shared" si="2"/>
        <v>6</v>
      </c>
      <c r="G13" s="1013" t="s">
        <v>5701</v>
      </c>
      <c r="H13" s="929"/>
      <c r="I13" s="929" t="s">
        <v>551</v>
      </c>
      <c r="J13" s="1705"/>
      <c r="K13" s="176">
        <v>44987</v>
      </c>
      <c r="L13" s="5">
        <v>45048</v>
      </c>
      <c r="M13" s="1175" t="s">
        <v>5324</v>
      </c>
      <c r="N13" s="3" t="s">
        <v>1975</v>
      </c>
      <c r="O13" s="929" t="s">
        <v>166</v>
      </c>
      <c r="P13" s="927">
        <v>45043</v>
      </c>
      <c r="Q13" s="927">
        <v>45043</v>
      </c>
      <c r="R13" s="1012" t="s">
        <v>4220</v>
      </c>
      <c r="S13" s="933"/>
      <c r="T13" s="1534"/>
      <c r="U13" s="926"/>
    </row>
    <row r="14" spans="1:21" ht="45" customHeight="1">
      <c r="A14" s="926" t="s">
        <v>2476</v>
      </c>
      <c r="B14" s="927">
        <v>45043</v>
      </c>
      <c r="C14" s="926">
        <f t="shared" si="0"/>
        <v>5</v>
      </c>
      <c r="D14" s="926">
        <f t="shared" si="1"/>
        <v>4</v>
      </c>
      <c r="E14" s="935"/>
      <c r="F14" s="926">
        <f t="shared" si="2"/>
        <v>7</v>
      </c>
      <c r="G14" s="1013" t="s">
        <v>5702</v>
      </c>
      <c r="H14" s="929"/>
      <c r="I14" s="929"/>
      <c r="J14" s="1705"/>
      <c r="K14" s="176"/>
      <c r="L14" s="5"/>
      <c r="M14" s="1175"/>
      <c r="N14" s="3" t="s">
        <v>1975</v>
      </c>
      <c r="O14" s="929" t="s">
        <v>166</v>
      </c>
      <c r="P14" s="927">
        <v>45043</v>
      </c>
      <c r="Q14" s="927">
        <v>45043</v>
      </c>
      <c r="R14" s="1012" t="s">
        <v>4220</v>
      </c>
      <c r="S14" s="933"/>
      <c r="T14" s="1534"/>
      <c r="U14" s="926"/>
    </row>
    <row r="15" spans="1:21" ht="45" customHeight="1">
      <c r="A15" s="926" t="s">
        <v>2476</v>
      </c>
      <c r="B15" s="927">
        <v>45043</v>
      </c>
      <c r="C15" s="926">
        <f t="shared" si="0"/>
        <v>5</v>
      </c>
      <c r="D15" s="926">
        <f t="shared" si="1"/>
        <v>4</v>
      </c>
      <c r="E15" s="935"/>
      <c r="F15" s="926">
        <f t="shared" si="2"/>
        <v>8</v>
      </c>
      <c r="G15" s="1013" t="s">
        <v>5703</v>
      </c>
      <c r="H15" s="929"/>
      <c r="I15" s="929"/>
      <c r="J15" s="1705"/>
      <c r="K15" s="176"/>
      <c r="L15" s="5"/>
      <c r="M15" s="1175" t="s">
        <v>5319</v>
      </c>
      <c r="N15" s="3" t="s">
        <v>1975</v>
      </c>
      <c r="O15" s="929" t="s">
        <v>166</v>
      </c>
      <c r="P15" s="927">
        <v>45043</v>
      </c>
      <c r="Q15" s="927">
        <v>45043</v>
      </c>
      <c r="R15" s="1012" t="s">
        <v>4220</v>
      </c>
      <c r="S15" s="933"/>
      <c r="T15" s="1534"/>
      <c r="U15" s="926"/>
    </row>
    <row r="16" spans="1:21" ht="40.5" customHeight="1">
      <c r="A16" s="926" t="s">
        <v>2476</v>
      </c>
      <c r="B16" s="927">
        <v>45043</v>
      </c>
      <c r="C16" s="926">
        <f t="shared" si="0"/>
        <v>5</v>
      </c>
      <c r="D16" s="926">
        <f t="shared" si="1"/>
        <v>4</v>
      </c>
      <c r="E16" s="935"/>
      <c r="F16" s="926">
        <f t="shared" si="2"/>
        <v>9</v>
      </c>
      <c r="G16" s="1013" t="s">
        <v>5704</v>
      </c>
      <c r="H16" s="929"/>
      <c r="I16" s="929"/>
      <c r="J16" s="1705"/>
      <c r="K16" s="176"/>
      <c r="L16" s="5"/>
      <c r="M16" s="1175" t="s">
        <v>2479</v>
      </c>
      <c r="N16" s="3" t="s">
        <v>1975</v>
      </c>
      <c r="O16" s="929" t="s">
        <v>166</v>
      </c>
      <c r="P16" s="927">
        <v>45043</v>
      </c>
      <c r="Q16" s="927">
        <v>45043</v>
      </c>
      <c r="R16" s="1012" t="s">
        <v>4220</v>
      </c>
      <c r="S16" s="933"/>
      <c r="T16" s="1534"/>
      <c r="U16" s="926"/>
    </row>
    <row r="17" spans="1:21" ht="57" customHeight="1">
      <c r="A17" s="926" t="s">
        <v>2476</v>
      </c>
      <c r="B17" s="927">
        <v>45043</v>
      </c>
      <c r="C17" s="926">
        <f t="shared" si="0"/>
        <v>5</v>
      </c>
      <c r="D17" s="926">
        <f t="shared" si="1"/>
        <v>4</v>
      </c>
      <c r="E17" s="935"/>
      <c r="F17" s="926">
        <f t="shared" si="2"/>
        <v>10</v>
      </c>
      <c r="G17" s="1013" t="s">
        <v>5705</v>
      </c>
      <c r="H17" s="929"/>
      <c r="I17" s="929" t="s">
        <v>551</v>
      </c>
      <c r="J17" s="1705"/>
      <c r="K17" s="176"/>
      <c r="L17" s="5"/>
      <c r="M17" s="1175" t="s">
        <v>5319</v>
      </c>
      <c r="N17" s="3" t="s">
        <v>1975</v>
      </c>
      <c r="O17" s="929" t="s">
        <v>166</v>
      </c>
      <c r="P17" s="927">
        <v>45043</v>
      </c>
      <c r="Q17" s="927">
        <v>45043</v>
      </c>
      <c r="R17" s="1012" t="s">
        <v>4220</v>
      </c>
      <c r="S17" s="933"/>
      <c r="T17" s="1534"/>
      <c r="U17" s="926"/>
    </row>
    <row r="18" spans="1:21" ht="42" customHeight="1">
      <c r="A18" s="926" t="s">
        <v>2476</v>
      </c>
      <c r="B18" s="927">
        <v>45043</v>
      </c>
      <c r="C18" s="926">
        <f t="shared" si="0"/>
        <v>5</v>
      </c>
      <c r="D18" s="926">
        <f t="shared" si="1"/>
        <v>4</v>
      </c>
      <c r="E18" s="935"/>
      <c r="F18" s="926">
        <f t="shared" si="2"/>
        <v>11</v>
      </c>
      <c r="G18" s="1013" t="s">
        <v>5706</v>
      </c>
      <c r="H18" s="929"/>
      <c r="I18" s="929" t="s">
        <v>551</v>
      </c>
      <c r="J18" s="1705"/>
      <c r="K18" s="176"/>
      <c r="L18" s="5"/>
      <c r="M18" s="1175" t="s">
        <v>4769</v>
      </c>
      <c r="N18" s="3" t="s">
        <v>1975</v>
      </c>
      <c r="O18" s="929" t="s">
        <v>166</v>
      </c>
      <c r="P18" s="927">
        <v>45043</v>
      </c>
      <c r="Q18" s="927">
        <v>45043</v>
      </c>
      <c r="R18" s="1012" t="s">
        <v>4220</v>
      </c>
      <c r="S18" s="933"/>
      <c r="T18" s="1534"/>
      <c r="U18" s="926"/>
    </row>
    <row r="19" spans="1:21" ht="43.5" customHeight="1">
      <c r="A19" s="926" t="s">
        <v>2476</v>
      </c>
      <c r="B19" s="927">
        <v>45043</v>
      </c>
      <c r="C19" s="926">
        <f t="shared" si="0"/>
        <v>5</v>
      </c>
      <c r="D19" s="926">
        <f t="shared" si="1"/>
        <v>4</v>
      </c>
      <c r="E19" s="935"/>
      <c r="F19" s="926">
        <f t="shared" si="2"/>
        <v>12</v>
      </c>
      <c r="G19" s="1013" t="s">
        <v>5707</v>
      </c>
      <c r="H19" s="929"/>
      <c r="I19" s="929" t="s">
        <v>551</v>
      </c>
      <c r="J19" s="1705"/>
      <c r="K19" s="176"/>
      <c r="L19" s="5"/>
      <c r="M19" s="1175" t="s">
        <v>4769</v>
      </c>
      <c r="N19" s="3" t="s">
        <v>1975</v>
      </c>
      <c r="O19" s="929" t="s">
        <v>166</v>
      </c>
      <c r="P19" s="927">
        <v>45043</v>
      </c>
      <c r="Q19" s="927">
        <v>45043</v>
      </c>
      <c r="R19" s="1012" t="s">
        <v>4220</v>
      </c>
      <c r="S19" s="933"/>
      <c r="T19" s="1534"/>
      <c r="U19" s="926"/>
    </row>
    <row r="20" spans="1:21" ht="57" customHeight="1">
      <c r="A20" s="926" t="s">
        <v>2476</v>
      </c>
      <c r="B20" s="927">
        <v>45043</v>
      </c>
      <c r="C20" s="926">
        <f t="shared" si="0"/>
        <v>5</v>
      </c>
      <c r="D20" s="926">
        <f t="shared" si="1"/>
        <v>4</v>
      </c>
      <c r="E20" s="935"/>
      <c r="F20" s="926">
        <f t="shared" si="2"/>
        <v>13</v>
      </c>
      <c r="G20" s="1013" t="s">
        <v>5708</v>
      </c>
      <c r="H20" s="929"/>
      <c r="I20" s="929" t="s">
        <v>551</v>
      </c>
      <c r="J20" s="1705"/>
      <c r="K20" s="176"/>
      <c r="L20" s="5"/>
      <c r="M20" s="1175" t="s">
        <v>4769</v>
      </c>
      <c r="N20" s="3" t="s">
        <v>1975</v>
      </c>
      <c r="O20" s="929" t="s">
        <v>166</v>
      </c>
      <c r="P20" s="927">
        <v>45043</v>
      </c>
      <c r="Q20" s="927">
        <v>45043</v>
      </c>
      <c r="R20" s="1012" t="s">
        <v>4220</v>
      </c>
      <c r="S20" s="933"/>
      <c r="T20" s="1534"/>
      <c r="U20" s="926"/>
    </row>
    <row r="21" spans="1:21" ht="40.5" customHeight="1">
      <c r="A21" s="926" t="s">
        <v>2476</v>
      </c>
      <c r="B21" s="927">
        <v>45043</v>
      </c>
      <c r="C21" s="926">
        <f t="shared" si="0"/>
        <v>5</v>
      </c>
      <c r="D21" s="926">
        <f t="shared" si="1"/>
        <v>4</v>
      </c>
      <c r="E21" s="935" t="s">
        <v>4736</v>
      </c>
      <c r="F21" s="926">
        <f t="shared" si="2"/>
        <v>14</v>
      </c>
      <c r="G21" s="1013" t="s">
        <v>5709</v>
      </c>
      <c r="H21" s="929"/>
      <c r="I21" s="929" t="s">
        <v>551</v>
      </c>
      <c r="J21" s="1705"/>
      <c r="K21" s="176"/>
      <c r="L21" s="5"/>
      <c r="M21" s="1175" t="s">
        <v>5710</v>
      </c>
      <c r="N21" s="3" t="s">
        <v>2515</v>
      </c>
      <c r="O21" s="929" t="s">
        <v>166</v>
      </c>
      <c r="P21" s="927">
        <v>45043</v>
      </c>
      <c r="Q21" s="927">
        <v>45043</v>
      </c>
      <c r="R21" s="1012" t="s">
        <v>4220</v>
      </c>
      <c r="S21" s="933"/>
      <c r="T21" s="1534"/>
      <c r="U21" s="926"/>
    </row>
    <row r="22" spans="1:21" ht="36.75" customHeight="1">
      <c r="A22" s="926" t="s">
        <v>2476</v>
      </c>
      <c r="B22" s="927">
        <v>45043</v>
      </c>
      <c r="C22" s="926">
        <f t="shared" si="0"/>
        <v>5</v>
      </c>
      <c r="D22" s="926">
        <f t="shared" si="1"/>
        <v>4</v>
      </c>
      <c r="E22" s="935"/>
      <c r="F22" s="926">
        <f t="shared" si="2"/>
        <v>15</v>
      </c>
      <c r="G22" s="1013" t="s">
        <v>5711</v>
      </c>
      <c r="H22" s="929"/>
      <c r="I22" s="929"/>
      <c r="J22" s="1705"/>
      <c r="K22" s="176"/>
      <c r="L22" s="5"/>
      <c r="M22" s="1175"/>
      <c r="N22" s="3" t="s">
        <v>2613</v>
      </c>
      <c r="O22" s="929" t="s">
        <v>166</v>
      </c>
      <c r="P22" s="927">
        <v>45043</v>
      </c>
      <c r="Q22" s="927">
        <v>45043</v>
      </c>
      <c r="R22" s="1012" t="s">
        <v>4220</v>
      </c>
      <c r="S22" s="933"/>
      <c r="T22" s="1534"/>
      <c r="U22" s="926"/>
    </row>
    <row r="23" spans="1:21" ht="38.25" customHeight="1">
      <c r="A23" s="926" t="s">
        <v>2476</v>
      </c>
      <c r="B23" s="927">
        <v>45043</v>
      </c>
      <c r="C23" s="926">
        <f t="shared" si="0"/>
        <v>5</v>
      </c>
      <c r="D23" s="926">
        <f t="shared" si="1"/>
        <v>4</v>
      </c>
      <c r="E23" s="935"/>
      <c r="F23" s="926">
        <f t="shared" si="2"/>
        <v>16</v>
      </c>
      <c r="G23" s="1013" t="s">
        <v>5712</v>
      </c>
      <c r="H23" s="929"/>
      <c r="I23" s="929" t="s">
        <v>551</v>
      </c>
      <c r="J23" s="1705"/>
      <c r="K23" s="176"/>
      <c r="L23" s="5"/>
      <c r="M23" s="1175" t="s">
        <v>2654</v>
      </c>
      <c r="N23" s="3" t="s">
        <v>1975</v>
      </c>
      <c r="O23" s="929" t="s">
        <v>166</v>
      </c>
      <c r="P23" s="927">
        <v>45043</v>
      </c>
      <c r="Q23" s="927">
        <v>45043</v>
      </c>
      <c r="R23" s="1012" t="s">
        <v>4220</v>
      </c>
      <c r="S23" s="933"/>
      <c r="T23" s="1534"/>
      <c r="U23" s="926"/>
    </row>
    <row r="24" spans="1:21" ht="57" customHeight="1">
      <c r="A24" s="926" t="s">
        <v>2476</v>
      </c>
      <c r="B24" s="927">
        <v>45043</v>
      </c>
      <c r="C24" s="926">
        <f t="shared" si="0"/>
        <v>5</v>
      </c>
      <c r="D24" s="926">
        <f t="shared" si="1"/>
        <v>4</v>
      </c>
      <c r="E24" s="934" t="s">
        <v>5386</v>
      </c>
      <c r="F24" s="926">
        <f t="shared" si="2"/>
        <v>17</v>
      </c>
      <c r="G24" s="1013" t="s">
        <v>5713</v>
      </c>
      <c r="H24" s="929"/>
      <c r="I24" s="929" t="s">
        <v>551</v>
      </c>
      <c r="J24" s="1705"/>
      <c r="K24" s="176">
        <v>45148</v>
      </c>
      <c r="L24" s="5">
        <v>45170</v>
      </c>
      <c r="M24" s="1175" t="s">
        <v>5324</v>
      </c>
      <c r="N24" s="3" t="s">
        <v>1975</v>
      </c>
      <c r="O24" s="929" t="s">
        <v>166</v>
      </c>
      <c r="P24" s="927">
        <v>45043</v>
      </c>
      <c r="Q24" s="927">
        <v>45043</v>
      </c>
      <c r="R24" s="1012" t="s">
        <v>4220</v>
      </c>
      <c r="S24" s="933"/>
      <c r="T24" s="1534" t="s">
        <v>5770</v>
      </c>
      <c r="U24" s="926"/>
    </row>
    <row r="25" spans="1:21" ht="45.75" customHeight="1">
      <c r="A25" s="926" t="s">
        <v>2476</v>
      </c>
      <c r="B25" s="927">
        <v>45043</v>
      </c>
      <c r="C25" s="926">
        <f t="shared" si="0"/>
        <v>5</v>
      </c>
      <c r="D25" s="926">
        <f t="shared" si="1"/>
        <v>4</v>
      </c>
      <c r="E25" s="935"/>
      <c r="F25" s="926">
        <f t="shared" si="2"/>
        <v>18</v>
      </c>
      <c r="G25" s="1013" t="s">
        <v>5714</v>
      </c>
      <c r="H25" s="929"/>
      <c r="I25" s="929" t="s">
        <v>551</v>
      </c>
      <c r="J25" s="1705"/>
      <c r="K25" s="176"/>
      <c r="L25" s="5"/>
      <c r="M25" s="1175" t="s">
        <v>5324</v>
      </c>
      <c r="N25" s="3" t="s">
        <v>1975</v>
      </c>
      <c r="O25" s="929" t="s">
        <v>166</v>
      </c>
      <c r="P25" s="927">
        <v>45043</v>
      </c>
      <c r="Q25" s="927">
        <v>45043</v>
      </c>
      <c r="R25" s="1012" t="s">
        <v>4220</v>
      </c>
      <c r="S25" s="933"/>
      <c r="T25" s="1534"/>
      <c r="U25" s="926"/>
    </row>
    <row r="26" spans="1:21" ht="47.25" customHeight="1">
      <c r="A26" s="926" t="s">
        <v>2476</v>
      </c>
      <c r="B26" s="927">
        <v>45043</v>
      </c>
      <c r="C26" s="926">
        <f t="shared" si="0"/>
        <v>5</v>
      </c>
      <c r="D26" s="926">
        <f t="shared" si="1"/>
        <v>4</v>
      </c>
      <c r="E26" s="935" t="s">
        <v>4736</v>
      </c>
      <c r="F26" s="926">
        <f t="shared" si="2"/>
        <v>19</v>
      </c>
      <c r="G26" s="1013" t="s">
        <v>5715</v>
      </c>
      <c r="H26" s="929"/>
      <c r="I26" s="929" t="s">
        <v>551</v>
      </c>
      <c r="J26" s="1705"/>
      <c r="K26" s="176"/>
      <c r="L26" s="5"/>
      <c r="M26" s="1175"/>
      <c r="N26" s="3" t="s">
        <v>1976</v>
      </c>
      <c r="O26" s="929" t="s">
        <v>166</v>
      </c>
      <c r="P26" s="927">
        <v>45043</v>
      </c>
      <c r="Q26" s="927">
        <v>45043</v>
      </c>
      <c r="R26" s="1012" t="s">
        <v>4220</v>
      </c>
      <c r="S26" s="933"/>
      <c r="T26" s="1534"/>
      <c r="U26" s="926"/>
    </row>
    <row r="27" spans="1:21" ht="57" customHeight="1">
      <c r="A27" s="926" t="s">
        <v>2476</v>
      </c>
      <c r="B27" s="927">
        <v>45043</v>
      </c>
      <c r="C27" s="926">
        <f t="shared" si="0"/>
        <v>5</v>
      </c>
      <c r="D27" s="926">
        <f t="shared" si="1"/>
        <v>4</v>
      </c>
      <c r="E27" s="935" t="s">
        <v>4736</v>
      </c>
      <c r="F27" s="926">
        <f t="shared" si="2"/>
        <v>20</v>
      </c>
      <c r="G27" s="1013" t="s">
        <v>5716</v>
      </c>
      <c r="H27" s="929"/>
      <c r="I27" s="929" t="s">
        <v>551</v>
      </c>
      <c r="J27" s="1705"/>
      <c r="K27" s="176" t="s">
        <v>4481</v>
      </c>
      <c r="L27" s="5"/>
      <c r="M27" s="1175"/>
      <c r="N27" s="3" t="s">
        <v>1975</v>
      </c>
      <c r="O27" s="929" t="s">
        <v>166</v>
      </c>
      <c r="P27" s="927">
        <v>45043</v>
      </c>
      <c r="Q27" s="927">
        <v>45043</v>
      </c>
      <c r="R27" s="1012" t="s">
        <v>4220</v>
      </c>
      <c r="S27" s="933"/>
      <c r="T27" s="1534"/>
      <c r="U27" s="926"/>
    </row>
    <row r="28" spans="1:21" ht="42" customHeight="1">
      <c r="A28" s="926" t="s">
        <v>2476</v>
      </c>
      <c r="B28" s="927">
        <v>45043</v>
      </c>
      <c r="C28" s="926">
        <f t="shared" si="0"/>
        <v>5</v>
      </c>
      <c r="D28" s="926">
        <f t="shared" si="1"/>
        <v>4</v>
      </c>
      <c r="E28" s="935"/>
      <c r="F28" s="926">
        <f t="shared" si="2"/>
        <v>21</v>
      </c>
      <c r="G28" s="1013" t="s">
        <v>5717</v>
      </c>
      <c r="H28" s="929"/>
      <c r="I28" s="929"/>
      <c r="J28" s="1705"/>
      <c r="K28" s="176"/>
      <c r="L28" s="5"/>
      <c r="M28" s="1175"/>
      <c r="N28" s="3" t="s">
        <v>2532</v>
      </c>
      <c r="O28" s="929" t="s">
        <v>166</v>
      </c>
      <c r="P28" s="927">
        <v>45043</v>
      </c>
      <c r="Q28" s="927">
        <v>45043</v>
      </c>
      <c r="R28" s="1012" t="s">
        <v>4220</v>
      </c>
      <c r="S28" s="933"/>
      <c r="T28" s="1534"/>
      <c r="U28" s="926"/>
    </row>
    <row r="29" spans="1:21" ht="42" customHeight="1">
      <c r="A29" s="926" t="s">
        <v>2476</v>
      </c>
      <c r="B29" s="927">
        <v>45043</v>
      </c>
      <c r="C29" s="926">
        <f t="shared" si="0"/>
        <v>5</v>
      </c>
      <c r="D29" s="926">
        <f t="shared" si="1"/>
        <v>4</v>
      </c>
      <c r="E29" s="935"/>
      <c r="F29" s="926">
        <f t="shared" si="2"/>
        <v>22</v>
      </c>
      <c r="G29" s="1013" t="s">
        <v>5690</v>
      </c>
      <c r="H29" s="929"/>
      <c r="I29" s="929"/>
      <c r="J29" s="1705"/>
      <c r="K29" s="176"/>
      <c r="L29" s="5"/>
      <c r="M29" s="1175"/>
      <c r="N29" s="3" t="s">
        <v>1975</v>
      </c>
      <c r="O29" s="929" t="s">
        <v>5718</v>
      </c>
      <c r="P29" s="927">
        <v>45043</v>
      </c>
      <c r="Q29" s="927">
        <v>45043</v>
      </c>
      <c r="R29" s="1012" t="s">
        <v>4220</v>
      </c>
      <c r="S29" s="933"/>
      <c r="T29" s="1534"/>
      <c r="U29" s="926"/>
    </row>
    <row r="30" spans="1:21" ht="39" customHeight="1">
      <c r="A30" s="926" t="s">
        <v>2476</v>
      </c>
      <c r="B30" s="927">
        <v>45043</v>
      </c>
      <c r="C30" s="926">
        <f t="shared" si="0"/>
        <v>5</v>
      </c>
      <c r="D30" s="926">
        <f t="shared" si="1"/>
        <v>4</v>
      </c>
      <c r="E30" s="935"/>
      <c r="F30" s="926">
        <f t="shared" si="2"/>
        <v>23</v>
      </c>
      <c r="G30" s="1013" t="s">
        <v>5719</v>
      </c>
      <c r="H30" s="929" t="s">
        <v>3135</v>
      </c>
      <c r="I30" s="929"/>
      <c r="J30" s="1705"/>
      <c r="K30" s="176"/>
      <c r="L30" s="5"/>
      <c r="M30" s="1175" t="s">
        <v>2500</v>
      </c>
      <c r="N30" s="3" t="s">
        <v>1975</v>
      </c>
      <c r="O30" s="929" t="s">
        <v>5718</v>
      </c>
      <c r="P30" s="927">
        <v>45043</v>
      </c>
      <c r="Q30" s="927">
        <v>45043</v>
      </c>
      <c r="R30" s="1012" t="s">
        <v>4220</v>
      </c>
      <c r="S30" s="933"/>
      <c r="T30" s="1534"/>
      <c r="U30" s="926"/>
    </row>
    <row r="31" spans="1:21" ht="40.5" customHeight="1">
      <c r="A31" s="926" t="s">
        <v>2476</v>
      </c>
      <c r="B31" s="927">
        <v>45043</v>
      </c>
      <c r="C31" s="926">
        <f t="shared" si="0"/>
        <v>5</v>
      </c>
      <c r="D31" s="926">
        <f t="shared" si="1"/>
        <v>4</v>
      </c>
      <c r="E31" s="935"/>
      <c r="F31" s="926">
        <f t="shared" si="2"/>
        <v>24</v>
      </c>
      <c r="G31" s="1013" t="s">
        <v>5721</v>
      </c>
      <c r="H31" s="929"/>
      <c r="I31" s="929" t="s">
        <v>551</v>
      </c>
      <c r="J31" s="1705"/>
      <c r="K31" s="176"/>
      <c r="L31" s="5"/>
      <c r="M31" s="1175" t="s">
        <v>2636</v>
      </c>
      <c r="N31" s="3" t="s">
        <v>2524</v>
      </c>
      <c r="O31" s="929" t="s">
        <v>247</v>
      </c>
      <c r="P31" s="927">
        <v>45043</v>
      </c>
      <c r="Q31" s="927">
        <v>45043</v>
      </c>
      <c r="R31" s="1012" t="s">
        <v>4220</v>
      </c>
      <c r="S31" s="933"/>
      <c r="T31" s="1534"/>
      <c r="U31" s="926"/>
    </row>
    <row r="32" spans="1:21" ht="43.5" customHeight="1">
      <c r="A32" s="926" t="s">
        <v>2476</v>
      </c>
      <c r="B32" s="927">
        <v>45043</v>
      </c>
      <c r="C32" s="926">
        <f t="shared" si="0"/>
        <v>5</v>
      </c>
      <c r="D32" s="926">
        <f t="shared" si="1"/>
        <v>4</v>
      </c>
      <c r="E32" s="935"/>
      <c r="F32" s="926">
        <f t="shared" si="2"/>
        <v>25</v>
      </c>
      <c r="G32" s="1013" t="s">
        <v>5722</v>
      </c>
      <c r="H32" s="929"/>
      <c r="I32" s="929" t="s">
        <v>551</v>
      </c>
      <c r="J32" s="1705"/>
      <c r="K32" s="176"/>
      <c r="L32" s="5"/>
      <c r="M32" s="1175" t="s">
        <v>2488</v>
      </c>
      <c r="N32" s="3" t="s">
        <v>1975</v>
      </c>
      <c r="O32" s="929" t="s">
        <v>247</v>
      </c>
      <c r="P32" s="927">
        <v>45043</v>
      </c>
      <c r="Q32" s="927">
        <v>45043</v>
      </c>
      <c r="R32" s="1012" t="s">
        <v>4220</v>
      </c>
      <c r="S32" s="933"/>
      <c r="T32" s="1534" t="s">
        <v>5723</v>
      </c>
      <c r="U32" s="926"/>
    </row>
    <row r="33" spans="1:21" ht="45" customHeight="1">
      <c r="A33" s="926" t="s">
        <v>2476</v>
      </c>
      <c r="B33" s="927">
        <v>45043</v>
      </c>
      <c r="C33" s="926">
        <f t="shared" si="0"/>
        <v>5</v>
      </c>
      <c r="D33" s="926">
        <f t="shared" si="1"/>
        <v>4</v>
      </c>
      <c r="E33" s="935"/>
      <c r="F33" s="926">
        <f t="shared" si="2"/>
        <v>26</v>
      </c>
      <c r="G33" s="1013" t="s">
        <v>5724</v>
      </c>
      <c r="H33" s="929"/>
      <c r="I33" s="929" t="s">
        <v>551</v>
      </c>
      <c r="J33" s="1705"/>
      <c r="K33" s="176"/>
      <c r="L33" s="5"/>
      <c r="M33" s="1175" t="s">
        <v>4770</v>
      </c>
      <c r="N33" s="3" t="s">
        <v>2524</v>
      </c>
      <c r="O33" s="929" t="s">
        <v>247</v>
      </c>
      <c r="P33" s="927">
        <v>45043</v>
      </c>
      <c r="Q33" s="927">
        <v>45043</v>
      </c>
      <c r="R33" s="1012" t="s">
        <v>4220</v>
      </c>
      <c r="S33" s="933"/>
      <c r="T33" s="1534" t="s">
        <v>5723</v>
      </c>
      <c r="U33" s="926"/>
    </row>
    <row r="34" spans="1:21" ht="57" customHeight="1">
      <c r="A34" s="926" t="s">
        <v>2476</v>
      </c>
      <c r="B34" s="927">
        <v>45043</v>
      </c>
      <c r="C34" s="926">
        <f t="shared" si="0"/>
        <v>5</v>
      </c>
      <c r="D34" s="926">
        <v>5</v>
      </c>
      <c r="E34" s="935"/>
      <c r="F34" s="926">
        <f t="shared" si="2"/>
        <v>27</v>
      </c>
      <c r="G34" s="1013" t="s">
        <v>5725</v>
      </c>
      <c r="H34" s="929"/>
      <c r="I34" s="929" t="s">
        <v>551</v>
      </c>
      <c r="J34" s="1705"/>
      <c r="K34" s="176"/>
      <c r="L34" s="5"/>
      <c r="M34" s="1175" t="s">
        <v>3141</v>
      </c>
      <c r="N34" s="3" t="s">
        <v>1975</v>
      </c>
      <c r="O34" s="929" t="s">
        <v>867</v>
      </c>
      <c r="P34" s="927">
        <v>45043</v>
      </c>
      <c r="Q34" s="927">
        <v>45043</v>
      </c>
      <c r="R34" s="1012" t="s">
        <v>4220</v>
      </c>
      <c r="S34" s="933"/>
      <c r="T34" s="1534" t="s">
        <v>5723</v>
      </c>
      <c r="U34" s="926"/>
    </row>
    <row r="35" spans="1:21" ht="57" customHeight="1">
      <c r="A35" s="926" t="s">
        <v>2476</v>
      </c>
      <c r="B35" s="927">
        <v>45043</v>
      </c>
      <c r="C35" s="926">
        <f t="shared" si="0"/>
        <v>5</v>
      </c>
      <c r="D35" s="926">
        <f t="shared" si="1"/>
        <v>5</v>
      </c>
      <c r="E35" s="935"/>
      <c r="F35" s="926">
        <f t="shared" si="2"/>
        <v>28</v>
      </c>
      <c r="G35" s="1013" t="s">
        <v>5726</v>
      </c>
      <c r="H35" s="929"/>
      <c r="I35" s="929" t="s">
        <v>551</v>
      </c>
      <c r="J35" s="1705"/>
      <c r="K35" s="176"/>
      <c r="L35" s="5"/>
      <c r="M35" s="1175" t="s">
        <v>2641</v>
      </c>
      <c r="N35" s="3" t="s">
        <v>2538</v>
      </c>
      <c r="O35" s="929" t="s">
        <v>77</v>
      </c>
      <c r="P35" s="927">
        <v>45043</v>
      </c>
      <c r="Q35" s="927">
        <v>45043</v>
      </c>
      <c r="R35" s="1012" t="s">
        <v>4220</v>
      </c>
      <c r="S35" s="933"/>
      <c r="T35" s="1534"/>
      <c r="U35" s="926"/>
    </row>
    <row r="36" spans="1:21" ht="69" customHeight="1">
      <c r="A36" s="926" t="s">
        <v>2476</v>
      </c>
      <c r="B36" s="927">
        <v>45043</v>
      </c>
      <c r="C36" s="926">
        <f t="shared" si="0"/>
        <v>5</v>
      </c>
      <c r="D36" s="926">
        <f t="shared" si="1"/>
        <v>5</v>
      </c>
      <c r="E36" s="935"/>
      <c r="F36" s="926">
        <f t="shared" si="2"/>
        <v>29</v>
      </c>
      <c r="G36" s="1013" t="s">
        <v>5727</v>
      </c>
      <c r="H36" s="929"/>
      <c r="I36" s="929"/>
      <c r="J36" s="1705"/>
      <c r="K36" s="176"/>
      <c r="L36" s="5"/>
      <c r="M36" s="1175" t="s">
        <v>5418</v>
      </c>
      <c r="N36" s="3" t="s">
        <v>2538</v>
      </c>
      <c r="O36" s="929" t="s">
        <v>77</v>
      </c>
      <c r="P36" s="927">
        <v>45043</v>
      </c>
      <c r="Q36" s="927">
        <v>45043</v>
      </c>
      <c r="R36" s="1012" t="s">
        <v>4220</v>
      </c>
      <c r="S36" s="933"/>
      <c r="T36" s="1534"/>
      <c r="U36" s="926"/>
    </row>
    <row r="37" spans="1:21" ht="72" customHeight="1">
      <c r="A37" s="926" t="s">
        <v>2476</v>
      </c>
      <c r="B37" s="927">
        <v>45043</v>
      </c>
      <c r="C37" s="926">
        <f t="shared" si="0"/>
        <v>5</v>
      </c>
      <c r="D37" s="926">
        <f t="shared" si="1"/>
        <v>5</v>
      </c>
      <c r="E37" s="935"/>
      <c r="F37" s="926">
        <f t="shared" si="2"/>
        <v>30</v>
      </c>
      <c r="G37" s="1013" t="s">
        <v>5728</v>
      </c>
      <c r="H37" s="929"/>
      <c r="I37" s="929"/>
      <c r="J37" s="1705"/>
      <c r="K37" s="176"/>
      <c r="L37" s="5"/>
      <c r="M37" s="1175" t="s">
        <v>2619</v>
      </c>
      <c r="N37" s="3" t="s">
        <v>2524</v>
      </c>
      <c r="O37" s="929" t="s">
        <v>77</v>
      </c>
      <c r="P37" s="927">
        <v>45043</v>
      </c>
      <c r="Q37" s="927">
        <v>45043</v>
      </c>
      <c r="R37" s="1012" t="s">
        <v>4220</v>
      </c>
      <c r="S37" s="933"/>
      <c r="T37" s="1534"/>
      <c r="U37" s="926"/>
    </row>
    <row r="38" spans="1:21" ht="57" customHeight="1">
      <c r="A38" s="926" t="s">
        <v>2476</v>
      </c>
      <c r="B38" s="927">
        <v>45043</v>
      </c>
      <c r="C38" s="926">
        <f t="shared" si="0"/>
        <v>5</v>
      </c>
      <c r="D38" s="926">
        <f t="shared" si="1"/>
        <v>5</v>
      </c>
      <c r="E38" s="935"/>
      <c r="F38" s="926">
        <f t="shared" si="2"/>
        <v>31</v>
      </c>
      <c r="G38" s="1013" t="s">
        <v>5729</v>
      </c>
      <c r="H38" s="929"/>
      <c r="I38" s="929"/>
      <c r="J38" s="1705"/>
      <c r="K38" s="176"/>
      <c r="L38" s="5"/>
      <c r="M38" s="1175" t="s">
        <v>2535</v>
      </c>
      <c r="N38" s="3" t="s">
        <v>2524</v>
      </c>
      <c r="O38" s="929" t="s">
        <v>77</v>
      </c>
      <c r="P38" s="927">
        <v>45043</v>
      </c>
      <c r="Q38" s="927">
        <v>45043</v>
      </c>
      <c r="R38" s="1012" t="s">
        <v>4220</v>
      </c>
      <c r="S38" s="933"/>
      <c r="T38" s="1534"/>
      <c r="U38" s="926"/>
    </row>
    <row r="39" spans="1:21" ht="57" customHeight="1">
      <c r="A39" s="926" t="s">
        <v>2476</v>
      </c>
      <c r="B39" s="927">
        <v>45043</v>
      </c>
      <c r="C39" s="926">
        <f t="shared" si="0"/>
        <v>5</v>
      </c>
      <c r="D39" s="926">
        <f t="shared" si="1"/>
        <v>5</v>
      </c>
      <c r="E39" s="935"/>
      <c r="F39" s="926">
        <f t="shared" si="2"/>
        <v>32</v>
      </c>
      <c r="G39" s="1013" t="s">
        <v>5730</v>
      </c>
      <c r="H39" s="929"/>
      <c r="I39" s="929"/>
      <c r="J39" s="1705"/>
      <c r="K39" s="176"/>
      <c r="L39" s="5"/>
      <c r="M39" s="1175" t="s">
        <v>2535</v>
      </c>
      <c r="N39" s="3" t="s">
        <v>2524</v>
      </c>
      <c r="O39" s="929" t="s">
        <v>77</v>
      </c>
      <c r="P39" s="927">
        <v>45043</v>
      </c>
      <c r="Q39" s="927">
        <v>45043</v>
      </c>
      <c r="R39" s="1012" t="s">
        <v>4220</v>
      </c>
      <c r="S39" s="933"/>
      <c r="T39" s="1534"/>
      <c r="U39" s="926"/>
    </row>
    <row r="40" spans="1:21" ht="57" customHeight="1">
      <c r="A40" s="926" t="s">
        <v>2476</v>
      </c>
      <c r="B40" s="927">
        <v>45043</v>
      </c>
      <c r="C40" s="926">
        <f t="shared" si="0"/>
        <v>5</v>
      </c>
      <c r="D40" s="926">
        <f t="shared" si="1"/>
        <v>5</v>
      </c>
      <c r="E40" s="935"/>
      <c r="F40" s="926">
        <f t="shared" si="2"/>
        <v>33</v>
      </c>
      <c r="G40" s="1013" t="s">
        <v>5731</v>
      </c>
      <c r="H40" s="929"/>
      <c r="I40" s="929"/>
      <c r="J40" s="1705"/>
      <c r="K40" s="176"/>
      <c r="L40" s="5"/>
      <c r="M40" s="1175" t="s">
        <v>2535</v>
      </c>
      <c r="N40" s="3" t="s">
        <v>2524</v>
      </c>
      <c r="O40" s="929" t="s">
        <v>77</v>
      </c>
      <c r="P40" s="927">
        <v>45043</v>
      </c>
      <c r="Q40" s="927">
        <v>45043</v>
      </c>
      <c r="R40" s="1012" t="s">
        <v>4220</v>
      </c>
      <c r="S40" s="933"/>
      <c r="T40" s="1534"/>
      <c r="U40" s="926"/>
    </row>
    <row r="41" spans="1:21" ht="57" customHeight="1">
      <c r="A41" s="926" t="s">
        <v>2476</v>
      </c>
      <c r="B41" s="927">
        <v>45043</v>
      </c>
      <c r="C41" s="926">
        <f t="shared" si="0"/>
        <v>5</v>
      </c>
      <c r="D41" s="926">
        <f t="shared" si="1"/>
        <v>5</v>
      </c>
      <c r="E41" s="935"/>
      <c r="F41" s="926">
        <f t="shared" si="2"/>
        <v>34</v>
      </c>
      <c r="G41" s="1013" t="s">
        <v>5732</v>
      </c>
      <c r="H41" s="929"/>
      <c r="I41" s="929"/>
      <c r="J41" s="1705"/>
      <c r="K41" s="176"/>
      <c r="L41" s="5"/>
      <c r="M41" s="1175" t="s">
        <v>5324</v>
      </c>
      <c r="N41" s="3" t="s">
        <v>1975</v>
      </c>
      <c r="O41" s="929" t="s">
        <v>77</v>
      </c>
      <c r="P41" s="927">
        <v>45043</v>
      </c>
      <c r="Q41" s="927">
        <v>45043</v>
      </c>
      <c r="R41" s="1012" t="s">
        <v>4220</v>
      </c>
      <c r="S41" s="933"/>
      <c r="T41" s="1534"/>
      <c r="U41" s="926"/>
    </row>
    <row r="42" spans="1:21" ht="57" customHeight="1">
      <c r="A42" s="926" t="s">
        <v>2476</v>
      </c>
      <c r="B42" s="927">
        <v>45043</v>
      </c>
      <c r="C42" s="926">
        <f t="shared" si="0"/>
        <v>5</v>
      </c>
      <c r="D42" s="926">
        <f t="shared" si="1"/>
        <v>5</v>
      </c>
      <c r="E42" s="935"/>
      <c r="F42" s="926">
        <f t="shared" si="2"/>
        <v>35</v>
      </c>
      <c r="G42" s="1013" t="s">
        <v>5733</v>
      </c>
      <c r="H42" s="929"/>
      <c r="I42" s="929"/>
      <c r="J42" s="1705"/>
      <c r="K42" s="176"/>
      <c r="L42" s="5"/>
      <c r="M42" s="1175" t="s">
        <v>2566</v>
      </c>
      <c r="N42" s="3" t="s">
        <v>2577</v>
      </c>
      <c r="O42" s="929" t="s">
        <v>77</v>
      </c>
      <c r="P42" s="927">
        <v>45043</v>
      </c>
      <c r="Q42" s="927">
        <v>45043</v>
      </c>
      <c r="R42" s="1012" t="s">
        <v>4220</v>
      </c>
      <c r="S42" s="933"/>
      <c r="T42" s="1534"/>
      <c r="U42" s="926"/>
    </row>
    <row r="43" spans="1:21" ht="57" customHeight="1">
      <c r="A43" s="926" t="s">
        <v>2476</v>
      </c>
      <c r="B43" s="927">
        <v>45043</v>
      </c>
      <c r="C43" s="926">
        <f t="shared" si="0"/>
        <v>5</v>
      </c>
      <c r="D43" s="926">
        <f t="shared" si="1"/>
        <v>5</v>
      </c>
      <c r="E43" s="935"/>
      <c r="F43" s="926">
        <f t="shared" si="2"/>
        <v>36</v>
      </c>
      <c r="G43" s="1013" t="s">
        <v>5734</v>
      </c>
      <c r="H43" s="929"/>
      <c r="I43" s="929"/>
      <c r="J43" s="1705"/>
      <c r="K43" s="176"/>
      <c r="L43" s="5"/>
      <c r="M43" s="1175" t="s">
        <v>2535</v>
      </c>
      <c r="N43" s="3" t="s">
        <v>1975</v>
      </c>
      <c r="O43" s="929" t="s">
        <v>77</v>
      </c>
      <c r="P43" s="927">
        <v>45043</v>
      </c>
      <c r="Q43" s="927">
        <v>45043</v>
      </c>
      <c r="R43" s="1012" t="s">
        <v>4220</v>
      </c>
      <c r="S43" s="933"/>
      <c r="T43" s="1534"/>
      <c r="U43" s="926"/>
    </row>
    <row r="44" spans="1:21" ht="57" customHeight="1">
      <c r="A44" s="926" t="s">
        <v>2476</v>
      </c>
      <c r="B44" s="927">
        <v>45043</v>
      </c>
      <c r="C44" s="926">
        <f t="shared" si="0"/>
        <v>5</v>
      </c>
      <c r="D44" s="926">
        <f t="shared" si="1"/>
        <v>5</v>
      </c>
      <c r="E44" s="935"/>
      <c r="F44" s="926">
        <f t="shared" si="2"/>
        <v>37</v>
      </c>
      <c r="G44" s="1013" t="s">
        <v>5735</v>
      </c>
      <c r="H44" s="929"/>
      <c r="I44" s="929"/>
      <c r="J44" s="1705"/>
      <c r="K44" s="176"/>
      <c r="L44" s="5"/>
      <c r="M44" s="1175" t="s">
        <v>2714</v>
      </c>
      <c r="N44" s="3" t="s">
        <v>1975</v>
      </c>
      <c r="O44" s="929" t="s">
        <v>77</v>
      </c>
      <c r="P44" s="927">
        <v>45043</v>
      </c>
      <c r="Q44" s="927">
        <v>45043</v>
      </c>
      <c r="R44" s="1012" t="s">
        <v>4220</v>
      </c>
      <c r="S44" s="933"/>
      <c r="T44" s="1534"/>
      <c r="U44" s="926"/>
    </row>
    <row r="45" spans="1:21" ht="57" customHeight="1">
      <c r="A45" s="926" t="s">
        <v>2476</v>
      </c>
      <c r="B45" s="927">
        <v>45043</v>
      </c>
      <c r="C45" s="926">
        <f t="shared" si="0"/>
        <v>5</v>
      </c>
      <c r="D45" s="926">
        <f t="shared" si="1"/>
        <v>5</v>
      </c>
      <c r="E45" s="935"/>
      <c r="F45" s="926">
        <f t="shared" si="2"/>
        <v>38</v>
      </c>
      <c r="G45" s="1013" t="s">
        <v>5736</v>
      </c>
      <c r="H45" s="929"/>
      <c r="I45" s="929"/>
      <c r="J45" s="1705"/>
      <c r="K45" s="176"/>
      <c r="L45" s="5"/>
      <c r="M45" s="1175" t="s">
        <v>4779</v>
      </c>
      <c r="N45" s="3" t="s">
        <v>1976</v>
      </c>
      <c r="O45" s="929" t="s">
        <v>77</v>
      </c>
      <c r="P45" s="927">
        <v>45043</v>
      </c>
      <c r="Q45" s="927">
        <v>45043</v>
      </c>
      <c r="R45" s="1012" t="s">
        <v>4220</v>
      </c>
      <c r="S45" s="933"/>
      <c r="T45" s="1534"/>
      <c r="U45" s="926"/>
    </row>
    <row r="46" spans="1:21" ht="57" customHeight="1">
      <c r="A46" s="926" t="s">
        <v>2476</v>
      </c>
      <c r="B46" s="927">
        <v>45043</v>
      </c>
      <c r="C46" s="926">
        <f t="shared" si="0"/>
        <v>5</v>
      </c>
      <c r="D46" s="926">
        <f t="shared" si="1"/>
        <v>5</v>
      </c>
      <c r="E46" s="935"/>
      <c r="F46" s="926">
        <f t="shared" si="2"/>
        <v>39</v>
      </c>
      <c r="G46" s="1013" t="s">
        <v>5737</v>
      </c>
      <c r="H46" s="929"/>
      <c r="I46" s="929" t="s">
        <v>551</v>
      </c>
      <c r="J46" s="1705"/>
      <c r="K46" s="176"/>
      <c r="L46" s="5"/>
      <c r="M46" s="1175" t="s">
        <v>4897</v>
      </c>
      <c r="N46" s="3" t="s">
        <v>2538</v>
      </c>
      <c r="O46" s="929" t="s">
        <v>77</v>
      </c>
      <c r="P46" s="927">
        <v>45043</v>
      </c>
      <c r="Q46" s="927">
        <v>45043</v>
      </c>
      <c r="R46" s="1012" t="s">
        <v>4220</v>
      </c>
      <c r="S46" s="933"/>
      <c r="T46" s="1534"/>
      <c r="U46" s="926"/>
    </row>
    <row r="47" spans="1:21" ht="57" customHeight="1">
      <c r="A47" s="926" t="s">
        <v>2476</v>
      </c>
      <c r="B47" s="927">
        <v>45043</v>
      </c>
      <c r="C47" s="926">
        <f t="shared" si="0"/>
        <v>5</v>
      </c>
      <c r="D47" s="926">
        <f t="shared" si="1"/>
        <v>5</v>
      </c>
      <c r="E47" s="935"/>
      <c r="F47" s="926">
        <f t="shared" si="2"/>
        <v>40</v>
      </c>
      <c r="G47" s="1013" t="s">
        <v>5738</v>
      </c>
      <c r="H47" s="929"/>
      <c r="I47" s="929" t="s">
        <v>551</v>
      </c>
      <c r="J47" s="1705"/>
      <c r="K47" s="176"/>
      <c r="L47" s="5"/>
      <c r="M47" s="1175" t="s">
        <v>5324</v>
      </c>
      <c r="N47" s="3" t="s">
        <v>1975</v>
      </c>
      <c r="O47" s="929" t="s">
        <v>77</v>
      </c>
      <c r="P47" s="927">
        <v>45043</v>
      </c>
      <c r="Q47" s="927">
        <v>45043</v>
      </c>
      <c r="R47" s="1012" t="s">
        <v>4220</v>
      </c>
      <c r="S47" s="933"/>
      <c r="T47" s="1534"/>
      <c r="U47" s="926"/>
    </row>
    <row r="48" spans="1:21" ht="57" customHeight="1">
      <c r="A48" s="926" t="s">
        <v>2476</v>
      </c>
      <c r="B48" s="927">
        <v>45043</v>
      </c>
      <c r="C48" s="926">
        <f t="shared" si="0"/>
        <v>5</v>
      </c>
      <c r="D48" s="926">
        <f t="shared" si="1"/>
        <v>5</v>
      </c>
      <c r="E48" s="935"/>
      <c r="F48" s="926">
        <f t="shared" si="2"/>
        <v>41</v>
      </c>
      <c r="G48" s="1013" t="s">
        <v>5739</v>
      </c>
      <c r="H48" s="929"/>
      <c r="I48" s="929"/>
      <c r="J48" s="1705"/>
      <c r="K48" s="176"/>
      <c r="L48" s="5"/>
      <c r="M48" s="1175" t="s">
        <v>5418</v>
      </c>
      <c r="N48" s="3" t="s">
        <v>2538</v>
      </c>
      <c r="O48" s="929" t="s">
        <v>77</v>
      </c>
      <c r="P48" s="927">
        <v>45043</v>
      </c>
      <c r="Q48" s="927">
        <v>45043</v>
      </c>
      <c r="R48" s="1012" t="s">
        <v>4220</v>
      </c>
      <c r="S48" s="933"/>
      <c r="T48" s="1534"/>
      <c r="U48" s="926"/>
    </row>
    <row r="49" spans="1:21" ht="57" customHeight="1">
      <c r="A49" s="926" t="s">
        <v>2476</v>
      </c>
      <c r="B49" s="927">
        <v>45043</v>
      </c>
      <c r="C49" s="926">
        <f t="shared" si="0"/>
        <v>5</v>
      </c>
      <c r="D49" s="926">
        <f t="shared" si="1"/>
        <v>5</v>
      </c>
      <c r="E49" s="935"/>
      <c r="F49" s="926">
        <f t="shared" si="2"/>
        <v>42</v>
      </c>
      <c r="G49" s="1013" t="s">
        <v>5740</v>
      </c>
      <c r="H49" s="929"/>
      <c r="I49" s="929"/>
      <c r="J49" s="1705"/>
      <c r="K49" s="176"/>
      <c r="L49" s="5"/>
      <c r="M49" s="1175" t="s">
        <v>4098</v>
      </c>
      <c r="N49" s="3" t="s">
        <v>2575</v>
      </c>
      <c r="O49" s="929" t="s">
        <v>5048</v>
      </c>
      <c r="P49" s="927">
        <v>45043</v>
      </c>
      <c r="Q49" s="927">
        <v>45043</v>
      </c>
      <c r="R49" s="1012" t="s">
        <v>4220</v>
      </c>
      <c r="S49" s="933"/>
      <c r="T49" s="1534"/>
      <c r="U49" s="926"/>
    </row>
    <row r="50" spans="1:21" ht="57" customHeight="1">
      <c r="A50" s="926" t="s">
        <v>2476</v>
      </c>
      <c r="B50" s="927">
        <v>45043</v>
      </c>
      <c r="C50" s="926">
        <f t="shared" si="0"/>
        <v>5</v>
      </c>
      <c r="D50" s="926">
        <f t="shared" si="1"/>
        <v>5</v>
      </c>
      <c r="E50" s="935"/>
      <c r="F50" s="926">
        <f t="shared" si="2"/>
        <v>43</v>
      </c>
      <c r="G50" s="1013" t="s">
        <v>5741</v>
      </c>
      <c r="H50" s="929"/>
      <c r="I50" s="929"/>
      <c r="J50" s="1705"/>
      <c r="K50" s="176"/>
      <c r="L50" s="5"/>
      <c r="M50" s="1175" t="s">
        <v>5742</v>
      </c>
      <c r="N50" s="3" t="s">
        <v>2506</v>
      </c>
      <c r="O50" s="929" t="s">
        <v>5743</v>
      </c>
      <c r="P50" s="927">
        <v>45043</v>
      </c>
      <c r="Q50" s="927">
        <v>45043</v>
      </c>
      <c r="R50" s="1012" t="s">
        <v>4220</v>
      </c>
      <c r="S50" s="933"/>
      <c r="T50" s="1534"/>
      <c r="U50" s="926"/>
    </row>
    <row r="51" spans="1:21" ht="57" customHeight="1">
      <c r="A51" s="926" t="s">
        <v>2476</v>
      </c>
      <c r="B51" s="927">
        <v>45043</v>
      </c>
      <c r="C51" s="926">
        <f t="shared" si="0"/>
        <v>5</v>
      </c>
      <c r="D51" s="926">
        <f t="shared" si="1"/>
        <v>5</v>
      </c>
      <c r="E51" s="935"/>
      <c r="F51" s="926">
        <f t="shared" si="2"/>
        <v>44</v>
      </c>
      <c r="G51" s="1013" t="s">
        <v>5744</v>
      </c>
      <c r="H51" s="929"/>
      <c r="I51" s="929"/>
      <c r="J51" s="1705"/>
      <c r="K51" s="176"/>
      <c r="L51" s="5"/>
      <c r="M51" s="1175" t="s">
        <v>4694</v>
      </c>
      <c r="N51" s="3" t="s">
        <v>2506</v>
      </c>
      <c r="O51" s="929" t="s">
        <v>5743</v>
      </c>
      <c r="P51" s="927">
        <v>45043</v>
      </c>
      <c r="Q51" s="927">
        <v>45043</v>
      </c>
      <c r="R51" s="1012" t="s">
        <v>4220</v>
      </c>
      <c r="S51" s="933"/>
      <c r="T51" s="1534"/>
      <c r="U51" s="926"/>
    </row>
    <row r="52" spans="1:21" ht="57" customHeight="1">
      <c r="A52" s="926" t="s">
        <v>2476</v>
      </c>
      <c r="B52" s="927">
        <v>45043</v>
      </c>
      <c r="C52" s="926">
        <f t="shared" si="0"/>
        <v>5</v>
      </c>
      <c r="D52" s="926">
        <f t="shared" si="1"/>
        <v>5</v>
      </c>
      <c r="E52" s="935"/>
      <c r="F52" s="926">
        <f t="shared" si="2"/>
        <v>45</v>
      </c>
      <c r="G52" s="1013" t="s">
        <v>5745</v>
      </c>
      <c r="H52" s="929"/>
      <c r="I52" s="929"/>
      <c r="J52" s="1705"/>
      <c r="K52" s="176"/>
      <c r="L52" s="5"/>
      <c r="M52" s="1175" t="s">
        <v>5746</v>
      </c>
      <c r="N52" s="3" t="s">
        <v>2663</v>
      </c>
      <c r="O52" s="929" t="s">
        <v>5743</v>
      </c>
      <c r="P52" s="927">
        <v>45043</v>
      </c>
      <c r="Q52" s="927">
        <v>45043</v>
      </c>
      <c r="R52" s="1012" t="s">
        <v>4220</v>
      </c>
      <c r="S52" s="933"/>
      <c r="T52" s="1534"/>
      <c r="U52" s="926"/>
    </row>
    <row r="53" spans="1:21" ht="72" customHeight="1">
      <c r="A53" s="926" t="s">
        <v>2476</v>
      </c>
      <c r="B53" s="927">
        <v>45043</v>
      </c>
      <c r="C53" s="926">
        <f t="shared" si="0"/>
        <v>5</v>
      </c>
      <c r="D53" s="926">
        <f t="shared" si="1"/>
        <v>5</v>
      </c>
      <c r="E53" s="935"/>
      <c r="F53" s="926">
        <f t="shared" si="2"/>
        <v>46</v>
      </c>
      <c r="G53" s="1013" t="s">
        <v>5747</v>
      </c>
      <c r="H53" s="929"/>
      <c r="I53" s="929"/>
      <c r="J53" s="1705"/>
      <c r="K53" s="176"/>
      <c r="L53" s="5"/>
      <c r="M53" s="1175" t="s">
        <v>5710</v>
      </c>
      <c r="N53" s="3" t="s">
        <v>2663</v>
      </c>
      <c r="O53" s="929" t="s">
        <v>5743</v>
      </c>
      <c r="P53" s="927">
        <v>45043</v>
      </c>
      <c r="Q53" s="927">
        <v>45043</v>
      </c>
      <c r="R53" s="1012" t="s">
        <v>4220</v>
      </c>
      <c r="S53" s="933"/>
      <c r="T53" s="1534"/>
      <c r="U53" s="926"/>
    </row>
    <row r="54" spans="1:21" ht="57" customHeight="1">
      <c r="A54" s="926" t="s">
        <v>2476</v>
      </c>
      <c r="B54" s="927">
        <v>45043</v>
      </c>
      <c r="C54" s="926">
        <f t="shared" si="0"/>
        <v>5</v>
      </c>
      <c r="D54" s="926">
        <f t="shared" si="1"/>
        <v>5</v>
      </c>
      <c r="E54" s="935"/>
      <c r="F54" s="926">
        <f t="shared" si="2"/>
        <v>47</v>
      </c>
      <c r="G54" s="1013" t="s">
        <v>5748</v>
      </c>
      <c r="H54" s="929"/>
      <c r="I54" s="929"/>
      <c r="J54" s="1705"/>
      <c r="K54" s="176"/>
      <c r="L54" s="5"/>
      <c r="M54" s="1175" t="s">
        <v>4685</v>
      </c>
      <c r="N54" s="3" t="s">
        <v>2506</v>
      </c>
      <c r="O54" s="929" t="s">
        <v>352</v>
      </c>
      <c r="P54" s="927">
        <v>45043</v>
      </c>
      <c r="Q54" s="927">
        <v>45043</v>
      </c>
      <c r="R54" s="1012" t="s">
        <v>4220</v>
      </c>
      <c r="S54" s="933"/>
      <c r="T54" s="1534"/>
      <c r="U54" s="926"/>
    </row>
    <row r="55" spans="1:21" ht="57" customHeight="1">
      <c r="A55" s="926" t="s">
        <v>2476</v>
      </c>
      <c r="B55" s="927">
        <v>45043</v>
      </c>
      <c r="C55" s="926">
        <f t="shared" si="0"/>
        <v>5</v>
      </c>
      <c r="D55" s="926">
        <f t="shared" si="1"/>
        <v>5</v>
      </c>
      <c r="E55" s="935"/>
      <c r="F55" s="926">
        <f t="shared" si="2"/>
        <v>48</v>
      </c>
      <c r="G55" s="1013" t="s">
        <v>5749</v>
      </c>
      <c r="H55" s="929"/>
      <c r="I55" s="929"/>
      <c r="J55" s="1705"/>
      <c r="K55" s="176"/>
      <c r="L55" s="5"/>
      <c r="M55" s="1175"/>
      <c r="N55" s="3" t="s">
        <v>2506</v>
      </c>
      <c r="O55" s="929" t="s">
        <v>352</v>
      </c>
      <c r="P55" s="927">
        <v>45043</v>
      </c>
      <c r="Q55" s="927">
        <v>45043</v>
      </c>
      <c r="R55" s="1012" t="s">
        <v>4220</v>
      </c>
      <c r="S55" s="933"/>
      <c r="T55" s="1534"/>
      <c r="U55" s="926"/>
    </row>
    <row r="56" spans="1:21" ht="57" customHeight="1">
      <c r="A56" s="926" t="s">
        <v>2476</v>
      </c>
      <c r="B56" s="927">
        <v>45043</v>
      </c>
      <c r="C56" s="926">
        <f t="shared" si="0"/>
        <v>5</v>
      </c>
      <c r="D56" s="926">
        <f t="shared" si="1"/>
        <v>5</v>
      </c>
      <c r="E56" s="935"/>
      <c r="F56" s="926">
        <f t="shared" si="2"/>
        <v>49</v>
      </c>
      <c r="G56" s="1013" t="s">
        <v>5749</v>
      </c>
      <c r="H56" s="929"/>
      <c r="I56" s="929"/>
      <c r="J56" s="1705"/>
      <c r="K56" s="176"/>
      <c r="L56" s="5"/>
      <c r="M56" s="1175"/>
      <c r="N56" s="3" t="s">
        <v>2663</v>
      </c>
      <c r="O56" s="929" t="s">
        <v>352</v>
      </c>
      <c r="P56" s="927">
        <v>45043</v>
      </c>
      <c r="Q56" s="927">
        <v>45043</v>
      </c>
      <c r="R56" s="1012" t="s">
        <v>4220</v>
      </c>
      <c r="S56" s="933"/>
      <c r="T56" s="1534"/>
      <c r="U56" s="926"/>
    </row>
    <row r="57" spans="1:21" ht="57" customHeight="1">
      <c r="A57" s="926" t="s">
        <v>2476</v>
      </c>
      <c r="B57" s="927">
        <v>45043</v>
      </c>
      <c r="C57" s="926">
        <f t="shared" si="0"/>
        <v>5</v>
      </c>
      <c r="D57" s="926">
        <f t="shared" si="1"/>
        <v>5</v>
      </c>
      <c r="E57" s="935"/>
      <c r="F57" s="926">
        <f t="shared" si="2"/>
        <v>50</v>
      </c>
      <c r="G57" s="1013" t="s">
        <v>5750</v>
      </c>
      <c r="H57" s="929"/>
      <c r="I57" s="929"/>
      <c r="J57" s="1705"/>
      <c r="K57" s="176"/>
      <c r="L57" s="5"/>
      <c r="M57" s="1175" t="s">
        <v>5342</v>
      </c>
      <c r="N57" s="3" t="s">
        <v>2538</v>
      </c>
      <c r="O57" s="929" t="s">
        <v>352</v>
      </c>
      <c r="P57" s="927">
        <v>45043</v>
      </c>
      <c r="Q57" s="927">
        <v>45043</v>
      </c>
      <c r="R57" s="1012" t="s">
        <v>4220</v>
      </c>
      <c r="S57" s="933"/>
      <c r="T57" s="1534"/>
      <c r="U57" s="926"/>
    </row>
    <row r="58" spans="1:21" ht="57" customHeight="1">
      <c r="A58" s="926" t="s">
        <v>2476</v>
      </c>
      <c r="B58" s="927">
        <v>45043</v>
      </c>
      <c r="C58" s="926">
        <f t="shared" si="0"/>
        <v>5</v>
      </c>
      <c r="D58" s="926">
        <f t="shared" si="1"/>
        <v>5</v>
      </c>
      <c r="E58" s="935"/>
      <c r="F58" s="926">
        <f t="shared" si="2"/>
        <v>51</v>
      </c>
      <c r="G58" s="1013" t="s">
        <v>5751</v>
      </c>
      <c r="H58" s="929"/>
      <c r="I58" s="929"/>
      <c r="J58" s="1705"/>
      <c r="K58" s="176"/>
      <c r="L58" s="5"/>
      <c r="M58" s="1175" t="s">
        <v>4746</v>
      </c>
      <c r="N58" s="3" t="s">
        <v>2524</v>
      </c>
      <c r="O58" s="929" t="s">
        <v>352</v>
      </c>
      <c r="P58" s="927">
        <v>45043</v>
      </c>
      <c r="Q58" s="927">
        <v>45043</v>
      </c>
      <c r="R58" s="1012" t="s">
        <v>4220</v>
      </c>
      <c r="S58" s="933"/>
      <c r="T58" s="1534"/>
      <c r="U58" s="926"/>
    </row>
    <row r="59" spans="1:21" ht="57" customHeight="1">
      <c r="A59" s="926" t="s">
        <v>2476</v>
      </c>
      <c r="B59" s="927">
        <v>45043</v>
      </c>
      <c r="C59" s="926">
        <f t="shared" si="0"/>
        <v>5</v>
      </c>
      <c r="D59" s="926">
        <f t="shared" si="1"/>
        <v>5</v>
      </c>
      <c r="E59" s="935"/>
      <c r="F59" s="926">
        <f t="shared" si="2"/>
        <v>52</v>
      </c>
      <c r="G59" s="1013" t="s">
        <v>5752</v>
      </c>
      <c r="H59" s="929"/>
      <c r="I59" s="929"/>
      <c r="J59" s="1705"/>
      <c r="K59" s="176"/>
      <c r="L59" s="5"/>
      <c r="M59" s="1175" t="s">
        <v>3159</v>
      </c>
      <c r="N59" s="3" t="s">
        <v>1975</v>
      </c>
      <c r="O59" s="929" t="s">
        <v>352</v>
      </c>
      <c r="P59" s="927">
        <v>45043</v>
      </c>
      <c r="Q59" s="927">
        <v>45043</v>
      </c>
      <c r="R59" s="1012" t="s">
        <v>4220</v>
      </c>
      <c r="S59" s="933"/>
      <c r="T59" s="1534"/>
      <c r="U59" s="926"/>
    </row>
    <row r="60" spans="1:21" ht="57" customHeight="1">
      <c r="A60" s="926" t="s">
        <v>2476</v>
      </c>
      <c r="B60" s="927">
        <v>45043</v>
      </c>
      <c r="C60" s="926">
        <f t="shared" si="0"/>
        <v>5</v>
      </c>
      <c r="D60" s="926">
        <f t="shared" si="1"/>
        <v>5</v>
      </c>
      <c r="E60" s="935"/>
      <c r="F60" s="926">
        <f t="shared" si="2"/>
        <v>53</v>
      </c>
      <c r="G60" s="1013" t="s">
        <v>5753</v>
      </c>
      <c r="H60" s="929"/>
      <c r="I60" s="929"/>
      <c r="J60" s="1705"/>
      <c r="K60" s="176"/>
      <c r="L60" s="5"/>
      <c r="M60" s="1175" t="s">
        <v>5323</v>
      </c>
      <c r="N60" s="3" t="s">
        <v>1975</v>
      </c>
      <c r="O60" s="929" t="s">
        <v>352</v>
      </c>
      <c r="P60" s="927">
        <v>45043</v>
      </c>
      <c r="Q60" s="927">
        <v>45043</v>
      </c>
      <c r="R60" s="1012" t="s">
        <v>4220</v>
      </c>
      <c r="S60" s="933"/>
      <c r="T60" s="1534"/>
      <c r="U60" s="926"/>
    </row>
    <row r="61" spans="1:21" ht="57" customHeight="1">
      <c r="A61" s="926" t="s">
        <v>2476</v>
      </c>
      <c r="B61" s="927">
        <v>45043</v>
      </c>
      <c r="C61" s="926">
        <f t="shared" si="0"/>
        <v>5</v>
      </c>
      <c r="D61" s="926">
        <f t="shared" si="1"/>
        <v>5</v>
      </c>
      <c r="E61" s="935"/>
      <c r="F61" s="926">
        <f t="shared" si="2"/>
        <v>54</v>
      </c>
      <c r="G61" s="1013" t="s">
        <v>5754</v>
      </c>
      <c r="H61" s="929"/>
      <c r="I61" s="929"/>
      <c r="J61" s="1705"/>
      <c r="K61" s="176"/>
      <c r="L61" s="5"/>
      <c r="M61" s="1175" t="s">
        <v>5315</v>
      </c>
      <c r="N61" s="3" t="s">
        <v>1975</v>
      </c>
      <c r="O61" s="929" t="s">
        <v>352</v>
      </c>
      <c r="P61" s="927">
        <v>45043</v>
      </c>
      <c r="Q61" s="927">
        <v>45043</v>
      </c>
      <c r="R61" s="1012" t="s">
        <v>4220</v>
      </c>
      <c r="S61" s="933"/>
      <c r="T61" s="1534"/>
      <c r="U61" s="926"/>
    </row>
    <row r="62" spans="1:21" ht="57" customHeight="1">
      <c r="A62" s="926" t="s">
        <v>2476</v>
      </c>
      <c r="B62" s="927">
        <v>45043</v>
      </c>
      <c r="C62" s="926">
        <f t="shared" si="0"/>
        <v>5</v>
      </c>
      <c r="D62" s="926">
        <f t="shared" si="1"/>
        <v>5</v>
      </c>
      <c r="E62" s="935"/>
      <c r="F62" s="926">
        <f t="shared" si="2"/>
        <v>55</v>
      </c>
      <c r="G62" s="1013" t="s">
        <v>5755</v>
      </c>
      <c r="H62" s="929"/>
      <c r="I62" s="929"/>
      <c r="J62" s="1705"/>
      <c r="K62" s="176"/>
      <c r="L62" s="5"/>
      <c r="M62" s="1175"/>
      <c r="N62" s="3" t="s">
        <v>1975</v>
      </c>
      <c r="O62" s="929" t="s">
        <v>352</v>
      </c>
      <c r="P62" s="927">
        <v>45043</v>
      </c>
      <c r="Q62" s="927">
        <v>45043</v>
      </c>
      <c r="R62" s="1012" t="s">
        <v>4220</v>
      </c>
      <c r="S62" s="933"/>
      <c r="T62" s="1534"/>
      <c r="U62" s="926"/>
    </row>
    <row r="63" spans="1:21" ht="57" customHeight="1">
      <c r="A63" s="926" t="s">
        <v>2476</v>
      </c>
      <c r="B63" s="927">
        <v>45043</v>
      </c>
      <c r="C63" s="926">
        <f t="shared" si="0"/>
        <v>5</v>
      </c>
      <c r="D63" s="926">
        <f t="shared" si="1"/>
        <v>5</v>
      </c>
      <c r="E63" s="935"/>
      <c r="F63" s="926">
        <f t="shared" si="2"/>
        <v>56</v>
      </c>
      <c r="G63" s="1013" t="s">
        <v>5756</v>
      </c>
      <c r="H63" s="929"/>
      <c r="I63" s="929"/>
      <c r="J63" s="1705"/>
      <c r="K63" s="176"/>
      <c r="L63" s="5"/>
      <c r="M63" s="1175" t="s">
        <v>4806</v>
      </c>
      <c r="N63" s="3" t="s">
        <v>1975</v>
      </c>
      <c r="O63" s="929" t="s">
        <v>352</v>
      </c>
      <c r="P63" s="927">
        <v>45043</v>
      </c>
      <c r="Q63" s="927">
        <v>45043</v>
      </c>
      <c r="R63" s="1012" t="s">
        <v>4220</v>
      </c>
      <c r="S63" s="933"/>
      <c r="T63" s="1534"/>
      <c r="U63" s="926"/>
    </row>
    <row r="64" spans="1:21" ht="57" customHeight="1">
      <c r="A64" s="926" t="s">
        <v>2476</v>
      </c>
      <c r="B64" s="927">
        <v>45043</v>
      </c>
      <c r="C64" s="926">
        <f t="shared" si="0"/>
        <v>5</v>
      </c>
      <c r="D64" s="926">
        <f t="shared" si="1"/>
        <v>5</v>
      </c>
      <c r="E64" s="935"/>
      <c r="F64" s="926">
        <f t="shared" si="2"/>
        <v>57</v>
      </c>
      <c r="G64" s="1013" t="s">
        <v>5757</v>
      </c>
      <c r="H64" s="929"/>
      <c r="I64" s="929"/>
      <c r="J64" s="1705"/>
      <c r="K64" s="176"/>
      <c r="L64" s="5"/>
      <c r="M64" s="1175" t="s">
        <v>5322</v>
      </c>
      <c r="N64" s="3" t="s">
        <v>1975</v>
      </c>
      <c r="O64" s="929" t="s">
        <v>352</v>
      </c>
      <c r="P64" s="927">
        <v>45043</v>
      </c>
      <c r="Q64" s="927">
        <v>45043</v>
      </c>
      <c r="R64" s="1012" t="s">
        <v>4220</v>
      </c>
      <c r="S64" s="933"/>
      <c r="T64" s="1534"/>
      <c r="U64" s="926"/>
    </row>
    <row r="65" spans="1:21" ht="57" customHeight="1">
      <c r="A65" s="926" t="s">
        <v>2476</v>
      </c>
      <c r="B65" s="927">
        <v>45043</v>
      </c>
      <c r="C65" s="926">
        <f t="shared" si="0"/>
        <v>5</v>
      </c>
      <c r="D65" s="926">
        <f t="shared" si="1"/>
        <v>5</v>
      </c>
      <c r="E65" s="935"/>
      <c r="F65" s="926">
        <f t="shared" si="2"/>
        <v>58</v>
      </c>
      <c r="G65" s="1013" t="s">
        <v>5758</v>
      </c>
      <c r="H65" s="929"/>
      <c r="I65" s="929"/>
      <c r="J65" s="1705"/>
      <c r="K65" s="176"/>
      <c r="L65" s="5"/>
      <c r="M65" s="1175"/>
      <c r="N65" s="3" t="s">
        <v>1975</v>
      </c>
      <c r="O65" s="929" t="s">
        <v>352</v>
      </c>
      <c r="P65" s="927">
        <v>45043</v>
      </c>
      <c r="Q65" s="927">
        <v>45043</v>
      </c>
      <c r="R65" s="1012" t="s">
        <v>4220</v>
      </c>
      <c r="S65" s="933"/>
      <c r="T65" s="1534"/>
      <c r="U65" s="926"/>
    </row>
    <row r="66" spans="1:21" ht="57" customHeight="1">
      <c r="A66" s="926" t="s">
        <v>2476</v>
      </c>
      <c r="B66" s="927">
        <v>45043</v>
      </c>
      <c r="C66" s="926">
        <f t="shared" si="0"/>
        <v>5</v>
      </c>
      <c r="D66" s="926">
        <v>6</v>
      </c>
      <c r="E66" s="935"/>
      <c r="F66" s="926">
        <f t="shared" si="2"/>
        <v>59</v>
      </c>
      <c r="G66" s="1013" t="s">
        <v>5759</v>
      </c>
      <c r="H66" s="929"/>
      <c r="I66" s="929"/>
      <c r="J66" s="1705"/>
      <c r="K66" s="176"/>
      <c r="L66" s="5"/>
      <c r="M66" s="1175"/>
      <c r="N66" s="3" t="s">
        <v>2604</v>
      </c>
      <c r="O66" s="929" t="s">
        <v>352</v>
      </c>
      <c r="P66" s="927">
        <v>45043</v>
      </c>
      <c r="Q66" s="927">
        <v>45043</v>
      </c>
      <c r="R66" s="1012" t="s">
        <v>4220</v>
      </c>
      <c r="S66" s="933"/>
      <c r="T66" s="1534"/>
      <c r="U66" s="926"/>
    </row>
    <row r="67" spans="1:21" ht="57" customHeight="1">
      <c r="A67" s="926" t="s">
        <v>2476</v>
      </c>
      <c r="B67" s="927">
        <v>45043</v>
      </c>
      <c r="C67" s="926">
        <f t="shared" si="0"/>
        <v>5</v>
      </c>
      <c r="D67" s="926">
        <f t="shared" si="1"/>
        <v>6</v>
      </c>
      <c r="E67" s="935"/>
      <c r="F67" s="926">
        <f t="shared" si="2"/>
        <v>60</v>
      </c>
      <c r="G67" s="1013" t="s">
        <v>5760</v>
      </c>
      <c r="H67" s="929"/>
      <c r="I67" s="929"/>
      <c r="J67" s="1705"/>
      <c r="K67" s="176"/>
      <c r="L67" s="5"/>
      <c r="M67" s="1175" t="s">
        <v>3419</v>
      </c>
      <c r="N67" s="3" t="s">
        <v>2604</v>
      </c>
      <c r="O67" s="929" t="s">
        <v>352</v>
      </c>
      <c r="P67" s="927">
        <v>45043</v>
      </c>
      <c r="Q67" s="927">
        <v>45043</v>
      </c>
      <c r="R67" s="1012" t="s">
        <v>4220</v>
      </c>
      <c r="S67" s="933"/>
      <c r="T67" s="1534"/>
      <c r="U67" s="926"/>
    </row>
    <row r="68" spans="1:21" ht="57" customHeight="1">
      <c r="A68" s="926" t="s">
        <v>2476</v>
      </c>
      <c r="B68" s="927">
        <v>45043</v>
      </c>
      <c r="C68" s="926">
        <f t="shared" si="0"/>
        <v>5</v>
      </c>
      <c r="D68" s="926">
        <f t="shared" si="1"/>
        <v>6</v>
      </c>
      <c r="E68" s="935"/>
      <c r="F68" s="926">
        <f t="shared" si="2"/>
        <v>61</v>
      </c>
      <c r="G68" s="1013" t="s">
        <v>5761</v>
      </c>
      <c r="H68" s="929"/>
      <c r="I68" s="929"/>
      <c r="J68" s="1705"/>
      <c r="K68" s="176"/>
      <c r="L68" s="5"/>
      <c r="M68" s="1175"/>
      <c r="N68" s="3" t="s">
        <v>2512</v>
      </c>
      <c r="O68" s="929" t="s">
        <v>352</v>
      </c>
      <c r="P68" s="927">
        <v>45043</v>
      </c>
      <c r="Q68" s="927">
        <v>45043</v>
      </c>
      <c r="R68" s="1012" t="s">
        <v>4220</v>
      </c>
      <c r="S68" s="933"/>
      <c r="T68" s="1534"/>
      <c r="U68" s="926"/>
    </row>
    <row r="69" spans="1:21" ht="57" customHeight="1">
      <c r="A69" s="926" t="s">
        <v>2476</v>
      </c>
      <c r="B69" s="927">
        <v>45043</v>
      </c>
      <c r="C69" s="926">
        <f t="shared" si="0"/>
        <v>5</v>
      </c>
      <c r="D69" s="926">
        <f t="shared" si="1"/>
        <v>6</v>
      </c>
      <c r="E69" s="935"/>
      <c r="F69" s="926">
        <f t="shared" si="2"/>
        <v>62</v>
      </c>
      <c r="G69" s="1013" t="s">
        <v>5762</v>
      </c>
      <c r="H69" s="929"/>
      <c r="I69" s="929"/>
      <c r="J69" s="1705"/>
      <c r="K69" s="176"/>
      <c r="L69" s="5"/>
      <c r="M69" s="1175"/>
      <c r="N69" s="3" t="s">
        <v>2538</v>
      </c>
      <c r="O69" s="929" t="s">
        <v>5763</v>
      </c>
      <c r="P69" s="927">
        <v>45043</v>
      </c>
      <c r="Q69" s="927">
        <v>45043</v>
      </c>
      <c r="R69" s="1012" t="s">
        <v>4220</v>
      </c>
      <c r="S69" s="933"/>
      <c r="T69" s="1534"/>
      <c r="U69" s="926"/>
    </row>
    <row r="70" spans="1:21" ht="57" customHeight="1">
      <c r="A70" s="926" t="s">
        <v>2476</v>
      </c>
      <c r="B70" s="927">
        <v>45043</v>
      </c>
      <c r="C70" s="926">
        <f t="shared" si="0"/>
        <v>5</v>
      </c>
      <c r="D70" s="926">
        <f t="shared" si="1"/>
        <v>6</v>
      </c>
      <c r="E70" s="935"/>
      <c r="F70" s="926">
        <f t="shared" si="2"/>
        <v>63</v>
      </c>
      <c r="G70" s="1013" t="s">
        <v>5764</v>
      </c>
      <c r="H70" s="929"/>
      <c r="I70" s="929"/>
      <c r="J70" s="1705"/>
      <c r="K70" s="176"/>
      <c r="L70" s="5"/>
      <c r="M70" s="1175"/>
      <c r="N70" s="3" t="s">
        <v>2524</v>
      </c>
      <c r="O70" s="929" t="s">
        <v>5765</v>
      </c>
      <c r="P70" s="927">
        <v>45043</v>
      </c>
      <c r="Q70" s="927">
        <v>45043</v>
      </c>
      <c r="R70" s="1012" t="s">
        <v>4220</v>
      </c>
      <c r="S70" s="933"/>
      <c r="T70" s="1534"/>
      <c r="U70" s="926"/>
    </row>
    <row r="71" spans="1:21" ht="57" customHeight="1">
      <c r="A71" s="926" t="s">
        <v>2476</v>
      </c>
      <c r="B71" s="927">
        <v>45043</v>
      </c>
      <c r="C71" s="926">
        <f t="shared" si="0"/>
        <v>5</v>
      </c>
      <c r="D71" s="926">
        <f t="shared" si="1"/>
        <v>6</v>
      </c>
      <c r="E71" s="935"/>
      <c r="F71" s="926">
        <f t="shared" si="2"/>
        <v>64</v>
      </c>
      <c r="G71" s="1013" t="s">
        <v>5766</v>
      </c>
      <c r="H71" s="929"/>
      <c r="I71" s="929"/>
      <c r="J71" s="1705"/>
      <c r="K71" s="176"/>
      <c r="L71" s="5"/>
      <c r="M71" s="1175"/>
      <c r="N71" s="3" t="s">
        <v>2532</v>
      </c>
      <c r="O71" s="929" t="s">
        <v>5765</v>
      </c>
      <c r="P71" s="927">
        <v>45043</v>
      </c>
      <c r="Q71" s="927">
        <v>45043</v>
      </c>
      <c r="R71" s="1012" t="s">
        <v>4220</v>
      </c>
      <c r="S71" s="933"/>
      <c r="T71" s="1534"/>
      <c r="U71" s="926"/>
    </row>
    <row r="72" spans="1:21" ht="57" customHeight="1">
      <c r="A72" s="926" t="s">
        <v>2476</v>
      </c>
      <c r="B72" s="927">
        <v>45043</v>
      </c>
      <c r="C72" s="926">
        <f t="shared" si="0"/>
        <v>5</v>
      </c>
      <c r="D72" s="926">
        <f t="shared" si="1"/>
        <v>6</v>
      </c>
      <c r="E72" s="935"/>
      <c r="F72" s="926">
        <f t="shared" si="2"/>
        <v>65</v>
      </c>
      <c r="G72" s="1013" t="s">
        <v>5767</v>
      </c>
      <c r="H72" s="929"/>
      <c r="I72" s="929"/>
      <c r="J72" s="1705"/>
      <c r="K72" s="176"/>
      <c r="L72" s="5"/>
      <c r="M72" s="1175"/>
      <c r="N72" s="3" t="s">
        <v>1975</v>
      </c>
      <c r="O72" s="929" t="s">
        <v>5765</v>
      </c>
      <c r="P72" s="927">
        <v>45043</v>
      </c>
      <c r="Q72" s="927">
        <v>45043</v>
      </c>
      <c r="R72" s="1012" t="s">
        <v>4220</v>
      </c>
      <c r="S72" s="933"/>
      <c r="T72" s="1534"/>
      <c r="U72" s="926"/>
    </row>
    <row r="73" spans="1:21" ht="57" customHeight="1">
      <c r="A73" s="926" t="s">
        <v>2476</v>
      </c>
      <c r="B73" s="927">
        <v>45043</v>
      </c>
      <c r="C73" s="926">
        <f t="shared" si="0"/>
        <v>5</v>
      </c>
      <c r="D73" s="926">
        <f t="shared" si="1"/>
        <v>6</v>
      </c>
      <c r="E73" s="935"/>
      <c r="F73" s="926">
        <f t="shared" si="2"/>
        <v>66</v>
      </c>
      <c r="G73" s="1013" t="s">
        <v>5768</v>
      </c>
      <c r="H73" s="929"/>
      <c r="I73" s="929"/>
      <c r="J73" s="1705"/>
      <c r="K73" s="176"/>
      <c r="L73" s="5"/>
      <c r="M73" s="1175" t="s">
        <v>2494</v>
      </c>
      <c r="N73" s="3" t="s">
        <v>2524</v>
      </c>
      <c r="O73" s="929" t="s">
        <v>5769</v>
      </c>
      <c r="P73" s="927">
        <v>45043</v>
      </c>
      <c r="Q73" s="927">
        <v>45043</v>
      </c>
      <c r="R73" s="1012" t="s">
        <v>4220</v>
      </c>
      <c r="S73" s="933"/>
      <c r="T73" s="1534"/>
      <c r="U73" s="926"/>
    </row>
    <row r="74" spans="1:21" ht="57" customHeight="1">
      <c r="A74" s="926" t="s">
        <v>2476</v>
      </c>
      <c r="B74" s="927">
        <v>44909</v>
      </c>
      <c r="C74" s="926">
        <v>4</v>
      </c>
      <c r="D74" s="926">
        <v>4</v>
      </c>
      <c r="E74" s="935"/>
      <c r="F74" s="926">
        <v>1</v>
      </c>
      <c r="G74" s="1013" t="s">
        <v>5100</v>
      </c>
      <c r="H74" s="929"/>
      <c r="I74" s="929"/>
      <c r="J74" s="1705"/>
      <c r="K74" s="176"/>
      <c r="L74" s="5"/>
      <c r="M74" s="1175" t="s">
        <v>3159</v>
      </c>
      <c r="N74" s="3" t="s">
        <v>1975</v>
      </c>
      <c r="O74" s="929" t="s">
        <v>5680</v>
      </c>
      <c r="P74" s="927">
        <v>44909</v>
      </c>
      <c r="Q74" s="927">
        <v>44909</v>
      </c>
      <c r="R74" s="1012" t="s">
        <v>4220</v>
      </c>
      <c r="S74" s="933"/>
      <c r="T74" s="1700"/>
      <c r="U74" s="926"/>
    </row>
    <row r="75" spans="1:21" ht="57" customHeight="1">
      <c r="A75" s="926" t="s">
        <v>2476</v>
      </c>
      <c r="B75" s="927">
        <v>44694</v>
      </c>
      <c r="C75" s="926">
        <v>2</v>
      </c>
      <c r="D75" s="926">
        <f t="shared" ref="D75:D94" si="3">D74</f>
        <v>4</v>
      </c>
      <c r="E75" s="510" t="s">
        <v>5369</v>
      </c>
      <c r="F75" s="926">
        <f t="shared" ref="F75:F94" si="4">F74+1</f>
        <v>2</v>
      </c>
      <c r="G75" s="1013" t="s">
        <v>5150</v>
      </c>
      <c r="H75" s="929"/>
      <c r="I75" s="929" t="s">
        <v>551</v>
      </c>
      <c r="J75" s="1705" t="s">
        <v>5789</v>
      </c>
      <c r="K75" s="176">
        <v>44968</v>
      </c>
      <c r="L75" s="5">
        <v>44985</v>
      </c>
      <c r="M75" s="1175" t="s">
        <v>4769</v>
      </c>
      <c r="N75" s="3" t="s">
        <v>1975</v>
      </c>
      <c r="O75" s="929" t="s">
        <v>77</v>
      </c>
      <c r="P75" s="927">
        <v>44694</v>
      </c>
      <c r="Q75" s="927">
        <v>44694</v>
      </c>
      <c r="R75" s="1012" t="s">
        <v>4220</v>
      </c>
      <c r="S75" s="933"/>
      <c r="T75" s="1700" t="s">
        <v>5775</v>
      </c>
      <c r="U75" s="926"/>
    </row>
    <row r="76" spans="1:21" ht="77.25" customHeight="1">
      <c r="A76" s="926" t="s">
        <v>2476</v>
      </c>
      <c r="B76" s="927">
        <v>44909</v>
      </c>
      <c r="C76" s="926">
        <v>4</v>
      </c>
      <c r="D76" s="926">
        <f t="shared" si="3"/>
        <v>4</v>
      </c>
      <c r="E76" s="935"/>
      <c r="F76" s="926">
        <f t="shared" si="4"/>
        <v>3</v>
      </c>
      <c r="G76" s="1013" t="s">
        <v>5209</v>
      </c>
      <c r="H76" s="929"/>
      <c r="I76" s="929"/>
      <c r="J76" s="1705"/>
      <c r="K76" s="176"/>
      <c r="L76" s="5"/>
      <c r="M76" s="1175" t="s">
        <v>4685</v>
      </c>
      <c r="N76" s="3" t="s">
        <v>2506</v>
      </c>
      <c r="O76" s="929" t="s">
        <v>5680</v>
      </c>
      <c r="P76" s="927">
        <v>44909</v>
      </c>
      <c r="Q76" s="927">
        <v>44909</v>
      </c>
      <c r="R76" s="1012" t="s">
        <v>4220</v>
      </c>
      <c r="S76" s="933"/>
      <c r="T76" s="1534"/>
      <c r="U76" s="926"/>
    </row>
    <row r="77" spans="1:21" ht="57" customHeight="1">
      <c r="A77" s="926" t="s">
        <v>2476</v>
      </c>
      <c r="B77" s="927">
        <v>44909</v>
      </c>
      <c r="C77" s="926">
        <v>4</v>
      </c>
      <c r="D77" s="926">
        <f t="shared" si="3"/>
        <v>4</v>
      </c>
      <c r="E77" s="510" t="s">
        <v>5405</v>
      </c>
      <c r="F77" s="926">
        <f t="shared" si="4"/>
        <v>4</v>
      </c>
      <c r="G77" s="1013" t="s">
        <v>5681</v>
      </c>
      <c r="H77" s="929"/>
      <c r="I77" s="929" t="s">
        <v>551</v>
      </c>
      <c r="J77" s="1705" t="s">
        <v>5787</v>
      </c>
      <c r="K77" s="176">
        <v>44987</v>
      </c>
      <c r="L77" s="5">
        <v>45048</v>
      </c>
      <c r="M77" s="1175" t="s">
        <v>5324</v>
      </c>
      <c r="N77" s="3" t="s">
        <v>1975</v>
      </c>
      <c r="O77" s="929" t="s">
        <v>5680</v>
      </c>
      <c r="P77" s="927">
        <v>44909</v>
      </c>
      <c r="Q77" s="927">
        <v>44909</v>
      </c>
      <c r="R77" s="1012" t="s">
        <v>4220</v>
      </c>
      <c r="S77" s="933"/>
      <c r="T77" s="1700" t="s">
        <v>5771</v>
      </c>
      <c r="U77" s="926"/>
    </row>
    <row r="78" spans="1:21" ht="57" customHeight="1">
      <c r="A78" s="926" t="s">
        <v>2476</v>
      </c>
      <c r="B78" s="927">
        <v>44909</v>
      </c>
      <c r="C78" s="926">
        <v>4</v>
      </c>
      <c r="D78" s="926">
        <f t="shared" si="3"/>
        <v>4</v>
      </c>
      <c r="E78" s="935"/>
      <c r="F78" s="926">
        <f t="shared" si="4"/>
        <v>5</v>
      </c>
      <c r="G78" s="1013" t="s">
        <v>5682</v>
      </c>
      <c r="H78" s="929"/>
      <c r="I78" s="929"/>
      <c r="J78" s="1705"/>
      <c r="K78" s="176"/>
      <c r="L78" s="5"/>
      <c r="M78" s="1175"/>
      <c r="N78" s="3" t="s">
        <v>2604</v>
      </c>
      <c r="O78" s="929" t="s">
        <v>5680</v>
      </c>
      <c r="P78" s="927">
        <v>44909</v>
      </c>
      <c r="Q78" s="927">
        <v>44909</v>
      </c>
      <c r="R78" s="1012" t="s">
        <v>4220</v>
      </c>
      <c r="S78" s="933"/>
      <c r="T78" s="1534"/>
      <c r="U78" s="926"/>
    </row>
    <row r="79" spans="1:21" ht="57" customHeight="1">
      <c r="A79" s="926" t="s">
        <v>2476</v>
      </c>
      <c r="B79" s="927">
        <v>44909</v>
      </c>
      <c r="C79" s="926">
        <v>4</v>
      </c>
      <c r="D79" s="926">
        <f t="shared" si="3"/>
        <v>4</v>
      </c>
      <c r="E79" s="935"/>
      <c r="F79" s="926">
        <f t="shared" si="4"/>
        <v>6</v>
      </c>
      <c r="G79" s="1013" t="s">
        <v>5683</v>
      </c>
      <c r="H79" s="929"/>
      <c r="I79" s="929"/>
      <c r="J79" s="1705"/>
      <c r="K79" s="176"/>
      <c r="L79" s="5"/>
      <c r="M79" s="1175"/>
      <c r="N79" s="3" t="s">
        <v>2512</v>
      </c>
      <c r="O79" s="929" t="s">
        <v>5680</v>
      </c>
      <c r="P79" s="927">
        <v>44909</v>
      </c>
      <c r="Q79" s="927">
        <v>44909</v>
      </c>
      <c r="R79" s="1012" t="s">
        <v>4220</v>
      </c>
      <c r="S79" s="933"/>
      <c r="T79" s="1534"/>
      <c r="U79" s="926"/>
    </row>
    <row r="80" spans="1:21" ht="105" customHeight="1">
      <c r="A80" s="926" t="s">
        <v>2476</v>
      </c>
      <c r="B80" s="927">
        <v>44909</v>
      </c>
      <c r="C80" s="926">
        <v>4</v>
      </c>
      <c r="D80" s="926">
        <f t="shared" si="3"/>
        <v>4</v>
      </c>
      <c r="E80" s="935" t="s">
        <v>352</v>
      </c>
      <c r="F80" s="926">
        <f t="shared" si="4"/>
        <v>7</v>
      </c>
      <c r="G80" s="1013" t="s">
        <v>5108</v>
      </c>
      <c r="H80" s="929"/>
      <c r="I80" s="929" t="s">
        <v>551</v>
      </c>
      <c r="J80" s="1705"/>
      <c r="K80" s="176"/>
      <c r="L80" s="5"/>
      <c r="M80" s="1175" t="s">
        <v>3141</v>
      </c>
      <c r="N80" s="3" t="s">
        <v>1975</v>
      </c>
      <c r="O80" s="929" t="s">
        <v>5680</v>
      </c>
      <c r="P80" s="927">
        <v>44909</v>
      </c>
      <c r="Q80" s="927">
        <v>44909</v>
      </c>
      <c r="R80" s="1012" t="s">
        <v>4220</v>
      </c>
      <c r="S80" s="933"/>
      <c r="T80" s="1700" t="s">
        <v>3061</v>
      </c>
      <c r="U80" s="926"/>
    </row>
    <row r="81" spans="1:21" ht="84" customHeight="1">
      <c r="A81" s="926" t="s">
        <v>2476</v>
      </c>
      <c r="B81" s="927">
        <v>44909</v>
      </c>
      <c r="C81" s="926">
        <v>4</v>
      </c>
      <c r="D81" s="926">
        <f t="shared" si="3"/>
        <v>4</v>
      </c>
      <c r="E81" s="935" t="s">
        <v>352</v>
      </c>
      <c r="F81" s="926">
        <f t="shared" si="4"/>
        <v>8</v>
      </c>
      <c r="G81" s="1013" t="s">
        <v>5773</v>
      </c>
      <c r="H81" s="929"/>
      <c r="I81" s="929" t="s">
        <v>551</v>
      </c>
      <c r="J81" s="1705"/>
      <c r="K81" s="176"/>
      <c r="L81" s="5"/>
      <c r="M81" s="1175" t="s">
        <v>2488</v>
      </c>
      <c r="N81" s="3" t="s">
        <v>1975</v>
      </c>
      <c r="O81" s="929" t="s">
        <v>5680</v>
      </c>
      <c r="P81" s="927">
        <v>44909</v>
      </c>
      <c r="Q81" s="927">
        <v>44909</v>
      </c>
      <c r="R81" s="1012" t="s">
        <v>4220</v>
      </c>
      <c r="S81" s="933"/>
      <c r="T81" s="1700" t="s">
        <v>3061</v>
      </c>
      <c r="U81" s="926"/>
    </row>
    <row r="82" spans="1:21" ht="57" customHeight="1">
      <c r="A82" s="926" t="s">
        <v>2476</v>
      </c>
      <c r="B82" s="927">
        <v>44909</v>
      </c>
      <c r="C82" s="926">
        <v>4</v>
      </c>
      <c r="D82" s="926">
        <f t="shared" si="3"/>
        <v>4</v>
      </c>
      <c r="E82" s="935"/>
      <c r="F82" s="926">
        <f t="shared" si="4"/>
        <v>9</v>
      </c>
      <c r="G82" s="1013" t="s">
        <v>5119</v>
      </c>
      <c r="H82" s="929"/>
      <c r="I82" s="929"/>
      <c r="J82" s="1705"/>
      <c r="K82" s="176"/>
      <c r="L82" s="5"/>
      <c r="M82" s="1175" t="s">
        <v>3419</v>
      </c>
      <c r="N82" s="3" t="s">
        <v>2604</v>
      </c>
      <c r="O82" s="929" t="s">
        <v>5680</v>
      </c>
      <c r="P82" s="927">
        <v>44909</v>
      </c>
      <c r="Q82" s="927">
        <v>44909</v>
      </c>
      <c r="R82" s="1012" t="s">
        <v>4220</v>
      </c>
      <c r="S82" s="933"/>
      <c r="T82" s="1534"/>
      <c r="U82" s="926"/>
    </row>
    <row r="83" spans="1:21" ht="57" customHeight="1">
      <c r="A83" s="926" t="s">
        <v>2476</v>
      </c>
      <c r="B83" s="927">
        <v>44909</v>
      </c>
      <c r="C83" s="926">
        <v>4</v>
      </c>
      <c r="D83" s="926">
        <f t="shared" si="3"/>
        <v>4</v>
      </c>
      <c r="E83" s="935"/>
      <c r="F83" s="926">
        <f t="shared" si="4"/>
        <v>10</v>
      </c>
      <c r="G83" s="1013" t="s">
        <v>5684</v>
      </c>
      <c r="H83" s="929"/>
      <c r="I83" s="929"/>
      <c r="J83" s="1705"/>
      <c r="K83" s="176"/>
      <c r="L83" s="5"/>
      <c r="M83" s="1175"/>
      <c r="N83" s="3" t="s">
        <v>2524</v>
      </c>
      <c r="O83" s="929" t="s">
        <v>5680</v>
      </c>
      <c r="P83" s="927">
        <v>44909</v>
      </c>
      <c r="Q83" s="927">
        <v>44909</v>
      </c>
      <c r="R83" s="1012" t="s">
        <v>4220</v>
      </c>
      <c r="S83" s="933"/>
      <c r="T83" s="1534"/>
      <c r="U83" s="926"/>
    </row>
    <row r="84" spans="1:21" ht="57" customHeight="1">
      <c r="A84" s="926" t="s">
        <v>2476</v>
      </c>
      <c r="B84" s="927">
        <v>44909</v>
      </c>
      <c r="C84" s="926">
        <v>4</v>
      </c>
      <c r="D84" s="926">
        <f t="shared" si="3"/>
        <v>4</v>
      </c>
      <c r="E84" s="935"/>
      <c r="F84" s="926">
        <f t="shared" si="4"/>
        <v>11</v>
      </c>
      <c r="G84" s="1013" t="s">
        <v>5688</v>
      </c>
      <c r="H84" s="929"/>
      <c r="I84" s="929"/>
      <c r="J84" s="1705"/>
      <c r="K84" s="176"/>
      <c r="L84" s="5"/>
      <c r="M84" s="1175"/>
      <c r="N84" s="3" t="s">
        <v>2538</v>
      </c>
      <c r="O84" s="929" t="s">
        <v>5680</v>
      </c>
      <c r="P84" s="927">
        <v>44909</v>
      </c>
      <c r="Q84" s="927">
        <v>44909</v>
      </c>
      <c r="R84" s="1012" t="s">
        <v>4220</v>
      </c>
      <c r="S84" s="933"/>
      <c r="T84" s="1534"/>
      <c r="U84" s="926"/>
    </row>
    <row r="85" spans="1:21" ht="57" customHeight="1">
      <c r="A85" s="926" t="s">
        <v>2476</v>
      </c>
      <c r="B85" s="927">
        <v>44909</v>
      </c>
      <c r="C85" s="926">
        <v>4</v>
      </c>
      <c r="D85" s="926">
        <f t="shared" si="3"/>
        <v>4</v>
      </c>
      <c r="E85" s="935" t="s">
        <v>4736</v>
      </c>
      <c r="F85" s="926">
        <f t="shared" si="4"/>
        <v>12</v>
      </c>
      <c r="G85" s="1013" t="s">
        <v>5685</v>
      </c>
      <c r="H85" s="929"/>
      <c r="I85" s="929" t="s">
        <v>551</v>
      </c>
      <c r="J85" s="1705"/>
      <c r="K85" s="176"/>
      <c r="L85" s="5"/>
      <c r="M85" s="1175" t="s">
        <v>4746</v>
      </c>
      <c r="N85" s="3" t="s">
        <v>2524</v>
      </c>
      <c r="O85" s="929" t="s">
        <v>5680</v>
      </c>
      <c r="P85" s="927">
        <v>44909</v>
      </c>
      <c r="Q85" s="927">
        <v>44909</v>
      </c>
      <c r="R85" s="1012" t="s">
        <v>4220</v>
      </c>
      <c r="S85" s="933"/>
      <c r="T85" s="1700"/>
      <c r="U85" s="926"/>
    </row>
    <row r="86" spans="1:21" ht="57" customHeight="1">
      <c r="A86" s="926" t="s">
        <v>2476</v>
      </c>
      <c r="B86" s="927">
        <v>44909</v>
      </c>
      <c r="C86" s="926">
        <v>4</v>
      </c>
      <c r="D86" s="926">
        <f t="shared" si="3"/>
        <v>4</v>
      </c>
      <c r="E86" s="935"/>
      <c r="F86" s="926">
        <f t="shared" si="4"/>
        <v>13</v>
      </c>
      <c r="G86" s="1013" t="s">
        <v>5686</v>
      </c>
      <c r="H86" s="929"/>
      <c r="I86" s="929"/>
      <c r="J86" s="1705"/>
      <c r="K86" s="176"/>
      <c r="L86" s="5"/>
      <c r="M86" s="1175" t="s">
        <v>5315</v>
      </c>
      <c r="N86" s="3" t="s">
        <v>1975</v>
      </c>
      <c r="O86" s="929" t="s">
        <v>5680</v>
      </c>
      <c r="P86" s="927">
        <v>44909</v>
      </c>
      <c r="Q86" s="927">
        <v>44909</v>
      </c>
      <c r="R86" s="1012" t="s">
        <v>4220</v>
      </c>
      <c r="S86" s="933"/>
      <c r="T86" s="1534"/>
      <c r="U86" s="926"/>
    </row>
    <row r="87" spans="1:21" ht="57" customHeight="1">
      <c r="A87" s="926" t="s">
        <v>2476</v>
      </c>
      <c r="B87" s="927">
        <v>44909</v>
      </c>
      <c r="C87" s="926">
        <v>4</v>
      </c>
      <c r="D87" s="926">
        <f t="shared" si="3"/>
        <v>4</v>
      </c>
      <c r="E87" s="935"/>
      <c r="F87" s="926">
        <f t="shared" si="4"/>
        <v>14</v>
      </c>
      <c r="G87" s="1013" t="s">
        <v>5687</v>
      </c>
      <c r="H87" s="929"/>
      <c r="I87" s="929"/>
      <c r="J87" s="1705"/>
      <c r="K87" s="176"/>
      <c r="L87" s="5"/>
      <c r="M87" s="1175"/>
      <c r="N87" s="3" t="s">
        <v>1975</v>
      </c>
      <c r="O87" s="929" t="s">
        <v>5680</v>
      </c>
      <c r="P87" s="927">
        <v>44909</v>
      </c>
      <c r="Q87" s="927">
        <v>44909</v>
      </c>
      <c r="R87" s="1012" t="s">
        <v>4220</v>
      </c>
      <c r="S87" s="933"/>
      <c r="T87" s="1534"/>
      <c r="U87" s="926"/>
    </row>
    <row r="88" spans="1:21" ht="57" customHeight="1">
      <c r="A88" s="926" t="s">
        <v>2476</v>
      </c>
      <c r="B88" s="927">
        <v>44909</v>
      </c>
      <c r="C88" s="926">
        <v>4</v>
      </c>
      <c r="D88" s="926">
        <f t="shared" si="3"/>
        <v>4</v>
      </c>
      <c r="E88" s="935"/>
      <c r="F88" s="926">
        <f t="shared" si="4"/>
        <v>15</v>
      </c>
      <c r="G88" s="1013" t="s">
        <v>5103</v>
      </c>
      <c r="H88" s="929"/>
      <c r="I88" s="929"/>
      <c r="J88" s="1705"/>
      <c r="K88" s="176"/>
      <c r="L88" s="5"/>
      <c r="M88" s="1175" t="s">
        <v>5689</v>
      </c>
      <c r="N88" s="3" t="s">
        <v>1975</v>
      </c>
      <c r="O88" s="929" t="s">
        <v>5680</v>
      </c>
      <c r="P88" s="927">
        <v>44909</v>
      </c>
      <c r="Q88" s="927">
        <v>44909</v>
      </c>
      <c r="R88" s="1012" t="s">
        <v>4220</v>
      </c>
      <c r="S88" s="933"/>
      <c r="T88" s="1534"/>
      <c r="U88" s="926"/>
    </row>
    <row r="89" spans="1:21" ht="57" customHeight="1">
      <c r="A89" s="926" t="s">
        <v>2476</v>
      </c>
      <c r="B89" s="927">
        <v>44909</v>
      </c>
      <c r="C89" s="926">
        <v>4</v>
      </c>
      <c r="D89" s="926">
        <f t="shared" si="3"/>
        <v>4</v>
      </c>
      <c r="E89" s="935"/>
      <c r="F89" s="926">
        <f t="shared" si="4"/>
        <v>16</v>
      </c>
      <c r="G89" s="1013" t="s">
        <v>5690</v>
      </c>
      <c r="H89" s="929"/>
      <c r="I89" s="929"/>
      <c r="J89" s="1705"/>
      <c r="K89" s="176"/>
      <c r="L89" s="5"/>
      <c r="M89" s="1175" t="s">
        <v>5326</v>
      </c>
      <c r="N89" s="3" t="s">
        <v>1975</v>
      </c>
      <c r="O89" s="929" t="s">
        <v>5680</v>
      </c>
      <c r="P89" s="927">
        <v>44909</v>
      </c>
      <c r="Q89" s="927">
        <v>44909</v>
      </c>
      <c r="R89" s="1012" t="s">
        <v>4220</v>
      </c>
      <c r="S89" s="933"/>
      <c r="T89" s="1534"/>
      <c r="U89" s="926"/>
    </row>
    <row r="90" spans="1:21" ht="57" customHeight="1">
      <c r="A90" s="926" t="s">
        <v>2476</v>
      </c>
      <c r="B90" s="927">
        <v>44909</v>
      </c>
      <c r="C90" s="926">
        <v>4</v>
      </c>
      <c r="D90" s="926">
        <f t="shared" si="3"/>
        <v>4</v>
      </c>
      <c r="E90" s="935"/>
      <c r="F90" s="926">
        <f t="shared" si="4"/>
        <v>17</v>
      </c>
      <c r="G90" s="1013" t="s">
        <v>5720</v>
      </c>
      <c r="H90" s="929" t="s">
        <v>3135</v>
      </c>
      <c r="I90" s="929"/>
      <c r="J90" s="1705"/>
      <c r="K90" s="176"/>
      <c r="L90" s="5"/>
      <c r="M90" s="1175" t="s">
        <v>2500</v>
      </c>
      <c r="N90" s="3" t="s">
        <v>1975</v>
      </c>
      <c r="O90" s="929" t="s">
        <v>5680</v>
      </c>
      <c r="P90" s="927">
        <v>44909</v>
      </c>
      <c r="Q90" s="927">
        <v>44909</v>
      </c>
      <c r="R90" s="1012" t="s">
        <v>4220</v>
      </c>
      <c r="S90" s="933"/>
      <c r="T90" s="1534"/>
      <c r="U90" s="926"/>
    </row>
    <row r="91" spans="1:21" ht="57" customHeight="1">
      <c r="A91" s="926" t="s">
        <v>2476</v>
      </c>
      <c r="B91" s="927">
        <v>44909</v>
      </c>
      <c r="C91" s="926">
        <v>4</v>
      </c>
      <c r="D91" s="926">
        <f t="shared" si="3"/>
        <v>4</v>
      </c>
      <c r="E91" s="935"/>
      <c r="F91" s="926">
        <f t="shared" si="4"/>
        <v>18</v>
      </c>
      <c r="G91" s="1013" t="s">
        <v>5691</v>
      </c>
      <c r="H91" s="929"/>
      <c r="I91" s="929"/>
      <c r="J91" s="1705"/>
      <c r="K91" s="176"/>
      <c r="L91" s="5"/>
      <c r="M91" s="1175"/>
      <c r="N91" s="3" t="s">
        <v>1975</v>
      </c>
      <c r="O91" s="929" t="s">
        <v>5680</v>
      </c>
      <c r="P91" s="927">
        <v>44909</v>
      </c>
      <c r="Q91" s="927">
        <v>44909</v>
      </c>
      <c r="R91" s="1012" t="s">
        <v>4220</v>
      </c>
      <c r="S91" s="933"/>
      <c r="T91" s="1534"/>
      <c r="U91" s="926"/>
    </row>
    <row r="92" spans="1:21" ht="57" customHeight="1">
      <c r="A92" s="926" t="s">
        <v>2476</v>
      </c>
      <c r="B92" s="927">
        <v>44909</v>
      </c>
      <c r="C92" s="926">
        <v>4</v>
      </c>
      <c r="D92" s="926">
        <f t="shared" si="3"/>
        <v>4</v>
      </c>
      <c r="E92" s="935"/>
      <c r="F92" s="926">
        <f t="shared" si="4"/>
        <v>19</v>
      </c>
      <c r="G92" s="1013" t="s">
        <v>5692</v>
      </c>
      <c r="H92" s="929"/>
      <c r="I92" s="929"/>
      <c r="J92" s="1705"/>
      <c r="K92" s="176"/>
      <c r="L92" s="5"/>
      <c r="M92" s="1175"/>
      <c r="N92" s="3" t="s">
        <v>2577</v>
      </c>
      <c r="O92" s="929" t="s">
        <v>5680</v>
      </c>
      <c r="P92" s="927">
        <v>44909</v>
      </c>
      <c r="Q92" s="927">
        <v>44909</v>
      </c>
      <c r="R92" s="1012" t="s">
        <v>4220</v>
      </c>
      <c r="S92" s="933"/>
      <c r="T92" s="1534"/>
      <c r="U92" s="926"/>
    </row>
    <row r="93" spans="1:21" ht="57" customHeight="1">
      <c r="A93" s="926" t="s">
        <v>2476</v>
      </c>
      <c r="B93" s="927">
        <v>44909</v>
      </c>
      <c r="C93" s="926">
        <v>4</v>
      </c>
      <c r="D93" s="926">
        <f t="shared" si="3"/>
        <v>4</v>
      </c>
      <c r="E93" s="935"/>
      <c r="F93" s="926">
        <f t="shared" si="4"/>
        <v>20</v>
      </c>
      <c r="G93" s="1013" t="s">
        <v>5693</v>
      </c>
      <c r="H93" s="929"/>
      <c r="I93" s="929"/>
      <c r="J93" s="1705"/>
      <c r="K93" s="176"/>
      <c r="L93" s="5"/>
      <c r="M93" s="1175" t="s">
        <v>4770</v>
      </c>
      <c r="N93" s="3" t="s">
        <v>1975</v>
      </c>
      <c r="O93" s="929" t="s">
        <v>5680</v>
      </c>
      <c r="P93" s="927">
        <v>44909</v>
      </c>
      <c r="Q93" s="927">
        <v>44909</v>
      </c>
      <c r="R93" s="1012" t="s">
        <v>4220</v>
      </c>
      <c r="S93" s="933"/>
      <c r="T93" s="1534"/>
      <c r="U93" s="926"/>
    </row>
    <row r="94" spans="1:21" ht="57" customHeight="1">
      <c r="A94" s="926" t="s">
        <v>2476</v>
      </c>
      <c r="B94" s="927">
        <v>44909</v>
      </c>
      <c r="C94" s="926">
        <v>4</v>
      </c>
      <c r="D94" s="926">
        <f t="shared" si="3"/>
        <v>4</v>
      </c>
      <c r="E94" s="935"/>
      <c r="F94" s="926">
        <f t="shared" si="4"/>
        <v>21</v>
      </c>
      <c r="G94" s="1013" t="s">
        <v>5694</v>
      </c>
      <c r="H94" s="929"/>
      <c r="I94" s="929"/>
      <c r="J94" s="1705"/>
      <c r="K94" s="176"/>
      <c r="L94" s="5"/>
      <c r="M94" s="1175" t="s">
        <v>2563</v>
      </c>
      <c r="N94" s="3" t="s">
        <v>1975</v>
      </c>
      <c r="O94" s="929" t="s">
        <v>5680</v>
      </c>
      <c r="P94" s="927">
        <v>44909</v>
      </c>
      <c r="Q94" s="927">
        <v>44909</v>
      </c>
      <c r="R94" s="1012" t="s">
        <v>4220</v>
      </c>
      <c r="S94" s="933"/>
      <c r="T94" s="1534"/>
      <c r="U94" s="926"/>
    </row>
    <row r="95" spans="1:21" ht="57" customHeight="1">
      <c r="A95" s="926" t="s">
        <v>2476</v>
      </c>
      <c r="B95" s="927">
        <v>44854</v>
      </c>
      <c r="C95" s="926">
        <v>3</v>
      </c>
      <c r="D95" s="926">
        <v>4</v>
      </c>
      <c r="E95" s="935" t="s">
        <v>4352</v>
      </c>
      <c r="F95" s="926">
        <v>1</v>
      </c>
      <c r="G95" s="1013" t="s">
        <v>5348</v>
      </c>
      <c r="H95" s="929"/>
      <c r="I95" s="929" t="s">
        <v>551</v>
      </c>
      <c r="J95" s="1705" t="s">
        <v>5788</v>
      </c>
      <c r="K95" s="176">
        <v>44767</v>
      </c>
      <c r="L95" s="5">
        <v>44814</v>
      </c>
      <c r="M95" s="1175" t="s">
        <v>5349</v>
      </c>
      <c r="N95" s="3" t="s">
        <v>2577</v>
      </c>
      <c r="O95" s="929" t="s">
        <v>5041</v>
      </c>
      <c r="P95" s="927">
        <v>44854</v>
      </c>
      <c r="Q95" s="927">
        <v>44854</v>
      </c>
      <c r="R95" s="1012" t="s">
        <v>4220</v>
      </c>
      <c r="S95" s="933"/>
      <c r="T95" s="1700"/>
      <c r="U95" s="926"/>
    </row>
    <row r="96" spans="1:21" ht="51.75" customHeight="1">
      <c r="A96" s="926" t="s">
        <v>2476</v>
      </c>
      <c r="B96" s="927">
        <v>44854</v>
      </c>
      <c r="C96" s="926">
        <v>3</v>
      </c>
      <c r="D96" s="926">
        <f t="shared" ref="D96:D108" si="5">D95</f>
        <v>4</v>
      </c>
      <c r="E96" s="935" t="s">
        <v>4351</v>
      </c>
      <c r="F96" s="926">
        <f t="shared" ref="F96:F105" si="6">F95+1</f>
        <v>2</v>
      </c>
      <c r="G96" s="1013" t="s">
        <v>5350</v>
      </c>
      <c r="H96" s="929"/>
      <c r="I96" s="929" t="s">
        <v>551</v>
      </c>
      <c r="J96" s="1705" t="s">
        <v>5788</v>
      </c>
      <c r="K96" s="176">
        <v>44760</v>
      </c>
      <c r="L96" s="5">
        <v>44804</v>
      </c>
      <c r="M96" s="1175" t="s">
        <v>4697</v>
      </c>
      <c r="N96" s="3" t="s">
        <v>2538</v>
      </c>
      <c r="O96" s="929" t="s">
        <v>5041</v>
      </c>
      <c r="P96" s="927">
        <v>44854</v>
      </c>
      <c r="Q96" s="927">
        <v>44854</v>
      </c>
      <c r="R96" s="1012" t="s">
        <v>4220</v>
      </c>
      <c r="S96" s="933"/>
      <c r="T96" s="1700"/>
      <c r="U96" s="926"/>
    </row>
    <row r="97" spans="1:21" ht="109.5" customHeight="1">
      <c r="A97" s="926" t="s">
        <v>2476</v>
      </c>
      <c r="B97" s="927">
        <v>44854</v>
      </c>
      <c r="C97" s="926">
        <v>3</v>
      </c>
      <c r="D97" s="926">
        <f t="shared" si="5"/>
        <v>4</v>
      </c>
      <c r="E97" s="510" t="s">
        <v>4487</v>
      </c>
      <c r="F97" s="926">
        <f t="shared" si="6"/>
        <v>3</v>
      </c>
      <c r="G97" s="1013" t="s">
        <v>5351</v>
      </c>
      <c r="H97" s="929"/>
      <c r="I97" s="929" t="s">
        <v>551</v>
      </c>
      <c r="J97" s="1705" t="s">
        <v>5787</v>
      </c>
      <c r="K97" s="176">
        <v>44812</v>
      </c>
      <c r="L97" s="177">
        <v>44834</v>
      </c>
      <c r="M97" s="1175" t="s">
        <v>4793</v>
      </c>
      <c r="N97" s="3" t="s">
        <v>1975</v>
      </c>
      <c r="O97" s="929" t="s">
        <v>5041</v>
      </c>
      <c r="P97" s="927">
        <v>44854</v>
      </c>
      <c r="Q97" s="927">
        <v>44854</v>
      </c>
      <c r="R97" s="1012" t="s">
        <v>4220</v>
      </c>
      <c r="S97" s="933"/>
      <c r="T97" s="1700"/>
      <c r="U97" s="926"/>
    </row>
    <row r="98" spans="1:21" ht="117" customHeight="1">
      <c r="A98" s="926" t="s">
        <v>2476</v>
      </c>
      <c r="B98" s="927">
        <v>44854</v>
      </c>
      <c r="C98" s="926">
        <v>3</v>
      </c>
      <c r="D98" s="926">
        <f t="shared" si="5"/>
        <v>4</v>
      </c>
      <c r="E98" s="510" t="s">
        <v>4346</v>
      </c>
      <c r="F98" s="926">
        <f t="shared" si="6"/>
        <v>4</v>
      </c>
      <c r="G98" s="1013" t="s">
        <v>5352</v>
      </c>
      <c r="H98" s="929"/>
      <c r="I98" s="929" t="s">
        <v>551</v>
      </c>
      <c r="J98" s="1705" t="s">
        <v>5788</v>
      </c>
      <c r="K98" s="176">
        <v>44692</v>
      </c>
      <c r="L98" s="177">
        <v>44765</v>
      </c>
      <c r="M98" s="1175" t="s">
        <v>2714</v>
      </c>
      <c r="N98" s="3" t="s">
        <v>1976</v>
      </c>
      <c r="O98" s="929" t="s">
        <v>5041</v>
      </c>
      <c r="P98" s="927">
        <v>44854</v>
      </c>
      <c r="Q98" s="927">
        <v>44854</v>
      </c>
      <c r="R98" s="1012" t="s">
        <v>4220</v>
      </c>
      <c r="S98" s="933"/>
      <c r="T98" s="1700"/>
      <c r="U98" s="926"/>
    </row>
    <row r="99" spans="1:21" ht="40.5" customHeight="1">
      <c r="A99" s="926" t="s">
        <v>2476</v>
      </c>
      <c r="B99" s="927">
        <v>44694</v>
      </c>
      <c r="C99" s="926">
        <v>2</v>
      </c>
      <c r="D99" s="926">
        <f t="shared" si="5"/>
        <v>4</v>
      </c>
      <c r="E99" s="510" t="s">
        <v>5369</v>
      </c>
      <c r="F99" s="926">
        <f t="shared" si="6"/>
        <v>5</v>
      </c>
      <c r="G99" s="1013" t="s">
        <v>5151</v>
      </c>
      <c r="H99" s="929"/>
      <c r="I99" s="929" t="s">
        <v>551</v>
      </c>
      <c r="J99" s="1705" t="s">
        <v>5789</v>
      </c>
      <c r="K99" s="176">
        <v>44968</v>
      </c>
      <c r="L99" s="5">
        <v>44985</v>
      </c>
      <c r="M99" s="1175" t="s">
        <v>4769</v>
      </c>
      <c r="N99" s="3" t="s">
        <v>1975</v>
      </c>
      <c r="O99" s="929" t="s">
        <v>77</v>
      </c>
      <c r="P99" s="927">
        <v>44694</v>
      </c>
      <c r="Q99" s="927">
        <v>44694</v>
      </c>
      <c r="R99" s="1012" t="s">
        <v>4220</v>
      </c>
      <c r="S99" s="933"/>
      <c r="T99" s="1700" t="s">
        <v>5775</v>
      </c>
      <c r="U99" s="926"/>
    </row>
    <row r="100" spans="1:21" ht="67.5" customHeight="1">
      <c r="A100" s="926" t="s">
        <v>2476</v>
      </c>
      <c r="B100" s="927">
        <v>44854</v>
      </c>
      <c r="C100" s="926">
        <v>3</v>
      </c>
      <c r="D100" s="926">
        <f t="shared" si="5"/>
        <v>4</v>
      </c>
      <c r="E100" s="935"/>
      <c r="F100" s="926">
        <f t="shared" si="6"/>
        <v>6</v>
      </c>
      <c r="G100" s="1013" t="s">
        <v>5354</v>
      </c>
      <c r="H100" s="929"/>
      <c r="I100" s="929"/>
      <c r="J100" s="1705"/>
      <c r="K100" s="176"/>
      <c r="L100" s="5"/>
      <c r="M100" s="1175" t="s">
        <v>4770</v>
      </c>
      <c r="N100" s="3" t="s">
        <v>2524</v>
      </c>
      <c r="O100" s="929" t="s">
        <v>166</v>
      </c>
      <c r="P100" s="927">
        <v>44854</v>
      </c>
      <c r="Q100" s="927">
        <v>44854</v>
      </c>
      <c r="R100" s="1012" t="s">
        <v>4220</v>
      </c>
      <c r="S100" s="933"/>
      <c r="T100" s="1534"/>
      <c r="U100" s="926"/>
    </row>
    <row r="101" spans="1:21" ht="87.75" customHeight="1">
      <c r="A101" s="926" t="s">
        <v>2476</v>
      </c>
      <c r="B101" s="927">
        <v>44854</v>
      </c>
      <c r="C101" s="926">
        <v>3</v>
      </c>
      <c r="D101" s="926">
        <f t="shared" si="5"/>
        <v>4</v>
      </c>
      <c r="E101" s="935"/>
      <c r="F101" s="926">
        <f t="shared" si="6"/>
        <v>7</v>
      </c>
      <c r="G101" s="1013" t="s">
        <v>5355</v>
      </c>
      <c r="H101" s="929"/>
      <c r="I101" s="929"/>
      <c r="J101" s="1705"/>
      <c r="K101" s="176"/>
      <c r="L101" s="5"/>
      <c r="M101" s="1175" t="s">
        <v>2619</v>
      </c>
      <c r="N101" s="3" t="s">
        <v>2524</v>
      </c>
      <c r="O101" s="929" t="s">
        <v>166</v>
      </c>
      <c r="P101" s="927">
        <v>44854</v>
      </c>
      <c r="Q101" s="927">
        <v>44854</v>
      </c>
      <c r="R101" s="1012" t="s">
        <v>4220</v>
      </c>
      <c r="S101" s="933"/>
      <c r="T101" s="1534"/>
      <c r="U101" s="926"/>
    </row>
    <row r="102" spans="1:21" ht="40.5" customHeight="1">
      <c r="A102" s="926" t="s">
        <v>2476</v>
      </c>
      <c r="B102" s="927">
        <v>44694</v>
      </c>
      <c r="C102" s="926">
        <v>2</v>
      </c>
      <c r="D102" s="926">
        <f t="shared" si="5"/>
        <v>4</v>
      </c>
      <c r="E102" s="2"/>
      <c r="F102" s="926">
        <f t="shared" si="6"/>
        <v>8</v>
      </c>
      <c r="G102" s="1013" t="s">
        <v>5152</v>
      </c>
      <c r="H102" s="929"/>
      <c r="I102" s="929" t="s">
        <v>2310</v>
      </c>
      <c r="J102" s="1705"/>
      <c r="K102" s="176"/>
      <c r="L102" s="5"/>
      <c r="M102" s="1175" t="s">
        <v>4769</v>
      </c>
      <c r="N102" s="3" t="s">
        <v>1975</v>
      </c>
      <c r="O102" s="929" t="s">
        <v>77</v>
      </c>
      <c r="P102" s="927">
        <v>44694</v>
      </c>
      <c r="Q102" s="927">
        <v>44694</v>
      </c>
      <c r="R102" s="1012" t="s">
        <v>4220</v>
      </c>
      <c r="S102" s="933"/>
      <c r="T102" s="1700"/>
      <c r="U102" s="926"/>
    </row>
    <row r="103" spans="1:21" ht="47.25" customHeight="1">
      <c r="A103" s="926" t="s">
        <v>2476</v>
      </c>
      <c r="B103" s="927">
        <v>44694</v>
      </c>
      <c r="C103" s="926">
        <v>2</v>
      </c>
      <c r="D103" s="926">
        <f t="shared" si="5"/>
        <v>4</v>
      </c>
      <c r="E103" s="510" t="s">
        <v>5389</v>
      </c>
      <c r="F103" s="926">
        <f t="shared" si="6"/>
        <v>9</v>
      </c>
      <c r="G103" s="1013" t="s">
        <v>5187</v>
      </c>
      <c r="H103" s="929"/>
      <c r="I103" s="929" t="s">
        <v>551</v>
      </c>
      <c r="J103" s="1705" t="s">
        <v>5788</v>
      </c>
      <c r="K103" s="176">
        <v>45187</v>
      </c>
      <c r="L103" s="5">
        <v>45219</v>
      </c>
      <c r="M103" s="1175" t="s">
        <v>4769</v>
      </c>
      <c r="N103" s="3" t="s">
        <v>1975</v>
      </c>
      <c r="O103" s="929" t="s">
        <v>77</v>
      </c>
      <c r="P103" s="927">
        <v>44694</v>
      </c>
      <c r="Q103" s="927">
        <v>44694</v>
      </c>
      <c r="R103" s="1012" t="s">
        <v>4220</v>
      </c>
      <c r="S103" s="933"/>
      <c r="T103" s="1700" t="s">
        <v>5776</v>
      </c>
      <c r="U103" s="926"/>
    </row>
    <row r="104" spans="1:21" ht="60" customHeight="1">
      <c r="A104" s="926" t="s">
        <v>2476</v>
      </c>
      <c r="B104" s="927">
        <v>44694</v>
      </c>
      <c r="C104" s="926">
        <v>2</v>
      </c>
      <c r="D104" s="926">
        <f t="shared" si="5"/>
        <v>4</v>
      </c>
      <c r="E104" s="510" t="s">
        <v>5661</v>
      </c>
      <c r="F104" s="926">
        <f t="shared" si="6"/>
        <v>10</v>
      </c>
      <c r="G104" s="1013" t="s">
        <v>5171</v>
      </c>
      <c r="H104" s="929"/>
      <c r="I104" s="929" t="s">
        <v>551</v>
      </c>
      <c r="J104" s="1705" t="s">
        <v>5787</v>
      </c>
      <c r="K104" s="176">
        <v>45155</v>
      </c>
      <c r="L104" s="5">
        <v>45274</v>
      </c>
      <c r="M104" s="1175" t="s">
        <v>2636</v>
      </c>
      <c r="N104" s="3" t="s">
        <v>2524</v>
      </c>
      <c r="O104" s="929" t="s">
        <v>77</v>
      </c>
      <c r="P104" s="927">
        <v>44694</v>
      </c>
      <c r="Q104" s="927">
        <v>44694</v>
      </c>
      <c r="R104" s="1012" t="s">
        <v>4220</v>
      </c>
      <c r="S104" s="933"/>
      <c r="T104" s="1700" t="s">
        <v>5777</v>
      </c>
      <c r="U104" s="926"/>
    </row>
    <row r="105" spans="1:21" ht="47.25" customHeight="1">
      <c r="A105" s="926" t="s">
        <v>2476</v>
      </c>
      <c r="B105" s="927">
        <v>44526</v>
      </c>
      <c r="C105" s="926">
        <f>C104</f>
        <v>2</v>
      </c>
      <c r="D105" s="926">
        <f t="shared" si="5"/>
        <v>4</v>
      </c>
      <c r="E105" s="510" t="s">
        <v>3451</v>
      </c>
      <c r="F105" s="926">
        <f t="shared" si="6"/>
        <v>11</v>
      </c>
      <c r="G105" s="1013" t="s">
        <v>5294</v>
      </c>
      <c r="H105" s="929"/>
      <c r="I105" s="929" t="s">
        <v>551</v>
      </c>
      <c r="J105" s="1705" t="s">
        <v>5788</v>
      </c>
      <c r="K105" s="176">
        <v>44523</v>
      </c>
      <c r="L105" s="5">
        <v>44559</v>
      </c>
      <c r="M105" s="1175" t="s">
        <v>2636</v>
      </c>
      <c r="N105" s="3" t="s">
        <v>5281</v>
      </c>
      <c r="O105" s="929" t="s">
        <v>77</v>
      </c>
      <c r="P105" s="927">
        <v>44526</v>
      </c>
      <c r="Q105" s="927">
        <v>44526</v>
      </c>
      <c r="R105" s="1012" t="s">
        <v>4220</v>
      </c>
      <c r="S105" s="933"/>
      <c r="T105" s="1700"/>
      <c r="U105" s="926"/>
    </row>
    <row r="106" spans="1:21" ht="105" customHeight="1">
      <c r="A106" s="926" t="s">
        <v>2476</v>
      </c>
      <c r="B106" s="927">
        <v>44854</v>
      </c>
      <c r="C106" s="926">
        <v>3</v>
      </c>
      <c r="D106" s="926">
        <f t="shared" si="5"/>
        <v>4</v>
      </c>
      <c r="E106" s="926"/>
      <c r="F106" s="926">
        <v>1</v>
      </c>
      <c r="G106" s="1013" t="s">
        <v>5360</v>
      </c>
      <c r="H106" s="929"/>
      <c r="I106" s="929" t="s">
        <v>2310</v>
      </c>
      <c r="J106" s="1705"/>
      <c r="K106" s="176"/>
      <c r="L106" s="5"/>
      <c r="M106" s="1175" t="s">
        <v>2488</v>
      </c>
      <c r="N106" s="3" t="s">
        <v>1975</v>
      </c>
      <c r="O106" s="929" t="s">
        <v>867</v>
      </c>
      <c r="P106" s="927">
        <v>44854</v>
      </c>
      <c r="Q106" s="927">
        <v>44854</v>
      </c>
      <c r="R106" s="1012" t="s">
        <v>4220</v>
      </c>
      <c r="S106" s="933"/>
      <c r="T106" s="1534"/>
      <c r="U106" s="926"/>
    </row>
    <row r="107" spans="1:21" ht="129.75" customHeight="1">
      <c r="A107" s="926" t="s">
        <v>2476</v>
      </c>
      <c r="B107" s="927">
        <v>44854</v>
      </c>
      <c r="C107" s="926">
        <v>3</v>
      </c>
      <c r="D107" s="926">
        <f t="shared" si="5"/>
        <v>4</v>
      </c>
      <c r="E107" s="926"/>
      <c r="F107" s="926">
        <f>F106+1</f>
        <v>2</v>
      </c>
      <c r="G107" s="1013" t="s">
        <v>5361</v>
      </c>
      <c r="H107" s="929"/>
      <c r="I107" s="929" t="s">
        <v>2310</v>
      </c>
      <c r="J107" s="1705"/>
      <c r="K107" s="176"/>
      <c r="L107" s="5"/>
      <c r="M107" s="1175" t="s">
        <v>3141</v>
      </c>
      <c r="N107" s="3" t="s">
        <v>1975</v>
      </c>
      <c r="O107" s="929" t="s">
        <v>867</v>
      </c>
      <c r="P107" s="927">
        <v>44854</v>
      </c>
      <c r="Q107" s="927">
        <v>44854</v>
      </c>
      <c r="R107" s="1012" t="s">
        <v>4220</v>
      </c>
      <c r="S107" s="933"/>
      <c r="T107" s="1534"/>
      <c r="U107" s="926"/>
    </row>
    <row r="108" spans="1:21" ht="89.25" customHeight="1">
      <c r="A108" s="926" t="s">
        <v>2476</v>
      </c>
      <c r="B108" s="927">
        <v>44854</v>
      </c>
      <c r="C108" s="926">
        <v>3</v>
      </c>
      <c r="D108" s="926">
        <f t="shared" si="5"/>
        <v>4</v>
      </c>
      <c r="E108" s="926"/>
      <c r="F108" s="926">
        <f>F107+1</f>
        <v>3</v>
      </c>
      <c r="G108" s="1013" t="s">
        <v>5209</v>
      </c>
      <c r="H108" s="929"/>
      <c r="I108" s="929" t="s">
        <v>2310</v>
      </c>
      <c r="J108" s="1705"/>
      <c r="K108" s="176"/>
      <c r="L108" s="5"/>
      <c r="M108" s="1175" t="s">
        <v>4685</v>
      </c>
      <c r="N108" s="3" t="s">
        <v>2506</v>
      </c>
      <c r="O108" s="929" t="s">
        <v>867</v>
      </c>
      <c r="P108" s="927">
        <v>44854</v>
      </c>
      <c r="Q108" s="927">
        <v>44854</v>
      </c>
      <c r="R108" s="1012" t="s">
        <v>4220</v>
      </c>
      <c r="S108" s="933"/>
      <c r="T108" s="1534"/>
      <c r="U108" s="926"/>
    </row>
    <row r="109" spans="1:21" ht="60" customHeight="1">
      <c r="A109" s="926" t="s">
        <v>2476</v>
      </c>
      <c r="B109" s="927">
        <v>44854</v>
      </c>
      <c r="C109" s="926">
        <v>3</v>
      </c>
      <c r="D109" s="926">
        <v>5</v>
      </c>
      <c r="E109" s="935" t="s">
        <v>4348</v>
      </c>
      <c r="F109" s="926">
        <v>1</v>
      </c>
      <c r="G109" s="1013" t="s">
        <v>5362</v>
      </c>
      <c r="H109" s="929"/>
      <c r="I109" s="929" t="s">
        <v>551</v>
      </c>
      <c r="J109" s="1705" t="s">
        <v>5788</v>
      </c>
      <c r="K109" s="176">
        <v>44712</v>
      </c>
      <c r="L109" s="5">
        <v>44722</v>
      </c>
      <c r="M109" s="1175" t="s">
        <v>5363</v>
      </c>
      <c r="N109" s="3" t="s">
        <v>2577</v>
      </c>
      <c r="O109" s="929" t="s">
        <v>77</v>
      </c>
      <c r="P109" s="927">
        <v>44854</v>
      </c>
      <c r="Q109" s="927">
        <v>44854</v>
      </c>
      <c r="R109" s="1012" t="s">
        <v>4220</v>
      </c>
      <c r="S109" s="933"/>
      <c r="T109" s="1700"/>
      <c r="U109" s="926"/>
    </row>
    <row r="110" spans="1:21" ht="47.25" customHeight="1">
      <c r="A110" s="926" t="s">
        <v>2476</v>
      </c>
      <c r="B110" s="927">
        <v>44854</v>
      </c>
      <c r="C110" s="926">
        <v>3</v>
      </c>
      <c r="D110" s="926">
        <v>5</v>
      </c>
      <c r="E110" s="510" t="s">
        <v>4355</v>
      </c>
      <c r="F110" s="926">
        <f>F109+1</f>
        <v>2</v>
      </c>
      <c r="G110" s="1013" t="s">
        <v>5364</v>
      </c>
      <c r="H110" s="929"/>
      <c r="I110" s="929" t="s">
        <v>551</v>
      </c>
      <c r="J110" s="1705" t="s">
        <v>5788</v>
      </c>
      <c r="K110" s="176">
        <v>44865</v>
      </c>
      <c r="L110" s="5">
        <v>44883</v>
      </c>
      <c r="M110" s="1175" t="s">
        <v>4710</v>
      </c>
      <c r="N110" s="3" t="s">
        <v>2577</v>
      </c>
      <c r="O110" s="929" t="s">
        <v>77</v>
      </c>
      <c r="P110" s="927">
        <v>44854</v>
      </c>
      <c r="Q110" s="927">
        <v>44854</v>
      </c>
      <c r="R110" s="1012" t="s">
        <v>4220</v>
      </c>
      <c r="S110" s="933"/>
      <c r="T110" s="1700"/>
      <c r="U110" s="926"/>
    </row>
    <row r="111" spans="1:21" ht="50.25" customHeight="1">
      <c r="A111" s="926" t="s">
        <v>2476</v>
      </c>
      <c r="B111" s="927">
        <v>44854</v>
      </c>
      <c r="C111" s="926">
        <v>3</v>
      </c>
      <c r="D111" s="926">
        <f t="shared" ref="D111:D117" si="7">D110</f>
        <v>5</v>
      </c>
      <c r="E111" s="510" t="s">
        <v>4355</v>
      </c>
      <c r="F111" s="926">
        <f>F110+1</f>
        <v>3</v>
      </c>
      <c r="G111" s="1013" t="s">
        <v>5366</v>
      </c>
      <c r="H111" s="929"/>
      <c r="I111" s="929" t="s">
        <v>551</v>
      </c>
      <c r="J111" s="1705" t="s">
        <v>5788</v>
      </c>
      <c r="K111" s="176">
        <v>44865</v>
      </c>
      <c r="L111" s="5">
        <v>44883</v>
      </c>
      <c r="M111" s="1175" t="s">
        <v>4710</v>
      </c>
      <c r="N111" s="3" t="s">
        <v>2577</v>
      </c>
      <c r="O111" s="929" t="s">
        <v>77</v>
      </c>
      <c r="P111" s="927">
        <v>44854</v>
      </c>
      <c r="Q111" s="927">
        <v>44854</v>
      </c>
      <c r="R111" s="1012" t="s">
        <v>4220</v>
      </c>
      <c r="S111" s="933"/>
      <c r="T111" s="1700"/>
      <c r="U111" s="926"/>
    </row>
    <row r="112" spans="1:21" ht="70.5" customHeight="1">
      <c r="A112" s="926" t="s">
        <v>2476</v>
      </c>
      <c r="B112" s="927">
        <v>44854</v>
      </c>
      <c r="C112" s="926">
        <v>3</v>
      </c>
      <c r="D112" s="926">
        <f t="shared" si="7"/>
        <v>5</v>
      </c>
      <c r="E112" s="935" t="s">
        <v>352</v>
      </c>
      <c r="F112" s="926">
        <f>F111+1</f>
        <v>4</v>
      </c>
      <c r="G112" s="1013" t="s">
        <v>5365</v>
      </c>
      <c r="H112" s="929"/>
      <c r="I112" s="929" t="s">
        <v>551</v>
      </c>
      <c r="J112" s="1705"/>
      <c r="K112" s="176"/>
      <c r="L112" s="5"/>
      <c r="M112" s="1175" t="s">
        <v>4770</v>
      </c>
      <c r="N112" s="3" t="s">
        <v>2524</v>
      </c>
      <c r="O112" s="929" t="s">
        <v>77</v>
      </c>
      <c r="P112" s="927">
        <v>44854</v>
      </c>
      <c r="Q112" s="927">
        <v>44854</v>
      </c>
      <c r="R112" s="1012" t="s">
        <v>4220</v>
      </c>
      <c r="S112" s="933"/>
      <c r="T112" s="1700" t="s">
        <v>5781</v>
      </c>
      <c r="U112" s="926"/>
    </row>
    <row r="113" spans="1:21" ht="85.5" customHeight="1">
      <c r="A113" s="926" t="s">
        <v>2476</v>
      </c>
      <c r="B113" s="927">
        <v>44854</v>
      </c>
      <c r="C113" s="926">
        <v>3</v>
      </c>
      <c r="D113" s="926">
        <f t="shared" si="7"/>
        <v>5</v>
      </c>
      <c r="E113" s="935"/>
      <c r="F113" s="926">
        <f>F112+1</f>
        <v>5</v>
      </c>
      <c r="G113" s="1013" t="s">
        <v>5355</v>
      </c>
      <c r="H113" s="929"/>
      <c r="I113" s="929"/>
      <c r="J113" s="1705"/>
      <c r="K113" s="176"/>
      <c r="L113" s="5"/>
      <c r="M113" s="1175" t="s">
        <v>2619</v>
      </c>
      <c r="N113" s="3" t="s">
        <v>2524</v>
      </c>
      <c r="O113" s="929" t="s">
        <v>77</v>
      </c>
      <c r="P113" s="927">
        <v>44854</v>
      </c>
      <c r="Q113" s="927">
        <v>44854</v>
      </c>
      <c r="R113" s="1012" t="s">
        <v>4220</v>
      </c>
      <c r="S113" s="933"/>
      <c r="T113" s="1534"/>
      <c r="U113" s="926"/>
    </row>
    <row r="114" spans="1:21" ht="98.25" customHeight="1">
      <c r="A114" s="926" t="s">
        <v>2476</v>
      </c>
      <c r="B114" s="927">
        <v>44854</v>
      </c>
      <c r="C114" s="926">
        <v>3</v>
      </c>
      <c r="D114" s="926">
        <f t="shared" si="7"/>
        <v>5</v>
      </c>
      <c r="E114" s="935" t="s">
        <v>4517</v>
      </c>
      <c r="F114" s="926">
        <f>F113+1</f>
        <v>6</v>
      </c>
      <c r="G114" s="1013" t="s">
        <v>5367</v>
      </c>
      <c r="H114" s="929"/>
      <c r="I114" s="929" t="s">
        <v>551</v>
      </c>
      <c r="J114" s="1705" t="s">
        <v>5787</v>
      </c>
      <c r="K114" s="176">
        <v>44862</v>
      </c>
      <c r="L114" s="177">
        <v>44898</v>
      </c>
      <c r="M114" s="1175" t="s">
        <v>4821</v>
      </c>
      <c r="N114" s="3" t="s">
        <v>1975</v>
      </c>
      <c r="O114" s="929" t="s">
        <v>77</v>
      </c>
      <c r="P114" s="927">
        <v>44854</v>
      </c>
      <c r="Q114" s="927">
        <v>44854</v>
      </c>
      <c r="R114" s="1012" t="s">
        <v>4220</v>
      </c>
      <c r="S114" s="933"/>
      <c r="T114" s="1700"/>
      <c r="U114" s="926"/>
    </row>
    <row r="115" spans="1:21" ht="95.25" customHeight="1">
      <c r="A115" s="926" t="s">
        <v>2476</v>
      </c>
      <c r="B115" s="927">
        <v>44854</v>
      </c>
      <c r="C115" s="926">
        <v>3</v>
      </c>
      <c r="D115" s="926">
        <f t="shared" si="7"/>
        <v>5</v>
      </c>
      <c r="E115" s="926"/>
      <c r="F115" s="926">
        <v>1</v>
      </c>
      <c r="G115" s="1013" t="s">
        <v>5208</v>
      </c>
      <c r="H115" s="929"/>
      <c r="I115" s="929" t="s">
        <v>2310</v>
      </c>
      <c r="J115" s="1705"/>
      <c r="K115" s="176"/>
      <c r="L115" s="5"/>
      <c r="M115" s="1175" t="s">
        <v>3141</v>
      </c>
      <c r="N115" s="3" t="s">
        <v>1975</v>
      </c>
      <c r="O115" s="929" t="s">
        <v>352</v>
      </c>
      <c r="P115" s="927">
        <v>44854</v>
      </c>
      <c r="Q115" s="927">
        <v>44854</v>
      </c>
      <c r="R115" s="1012" t="s">
        <v>4220</v>
      </c>
      <c r="S115" s="933"/>
      <c r="T115" s="1534"/>
      <c r="U115" s="926"/>
    </row>
    <row r="116" spans="1:21" ht="83.25" customHeight="1">
      <c r="A116" s="926" t="s">
        <v>2476</v>
      </c>
      <c r="B116" s="927">
        <v>44854</v>
      </c>
      <c r="C116" s="926">
        <v>3</v>
      </c>
      <c r="D116" s="926">
        <f t="shared" si="7"/>
        <v>5</v>
      </c>
      <c r="E116" s="926"/>
      <c r="F116" s="926">
        <f>F115+1</f>
        <v>2</v>
      </c>
      <c r="G116" s="1013" t="s">
        <v>5209</v>
      </c>
      <c r="H116" s="929"/>
      <c r="I116" s="929" t="s">
        <v>2310</v>
      </c>
      <c r="J116" s="1705"/>
      <c r="K116" s="176"/>
      <c r="L116" s="5"/>
      <c r="M116" s="1175" t="s">
        <v>4685</v>
      </c>
      <c r="N116" s="3" t="s">
        <v>1975</v>
      </c>
      <c r="O116" s="929" t="s">
        <v>352</v>
      </c>
      <c r="P116" s="927">
        <v>44854</v>
      </c>
      <c r="Q116" s="927">
        <v>44854</v>
      </c>
      <c r="R116" s="1012" t="s">
        <v>4220</v>
      </c>
      <c r="S116" s="933"/>
      <c r="T116" s="1534"/>
      <c r="U116" s="926"/>
    </row>
    <row r="117" spans="1:21" ht="111" customHeight="1">
      <c r="A117" s="926" t="s">
        <v>2476</v>
      </c>
      <c r="B117" s="927">
        <v>44854</v>
      </c>
      <c r="C117" s="926">
        <v>3</v>
      </c>
      <c r="D117" s="926">
        <f t="shared" si="7"/>
        <v>5</v>
      </c>
      <c r="E117" s="926"/>
      <c r="F117" s="926">
        <f>F116+1</f>
        <v>3</v>
      </c>
      <c r="G117" s="1013" t="s">
        <v>5368</v>
      </c>
      <c r="H117" s="929"/>
      <c r="I117" s="929" t="s">
        <v>2310</v>
      </c>
      <c r="J117" s="1705"/>
      <c r="K117" s="176"/>
      <c r="L117" s="5"/>
      <c r="M117" s="1175" t="s">
        <v>2488</v>
      </c>
      <c r="N117" s="3" t="s">
        <v>1975</v>
      </c>
      <c r="O117" s="929" t="s">
        <v>352</v>
      </c>
      <c r="P117" s="927">
        <v>44854</v>
      </c>
      <c r="Q117" s="927">
        <v>44854</v>
      </c>
      <c r="R117" s="1012" t="s">
        <v>4220</v>
      </c>
      <c r="S117" s="933"/>
      <c r="T117" s="1534"/>
      <c r="U117" s="926"/>
    </row>
    <row r="118" spans="1:21" ht="40.5" customHeight="1">
      <c r="A118" s="926" t="s">
        <v>2476</v>
      </c>
      <c r="B118" s="927">
        <v>44694</v>
      </c>
      <c r="C118" s="926">
        <v>2</v>
      </c>
      <c r="D118" s="926">
        <v>14</v>
      </c>
      <c r="E118" s="926"/>
      <c r="F118" s="926">
        <v>1</v>
      </c>
      <c r="G118" s="1013" t="s">
        <v>5040</v>
      </c>
      <c r="H118" s="929"/>
      <c r="I118" s="929" t="s">
        <v>2310</v>
      </c>
      <c r="J118" s="1705"/>
      <c r="K118" s="176"/>
      <c r="L118" s="5"/>
      <c r="M118" s="1175" t="s">
        <v>68</v>
      </c>
      <c r="N118" s="3" t="s">
        <v>1975</v>
      </c>
      <c r="O118" s="929" t="s">
        <v>5039</v>
      </c>
      <c r="P118" s="927">
        <v>44694</v>
      </c>
      <c r="Q118" s="927">
        <v>44694</v>
      </c>
      <c r="R118" s="1012" t="s">
        <v>4220</v>
      </c>
      <c r="S118" s="933"/>
      <c r="T118" s="1534"/>
      <c r="U118" s="926"/>
    </row>
    <row r="119" spans="1:21" ht="83.25" customHeight="1">
      <c r="A119" s="926" t="s">
        <v>2476</v>
      </c>
      <c r="B119" s="927">
        <v>44694</v>
      </c>
      <c r="C119" s="926">
        <v>2</v>
      </c>
      <c r="D119" s="926">
        <v>14</v>
      </c>
      <c r="E119" s="926"/>
      <c r="F119" s="926">
        <v>1</v>
      </c>
      <c r="G119" s="1013" t="s">
        <v>5042</v>
      </c>
      <c r="H119" s="929"/>
      <c r="I119" s="929" t="s">
        <v>2310</v>
      </c>
      <c r="J119" s="1705"/>
      <c r="K119" s="176"/>
      <c r="L119" s="5"/>
      <c r="M119" s="1175" t="s">
        <v>4770</v>
      </c>
      <c r="N119" s="3" t="s">
        <v>1975</v>
      </c>
      <c r="O119" s="929" t="s">
        <v>5041</v>
      </c>
      <c r="P119" s="927">
        <v>44694</v>
      </c>
      <c r="Q119" s="927">
        <v>44694</v>
      </c>
      <c r="R119" s="1012" t="s">
        <v>4220</v>
      </c>
      <c r="S119" s="933"/>
      <c r="T119" s="1534"/>
      <c r="U119" s="926"/>
    </row>
    <row r="120" spans="1:21" ht="78" customHeight="1">
      <c r="A120" s="926" t="s">
        <v>2476</v>
      </c>
      <c r="B120" s="927">
        <v>44694</v>
      </c>
      <c r="C120" s="926">
        <v>2</v>
      </c>
      <c r="D120" s="926">
        <v>14</v>
      </c>
      <c r="E120" s="926"/>
      <c r="F120" s="926">
        <f t="shared" ref="F120:F127" si="8">F119+1</f>
        <v>2</v>
      </c>
      <c r="G120" s="1013" t="s">
        <v>5042</v>
      </c>
      <c r="H120" s="929"/>
      <c r="I120" s="929" t="s">
        <v>2310</v>
      </c>
      <c r="J120" s="1705"/>
      <c r="K120" s="176"/>
      <c r="L120" s="5"/>
      <c r="M120" s="1175" t="s">
        <v>4770</v>
      </c>
      <c r="N120" s="3" t="s">
        <v>1975</v>
      </c>
      <c r="O120" s="929" t="s">
        <v>5041</v>
      </c>
      <c r="P120" s="927">
        <v>44694</v>
      </c>
      <c r="Q120" s="927">
        <v>44694</v>
      </c>
      <c r="R120" s="1012" t="s">
        <v>4220</v>
      </c>
      <c r="S120" s="933"/>
      <c r="T120" s="1534"/>
      <c r="U120" s="926"/>
    </row>
    <row r="121" spans="1:21" ht="86.25" customHeight="1">
      <c r="A121" s="926" t="s">
        <v>2476</v>
      </c>
      <c r="B121" s="927">
        <v>44694</v>
      </c>
      <c r="C121" s="926">
        <v>2</v>
      </c>
      <c r="D121" s="926">
        <v>14</v>
      </c>
      <c r="E121" s="926"/>
      <c r="F121" s="926">
        <f t="shared" si="8"/>
        <v>3</v>
      </c>
      <c r="G121" s="1013" t="s">
        <v>5053</v>
      </c>
      <c r="H121" s="929"/>
      <c r="I121" s="929" t="s">
        <v>2310</v>
      </c>
      <c r="J121" s="1705"/>
      <c r="K121" s="176"/>
      <c r="L121" s="5"/>
      <c r="M121" s="1175" t="s">
        <v>2690</v>
      </c>
      <c r="N121" s="3" t="s">
        <v>1975</v>
      </c>
      <c r="O121" s="929" t="s">
        <v>5041</v>
      </c>
      <c r="P121" s="927">
        <v>44694</v>
      </c>
      <c r="Q121" s="927">
        <v>44694</v>
      </c>
      <c r="R121" s="1012" t="s">
        <v>4220</v>
      </c>
      <c r="S121" s="933"/>
      <c r="T121" s="1534"/>
      <c r="U121" s="926"/>
    </row>
    <row r="122" spans="1:21" ht="82.5" customHeight="1">
      <c r="A122" s="926" t="s">
        <v>2476</v>
      </c>
      <c r="B122" s="927">
        <v>44694</v>
      </c>
      <c r="C122" s="926">
        <v>2</v>
      </c>
      <c r="D122" s="926">
        <v>14</v>
      </c>
      <c r="E122" s="926"/>
      <c r="F122" s="926">
        <f t="shared" si="8"/>
        <v>4</v>
      </c>
      <c r="G122" s="1013" t="s">
        <v>5054</v>
      </c>
      <c r="H122" s="929"/>
      <c r="I122" s="929" t="s">
        <v>2310</v>
      </c>
      <c r="J122" s="1705"/>
      <c r="K122" s="176"/>
      <c r="L122" s="5"/>
      <c r="M122" s="1175" t="s">
        <v>4648</v>
      </c>
      <c r="N122" s="3" t="s">
        <v>1975</v>
      </c>
      <c r="O122" s="929" t="s">
        <v>5041</v>
      </c>
      <c r="P122" s="927">
        <v>44694</v>
      </c>
      <c r="Q122" s="927">
        <v>44694</v>
      </c>
      <c r="R122" s="1012" t="s">
        <v>4220</v>
      </c>
      <c r="S122" s="933"/>
      <c r="T122" s="1534"/>
      <c r="U122" s="926"/>
    </row>
    <row r="123" spans="1:21" ht="86.25" customHeight="1">
      <c r="A123" s="926" t="s">
        <v>2476</v>
      </c>
      <c r="B123" s="927">
        <v>44694</v>
      </c>
      <c r="C123" s="926">
        <v>2</v>
      </c>
      <c r="D123" s="926">
        <v>14</v>
      </c>
      <c r="E123" s="934" t="s">
        <v>4517</v>
      </c>
      <c r="F123" s="926">
        <f t="shared" si="8"/>
        <v>5</v>
      </c>
      <c r="G123" s="1013" t="s">
        <v>5055</v>
      </c>
      <c r="H123" s="929"/>
      <c r="I123" s="929" t="s">
        <v>551</v>
      </c>
      <c r="J123" s="1705" t="s">
        <v>5787</v>
      </c>
      <c r="K123" s="176">
        <v>44862</v>
      </c>
      <c r="L123" s="5">
        <v>44898</v>
      </c>
      <c r="M123" s="1175" t="s">
        <v>4821</v>
      </c>
      <c r="N123" s="3" t="s">
        <v>1975</v>
      </c>
      <c r="O123" s="929" t="s">
        <v>5041</v>
      </c>
      <c r="P123" s="927">
        <v>44694</v>
      </c>
      <c r="Q123" s="927">
        <v>44694</v>
      </c>
      <c r="R123" s="1012" t="s">
        <v>4220</v>
      </c>
      <c r="S123" s="933"/>
      <c r="T123" s="1700"/>
      <c r="U123" s="926"/>
    </row>
    <row r="124" spans="1:21" ht="58.5" customHeight="1">
      <c r="A124" s="926" t="s">
        <v>2476</v>
      </c>
      <c r="B124" s="927">
        <v>44694</v>
      </c>
      <c r="C124" s="926">
        <v>2</v>
      </c>
      <c r="D124" s="926">
        <v>14</v>
      </c>
      <c r="E124" s="926"/>
      <c r="F124" s="926">
        <f t="shared" si="8"/>
        <v>6</v>
      </c>
      <c r="G124" s="1013" t="s">
        <v>5056</v>
      </c>
      <c r="H124" s="929"/>
      <c r="I124" s="929" t="s">
        <v>2310</v>
      </c>
      <c r="J124" s="1705"/>
      <c r="K124" s="176"/>
      <c r="L124" s="5"/>
      <c r="M124" s="1175" t="s">
        <v>5313</v>
      </c>
      <c r="N124" s="3" t="s">
        <v>1975</v>
      </c>
      <c r="O124" s="929" t="s">
        <v>5041</v>
      </c>
      <c r="P124" s="927">
        <v>44694</v>
      </c>
      <c r="Q124" s="927">
        <v>44694</v>
      </c>
      <c r="R124" s="1012" t="s">
        <v>4220</v>
      </c>
      <c r="S124" s="933"/>
      <c r="T124" s="1534"/>
      <c r="U124" s="926"/>
    </row>
    <row r="125" spans="1:21" ht="40.5" customHeight="1">
      <c r="A125" s="926" t="s">
        <v>2476</v>
      </c>
      <c r="B125" s="927">
        <v>44694</v>
      </c>
      <c r="C125" s="926">
        <v>2</v>
      </c>
      <c r="D125" s="926">
        <v>14</v>
      </c>
      <c r="E125" s="926"/>
      <c r="F125" s="926">
        <f t="shared" si="8"/>
        <v>7</v>
      </c>
      <c r="G125" s="1013" t="s">
        <v>5057</v>
      </c>
      <c r="H125" s="929"/>
      <c r="I125" s="929" t="s">
        <v>2310</v>
      </c>
      <c r="J125" s="1705"/>
      <c r="K125" s="176"/>
      <c r="L125" s="5"/>
      <c r="M125" s="1175" t="s">
        <v>2488</v>
      </c>
      <c r="N125" s="3" t="s">
        <v>1975</v>
      </c>
      <c r="O125" s="929" t="s">
        <v>5041</v>
      </c>
      <c r="P125" s="927">
        <v>44694</v>
      </c>
      <c r="Q125" s="927">
        <v>44694</v>
      </c>
      <c r="R125" s="1012" t="s">
        <v>4220</v>
      </c>
      <c r="S125" s="933"/>
      <c r="T125" s="1534"/>
      <c r="U125" s="926"/>
    </row>
    <row r="126" spans="1:21" ht="40.5" customHeight="1">
      <c r="A126" s="926" t="s">
        <v>2476</v>
      </c>
      <c r="B126" s="927">
        <v>44694</v>
      </c>
      <c r="C126" s="926">
        <v>2</v>
      </c>
      <c r="D126" s="926">
        <v>14</v>
      </c>
      <c r="E126" s="926"/>
      <c r="F126" s="926">
        <f t="shared" si="8"/>
        <v>8</v>
      </c>
      <c r="G126" s="1013" t="s">
        <v>5058</v>
      </c>
      <c r="H126" s="929"/>
      <c r="I126" s="929" t="s">
        <v>2310</v>
      </c>
      <c r="J126" s="1705"/>
      <c r="K126" s="176"/>
      <c r="L126" s="5"/>
      <c r="M126" s="1175" t="s">
        <v>68</v>
      </c>
      <c r="N126" s="3" t="s">
        <v>1975</v>
      </c>
      <c r="O126" s="929" t="s">
        <v>5041</v>
      </c>
      <c r="P126" s="927">
        <v>44694</v>
      </c>
      <c r="Q126" s="927">
        <v>44694</v>
      </c>
      <c r="R126" s="1012" t="s">
        <v>4220</v>
      </c>
      <c r="S126" s="933"/>
      <c r="T126" s="1534"/>
      <c r="U126" s="926"/>
    </row>
    <row r="127" spans="1:21" ht="54.75" customHeight="1">
      <c r="A127" s="926" t="s">
        <v>2476</v>
      </c>
      <c r="B127" s="927">
        <v>44694</v>
      </c>
      <c r="C127" s="926">
        <v>2</v>
      </c>
      <c r="D127" s="926">
        <v>14</v>
      </c>
      <c r="E127" s="926"/>
      <c r="F127" s="926">
        <f t="shared" si="8"/>
        <v>9</v>
      </c>
      <c r="G127" s="1013" t="s">
        <v>5059</v>
      </c>
      <c r="H127" s="929"/>
      <c r="I127" s="929" t="s">
        <v>2310</v>
      </c>
      <c r="J127" s="1705"/>
      <c r="K127" s="176"/>
      <c r="L127" s="5"/>
      <c r="M127" s="1175" t="s">
        <v>2488</v>
      </c>
      <c r="N127" s="3" t="s">
        <v>1975</v>
      </c>
      <c r="O127" s="929" t="s">
        <v>5041</v>
      </c>
      <c r="P127" s="927">
        <v>44694</v>
      </c>
      <c r="Q127" s="927">
        <v>44694</v>
      </c>
      <c r="R127" s="1012" t="s">
        <v>4220</v>
      </c>
      <c r="S127" s="933"/>
      <c r="T127" s="1534"/>
      <c r="U127" s="926"/>
    </row>
    <row r="128" spans="1:21" ht="40.5" customHeight="1">
      <c r="A128" s="926" t="s">
        <v>2476</v>
      </c>
      <c r="B128" s="927">
        <v>44694</v>
      </c>
      <c r="C128" s="926">
        <v>2</v>
      </c>
      <c r="D128" s="926">
        <v>14</v>
      </c>
      <c r="E128" s="935" t="s">
        <v>352</v>
      </c>
      <c r="F128" s="926">
        <v>1</v>
      </c>
      <c r="G128" s="1013" t="s">
        <v>5060</v>
      </c>
      <c r="H128" s="929"/>
      <c r="I128" s="929" t="s">
        <v>551</v>
      </c>
      <c r="J128" s="1705"/>
      <c r="K128" s="176"/>
      <c r="L128" s="5"/>
      <c r="M128" s="1175" t="s">
        <v>68</v>
      </c>
      <c r="N128" s="3" t="s">
        <v>1976</v>
      </c>
      <c r="O128" s="929" t="s">
        <v>3108</v>
      </c>
      <c r="P128" s="927">
        <v>44694</v>
      </c>
      <c r="Q128" s="927">
        <v>44694</v>
      </c>
      <c r="R128" s="1012" t="s">
        <v>4220</v>
      </c>
      <c r="S128" s="933"/>
      <c r="T128" s="1700"/>
      <c r="U128" s="926"/>
    </row>
    <row r="129" spans="1:21" ht="40.5" customHeight="1">
      <c r="A129" s="926" t="s">
        <v>2476</v>
      </c>
      <c r="B129" s="927">
        <v>44694</v>
      </c>
      <c r="C129" s="926">
        <v>2</v>
      </c>
      <c r="D129" s="926">
        <v>14</v>
      </c>
      <c r="E129" s="935"/>
      <c r="F129" s="926">
        <f t="shared" ref="F129:F136" si="9">F128+1</f>
        <v>2</v>
      </c>
      <c r="G129" s="1013" t="s">
        <v>5060</v>
      </c>
      <c r="H129" s="929"/>
      <c r="I129" s="929"/>
      <c r="J129" s="1705"/>
      <c r="K129" s="176"/>
      <c r="L129" s="5"/>
      <c r="M129" s="1175" t="s">
        <v>68</v>
      </c>
      <c r="N129" s="3" t="s">
        <v>2532</v>
      </c>
      <c r="O129" s="929" t="s">
        <v>3108</v>
      </c>
      <c r="P129" s="927">
        <v>44694</v>
      </c>
      <c r="Q129" s="927">
        <v>44694</v>
      </c>
      <c r="R129" s="1012" t="s">
        <v>4220</v>
      </c>
      <c r="S129" s="933"/>
      <c r="T129" s="1534"/>
      <c r="U129" s="926"/>
    </row>
    <row r="130" spans="1:21" ht="40.5" customHeight="1">
      <c r="A130" s="926" t="s">
        <v>2476</v>
      </c>
      <c r="B130" s="927">
        <v>44694</v>
      </c>
      <c r="C130" s="926">
        <v>2</v>
      </c>
      <c r="D130" s="926">
        <f t="shared" ref="D130:D161" si="10">D129</f>
        <v>14</v>
      </c>
      <c r="E130" s="935" t="s">
        <v>352</v>
      </c>
      <c r="F130" s="926">
        <f t="shared" si="9"/>
        <v>3</v>
      </c>
      <c r="G130" s="1013" t="s">
        <v>5061</v>
      </c>
      <c r="H130" s="929"/>
      <c r="I130" s="929" t="s">
        <v>551</v>
      </c>
      <c r="J130" s="1705"/>
      <c r="K130" s="176"/>
      <c r="L130" s="5"/>
      <c r="M130" s="1175" t="s">
        <v>2654</v>
      </c>
      <c r="N130" s="3" t="s">
        <v>5064</v>
      </c>
      <c r="O130" s="929" t="s">
        <v>3108</v>
      </c>
      <c r="P130" s="927">
        <v>44694</v>
      </c>
      <c r="Q130" s="927">
        <v>44694</v>
      </c>
      <c r="R130" s="1012" t="s">
        <v>4220</v>
      </c>
      <c r="S130" s="933"/>
      <c r="T130" s="1700"/>
      <c r="U130" s="926"/>
    </row>
    <row r="131" spans="1:21" ht="53.25" customHeight="1">
      <c r="A131" s="926" t="s">
        <v>2476</v>
      </c>
      <c r="B131" s="927">
        <v>44694</v>
      </c>
      <c r="C131" s="926">
        <v>2</v>
      </c>
      <c r="D131" s="926">
        <f t="shared" si="10"/>
        <v>14</v>
      </c>
      <c r="E131" s="926"/>
      <c r="F131" s="926">
        <f t="shared" si="9"/>
        <v>4</v>
      </c>
      <c r="G131" s="1013" t="s">
        <v>5062</v>
      </c>
      <c r="H131" s="929"/>
      <c r="I131" s="929" t="s">
        <v>2310</v>
      </c>
      <c r="J131" s="1705"/>
      <c r="K131" s="176"/>
      <c r="L131" s="5"/>
      <c r="M131" s="1175" t="s">
        <v>4822</v>
      </c>
      <c r="N131" s="3" t="s">
        <v>2524</v>
      </c>
      <c r="O131" s="929" t="s">
        <v>3108</v>
      </c>
      <c r="P131" s="927">
        <v>44694</v>
      </c>
      <c r="Q131" s="927">
        <v>44694</v>
      </c>
      <c r="R131" s="1012" t="s">
        <v>4220</v>
      </c>
      <c r="S131" s="933"/>
      <c r="T131" s="1534"/>
      <c r="U131" s="926"/>
    </row>
    <row r="132" spans="1:21" ht="60.75" customHeight="1">
      <c r="A132" s="926" t="s">
        <v>2476</v>
      </c>
      <c r="B132" s="927">
        <v>44694</v>
      </c>
      <c r="C132" s="926">
        <v>2</v>
      </c>
      <c r="D132" s="926">
        <f t="shared" si="10"/>
        <v>14</v>
      </c>
      <c r="E132" s="926"/>
      <c r="F132" s="926">
        <f t="shared" si="9"/>
        <v>5</v>
      </c>
      <c r="G132" s="1013" t="s">
        <v>5062</v>
      </c>
      <c r="H132" s="929"/>
      <c r="I132" s="929" t="s">
        <v>2310</v>
      </c>
      <c r="J132" s="1705"/>
      <c r="K132" s="176"/>
      <c r="L132" s="5"/>
      <c r="M132" s="1175" t="s">
        <v>68</v>
      </c>
      <c r="N132" s="3" t="s">
        <v>2515</v>
      </c>
      <c r="O132" s="929" t="s">
        <v>3108</v>
      </c>
      <c r="P132" s="927">
        <v>44694</v>
      </c>
      <c r="Q132" s="927">
        <v>44694</v>
      </c>
      <c r="R132" s="1012" t="s">
        <v>4220</v>
      </c>
      <c r="S132" s="933"/>
      <c r="T132" s="1534"/>
      <c r="U132" s="926"/>
    </row>
    <row r="133" spans="1:21" ht="54.75" customHeight="1">
      <c r="A133" s="926" t="s">
        <v>2476</v>
      </c>
      <c r="B133" s="927">
        <v>44694</v>
      </c>
      <c r="C133" s="926">
        <v>2</v>
      </c>
      <c r="D133" s="926">
        <f t="shared" si="10"/>
        <v>14</v>
      </c>
      <c r="E133" s="926"/>
      <c r="F133" s="926">
        <f t="shared" si="9"/>
        <v>6</v>
      </c>
      <c r="G133" s="1013" t="s">
        <v>5062</v>
      </c>
      <c r="H133" s="929"/>
      <c r="I133" s="929" t="s">
        <v>2310</v>
      </c>
      <c r="J133" s="1705"/>
      <c r="K133" s="176"/>
      <c r="L133" s="5"/>
      <c r="M133" s="1175" t="s">
        <v>68</v>
      </c>
      <c r="N133" s="3" t="s">
        <v>2532</v>
      </c>
      <c r="O133" s="929" t="s">
        <v>3108</v>
      </c>
      <c r="P133" s="927">
        <v>44694</v>
      </c>
      <c r="Q133" s="927">
        <v>44694</v>
      </c>
      <c r="R133" s="1012" t="s">
        <v>4220</v>
      </c>
      <c r="S133" s="933"/>
      <c r="T133" s="1534"/>
      <c r="U133" s="926"/>
    </row>
    <row r="134" spans="1:21" ht="58.5" customHeight="1">
      <c r="A134" s="926" t="s">
        <v>2476</v>
      </c>
      <c r="B134" s="927">
        <v>44694</v>
      </c>
      <c r="C134" s="926">
        <v>2</v>
      </c>
      <c r="D134" s="926">
        <f t="shared" si="10"/>
        <v>14</v>
      </c>
      <c r="E134" s="926"/>
      <c r="F134" s="926">
        <f t="shared" si="9"/>
        <v>7</v>
      </c>
      <c r="G134" s="1013" t="s">
        <v>5062</v>
      </c>
      <c r="H134" s="929"/>
      <c r="I134" s="929" t="s">
        <v>2310</v>
      </c>
      <c r="J134" s="1705"/>
      <c r="K134" s="176"/>
      <c r="L134" s="5"/>
      <c r="M134" s="1175" t="s">
        <v>68</v>
      </c>
      <c r="N134" s="3" t="s">
        <v>2613</v>
      </c>
      <c r="O134" s="929" t="s">
        <v>3108</v>
      </c>
      <c r="P134" s="927">
        <v>44694</v>
      </c>
      <c r="Q134" s="927">
        <v>44694</v>
      </c>
      <c r="R134" s="1012" t="s">
        <v>4220</v>
      </c>
      <c r="S134" s="933"/>
      <c r="T134" s="1534"/>
      <c r="U134" s="926"/>
    </row>
    <row r="135" spans="1:21" ht="40.5" customHeight="1">
      <c r="A135" s="926" t="s">
        <v>2476</v>
      </c>
      <c r="B135" s="927">
        <v>44694</v>
      </c>
      <c r="C135" s="926">
        <v>2</v>
      </c>
      <c r="D135" s="926">
        <f t="shared" si="10"/>
        <v>14</v>
      </c>
      <c r="E135" s="926"/>
      <c r="F135" s="926">
        <f t="shared" si="9"/>
        <v>8</v>
      </c>
      <c r="G135" s="1013" t="s">
        <v>5063</v>
      </c>
      <c r="H135" s="929"/>
      <c r="I135" s="929" t="s">
        <v>2310</v>
      </c>
      <c r="J135" s="1705"/>
      <c r="K135" s="176"/>
      <c r="L135" s="5"/>
      <c r="M135" s="1175" t="s">
        <v>68</v>
      </c>
      <c r="N135" s="3" t="s">
        <v>2604</v>
      </c>
      <c r="O135" s="929" t="s">
        <v>3108</v>
      </c>
      <c r="P135" s="927">
        <v>44694</v>
      </c>
      <c r="Q135" s="927">
        <v>44694</v>
      </c>
      <c r="R135" s="1012" t="s">
        <v>4220</v>
      </c>
      <c r="S135" s="933"/>
      <c r="T135" s="1534"/>
      <c r="U135" s="926"/>
    </row>
    <row r="136" spans="1:21" ht="40.5" customHeight="1">
      <c r="A136" s="926" t="s">
        <v>2476</v>
      </c>
      <c r="B136" s="927">
        <v>44694</v>
      </c>
      <c r="C136" s="926">
        <v>2</v>
      </c>
      <c r="D136" s="926">
        <f t="shared" si="10"/>
        <v>14</v>
      </c>
      <c r="E136" s="926"/>
      <c r="F136" s="926">
        <f t="shared" si="9"/>
        <v>9</v>
      </c>
      <c r="G136" s="1013" t="s">
        <v>5063</v>
      </c>
      <c r="H136" s="929"/>
      <c r="I136" s="929" t="s">
        <v>2310</v>
      </c>
      <c r="J136" s="1705"/>
      <c r="K136" s="176"/>
      <c r="L136" s="5"/>
      <c r="M136" s="1175" t="s">
        <v>68</v>
      </c>
      <c r="N136" s="3" t="s">
        <v>2506</v>
      </c>
      <c r="O136" s="929" t="s">
        <v>3108</v>
      </c>
      <c r="P136" s="927">
        <v>44694</v>
      </c>
      <c r="Q136" s="927">
        <v>44694</v>
      </c>
      <c r="R136" s="1012" t="s">
        <v>4220</v>
      </c>
      <c r="S136" s="933"/>
      <c r="T136" s="1534"/>
      <c r="U136" s="926"/>
    </row>
    <row r="137" spans="1:21" ht="40.5" customHeight="1">
      <c r="A137" s="926" t="s">
        <v>2476</v>
      </c>
      <c r="B137" s="927">
        <v>44694</v>
      </c>
      <c r="C137" s="926">
        <v>2</v>
      </c>
      <c r="D137" s="926">
        <f t="shared" si="10"/>
        <v>14</v>
      </c>
      <c r="E137" s="926"/>
      <c r="F137" s="926">
        <v>1</v>
      </c>
      <c r="G137" s="1013" t="s">
        <v>5065</v>
      </c>
      <c r="H137" s="929"/>
      <c r="I137" s="929" t="s">
        <v>2310</v>
      </c>
      <c r="J137" s="1705"/>
      <c r="K137" s="176"/>
      <c r="L137" s="5"/>
      <c r="M137" s="1175" t="s">
        <v>68</v>
      </c>
      <c r="N137" s="3" t="s">
        <v>1975</v>
      </c>
      <c r="O137" s="929" t="s">
        <v>166</v>
      </c>
      <c r="P137" s="927">
        <v>44694</v>
      </c>
      <c r="Q137" s="927">
        <v>44694</v>
      </c>
      <c r="R137" s="1012" t="s">
        <v>4220</v>
      </c>
      <c r="S137" s="933"/>
      <c r="T137" s="1534"/>
      <c r="U137" s="926"/>
    </row>
    <row r="138" spans="1:21" ht="40.5" customHeight="1">
      <c r="A138" s="926" t="s">
        <v>2476</v>
      </c>
      <c r="B138" s="927">
        <v>44694</v>
      </c>
      <c r="C138" s="926">
        <v>2</v>
      </c>
      <c r="D138" s="926">
        <f t="shared" si="10"/>
        <v>14</v>
      </c>
      <c r="E138" s="926"/>
      <c r="F138" s="926">
        <f t="shared" ref="F138:F148" si="11">F137+1</f>
        <v>2</v>
      </c>
      <c r="G138" s="1013" t="s">
        <v>5066</v>
      </c>
      <c r="H138" s="929"/>
      <c r="I138" s="929" t="s">
        <v>2310</v>
      </c>
      <c r="J138" s="1705"/>
      <c r="K138" s="176"/>
      <c r="L138" s="5"/>
      <c r="M138" s="1175" t="s">
        <v>5315</v>
      </c>
      <c r="N138" s="3" t="s">
        <v>1975</v>
      </c>
      <c r="O138" s="929" t="s">
        <v>166</v>
      </c>
      <c r="P138" s="927">
        <v>44694</v>
      </c>
      <c r="Q138" s="927">
        <v>44694</v>
      </c>
      <c r="R138" s="1012" t="s">
        <v>4220</v>
      </c>
      <c r="S138" s="933"/>
      <c r="T138" s="1534"/>
      <c r="U138" s="926"/>
    </row>
    <row r="139" spans="1:21" ht="40.5" customHeight="1">
      <c r="A139" s="926" t="s">
        <v>2476</v>
      </c>
      <c r="B139" s="927">
        <v>44694</v>
      </c>
      <c r="C139" s="926">
        <v>2</v>
      </c>
      <c r="D139" s="926">
        <f t="shared" si="10"/>
        <v>14</v>
      </c>
      <c r="E139" s="926"/>
      <c r="F139" s="926">
        <f t="shared" si="11"/>
        <v>3</v>
      </c>
      <c r="G139" s="1013" t="s">
        <v>5067</v>
      </c>
      <c r="H139" s="929"/>
      <c r="I139" s="929" t="s">
        <v>2310</v>
      </c>
      <c r="J139" s="1705"/>
      <c r="K139" s="176"/>
      <c r="L139" s="5"/>
      <c r="M139" s="1175" t="s">
        <v>5316</v>
      </c>
      <c r="N139" s="3" t="s">
        <v>1976</v>
      </c>
      <c r="O139" s="929" t="s">
        <v>166</v>
      </c>
      <c r="P139" s="927">
        <v>44694</v>
      </c>
      <c r="Q139" s="927">
        <v>44694</v>
      </c>
      <c r="R139" s="1012" t="s">
        <v>4220</v>
      </c>
      <c r="S139" s="933"/>
      <c r="T139" s="1534"/>
      <c r="U139" s="926"/>
    </row>
    <row r="140" spans="1:21" ht="40.5" customHeight="1">
      <c r="A140" s="926" t="s">
        <v>2476</v>
      </c>
      <c r="B140" s="927">
        <v>44694</v>
      </c>
      <c r="C140" s="926">
        <v>2</v>
      </c>
      <c r="D140" s="926">
        <f t="shared" si="10"/>
        <v>14</v>
      </c>
      <c r="E140" s="926"/>
      <c r="F140" s="926">
        <f t="shared" si="11"/>
        <v>4</v>
      </c>
      <c r="G140" s="1013" t="s">
        <v>5068</v>
      </c>
      <c r="H140" s="929"/>
      <c r="I140" s="929" t="s">
        <v>2310</v>
      </c>
      <c r="J140" s="1705"/>
      <c r="K140" s="176"/>
      <c r="L140" s="5"/>
      <c r="M140" s="1175" t="s">
        <v>68</v>
      </c>
      <c r="N140" s="3" t="s">
        <v>1975</v>
      </c>
      <c r="O140" s="929" t="s">
        <v>166</v>
      </c>
      <c r="P140" s="927">
        <v>44694</v>
      </c>
      <c r="Q140" s="927">
        <v>44694</v>
      </c>
      <c r="R140" s="1012" t="s">
        <v>4220</v>
      </c>
      <c r="S140" s="933"/>
      <c r="T140" s="1534"/>
      <c r="U140" s="926"/>
    </row>
    <row r="141" spans="1:21" ht="40.5" customHeight="1">
      <c r="A141" s="926" t="s">
        <v>2476</v>
      </c>
      <c r="B141" s="927">
        <v>44694</v>
      </c>
      <c r="C141" s="926">
        <v>2</v>
      </c>
      <c r="D141" s="926">
        <f t="shared" si="10"/>
        <v>14</v>
      </c>
      <c r="E141" s="926"/>
      <c r="F141" s="926">
        <f t="shared" si="11"/>
        <v>5</v>
      </c>
      <c r="G141" s="1013" t="s">
        <v>5069</v>
      </c>
      <c r="H141" s="929"/>
      <c r="I141" s="929" t="s">
        <v>2310</v>
      </c>
      <c r="J141" s="1705"/>
      <c r="K141" s="176"/>
      <c r="L141" s="5"/>
      <c r="M141" s="1175" t="s">
        <v>68</v>
      </c>
      <c r="N141" s="3" t="s">
        <v>4226</v>
      </c>
      <c r="O141" s="929" t="s">
        <v>166</v>
      </c>
      <c r="P141" s="927">
        <v>44694</v>
      </c>
      <c r="Q141" s="927">
        <v>44694</v>
      </c>
      <c r="R141" s="1012" t="s">
        <v>4220</v>
      </c>
      <c r="S141" s="933"/>
      <c r="T141" s="1534"/>
      <c r="U141" s="926"/>
    </row>
    <row r="142" spans="1:21" ht="59.25" customHeight="1">
      <c r="A142" s="926" t="s">
        <v>2476</v>
      </c>
      <c r="B142" s="927">
        <v>44526</v>
      </c>
      <c r="C142" s="926">
        <f>C141</f>
        <v>2</v>
      </c>
      <c r="D142" s="926">
        <f t="shared" si="10"/>
        <v>14</v>
      </c>
      <c r="E142" s="510" t="s">
        <v>3449</v>
      </c>
      <c r="F142" s="926">
        <f t="shared" si="11"/>
        <v>6</v>
      </c>
      <c r="G142" s="1013" t="s">
        <v>5295</v>
      </c>
      <c r="H142" s="929"/>
      <c r="I142" s="929" t="s">
        <v>551</v>
      </c>
      <c r="J142" s="1705" t="s">
        <v>5788</v>
      </c>
      <c r="K142" s="176">
        <v>44523</v>
      </c>
      <c r="L142" s="5">
        <v>44530</v>
      </c>
      <c r="M142" s="1175" t="s">
        <v>4793</v>
      </c>
      <c r="N142" s="3" t="s">
        <v>5281</v>
      </c>
      <c r="O142" s="929" t="s">
        <v>77</v>
      </c>
      <c r="P142" s="927">
        <v>44526</v>
      </c>
      <c r="Q142" s="927">
        <v>44526</v>
      </c>
      <c r="R142" s="1012" t="s">
        <v>4220</v>
      </c>
      <c r="S142" s="933"/>
      <c r="T142" s="1700"/>
      <c r="U142" s="926"/>
    </row>
    <row r="143" spans="1:21" ht="63.75" customHeight="1">
      <c r="A143" s="926" t="s">
        <v>2476</v>
      </c>
      <c r="B143" s="927">
        <v>44526</v>
      </c>
      <c r="C143" s="926">
        <f>C142</f>
        <v>2</v>
      </c>
      <c r="D143" s="926">
        <f t="shared" si="10"/>
        <v>14</v>
      </c>
      <c r="E143" s="510" t="s">
        <v>3448</v>
      </c>
      <c r="F143" s="926">
        <f t="shared" si="11"/>
        <v>7</v>
      </c>
      <c r="G143" s="1013" t="s">
        <v>5774</v>
      </c>
      <c r="H143" s="929"/>
      <c r="I143" s="929" t="s">
        <v>551</v>
      </c>
      <c r="J143" s="1705" t="s">
        <v>5788</v>
      </c>
      <c r="K143" s="176">
        <v>44523</v>
      </c>
      <c r="L143" s="5">
        <v>44560</v>
      </c>
      <c r="M143" s="1175" t="s">
        <v>4793</v>
      </c>
      <c r="N143" s="3" t="s">
        <v>5281</v>
      </c>
      <c r="O143" s="929" t="s">
        <v>77</v>
      </c>
      <c r="P143" s="927">
        <v>44526</v>
      </c>
      <c r="Q143" s="927">
        <v>44526</v>
      </c>
      <c r="R143" s="1012" t="s">
        <v>4220</v>
      </c>
      <c r="S143" s="933"/>
      <c r="T143" s="1700"/>
      <c r="U143" s="926"/>
    </row>
    <row r="144" spans="1:21" ht="40.5" customHeight="1">
      <c r="A144" s="926" t="s">
        <v>2476</v>
      </c>
      <c r="B144" s="927">
        <v>44694</v>
      </c>
      <c r="C144" s="926">
        <v>2</v>
      </c>
      <c r="D144" s="926">
        <f t="shared" si="10"/>
        <v>14</v>
      </c>
      <c r="E144" s="926"/>
      <c r="F144" s="926">
        <f t="shared" si="11"/>
        <v>8</v>
      </c>
      <c r="G144" s="1013" t="s">
        <v>5072</v>
      </c>
      <c r="H144" s="929"/>
      <c r="I144" s="929" t="s">
        <v>2310</v>
      </c>
      <c r="J144" s="1705"/>
      <c r="K144" s="176"/>
      <c r="L144" s="5"/>
      <c r="M144" s="1175"/>
      <c r="N144" s="3" t="s">
        <v>2503</v>
      </c>
      <c r="O144" s="929" t="s">
        <v>166</v>
      </c>
      <c r="P144" s="927">
        <v>44694</v>
      </c>
      <c r="Q144" s="927">
        <v>44694</v>
      </c>
      <c r="R144" s="1012" t="s">
        <v>4220</v>
      </c>
      <c r="S144" s="933"/>
      <c r="T144" s="1534"/>
      <c r="U144" s="926"/>
    </row>
    <row r="145" spans="1:21" ht="40.5" customHeight="1">
      <c r="A145" s="926" t="s">
        <v>2476</v>
      </c>
      <c r="B145" s="927">
        <v>44694</v>
      </c>
      <c r="C145" s="926">
        <v>2</v>
      </c>
      <c r="D145" s="926">
        <f t="shared" si="10"/>
        <v>14</v>
      </c>
      <c r="E145" s="926"/>
      <c r="F145" s="926">
        <f t="shared" si="11"/>
        <v>9</v>
      </c>
      <c r="G145" s="1013" t="s">
        <v>5073</v>
      </c>
      <c r="H145" s="929"/>
      <c r="I145" s="929" t="s">
        <v>2310</v>
      </c>
      <c r="J145" s="1705"/>
      <c r="K145" s="176"/>
      <c r="L145" s="5"/>
      <c r="M145" s="1175" t="s">
        <v>4746</v>
      </c>
      <c r="N145" s="3" t="s">
        <v>2503</v>
      </c>
      <c r="O145" s="929" t="s">
        <v>166</v>
      </c>
      <c r="P145" s="927">
        <v>44694</v>
      </c>
      <c r="Q145" s="927">
        <v>44694</v>
      </c>
      <c r="R145" s="1012" t="s">
        <v>4220</v>
      </c>
      <c r="S145" s="933"/>
      <c r="T145" s="1534"/>
      <c r="U145" s="926"/>
    </row>
    <row r="146" spans="1:21" ht="40.5" customHeight="1">
      <c r="A146" s="926" t="s">
        <v>2476</v>
      </c>
      <c r="B146" s="927">
        <v>44694</v>
      </c>
      <c r="C146" s="926">
        <v>2</v>
      </c>
      <c r="D146" s="926">
        <f t="shared" si="10"/>
        <v>14</v>
      </c>
      <c r="E146" s="926"/>
      <c r="F146" s="926">
        <f t="shared" si="11"/>
        <v>10</v>
      </c>
      <c r="G146" s="1013" t="s">
        <v>5074</v>
      </c>
      <c r="H146" s="929"/>
      <c r="I146" s="929" t="s">
        <v>2310</v>
      </c>
      <c r="J146" s="1705"/>
      <c r="K146" s="176"/>
      <c r="L146" s="5"/>
      <c r="M146" s="1175" t="s">
        <v>4806</v>
      </c>
      <c r="N146" s="3" t="s">
        <v>1975</v>
      </c>
      <c r="O146" s="929" t="s">
        <v>166</v>
      </c>
      <c r="P146" s="927">
        <v>44694</v>
      </c>
      <c r="Q146" s="927">
        <v>44694</v>
      </c>
      <c r="R146" s="1012" t="s">
        <v>4220</v>
      </c>
      <c r="S146" s="933"/>
      <c r="T146" s="1534"/>
      <c r="U146" s="926"/>
    </row>
    <row r="147" spans="1:21" ht="40.5" customHeight="1">
      <c r="A147" s="926" t="s">
        <v>2476</v>
      </c>
      <c r="B147" s="927">
        <v>44694</v>
      </c>
      <c r="C147" s="926">
        <v>2</v>
      </c>
      <c r="D147" s="926">
        <f t="shared" si="10"/>
        <v>14</v>
      </c>
      <c r="E147" s="926"/>
      <c r="F147" s="926">
        <f t="shared" si="11"/>
        <v>11</v>
      </c>
      <c r="G147" s="1013" t="s">
        <v>5075</v>
      </c>
      <c r="H147" s="929"/>
      <c r="I147" s="929" t="s">
        <v>2310</v>
      </c>
      <c r="J147" s="1705"/>
      <c r="K147" s="176"/>
      <c r="L147" s="5"/>
      <c r="M147" s="1175" t="s">
        <v>2618</v>
      </c>
      <c r="N147" s="3" t="s">
        <v>1975</v>
      </c>
      <c r="O147" s="929" t="s">
        <v>166</v>
      </c>
      <c r="P147" s="927">
        <v>44694</v>
      </c>
      <c r="Q147" s="927">
        <v>44694</v>
      </c>
      <c r="R147" s="1012" t="s">
        <v>4220</v>
      </c>
      <c r="S147" s="933"/>
      <c r="T147" s="1534"/>
      <c r="U147" s="926"/>
    </row>
    <row r="148" spans="1:21" ht="40.5" customHeight="1">
      <c r="A148" s="926" t="s">
        <v>2476</v>
      </c>
      <c r="B148" s="927">
        <v>44694</v>
      </c>
      <c r="C148" s="926">
        <v>2</v>
      </c>
      <c r="D148" s="926">
        <f t="shared" si="10"/>
        <v>14</v>
      </c>
      <c r="E148" s="926"/>
      <c r="F148" s="926">
        <f t="shared" si="11"/>
        <v>12</v>
      </c>
      <c r="G148" s="1013" t="s">
        <v>5076</v>
      </c>
      <c r="H148" s="929"/>
      <c r="I148" s="929" t="s">
        <v>2310</v>
      </c>
      <c r="J148" s="1705"/>
      <c r="K148" s="176"/>
      <c r="L148" s="5"/>
      <c r="M148" s="1175"/>
      <c r="N148" s="3" t="s">
        <v>4226</v>
      </c>
      <c r="O148" s="929" t="s">
        <v>166</v>
      </c>
      <c r="P148" s="927">
        <v>44694</v>
      </c>
      <c r="Q148" s="927">
        <v>44694</v>
      </c>
      <c r="R148" s="1012" t="s">
        <v>4220</v>
      </c>
      <c r="S148" s="933"/>
      <c r="T148" s="1534"/>
      <c r="U148" s="926"/>
    </row>
    <row r="149" spans="1:21" ht="40.5" customHeight="1">
      <c r="A149" s="926" t="s">
        <v>2476</v>
      </c>
      <c r="B149" s="927">
        <v>44694</v>
      </c>
      <c r="C149" s="926">
        <v>2</v>
      </c>
      <c r="D149" s="926">
        <f t="shared" si="10"/>
        <v>14</v>
      </c>
      <c r="E149" s="510" t="s">
        <v>4053</v>
      </c>
      <c r="F149" s="926">
        <v>1</v>
      </c>
      <c r="G149" s="1013" t="s">
        <v>5193</v>
      </c>
      <c r="H149" s="929"/>
      <c r="I149" s="929"/>
      <c r="J149" s="1705"/>
      <c r="K149" s="176"/>
      <c r="L149" s="177"/>
      <c r="M149" s="1175" t="s">
        <v>3146</v>
      </c>
      <c r="N149" s="3" t="s">
        <v>2515</v>
      </c>
      <c r="O149" s="929" t="s">
        <v>5048</v>
      </c>
      <c r="P149" s="927">
        <v>44694</v>
      </c>
      <c r="Q149" s="927">
        <v>44694</v>
      </c>
      <c r="R149" s="1012" t="s">
        <v>4220</v>
      </c>
      <c r="S149" s="933"/>
      <c r="T149" s="1700"/>
      <c r="U149" s="926"/>
    </row>
    <row r="150" spans="1:21" ht="40.5" customHeight="1">
      <c r="A150" s="926" t="s">
        <v>2476</v>
      </c>
      <c r="B150" s="927">
        <v>44694</v>
      </c>
      <c r="C150" s="926">
        <v>2</v>
      </c>
      <c r="D150" s="926">
        <f t="shared" si="10"/>
        <v>14</v>
      </c>
      <c r="E150" s="935"/>
      <c r="F150" s="926">
        <f t="shared" ref="F150:F168" si="12">F149+1</f>
        <v>2</v>
      </c>
      <c r="G150" s="1013" t="s">
        <v>5078</v>
      </c>
      <c r="H150" s="929"/>
      <c r="I150" s="929"/>
      <c r="J150" s="1705"/>
      <c r="K150" s="176"/>
      <c r="L150" s="5"/>
      <c r="M150" s="1175" t="s">
        <v>4890</v>
      </c>
      <c r="N150" s="3" t="s">
        <v>2524</v>
      </c>
      <c r="O150" s="929" t="s">
        <v>166</v>
      </c>
      <c r="P150" s="927">
        <v>44694</v>
      </c>
      <c r="Q150" s="927">
        <v>44694</v>
      </c>
      <c r="R150" s="1012" t="s">
        <v>4220</v>
      </c>
      <c r="S150" s="933"/>
      <c r="T150" s="1700"/>
      <c r="U150" s="926"/>
    </row>
    <row r="151" spans="1:21" ht="40.5" customHeight="1">
      <c r="A151" s="926" t="s">
        <v>2476</v>
      </c>
      <c r="B151" s="927">
        <v>44694</v>
      </c>
      <c r="C151" s="926">
        <v>2</v>
      </c>
      <c r="D151" s="926">
        <f t="shared" si="10"/>
        <v>14</v>
      </c>
      <c r="E151" s="926"/>
      <c r="F151" s="926">
        <f t="shared" si="12"/>
        <v>3</v>
      </c>
      <c r="G151" s="1013" t="s">
        <v>5079</v>
      </c>
      <c r="H151" s="929"/>
      <c r="I151" s="929" t="s">
        <v>2310</v>
      </c>
      <c r="J151" s="1705"/>
      <c r="K151" s="176"/>
      <c r="L151" s="5"/>
      <c r="M151" s="1175"/>
      <c r="N151" s="3" t="s">
        <v>1975</v>
      </c>
      <c r="O151" s="929" t="s">
        <v>166</v>
      </c>
      <c r="P151" s="927">
        <v>44694</v>
      </c>
      <c r="Q151" s="927">
        <v>44694</v>
      </c>
      <c r="R151" s="1012" t="s">
        <v>4220</v>
      </c>
      <c r="S151" s="933"/>
      <c r="T151" s="1534"/>
      <c r="U151" s="926"/>
    </row>
    <row r="152" spans="1:21" ht="54.75" customHeight="1">
      <c r="A152" s="926" t="s">
        <v>2476</v>
      </c>
      <c r="B152" s="927">
        <v>44694</v>
      </c>
      <c r="C152" s="926">
        <v>2</v>
      </c>
      <c r="D152" s="926">
        <f t="shared" si="10"/>
        <v>14</v>
      </c>
      <c r="E152" s="926"/>
      <c r="F152" s="926">
        <f t="shared" si="12"/>
        <v>4</v>
      </c>
      <c r="G152" s="1013" t="s">
        <v>5080</v>
      </c>
      <c r="H152" s="929"/>
      <c r="I152" s="929" t="s">
        <v>2310</v>
      </c>
      <c r="J152" s="1705"/>
      <c r="K152" s="176"/>
      <c r="L152" s="5"/>
      <c r="M152" s="1175" t="s">
        <v>4731</v>
      </c>
      <c r="N152" s="3" t="s">
        <v>1975</v>
      </c>
      <c r="O152" s="929" t="s">
        <v>166</v>
      </c>
      <c r="P152" s="927">
        <v>44694</v>
      </c>
      <c r="Q152" s="927">
        <v>44694</v>
      </c>
      <c r="R152" s="1012" t="s">
        <v>4220</v>
      </c>
      <c r="S152" s="933"/>
      <c r="T152" s="1534"/>
      <c r="U152" s="926"/>
    </row>
    <row r="153" spans="1:21" ht="57.75" customHeight="1">
      <c r="A153" s="926" t="s">
        <v>2476</v>
      </c>
      <c r="B153" s="927">
        <v>44694</v>
      </c>
      <c r="C153" s="926">
        <v>2</v>
      </c>
      <c r="D153" s="926">
        <f t="shared" si="10"/>
        <v>14</v>
      </c>
      <c r="E153" s="926"/>
      <c r="F153" s="926">
        <f t="shared" si="12"/>
        <v>5</v>
      </c>
      <c r="G153" s="1013" t="s">
        <v>5081</v>
      </c>
      <c r="H153" s="929"/>
      <c r="I153" s="929" t="s">
        <v>2310</v>
      </c>
      <c r="J153" s="1705"/>
      <c r="K153" s="176"/>
      <c r="L153" s="5"/>
      <c r="M153" s="1175" t="s">
        <v>5319</v>
      </c>
      <c r="N153" s="3" t="s">
        <v>5090</v>
      </c>
      <c r="O153" s="929" t="s">
        <v>166</v>
      </c>
      <c r="P153" s="927">
        <v>44694</v>
      </c>
      <c r="Q153" s="927">
        <v>44694</v>
      </c>
      <c r="R153" s="1012" t="s">
        <v>4220</v>
      </c>
      <c r="S153" s="933"/>
      <c r="T153" s="1534"/>
      <c r="U153" s="926"/>
    </row>
    <row r="154" spans="1:21" ht="40.5" customHeight="1">
      <c r="A154" s="926" t="s">
        <v>2476</v>
      </c>
      <c r="B154" s="927">
        <v>44694</v>
      </c>
      <c r="C154" s="926">
        <v>2</v>
      </c>
      <c r="D154" s="926">
        <f t="shared" si="10"/>
        <v>14</v>
      </c>
      <c r="E154" s="926"/>
      <c r="F154" s="926">
        <f t="shared" si="12"/>
        <v>6</v>
      </c>
      <c r="G154" s="1013" t="s">
        <v>5082</v>
      </c>
      <c r="H154" s="929"/>
      <c r="I154" s="929" t="s">
        <v>2310</v>
      </c>
      <c r="J154" s="1705"/>
      <c r="K154" s="176"/>
      <c r="L154" s="5"/>
      <c r="M154" s="1175" t="s">
        <v>3143</v>
      </c>
      <c r="N154" s="3" t="s">
        <v>1975</v>
      </c>
      <c r="O154" s="929" t="s">
        <v>166</v>
      </c>
      <c r="P154" s="927">
        <v>44694</v>
      </c>
      <c r="Q154" s="927">
        <v>44694</v>
      </c>
      <c r="R154" s="1012" t="s">
        <v>4220</v>
      </c>
      <c r="S154" s="933"/>
      <c r="T154" s="1534"/>
      <c r="U154" s="926"/>
    </row>
    <row r="155" spans="1:21" ht="40.5" customHeight="1">
      <c r="A155" s="926" t="s">
        <v>2476</v>
      </c>
      <c r="B155" s="927">
        <v>44694</v>
      </c>
      <c r="C155" s="926">
        <v>2</v>
      </c>
      <c r="D155" s="926">
        <f t="shared" si="10"/>
        <v>14</v>
      </c>
      <c r="E155" s="926"/>
      <c r="F155" s="926">
        <f t="shared" si="12"/>
        <v>7</v>
      </c>
      <c r="G155" s="1013" t="s">
        <v>5083</v>
      </c>
      <c r="H155" s="929"/>
      <c r="I155" s="929" t="s">
        <v>2310</v>
      </c>
      <c r="J155" s="1705"/>
      <c r="K155" s="176"/>
      <c r="L155" s="5"/>
      <c r="M155" s="1175"/>
      <c r="N155" s="3" t="s">
        <v>1976</v>
      </c>
      <c r="O155" s="929" t="s">
        <v>166</v>
      </c>
      <c r="P155" s="927">
        <v>44694</v>
      </c>
      <c r="Q155" s="927">
        <v>44694</v>
      </c>
      <c r="R155" s="1012" t="s">
        <v>4220</v>
      </c>
      <c r="S155" s="933"/>
      <c r="T155" s="1534"/>
      <c r="U155" s="926"/>
    </row>
    <row r="156" spans="1:21" ht="40.5" customHeight="1">
      <c r="A156" s="926" t="s">
        <v>2476</v>
      </c>
      <c r="B156" s="927">
        <v>44694</v>
      </c>
      <c r="C156" s="926">
        <v>2</v>
      </c>
      <c r="D156" s="926">
        <f t="shared" si="10"/>
        <v>14</v>
      </c>
      <c r="E156" s="926"/>
      <c r="F156" s="926">
        <f t="shared" si="12"/>
        <v>8</v>
      </c>
      <c r="G156" s="1013" t="s">
        <v>5084</v>
      </c>
      <c r="H156" s="929"/>
      <c r="I156" s="929" t="s">
        <v>2310</v>
      </c>
      <c r="J156" s="1705"/>
      <c r="K156" s="176"/>
      <c r="L156" s="5"/>
      <c r="M156" s="1175"/>
      <c r="N156" s="3" t="s">
        <v>2512</v>
      </c>
      <c r="O156" s="929" t="s">
        <v>166</v>
      </c>
      <c r="P156" s="927">
        <v>44694</v>
      </c>
      <c r="Q156" s="927">
        <v>44694</v>
      </c>
      <c r="R156" s="1012" t="s">
        <v>4220</v>
      </c>
      <c r="S156" s="933"/>
      <c r="T156" s="1534"/>
      <c r="U156" s="926"/>
    </row>
    <row r="157" spans="1:21" ht="40.5" customHeight="1">
      <c r="A157" s="926" t="s">
        <v>2476</v>
      </c>
      <c r="B157" s="927">
        <v>44694</v>
      </c>
      <c r="C157" s="926">
        <v>2</v>
      </c>
      <c r="D157" s="926">
        <f t="shared" si="10"/>
        <v>14</v>
      </c>
      <c r="E157" s="926"/>
      <c r="F157" s="926">
        <f t="shared" si="12"/>
        <v>9</v>
      </c>
      <c r="G157" s="1013" t="s">
        <v>5085</v>
      </c>
      <c r="H157" s="929"/>
      <c r="I157" s="929" t="s">
        <v>2310</v>
      </c>
      <c r="J157" s="1705"/>
      <c r="K157" s="176"/>
      <c r="L157" s="5"/>
      <c r="M157" s="1175" t="s">
        <v>2671</v>
      </c>
      <c r="N157" s="3" t="s">
        <v>2604</v>
      </c>
      <c r="O157" s="929" t="s">
        <v>166</v>
      </c>
      <c r="P157" s="927">
        <v>44694</v>
      </c>
      <c r="Q157" s="927">
        <v>44694</v>
      </c>
      <c r="R157" s="1012" t="s">
        <v>4220</v>
      </c>
      <c r="S157" s="933"/>
      <c r="T157" s="1534"/>
      <c r="U157" s="926"/>
    </row>
    <row r="158" spans="1:21" ht="40.5" customHeight="1">
      <c r="A158" s="926" t="s">
        <v>2476</v>
      </c>
      <c r="B158" s="927">
        <v>44694</v>
      </c>
      <c r="C158" s="926">
        <v>2</v>
      </c>
      <c r="D158" s="926">
        <f t="shared" si="10"/>
        <v>14</v>
      </c>
      <c r="E158" s="926"/>
      <c r="F158" s="926">
        <f t="shared" si="12"/>
        <v>10</v>
      </c>
      <c r="G158" s="1013" t="s">
        <v>5086</v>
      </c>
      <c r="H158" s="929"/>
      <c r="I158" s="929" t="s">
        <v>2310</v>
      </c>
      <c r="J158" s="1705"/>
      <c r="K158" s="176"/>
      <c r="L158" s="5"/>
      <c r="M158" s="1175" t="s">
        <v>4654</v>
      </c>
      <c r="N158" s="3" t="s">
        <v>2512</v>
      </c>
      <c r="O158" s="929" t="s">
        <v>166</v>
      </c>
      <c r="P158" s="927">
        <v>44694</v>
      </c>
      <c r="Q158" s="927">
        <v>44694</v>
      </c>
      <c r="R158" s="1012" t="s">
        <v>4220</v>
      </c>
      <c r="S158" s="933"/>
      <c r="T158" s="1534"/>
      <c r="U158" s="926"/>
    </row>
    <row r="159" spans="1:21" ht="72.75" customHeight="1">
      <c r="A159" s="926" t="s">
        <v>2476</v>
      </c>
      <c r="B159" s="927">
        <v>44694</v>
      </c>
      <c r="C159" s="926">
        <v>2</v>
      </c>
      <c r="D159" s="926">
        <f t="shared" si="10"/>
        <v>14</v>
      </c>
      <c r="E159" s="926"/>
      <c r="F159" s="926">
        <f t="shared" si="12"/>
        <v>11</v>
      </c>
      <c r="G159" s="1013" t="s">
        <v>5087</v>
      </c>
      <c r="H159" s="929"/>
      <c r="I159" s="929" t="s">
        <v>2310</v>
      </c>
      <c r="J159" s="1705"/>
      <c r="K159" s="176"/>
      <c r="L159" s="5"/>
      <c r="M159" s="1175" t="s">
        <v>5319</v>
      </c>
      <c r="N159" s="3" t="s">
        <v>1975</v>
      </c>
      <c r="O159" s="929" t="s">
        <v>166</v>
      </c>
      <c r="P159" s="927">
        <v>44694</v>
      </c>
      <c r="Q159" s="927">
        <v>44694</v>
      </c>
      <c r="R159" s="1012" t="s">
        <v>4220</v>
      </c>
      <c r="S159" s="933"/>
      <c r="T159" s="1534"/>
      <c r="U159" s="926"/>
    </row>
    <row r="160" spans="1:21" ht="40.5" customHeight="1">
      <c r="A160" s="926" t="s">
        <v>2476</v>
      </c>
      <c r="B160" s="927">
        <v>44694</v>
      </c>
      <c r="C160" s="926">
        <v>2</v>
      </c>
      <c r="D160" s="926">
        <f t="shared" si="10"/>
        <v>14</v>
      </c>
      <c r="E160" s="926"/>
      <c r="F160" s="926">
        <f t="shared" si="12"/>
        <v>12</v>
      </c>
      <c r="G160" s="1013" t="s">
        <v>5088</v>
      </c>
      <c r="H160" s="929"/>
      <c r="I160" s="929" t="s">
        <v>2310</v>
      </c>
      <c r="J160" s="1705"/>
      <c r="K160" s="176"/>
      <c r="L160" s="5"/>
      <c r="M160" s="1175" t="s">
        <v>5320</v>
      </c>
      <c r="N160" s="3" t="s">
        <v>2506</v>
      </c>
      <c r="O160" s="929" t="s">
        <v>166</v>
      </c>
      <c r="P160" s="927">
        <v>44694</v>
      </c>
      <c r="Q160" s="927">
        <v>44694</v>
      </c>
      <c r="R160" s="1012" t="s">
        <v>4220</v>
      </c>
      <c r="S160" s="933"/>
      <c r="T160" s="1534"/>
      <c r="U160" s="926"/>
    </row>
    <row r="161" spans="1:21" ht="40.5" customHeight="1">
      <c r="A161" s="926" t="s">
        <v>2476</v>
      </c>
      <c r="B161" s="927">
        <v>44694</v>
      </c>
      <c r="C161" s="926">
        <v>2</v>
      </c>
      <c r="D161" s="926">
        <f t="shared" si="10"/>
        <v>14</v>
      </c>
      <c r="E161" s="926"/>
      <c r="F161" s="926">
        <f t="shared" si="12"/>
        <v>13</v>
      </c>
      <c r="G161" s="1013" t="s">
        <v>5089</v>
      </c>
      <c r="H161" s="929"/>
      <c r="I161" s="929" t="s">
        <v>2310</v>
      </c>
      <c r="J161" s="1705"/>
      <c r="K161" s="176"/>
      <c r="L161" s="5"/>
      <c r="M161" s="1175" t="s">
        <v>5320</v>
      </c>
      <c r="N161" s="3" t="s">
        <v>2506</v>
      </c>
      <c r="O161" s="929" t="s">
        <v>166</v>
      </c>
      <c r="P161" s="927">
        <v>44694</v>
      </c>
      <c r="Q161" s="927">
        <v>44694</v>
      </c>
      <c r="R161" s="1012" t="s">
        <v>4220</v>
      </c>
      <c r="S161" s="933"/>
      <c r="T161" s="1534"/>
      <c r="U161" s="926"/>
    </row>
    <row r="162" spans="1:21" ht="40.5" customHeight="1">
      <c r="A162" s="926" t="s">
        <v>2476</v>
      </c>
      <c r="B162" s="927">
        <v>44694</v>
      </c>
      <c r="C162" s="926">
        <v>2</v>
      </c>
      <c r="D162" s="926">
        <f t="shared" ref="D162:D187" si="13">D161</f>
        <v>14</v>
      </c>
      <c r="E162" s="926"/>
      <c r="F162" s="926">
        <f t="shared" si="12"/>
        <v>14</v>
      </c>
      <c r="G162" s="1013" t="s">
        <v>5091</v>
      </c>
      <c r="H162" s="929"/>
      <c r="I162" s="929" t="s">
        <v>2310</v>
      </c>
      <c r="J162" s="1705"/>
      <c r="K162" s="176"/>
      <c r="L162" s="5"/>
      <c r="M162" s="1175" t="s">
        <v>5320</v>
      </c>
      <c r="N162" s="3" t="s">
        <v>2506</v>
      </c>
      <c r="O162" s="929" t="s">
        <v>166</v>
      </c>
      <c r="P162" s="927">
        <v>44694</v>
      </c>
      <c r="Q162" s="927">
        <v>44694</v>
      </c>
      <c r="R162" s="1012" t="s">
        <v>4220</v>
      </c>
      <c r="S162" s="933"/>
      <c r="T162" s="1534"/>
      <c r="U162" s="926"/>
    </row>
    <row r="163" spans="1:21" ht="40.5" customHeight="1">
      <c r="A163" s="926" t="s">
        <v>2476</v>
      </c>
      <c r="B163" s="927">
        <v>44694</v>
      </c>
      <c r="C163" s="926">
        <v>2</v>
      </c>
      <c r="D163" s="926">
        <f t="shared" si="13"/>
        <v>14</v>
      </c>
      <c r="E163" s="926"/>
      <c r="F163" s="926">
        <f t="shared" si="12"/>
        <v>15</v>
      </c>
      <c r="G163" s="1013" t="s">
        <v>5092</v>
      </c>
      <c r="H163" s="929"/>
      <c r="I163" s="929" t="s">
        <v>2310</v>
      </c>
      <c r="J163" s="1705"/>
      <c r="K163" s="176"/>
      <c r="L163" s="5"/>
      <c r="M163" s="1175" t="s">
        <v>4694</v>
      </c>
      <c r="N163" s="3" t="s">
        <v>2506</v>
      </c>
      <c r="O163" s="929" t="s">
        <v>166</v>
      </c>
      <c r="P163" s="927">
        <v>44694</v>
      </c>
      <c r="Q163" s="927">
        <v>44694</v>
      </c>
      <c r="R163" s="1012" t="s">
        <v>4220</v>
      </c>
      <c r="S163" s="933"/>
      <c r="T163" s="1534"/>
      <c r="U163" s="926"/>
    </row>
    <row r="164" spans="1:21" ht="40.5" customHeight="1">
      <c r="A164" s="926" t="s">
        <v>2476</v>
      </c>
      <c r="B164" s="927">
        <v>44694</v>
      </c>
      <c r="C164" s="926">
        <v>2</v>
      </c>
      <c r="D164" s="926">
        <f t="shared" si="13"/>
        <v>14</v>
      </c>
      <c r="E164" s="926"/>
      <c r="F164" s="926">
        <f t="shared" si="12"/>
        <v>16</v>
      </c>
      <c r="G164" s="1013" t="s">
        <v>5093</v>
      </c>
      <c r="H164" s="929"/>
      <c r="I164" s="929" t="s">
        <v>2310</v>
      </c>
      <c r="J164" s="1705"/>
      <c r="K164" s="176"/>
      <c r="L164" s="5"/>
      <c r="M164" s="1175" t="s">
        <v>4685</v>
      </c>
      <c r="N164" s="3" t="s">
        <v>2506</v>
      </c>
      <c r="O164" s="929" t="s">
        <v>166</v>
      </c>
      <c r="P164" s="927">
        <v>44694</v>
      </c>
      <c r="Q164" s="927">
        <v>44694</v>
      </c>
      <c r="R164" s="1012" t="s">
        <v>4220</v>
      </c>
      <c r="S164" s="933"/>
      <c r="T164" s="1534"/>
      <c r="U164" s="926"/>
    </row>
    <row r="165" spans="1:21" ht="40.5" customHeight="1">
      <c r="A165" s="926" t="s">
        <v>2476</v>
      </c>
      <c r="B165" s="927">
        <v>44694</v>
      </c>
      <c r="C165" s="926">
        <v>2</v>
      </c>
      <c r="D165" s="926">
        <f t="shared" si="13"/>
        <v>14</v>
      </c>
      <c r="E165" s="935" t="s">
        <v>4999</v>
      </c>
      <c r="F165" s="926">
        <f t="shared" si="12"/>
        <v>17</v>
      </c>
      <c r="G165" s="1013" t="s">
        <v>5094</v>
      </c>
      <c r="H165" s="929"/>
      <c r="I165" s="929" t="s">
        <v>551</v>
      </c>
      <c r="J165" s="1705" t="s">
        <v>5789</v>
      </c>
      <c r="K165" s="176">
        <v>44880</v>
      </c>
      <c r="L165" s="5">
        <v>44926</v>
      </c>
      <c r="M165" s="1175" t="s">
        <v>4746</v>
      </c>
      <c r="N165" s="3" t="s">
        <v>2663</v>
      </c>
      <c r="O165" s="929" t="s">
        <v>166</v>
      </c>
      <c r="P165" s="927">
        <v>44694</v>
      </c>
      <c r="Q165" s="927">
        <v>44694</v>
      </c>
      <c r="R165" s="1012" t="s">
        <v>4220</v>
      </c>
      <c r="S165" s="933"/>
      <c r="T165" s="1700"/>
      <c r="U165" s="926"/>
    </row>
    <row r="166" spans="1:21" ht="40.5" customHeight="1">
      <c r="A166" s="926" t="s">
        <v>2476</v>
      </c>
      <c r="B166" s="927">
        <v>44694</v>
      </c>
      <c r="C166" s="926">
        <v>2</v>
      </c>
      <c r="D166" s="926">
        <f t="shared" si="13"/>
        <v>14</v>
      </c>
      <c r="E166" s="935" t="s">
        <v>5347</v>
      </c>
      <c r="F166" s="926">
        <f t="shared" si="12"/>
        <v>18</v>
      </c>
      <c r="G166" s="1013" t="s">
        <v>5095</v>
      </c>
      <c r="H166" s="929"/>
      <c r="I166" s="929" t="s">
        <v>551</v>
      </c>
      <c r="J166" s="1705"/>
      <c r="K166" s="176"/>
      <c r="L166" s="5"/>
      <c r="M166" s="1175" t="s">
        <v>5321</v>
      </c>
      <c r="N166" s="3" t="s">
        <v>1975</v>
      </c>
      <c r="O166" s="929" t="s">
        <v>166</v>
      </c>
      <c r="P166" s="927">
        <v>44694</v>
      </c>
      <c r="Q166" s="927">
        <v>44694</v>
      </c>
      <c r="R166" s="1012" t="s">
        <v>4220</v>
      </c>
      <c r="S166" s="933"/>
      <c r="T166" s="1700"/>
      <c r="U166" s="926"/>
    </row>
    <row r="167" spans="1:21" ht="70.5" customHeight="1">
      <c r="A167" s="926" t="s">
        <v>2476</v>
      </c>
      <c r="B167" s="927">
        <v>44694</v>
      </c>
      <c r="C167" s="926">
        <v>2</v>
      </c>
      <c r="D167" s="926">
        <f t="shared" si="13"/>
        <v>14</v>
      </c>
      <c r="E167" s="926"/>
      <c r="F167" s="926">
        <f t="shared" si="12"/>
        <v>19</v>
      </c>
      <c r="G167" s="1013" t="s">
        <v>5096</v>
      </c>
      <c r="H167" s="929"/>
      <c r="I167" s="929" t="s">
        <v>2310</v>
      </c>
      <c r="J167" s="1705"/>
      <c r="K167" s="176"/>
      <c r="L167" s="5"/>
      <c r="M167" s="1175" t="s">
        <v>5321</v>
      </c>
      <c r="N167" s="3" t="s">
        <v>1975</v>
      </c>
      <c r="O167" s="929" t="s">
        <v>166</v>
      </c>
      <c r="P167" s="927">
        <v>44694</v>
      </c>
      <c r="Q167" s="927">
        <v>44694</v>
      </c>
      <c r="R167" s="1012" t="s">
        <v>4220</v>
      </c>
      <c r="S167" s="933"/>
      <c r="T167" s="1534"/>
      <c r="U167" s="926"/>
    </row>
    <row r="168" spans="1:21" ht="40.5" customHeight="1">
      <c r="A168" s="926" t="s">
        <v>2476</v>
      </c>
      <c r="B168" s="927">
        <v>44694</v>
      </c>
      <c r="C168" s="926">
        <v>2</v>
      </c>
      <c r="D168" s="926">
        <f t="shared" si="13"/>
        <v>14</v>
      </c>
      <c r="E168" s="935" t="s">
        <v>4307</v>
      </c>
      <c r="F168" s="926">
        <f t="shared" si="12"/>
        <v>20</v>
      </c>
      <c r="G168" s="1013" t="s">
        <v>5097</v>
      </c>
      <c r="H168" s="929"/>
      <c r="I168" s="929" t="s">
        <v>551</v>
      </c>
      <c r="J168" s="1705" t="s">
        <v>5789</v>
      </c>
      <c r="K168" s="176">
        <v>44697</v>
      </c>
      <c r="L168" s="5">
        <v>44728</v>
      </c>
      <c r="M168" s="1175" t="s">
        <v>68</v>
      </c>
      <c r="N168" s="3" t="s">
        <v>68</v>
      </c>
      <c r="O168" s="929" t="s">
        <v>166</v>
      </c>
      <c r="P168" s="927">
        <v>44694</v>
      </c>
      <c r="Q168" s="927">
        <v>44694</v>
      </c>
      <c r="R168" s="1012" t="s">
        <v>4220</v>
      </c>
      <c r="S168" s="933"/>
      <c r="T168" s="1700"/>
      <c r="U168" s="926"/>
    </row>
    <row r="169" spans="1:21" ht="147" customHeight="1">
      <c r="A169" s="926" t="s">
        <v>2476</v>
      </c>
      <c r="B169" s="927">
        <v>44854</v>
      </c>
      <c r="C169" s="926">
        <v>3</v>
      </c>
      <c r="D169" s="926">
        <f t="shared" si="13"/>
        <v>14</v>
      </c>
      <c r="E169" s="510" t="s">
        <v>5786</v>
      </c>
      <c r="F169" s="926">
        <v>1</v>
      </c>
      <c r="G169" s="1013" t="s">
        <v>5353</v>
      </c>
      <c r="H169" s="929"/>
      <c r="I169" s="929" t="s">
        <v>551</v>
      </c>
      <c r="J169" s="1705" t="s">
        <v>467</v>
      </c>
      <c r="K169" s="176"/>
      <c r="L169" s="5"/>
      <c r="M169" s="1175" t="s">
        <v>5325</v>
      </c>
      <c r="N169" s="3" t="s">
        <v>1975</v>
      </c>
      <c r="O169" s="929" t="s">
        <v>166</v>
      </c>
      <c r="P169" s="927">
        <v>44854</v>
      </c>
      <c r="Q169" s="927">
        <v>44854</v>
      </c>
      <c r="R169" s="1012" t="s">
        <v>4220</v>
      </c>
      <c r="S169" s="933"/>
      <c r="T169" s="1700" t="s">
        <v>5785</v>
      </c>
      <c r="U169" s="926"/>
    </row>
    <row r="170" spans="1:21" ht="40.5" customHeight="1">
      <c r="A170" s="926" t="s">
        <v>2476</v>
      </c>
      <c r="B170" s="927">
        <v>44694</v>
      </c>
      <c r="C170" s="926">
        <v>2</v>
      </c>
      <c r="D170" s="926">
        <f t="shared" si="13"/>
        <v>14</v>
      </c>
      <c r="E170" s="935"/>
      <c r="F170" s="926">
        <v>1</v>
      </c>
      <c r="G170" s="1013" t="s">
        <v>5100</v>
      </c>
      <c r="H170" s="929"/>
      <c r="I170" s="929"/>
      <c r="J170" s="1705"/>
      <c r="K170" s="176"/>
      <c r="L170" s="5"/>
      <c r="M170" s="1175" t="s">
        <v>3159</v>
      </c>
      <c r="N170" s="3" t="s">
        <v>1975</v>
      </c>
      <c r="O170" s="929" t="s">
        <v>5099</v>
      </c>
      <c r="P170" s="927">
        <v>44694</v>
      </c>
      <c r="Q170" s="927">
        <v>44694</v>
      </c>
      <c r="R170" s="1012" t="s">
        <v>4220</v>
      </c>
      <c r="S170" s="933"/>
      <c r="T170" s="1700"/>
      <c r="U170" s="926"/>
    </row>
    <row r="171" spans="1:21" ht="40.5" customHeight="1">
      <c r="A171" s="926" t="s">
        <v>2476</v>
      </c>
      <c r="B171" s="927">
        <v>44694</v>
      </c>
      <c r="C171" s="926">
        <v>2</v>
      </c>
      <c r="D171" s="926">
        <f t="shared" si="13"/>
        <v>14</v>
      </c>
      <c r="E171" s="926"/>
      <c r="F171" s="926">
        <f t="shared" ref="F171:F176" si="14">F170+1</f>
        <v>2</v>
      </c>
      <c r="G171" s="1013" t="s">
        <v>5101</v>
      </c>
      <c r="H171" s="929"/>
      <c r="I171" s="929" t="s">
        <v>2310</v>
      </c>
      <c r="J171" s="1705"/>
      <c r="K171" s="176"/>
      <c r="L171" s="5"/>
      <c r="M171" s="1175" t="s">
        <v>4806</v>
      </c>
      <c r="N171" s="3" t="s">
        <v>2524</v>
      </c>
      <c r="O171" s="929" t="s">
        <v>5099</v>
      </c>
      <c r="P171" s="927">
        <v>44694</v>
      </c>
      <c r="Q171" s="927">
        <v>44694</v>
      </c>
      <c r="R171" s="1012" t="s">
        <v>4220</v>
      </c>
      <c r="S171" s="933"/>
      <c r="T171" s="1534"/>
      <c r="U171" s="926"/>
    </row>
    <row r="172" spans="1:21" ht="40.5" customHeight="1">
      <c r="A172" s="926" t="s">
        <v>2476</v>
      </c>
      <c r="B172" s="927">
        <v>44854</v>
      </c>
      <c r="C172" s="926">
        <v>3</v>
      </c>
      <c r="D172" s="926">
        <f t="shared" si="13"/>
        <v>14</v>
      </c>
      <c r="E172" s="510" t="s">
        <v>4736</v>
      </c>
      <c r="F172" s="926">
        <f t="shared" si="14"/>
        <v>3</v>
      </c>
      <c r="G172" s="1013" t="s">
        <v>5359</v>
      </c>
      <c r="H172" s="929"/>
      <c r="I172" s="929" t="s">
        <v>551</v>
      </c>
      <c r="J172" s="1705"/>
      <c r="K172" s="176"/>
      <c r="L172" s="5"/>
      <c r="M172" s="1175" t="s">
        <v>4806</v>
      </c>
      <c r="N172" s="3" t="s">
        <v>1975</v>
      </c>
      <c r="O172" s="929" t="s">
        <v>166</v>
      </c>
      <c r="P172" s="927">
        <v>44854</v>
      </c>
      <c r="Q172" s="927">
        <v>44854</v>
      </c>
      <c r="R172" s="1012" t="s">
        <v>4220</v>
      </c>
      <c r="S172" s="933"/>
      <c r="T172" s="1700"/>
      <c r="U172" s="926"/>
    </row>
    <row r="173" spans="1:21" ht="40.5" customHeight="1">
      <c r="A173" s="926" t="s">
        <v>2476</v>
      </c>
      <c r="B173" s="927">
        <v>44694</v>
      </c>
      <c r="C173" s="926">
        <v>2</v>
      </c>
      <c r="D173" s="926">
        <f t="shared" si="13"/>
        <v>14</v>
      </c>
      <c r="E173" s="926"/>
      <c r="F173" s="926">
        <f t="shared" si="14"/>
        <v>4</v>
      </c>
      <c r="G173" s="1013" t="s">
        <v>5102</v>
      </c>
      <c r="H173" s="929"/>
      <c r="I173" s="929" t="s">
        <v>2310</v>
      </c>
      <c r="J173" s="1705"/>
      <c r="K173" s="176"/>
      <c r="L173" s="5"/>
      <c r="M173" s="1175" t="s">
        <v>5321</v>
      </c>
      <c r="N173" s="3" t="s">
        <v>1975</v>
      </c>
      <c r="O173" s="929" t="s">
        <v>5099</v>
      </c>
      <c r="P173" s="927">
        <v>44694</v>
      </c>
      <c r="Q173" s="927">
        <v>44694</v>
      </c>
      <c r="R173" s="1012" t="s">
        <v>4220</v>
      </c>
      <c r="S173" s="933"/>
      <c r="T173" s="1534"/>
      <c r="U173" s="926"/>
    </row>
    <row r="174" spans="1:21" ht="40.5" customHeight="1">
      <c r="A174" s="926" t="s">
        <v>2476</v>
      </c>
      <c r="B174" s="927">
        <v>44694</v>
      </c>
      <c r="C174" s="926">
        <v>2</v>
      </c>
      <c r="D174" s="926">
        <f t="shared" si="13"/>
        <v>14</v>
      </c>
      <c r="E174" s="926"/>
      <c r="F174" s="926">
        <f t="shared" si="14"/>
        <v>5</v>
      </c>
      <c r="G174" s="1013" t="s">
        <v>5103</v>
      </c>
      <c r="H174" s="929"/>
      <c r="I174" s="929" t="s">
        <v>2310</v>
      </c>
      <c r="J174" s="1705"/>
      <c r="K174" s="176"/>
      <c r="L174" s="5"/>
      <c r="M174" s="1175" t="s">
        <v>5322</v>
      </c>
      <c r="N174" s="3" t="s">
        <v>1975</v>
      </c>
      <c r="O174" s="929" t="s">
        <v>5099</v>
      </c>
      <c r="P174" s="927">
        <v>44694</v>
      </c>
      <c r="Q174" s="927">
        <v>44694</v>
      </c>
      <c r="R174" s="1012" t="s">
        <v>4220</v>
      </c>
      <c r="S174" s="933"/>
      <c r="T174" s="1534"/>
      <c r="U174" s="926"/>
    </row>
    <row r="175" spans="1:21" ht="40.5" customHeight="1">
      <c r="A175" s="926" t="s">
        <v>2476</v>
      </c>
      <c r="B175" s="927">
        <v>44694</v>
      </c>
      <c r="C175" s="926">
        <v>2</v>
      </c>
      <c r="D175" s="926">
        <f t="shared" si="13"/>
        <v>14</v>
      </c>
      <c r="E175" s="926"/>
      <c r="F175" s="926">
        <f t="shared" si="14"/>
        <v>6</v>
      </c>
      <c r="G175" s="1013" t="s">
        <v>5104</v>
      </c>
      <c r="H175" s="929"/>
      <c r="I175" s="929" t="s">
        <v>2310</v>
      </c>
      <c r="J175" s="1705"/>
      <c r="K175" s="176"/>
      <c r="L175" s="5"/>
      <c r="M175" s="1175" t="s">
        <v>4699</v>
      </c>
      <c r="N175" s="3" t="s">
        <v>2512</v>
      </c>
      <c r="O175" s="929" t="s">
        <v>5099</v>
      </c>
      <c r="P175" s="927">
        <v>44694</v>
      </c>
      <c r="Q175" s="927">
        <v>44694</v>
      </c>
      <c r="R175" s="1012" t="s">
        <v>4220</v>
      </c>
      <c r="S175" s="933"/>
      <c r="T175" s="1534"/>
      <c r="U175" s="926"/>
    </row>
    <row r="176" spans="1:21" ht="40.5" customHeight="1">
      <c r="A176" s="926" t="s">
        <v>2476</v>
      </c>
      <c r="B176" s="927">
        <v>44694</v>
      </c>
      <c r="C176" s="926">
        <v>2</v>
      </c>
      <c r="D176" s="926">
        <f t="shared" si="13"/>
        <v>14</v>
      </c>
      <c r="E176" s="510"/>
      <c r="F176" s="926">
        <f t="shared" si="14"/>
        <v>7</v>
      </c>
      <c r="G176" s="1013" t="s">
        <v>5101</v>
      </c>
      <c r="H176" s="929"/>
      <c r="I176" s="929"/>
      <c r="J176" s="1705"/>
      <c r="K176" s="176"/>
      <c r="L176" s="5"/>
      <c r="M176" s="1175" t="s">
        <v>4806</v>
      </c>
      <c r="N176" s="3" t="s">
        <v>1975</v>
      </c>
      <c r="O176" s="929" t="s">
        <v>5099</v>
      </c>
      <c r="P176" s="927">
        <v>44694</v>
      </c>
      <c r="Q176" s="927">
        <v>44694</v>
      </c>
      <c r="R176" s="1012" t="s">
        <v>4220</v>
      </c>
      <c r="S176" s="933"/>
      <c r="T176" s="1700"/>
      <c r="U176" s="926"/>
    </row>
    <row r="177" spans="1:21" ht="123.75" customHeight="1">
      <c r="A177" s="926" t="s">
        <v>2476</v>
      </c>
      <c r="B177" s="927">
        <v>44694</v>
      </c>
      <c r="C177" s="926">
        <v>2</v>
      </c>
      <c r="D177" s="926">
        <f t="shared" si="13"/>
        <v>14</v>
      </c>
      <c r="E177" s="926"/>
      <c r="F177" s="926">
        <v>1</v>
      </c>
      <c r="G177" s="1013" t="s">
        <v>5107</v>
      </c>
      <c r="H177" s="929"/>
      <c r="I177" s="929" t="s">
        <v>2310</v>
      </c>
      <c r="J177" s="1705"/>
      <c r="K177" s="176"/>
      <c r="L177" s="5"/>
      <c r="M177" s="1175" t="s">
        <v>4793</v>
      </c>
      <c r="N177" s="3" t="s">
        <v>5106</v>
      </c>
      <c r="O177" s="929" t="s">
        <v>867</v>
      </c>
      <c r="P177" s="927">
        <v>44694</v>
      </c>
      <c r="Q177" s="927">
        <v>44694</v>
      </c>
      <c r="R177" s="1012" t="s">
        <v>4220</v>
      </c>
      <c r="S177" s="933"/>
      <c r="T177" s="1534"/>
      <c r="U177" s="926"/>
    </row>
    <row r="178" spans="1:21" ht="122.25" customHeight="1">
      <c r="A178" s="926" t="s">
        <v>2476</v>
      </c>
      <c r="B178" s="927">
        <v>44694</v>
      </c>
      <c r="C178" s="926">
        <v>2</v>
      </c>
      <c r="D178" s="926">
        <f t="shared" si="13"/>
        <v>14</v>
      </c>
      <c r="E178" s="926"/>
      <c r="F178" s="926">
        <f>F177+1</f>
        <v>2</v>
      </c>
      <c r="G178" s="1013" t="s">
        <v>5108</v>
      </c>
      <c r="H178" s="929"/>
      <c r="I178" s="929" t="s">
        <v>2310</v>
      </c>
      <c r="J178" s="1705"/>
      <c r="K178" s="176"/>
      <c r="L178" s="5"/>
      <c r="M178" s="1175" t="s">
        <v>3141</v>
      </c>
      <c r="N178" s="3" t="s">
        <v>5106</v>
      </c>
      <c r="O178" s="929" t="s">
        <v>867</v>
      </c>
      <c r="P178" s="927">
        <v>44694</v>
      </c>
      <c r="Q178" s="927">
        <v>44694</v>
      </c>
      <c r="R178" s="1012" t="s">
        <v>4220</v>
      </c>
      <c r="S178" s="933"/>
      <c r="T178" s="1534"/>
      <c r="U178" s="926"/>
    </row>
    <row r="179" spans="1:21" ht="61.5" customHeight="1">
      <c r="A179" s="926" t="s">
        <v>2476</v>
      </c>
      <c r="B179" s="927">
        <v>44694</v>
      </c>
      <c r="C179" s="926">
        <v>2</v>
      </c>
      <c r="D179" s="926">
        <f t="shared" si="13"/>
        <v>14</v>
      </c>
      <c r="E179" s="510" t="s">
        <v>5405</v>
      </c>
      <c r="F179" s="926">
        <f>F178+1</f>
        <v>3</v>
      </c>
      <c r="G179" s="1013" t="s">
        <v>5109</v>
      </c>
      <c r="H179" s="929"/>
      <c r="I179" s="929" t="s">
        <v>551</v>
      </c>
      <c r="J179" s="1705" t="s">
        <v>5787</v>
      </c>
      <c r="K179" s="176">
        <v>44987</v>
      </c>
      <c r="L179" s="5">
        <v>45048</v>
      </c>
      <c r="M179" s="1175" t="s">
        <v>5324</v>
      </c>
      <c r="N179" s="3" t="s">
        <v>5106</v>
      </c>
      <c r="O179" s="929" t="s">
        <v>867</v>
      </c>
      <c r="P179" s="927">
        <v>44694</v>
      </c>
      <c r="Q179" s="927">
        <v>44694</v>
      </c>
      <c r="R179" s="1012" t="s">
        <v>4220</v>
      </c>
      <c r="S179" s="933"/>
      <c r="T179" s="1700" t="s">
        <v>5772</v>
      </c>
      <c r="U179" s="926"/>
    </row>
    <row r="180" spans="1:21" ht="40.5" customHeight="1">
      <c r="A180" s="926" t="s">
        <v>2476</v>
      </c>
      <c r="B180" s="927">
        <v>44694</v>
      </c>
      <c r="C180" s="926">
        <v>2</v>
      </c>
      <c r="D180" s="926">
        <f t="shared" si="13"/>
        <v>14</v>
      </c>
      <c r="E180" s="935" t="s">
        <v>3107</v>
      </c>
      <c r="F180" s="926">
        <v>1</v>
      </c>
      <c r="G180" s="1013" t="s">
        <v>5110</v>
      </c>
      <c r="H180" s="929"/>
      <c r="I180" s="929" t="s">
        <v>551</v>
      </c>
      <c r="J180" s="1705"/>
      <c r="K180" s="176"/>
      <c r="L180" s="5"/>
      <c r="M180" s="1175" t="s">
        <v>5325</v>
      </c>
      <c r="N180" s="3" t="s">
        <v>1975</v>
      </c>
      <c r="O180" s="929" t="s">
        <v>3107</v>
      </c>
      <c r="P180" s="927">
        <v>44694</v>
      </c>
      <c r="Q180" s="927">
        <v>44694</v>
      </c>
      <c r="R180" s="1012" t="s">
        <v>4220</v>
      </c>
      <c r="S180" s="933"/>
      <c r="T180" s="1700"/>
      <c r="U180" s="926"/>
    </row>
    <row r="181" spans="1:21" ht="40.5" customHeight="1">
      <c r="A181" s="926" t="s">
        <v>2476</v>
      </c>
      <c r="B181" s="927">
        <v>44694</v>
      </c>
      <c r="C181" s="926">
        <v>2</v>
      </c>
      <c r="D181" s="926">
        <f t="shared" si="13"/>
        <v>14</v>
      </c>
      <c r="E181" s="935" t="s">
        <v>3107</v>
      </c>
      <c r="F181" s="926">
        <f>F180+1</f>
        <v>2</v>
      </c>
      <c r="G181" s="1013" t="s">
        <v>5111</v>
      </c>
      <c r="H181" s="929"/>
      <c r="I181" s="929" t="s">
        <v>551</v>
      </c>
      <c r="J181" s="1705"/>
      <c r="K181" s="176"/>
      <c r="L181" s="5"/>
      <c r="M181" s="1175"/>
      <c r="N181" s="3" t="s">
        <v>2577</v>
      </c>
      <c r="O181" s="929" t="s">
        <v>3107</v>
      </c>
      <c r="P181" s="927">
        <v>44694</v>
      </c>
      <c r="Q181" s="927">
        <v>44694</v>
      </c>
      <c r="R181" s="1012" t="s">
        <v>4220</v>
      </c>
      <c r="S181" s="933"/>
      <c r="T181" s="1700"/>
      <c r="U181" s="926"/>
    </row>
    <row r="182" spans="1:21" ht="40.5" customHeight="1">
      <c r="A182" s="926" t="s">
        <v>2476</v>
      </c>
      <c r="B182" s="927">
        <v>44694</v>
      </c>
      <c r="C182" s="926">
        <v>2</v>
      </c>
      <c r="D182" s="926">
        <f t="shared" si="13"/>
        <v>14</v>
      </c>
      <c r="E182" s="935" t="s">
        <v>3107</v>
      </c>
      <c r="F182" s="926">
        <f>F181+1</f>
        <v>3</v>
      </c>
      <c r="G182" s="1013" t="s">
        <v>5112</v>
      </c>
      <c r="H182" s="929"/>
      <c r="I182" s="929" t="s">
        <v>551</v>
      </c>
      <c r="J182" s="1705"/>
      <c r="K182" s="176"/>
      <c r="L182" s="5"/>
      <c r="M182" s="1175" t="s">
        <v>3141</v>
      </c>
      <c r="N182" s="3" t="s">
        <v>1975</v>
      </c>
      <c r="O182" s="929" t="s">
        <v>3107</v>
      </c>
      <c r="P182" s="927">
        <v>44694</v>
      </c>
      <c r="Q182" s="927">
        <v>44694</v>
      </c>
      <c r="R182" s="1012" t="s">
        <v>4220</v>
      </c>
      <c r="S182" s="933"/>
      <c r="T182" s="1700"/>
      <c r="U182" s="926"/>
    </row>
    <row r="183" spans="1:21" ht="40.5" customHeight="1">
      <c r="A183" s="926" t="s">
        <v>2476</v>
      </c>
      <c r="B183" s="927">
        <v>44694</v>
      </c>
      <c r="C183" s="926">
        <v>2</v>
      </c>
      <c r="D183" s="926">
        <f t="shared" si="13"/>
        <v>14</v>
      </c>
      <c r="E183" s="926"/>
      <c r="F183" s="926">
        <f>F182+1</f>
        <v>4</v>
      </c>
      <c r="G183" s="1013" t="s">
        <v>5113</v>
      </c>
      <c r="H183" s="929"/>
      <c r="I183" s="929" t="s">
        <v>2310</v>
      </c>
      <c r="J183" s="1705"/>
      <c r="K183" s="176"/>
      <c r="L183" s="5"/>
      <c r="M183" s="1175"/>
      <c r="N183" s="3" t="s">
        <v>1975</v>
      </c>
      <c r="O183" s="929" t="s">
        <v>3107</v>
      </c>
      <c r="P183" s="927">
        <v>44694</v>
      </c>
      <c r="Q183" s="927">
        <v>44694</v>
      </c>
      <c r="R183" s="1012" t="s">
        <v>4220</v>
      </c>
      <c r="S183" s="933"/>
      <c r="T183" s="1534"/>
      <c r="U183" s="926"/>
    </row>
    <row r="184" spans="1:21" ht="40.5" customHeight="1">
      <c r="A184" s="926" t="s">
        <v>2476</v>
      </c>
      <c r="B184" s="927">
        <v>44694</v>
      </c>
      <c r="C184" s="926">
        <v>2</v>
      </c>
      <c r="D184" s="926">
        <f t="shared" si="13"/>
        <v>14</v>
      </c>
      <c r="E184" s="926"/>
      <c r="F184" s="926">
        <f>F183+1</f>
        <v>5</v>
      </c>
      <c r="G184" s="1013" t="s">
        <v>5114</v>
      </c>
      <c r="H184" s="929"/>
      <c r="I184" s="929" t="s">
        <v>2310</v>
      </c>
      <c r="J184" s="1705"/>
      <c r="K184" s="176"/>
      <c r="L184" s="5"/>
      <c r="M184" s="1175"/>
      <c r="N184" s="3" t="s">
        <v>2577</v>
      </c>
      <c r="O184" s="929" t="s">
        <v>3107</v>
      </c>
      <c r="P184" s="927">
        <v>44694</v>
      </c>
      <c r="Q184" s="927">
        <v>44694</v>
      </c>
      <c r="R184" s="1012" t="s">
        <v>4220</v>
      </c>
      <c r="S184" s="933"/>
      <c r="T184" s="1534"/>
      <c r="U184" s="926"/>
    </row>
    <row r="185" spans="1:21" ht="40.5" customHeight="1">
      <c r="A185" s="926" t="s">
        <v>2476</v>
      </c>
      <c r="B185" s="927">
        <v>44694</v>
      </c>
      <c r="C185" s="926">
        <v>2</v>
      </c>
      <c r="D185" s="926">
        <f t="shared" si="13"/>
        <v>14</v>
      </c>
      <c r="E185" s="926"/>
      <c r="F185" s="926">
        <f>F184+1</f>
        <v>6</v>
      </c>
      <c r="G185" s="1013" t="s">
        <v>5115</v>
      </c>
      <c r="H185" s="929"/>
      <c r="I185" s="929" t="s">
        <v>2310</v>
      </c>
      <c r="J185" s="1705"/>
      <c r="K185" s="176"/>
      <c r="L185" s="5"/>
      <c r="M185" s="1175"/>
      <c r="N185" s="3" t="s">
        <v>2577</v>
      </c>
      <c r="O185" s="929" t="s">
        <v>3107</v>
      </c>
      <c r="P185" s="927">
        <v>44694</v>
      </c>
      <c r="Q185" s="927">
        <v>44694</v>
      </c>
      <c r="R185" s="1012" t="s">
        <v>4220</v>
      </c>
      <c r="S185" s="933"/>
      <c r="T185" s="1534"/>
      <c r="U185" s="926"/>
    </row>
    <row r="186" spans="1:21" ht="40.5" customHeight="1">
      <c r="A186" s="926" t="s">
        <v>2476</v>
      </c>
      <c r="B186" s="927">
        <v>44694</v>
      </c>
      <c r="C186" s="926">
        <v>2</v>
      </c>
      <c r="D186" s="926">
        <f t="shared" si="13"/>
        <v>14</v>
      </c>
      <c r="E186" s="926"/>
      <c r="F186" s="926">
        <v>1</v>
      </c>
      <c r="G186" s="1013" t="s">
        <v>5116</v>
      </c>
      <c r="H186" s="929"/>
      <c r="I186" s="929" t="s">
        <v>2310</v>
      </c>
      <c r="J186" s="1705"/>
      <c r="K186" s="176"/>
      <c r="L186" s="5"/>
      <c r="M186" s="1175"/>
      <c r="N186" s="3" t="s">
        <v>1975</v>
      </c>
      <c r="O186" s="929" t="s">
        <v>5043</v>
      </c>
      <c r="P186" s="927">
        <v>44694</v>
      </c>
      <c r="Q186" s="927">
        <v>44694</v>
      </c>
      <c r="R186" s="1012" t="s">
        <v>4220</v>
      </c>
      <c r="S186" s="933"/>
      <c r="T186" s="1534"/>
      <c r="U186" s="926"/>
    </row>
    <row r="187" spans="1:21" ht="40.5" customHeight="1">
      <c r="A187" s="926" t="s">
        <v>2476</v>
      </c>
      <c r="B187" s="927">
        <v>44694</v>
      </c>
      <c r="C187" s="926">
        <v>2</v>
      </c>
      <c r="D187" s="926">
        <f t="shared" si="13"/>
        <v>14</v>
      </c>
      <c r="E187" s="926"/>
      <c r="F187" s="926">
        <f>F186+1</f>
        <v>2</v>
      </c>
      <c r="G187" s="1013" t="s">
        <v>5117</v>
      </c>
      <c r="H187" s="929"/>
      <c r="I187" s="929" t="s">
        <v>2310</v>
      </c>
      <c r="J187" s="1705"/>
      <c r="K187" s="176"/>
      <c r="L187" s="5"/>
      <c r="M187" s="1175"/>
      <c r="N187" s="3" t="s">
        <v>1975</v>
      </c>
      <c r="O187" s="929" t="s">
        <v>5043</v>
      </c>
      <c r="P187" s="927">
        <v>44694</v>
      </c>
      <c r="Q187" s="927">
        <v>44694</v>
      </c>
      <c r="R187" s="1012" t="s">
        <v>4220</v>
      </c>
      <c r="S187" s="933"/>
      <c r="T187" s="1534"/>
      <c r="U187" s="926"/>
    </row>
    <row r="188" spans="1:21" ht="52.5" customHeight="1">
      <c r="A188" s="926" t="s">
        <v>2476</v>
      </c>
      <c r="B188" s="927">
        <v>44694</v>
      </c>
      <c r="C188" s="926">
        <v>2</v>
      </c>
      <c r="D188" s="926">
        <v>15</v>
      </c>
      <c r="E188" s="935" t="s">
        <v>352</v>
      </c>
      <c r="F188" s="926">
        <v>1</v>
      </c>
      <c r="G188" s="1013" t="s">
        <v>5118</v>
      </c>
      <c r="H188" s="929"/>
      <c r="I188" s="929" t="s">
        <v>551</v>
      </c>
      <c r="J188" s="1705"/>
      <c r="K188" s="176"/>
      <c r="L188" s="5"/>
      <c r="M188" s="1175"/>
      <c r="N188" s="3" t="s">
        <v>1975</v>
      </c>
      <c r="O188" s="929" t="s">
        <v>5044</v>
      </c>
      <c r="P188" s="927">
        <v>44694</v>
      </c>
      <c r="Q188" s="927">
        <v>44694</v>
      </c>
      <c r="R188" s="1012" t="s">
        <v>4220</v>
      </c>
      <c r="S188" s="933"/>
      <c r="T188" s="1700"/>
      <c r="U188" s="926"/>
    </row>
    <row r="189" spans="1:21" ht="40.5" customHeight="1">
      <c r="A189" s="926" t="s">
        <v>2476</v>
      </c>
      <c r="B189" s="927">
        <v>44694</v>
      </c>
      <c r="C189" s="926">
        <v>2</v>
      </c>
      <c r="D189" s="926">
        <f t="shared" ref="D189:D218" si="15">D188</f>
        <v>15</v>
      </c>
      <c r="E189" s="926"/>
      <c r="F189" s="926">
        <f>F188+1</f>
        <v>2</v>
      </c>
      <c r="G189" s="1013" t="s">
        <v>5119</v>
      </c>
      <c r="H189" s="929"/>
      <c r="I189" s="929" t="s">
        <v>2310</v>
      </c>
      <c r="J189" s="1705"/>
      <c r="K189" s="176"/>
      <c r="L189" s="5"/>
      <c r="M189" s="1175" t="s">
        <v>3419</v>
      </c>
      <c r="N189" s="3" t="s">
        <v>2604</v>
      </c>
      <c r="O189" s="929" t="s">
        <v>5044</v>
      </c>
      <c r="P189" s="927">
        <v>44694</v>
      </c>
      <c r="Q189" s="927">
        <v>44694</v>
      </c>
      <c r="R189" s="1012" t="s">
        <v>4220</v>
      </c>
      <c r="S189" s="933"/>
      <c r="T189" s="1534"/>
      <c r="U189" s="926"/>
    </row>
    <row r="190" spans="1:21" ht="40.5" customHeight="1">
      <c r="A190" s="926" t="s">
        <v>2476</v>
      </c>
      <c r="B190" s="927">
        <v>44694</v>
      </c>
      <c r="C190" s="926">
        <v>2</v>
      </c>
      <c r="D190" s="926">
        <f t="shared" si="15"/>
        <v>15</v>
      </c>
      <c r="E190" s="926"/>
      <c r="F190" s="926">
        <v>1</v>
      </c>
      <c r="G190" s="1013" t="s">
        <v>5120</v>
      </c>
      <c r="H190" s="929"/>
      <c r="I190" s="929" t="s">
        <v>2310</v>
      </c>
      <c r="J190" s="1705"/>
      <c r="K190" s="176"/>
      <c r="L190" s="5"/>
      <c r="M190" s="1175"/>
      <c r="N190" s="3" t="s">
        <v>1975</v>
      </c>
      <c r="O190" s="929" t="s">
        <v>5045</v>
      </c>
      <c r="P190" s="927">
        <v>44694</v>
      </c>
      <c r="Q190" s="927">
        <v>44694</v>
      </c>
      <c r="R190" s="1012" t="s">
        <v>4220</v>
      </c>
      <c r="S190" s="933"/>
      <c r="T190" s="1534"/>
      <c r="U190" s="926"/>
    </row>
    <row r="191" spans="1:21" ht="40.5" customHeight="1">
      <c r="A191" s="926" t="s">
        <v>2476</v>
      </c>
      <c r="B191" s="927">
        <v>44694</v>
      </c>
      <c r="C191" s="926">
        <v>2</v>
      </c>
      <c r="D191" s="926">
        <f t="shared" si="15"/>
        <v>15</v>
      </c>
      <c r="E191" s="926"/>
      <c r="F191" s="926">
        <f>F190+1</f>
        <v>2</v>
      </c>
      <c r="G191" s="1013" t="s">
        <v>5121</v>
      </c>
      <c r="H191" s="929"/>
      <c r="I191" s="929" t="s">
        <v>2310</v>
      </c>
      <c r="J191" s="1705"/>
      <c r="K191" s="176"/>
      <c r="L191" s="5"/>
      <c r="M191" s="1175"/>
      <c r="N191" s="3" t="s">
        <v>1975</v>
      </c>
      <c r="O191" s="929" t="s">
        <v>5045</v>
      </c>
      <c r="P191" s="927">
        <v>44694</v>
      </c>
      <c r="Q191" s="927">
        <v>44694</v>
      </c>
      <c r="R191" s="1012" t="s">
        <v>4220</v>
      </c>
      <c r="S191" s="933"/>
      <c r="T191" s="1534"/>
      <c r="U191" s="926"/>
    </row>
    <row r="192" spans="1:21" ht="40.5" customHeight="1">
      <c r="A192" s="926" t="s">
        <v>2476</v>
      </c>
      <c r="B192" s="927">
        <v>44694</v>
      </c>
      <c r="C192" s="926">
        <v>2</v>
      </c>
      <c r="D192" s="926">
        <f t="shared" si="15"/>
        <v>15</v>
      </c>
      <c r="E192" s="926"/>
      <c r="F192" s="926">
        <f>F191+1</f>
        <v>3</v>
      </c>
      <c r="G192" s="1013" t="s">
        <v>5122</v>
      </c>
      <c r="H192" s="929"/>
      <c r="I192" s="929" t="s">
        <v>2310</v>
      </c>
      <c r="J192" s="1705"/>
      <c r="K192" s="176"/>
      <c r="L192" s="5"/>
      <c r="M192" s="1175"/>
      <c r="N192" s="3" t="s">
        <v>1975</v>
      </c>
      <c r="O192" s="929" t="s">
        <v>5045</v>
      </c>
      <c r="P192" s="927">
        <v>44694</v>
      </c>
      <c r="Q192" s="927">
        <v>44694</v>
      </c>
      <c r="R192" s="1012" t="s">
        <v>4220</v>
      </c>
      <c r="S192" s="933"/>
      <c r="T192" s="1534"/>
      <c r="U192" s="926"/>
    </row>
    <row r="193" spans="1:21" ht="40.5" customHeight="1">
      <c r="A193" s="926" t="s">
        <v>2476</v>
      </c>
      <c r="B193" s="927">
        <v>44694</v>
      </c>
      <c r="C193" s="926">
        <v>2</v>
      </c>
      <c r="D193" s="926">
        <f t="shared" si="15"/>
        <v>15</v>
      </c>
      <c r="E193" s="926"/>
      <c r="F193" s="926">
        <v>1</v>
      </c>
      <c r="G193" s="1013" t="s">
        <v>5123</v>
      </c>
      <c r="H193" s="929"/>
      <c r="I193" s="929" t="s">
        <v>2310</v>
      </c>
      <c r="J193" s="1705"/>
      <c r="K193" s="176"/>
      <c r="L193" s="5"/>
      <c r="M193" s="1175" t="s">
        <v>5326</v>
      </c>
      <c r="N193" s="3" t="s">
        <v>1975</v>
      </c>
      <c r="O193" s="929" t="s">
        <v>5046</v>
      </c>
      <c r="P193" s="927">
        <v>44694</v>
      </c>
      <c r="Q193" s="927">
        <v>44694</v>
      </c>
      <c r="R193" s="1012" t="s">
        <v>4220</v>
      </c>
      <c r="S193" s="933"/>
      <c r="T193" s="1534"/>
      <c r="U193" s="926"/>
    </row>
    <row r="194" spans="1:21" ht="40.5" customHeight="1">
      <c r="A194" s="926" t="s">
        <v>2476</v>
      </c>
      <c r="B194" s="927">
        <v>44694</v>
      </c>
      <c r="C194" s="926">
        <v>2</v>
      </c>
      <c r="D194" s="926">
        <f t="shared" si="15"/>
        <v>15</v>
      </c>
      <c r="E194" s="926"/>
      <c r="F194" s="926">
        <f>F193+1</f>
        <v>2</v>
      </c>
      <c r="G194" s="1013" t="s">
        <v>5124</v>
      </c>
      <c r="H194" s="929"/>
      <c r="I194" s="929" t="s">
        <v>2310</v>
      </c>
      <c r="J194" s="1705"/>
      <c r="K194" s="176"/>
      <c r="L194" s="5"/>
      <c r="M194" s="1175" t="s">
        <v>2500</v>
      </c>
      <c r="N194" s="3" t="s">
        <v>1975</v>
      </c>
      <c r="O194" s="929" t="s">
        <v>5046</v>
      </c>
      <c r="P194" s="927">
        <v>44694</v>
      </c>
      <c r="Q194" s="927">
        <v>44694</v>
      </c>
      <c r="R194" s="1012" t="s">
        <v>4220</v>
      </c>
      <c r="S194" s="933"/>
      <c r="T194" s="1534"/>
      <c r="U194" s="926"/>
    </row>
    <row r="195" spans="1:21" ht="53.25" customHeight="1">
      <c r="A195" s="926" t="s">
        <v>2476</v>
      </c>
      <c r="B195" s="927">
        <v>44694</v>
      </c>
      <c r="C195" s="926">
        <v>2</v>
      </c>
      <c r="D195" s="926">
        <f t="shared" si="15"/>
        <v>15</v>
      </c>
      <c r="E195" s="510" t="s">
        <v>4736</v>
      </c>
      <c r="F195" s="926">
        <f>F194+1</f>
        <v>3</v>
      </c>
      <c r="G195" s="1013" t="s">
        <v>5077</v>
      </c>
      <c r="H195" s="929"/>
      <c r="I195" s="929" t="s">
        <v>551</v>
      </c>
      <c r="J195" s="1705"/>
      <c r="K195" s="176"/>
      <c r="L195" s="5"/>
      <c r="M195" s="1175" t="s">
        <v>5318</v>
      </c>
      <c r="N195" s="3" t="s">
        <v>1975</v>
      </c>
      <c r="O195" s="929" t="s">
        <v>166</v>
      </c>
      <c r="P195" s="927">
        <v>44694</v>
      </c>
      <c r="Q195" s="927">
        <v>44694</v>
      </c>
      <c r="R195" s="1012" t="s">
        <v>4220</v>
      </c>
      <c r="S195" s="933"/>
      <c r="T195" s="1700"/>
      <c r="U195" s="926"/>
    </row>
    <row r="196" spans="1:21" ht="60" customHeight="1">
      <c r="A196" s="926" t="s">
        <v>2476</v>
      </c>
      <c r="B196" s="927">
        <v>44694</v>
      </c>
      <c r="C196" s="926">
        <v>2</v>
      </c>
      <c r="D196" s="926">
        <f t="shared" si="15"/>
        <v>15</v>
      </c>
      <c r="E196" s="926"/>
      <c r="F196" s="926">
        <v>1</v>
      </c>
      <c r="G196" s="1013" t="s">
        <v>5126</v>
      </c>
      <c r="H196" s="929"/>
      <c r="I196" s="929" t="s">
        <v>2310</v>
      </c>
      <c r="J196" s="1705"/>
      <c r="K196" s="176"/>
      <c r="L196" s="5"/>
      <c r="M196" s="1175" t="s">
        <v>2647</v>
      </c>
      <c r="N196" s="3" t="s">
        <v>1975</v>
      </c>
      <c r="O196" s="929" t="s">
        <v>77</v>
      </c>
      <c r="P196" s="927">
        <v>44694</v>
      </c>
      <c r="Q196" s="927">
        <v>44694</v>
      </c>
      <c r="R196" s="1012" t="s">
        <v>4220</v>
      </c>
      <c r="S196" s="933"/>
      <c r="T196" s="1534"/>
      <c r="U196" s="926"/>
    </row>
    <row r="197" spans="1:21" ht="40.5" customHeight="1">
      <c r="A197" s="926" t="s">
        <v>2476</v>
      </c>
      <c r="B197" s="927">
        <v>44694</v>
      </c>
      <c r="C197" s="926">
        <v>2</v>
      </c>
      <c r="D197" s="926">
        <f t="shared" si="15"/>
        <v>15</v>
      </c>
      <c r="E197" s="926"/>
      <c r="F197" s="926">
        <f t="shared" ref="F197:F228" si="16">F196+1</f>
        <v>2</v>
      </c>
      <c r="G197" s="1013" t="s">
        <v>5127</v>
      </c>
      <c r="H197" s="929"/>
      <c r="I197" s="929" t="s">
        <v>2310</v>
      </c>
      <c r="J197" s="1705"/>
      <c r="K197" s="176"/>
      <c r="L197" s="5"/>
      <c r="M197" s="1175" t="s">
        <v>2660</v>
      </c>
      <c r="N197" s="3" t="s">
        <v>1975</v>
      </c>
      <c r="O197" s="929" t="s">
        <v>77</v>
      </c>
      <c r="P197" s="927">
        <v>44694</v>
      </c>
      <c r="Q197" s="927">
        <v>44694</v>
      </c>
      <c r="R197" s="1012" t="s">
        <v>4220</v>
      </c>
      <c r="S197" s="933"/>
      <c r="T197" s="1534"/>
      <c r="U197" s="926"/>
    </row>
    <row r="198" spans="1:21" ht="40.5" customHeight="1">
      <c r="A198" s="926" t="s">
        <v>2476</v>
      </c>
      <c r="B198" s="927">
        <v>44694</v>
      </c>
      <c r="C198" s="926">
        <v>2</v>
      </c>
      <c r="D198" s="926">
        <f t="shared" si="15"/>
        <v>15</v>
      </c>
      <c r="E198" s="926"/>
      <c r="F198" s="926">
        <f t="shared" si="16"/>
        <v>3</v>
      </c>
      <c r="G198" s="1013" t="s">
        <v>5128</v>
      </c>
      <c r="H198" s="929"/>
      <c r="I198" s="929" t="s">
        <v>2310</v>
      </c>
      <c r="J198" s="1705"/>
      <c r="K198" s="176"/>
      <c r="L198" s="5"/>
      <c r="M198" s="1175" t="s">
        <v>2660</v>
      </c>
      <c r="N198" s="3" t="s">
        <v>1975</v>
      </c>
      <c r="O198" s="929" t="s">
        <v>77</v>
      </c>
      <c r="P198" s="927">
        <v>44694</v>
      </c>
      <c r="Q198" s="927">
        <v>44694</v>
      </c>
      <c r="R198" s="1012" t="s">
        <v>4220</v>
      </c>
      <c r="S198" s="933"/>
      <c r="T198" s="1534"/>
      <c r="U198" s="926"/>
    </row>
    <row r="199" spans="1:21" ht="40.5" customHeight="1">
      <c r="A199" s="926" t="s">
        <v>2476</v>
      </c>
      <c r="B199" s="927">
        <v>44694</v>
      </c>
      <c r="C199" s="926">
        <v>2</v>
      </c>
      <c r="D199" s="926">
        <f t="shared" si="15"/>
        <v>15</v>
      </c>
      <c r="E199" s="926"/>
      <c r="F199" s="926">
        <f t="shared" si="16"/>
        <v>4</v>
      </c>
      <c r="G199" s="1013" t="s">
        <v>5129</v>
      </c>
      <c r="H199" s="929"/>
      <c r="I199" s="929" t="s">
        <v>2310</v>
      </c>
      <c r="J199" s="1705"/>
      <c r="K199" s="176"/>
      <c r="L199" s="5"/>
      <c r="M199" s="1175" t="s">
        <v>2660</v>
      </c>
      <c r="N199" s="3" t="s">
        <v>1975</v>
      </c>
      <c r="O199" s="929" t="s">
        <v>77</v>
      </c>
      <c r="P199" s="927">
        <v>44694</v>
      </c>
      <c r="Q199" s="927">
        <v>44694</v>
      </c>
      <c r="R199" s="1012" t="s">
        <v>4220</v>
      </c>
      <c r="S199" s="933"/>
      <c r="T199" s="1534"/>
      <c r="U199" s="926"/>
    </row>
    <row r="200" spans="1:21" ht="40.5" customHeight="1">
      <c r="A200" s="926" t="s">
        <v>2476</v>
      </c>
      <c r="B200" s="927">
        <v>44694</v>
      </c>
      <c r="C200" s="926">
        <v>2</v>
      </c>
      <c r="D200" s="926">
        <f t="shared" si="15"/>
        <v>15</v>
      </c>
      <c r="E200" s="926"/>
      <c r="F200" s="926">
        <f t="shared" si="16"/>
        <v>5</v>
      </c>
      <c r="G200" s="1013" t="s">
        <v>5130</v>
      </c>
      <c r="H200" s="929"/>
      <c r="I200" s="929" t="s">
        <v>2310</v>
      </c>
      <c r="J200" s="1705"/>
      <c r="K200" s="176"/>
      <c r="L200" s="5"/>
      <c r="M200" s="1175" t="s">
        <v>2660</v>
      </c>
      <c r="N200" s="3" t="s">
        <v>1975</v>
      </c>
      <c r="O200" s="929" t="s">
        <v>77</v>
      </c>
      <c r="P200" s="927">
        <v>44694</v>
      </c>
      <c r="Q200" s="927">
        <v>44694</v>
      </c>
      <c r="R200" s="1012" t="s">
        <v>4220</v>
      </c>
      <c r="S200" s="933"/>
      <c r="T200" s="1534"/>
      <c r="U200" s="926"/>
    </row>
    <row r="201" spans="1:21" ht="40.5" customHeight="1">
      <c r="A201" s="926" t="s">
        <v>2476</v>
      </c>
      <c r="B201" s="927">
        <v>44694</v>
      </c>
      <c r="C201" s="926">
        <v>2</v>
      </c>
      <c r="D201" s="926">
        <f t="shared" si="15"/>
        <v>15</v>
      </c>
      <c r="E201" s="935" t="s">
        <v>4308</v>
      </c>
      <c r="F201" s="926">
        <f t="shared" si="16"/>
        <v>6</v>
      </c>
      <c r="G201" s="1013" t="s">
        <v>5131</v>
      </c>
      <c r="H201" s="929"/>
      <c r="I201" s="929" t="s">
        <v>551</v>
      </c>
      <c r="J201" s="1705" t="s">
        <v>5789</v>
      </c>
      <c r="K201" s="176">
        <v>44718</v>
      </c>
      <c r="L201" s="177">
        <v>44726</v>
      </c>
      <c r="M201" s="1175" t="s">
        <v>2687</v>
      </c>
      <c r="N201" s="3" t="s">
        <v>2604</v>
      </c>
      <c r="O201" s="929" t="s">
        <v>77</v>
      </c>
      <c r="P201" s="927">
        <v>44694</v>
      </c>
      <c r="Q201" s="927">
        <v>44694</v>
      </c>
      <c r="R201" s="1012" t="s">
        <v>4220</v>
      </c>
      <c r="S201" s="933"/>
      <c r="T201" s="1700"/>
      <c r="U201" s="926"/>
    </row>
    <row r="202" spans="1:21" ht="53.25" customHeight="1">
      <c r="A202" s="926" t="s">
        <v>2476</v>
      </c>
      <c r="B202" s="927">
        <v>44694</v>
      </c>
      <c r="C202" s="926">
        <v>2</v>
      </c>
      <c r="D202" s="926">
        <f t="shared" si="15"/>
        <v>15</v>
      </c>
      <c r="E202" s="935" t="s">
        <v>4351</v>
      </c>
      <c r="F202" s="926">
        <f t="shared" si="16"/>
        <v>7</v>
      </c>
      <c r="G202" s="1013" t="s">
        <v>5132</v>
      </c>
      <c r="H202" s="929"/>
      <c r="I202" s="929" t="s">
        <v>551</v>
      </c>
      <c r="J202" s="1705" t="s">
        <v>5788</v>
      </c>
      <c r="K202" s="176">
        <v>44760</v>
      </c>
      <c r="L202" s="5">
        <v>44804</v>
      </c>
      <c r="M202" s="1175" t="s">
        <v>4697</v>
      </c>
      <c r="N202" s="3" t="s">
        <v>2538</v>
      </c>
      <c r="O202" s="929" t="s">
        <v>77</v>
      </c>
      <c r="P202" s="927">
        <v>44694</v>
      </c>
      <c r="Q202" s="927">
        <v>44694</v>
      </c>
      <c r="R202" s="1012" t="s">
        <v>4220</v>
      </c>
      <c r="S202" s="933"/>
      <c r="T202" s="1700"/>
      <c r="U202" s="926"/>
    </row>
    <row r="203" spans="1:21" ht="40.5" customHeight="1">
      <c r="A203" s="926" t="s">
        <v>2476</v>
      </c>
      <c r="B203" s="927">
        <v>44694</v>
      </c>
      <c r="C203" s="926">
        <v>2</v>
      </c>
      <c r="D203" s="926">
        <f t="shared" si="15"/>
        <v>15</v>
      </c>
      <c r="E203" s="926"/>
      <c r="F203" s="926">
        <f t="shared" si="16"/>
        <v>8</v>
      </c>
      <c r="G203" s="1013" t="s">
        <v>5133</v>
      </c>
      <c r="H203" s="929"/>
      <c r="I203" s="929" t="s">
        <v>2310</v>
      </c>
      <c r="J203" s="1705"/>
      <c r="K203" s="176"/>
      <c r="L203" s="5"/>
      <c r="M203" s="1175"/>
      <c r="N203" s="3" t="s">
        <v>2524</v>
      </c>
      <c r="O203" s="929" t="s">
        <v>77</v>
      </c>
      <c r="P203" s="927">
        <v>44694</v>
      </c>
      <c r="Q203" s="927">
        <v>44694</v>
      </c>
      <c r="R203" s="1012" t="s">
        <v>4220</v>
      </c>
      <c r="S203" s="933"/>
      <c r="T203" s="1534"/>
      <c r="U203" s="926"/>
    </row>
    <row r="204" spans="1:21" ht="63" customHeight="1">
      <c r="A204" s="926" t="s">
        <v>2476</v>
      </c>
      <c r="B204" s="927">
        <v>44694</v>
      </c>
      <c r="C204" s="926">
        <v>2</v>
      </c>
      <c r="D204" s="926">
        <f t="shared" si="15"/>
        <v>15</v>
      </c>
      <c r="E204" s="935" t="s">
        <v>4355</v>
      </c>
      <c r="F204" s="926">
        <f t="shared" si="16"/>
        <v>9</v>
      </c>
      <c r="G204" s="1013" t="s">
        <v>5134</v>
      </c>
      <c r="H204" s="929"/>
      <c r="I204" s="929" t="s">
        <v>551</v>
      </c>
      <c r="J204" s="1705" t="s">
        <v>5788</v>
      </c>
      <c r="K204" s="176">
        <v>44865</v>
      </c>
      <c r="L204" s="5">
        <v>44883</v>
      </c>
      <c r="M204" s="1175" t="s">
        <v>4710</v>
      </c>
      <c r="N204" s="3" t="s">
        <v>2538</v>
      </c>
      <c r="O204" s="929" t="s">
        <v>77</v>
      </c>
      <c r="P204" s="927">
        <v>44694</v>
      </c>
      <c r="Q204" s="927">
        <v>44694</v>
      </c>
      <c r="R204" s="1012" t="s">
        <v>4220</v>
      </c>
      <c r="S204" s="933"/>
      <c r="T204" s="1700"/>
      <c r="U204" s="926"/>
    </row>
    <row r="205" spans="1:21" ht="40.5" customHeight="1">
      <c r="A205" s="926" t="s">
        <v>2476</v>
      </c>
      <c r="B205" s="927">
        <v>44694</v>
      </c>
      <c r="C205" s="926">
        <v>2</v>
      </c>
      <c r="D205" s="926">
        <f t="shared" si="15"/>
        <v>15</v>
      </c>
      <c r="E205" s="935" t="s">
        <v>4350</v>
      </c>
      <c r="F205" s="926">
        <f t="shared" si="16"/>
        <v>10</v>
      </c>
      <c r="G205" s="1013" t="s">
        <v>5135</v>
      </c>
      <c r="H205" s="929"/>
      <c r="I205" s="929" t="s">
        <v>551</v>
      </c>
      <c r="J205" s="1705" t="s">
        <v>5788</v>
      </c>
      <c r="K205" s="176">
        <v>44711</v>
      </c>
      <c r="L205" s="5">
        <v>44722</v>
      </c>
      <c r="M205" s="1175" t="s">
        <v>4890</v>
      </c>
      <c r="N205" s="3" t="s">
        <v>2524</v>
      </c>
      <c r="O205" s="929" t="s">
        <v>77</v>
      </c>
      <c r="P205" s="927">
        <v>44694</v>
      </c>
      <c r="Q205" s="927">
        <v>44694</v>
      </c>
      <c r="R205" s="1012" t="s">
        <v>4220</v>
      </c>
      <c r="S205" s="933"/>
      <c r="T205" s="1700"/>
      <c r="U205" s="926"/>
    </row>
    <row r="206" spans="1:21" ht="40.5" customHeight="1">
      <c r="A206" s="926" t="s">
        <v>2476</v>
      </c>
      <c r="B206" s="927">
        <v>44694</v>
      </c>
      <c r="C206" s="926">
        <v>2</v>
      </c>
      <c r="D206" s="926">
        <f t="shared" si="15"/>
        <v>15</v>
      </c>
      <c r="E206" s="935" t="s">
        <v>4350</v>
      </c>
      <c r="F206" s="926">
        <f t="shared" si="16"/>
        <v>11</v>
      </c>
      <c r="G206" s="1013" t="s">
        <v>5136</v>
      </c>
      <c r="H206" s="929"/>
      <c r="I206" s="929" t="s">
        <v>551</v>
      </c>
      <c r="J206" s="1705" t="s">
        <v>5788</v>
      </c>
      <c r="K206" s="176">
        <v>44711</v>
      </c>
      <c r="L206" s="5">
        <v>44722</v>
      </c>
      <c r="M206" s="1175" t="s">
        <v>4890</v>
      </c>
      <c r="N206" s="3" t="s">
        <v>2524</v>
      </c>
      <c r="O206" s="929" t="s">
        <v>77</v>
      </c>
      <c r="P206" s="927">
        <v>44694</v>
      </c>
      <c r="Q206" s="927">
        <v>44694</v>
      </c>
      <c r="R206" s="1012" t="s">
        <v>4220</v>
      </c>
      <c r="S206" s="933"/>
      <c r="T206" s="1700"/>
      <c r="U206" s="926"/>
    </row>
    <row r="207" spans="1:21" ht="40.5" customHeight="1">
      <c r="A207" s="926" t="s">
        <v>2476</v>
      </c>
      <c r="B207" s="927">
        <v>44694</v>
      </c>
      <c r="C207" s="926">
        <v>2</v>
      </c>
      <c r="D207" s="926">
        <f t="shared" si="15"/>
        <v>15</v>
      </c>
      <c r="E207" s="926"/>
      <c r="F207" s="926">
        <f t="shared" si="16"/>
        <v>12</v>
      </c>
      <c r="G207" s="1013" t="s">
        <v>5137</v>
      </c>
      <c r="H207" s="929"/>
      <c r="I207" s="929" t="s">
        <v>2310</v>
      </c>
      <c r="J207" s="1705"/>
      <c r="K207" s="176"/>
      <c r="L207" s="5"/>
      <c r="M207" s="1175" t="s">
        <v>4697</v>
      </c>
      <c r="N207" s="3" t="s">
        <v>2538</v>
      </c>
      <c r="O207" s="929" t="s">
        <v>77</v>
      </c>
      <c r="P207" s="927">
        <v>44694</v>
      </c>
      <c r="Q207" s="927">
        <v>44694</v>
      </c>
      <c r="R207" s="1012" t="s">
        <v>4220</v>
      </c>
      <c r="S207" s="933"/>
      <c r="T207" s="1534"/>
      <c r="U207" s="926"/>
    </row>
    <row r="208" spans="1:21" ht="40.5" customHeight="1">
      <c r="A208" s="926" t="s">
        <v>2476</v>
      </c>
      <c r="B208" s="927">
        <v>44694</v>
      </c>
      <c r="C208" s="926">
        <v>2</v>
      </c>
      <c r="D208" s="926">
        <f t="shared" si="15"/>
        <v>15</v>
      </c>
      <c r="E208" s="926"/>
      <c r="F208" s="926">
        <f t="shared" si="16"/>
        <v>13</v>
      </c>
      <c r="G208" s="1013" t="s">
        <v>5138</v>
      </c>
      <c r="H208" s="929"/>
      <c r="I208" s="929" t="s">
        <v>2310</v>
      </c>
      <c r="J208" s="1705"/>
      <c r="K208" s="176"/>
      <c r="L208" s="5"/>
      <c r="M208" s="1175" t="s">
        <v>4020</v>
      </c>
      <c r="N208" s="3" t="s">
        <v>2538</v>
      </c>
      <c r="O208" s="929" t="s">
        <v>77</v>
      </c>
      <c r="P208" s="927">
        <v>44694</v>
      </c>
      <c r="Q208" s="927">
        <v>44694</v>
      </c>
      <c r="R208" s="1012" t="s">
        <v>4220</v>
      </c>
      <c r="S208" s="933"/>
      <c r="T208" s="1534"/>
      <c r="U208" s="926"/>
    </row>
    <row r="209" spans="1:21" ht="40.5" customHeight="1">
      <c r="A209" s="926" t="s">
        <v>2476</v>
      </c>
      <c r="B209" s="927">
        <v>44694</v>
      </c>
      <c r="C209" s="926">
        <v>2</v>
      </c>
      <c r="D209" s="926">
        <f t="shared" si="15"/>
        <v>15</v>
      </c>
      <c r="E209" s="926"/>
      <c r="F209" s="926">
        <f t="shared" si="16"/>
        <v>14</v>
      </c>
      <c r="G209" s="1013" t="s">
        <v>5139</v>
      </c>
      <c r="H209" s="929"/>
      <c r="I209" s="929" t="s">
        <v>2310</v>
      </c>
      <c r="J209" s="1705"/>
      <c r="K209" s="176"/>
      <c r="L209" s="5"/>
      <c r="M209" s="1175"/>
      <c r="N209" s="3" t="s">
        <v>2538</v>
      </c>
      <c r="O209" s="929" t="s">
        <v>77</v>
      </c>
      <c r="P209" s="927">
        <v>44694</v>
      </c>
      <c r="Q209" s="927">
        <v>44694</v>
      </c>
      <c r="R209" s="1012" t="s">
        <v>4220</v>
      </c>
      <c r="S209" s="933"/>
      <c r="T209" s="1534"/>
      <c r="U209" s="926"/>
    </row>
    <row r="210" spans="1:21" ht="60" customHeight="1">
      <c r="A210" s="926" t="s">
        <v>2476</v>
      </c>
      <c r="B210" s="927">
        <v>44694</v>
      </c>
      <c r="C210" s="926">
        <v>2</v>
      </c>
      <c r="D210" s="926">
        <f t="shared" si="15"/>
        <v>15</v>
      </c>
      <c r="E210" s="935" t="s">
        <v>4997</v>
      </c>
      <c r="F210" s="926">
        <f t="shared" si="16"/>
        <v>15</v>
      </c>
      <c r="G210" s="1013" t="s">
        <v>5140</v>
      </c>
      <c r="H210" s="929"/>
      <c r="I210" s="929" t="s">
        <v>551</v>
      </c>
      <c r="J210" s="1705" t="s">
        <v>5789</v>
      </c>
      <c r="K210" s="176">
        <v>44599</v>
      </c>
      <c r="L210" s="5">
        <v>44617</v>
      </c>
      <c r="M210" s="1175" t="s">
        <v>4697</v>
      </c>
      <c r="N210" s="3" t="s">
        <v>2538</v>
      </c>
      <c r="O210" s="929" t="s">
        <v>77</v>
      </c>
      <c r="P210" s="927">
        <v>44694</v>
      </c>
      <c r="Q210" s="927">
        <v>44694</v>
      </c>
      <c r="R210" s="1012" t="s">
        <v>4220</v>
      </c>
      <c r="S210" s="933"/>
      <c r="T210" s="1700"/>
      <c r="U210" s="926"/>
    </row>
    <row r="211" spans="1:21" ht="40.5" customHeight="1">
      <c r="A211" s="926" t="s">
        <v>2476</v>
      </c>
      <c r="B211" s="927">
        <v>44694</v>
      </c>
      <c r="C211" s="926">
        <v>2</v>
      </c>
      <c r="D211" s="926">
        <f t="shared" si="15"/>
        <v>15</v>
      </c>
      <c r="E211" s="935" t="s">
        <v>4345</v>
      </c>
      <c r="F211" s="926">
        <f t="shared" si="16"/>
        <v>16</v>
      </c>
      <c r="G211" s="1013" t="s">
        <v>5141</v>
      </c>
      <c r="H211" s="929"/>
      <c r="I211" s="929" t="s">
        <v>551</v>
      </c>
      <c r="J211" s="1705" t="s">
        <v>5788</v>
      </c>
      <c r="K211" s="176">
        <v>44634</v>
      </c>
      <c r="L211" s="177">
        <v>44653</v>
      </c>
      <c r="M211" s="1175" t="s">
        <v>4815</v>
      </c>
      <c r="N211" s="3" t="s">
        <v>2512</v>
      </c>
      <c r="O211" s="929" t="s">
        <v>77</v>
      </c>
      <c r="P211" s="927">
        <v>44694</v>
      </c>
      <c r="Q211" s="927">
        <v>44694</v>
      </c>
      <c r="R211" s="1012" t="s">
        <v>4220</v>
      </c>
      <c r="S211" s="933"/>
      <c r="T211" s="1700"/>
      <c r="U211" s="926"/>
    </row>
    <row r="212" spans="1:21" ht="40.5" customHeight="1">
      <c r="A212" s="926" t="s">
        <v>2476</v>
      </c>
      <c r="B212" s="927">
        <v>44694</v>
      </c>
      <c r="C212" s="926">
        <v>2</v>
      </c>
      <c r="D212" s="926">
        <f t="shared" si="15"/>
        <v>15</v>
      </c>
      <c r="E212" s="935" t="s">
        <v>4343</v>
      </c>
      <c r="F212" s="926">
        <f t="shared" si="16"/>
        <v>17</v>
      </c>
      <c r="G212" s="1013" t="s">
        <v>5142</v>
      </c>
      <c r="H212" s="929"/>
      <c r="I212" s="929" t="s">
        <v>551</v>
      </c>
      <c r="J212" s="1705" t="s">
        <v>5788</v>
      </c>
      <c r="K212" s="176">
        <v>44634</v>
      </c>
      <c r="L212" s="177">
        <v>44639</v>
      </c>
      <c r="M212" s="1175" t="s">
        <v>4654</v>
      </c>
      <c r="N212" s="3" t="s">
        <v>2512</v>
      </c>
      <c r="O212" s="929" t="s">
        <v>77</v>
      </c>
      <c r="P212" s="927">
        <v>44694</v>
      </c>
      <c r="Q212" s="927">
        <v>44694</v>
      </c>
      <c r="R212" s="1012" t="s">
        <v>4220</v>
      </c>
      <c r="S212" s="933"/>
      <c r="T212" s="1700"/>
      <c r="U212" s="926"/>
    </row>
    <row r="213" spans="1:21" ht="40.5" customHeight="1">
      <c r="A213" s="926" t="s">
        <v>2476</v>
      </c>
      <c r="B213" s="927">
        <v>44694</v>
      </c>
      <c r="C213" s="926">
        <v>2</v>
      </c>
      <c r="D213" s="926">
        <f t="shared" si="15"/>
        <v>15</v>
      </c>
      <c r="E213" s="935" t="s">
        <v>4344</v>
      </c>
      <c r="F213" s="926">
        <f t="shared" si="16"/>
        <v>18</v>
      </c>
      <c r="G213" s="1013" t="s">
        <v>5143</v>
      </c>
      <c r="H213" s="929"/>
      <c r="I213" s="929" t="s">
        <v>551</v>
      </c>
      <c r="J213" s="1705" t="s">
        <v>5788</v>
      </c>
      <c r="K213" s="176">
        <v>44634</v>
      </c>
      <c r="L213" s="177">
        <v>44653</v>
      </c>
      <c r="M213" s="1175" t="s">
        <v>4699</v>
      </c>
      <c r="N213" s="3" t="s">
        <v>2512</v>
      </c>
      <c r="O213" s="929" t="s">
        <v>77</v>
      </c>
      <c r="P213" s="927">
        <v>44694</v>
      </c>
      <c r="Q213" s="927">
        <v>44694</v>
      </c>
      <c r="R213" s="1012" t="s">
        <v>4220</v>
      </c>
      <c r="S213" s="933"/>
      <c r="T213" s="1700"/>
      <c r="U213" s="926"/>
    </row>
    <row r="214" spans="1:21" ht="40.5" customHeight="1">
      <c r="A214" s="926" t="s">
        <v>2476</v>
      </c>
      <c r="B214" s="927">
        <v>44694</v>
      </c>
      <c r="C214" s="926">
        <v>2</v>
      </c>
      <c r="D214" s="926">
        <f t="shared" si="15"/>
        <v>15</v>
      </c>
      <c r="E214" s="935" t="s">
        <v>4356</v>
      </c>
      <c r="F214" s="926">
        <f t="shared" si="16"/>
        <v>19</v>
      </c>
      <c r="G214" s="1013" t="s">
        <v>5144</v>
      </c>
      <c r="H214" s="929"/>
      <c r="I214" s="929" t="s">
        <v>551</v>
      </c>
      <c r="J214" s="1705" t="s">
        <v>5788</v>
      </c>
      <c r="K214" s="176">
        <v>44889</v>
      </c>
      <c r="L214" s="5">
        <v>44900</v>
      </c>
      <c r="M214" s="1175" t="s">
        <v>4822</v>
      </c>
      <c r="N214" s="3" t="s">
        <v>2524</v>
      </c>
      <c r="O214" s="929" t="s">
        <v>77</v>
      </c>
      <c r="P214" s="927">
        <v>44694</v>
      </c>
      <c r="Q214" s="927">
        <v>44694</v>
      </c>
      <c r="R214" s="1012" t="s">
        <v>4220</v>
      </c>
      <c r="S214" s="933"/>
      <c r="T214" s="1700"/>
      <c r="U214" s="926"/>
    </row>
    <row r="215" spans="1:21" ht="40.5" customHeight="1">
      <c r="A215" s="926" t="s">
        <v>2476</v>
      </c>
      <c r="B215" s="927">
        <v>44694</v>
      </c>
      <c r="C215" s="926">
        <v>2</v>
      </c>
      <c r="D215" s="926">
        <f t="shared" si="15"/>
        <v>15</v>
      </c>
      <c r="E215" s="935" t="s">
        <v>4356</v>
      </c>
      <c r="F215" s="926">
        <f t="shared" si="16"/>
        <v>20</v>
      </c>
      <c r="G215" s="1013" t="s">
        <v>5145</v>
      </c>
      <c r="H215" s="929"/>
      <c r="I215" s="929" t="s">
        <v>551</v>
      </c>
      <c r="J215" s="1705" t="s">
        <v>5788</v>
      </c>
      <c r="K215" s="176">
        <v>44889</v>
      </c>
      <c r="L215" s="5">
        <v>44900</v>
      </c>
      <c r="M215" s="1175" t="s">
        <v>4822</v>
      </c>
      <c r="N215" s="3" t="s">
        <v>2524</v>
      </c>
      <c r="O215" s="929" t="s">
        <v>77</v>
      </c>
      <c r="P215" s="927">
        <v>44694</v>
      </c>
      <c r="Q215" s="927">
        <v>44694</v>
      </c>
      <c r="R215" s="1012" t="s">
        <v>4220</v>
      </c>
      <c r="S215" s="933"/>
      <c r="T215" s="1700"/>
      <c r="U215" s="926"/>
    </row>
    <row r="216" spans="1:21" ht="40.5" customHeight="1">
      <c r="A216" s="926" t="s">
        <v>2476</v>
      </c>
      <c r="B216" s="927">
        <v>44694</v>
      </c>
      <c r="C216" s="926">
        <v>2</v>
      </c>
      <c r="D216" s="926">
        <f t="shared" si="15"/>
        <v>15</v>
      </c>
      <c r="E216" s="926"/>
      <c r="F216" s="926">
        <f t="shared" si="16"/>
        <v>21</v>
      </c>
      <c r="G216" s="1013" t="s">
        <v>5146</v>
      </c>
      <c r="H216" s="929"/>
      <c r="I216" s="929" t="s">
        <v>2310</v>
      </c>
      <c r="J216" s="1705"/>
      <c r="K216" s="176"/>
      <c r="L216" s="5"/>
      <c r="M216" s="1175" t="s">
        <v>4822</v>
      </c>
      <c r="N216" s="3" t="s">
        <v>2524</v>
      </c>
      <c r="O216" s="929" t="s">
        <v>77</v>
      </c>
      <c r="P216" s="927">
        <v>44694</v>
      </c>
      <c r="Q216" s="927">
        <v>44694</v>
      </c>
      <c r="R216" s="1012" t="s">
        <v>4220</v>
      </c>
      <c r="S216" s="933"/>
      <c r="T216" s="1534"/>
      <c r="U216" s="926"/>
    </row>
    <row r="217" spans="1:21" ht="40.5" customHeight="1">
      <c r="A217" s="926" t="s">
        <v>2476</v>
      </c>
      <c r="B217" s="927">
        <v>44694</v>
      </c>
      <c r="C217" s="926">
        <v>2</v>
      </c>
      <c r="D217" s="926">
        <f t="shared" si="15"/>
        <v>15</v>
      </c>
      <c r="E217" s="935" t="s">
        <v>4349</v>
      </c>
      <c r="F217" s="926">
        <f t="shared" si="16"/>
        <v>22</v>
      </c>
      <c r="G217" s="1013" t="s">
        <v>5147</v>
      </c>
      <c r="H217" s="929"/>
      <c r="I217" s="929" t="s">
        <v>551</v>
      </c>
      <c r="J217" s="1705" t="s">
        <v>5788</v>
      </c>
      <c r="K217" s="176">
        <v>44705</v>
      </c>
      <c r="L217" s="5">
        <v>44742</v>
      </c>
      <c r="M217" s="1175" t="s">
        <v>4816</v>
      </c>
      <c r="N217" s="3" t="s">
        <v>2524</v>
      </c>
      <c r="O217" s="929" t="s">
        <v>77</v>
      </c>
      <c r="P217" s="927">
        <v>44694</v>
      </c>
      <c r="Q217" s="927">
        <v>44694</v>
      </c>
      <c r="R217" s="1012" t="s">
        <v>4220</v>
      </c>
      <c r="S217" s="933"/>
      <c r="T217" s="1700"/>
      <c r="U217" s="926"/>
    </row>
    <row r="218" spans="1:21" ht="40.5" customHeight="1">
      <c r="A218" s="926" t="s">
        <v>2476</v>
      </c>
      <c r="B218" s="927">
        <v>44694</v>
      </c>
      <c r="C218" s="926">
        <v>2</v>
      </c>
      <c r="D218" s="926">
        <f t="shared" si="15"/>
        <v>15</v>
      </c>
      <c r="E218" s="935" t="s">
        <v>4349</v>
      </c>
      <c r="F218" s="926">
        <f t="shared" si="16"/>
        <v>23</v>
      </c>
      <c r="G218" s="1013" t="s">
        <v>5148</v>
      </c>
      <c r="H218" s="929"/>
      <c r="I218" s="929" t="s">
        <v>551</v>
      </c>
      <c r="J218" s="1705" t="s">
        <v>5788</v>
      </c>
      <c r="K218" s="176">
        <v>44705</v>
      </c>
      <c r="L218" s="5">
        <v>44742</v>
      </c>
      <c r="M218" s="1175" t="s">
        <v>4816</v>
      </c>
      <c r="N218" s="3" t="s">
        <v>2524</v>
      </c>
      <c r="O218" s="929" t="s">
        <v>77</v>
      </c>
      <c r="P218" s="927">
        <v>44694</v>
      </c>
      <c r="Q218" s="927">
        <v>44694</v>
      </c>
      <c r="R218" s="1012" t="s">
        <v>4220</v>
      </c>
      <c r="S218" s="933"/>
      <c r="T218" s="1700"/>
      <c r="U218" s="926"/>
    </row>
    <row r="219" spans="1:21" ht="40.5" customHeight="1">
      <c r="A219" s="926" t="s">
        <v>2476</v>
      </c>
      <c r="B219" s="927">
        <v>44694</v>
      </c>
      <c r="C219" s="926">
        <v>2</v>
      </c>
      <c r="D219" s="926">
        <v>16</v>
      </c>
      <c r="E219" s="935" t="s">
        <v>4349</v>
      </c>
      <c r="F219" s="926">
        <f t="shared" si="16"/>
        <v>24</v>
      </c>
      <c r="G219" s="1013" t="s">
        <v>5149</v>
      </c>
      <c r="H219" s="929"/>
      <c r="I219" s="929" t="s">
        <v>551</v>
      </c>
      <c r="J219" s="1705" t="s">
        <v>5788</v>
      </c>
      <c r="K219" s="176">
        <v>44705</v>
      </c>
      <c r="L219" s="5">
        <v>44742</v>
      </c>
      <c r="M219" s="1175" t="s">
        <v>4816</v>
      </c>
      <c r="N219" s="3" t="s">
        <v>2524</v>
      </c>
      <c r="O219" s="929" t="s">
        <v>77</v>
      </c>
      <c r="P219" s="927">
        <v>44694</v>
      </c>
      <c r="Q219" s="927">
        <v>44694</v>
      </c>
      <c r="R219" s="1012" t="s">
        <v>4220</v>
      </c>
      <c r="S219" s="933"/>
      <c r="T219" s="1700"/>
      <c r="U219" s="926"/>
    </row>
    <row r="220" spans="1:21" ht="67.5" customHeight="1">
      <c r="A220" s="926" t="s">
        <v>2476</v>
      </c>
      <c r="B220" s="927">
        <v>44854</v>
      </c>
      <c r="C220" s="926">
        <v>3</v>
      </c>
      <c r="D220" s="926">
        <f t="shared" ref="D220:D248" si="17">D219</f>
        <v>16</v>
      </c>
      <c r="E220" s="510" t="s">
        <v>4354</v>
      </c>
      <c r="F220" s="926">
        <f t="shared" si="16"/>
        <v>25</v>
      </c>
      <c r="G220" s="1013" t="s">
        <v>5356</v>
      </c>
      <c r="H220" s="929"/>
      <c r="I220" s="929" t="s">
        <v>551</v>
      </c>
      <c r="J220" s="1705" t="s">
        <v>5788</v>
      </c>
      <c r="K220" s="176">
        <v>45168</v>
      </c>
      <c r="L220" s="177">
        <v>45199</v>
      </c>
      <c r="M220" s="1175" t="s">
        <v>4746</v>
      </c>
      <c r="N220" s="3" t="s">
        <v>1975</v>
      </c>
      <c r="O220" s="929" t="s">
        <v>166</v>
      </c>
      <c r="P220" s="927">
        <v>44854</v>
      </c>
      <c r="Q220" s="927">
        <v>44854</v>
      </c>
      <c r="R220" s="1012" t="s">
        <v>4220</v>
      </c>
      <c r="S220" s="933"/>
      <c r="T220" s="1700"/>
      <c r="U220" s="926"/>
    </row>
    <row r="221" spans="1:21" ht="56.25" customHeight="1">
      <c r="A221" s="926" t="s">
        <v>2476</v>
      </c>
      <c r="B221" s="927">
        <v>44694</v>
      </c>
      <c r="C221" s="926">
        <v>2</v>
      </c>
      <c r="D221" s="926">
        <f t="shared" si="17"/>
        <v>16</v>
      </c>
      <c r="E221" s="510" t="s">
        <v>4736</v>
      </c>
      <c r="F221" s="926">
        <f t="shared" si="16"/>
        <v>26</v>
      </c>
      <c r="G221" s="1013" t="s">
        <v>5071</v>
      </c>
      <c r="H221" s="929"/>
      <c r="I221" s="929" t="s">
        <v>551</v>
      </c>
      <c r="J221" s="1705"/>
      <c r="K221" s="176">
        <v>44562</v>
      </c>
      <c r="L221" s="5">
        <v>44926</v>
      </c>
      <c r="M221" s="1175" t="s">
        <v>5317</v>
      </c>
      <c r="N221" s="3" t="s">
        <v>1975</v>
      </c>
      <c r="O221" s="929" t="s">
        <v>166</v>
      </c>
      <c r="P221" s="927">
        <v>44694</v>
      </c>
      <c r="Q221" s="927">
        <v>44694</v>
      </c>
      <c r="R221" s="1012" t="s">
        <v>4220</v>
      </c>
      <c r="S221" s="933"/>
      <c r="T221" s="1700" t="s">
        <v>5780</v>
      </c>
      <c r="U221" s="926"/>
    </row>
    <row r="222" spans="1:21" ht="135" customHeight="1">
      <c r="A222" s="926" t="s">
        <v>2476</v>
      </c>
      <c r="B222" s="927">
        <v>44694</v>
      </c>
      <c r="C222" s="926">
        <v>2</v>
      </c>
      <c r="D222" s="926">
        <f t="shared" si="17"/>
        <v>16</v>
      </c>
      <c r="E222" s="510" t="s">
        <v>4736</v>
      </c>
      <c r="F222" s="926">
        <f t="shared" si="16"/>
        <v>27</v>
      </c>
      <c r="G222" s="1013" t="s">
        <v>5098</v>
      </c>
      <c r="H222" s="929"/>
      <c r="I222" s="929" t="s">
        <v>551</v>
      </c>
      <c r="J222" s="1705"/>
      <c r="K222" s="176">
        <v>44562</v>
      </c>
      <c r="L222" s="5">
        <v>44926</v>
      </c>
      <c r="M222" s="1175" t="s">
        <v>5317</v>
      </c>
      <c r="N222" s="3" t="s">
        <v>1975</v>
      </c>
      <c r="O222" s="929" t="s">
        <v>166</v>
      </c>
      <c r="P222" s="927">
        <v>44694</v>
      </c>
      <c r="Q222" s="927">
        <v>44694</v>
      </c>
      <c r="R222" s="1012" t="s">
        <v>4220</v>
      </c>
      <c r="S222" s="933"/>
      <c r="T222" s="1700"/>
      <c r="U222" s="926"/>
    </row>
    <row r="223" spans="1:21" ht="53.25" customHeight="1">
      <c r="A223" s="926" t="s">
        <v>2476</v>
      </c>
      <c r="B223" s="927">
        <v>44694</v>
      </c>
      <c r="C223" s="926">
        <v>2</v>
      </c>
      <c r="D223" s="926">
        <f t="shared" si="17"/>
        <v>16</v>
      </c>
      <c r="E223" s="926"/>
      <c r="F223" s="926">
        <f t="shared" si="16"/>
        <v>28</v>
      </c>
      <c r="G223" s="1013" t="s">
        <v>5153</v>
      </c>
      <c r="H223" s="929"/>
      <c r="I223" s="929" t="s">
        <v>2310</v>
      </c>
      <c r="J223" s="1705"/>
      <c r="K223" s="176"/>
      <c r="L223" s="5"/>
      <c r="M223" s="1175" t="s">
        <v>4660</v>
      </c>
      <c r="N223" s="3" t="s">
        <v>1975</v>
      </c>
      <c r="O223" s="929" t="s">
        <v>77</v>
      </c>
      <c r="P223" s="927">
        <v>44694</v>
      </c>
      <c r="Q223" s="927">
        <v>44694</v>
      </c>
      <c r="R223" s="1012" t="s">
        <v>4220</v>
      </c>
      <c r="S223" s="933"/>
      <c r="T223" s="1534"/>
      <c r="U223" s="926"/>
    </row>
    <row r="224" spans="1:21" ht="54.75" customHeight="1">
      <c r="A224" s="926" t="s">
        <v>2476</v>
      </c>
      <c r="B224" s="927">
        <v>44694</v>
      </c>
      <c r="C224" s="926">
        <v>2</v>
      </c>
      <c r="D224" s="926">
        <f t="shared" si="17"/>
        <v>16</v>
      </c>
      <c r="E224" s="926"/>
      <c r="F224" s="926">
        <f t="shared" si="16"/>
        <v>29</v>
      </c>
      <c r="G224" s="1013" t="s">
        <v>5154</v>
      </c>
      <c r="H224" s="929"/>
      <c r="I224" s="929" t="s">
        <v>2310</v>
      </c>
      <c r="J224" s="1705"/>
      <c r="K224" s="176"/>
      <c r="L224" s="5"/>
      <c r="M224" s="1175" t="s">
        <v>4660</v>
      </c>
      <c r="N224" s="3" t="s">
        <v>1975</v>
      </c>
      <c r="O224" s="929" t="s">
        <v>77</v>
      </c>
      <c r="P224" s="927">
        <v>44694</v>
      </c>
      <c r="Q224" s="927">
        <v>44694</v>
      </c>
      <c r="R224" s="1012" t="s">
        <v>4220</v>
      </c>
      <c r="S224" s="933"/>
      <c r="T224" s="1534"/>
      <c r="U224" s="926"/>
    </row>
    <row r="225" spans="1:21" ht="53.25" customHeight="1">
      <c r="A225" s="926" t="s">
        <v>2476</v>
      </c>
      <c r="B225" s="927">
        <v>44694</v>
      </c>
      <c r="C225" s="926">
        <v>2</v>
      </c>
      <c r="D225" s="926">
        <f t="shared" si="17"/>
        <v>16</v>
      </c>
      <c r="E225" s="926"/>
      <c r="F225" s="926">
        <f t="shared" si="16"/>
        <v>30</v>
      </c>
      <c r="G225" s="1013" t="s">
        <v>5155</v>
      </c>
      <c r="H225" s="929"/>
      <c r="I225" s="929" t="s">
        <v>2310</v>
      </c>
      <c r="J225" s="1705"/>
      <c r="K225" s="176"/>
      <c r="L225" s="5"/>
      <c r="M225" s="1175" t="s">
        <v>4660</v>
      </c>
      <c r="N225" s="3" t="s">
        <v>1975</v>
      </c>
      <c r="O225" s="929" t="s">
        <v>77</v>
      </c>
      <c r="P225" s="927">
        <v>44694</v>
      </c>
      <c r="Q225" s="927">
        <v>44694</v>
      </c>
      <c r="R225" s="1012" t="s">
        <v>4220</v>
      </c>
      <c r="S225" s="933"/>
      <c r="T225" s="1534"/>
      <c r="U225" s="926"/>
    </row>
    <row r="226" spans="1:21" ht="65.25" customHeight="1">
      <c r="A226" s="926" t="s">
        <v>2476</v>
      </c>
      <c r="B226" s="927">
        <v>44694</v>
      </c>
      <c r="C226" s="926">
        <v>2</v>
      </c>
      <c r="D226" s="926">
        <f t="shared" si="17"/>
        <v>16</v>
      </c>
      <c r="E226" s="2"/>
      <c r="F226" s="926">
        <f t="shared" si="16"/>
        <v>31</v>
      </c>
      <c r="G226" s="1013" t="s">
        <v>5156</v>
      </c>
      <c r="H226" s="929"/>
      <c r="I226" s="929" t="s">
        <v>2310</v>
      </c>
      <c r="J226" s="1705"/>
      <c r="K226" s="176"/>
      <c r="L226" s="5"/>
      <c r="M226" s="1175" t="s">
        <v>5324</v>
      </c>
      <c r="N226" s="3" t="s">
        <v>1975</v>
      </c>
      <c r="O226" s="929" t="s">
        <v>77</v>
      </c>
      <c r="P226" s="927">
        <v>44694</v>
      </c>
      <c r="Q226" s="927">
        <v>44694</v>
      </c>
      <c r="R226" s="1012" t="s">
        <v>4220</v>
      </c>
      <c r="S226" s="933"/>
      <c r="T226" s="1700"/>
      <c r="U226" s="926"/>
    </row>
    <row r="227" spans="1:21" ht="55.5" customHeight="1">
      <c r="A227" s="926" t="s">
        <v>2476</v>
      </c>
      <c r="B227" s="927">
        <v>44694</v>
      </c>
      <c r="C227" s="926">
        <v>2</v>
      </c>
      <c r="D227" s="926">
        <f t="shared" si="17"/>
        <v>16</v>
      </c>
      <c r="E227" s="2"/>
      <c r="F227" s="926">
        <f t="shared" si="16"/>
        <v>32</v>
      </c>
      <c r="G227" s="1013" t="s">
        <v>5157</v>
      </c>
      <c r="H227" s="929"/>
      <c r="I227" s="929" t="s">
        <v>2310</v>
      </c>
      <c r="J227" s="1705"/>
      <c r="K227" s="176"/>
      <c r="L227" s="5"/>
      <c r="M227" s="1175" t="s">
        <v>5324</v>
      </c>
      <c r="N227" s="3" t="s">
        <v>1975</v>
      </c>
      <c r="O227" s="929" t="s">
        <v>77</v>
      </c>
      <c r="P227" s="927">
        <v>44694</v>
      </c>
      <c r="Q227" s="927">
        <v>44694</v>
      </c>
      <c r="R227" s="1012" t="s">
        <v>4220</v>
      </c>
      <c r="S227" s="933"/>
      <c r="T227" s="1700"/>
      <c r="U227" s="926"/>
    </row>
    <row r="228" spans="1:21" ht="60" customHeight="1">
      <c r="A228" s="926" t="s">
        <v>2476</v>
      </c>
      <c r="B228" s="927">
        <v>44694</v>
      </c>
      <c r="C228" s="926">
        <v>2</v>
      </c>
      <c r="D228" s="926">
        <f t="shared" si="17"/>
        <v>16</v>
      </c>
      <c r="E228" s="2"/>
      <c r="F228" s="926">
        <f t="shared" si="16"/>
        <v>33</v>
      </c>
      <c r="G228" s="1013" t="s">
        <v>5158</v>
      </c>
      <c r="H228" s="929"/>
      <c r="I228" s="929" t="s">
        <v>2310</v>
      </c>
      <c r="J228" s="1705"/>
      <c r="K228" s="176"/>
      <c r="L228" s="5"/>
      <c r="M228" s="1175" t="s">
        <v>5324</v>
      </c>
      <c r="N228" s="3" t="s">
        <v>1975</v>
      </c>
      <c r="O228" s="929" t="s">
        <v>77</v>
      </c>
      <c r="P228" s="927">
        <v>44694</v>
      </c>
      <c r="Q228" s="927">
        <v>44694</v>
      </c>
      <c r="R228" s="1012" t="s">
        <v>4220</v>
      </c>
      <c r="S228" s="933"/>
      <c r="T228" s="1700"/>
      <c r="U228" s="926"/>
    </row>
    <row r="229" spans="1:21" ht="54.75" customHeight="1">
      <c r="A229" s="926" t="s">
        <v>2476</v>
      </c>
      <c r="B229" s="927">
        <v>44694</v>
      </c>
      <c r="C229" s="926">
        <v>2</v>
      </c>
      <c r="D229" s="926">
        <f t="shared" si="17"/>
        <v>16</v>
      </c>
      <c r="E229" s="926"/>
      <c r="F229" s="926">
        <f t="shared" ref="F229:F260" si="18">F228+1</f>
        <v>34</v>
      </c>
      <c r="G229" s="1013" t="s">
        <v>5159</v>
      </c>
      <c r="H229" s="929"/>
      <c r="I229" s="929" t="s">
        <v>2310</v>
      </c>
      <c r="J229" s="1705"/>
      <c r="K229" s="176"/>
      <c r="L229" s="5"/>
      <c r="M229" s="1175" t="s">
        <v>4796</v>
      </c>
      <c r="N229" s="3" t="s">
        <v>2538</v>
      </c>
      <c r="O229" s="929" t="s">
        <v>77</v>
      </c>
      <c r="P229" s="927">
        <v>44694</v>
      </c>
      <c r="Q229" s="927">
        <v>44694</v>
      </c>
      <c r="R229" s="1012" t="s">
        <v>4220</v>
      </c>
      <c r="S229" s="933"/>
      <c r="T229" s="1534"/>
      <c r="U229" s="926"/>
    </row>
    <row r="230" spans="1:21" ht="55.5" customHeight="1">
      <c r="A230" s="926" t="s">
        <v>2476</v>
      </c>
      <c r="B230" s="927">
        <v>44694</v>
      </c>
      <c r="C230" s="926">
        <v>2</v>
      </c>
      <c r="D230" s="926">
        <f t="shared" si="17"/>
        <v>16</v>
      </c>
      <c r="E230" s="934" t="s">
        <v>4516</v>
      </c>
      <c r="F230" s="926">
        <f t="shared" si="18"/>
        <v>35</v>
      </c>
      <c r="G230" s="1013" t="s">
        <v>5160</v>
      </c>
      <c r="H230" s="929"/>
      <c r="I230" s="929" t="s">
        <v>551</v>
      </c>
      <c r="J230" s="1705" t="s">
        <v>5787</v>
      </c>
      <c r="K230" s="176">
        <v>44862</v>
      </c>
      <c r="L230" s="5">
        <v>44898</v>
      </c>
      <c r="M230" s="1175" t="s">
        <v>5319</v>
      </c>
      <c r="N230" s="3" t="s">
        <v>1975</v>
      </c>
      <c r="O230" s="929" t="s">
        <v>77</v>
      </c>
      <c r="P230" s="927">
        <v>44694</v>
      </c>
      <c r="Q230" s="927">
        <v>44694</v>
      </c>
      <c r="R230" s="1012" t="s">
        <v>4220</v>
      </c>
      <c r="S230" s="933"/>
      <c r="T230" s="1700"/>
      <c r="U230" s="926"/>
    </row>
    <row r="231" spans="1:21" ht="60.75" customHeight="1">
      <c r="A231" s="926" t="s">
        <v>2476</v>
      </c>
      <c r="B231" s="927">
        <v>44694</v>
      </c>
      <c r="C231" s="926">
        <v>2</v>
      </c>
      <c r="D231" s="926">
        <f t="shared" si="17"/>
        <v>16</v>
      </c>
      <c r="E231" s="934" t="s">
        <v>4516</v>
      </c>
      <c r="F231" s="926">
        <f t="shared" si="18"/>
        <v>36</v>
      </c>
      <c r="G231" s="1013" t="s">
        <v>5161</v>
      </c>
      <c r="H231" s="929"/>
      <c r="I231" s="929" t="s">
        <v>551</v>
      </c>
      <c r="J231" s="1705" t="s">
        <v>5787</v>
      </c>
      <c r="K231" s="176">
        <v>44862</v>
      </c>
      <c r="L231" s="5">
        <v>44898</v>
      </c>
      <c r="M231" s="1175" t="s">
        <v>5319</v>
      </c>
      <c r="N231" s="3" t="s">
        <v>1975</v>
      </c>
      <c r="O231" s="929" t="s">
        <v>77</v>
      </c>
      <c r="P231" s="927">
        <v>44694</v>
      </c>
      <c r="Q231" s="927">
        <v>44694</v>
      </c>
      <c r="R231" s="1012" t="s">
        <v>4220</v>
      </c>
      <c r="S231" s="933"/>
      <c r="T231" s="1700"/>
      <c r="U231" s="926"/>
    </row>
    <row r="232" spans="1:21" ht="56.25" customHeight="1">
      <c r="A232" s="926" t="s">
        <v>2476</v>
      </c>
      <c r="B232" s="927">
        <v>44694</v>
      </c>
      <c r="C232" s="926">
        <v>2</v>
      </c>
      <c r="D232" s="926">
        <f t="shared" si="17"/>
        <v>16</v>
      </c>
      <c r="E232" s="934" t="s">
        <v>4516</v>
      </c>
      <c r="F232" s="926">
        <f t="shared" si="18"/>
        <v>37</v>
      </c>
      <c r="G232" s="1013" t="s">
        <v>5162</v>
      </c>
      <c r="H232" s="929"/>
      <c r="I232" s="929" t="s">
        <v>551</v>
      </c>
      <c r="J232" s="1705" t="s">
        <v>5787</v>
      </c>
      <c r="K232" s="176">
        <v>44862</v>
      </c>
      <c r="L232" s="5">
        <v>44898</v>
      </c>
      <c r="M232" s="1175" t="s">
        <v>5319</v>
      </c>
      <c r="N232" s="3" t="s">
        <v>1975</v>
      </c>
      <c r="O232" s="929" t="s">
        <v>77</v>
      </c>
      <c r="P232" s="927">
        <v>44694</v>
      </c>
      <c r="Q232" s="927">
        <v>44694</v>
      </c>
      <c r="R232" s="1012" t="s">
        <v>4220</v>
      </c>
      <c r="S232" s="933"/>
      <c r="T232" s="1700"/>
      <c r="U232" s="926"/>
    </row>
    <row r="233" spans="1:21" ht="40.5" customHeight="1">
      <c r="A233" s="926" t="s">
        <v>2476</v>
      </c>
      <c r="B233" s="927">
        <v>44694</v>
      </c>
      <c r="C233" s="926">
        <v>2</v>
      </c>
      <c r="D233" s="926">
        <f t="shared" si="17"/>
        <v>16</v>
      </c>
      <c r="E233" s="926"/>
      <c r="F233" s="926">
        <f t="shared" si="18"/>
        <v>38</v>
      </c>
      <c r="G233" s="1013" t="s">
        <v>5163</v>
      </c>
      <c r="H233" s="929"/>
      <c r="I233" s="929" t="s">
        <v>2310</v>
      </c>
      <c r="J233" s="1705"/>
      <c r="K233" s="176"/>
      <c r="L233" s="5"/>
      <c r="M233" s="1175" t="s">
        <v>2535</v>
      </c>
      <c r="N233" s="3" t="s">
        <v>2524</v>
      </c>
      <c r="O233" s="929" t="s">
        <v>77</v>
      </c>
      <c r="P233" s="927">
        <v>44694</v>
      </c>
      <c r="Q233" s="927">
        <v>44694</v>
      </c>
      <c r="R233" s="1012" t="s">
        <v>4220</v>
      </c>
      <c r="S233" s="933"/>
      <c r="T233" s="1534"/>
      <c r="U233" s="926"/>
    </row>
    <row r="234" spans="1:21" ht="40.5" customHeight="1">
      <c r="A234" s="926" t="s">
        <v>2476</v>
      </c>
      <c r="B234" s="927">
        <v>44694</v>
      </c>
      <c r="C234" s="926">
        <v>2</v>
      </c>
      <c r="D234" s="926">
        <f t="shared" si="17"/>
        <v>16</v>
      </c>
      <c r="E234" s="926"/>
      <c r="F234" s="926">
        <f t="shared" si="18"/>
        <v>39</v>
      </c>
      <c r="G234" s="1013" t="s">
        <v>5164</v>
      </c>
      <c r="H234" s="929"/>
      <c r="I234" s="929" t="s">
        <v>2310</v>
      </c>
      <c r="J234" s="1705"/>
      <c r="K234" s="176"/>
      <c r="L234" s="5"/>
      <c r="M234" s="1175" t="s">
        <v>2535</v>
      </c>
      <c r="N234" s="3" t="s">
        <v>2524</v>
      </c>
      <c r="O234" s="929" t="s">
        <v>77</v>
      </c>
      <c r="P234" s="927">
        <v>44694</v>
      </c>
      <c r="Q234" s="927">
        <v>44694</v>
      </c>
      <c r="R234" s="1012" t="s">
        <v>4220</v>
      </c>
      <c r="S234" s="933"/>
      <c r="T234" s="1534"/>
      <c r="U234" s="926"/>
    </row>
    <row r="235" spans="1:21" ht="40.5" customHeight="1">
      <c r="A235" s="926" t="s">
        <v>2476</v>
      </c>
      <c r="B235" s="927">
        <v>44694</v>
      </c>
      <c r="C235" s="926">
        <v>2</v>
      </c>
      <c r="D235" s="926">
        <f t="shared" si="17"/>
        <v>16</v>
      </c>
      <c r="E235" s="926"/>
      <c r="F235" s="926">
        <f t="shared" si="18"/>
        <v>40</v>
      </c>
      <c r="G235" s="1013" t="s">
        <v>5165</v>
      </c>
      <c r="H235" s="929"/>
      <c r="I235" s="929" t="s">
        <v>2310</v>
      </c>
      <c r="J235" s="1705"/>
      <c r="K235" s="176"/>
      <c r="L235" s="5"/>
      <c r="M235" s="1175" t="s">
        <v>2535</v>
      </c>
      <c r="N235" s="3" t="s">
        <v>2524</v>
      </c>
      <c r="O235" s="929" t="s">
        <v>77</v>
      </c>
      <c r="P235" s="927">
        <v>44694</v>
      </c>
      <c r="Q235" s="927">
        <v>44694</v>
      </c>
      <c r="R235" s="1012" t="s">
        <v>4220</v>
      </c>
      <c r="S235" s="933"/>
      <c r="T235" s="1534"/>
      <c r="U235" s="926"/>
    </row>
    <row r="236" spans="1:21" ht="40.5" customHeight="1">
      <c r="A236" s="926" t="s">
        <v>2476</v>
      </c>
      <c r="B236" s="927">
        <v>44694</v>
      </c>
      <c r="C236" s="926">
        <v>2</v>
      </c>
      <c r="D236" s="926">
        <f t="shared" si="17"/>
        <v>16</v>
      </c>
      <c r="E236" s="926"/>
      <c r="F236" s="926">
        <f t="shared" si="18"/>
        <v>41</v>
      </c>
      <c r="G236" s="1013" t="s">
        <v>5166</v>
      </c>
      <c r="H236" s="929"/>
      <c r="I236" s="929" t="s">
        <v>2310</v>
      </c>
      <c r="J236" s="1705"/>
      <c r="K236" s="176"/>
      <c r="L236" s="5"/>
      <c r="M236" s="1175" t="s">
        <v>2535</v>
      </c>
      <c r="N236" s="3" t="s">
        <v>2524</v>
      </c>
      <c r="O236" s="929" t="s">
        <v>77</v>
      </c>
      <c r="P236" s="927">
        <v>44694</v>
      </c>
      <c r="Q236" s="927">
        <v>44694</v>
      </c>
      <c r="R236" s="1012" t="s">
        <v>4220</v>
      </c>
      <c r="S236" s="933"/>
      <c r="T236" s="1534"/>
      <c r="U236" s="926"/>
    </row>
    <row r="237" spans="1:21" ht="44.25" customHeight="1">
      <c r="A237" s="926" t="s">
        <v>2476</v>
      </c>
      <c r="B237" s="927">
        <v>44694</v>
      </c>
      <c r="C237" s="926">
        <v>2</v>
      </c>
      <c r="D237" s="926">
        <f t="shared" si="17"/>
        <v>16</v>
      </c>
      <c r="E237" s="926"/>
      <c r="F237" s="926">
        <f t="shared" si="18"/>
        <v>42</v>
      </c>
      <c r="G237" s="1013" t="s">
        <v>5167</v>
      </c>
      <c r="H237" s="929"/>
      <c r="I237" s="929" t="s">
        <v>2310</v>
      </c>
      <c r="J237" s="1705"/>
      <c r="K237" s="176"/>
      <c r="L237" s="5"/>
      <c r="M237" s="1175" t="s">
        <v>2535</v>
      </c>
      <c r="N237" s="3" t="s">
        <v>2524</v>
      </c>
      <c r="O237" s="929" t="s">
        <v>77</v>
      </c>
      <c r="P237" s="927">
        <v>44694</v>
      </c>
      <c r="Q237" s="927">
        <v>44694</v>
      </c>
      <c r="R237" s="1012" t="s">
        <v>4220</v>
      </c>
      <c r="S237" s="933"/>
      <c r="T237" s="1534"/>
      <c r="U237" s="926"/>
    </row>
    <row r="238" spans="1:21" ht="40.5" customHeight="1">
      <c r="A238" s="926" t="s">
        <v>2476</v>
      </c>
      <c r="B238" s="927">
        <v>44694</v>
      </c>
      <c r="C238" s="926">
        <v>2</v>
      </c>
      <c r="D238" s="926">
        <f t="shared" si="17"/>
        <v>16</v>
      </c>
      <c r="E238" s="926"/>
      <c r="F238" s="926">
        <f t="shared" si="18"/>
        <v>43</v>
      </c>
      <c r="G238" s="1013" t="s">
        <v>5168</v>
      </c>
      <c r="H238" s="929"/>
      <c r="I238" s="929" t="s">
        <v>2310</v>
      </c>
      <c r="J238" s="1705"/>
      <c r="K238" s="176"/>
      <c r="L238" s="5"/>
      <c r="M238" s="1175" t="s">
        <v>2535</v>
      </c>
      <c r="N238" s="3" t="s">
        <v>2524</v>
      </c>
      <c r="O238" s="929" t="s">
        <v>77</v>
      </c>
      <c r="P238" s="927">
        <v>44694</v>
      </c>
      <c r="Q238" s="927">
        <v>44694</v>
      </c>
      <c r="R238" s="1012" t="s">
        <v>4220</v>
      </c>
      <c r="S238" s="933"/>
      <c r="T238" s="1534"/>
      <c r="U238" s="926"/>
    </row>
    <row r="239" spans="1:21" ht="40.5" customHeight="1">
      <c r="A239" s="926" t="s">
        <v>2476</v>
      </c>
      <c r="B239" s="927">
        <v>44694</v>
      </c>
      <c r="C239" s="926">
        <v>2</v>
      </c>
      <c r="D239" s="926">
        <f t="shared" si="17"/>
        <v>16</v>
      </c>
      <c r="E239" s="926"/>
      <c r="F239" s="926">
        <f t="shared" si="18"/>
        <v>44</v>
      </c>
      <c r="G239" s="1013" t="s">
        <v>5169</v>
      </c>
      <c r="H239" s="929"/>
      <c r="I239" s="929" t="s">
        <v>2310</v>
      </c>
      <c r="J239" s="1705"/>
      <c r="K239" s="176"/>
      <c r="L239" s="5"/>
      <c r="M239" s="1175" t="s">
        <v>2535</v>
      </c>
      <c r="N239" s="3" t="s">
        <v>2524</v>
      </c>
      <c r="O239" s="929" t="s">
        <v>77</v>
      </c>
      <c r="P239" s="927">
        <v>44694</v>
      </c>
      <c r="Q239" s="927">
        <v>44694</v>
      </c>
      <c r="R239" s="1012" t="s">
        <v>4220</v>
      </c>
      <c r="S239" s="933"/>
      <c r="T239" s="1534"/>
      <c r="U239" s="926"/>
    </row>
    <row r="240" spans="1:21" ht="40.5" customHeight="1">
      <c r="A240" s="926" t="s">
        <v>2476</v>
      </c>
      <c r="B240" s="927">
        <v>44694</v>
      </c>
      <c r="C240" s="926">
        <v>2</v>
      </c>
      <c r="D240" s="926">
        <f t="shared" si="17"/>
        <v>16</v>
      </c>
      <c r="E240" s="926"/>
      <c r="F240" s="926">
        <f t="shared" si="18"/>
        <v>45</v>
      </c>
      <c r="G240" s="1013" t="s">
        <v>5170</v>
      </c>
      <c r="H240" s="929"/>
      <c r="I240" s="929" t="s">
        <v>2310</v>
      </c>
      <c r="J240" s="1705"/>
      <c r="K240" s="176"/>
      <c r="L240" s="5"/>
      <c r="M240" s="1175" t="s">
        <v>2586</v>
      </c>
      <c r="N240" s="3" t="s">
        <v>2524</v>
      </c>
      <c r="O240" s="929" t="s">
        <v>77</v>
      </c>
      <c r="P240" s="927">
        <v>44694</v>
      </c>
      <c r="Q240" s="927">
        <v>44694</v>
      </c>
      <c r="R240" s="1012" t="s">
        <v>4220</v>
      </c>
      <c r="S240" s="933"/>
      <c r="T240" s="1534"/>
      <c r="U240" s="926"/>
    </row>
    <row r="241" spans="1:21" ht="48.75" customHeight="1">
      <c r="A241" s="926" t="s">
        <v>2476</v>
      </c>
      <c r="B241" s="927">
        <v>44854</v>
      </c>
      <c r="C241" s="926">
        <v>3</v>
      </c>
      <c r="D241" s="926">
        <f t="shared" si="17"/>
        <v>16</v>
      </c>
      <c r="E241" s="510" t="s">
        <v>4353</v>
      </c>
      <c r="F241" s="926">
        <f t="shared" si="18"/>
        <v>46</v>
      </c>
      <c r="G241" s="1013" t="s">
        <v>5358</v>
      </c>
      <c r="H241" s="929"/>
      <c r="I241" s="929" t="s">
        <v>551</v>
      </c>
      <c r="J241" s="1705" t="s">
        <v>5788</v>
      </c>
      <c r="K241" s="176">
        <v>44770</v>
      </c>
      <c r="L241" s="177">
        <v>44814</v>
      </c>
      <c r="M241" s="1175" t="s">
        <v>2479</v>
      </c>
      <c r="N241" s="3" t="s">
        <v>1975</v>
      </c>
      <c r="O241" s="929" t="s">
        <v>166</v>
      </c>
      <c r="P241" s="927">
        <v>44854</v>
      </c>
      <c r="Q241" s="927">
        <v>44854</v>
      </c>
      <c r="R241" s="1012" t="s">
        <v>4220</v>
      </c>
      <c r="S241" s="933"/>
      <c r="T241" s="1700"/>
      <c r="U241" s="926"/>
    </row>
    <row r="242" spans="1:21" ht="58.5" customHeight="1">
      <c r="A242" s="926" t="s">
        <v>2476</v>
      </c>
      <c r="B242" s="927">
        <v>44694</v>
      </c>
      <c r="C242" s="926">
        <v>2</v>
      </c>
      <c r="D242" s="926">
        <f t="shared" si="17"/>
        <v>16</v>
      </c>
      <c r="E242" s="934" t="s">
        <v>4517</v>
      </c>
      <c r="F242" s="926">
        <f t="shared" si="18"/>
        <v>47</v>
      </c>
      <c r="G242" s="1013" t="s">
        <v>5172</v>
      </c>
      <c r="H242" s="929"/>
      <c r="I242" s="929" t="s">
        <v>551</v>
      </c>
      <c r="J242" s="1705" t="s">
        <v>5787</v>
      </c>
      <c r="K242" s="176">
        <v>44862</v>
      </c>
      <c r="L242" s="5">
        <v>44898</v>
      </c>
      <c r="M242" s="1175" t="s">
        <v>4821</v>
      </c>
      <c r="N242" s="3" t="s">
        <v>5179</v>
      </c>
      <c r="O242" s="929" t="s">
        <v>77</v>
      </c>
      <c r="P242" s="927">
        <v>44694</v>
      </c>
      <c r="Q242" s="927">
        <v>44694</v>
      </c>
      <c r="R242" s="1012" t="s">
        <v>4220</v>
      </c>
      <c r="S242" s="933"/>
      <c r="T242" s="1700"/>
      <c r="U242" s="926"/>
    </row>
    <row r="243" spans="1:21" ht="63" customHeight="1">
      <c r="A243" s="926" t="s">
        <v>2476</v>
      </c>
      <c r="B243" s="927">
        <v>44694</v>
      </c>
      <c r="C243" s="926">
        <v>2</v>
      </c>
      <c r="D243" s="926">
        <f t="shared" si="17"/>
        <v>16</v>
      </c>
      <c r="E243" s="934" t="s">
        <v>4517</v>
      </c>
      <c r="F243" s="926">
        <f t="shared" si="18"/>
        <v>48</v>
      </c>
      <c r="G243" s="1013" t="s">
        <v>5173</v>
      </c>
      <c r="H243" s="929"/>
      <c r="I243" s="929" t="s">
        <v>551</v>
      </c>
      <c r="J243" s="1705" t="s">
        <v>5787</v>
      </c>
      <c r="K243" s="176">
        <v>44862</v>
      </c>
      <c r="L243" s="5">
        <v>44898</v>
      </c>
      <c r="M243" s="1175" t="s">
        <v>4821</v>
      </c>
      <c r="N243" s="3" t="s">
        <v>5179</v>
      </c>
      <c r="O243" s="929" t="s">
        <v>77</v>
      </c>
      <c r="P243" s="927">
        <v>44694</v>
      </c>
      <c r="Q243" s="927">
        <v>44694</v>
      </c>
      <c r="R243" s="1012" t="s">
        <v>4220</v>
      </c>
      <c r="S243" s="933"/>
      <c r="T243" s="1700"/>
      <c r="U243" s="926"/>
    </row>
    <row r="244" spans="1:21" ht="62.25" customHeight="1">
      <c r="A244" s="926" t="s">
        <v>2476</v>
      </c>
      <c r="B244" s="927">
        <v>44694</v>
      </c>
      <c r="C244" s="926">
        <v>2</v>
      </c>
      <c r="D244" s="926">
        <f t="shared" si="17"/>
        <v>16</v>
      </c>
      <c r="E244" s="934" t="s">
        <v>4517</v>
      </c>
      <c r="F244" s="926">
        <f t="shared" si="18"/>
        <v>49</v>
      </c>
      <c r="G244" s="1013" t="s">
        <v>5174</v>
      </c>
      <c r="H244" s="929"/>
      <c r="I244" s="929" t="s">
        <v>551</v>
      </c>
      <c r="J244" s="1705" t="s">
        <v>5787</v>
      </c>
      <c r="K244" s="176">
        <v>44862</v>
      </c>
      <c r="L244" s="5">
        <v>44898</v>
      </c>
      <c r="M244" s="1175" t="s">
        <v>4821</v>
      </c>
      <c r="N244" s="3" t="s">
        <v>5179</v>
      </c>
      <c r="O244" s="929" t="s">
        <v>77</v>
      </c>
      <c r="P244" s="927">
        <v>44694</v>
      </c>
      <c r="Q244" s="927">
        <v>44694</v>
      </c>
      <c r="R244" s="1012" t="s">
        <v>4220</v>
      </c>
      <c r="S244" s="933"/>
      <c r="T244" s="1700"/>
      <c r="U244" s="926"/>
    </row>
    <row r="245" spans="1:21" ht="40.5" customHeight="1">
      <c r="A245" s="926" t="s">
        <v>2476</v>
      </c>
      <c r="B245" s="927">
        <v>44694</v>
      </c>
      <c r="C245" s="926">
        <v>2</v>
      </c>
      <c r="D245" s="926">
        <f t="shared" si="17"/>
        <v>16</v>
      </c>
      <c r="E245" s="926"/>
      <c r="F245" s="926">
        <f t="shared" si="18"/>
        <v>50</v>
      </c>
      <c r="G245" s="1013" t="s">
        <v>5175</v>
      </c>
      <c r="H245" s="929"/>
      <c r="I245" s="929" t="s">
        <v>2310</v>
      </c>
      <c r="J245" s="1705"/>
      <c r="K245" s="176"/>
      <c r="L245" s="5"/>
      <c r="M245" s="1175" t="s">
        <v>5327</v>
      </c>
      <c r="N245" s="3" t="s">
        <v>1976</v>
      </c>
      <c r="O245" s="929" t="s">
        <v>77</v>
      </c>
      <c r="P245" s="927">
        <v>44694</v>
      </c>
      <c r="Q245" s="927">
        <v>44694</v>
      </c>
      <c r="R245" s="1012" t="s">
        <v>4220</v>
      </c>
      <c r="S245" s="933"/>
      <c r="T245" s="1534"/>
      <c r="U245" s="926"/>
    </row>
    <row r="246" spans="1:21" ht="62.25" customHeight="1">
      <c r="A246" s="926" t="s">
        <v>2476</v>
      </c>
      <c r="B246" s="927">
        <v>44694</v>
      </c>
      <c r="C246" s="926">
        <v>2</v>
      </c>
      <c r="D246" s="926">
        <f t="shared" si="17"/>
        <v>16</v>
      </c>
      <c r="E246" s="935" t="s">
        <v>4346</v>
      </c>
      <c r="F246" s="926">
        <f t="shared" si="18"/>
        <v>51</v>
      </c>
      <c r="G246" s="1013" t="s">
        <v>5176</v>
      </c>
      <c r="H246" s="929"/>
      <c r="I246" s="929" t="s">
        <v>551</v>
      </c>
      <c r="J246" s="1705" t="s">
        <v>5788</v>
      </c>
      <c r="K246" s="176">
        <v>44692</v>
      </c>
      <c r="L246" s="177">
        <v>44765</v>
      </c>
      <c r="M246" s="1175" t="s">
        <v>2714</v>
      </c>
      <c r="N246" s="3" t="s">
        <v>1976</v>
      </c>
      <c r="O246" s="929" t="s">
        <v>77</v>
      </c>
      <c r="P246" s="927">
        <v>44694</v>
      </c>
      <c r="Q246" s="927">
        <v>44694</v>
      </c>
      <c r="R246" s="1012" t="s">
        <v>4220</v>
      </c>
      <c r="S246" s="933"/>
      <c r="T246" s="1700"/>
      <c r="U246" s="926"/>
    </row>
    <row r="247" spans="1:21" ht="40.5" customHeight="1">
      <c r="A247" s="926" t="s">
        <v>2476</v>
      </c>
      <c r="B247" s="927">
        <v>44694</v>
      </c>
      <c r="C247" s="926">
        <v>2</v>
      </c>
      <c r="D247" s="926">
        <f t="shared" si="17"/>
        <v>16</v>
      </c>
      <c r="E247" s="934" t="s">
        <v>4518</v>
      </c>
      <c r="F247" s="926">
        <f t="shared" si="18"/>
        <v>52</v>
      </c>
      <c r="G247" s="1013" t="s">
        <v>5177</v>
      </c>
      <c r="H247" s="929"/>
      <c r="I247" s="929" t="s">
        <v>551</v>
      </c>
      <c r="J247" s="1705" t="s">
        <v>5787</v>
      </c>
      <c r="K247" s="176">
        <v>44847</v>
      </c>
      <c r="L247" s="5">
        <v>44895</v>
      </c>
      <c r="M247" s="1175" t="s">
        <v>4822</v>
      </c>
      <c r="N247" s="3" t="s">
        <v>2524</v>
      </c>
      <c r="O247" s="929" t="s">
        <v>77</v>
      </c>
      <c r="P247" s="927">
        <v>44694</v>
      </c>
      <c r="Q247" s="927">
        <v>44694</v>
      </c>
      <c r="R247" s="1012" t="s">
        <v>4220</v>
      </c>
      <c r="S247" s="933"/>
      <c r="T247" s="1700"/>
      <c r="U247" s="926"/>
    </row>
    <row r="248" spans="1:21" ht="57.75" customHeight="1">
      <c r="A248" s="926" t="s">
        <v>2476</v>
      </c>
      <c r="B248" s="927">
        <v>44694</v>
      </c>
      <c r="C248" s="926">
        <v>2</v>
      </c>
      <c r="D248" s="926">
        <f t="shared" si="17"/>
        <v>16</v>
      </c>
      <c r="E248" s="926"/>
      <c r="F248" s="926">
        <f t="shared" si="18"/>
        <v>53</v>
      </c>
      <c r="G248" s="1013" t="s">
        <v>5178</v>
      </c>
      <c r="H248" s="929"/>
      <c r="I248" s="929" t="s">
        <v>2310</v>
      </c>
      <c r="J248" s="1705"/>
      <c r="K248" s="176"/>
      <c r="L248" s="5"/>
      <c r="M248" s="1175" t="s">
        <v>3420</v>
      </c>
      <c r="N248" s="3" t="s">
        <v>1975</v>
      </c>
      <c r="O248" s="929" t="s">
        <v>77</v>
      </c>
      <c r="P248" s="927">
        <v>44694</v>
      </c>
      <c r="Q248" s="927">
        <v>44694</v>
      </c>
      <c r="R248" s="1012" t="s">
        <v>4220</v>
      </c>
      <c r="S248" s="933"/>
      <c r="T248" s="1534"/>
      <c r="U248" s="926"/>
    </row>
    <row r="249" spans="1:21" ht="52.5" customHeight="1">
      <c r="A249" s="926" t="s">
        <v>2476</v>
      </c>
      <c r="B249" s="927">
        <v>44694</v>
      </c>
      <c r="C249" s="926">
        <v>2</v>
      </c>
      <c r="D249" s="926">
        <v>17</v>
      </c>
      <c r="E249" s="926"/>
      <c r="F249" s="926">
        <f t="shared" si="18"/>
        <v>54</v>
      </c>
      <c r="G249" s="1013" t="s">
        <v>5180</v>
      </c>
      <c r="H249" s="929"/>
      <c r="I249" s="929" t="s">
        <v>2310</v>
      </c>
      <c r="J249" s="1705"/>
      <c r="K249" s="176"/>
      <c r="L249" s="5"/>
      <c r="M249" s="1175" t="s">
        <v>2563</v>
      </c>
      <c r="N249" s="3" t="s">
        <v>1975</v>
      </c>
      <c r="O249" s="929" t="s">
        <v>77</v>
      </c>
      <c r="P249" s="927">
        <v>44694</v>
      </c>
      <c r="Q249" s="927">
        <v>44694</v>
      </c>
      <c r="R249" s="1012" t="s">
        <v>4220</v>
      </c>
      <c r="S249" s="933"/>
      <c r="T249" s="1534"/>
      <c r="U249" s="926"/>
    </row>
    <row r="250" spans="1:21" ht="52.5" customHeight="1">
      <c r="A250" s="926" t="s">
        <v>2476</v>
      </c>
      <c r="B250" s="927">
        <v>44694</v>
      </c>
      <c r="C250" s="926">
        <v>2</v>
      </c>
      <c r="D250" s="926">
        <f t="shared" ref="D250:D277" si="19">D249</f>
        <v>17</v>
      </c>
      <c r="E250" s="926"/>
      <c r="F250" s="926">
        <f t="shared" si="18"/>
        <v>55</v>
      </c>
      <c r="G250" s="1013" t="s">
        <v>5181</v>
      </c>
      <c r="H250" s="929"/>
      <c r="I250" s="929" t="s">
        <v>2310</v>
      </c>
      <c r="J250" s="1705"/>
      <c r="K250" s="176"/>
      <c r="L250" s="5"/>
      <c r="M250" s="1175" t="s">
        <v>4687</v>
      </c>
      <c r="N250" s="3" t="s">
        <v>1975</v>
      </c>
      <c r="O250" s="929" t="s">
        <v>77</v>
      </c>
      <c r="P250" s="927">
        <v>44694</v>
      </c>
      <c r="Q250" s="927">
        <v>44694</v>
      </c>
      <c r="R250" s="1012" t="s">
        <v>4220</v>
      </c>
      <c r="S250" s="933"/>
      <c r="T250" s="1534"/>
      <c r="U250" s="926"/>
    </row>
    <row r="251" spans="1:21" ht="56.25" customHeight="1">
      <c r="A251" s="926" t="s">
        <v>2476</v>
      </c>
      <c r="B251" s="927">
        <v>44694</v>
      </c>
      <c r="C251" s="926">
        <v>2</v>
      </c>
      <c r="D251" s="926">
        <f t="shared" si="19"/>
        <v>17</v>
      </c>
      <c r="E251" s="926"/>
      <c r="F251" s="926">
        <f t="shared" si="18"/>
        <v>56</v>
      </c>
      <c r="G251" s="1013" t="s">
        <v>5182</v>
      </c>
      <c r="H251" s="929"/>
      <c r="I251" s="929" t="s">
        <v>2310</v>
      </c>
      <c r="J251" s="1705"/>
      <c r="K251" s="176"/>
      <c r="L251" s="5"/>
      <c r="M251" s="1175" t="s">
        <v>2687</v>
      </c>
      <c r="N251" s="3" t="s">
        <v>1975</v>
      </c>
      <c r="O251" s="929" t="s">
        <v>77</v>
      </c>
      <c r="P251" s="927">
        <v>44694</v>
      </c>
      <c r="Q251" s="927">
        <v>44694</v>
      </c>
      <c r="R251" s="1012" t="s">
        <v>4220</v>
      </c>
      <c r="S251" s="933"/>
      <c r="T251" s="1534"/>
      <c r="U251" s="926"/>
    </row>
    <row r="252" spans="1:21" ht="48.75" customHeight="1">
      <c r="A252" s="926" t="s">
        <v>2476</v>
      </c>
      <c r="B252" s="927">
        <v>44694</v>
      </c>
      <c r="C252" s="926">
        <v>2</v>
      </c>
      <c r="D252" s="926">
        <f t="shared" si="19"/>
        <v>17</v>
      </c>
      <c r="E252" s="926"/>
      <c r="F252" s="926">
        <f t="shared" si="18"/>
        <v>57</v>
      </c>
      <c r="G252" s="1013" t="s">
        <v>5183</v>
      </c>
      <c r="H252" s="929"/>
      <c r="I252" s="929" t="s">
        <v>2310</v>
      </c>
      <c r="J252" s="1705"/>
      <c r="K252" s="176"/>
      <c r="L252" s="5"/>
      <c r="M252" s="1175" t="s">
        <v>2687</v>
      </c>
      <c r="N252" s="3" t="s">
        <v>1975</v>
      </c>
      <c r="O252" s="929" t="s">
        <v>77</v>
      </c>
      <c r="P252" s="927">
        <v>44694</v>
      </c>
      <c r="Q252" s="927">
        <v>44694</v>
      </c>
      <c r="R252" s="1012" t="s">
        <v>4220</v>
      </c>
      <c r="S252" s="933"/>
      <c r="T252" s="1534"/>
      <c r="U252" s="926"/>
    </row>
    <row r="253" spans="1:21" ht="40.5" customHeight="1">
      <c r="A253" s="926" t="s">
        <v>2476</v>
      </c>
      <c r="B253" s="927">
        <v>44694</v>
      </c>
      <c r="C253" s="926">
        <v>2</v>
      </c>
      <c r="D253" s="926">
        <f t="shared" si="19"/>
        <v>17</v>
      </c>
      <c r="E253" s="926"/>
      <c r="F253" s="926">
        <f t="shared" si="18"/>
        <v>58</v>
      </c>
      <c r="G253" s="1013" t="s">
        <v>5184</v>
      </c>
      <c r="H253" s="929"/>
      <c r="I253" s="929" t="s">
        <v>2310</v>
      </c>
      <c r="J253" s="1705"/>
      <c r="K253" s="176"/>
      <c r="L253" s="5"/>
      <c r="M253" s="1175" t="s">
        <v>4704</v>
      </c>
      <c r="N253" s="3" t="s">
        <v>1975</v>
      </c>
      <c r="O253" s="929" t="s">
        <v>77</v>
      </c>
      <c r="P253" s="927">
        <v>44694</v>
      </c>
      <c r="Q253" s="927">
        <v>44694</v>
      </c>
      <c r="R253" s="1012" t="s">
        <v>4220</v>
      </c>
      <c r="S253" s="933"/>
      <c r="T253" s="1534"/>
      <c r="U253" s="926"/>
    </row>
    <row r="254" spans="1:21" ht="40.5" customHeight="1">
      <c r="A254" s="926" t="s">
        <v>2476</v>
      </c>
      <c r="B254" s="927">
        <v>44694</v>
      </c>
      <c r="C254" s="926">
        <v>2</v>
      </c>
      <c r="D254" s="926">
        <f t="shared" si="19"/>
        <v>17</v>
      </c>
      <c r="E254" s="926"/>
      <c r="F254" s="926">
        <f t="shared" si="18"/>
        <v>59</v>
      </c>
      <c r="G254" s="1013" t="s">
        <v>5185</v>
      </c>
      <c r="H254" s="929"/>
      <c r="I254" s="929" t="s">
        <v>2310</v>
      </c>
      <c r="J254" s="1705"/>
      <c r="K254" s="176"/>
      <c r="L254" s="5"/>
      <c r="M254" s="1175" t="s">
        <v>5328</v>
      </c>
      <c r="N254" s="3" t="s">
        <v>1975</v>
      </c>
      <c r="O254" s="929" t="s">
        <v>77</v>
      </c>
      <c r="P254" s="927">
        <v>44694</v>
      </c>
      <c r="Q254" s="927">
        <v>44694</v>
      </c>
      <c r="R254" s="1012" t="s">
        <v>4220</v>
      </c>
      <c r="S254" s="933"/>
      <c r="T254" s="1534"/>
      <c r="U254" s="926"/>
    </row>
    <row r="255" spans="1:21" ht="40.5" customHeight="1">
      <c r="A255" s="926" t="s">
        <v>2476</v>
      </c>
      <c r="B255" s="927">
        <v>44694</v>
      </c>
      <c r="C255" s="926">
        <v>2</v>
      </c>
      <c r="D255" s="926">
        <f t="shared" si="19"/>
        <v>17</v>
      </c>
      <c r="E255" s="926"/>
      <c r="F255" s="926">
        <f t="shared" si="18"/>
        <v>60</v>
      </c>
      <c r="G255" s="1013" t="s">
        <v>5186</v>
      </c>
      <c r="H255" s="929"/>
      <c r="I255" s="929" t="s">
        <v>2310</v>
      </c>
      <c r="J255" s="1705"/>
      <c r="K255" s="176"/>
      <c r="L255" s="5"/>
      <c r="M255" s="1175" t="s">
        <v>4770</v>
      </c>
      <c r="N255" s="3" t="s">
        <v>1975</v>
      </c>
      <c r="O255" s="929" t="s">
        <v>77</v>
      </c>
      <c r="P255" s="927">
        <v>44694</v>
      </c>
      <c r="Q255" s="927">
        <v>44694</v>
      </c>
      <c r="R255" s="1012" t="s">
        <v>4220</v>
      </c>
      <c r="S255" s="933"/>
      <c r="T255" s="1534"/>
      <c r="U255" s="926"/>
    </row>
    <row r="256" spans="1:21" ht="40.5" customHeight="1">
      <c r="A256" s="926" t="s">
        <v>2476</v>
      </c>
      <c r="B256" s="927">
        <v>44909</v>
      </c>
      <c r="C256" s="926">
        <v>4</v>
      </c>
      <c r="D256" s="926">
        <f t="shared" si="19"/>
        <v>17</v>
      </c>
      <c r="E256" s="510"/>
      <c r="F256" s="926">
        <f t="shared" si="18"/>
        <v>61</v>
      </c>
      <c r="G256" s="1013" t="s">
        <v>5105</v>
      </c>
      <c r="H256" s="929"/>
      <c r="I256" s="929"/>
      <c r="J256" s="1705"/>
      <c r="K256" s="176"/>
      <c r="L256" s="5"/>
      <c r="M256" s="1175" t="s">
        <v>5323</v>
      </c>
      <c r="N256" s="3" t="s">
        <v>1975</v>
      </c>
      <c r="O256" s="929" t="s">
        <v>5680</v>
      </c>
      <c r="P256" s="927">
        <v>44909</v>
      </c>
      <c r="Q256" s="927">
        <v>44909</v>
      </c>
      <c r="R256" s="1012" t="s">
        <v>4220</v>
      </c>
      <c r="S256" s="933"/>
      <c r="T256" s="1700"/>
      <c r="U256" s="926"/>
    </row>
    <row r="257" spans="1:21" ht="40.5" customHeight="1">
      <c r="A257" s="926" t="s">
        <v>2476</v>
      </c>
      <c r="B257" s="927">
        <v>44694</v>
      </c>
      <c r="C257" s="926">
        <v>2</v>
      </c>
      <c r="D257" s="926">
        <f t="shared" si="19"/>
        <v>17</v>
      </c>
      <c r="E257" s="926"/>
      <c r="F257" s="926">
        <f t="shared" si="18"/>
        <v>62</v>
      </c>
      <c r="G257" s="1013" t="s">
        <v>5188</v>
      </c>
      <c r="H257" s="929"/>
      <c r="I257" s="929" t="s">
        <v>2310</v>
      </c>
      <c r="J257" s="1705"/>
      <c r="K257" s="176"/>
      <c r="L257" s="5"/>
      <c r="M257" s="1175" t="s">
        <v>2606</v>
      </c>
      <c r="N257" s="3" t="s">
        <v>2604</v>
      </c>
      <c r="O257" s="929" t="s">
        <v>77</v>
      </c>
      <c r="P257" s="927">
        <v>44694</v>
      </c>
      <c r="Q257" s="927">
        <v>44694</v>
      </c>
      <c r="R257" s="1012" t="s">
        <v>4220</v>
      </c>
      <c r="S257" s="933"/>
      <c r="T257" s="1534"/>
      <c r="U257" s="926"/>
    </row>
    <row r="258" spans="1:21" ht="40.5" customHeight="1">
      <c r="A258" s="926" t="s">
        <v>2476</v>
      </c>
      <c r="B258" s="927">
        <v>44694</v>
      </c>
      <c r="C258" s="926">
        <v>2</v>
      </c>
      <c r="D258" s="926">
        <f t="shared" si="19"/>
        <v>17</v>
      </c>
      <c r="E258" s="926"/>
      <c r="F258" s="926">
        <f t="shared" si="18"/>
        <v>63</v>
      </c>
      <c r="G258" s="1013" t="s">
        <v>5189</v>
      </c>
      <c r="H258" s="929"/>
      <c r="I258" s="929" t="s">
        <v>2310</v>
      </c>
      <c r="J258" s="1705"/>
      <c r="K258" s="176"/>
      <c r="L258" s="5"/>
      <c r="M258" s="1175" t="s">
        <v>2636</v>
      </c>
      <c r="N258" s="3" t="s">
        <v>2604</v>
      </c>
      <c r="O258" s="929" t="s">
        <v>77</v>
      </c>
      <c r="P258" s="927">
        <v>44694</v>
      </c>
      <c r="Q258" s="927">
        <v>44694</v>
      </c>
      <c r="R258" s="1012" t="s">
        <v>4220</v>
      </c>
      <c r="S258" s="933"/>
      <c r="T258" s="1534"/>
      <c r="U258" s="926"/>
    </row>
    <row r="259" spans="1:21" ht="56.25" customHeight="1">
      <c r="A259" s="926" t="s">
        <v>2476</v>
      </c>
      <c r="B259" s="927">
        <v>44694</v>
      </c>
      <c r="C259" s="926">
        <v>2</v>
      </c>
      <c r="D259" s="926">
        <f t="shared" si="19"/>
        <v>17</v>
      </c>
      <c r="E259" s="926"/>
      <c r="F259" s="926">
        <f t="shared" si="18"/>
        <v>64</v>
      </c>
      <c r="G259" s="1013" t="s">
        <v>5190</v>
      </c>
      <c r="H259" s="929"/>
      <c r="I259" s="929" t="s">
        <v>2310</v>
      </c>
      <c r="J259" s="1705"/>
      <c r="K259" s="176"/>
      <c r="L259" s="5"/>
      <c r="M259" s="1175" t="s">
        <v>5319</v>
      </c>
      <c r="N259" s="3" t="s">
        <v>1975</v>
      </c>
      <c r="O259" s="929" t="s">
        <v>77</v>
      </c>
      <c r="P259" s="927">
        <v>44694</v>
      </c>
      <c r="Q259" s="927">
        <v>44694</v>
      </c>
      <c r="R259" s="1012" t="s">
        <v>4220</v>
      </c>
      <c r="S259" s="933"/>
      <c r="T259" s="1534"/>
      <c r="U259" s="926"/>
    </row>
    <row r="260" spans="1:21" ht="56.25" customHeight="1">
      <c r="A260" s="926" t="s">
        <v>2476</v>
      </c>
      <c r="B260" s="927">
        <v>44694</v>
      </c>
      <c r="C260" s="926">
        <v>2</v>
      </c>
      <c r="D260" s="926">
        <f t="shared" si="19"/>
        <v>17</v>
      </c>
      <c r="E260" s="926"/>
      <c r="F260" s="926">
        <f t="shared" si="18"/>
        <v>65</v>
      </c>
      <c r="G260" s="1013" t="s">
        <v>5191</v>
      </c>
      <c r="H260" s="929"/>
      <c r="I260" s="929" t="s">
        <v>2310</v>
      </c>
      <c r="J260" s="1705"/>
      <c r="K260" s="176"/>
      <c r="L260" s="5"/>
      <c r="M260" s="1175" t="s">
        <v>5319</v>
      </c>
      <c r="N260" s="3" t="s">
        <v>1975</v>
      </c>
      <c r="O260" s="929" t="s">
        <v>77</v>
      </c>
      <c r="P260" s="927">
        <v>44694</v>
      </c>
      <c r="Q260" s="927">
        <v>44694</v>
      </c>
      <c r="R260" s="1012" t="s">
        <v>4220</v>
      </c>
      <c r="S260" s="933"/>
      <c r="T260" s="1534"/>
      <c r="U260" s="926"/>
    </row>
    <row r="261" spans="1:21" ht="57.75" customHeight="1">
      <c r="A261" s="926" t="s">
        <v>2476</v>
      </c>
      <c r="B261" s="927">
        <v>44694</v>
      </c>
      <c r="C261" s="926">
        <v>2</v>
      </c>
      <c r="D261" s="926">
        <f t="shared" si="19"/>
        <v>17</v>
      </c>
      <c r="E261" s="926"/>
      <c r="F261" s="926">
        <f t="shared" ref="F261:F278" si="20">F260+1</f>
        <v>66</v>
      </c>
      <c r="G261" s="1013" t="s">
        <v>5192</v>
      </c>
      <c r="H261" s="929"/>
      <c r="I261" s="929" t="s">
        <v>2310</v>
      </c>
      <c r="J261" s="1705"/>
      <c r="K261" s="176"/>
      <c r="L261" s="5"/>
      <c r="M261" s="1175" t="s">
        <v>5319</v>
      </c>
      <c r="N261" s="3" t="s">
        <v>1975</v>
      </c>
      <c r="O261" s="929" t="s">
        <v>77</v>
      </c>
      <c r="P261" s="927">
        <v>44694</v>
      </c>
      <c r="Q261" s="927">
        <v>44694</v>
      </c>
      <c r="R261" s="1012" t="s">
        <v>4220</v>
      </c>
      <c r="S261" s="933"/>
      <c r="T261" s="1534"/>
      <c r="U261" s="926"/>
    </row>
    <row r="262" spans="1:21" ht="40.5" customHeight="1">
      <c r="A262" s="926" t="s">
        <v>2476</v>
      </c>
      <c r="B262" s="927">
        <v>44854</v>
      </c>
      <c r="C262" s="926">
        <v>3</v>
      </c>
      <c r="D262" s="926">
        <f t="shared" si="19"/>
        <v>17</v>
      </c>
      <c r="E262" s="510"/>
      <c r="F262" s="926">
        <f t="shared" si="20"/>
        <v>67</v>
      </c>
      <c r="G262" s="1013" t="s">
        <v>5357</v>
      </c>
      <c r="H262" s="929"/>
      <c r="I262" s="929"/>
      <c r="J262" s="1705"/>
      <c r="K262" s="176"/>
      <c r="L262" s="5"/>
      <c r="M262" s="1175" t="s">
        <v>5323</v>
      </c>
      <c r="N262" s="3" t="s">
        <v>1975</v>
      </c>
      <c r="O262" s="929" t="s">
        <v>166</v>
      </c>
      <c r="P262" s="927">
        <v>44854</v>
      </c>
      <c r="Q262" s="927">
        <v>44854</v>
      </c>
      <c r="R262" s="1012" t="s">
        <v>4220</v>
      </c>
      <c r="S262" s="933"/>
      <c r="T262" s="1700"/>
      <c r="U262" s="926"/>
    </row>
    <row r="263" spans="1:21" ht="40.5" customHeight="1">
      <c r="A263" s="926" t="s">
        <v>2476</v>
      </c>
      <c r="B263" s="927">
        <v>44694</v>
      </c>
      <c r="C263" s="926">
        <v>2</v>
      </c>
      <c r="D263" s="926">
        <f t="shared" si="19"/>
        <v>17</v>
      </c>
      <c r="E263" s="935" t="s">
        <v>4051</v>
      </c>
      <c r="F263" s="926">
        <f t="shared" si="20"/>
        <v>68</v>
      </c>
      <c r="G263" s="1013" t="s">
        <v>5194</v>
      </c>
      <c r="H263" s="929"/>
      <c r="I263" s="929" t="s">
        <v>551</v>
      </c>
      <c r="J263" s="1705" t="s">
        <v>5789</v>
      </c>
      <c r="K263" s="176">
        <v>44438</v>
      </c>
      <c r="L263" s="5">
        <v>44492</v>
      </c>
      <c r="M263" s="1175" t="s">
        <v>4710</v>
      </c>
      <c r="N263" s="3" t="s">
        <v>2577</v>
      </c>
      <c r="O263" s="929" t="s">
        <v>5048</v>
      </c>
      <c r="P263" s="927">
        <v>44694</v>
      </c>
      <c r="Q263" s="927">
        <v>44694</v>
      </c>
      <c r="R263" s="1012" t="s">
        <v>4220</v>
      </c>
      <c r="S263" s="933"/>
      <c r="T263" s="1700"/>
      <c r="U263" s="926"/>
    </row>
    <row r="264" spans="1:21" ht="58.5" customHeight="1">
      <c r="A264" s="926" t="s">
        <v>2476</v>
      </c>
      <c r="B264" s="927">
        <v>44694</v>
      </c>
      <c r="C264" s="926">
        <v>2</v>
      </c>
      <c r="D264" s="926">
        <f t="shared" si="19"/>
        <v>17</v>
      </c>
      <c r="E264" s="926"/>
      <c r="F264" s="926">
        <f t="shared" si="20"/>
        <v>69</v>
      </c>
      <c r="G264" s="1013" t="s">
        <v>5195</v>
      </c>
      <c r="H264" s="929"/>
      <c r="I264" s="929" t="s">
        <v>2310</v>
      </c>
      <c r="J264" s="1705"/>
      <c r="K264" s="176"/>
      <c r="L264" s="5"/>
      <c r="M264" s="1175" t="s">
        <v>3146</v>
      </c>
      <c r="N264" s="3" t="s">
        <v>2663</v>
      </c>
      <c r="O264" s="929" t="s">
        <v>5048</v>
      </c>
      <c r="P264" s="927">
        <v>44694</v>
      </c>
      <c r="Q264" s="927">
        <v>44694</v>
      </c>
      <c r="R264" s="1012" t="s">
        <v>4220</v>
      </c>
      <c r="S264" s="933"/>
      <c r="T264" s="1534"/>
      <c r="U264" s="926"/>
    </row>
    <row r="265" spans="1:21" ht="40.5" customHeight="1">
      <c r="A265" s="926" t="s">
        <v>2476</v>
      </c>
      <c r="B265" s="927">
        <v>44694</v>
      </c>
      <c r="C265" s="926">
        <v>2</v>
      </c>
      <c r="D265" s="926">
        <f t="shared" si="19"/>
        <v>17</v>
      </c>
      <c r="E265" s="926"/>
      <c r="F265" s="926">
        <f t="shared" si="20"/>
        <v>70</v>
      </c>
      <c r="G265" s="1013" t="s">
        <v>5196</v>
      </c>
      <c r="H265" s="929"/>
      <c r="I265" s="929" t="s">
        <v>2310</v>
      </c>
      <c r="J265" s="1705"/>
      <c r="K265" s="176"/>
      <c r="L265" s="5"/>
      <c r="M265" s="1175" t="s">
        <v>3420</v>
      </c>
      <c r="N265" s="3" t="s">
        <v>1975</v>
      </c>
      <c r="O265" s="929" t="s">
        <v>5048</v>
      </c>
      <c r="P265" s="927">
        <v>44694</v>
      </c>
      <c r="Q265" s="927">
        <v>44694</v>
      </c>
      <c r="R265" s="1012" t="s">
        <v>4220</v>
      </c>
      <c r="S265" s="933"/>
      <c r="T265" s="1534"/>
      <c r="U265" s="926"/>
    </row>
    <row r="266" spans="1:21" ht="56.25" customHeight="1">
      <c r="A266" s="926" t="s">
        <v>2476</v>
      </c>
      <c r="B266" s="927">
        <v>44694</v>
      </c>
      <c r="C266" s="926">
        <v>2</v>
      </c>
      <c r="D266" s="926">
        <f t="shared" si="19"/>
        <v>17</v>
      </c>
      <c r="E266" s="926"/>
      <c r="F266" s="926">
        <f t="shared" si="20"/>
        <v>71</v>
      </c>
      <c r="G266" s="1013" t="s">
        <v>5126</v>
      </c>
      <c r="H266" s="929"/>
      <c r="I266" s="929" t="s">
        <v>2310</v>
      </c>
      <c r="J266" s="1705"/>
      <c r="K266" s="176"/>
      <c r="L266" s="5"/>
      <c r="M266" s="1175" t="s">
        <v>2647</v>
      </c>
      <c r="N266" s="3" t="s">
        <v>1975</v>
      </c>
      <c r="O266" s="929" t="s">
        <v>5048</v>
      </c>
      <c r="P266" s="927">
        <v>44694</v>
      </c>
      <c r="Q266" s="927">
        <v>44694</v>
      </c>
      <c r="R266" s="1012" t="s">
        <v>4220</v>
      </c>
      <c r="S266" s="933"/>
      <c r="T266" s="1534"/>
      <c r="U266" s="926"/>
    </row>
    <row r="267" spans="1:21" ht="40.5" customHeight="1">
      <c r="A267" s="926" t="s">
        <v>2476</v>
      </c>
      <c r="B267" s="927">
        <v>44694</v>
      </c>
      <c r="C267" s="926">
        <v>2</v>
      </c>
      <c r="D267" s="926">
        <f t="shared" si="19"/>
        <v>17</v>
      </c>
      <c r="E267" s="926"/>
      <c r="F267" s="926">
        <f t="shared" si="20"/>
        <v>72</v>
      </c>
      <c r="G267" s="1013" t="s">
        <v>5197</v>
      </c>
      <c r="H267" s="929"/>
      <c r="I267" s="929" t="s">
        <v>2310</v>
      </c>
      <c r="J267" s="1705"/>
      <c r="K267" s="176"/>
      <c r="L267" s="5"/>
      <c r="M267" s="1175" t="s">
        <v>2563</v>
      </c>
      <c r="N267" s="3" t="s">
        <v>1975</v>
      </c>
      <c r="O267" s="929" t="s">
        <v>5048</v>
      </c>
      <c r="P267" s="927">
        <v>44694</v>
      </c>
      <c r="Q267" s="927">
        <v>44694</v>
      </c>
      <c r="R267" s="1012" t="s">
        <v>4220</v>
      </c>
      <c r="S267" s="933"/>
      <c r="T267" s="1534"/>
      <c r="U267" s="926"/>
    </row>
    <row r="268" spans="1:21" ht="40.5" customHeight="1">
      <c r="A268" s="926" t="s">
        <v>2476</v>
      </c>
      <c r="B268" s="927">
        <v>44694</v>
      </c>
      <c r="C268" s="926">
        <v>2</v>
      </c>
      <c r="D268" s="926">
        <f t="shared" si="19"/>
        <v>17</v>
      </c>
      <c r="E268" s="926"/>
      <c r="F268" s="926">
        <f t="shared" si="20"/>
        <v>73</v>
      </c>
      <c r="G268" s="1013" t="s">
        <v>5198</v>
      </c>
      <c r="H268" s="929"/>
      <c r="I268" s="929" t="s">
        <v>2310</v>
      </c>
      <c r="J268" s="1705"/>
      <c r="K268" s="176"/>
      <c r="L268" s="5"/>
      <c r="M268" s="1175" t="s">
        <v>4687</v>
      </c>
      <c r="N268" s="3" t="s">
        <v>1975</v>
      </c>
      <c r="O268" s="929" t="s">
        <v>5048</v>
      </c>
      <c r="P268" s="927">
        <v>44694</v>
      </c>
      <c r="Q268" s="927">
        <v>44694</v>
      </c>
      <c r="R268" s="1012" t="s">
        <v>4220</v>
      </c>
      <c r="S268" s="933"/>
      <c r="T268" s="1534"/>
      <c r="U268" s="926"/>
    </row>
    <row r="269" spans="1:21" ht="40.5" customHeight="1">
      <c r="A269" s="926" t="s">
        <v>2476</v>
      </c>
      <c r="B269" s="927">
        <v>44694</v>
      </c>
      <c r="C269" s="926">
        <v>2</v>
      </c>
      <c r="D269" s="926">
        <f t="shared" si="19"/>
        <v>17</v>
      </c>
      <c r="E269" s="926"/>
      <c r="F269" s="926">
        <f t="shared" si="20"/>
        <v>74</v>
      </c>
      <c r="G269" s="1013" t="s">
        <v>5199</v>
      </c>
      <c r="H269" s="929"/>
      <c r="I269" s="929" t="s">
        <v>2310</v>
      </c>
      <c r="J269" s="1705"/>
      <c r="K269" s="176"/>
      <c r="L269" s="5"/>
      <c r="M269" s="1175" t="s">
        <v>2687</v>
      </c>
      <c r="N269" s="3" t="s">
        <v>1975</v>
      </c>
      <c r="O269" s="929" t="s">
        <v>5048</v>
      </c>
      <c r="P269" s="927">
        <v>44694</v>
      </c>
      <c r="Q269" s="927">
        <v>44694</v>
      </c>
      <c r="R269" s="1012" t="s">
        <v>4220</v>
      </c>
      <c r="S269" s="933"/>
      <c r="T269" s="1534"/>
      <c r="U269" s="926"/>
    </row>
    <row r="270" spans="1:21" ht="40.5" customHeight="1">
      <c r="A270" s="926" t="s">
        <v>2476</v>
      </c>
      <c r="B270" s="927">
        <v>44694</v>
      </c>
      <c r="C270" s="926">
        <v>2</v>
      </c>
      <c r="D270" s="926">
        <f t="shared" si="19"/>
        <v>17</v>
      </c>
      <c r="E270" s="926"/>
      <c r="F270" s="926">
        <f t="shared" si="20"/>
        <v>75</v>
      </c>
      <c r="G270" s="1013" t="s">
        <v>5200</v>
      </c>
      <c r="H270" s="929"/>
      <c r="I270" s="929" t="s">
        <v>2310</v>
      </c>
      <c r="J270" s="1705"/>
      <c r="K270" s="176"/>
      <c r="L270" s="5"/>
      <c r="M270" s="1175" t="s">
        <v>2687</v>
      </c>
      <c r="N270" s="3" t="s">
        <v>1975</v>
      </c>
      <c r="O270" s="929" t="s">
        <v>5048</v>
      </c>
      <c r="P270" s="927">
        <v>44694</v>
      </c>
      <c r="Q270" s="927">
        <v>44694</v>
      </c>
      <c r="R270" s="1012" t="s">
        <v>4220</v>
      </c>
      <c r="S270" s="933"/>
      <c r="T270" s="1534"/>
      <c r="U270" s="926"/>
    </row>
    <row r="271" spans="1:21" ht="40.5" customHeight="1">
      <c r="A271" s="926" t="s">
        <v>2476</v>
      </c>
      <c r="B271" s="927">
        <v>44694</v>
      </c>
      <c r="C271" s="926">
        <v>2</v>
      </c>
      <c r="D271" s="926">
        <f t="shared" si="19"/>
        <v>17</v>
      </c>
      <c r="E271" s="926"/>
      <c r="F271" s="926">
        <f t="shared" si="20"/>
        <v>76</v>
      </c>
      <c r="G271" s="1013" t="s">
        <v>5201</v>
      </c>
      <c r="H271" s="929"/>
      <c r="I271" s="929" t="s">
        <v>2310</v>
      </c>
      <c r="J271" s="1705"/>
      <c r="K271" s="176"/>
      <c r="L271" s="5"/>
      <c r="M271" s="1175" t="s">
        <v>4704</v>
      </c>
      <c r="N271" s="3" t="s">
        <v>1975</v>
      </c>
      <c r="O271" s="929" t="s">
        <v>5048</v>
      </c>
      <c r="P271" s="927">
        <v>44694</v>
      </c>
      <c r="Q271" s="927">
        <v>44694</v>
      </c>
      <c r="R271" s="1012" t="s">
        <v>4220</v>
      </c>
      <c r="S271" s="933"/>
      <c r="T271" s="1534"/>
      <c r="U271" s="926"/>
    </row>
    <row r="272" spans="1:21" ht="40.5" customHeight="1">
      <c r="A272" s="926" t="s">
        <v>2476</v>
      </c>
      <c r="B272" s="927">
        <v>44694</v>
      </c>
      <c r="C272" s="926">
        <v>2</v>
      </c>
      <c r="D272" s="926">
        <f t="shared" si="19"/>
        <v>17</v>
      </c>
      <c r="E272" s="926"/>
      <c r="F272" s="926">
        <f t="shared" si="20"/>
        <v>77</v>
      </c>
      <c r="G272" s="1013" t="s">
        <v>5202</v>
      </c>
      <c r="H272" s="929"/>
      <c r="I272" s="929" t="s">
        <v>2310</v>
      </c>
      <c r="J272" s="1705"/>
      <c r="K272" s="176"/>
      <c r="L272" s="5"/>
      <c r="M272" s="1175" t="s">
        <v>5328</v>
      </c>
      <c r="N272" s="3" t="s">
        <v>1975</v>
      </c>
      <c r="O272" s="929" t="s">
        <v>5048</v>
      </c>
      <c r="P272" s="927">
        <v>44694</v>
      </c>
      <c r="Q272" s="927">
        <v>44694</v>
      </c>
      <c r="R272" s="1012" t="s">
        <v>4220</v>
      </c>
      <c r="S272" s="933"/>
      <c r="T272" s="1534"/>
      <c r="U272" s="926"/>
    </row>
    <row r="273" spans="1:21" ht="40.5" customHeight="1">
      <c r="A273" s="926" t="s">
        <v>2476</v>
      </c>
      <c r="B273" s="927">
        <v>44694</v>
      </c>
      <c r="C273" s="926">
        <v>2</v>
      </c>
      <c r="D273" s="926">
        <f t="shared" si="19"/>
        <v>17</v>
      </c>
      <c r="E273" s="926"/>
      <c r="F273" s="926">
        <f t="shared" si="20"/>
        <v>78</v>
      </c>
      <c r="G273" s="1013" t="s">
        <v>5203</v>
      </c>
      <c r="H273" s="929"/>
      <c r="I273" s="929" t="s">
        <v>2310</v>
      </c>
      <c r="J273" s="1705"/>
      <c r="K273" s="176"/>
      <c r="L273" s="5"/>
      <c r="M273" s="1175" t="s">
        <v>4770</v>
      </c>
      <c r="N273" s="3" t="s">
        <v>1975</v>
      </c>
      <c r="O273" s="929" t="s">
        <v>5048</v>
      </c>
      <c r="P273" s="927">
        <v>44694</v>
      </c>
      <c r="Q273" s="927">
        <v>44694</v>
      </c>
      <c r="R273" s="1012" t="s">
        <v>4220</v>
      </c>
      <c r="S273" s="933"/>
      <c r="T273" s="1534"/>
      <c r="U273" s="926"/>
    </row>
    <row r="274" spans="1:21" ht="40.5" customHeight="1">
      <c r="A274" s="926" t="s">
        <v>2476</v>
      </c>
      <c r="B274" s="927">
        <v>44694</v>
      </c>
      <c r="C274" s="926">
        <v>2</v>
      </c>
      <c r="D274" s="926">
        <f t="shared" si="19"/>
        <v>17</v>
      </c>
      <c r="E274" s="926"/>
      <c r="F274" s="926">
        <f t="shared" si="20"/>
        <v>79</v>
      </c>
      <c r="G274" s="1013" t="s">
        <v>5204</v>
      </c>
      <c r="H274" s="929"/>
      <c r="I274" s="929" t="s">
        <v>2310</v>
      </c>
      <c r="J274" s="1705"/>
      <c r="K274" s="176"/>
      <c r="L274" s="5"/>
      <c r="M274" s="1175" t="s">
        <v>4769</v>
      </c>
      <c r="N274" s="3" t="s">
        <v>1975</v>
      </c>
      <c r="O274" s="929" t="s">
        <v>5048</v>
      </c>
      <c r="P274" s="927">
        <v>44694</v>
      </c>
      <c r="Q274" s="927">
        <v>44694</v>
      </c>
      <c r="R274" s="1012" t="s">
        <v>4220</v>
      </c>
      <c r="S274" s="933"/>
      <c r="T274" s="1534"/>
      <c r="U274" s="926"/>
    </row>
    <row r="275" spans="1:21" ht="40.5" customHeight="1">
      <c r="A275" s="926" t="s">
        <v>2476</v>
      </c>
      <c r="B275" s="927">
        <v>44694</v>
      </c>
      <c r="C275" s="926">
        <v>2</v>
      </c>
      <c r="D275" s="926">
        <f t="shared" si="19"/>
        <v>17</v>
      </c>
      <c r="E275" s="926"/>
      <c r="F275" s="926">
        <f t="shared" si="20"/>
        <v>80</v>
      </c>
      <c r="G275" s="1013" t="s">
        <v>5205</v>
      </c>
      <c r="H275" s="929"/>
      <c r="I275" s="929" t="s">
        <v>2310</v>
      </c>
      <c r="J275" s="1705"/>
      <c r="K275" s="176"/>
      <c r="L275" s="5"/>
      <c r="M275" s="1175" t="s">
        <v>2636</v>
      </c>
      <c r="N275" s="3" t="s">
        <v>2604</v>
      </c>
      <c r="O275" s="929" t="s">
        <v>5048</v>
      </c>
      <c r="P275" s="927">
        <v>44694</v>
      </c>
      <c r="Q275" s="927">
        <v>44694</v>
      </c>
      <c r="R275" s="1012" t="s">
        <v>4220</v>
      </c>
      <c r="S275" s="933"/>
      <c r="T275" s="1534"/>
      <c r="U275" s="926"/>
    </row>
    <row r="276" spans="1:21" ht="56.25" customHeight="1">
      <c r="A276" s="926" t="s">
        <v>2476</v>
      </c>
      <c r="B276" s="927">
        <v>44694</v>
      </c>
      <c r="C276" s="926">
        <v>2</v>
      </c>
      <c r="D276" s="926">
        <f t="shared" si="19"/>
        <v>17</v>
      </c>
      <c r="E276" s="926"/>
      <c r="F276" s="926">
        <f t="shared" si="20"/>
        <v>81</v>
      </c>
      <c r="G276" s="1013" t="s">
        <v>5190</v>
      </c>
      <c r="H276" s="929"/>
      <c r="I276" s="929" t="s">
        <v>2310</v>
      </c>
      <c r="J276" s="1705"/>
      <c r="K276" s="176"/>
      <c r="L276" s="5"/>
      <c r="M276" s="1175" t="s">
        <v>5319</v>
      </c>
      <c r="N276" s="3" t="s">
        <v>1975</v>
      </c>
      <c r="O276" s="929" t="s">
        <v>5048</v>
      </c>
      <c r="P276" s="927">
        <v>44694</v>
      </c>
      <c r="Q276" s="927">
        <v>44694</v>
      </c>
      <c r="R276" s="1012" t="s">
        <v>4220</v>
      </c>
      <c r="S276" s="933"/>
      <c r="T276" s="1534"/>
      <c r="U276" s="926"/>
    </row>
    <row r="277" spans="1:21" ht="57.75" customHeight="1">
      <c r="A277" s="926" t="s">
        <v>2476</v>
      </c>
      <c r="B277" s="927">
        <v>44694</v>
      </c>
      <c r="C277" s="926">
        <v>2</v>
      </c>
      <c r="D277" s="926">
        <f t="shared" si="19"/>
        <v>17</v>
      </c>
      <c r="E277" s="926"/>
      <c r="F277" s="926">
        <f t="shared" si="20"/>
        <v>82</v>
      </c>
      <c r="G277" s="1013" t="s">
        <v>5191</v>
      </c>
      <c r="H277" s="929"/>
      <c r="I277" s="929" t="s">
        <v>2310</v>
      </c>
      <c r="J277" s="1705"/>
      <c r="K277" s="176"/>
      <c r="L277" s="5"/>
      <c r="M277" s="1175" t="s">
        <v>5319</v>
      </c>
      <c r="N277" s="3" t="s">
        <v>1975</v>
      </c>
      <c r="O277" s="929" t="s">
        <v>5048</v>
      </c>
      <c r="P277" s="927">
        <v>44694</v>
      </c>
      <c r="Q277" s="927">
        <v>44694</v>
      </c>
      <c r="R277" s="1012" t="s">
        <v>4220</v>
      </c>
      <c r="S277" s="933"/>
      <c r="T277" s="1534"/>
      <c r="U277" s="926"/>
    </row>
    <row r="278" spans="1:21" ht="58.5" customHeight="1">
      <c r="A278" s="926" t="s">
        <v>2476</v>
      </c>
      <c r="B278" s="927">
        <v>44694</v>
      </c>
      <c r="C278" s="926">
        <v>2</v>
      </c>
      <c r="D278" s="926">
        <v>18</v>
      </c>
      <c r="E278" s="926"/>
      <c r="F278" s="926">
        <f t="shared" si="20"/>
        <v>83</v>
      </c>
      <c r="G278" s="1013" t="s">
        <v>5192</v>
      </c>
      <c r="H278" s="929"/>
      <c r="I278" s="929" t="s">
        <v>2310</v>
      </c>
      <c r="J278" s="1705"/>
      <c r="K278" s="176"/>
      <c r="L278" s="5"/>
      <c r="M278" s="1175" t="s">
        <v>5319</v>
      </c>
      <c r="N278" s="3" t="s">
        <v>1975</v>
      </c>
      <c r="O278" s="929" t="s">
        <v>5048</v>
      </c>
      <c r="P278" s="927">
        <v>44694</v>
      </c>
      <c r="Q278" s="927">
        <v>44694</v>
      </c>
      <c r="R278" s="1012" t="s">
        <v>4220</v>
      </c>
      <c r="S278" s="933"/>
      <c r="T278" s="1534"/>
      <c r="U278" s="926"/>
    </row>
    <row r="279" spans="1:21" ht="40.5" customHeight="1">
      <c r="A279" s="926" t="s">
        <v>2476</v>
      </c>
      <c r="B279" s="927">
        <v>44694</v>
      </c>
      <c r="C279" s="926">
        <v>2</v>
      </c>
      <c r="D279" s="926">
        <v>18</v>
      </c>
      <c r="E279" s="926"/>
      <c r="F279" s="926">
        <v>1</v>
      </c>
      <c r="G279" s="1013" t="s">
        <v>5206</v>
      </c>
      <c r="H279" s="929"/>
      <c r="I279" s="929" t="s">
        <v>2310</v>
      </c>
      <c r="J279" s="1705"/>
      <c r="K279" s="176"/>
      <c r="L279" s="5"/>
      <c r="M279" s="1175" t="s">
        <v>5329</v>
      </c>
      <c r="N279" s="3" t="s">
        <v>2663</v>
      </c>
      <c r="O279" s="929" t="s">
        <v>5049</v>
      </c>
      <c r="P279" s="927">
        <v>44694</v>
      </c>
      <c r="Q279" s="927">
        <v>44694</v>
      </c>
      <c r="R279" s="1012" t="s">
        <v>4220</v>
      </c>
      <c r="S279" s="933"/>
      <c r="T279" s="1534"/>
      <c r="U279" s="926"/>
    </row>
    <row r="280" spans="1:21" ht="40.5" customHeight="1">
      <c r="A280" s="926" t="s">
        <v>2476</v>
      </c>
      <c r="B280" s="927">
        <v>44694</v>
      </c>
      <c r="C280" s="926">
        <v>2</v>
      </c>
      <c r="D280" s="926">
        <f t="shared" ref="D280:D292" si="21">D279</f>
        <v>18</v>
      </c>
      <c r="E280" s="926"/>
      <c r="F280" s="926">
        <f>F279+1</f>
        <v>2</v>
      </c>
      <c r="G280" s="1013" t="s">
        <v>5207</v>
      </c>
      <c r="H280" s="929"/>
      <c r="I280" s="929" t="s">
        <v>2310</v>
      </c>
      <c r="J280" s="1705"/>
      <c r="K280" s="176"/>
      <c r="L280" s="5"/>
      <c r="M280" s="1175"/>
      <c r="N280" s="3" t="s">
        <v>1975</v>
      </c>
      <c r="O280" s="929" t="s">
        <v>5049</v>
      </c>
      <c r="P280" s="927">
        <v>44694</v>
      </c>
      <c r="Q280" s="927">
        <v>44694</v>
      </c>
      <c r="R280" s="1012" t="s">
        <v>4220</v>
      </c>
      <c r="S280" s="933"/>
      <c r="T280" s="1534"/>
      <c r="U280" s="926"/>
    </row>
    <row r="281" spans="1:21" ht="80.25" customHeight="1">
      <c r="A281" s="926" t="s">
        <v>2476</v>
      </c>
      <c r="B281" s="927">
        <v>44694</v>
      </c>
      <c r="C281" s="926">
        <v>2</v>
      </c>
      <c r="D281" s="926">
        <f t="shared" si="21"/>
        <v>18</v>
      </c>
      <c r="E281" s="926"/>
      <c r="F281" s="926">
        <v>1</v>
      </c>
      <c r="G281" s="1013" t="s">
        <v>5208</v>
      </c>
      <c r="H281" s="929"/>
      <c r="I281" s="929" t="s">
        <v>2310</v>
      </c>
      <c r="J281" s="1705"/>
      <c r="K281" s="176"/>
      <c r="L281" s="5"/>
      <c r="M281" s="1175" t="s">
        <v>3141</v>
      </c>
      <c r="N281" s="3" t="s">
        <v>1975</v>
      </c>
      <c r="O281" s="929" t="s">
        <v>352</v>
      </c>
      <c r="P281" s="927">
        <v>44694</v>
      </c>
      <c r="Q281" s="927">
        <v>44694</v>
      </c>
      <c r="R281" s="1012" t="s">
        <v>4220</v>
      </c>
      <c r="S281" s="933"/>
      <c r="T281" s="1534"/>
      <c r="U281" s="926"/>
    </row>
    <row r="282" spans="1:21" ht="83.25" customHeight="1">
      <c r="A282" s="926" t="s">
        <v>2476</v>
      </c>
      <c r="B282" s="927">
        <v>44694</v>
      </c>
      <c r="C282" s="926">
        <v>2</v>
      </c>
      <c r="D282" s="926">
        <f t="shared" si="21"/>
        <v>18</v>
      </c>
      <c r="E282" s="926"/>
      <c r="F282" s="926">
        <f>F281+1</f>
        <v>2</v>
      </c>
      <c r="G282" s="1013" t="s">
        <v>5209</v>
      </c>
      <c r="H282" s="929"/>
      <c r="I282" s="929" t="s">
        <v>2310</v>
      </c>
      <c r="J282" s="1705"/>
      <c r="K282" s="176"/>
      <c r="L282" s="5"/>
      <c r="M282" s="1175" t="s">
        <v>4685</v>
      </c>
      <c r="N282" s="3" t="s">
        <v>5214</v>
      </c>
      <c r="O282" s="929" t="s">
        <v>352</v>
      </c>
      <c r="P282" s="927">
        <v>44694</v>
      </c>
      <c r="Q282" s="927">
        <v>44694</v>
      </c>
      <c r="R282" s="1012" t="s">
        <v>4220</v>
      </c>
      <c r="S282" s="933"/>
      <c r="T282" s="1534"/>
      <c r="U282" s="926"/>
    </row>
    <row r="283" spans="1:21" ht="40.5" customHeight="1">
      <c r="A283" s="926" t="s">
        <v>2476</v>
      </c>
      <c r="B283" s="927">
        <v>44694</v>
      </c>
      <c r="C283" s="926">
        <v>2</v>
      </c>
      <c r="D283" s="926">
        <f t="shared" si="21"/>
        <v>18</v>
      </c>
      <c r="E283" s="926"/>
      <c r="F283" s="926">
        <f>F282+1</f>
        <v>3</v>
      </c>
      <c r="G283" s="1013" t="s">
        <v>5210</v>
      </c>
      <c r="H283" s="929"/>
      <c r="I283" s="929" t="s">
        <v>2310</v>
      </c>
      <c r="J283" s="1705"/>
      <c r="K283" s="176"/>
      <c r="L283" s="5"/>
      <c r="M283" s="1175" t="s">
        <v>5330</v>
      </c>
      <c r="N283" s="3" t="s">
        <v>1975</v>
      </c>
      <c r="O283" s="929" t="s">
        <v>352</v>
      </c>
      <c r="P283" s="927">
        <v>44694</v>
      </c>
      <c r="Q283" s="927">
        <v>44694</v>
      </c>
      <c r="R283" s="1012" t="s">
        <v>4220</v>
      </c>
      <c r="S283" s="933"/>
      <c r="T283" s="1534"/>
      <c r="U283" s="926"/>
    </row>
    <row r="284" spans="1:21" ht="40.5" customHeight="1">
      <c r="A284" s="926" t="s">
        <v>2476</v>
      </c>
      <c r="B284" s="927">
        <v>44694</v>
      </c>
      <c r="C284" s="926">
        <v>2</v>
      </c>
      <c r="D284" s="926">
        <f t="shared" si="21"/>
        <v>18</v>
      </c>
      <c r="E284" s="926"/>
      <c r="F284" s="926">
        <f>F283+1</f>
        <v>4</v>
      </c>
      <c r="G284" s="1013" t="s">
        <v>5211</v>
      </c>
      <c r="H284" s="929"/>
      <c r="I284" s="929" t="s">
        <v>2310</v>
      </c>
      <c r="J284" s="1705"/>
      <c r="K284" s="176"/>
      <c r="L284" s="5"/>
      <c r="M284" s="1175"/>
      <c r="N284" s="3" t="s">
        <v>1975</v>
      </c>
      <c r="O284" s="929" t="s">
        <v>352</v>
      </c>
      <c r="P284" s="927">
        <v>44694</v>
      </c>
      <c r="Q284" s="927">
        <v>44694</v>
      </c>
      <c r="R284" s="1012" t="s">
        <v>4220</v>
      </c>
      <c r="S284" s="933"/>
      <c r="T284" s="1534"/>
      <c r="U284" s="926"/>
    </row>
    <row r="285" spans="1:21" ht="40.5" customHeight="1">
      <c r="A285" s="926" t="s">
        <v>2476</v>
      </c>
      <c r="B285" s="927">
        <v>44694</v>
      </c>
      <c r="C285" s="926">
        <v>2</v>
      </c>
      <c r="D285" s="926">
        <f t="shared" si="21"/>
        <v>18</v>
      </c>
      <c r="E285" s="926"/>
      <c r="F285" s="926">
        <f>F284+1</f>
        <v>5</v>
      </c>
      <c r="G285" s="1013" t="s">
        <v>5212</v>
      </c>
      <c r="H285" s="929"/>
      <c r="I285" s="929" t="s">
        <v>2310</v>
      </c>
      <c r="J285" s="1705"/>
      <c r="K285" s="176"/>
      <c r="L285" s="5"/>
      <c r="M285" s="1175"/>
      <c r="N285" s="3" t="s">
        <v>2524</v>
      </c>
      <c r="O285" s="929" t="s">
        <v>352</v>
      </c>
      <c r="P285" s="927">
        <v>44694</v>
      </c>
      <c r="Q285" s="927">
        <v>44694</v>
      </c>
      <c r="R285" s="1012" t="s">
        <v>4220</v>
      </c>
      <c r="S285" s="933"/>
      <c r="T285" s="1534"/>
      <c r="U285" s="926"/>
    </row>
    <row r="286" spans="1:21" ht="67.5" customHeight="1">
      <c r="A286" s="926" t="s">
        <v>2476</v>
      </c>
      <c r="B286" s="927">
        <v>44694</v>
      </c>
      <c r="C286" s="926">
        <v>2</v>
      </c>
      <c r="D286" s="926">
        <f t="shared" si="21"/>
        <v>18</v>
      </c>
      <c r="E286" s="926"/>
      <c r="F286" s="926">
        <f>F285+1</f>
        <v>6</v>
      </c>
      <c r="G286" s="1013" t="s">
        <v>5213</v>
      </c>
      <c r="H286" s="929"/>
      <c r="I286" s="929" t="s">
        <v>2310</v>
      </c>
      <c r="J286" s="1705"/>
      <c r="K286" s="176"/>
      <c r="L286" s="5"/>
      <c r="M286" s="1175"/>
      <c r="N286" s="3" t="s">
        <v>5215</v>
      </c>
      <c r="O286" s="929" t="s">
        <v>352</v>
      </c>
      <c r="P286" s="927">
        <v>44694</v>
      </c>
      <c r="Q286" s="927">
        <v>44694</v>
      </c>
      <c r="R286" s="1012" t="s">
        <v>4220</v>
      </c>
      <c r="S286" s="933"/>
      <c r="T286" s="1534"/>
      <c r="U286" s="926"/>
    </row>
    <row r="287" spans="1:21" ht="40.5" customHeight="1">
      <c r="A287" s="926" t="s">
        <v>2476</v>
      </c>
      <c r="B287" s="927">
        <v>44694</v>
      </c>
      <c r="C287" s="926">
        <v>2</v>
      </c>
      <c r="D287" s="926">
        <f t="shared" si="21"/>
        <v>18</v>
      </c>
      <c r="E287" s="935" t="s">
        <v>5050</v>
      </c>
      <c r="F287" s="926">
        <v>1</v>
      </c>
      <c r="G287" s="1013" t="s">
        <v>5216</v>
      </c>
      <c r="H287" s="929"/>
      <c r="I287" s="929" t="s">
        <v>551</v>
      </c>
      <c r="J287" s="1705"/>
      <c r="K287" s="176"/>
      <c r="L287" s="5"/>
      <c r="M287" s="1175" t="s">
        <v>2537</v>
      </c>
      <c r="N287" s="3" t="s">
        <v>1976</v>
      </c>
      <c r="O287" s="929" t="s">
        <v>5050</v>
      </c>
      <c r="P287" s="927">
        <v>44694</v>
      </c>
      <c r="Q287" s="927">
        <v>44694</v>
      </c>
      <c r="R287" s="1012" t="s">
        <v>4220</v>
      </c>
      <c r="S287" s="933"/>
      <c r="T287" s="1700"/>
      <c r="U287" s="926"/>
    </row>
    <row r="288" spans="1:21" ht="90.75" customHeight="1">
      <c r="A288" s="926" t="s">
        <v>2476</v>
      </c>
      <c r="B288" s="927">
        <v>44694</v>
      </c>
      <c r="C288" s="926">
        <v>2</v>
      </c>
      <c r="D288" s="926">
        <f t="shared" si="21"/>
        <v>18</v>
      </c>
      <c r="E288" s="926"/>
      <c r="F288" s="926">
        <v>1</v>
      </c>
      <c r="G288" s="1013" t="s">
        <v>5209</v>
      </c>
      <c r="H288" s="929"/>
      <c r="I288" s="929" t="s">
        <v>2310</v>
      </c>
      <c r="J288" s="1705"/>
      <c r="K288" s="176"/>
      <c r="L288" s="5"/>
      <c r="M288" s="1175" t="s">
        <v>4685</v>
      </c>
      <c r="N288" s="3" t="s">
        <v>5214</v>
      </c>
      <c r="O288" s="929" t="s">
        <v>64</v>
      </c>
      <c r="P288" s="927">
        <v>44694</v>
      </c>
      <c r="Q288" s="927">
        <v>44694</v>
      </c>
      <c r="R288" s="1012" t="s">
        <v>4220</v>
      </c>
      <c r="S288" s="933"/>
      <c r="T288" s="1534"/>
      <c r="U288" s="926"/>
    </row>
    <row r="289" spans="1:21" ht="40.5" customHeight="1">
      <c r="A289" s="926" t="s">
        <v>2476</v>
      </c>
      <c r="B289" s="927">
        <v>44694</v>
      </c>
      <c r="C289" s="926">
        <v>2</v>
      </c>
      <c r="D289" s="926">
        <f t="shared" si="21"/>
        <v>18</v>
      </c>
      <c r="E289" s="935" t="s">
        <v>352</v>
      </c>
      <c r="F289" s="926">
        <v>1</v>
      </c>
      <c r="G289" s="1013" t="s">
        <v>5217</v>
      </c>
      <c r="H289" s="929"/>
      <c r="I289" s="929" t="s">
        <v>551</v>
      </c>
      <c r="J289" s="1705"/>
      <c r="K289" s="176"/>
      <c r="L289" s="5"/>
      <c r="M289" s="1175" t="s">
        <v>2496</v>
      </c>
      <c r="N289" s="3" t="s">
        <v>1975</v>
      </c>
      <c r="O289" s="929" t="s">
        <v>5051</v>
      </c>
      <c r="P289" s="927">
        <v>44694</v>
      </c>
      <c r="Q289" s="927">
        <v>44694</v>
      </c>
      <c r="R289" s="1012" t="s">
        <v>4220</v>
      </c>
      <c r="S289" s="933"/>
      <c r="T289" s="1700"/>
      <c r="U289" s="926"/>
    </row>
    <row r="290" spans="1:21" ht="40.5" customHeight="1">
      <c r="A290" s="926" t="s">
        <v>2476</v>
      </c>
      <c r="B290" s="927">
        <v>44694</v>
      </c>
      <c r="C290" s="926">
        <v>2</v>
      </c>
      <c r="D290" s="926">
        <f t="shared" si="21"/>
        <v>18</v>
      </c>
      <c r="E290" s="926"/>
      <c r="F290" s="926">
        <v>1</v>
      </c>
      <c r="G290" s="1013" t="s">
        <v>5218</v>
      </c>
      <c r="H290" s="929"/>
      <c r="I290" s="929" t="s">
        <v>2310</v>
      </c>
      <c r="J290" s="1705"/>
      <c r="K290" s="176"/>
      <c r="L290" s="5"/>
      <c r="M290" s="1175" t="s">
        <v>2483</v>
      </c>
      <c r="N290" s="3" t="s">
        <v>2524</v>
      </c>
      <c r="O290" s="929" t="s">
        <v>5052</v>
      </c>
      <c r="P290" s="927">
        <v>44694</v>
      </c>
      <c r="Q290" s="927">
        <v>44694</v>
      </c>
      <c r="R290" s="1012" t="s">
        <v>4220</v>
      </c>
      <c r="S290" s="933"/>
      <c r="T290" s="1534"/>
      <c r="U290" s="926"/>
    </row>
    <row r="291" spans="1:21" ht="40.5" customHeight="1">
      <c r="A291" s="926" t="s">
        <v>2476</v>
      </c>
      <c r="B291" s="927">
        <v>44694</v>
      </c>
      <c r="C291" s="926">
        <v>2</v>
      </c>
      <c r="D291" s="926">
        <f t="shared" si="21"/>
        <v>18</v>
      </c>
      <c r="E291" s="926"/>
      <c r="F291" s="926">
        <f>F290+1</f>
        <v>2</v>
      </c>
      <c r="G291" s="1013" t="s">
        <v>5219</v>
      </c>
      <c r="H291" s="929"/>
      <c r="I291" s="929" t="s">
        <v>2310</v>
      </c>
      <c r="J291" s="1705"/>
      <c r="K291" s="176"/>
      <c r="L291" s="5"/>
      <c r="M291" s="1175" t="s">
        <v>2483</v>
      </c>
      <c r="N291" s="3" t="s">
        <v>1975</v>
      </c>
      <c r="O291" s="929" t="s">
        <v>5052</v>
      </c>
      <c r="P291" s="927">
        <v>44694</v>
      </c>
      <c r="Q291" s="927">
        <v>44694</v>
      </c>
      <c r="R291" s="1012" t="s">
        <v>4220</v>
      </c>
      <c r="S291" s="933"/>
      <c r="T291" s="1534"/>
      <c r="U291" s="926"/>
    </row>
    <row r="292" spans="1:21" ht="40.5" customHeight="1">
      <c r="A292" s="926" t="s">
        <v>2476</v>
      </c>
      <c r="B292" s="927">
        <v>44694</v>
      </c>
      <c r="C292" s="926">
        <v>2</v>
      </c>
      <c r="D292" s="926">
        <f t="shared" si="21"/>
        <v>18</v>
      </c>
      <c r="E292" s="926"/>
      <c r="F292" s="926">
        <f>F291+1</f>
        <v>3</v>
      </c>
      <c r="G292" s="1013" t="s">
        <v>5219</v>
      </c>
      <c r="H292" s="929"/>
      <c r="I292" s="929" t="s">
        <v>2310</v>
      </c>
      <c r="J292" s="1705"/>
      <c r="K292" s="176"/>
      <c r="L292" s="5"/>
      <c r="M292" s="1175" t="s">
        <v>2483</v>
      </c>
      <c r="N292" s="3" t="s">
        <v>2538</v>
      </c>
      <c r="O292" s="929" t="s">
        <v>5052</v>
      </c>
      <c r="P292" s="927">
        <v>44694</v>
      </c>
      <c r="Q292" s="927">
        <v>44694</v>
      </c>
      <c r="R292" s="1012" t="s">
        <v>4220</v>
      </c>
      <c r="S292" s="933"/>
      <c r="T292" s="1534"/>
      <c r="U292" s="926"/>
    </row>
    <row r="293" spans="1:21" ht="98.25" customHeight="1">
      <c r="A293" s="926" t="s">
        <v>2476</v>
      </c>
      <c r="B293" s="927">
        <v>44526</v>
      </c>
      <c r="C293" s="926">
        <v>1</v>
      </c>
      <c r="D293" s="926">
        <v>5</v>
      </c>
      <c r="E293" s="934" t="s">
        <v>4487</v>
      </c>
      <c r="F293" s="926">
        <v>1</v>
      </c>
      <c r="G293" s="1013" t="s">
        <v>4737</v>
      </c>
      <c r="H293" s="929"/>
      <c r="I293" s="929" t="s">
        <v>551</v>
      </c>
      <c r="J293" s="1705" t="s">
        <v>5787</v>
      </c>
      <c r="K293" s="176">
        <v>44812</v>
      </c>
      <c r="L293" s="177">
        <v>44834</v>
      </c>
      <c r="M293" s="1175" t="s">
        <v>4793</v>
      </c>
      <c r="N293" s="3" t="s">
        <v>1975</v>
      </c>
      <c r="O293" s="929" t="s">
        <v>5220</v>
      </c>
      <c r="P293" s="927">
        <v>44526</v>
      </c>
      <c r="Q293" s="927">
        <v>44526</v>
      </c>
      <c r="R293" s="1012" t="s">
        <v>4220</v>
      </c>
      <c r="S293" s="933"/>
      <c r="T293" s="1700"/>
      <c r="U293" s="926"/>
    </row>
    <row r="294" spans="1:21" ht="122.25" customHeight="1">
      <c r="A294" s="926" t="s">
        <v>2476</v>
      </c>
      <c r="B294" s="927">
        <v>44526</v>
      </c>
      <c r="C294" s="926">
        <f>C293</f>
        <v>1</v>
      </c>
      <c r="D294" s="926">
        <f>D293</f>
        <v>5</v>
      </c>
      <c r="E294" s="926"/>
      <c r="F294" s="926">
        <f t="shared" ref="F294:F325" si="22">F293+1</f>
        <v>2</v>
      </c>
      <c r="G294" s="1013" t="s">
        <v>4738</v>
      </c>
      <c r="H294" s="929"/>
      <c r="I294" s="929" t="s">
        <v>2310</v>
      </c>
      <c r="J294" s="1705"/>
      <c r="K294" s="176"/>
      <c r="L294" s="5"/>
      <c r="M294" s="1175" t="s">
        <v>3141</v>
      </c>
      <c r="N294" s="3" t="s">
        <v>1975</v>
      </c>
      <c r="O294" s="929" t="s">
        <v>5220</v>
      </c>
      <c r="P294" s="927">
        <v>44526</v>
      </c>
      <c r="Q294" s="927">
        <v>44526</v>
      </c>
      <c r="R294" s="1012" t="s">
        <v>4220</v>
      </c>
      <c r="S294" s="933"/>
      <c r="T294" s="1534"/>
      <c r="U294" s="926"/>
    </row>
    <row r="295" spans="1:21" ht="62.25" customHeight="1">
      <c r="A295" s="926" t="s">
        <v>2476</v>
      </c>
      <c r="B295" s="927">
        <v>44526</v>
      </c>
      <c r="C295" s="926">
        <f>C294</f>
        <v>1</v>
      </c>
      <c r="D295" s="926">
        <f>D294</f>
        <v>5</v>
      </c>
      <c r="E295" s="934" t="s">
        <v>4518</v>
      </c>
      <c r="F295" s="926">
        <f t="shared" si="22"/>
        <v>3</v>
      </c>
      <c r="G295" s="1013" t="s">
        <v>4739</v>
      </c>
      <c r="H295" s="929"/>
      <c r="I295" s="929" t="s">
        <v>551</v>
      </c>
      <c r="J295" s="1705" t="s">
        <v>5787</v>
      </c>
      <c r="K295" s="176">
        <v>44847</v>
      </c>
      <c r="L295" s="5">
        <v>44895</v>
      </c>
      <c r="M295" s="1175"/>
      <c r="N295" s="3" t="s">
        <v>2524</v>
      </c>
      <c r="O295" s="929" t="s">
        <v>5220</v>
      </c>
      <c r="P295" s="927">
        <v>44526</v>
      </c>
      <c r="Q295" s="927">
        <v>44526</v>
      </c>
      <c r="R295" s="1012" t="s">
        <v>4220</v>
      </c>
      <c r="S295" s="933"/>
      <c r="T295" s="1700"/>
      <c r="U295" s="926"/>
    </row>
    <row r="296" spans="1:21" ht="64.5" customHeight="1">
      <c r="A296" s="926" t="s">
        <v>2476</v>
      </c>
      <c r="B296" s="927">
        <v>44526</v>
      </c>
      <c r="C296" s="926">
        <f t="shared" ref="C296:C327" si="23">C295</f>
        <v>1</v>
      </c>
      <c r="D296" s="926">
        <v>6</v>
      </c>
      <c r="E296" s="926"/>
      <c r="F296" s="926">
        <f t="shared" si="22"/>
        <v>4</v>
      </c>
      <c r="G296" s="1013" t="s">
        <v>5221</v>
      </c>
      <c r="H296" s="929"/>
      <c r="I296" s="929" t="s">
        <v>2310</v>
      </c>
      <c r="J296" s="1705"/>
      <c r="K296" s="176"/>
      <c r="L296" s="5"/>
      <c r="M296" s="1175"/>
      <c r="N296" s="3" t="s">
        <v>2613</v>
      </c>
      <c r="O296" s="929" t="s">
        <v>5220</v>
      </c>
      <c r="P296" s="927">
        <v>44526</v>
      </c>
      <c r="Q296" s="927">
        <v>44526</v>
      </c>
      <c r="R296" s="1012" t="s">
        <v>4220</v>
      </c>
      <c r="S296" s="933"/>
      <c r="T296" s="1534"/>
      <c r="U296" s="926"/>
    </row>
    <row r="297" spans="1:21" ht="56.25" customHeight="1">
      <c r="A297" s="926" t="s">
        <v>2476</v>
      </c>
      <c r="B297" s="927">
        <v>44526</v>
      </c>
      <c r="C297" s="926">
        <f t="shared" si="23"/>
        <v>1</v>
      </c>
      <c r="D297" s="926">
        <f t="shared" ref="D297:D328" si="24">D296</f>
        <v>6</v>
      </c>
      <c r="E297" s="926"/>
      <c r="F297" s="926">
        <f t="shared" si="22"/>
        <v>5</v>
      </c>
      <c r="G297" s="1013" t="s">
        <v>5221</v>
      </c>
      <c r="H297" s="929"/>
      <c r="I297" s="929" t="s">
        <v>2310</v>
      </c>
      <c r="J297" s="1705"/>
      <c r="K297" s="176"/>
      <c r="L297" s="5"/>
      <c r="M297" s="1175"/>
      <c r="N297" s="3" t="s">
        <v>2532</v>
      </c>
      <c r="O297" s="929" t="s">
        <v>5220</v>
      </c>
      <c r="P297" s="927">
        <v>44526</v>
      </c>
      <c r="Q297" s="927">
        <v>44526</v>
      </c>
      <c r="R297" s="1012" t="s">
        <v>4220</v>
      </c>
      <c r="S297" s="933"/>
      <c r="T297" s="1534"/>
      <c r="U297" s="926"/>
    </row>
    <row r="298" spans="1:21" ht="40.5" customHeight="1">
      <c r="A298" s="926" t="s">
        <v>2476</v>
      </c>
      <c r="B298" s="927">
        <v>44526</v>
      </c>
      <c r="C298" s="926">
        <f t="shared" si="23"/>
        <v>1</v>
      </c>
      <c r="D298" s="926">
        <f t="shared" si="24"/>
        <v>6</v>
      </c>
      <c r="E298" s="926"/>
      <c r="F298" s="926">
        <f t="shared" si="22"/>
        <v>6</v>
      </c>
      <c r="G298" s="1013" t="s">
        <v>5222</v>
      </c>
      <c r="H298" s="929"/>
      <c r="I298" s="929" t="s">
        <v>2310</v>
      </c>
      <c r="J298" s="1705"/>
      <c r="K298" s="176"/>
      <c r="L298" s="5"/>
      <c r="M298" s="1175"/>
      <c r="N298" s="3" t="s">
        <v>2577</v>
      </c>
      <c r="O298" s="929" t="s">
        <v>5220</v>
      </c>
      <c r="P298" s="927">
        <v>44526</v>
      </c>
      <c r="Q298" s="927">
        <v>44526</v>
      </c>
      <c r="R298" s="1012" t="s">
        <v>4220</v>
      </c>
      <c r="S298" s="933"/>
      <c r="T298" s="1534"/>
      <c r="U298" s="926"/>
    </row>
    <row r="299" spans="1:21" ht="40.5" customHeight="1">
      <c r="A299" s="926" t="s">
        <v>2476</v>
      </c>
      <c r="B299" s="927">
        <v>44526</v>
      </c>
      <c r="C299" s="926">
        <f t="shared" si="23"/>
        <v>1</v>
      </c>
      <c r="D299" s="926">
        <f t="shared" si="24"/>
        <v>6</v>
      </c>
      <c r="E299" s="926"/>
      <c r="F299" s="926">
        <f t="shared" si="22"/>
        <v>7</v>
      </c>
      <c r="G299" s="1013" t="s">
        <v>5223</v>
      </c>
      <c r="H299" s="929"/>
      <c r="I299" s="929" t="s">
        <v>2310</v>
      </c>
      <c r="J299" s="1705"/>
      <c r="K299" s="176"/>
      <c r="L299" s="5"/>
      <c r="M299" s="1175"/>
      <c r="N299" s="3" t="s">
        <v>1976</v>
      </c>
      <c r="O299" s="929" t="s">
        <v>5220</v>
      </c>
      <c r="P299" s="927">
        <v>44526</v>
      </c>
      <c r="Q299" s="927">
        <v>44526</v>
      </c>
      <c r="R299" s="1012" t="s">
        <v>4220</v>
      </c>
      <c r="S299" s="933"/>
      <c r="T299" s="1534"/>
      <c r="U299" s="926"/>
    </row>
    <row r="300" spans="1:21" ht="40.5" customHeight="1">
      <c r="A300" s="926" t="s">
        <v>2476</v>
      </c>
      <c r="B300" s="927">
        <v>44526</v>
      </c>
      <c r="C300" s="926">
        <f t="shared" si="23"/>
        <v>1</v>
      </c>
      <c r="D300" s="926">
        <f t="shared" si="24"/>
        <v>6</v>
      </c>
      <c r="E300" s="926"/>
      <c r="F300" s="926">
        <f t="shared" si="22"/>
        <v>8</v>
      </c>
      <c r="G300" s="1013" t="s">
        <v>5223</v>
      </c>
      <c r="H300" s="929"/>
      <c r="I300" s="929" t="s">
        <v>2310</v>
      </c>
      <c r="J300" s="1705"/>
      <c r="K300" s="176"/>
      <c r="L300" s="5"/>
      <c r="M300" s="1175"/>
      <c r="N300" s="3" t="s">
        <v>2532</v>
      </c>
      <c r="O300" s="929" t="s">
        <v>5220</v>
      </c>
      <c r="P300" s="927">
        <v>44526</v>
      </c>
      <c r="Q300" s="927">
        <v>44526</v>
      </c>
      <c r="R300" s="1012" t="s">
        <v>4220</v>
      </c>
      <c r="S300" s="933"/>
      <c r="T300" s="1534"/>
      <c r="U300" s="926"/>
    </row>
    <row r="301" spans="1:21" ht="40.5" customHeight="1">
      <c r="A301" s="926" t="s">
        <v>2476</v>
      </c>
      <c r="B301" s="927">
        <v>44526</v>
      </c>
      <c r="C301" s="926">
        <f t="shared" si="23"/>
        <v>1</v>
      </c>
      <c r="D301" s="926">
        <f t="shared" si="24"/>
        <v>6</v>
      </c>
      <c r="E301" s="926"/>
      <c r="F301" s="926">
        <f t="shared" si="22"/>
        <v>9</v>
      </c>
      <c r="G301" s="1013" t="s">
        <v>5224</v>
      </c>
      <c r="H301" s="929"/>
      <c r="I301" s="929" t="s">
        <v>2310</v>
      </c>
      <c r="J301" s="1705"/>
      <c r="K301" s="176"/>
      <c r="L301" s="5"/>
      <c r="M301" s="1175"/>
      <c r="N301" s="3" t="s">
        <v>5245</v>
      </c>
      <c r="O301" s="929" t="s">
        <v>5220</v>
      </c>
      <c r="P301" s="927">
        <v>44526</v>
      </c>
      <c r="Q301" s="927">
        <v>44526</v>
      </c>
      <c r="R301" s="1012" t="s">
        <v>4220</v>
      </c>
      <c r="S301" s="933"/>
      <c r="T301" s="1534"/>
      <c r="U301" s="926"/>
    </row>
    <row r="302" spans="1:21" ht="40.5" customHeight="1">
      <c r="A302" s="926" t="s">
        <v>2476</v>
      </c>
      <c r="B302" s="927">
        <v>44526</v>
      </c>
      <c r="C302" s="926">
        <f t="shared" si="23"/>
        <v>1</v>
      </c>
      <c r="D302" s="926">
        <f t="shared" si="24"/>
        <v>6</v>
      </c>
      <c r="E302" s="926"/>
      <c r="F302" s="926">
        <f t="shared" si="22"/>
        <v>10</v>
      </c>
      <c r="G302" s="1013" t="s">
        <v>5225</v>
      </c>
      <c r="H302" s="929"/>
      <c r="I302" s="929" t="s">
        <v>2310</v>
      </c>
      <c r="J302" s="1705"/>
      <c r="K302" s="176"/>
      <c r="L302" s="5"/>
      <c r="M302" s="1175"/>
      <c r="N302" s="3" t="s">
        <v>1975</v>
      </c>
      <c r="O302" s="929" t="s">
        <v>5220</v>
      </c>
      <c r="P302" s="927">
        <v>44526</v>
      </c>
      <c r="Q302" s="927">
        <v>44526</v>
      </c>
      <c r="R302" s="1012" t="s">
        <v>4220</v>
      </c>
      <c r="S302" s="933"/>
      <c r="T302" s="1534"/>
      <c r="U302" s="926"/>
    </row>
    <row r="303" spans="1:21" ht="40.5" customHeight="1">
      <c r="A303" s="926" t="s">
        <v>2476</v>
      </c>
      <c r="B303" s="927">
        <v>44526</v>
      </c>
      <c r="C303" s="926">
        <f t="shared" si="23"/>
        <v>1</v>
      </c>
      <c r="D303" s="926">
        <f t="shared" si="24"/>
        <v>6</v>
      </c>
      <c r="E303" s="926"/>
      <c r="F303" s="926">
        <f t="shared" si="22"/>
        <v>11</v>
      </c>
      <c r="G303" s="1013" t="s">
        <v>5226</v>
      </c>
      <c r="H303" s="929"/>
      <c r="I303" s="929" t="s">
        <v>2310</v>
      </c>
      <c r="J303" s="1705"/>
      <c r="K303" s="176"/>
      <c r="L303" s="5"/>
      <c r="M303" s="1175"/>
      <c r="N303" s="3" t="s">
        <v>1975</v>
      </c>
      <c r="O303" s="929" t="s">
        <v>5220</v>
      </c>
      <c r="P303" s="927">
        <v>44526</v>
      </c>
      <c r="Q303" s="927">
        <v>44526</v>
      </c>
      <c r="R303" s="1012" t="s">
        <v>4220</v>
      </c>
      <c r="S303" s="933"/>
      <c r="T303" s="1534"/>
      <c r="U303" s="926"/>
    </row>
    <row r="304" spans="1:21" ht="40.5" customHeight="1">
      <c r="A304" s="926" t="s">
        <v>2476</v>
      </c>
      <c r="B304" s="927">
        <v>44526</v>
      </c>
      <c r="C304" s="926">
        <f t="shared" si="23"/>
        <v>1</v>
      </c>
      <c r="D304" s="926">
        <f t="shared" si="24"/>
        <v>6</v>
      </c>
      <c r="E304" s="926"/>
      <c r="F304" s="926">
        <f t="shared" si="22"/>
        <v>12</v>
      </c>
      <c r="G304" s="1013" t="s">
        <v>5227</v>
      </c>
      <c r="H304" s="929"/>
      <c r="I304" s="929" t="s">
        <v>2310</v>
      </c>
      <c r="J304" s="1705"/>
      <c r="K304" s="176"/>
      <c r="L304" s="5"/>
      <c r="M304" s="1175" t="s">
        <v>5321</v>
      </c>
      <c r="N304" s="3" t="s">
        <v>1975</v>
      </c>
      <c r="O304" s="929" t="s">
        <v>5220</v>
      </c>
      <c r="P304" s="927">
        <v>44526</v>
      </c>
      <c r="Q304" s="927">
        <v>44526</v>
      </c>
      <c r="R304" s="1012" t="s">
        <v>4220</v>
      </c>
      <c r="S304" s="933"/>
      <c r="T304" s="1534"/>
      <c r="U304" s="926"/>
    </row>
    <row r="305" spans="1:21" ht="84.75" customHeight="1">
      <c r="A305" s="926" t="s">
        <v>2476</v>
      </c>
      <c r="B305" s="927">
        <v>44526</v>
      </c>
      <c r="C305" s="926">
        <f t="shared" si="23"/>
        <v>1</v>
      </c>
      <c r="D305" s="926">
        <f t="shared" si="24"/>
        <v>6</v>
      </c>
      <c r="E305" s="926"/>
      <c r="F305" s="926">
        <f t="shared" si="22"/>
        <v>13</v>
      </c>
      <c r="G305" s="1013" t="s">
        <v>5228</v>
      </c>
      <c r="H305" s="929"/>
      <c r="I305" s="929" t="s">
        <v>2310</v>
      </c>
      <c r="J305" s="1705"/>
      <c r="K305" s="176"/>
      <c r="L305" s="5"/>
      <c r="M305" s="1175" t="s">
        <v>5331</v>
      </c>
      <c r="N305" s="3" t="s">
        <v>1975</v>
      </c>
      <c r="O305" s="929" t="s">
        <v>5220</v>
      </c>
      <c r="P305" s="927">
        <v>44526</v>
      </c>
      <c r="Q305" s="927">
        <v>44526</v>
      </c>
      <c r="R305" s="1012" t="s">
        <v>4220</v>
      </c>
      <c r="S305" s="933"/>
      <c r="T305" s="1534"/>
      <c r="U305" s="926"/>
    </row>
    <row r="306" spans="1:21" ht="85.5" customHeight="1">
      <c r="A306" s="926" t="s">
        <v>2476</v>
      </c>
      <c r="B306" s="927">
        <v>44526</v>
      </c>
      <c r="C306" s="926">
        <f t="shared" si="23"/>
        <v>1</v>
      </c>
      <c r="D306" s="926">
        <f t="shared" si="24"/>
        <v>6</v>
      </c>
      <c r="E306" s="926"/>
      <c r="F306" s="926">
        <f t="shared" si="22"/>
        <v>14</v>
      </c>
      <c r="G306" s="1013" t="s">
        <v>5229</v>
      </c>
      <c r="H306" s="929"/>
      <c r="I306" s="929" t="s">
        <v>2310</v>
      </c>
      <c r="J306" s="1705"/>
      <c r="K306" s="176"/>
      <c r="L306" s="5"/>
      <c r="M306" s="1175" t="s">
        <v>4770</v>
      </c>
      <c r="N306" s="3" t="s">
        <v>1975</v>
      </c>
      <c r="O306" s="929" t="s">
        <v>5220</v>
      </c>
      <c r="P306" s="927">
        <v>44526</v>
      </c>
      <c r="Q306" s="927">
        <v>44526</v>
      </c>
      <c r="R306" s="1012" t="s">
        <v>4220</v>
      </c>
      <c r="S306" s="933"/>
      <c r="T306" s="1534"/>
      <c r="U306" s="926"/>
    </row>
    <row r="307" spans="1:21" ht="102" customHeight="1">
      <c r="A307" s="926" t="s">
        <v>2476</v>
      </c>
      <c r="B307" s="927">
        <v>44526</v>
      </c>
      <c r="C307" s="926">
        <f t="shared" si="23"/>
        <v>1</v>
      </c>
      <c r="D307" s="926">
        <f t="shared" si="24"/>
        <v>6</v>
      </c>
      <c r="E307" s="926"/>
      <c r="F307" s="926">
        <f t="shared" si="22"/>
        <v>15</v>
      </c>
      <c r="G307" s="1013" t="s">
        <v>5230</v>
      </c>
      <c r="H307" s="929"/>
      <c r="I307" s="929" t="s">
        <v>2310</v>
      </c>
      <c r="J307" s="1705"/>
      <c r="K307" s="176"/>
      <c r="L307" s="5"/>
      <c r="M307" s="1175" t="s">
        <v>2690</v>
      </c>
      <c r="N307" s="3" t="s">
        <v>1975</v>
      </c>
      <c r="O307" s="929" t="s">
        <v>5220</v>
      </c>
      <c r="P307" s="927">
        <v>44526</v>
      </c>
      <c r="Q307" s="927">
        <v>44526</v>
      </c>
      <c r="R307" s="1012" t="s">
        <v>4220</v>
      </c>
      <c r="S307" s="933"/>
      <c r="T307" s="1534"/>
      <c r="U307" s="926"/>
    </row>
    <row r="308" spans="1:21" ht="78.75" customHeight="1">
      <c r="A308" s="926" t="s">
        <v>2476</v>
      </c>
      <c r="B308" s="927">
        <v>44526</v>
      </c>
      <c r="C308" s="926">
        <f t="shared" si="23"/>
        <v>1</v>
      </c>
      <c r="D308" s="926">
        <f t="shared" si="24"/>
        <v>6</v>
      </c>
      <c r="E308" s="926"/>
      <c r="F308" s="926">
        <f t="shared" si="22"/>
        <v>16</v>
      </c>
      <c r="G308" s="1013" t="s">
        <v>5231</v>
      </c>
      <c r="H308" s="929"/>
      <c r="I308" s="929" t="s">
        <v>2310</v>
      </c>
      <c r="J308" s="1705"/>
      <c r="K308" s="176"/>
      <c r="L308" s="5"/>
      <c r="M308" s="1175" t="s">
        <v>2488</v>
      </c>
      <c r="N308" s="3" t="s">
        <v>1975</v>
      </c>
      <c r="O308" s="929" t="s">
        <v>5220</v>
      </c>
      <c r="P308" s="927">
        <v>44526</v>
      </c>
      <c r="Q308" s="927">
        <v>44526</v>
      </c>
      <c r="R308" s="1012" t="s">
        <v>4220</v>
      </c>
      <c r="S308" s="933"/>
      <c r="T308" s="1534"/>
      <c r="U308" s="926"/>
    </row>
    <row r="309" spans="1:21" ht="75.75" customHeight="1">
      <c r="A309" s="926" t="s">
        <v>2476</v>
      </c>
      <c r="B309" s="927">
        <v>44526</v>
      </c>
      <c r="C309" s="926">
        <f t="shared" si="23"/>
        <v>1</v>
      </c>
      <c r="D309" s="926">
        <f t="shared" si="24"/>
        <v>6</v>
      </c>
      <c r="E309" s="926"/>
      <c r="F309" s="926">
        <f t="shared" si="22"/>
        <v>17</v>
      </c>
      <c r="G309" s="1013" t="s">
        <v>5054</v>
      </c>
      <c r="H309" s="929"/>
      <c r="I309" s="929" t="s">
        <v>2310</v>
      </c>
      <c r="J309" s="1705"/>
      <c r="K309" s="176"/>
      <c r="L309" s="5"/>
      <c r="M309" s="1175" t="s">
        <v>4648</v>
      </c>
      <c r="N309" s="3" t="s">
        <v>1975</v>
      </c>
      <c r="O309" s="929" t="s">
        <v>5220</v>
      </c>
      <c r="P309" s="927">
        <v>44526</v>
      </c>
      <c r="Q309" s="927">
        <v>44526</v>
      </c>
      <c r="R309" s="1012" t="s">
        <v>4220</v>
      </c>
      <c r="S309" s="933"/>
      <c r="T309" s="1534"/>
      <c r="U309" s="926"/>
    </row>
    <row r="310" spans="1:21" ht="77.25" customHeight="1">
      <c r="A310" s="926" t="s">
        <v>2476</v>
      </c>
      <c r="B310" s="927">
        <v>44526</v>
      </c>
      <c r="C310" s="926">
        <f t="shared" si="23"/>
        <v>1</v>
      </c>
      <c r="D310" s="926">
        <f t="shared" si="24"/>
        <v>6</v>
      </c>
      <c r="E310" s="926"/>
      <c r="F310" s="926">
        <f t="shared" si="22"/>
        <v>18</v>
      </c>
      <c r="G310" s="1013" t="s">
        <v>5232</v>
      </c>
      <c r="H310" s="929"/>
      <c r="I310" s="929" t="s">
        <v>2310</v>
      </c>
      <c r="J310" s="1705"/>
      <c r="K310" s="176"/>
      <c r="L310" s="5"/>
      <c r="M310" s="1175" t="s">
        <v>2488</v>
      </c>
      <c r="N310" s="3" t="s">
        <v>1975</v>
      </c>
      <c r="O310" s="929" t="s">
        <v>5220</v>
      </c>
      <c r="P310" s="927">
        <v>44526</v>
      </c>
      <c r="Q310" s="927">
        <v>44526</v>
      </c>
      <c r="R310" s="1012" t="s">
        <v>4220</v>
      </c>
      <c r="S310" s="933"/>
      <c r="T310" s="1534"/>
      <c r="U310" s="926"/>
    </row>
    <row r="311" spans="1:21" ht="40.5" customHeight="1">
      <c r="A311" s="926" t="s">
        <v>2476</v>
      </c>
      <c r="B311" s="927">
        <v>44526</v>
      </c>
      <c r="C311" s="926">
        <f t="shared" si="23"/>
        <v>1</v>
      </c>
      <c r="D311" s="926">
        <f t="shared" si="24"/>
        <v>6</v>
      </c>
      <c r="E311" s="926"/>
      <c r="F311" s="926">
        <f t="shared" si="22"/>
        <v>19</v>
      </c>
      <c r="G311" s="1013" t="s">
        <v>5233</v>
      </c>
      <c r="H311" s="929"/>
      <c r="I311" s="929" t="s">
        <v>2310</v>
      </c>
      <c r="J311" s="1705"/>
      <c r="K311" s="176"/>
      <c r="L311" s="5"/>
      <c r="M311" s="1175" t="s">
        <v>5332</v>
      </c>
      <c r="N311" s="3" t="s">
        <v>2538</v>
      </c>
      <c r="O311" s="929" t="s">
        <v>269</v>
      </c>
      <c r="P311" s="927">
        <v>44526</v>
      </c>
      <c r="Q311" s="927">
        <v>44526</v>
      </c>
      <c r="R311" s="1012" t="s">
        <v>4220</v>
      </c>
      <c r="S311" s="933"/>
      <c r="T311" s="1534"/>
      <c r="U311" s="926"/>
    </row>
    <row r="312" spans="1:21" ht="40.5" customHeight="1">
      <c r="A312" s="926" t="s">
        <v>2476</v>
      </c>
      <c r="B312" s="927">
        <v>44526</v>
      </c>
      <c r="C312" s="926">
        <f t="shared" si="23"/>
        <v>1</v>
      </c>
      <c r="D312" s="926">
        <f t="shared" si="24"/>
        <v>6</v>
      </c>
      <c r="E312" s="935" t="s">
        <v>4351</v>
      </c>
      <c r="F312" s="926">
        <f t="shared" si="22"/>
        <v>20</v>
      </c>
      <c r="G312" s="1013" t="s">
        <v>5234</v>
      </c>
      <c r="H312" s="929"/>
      <c r="I312" s="929" t="s">
        <v>551</v>
      </c>
      <c r="J312" s="1705" t="s">
        <v>5788</v>
      </c>
      <c r="K312" s="176">
        <v>44760</v>
      </c>
      <c r="L312" s="5">
        <v>44804</v>
      </c>
      <c r="M312" s="1175" t="s">
        <v>4697</v>
      </c>
      <c r="N312" s="3" t="s">
        <v>2538</v>
      </c>
      <c r="O312" s="929" t="s">
        <v>269</v>
      </c>
      <c r="P312" s="927">
        <v>44526</v>
      </c>
      <c r="Q312" s="927">
        <v>44526</v>
      </c>
      <c r="R312" s="1012" t="s">
        <v>4220</v>
      </c>
      <c r="S312" s="933"/>
      <c r="T312" s="1700"/>
      <c r="U312" s="926"/>
    </row>
    <row r="313" spans="1:21" ht="40.5" customHeight="1">
      <c r="A313" s="926" t="s">
        <v>2476</v>
      </c>
      <c r="B313" s="927">
        <v>44526</v>
      </c>
      <c r="C313" s="926">
        <f t="shared" si="23"/>
        <v>1</v>
      </c>
      <c r="D313" s="926">
        <f t="shared" si="24"/>
        <v>6</v>
      </c>
      <c r="E313" s="935" t="s">
        <v>4355</v>
      </c>
      <c r="F313" s="926">
        <f t="shared" si="22"/>
        <v>21</v>
      </c>
      <c r="G313" s="1013" t="s">
        <v>5235</v>
      </c>
      <c r="H313" s="929"/>
      <c r="I313" s="929" t="s">
        <v>551</v>
      </c>
      <c r="J313" s="1705" t="s">
        <v>5788</v>
      </c>
      <c r="K313" s="176">
        <v>44865</v>
      </c>
      <c r="L313" s="5">
        <v>44883</v>
      </c>
      <c r="M313" s="1175" t="s">
        <v>4710</v>
      </c>
      <c r="N313" s="3" t="s">
        <v>2538</v>
      </c>
      <c r="O313" s="929" t="s">
        <v>269</v>
      </c>
      <c r="P313" s="927">
        <v>44526</v>
      </c>
      <c r="Q313" s="927">
        <v>44526</v>
      </c>
      <c r="R313" s="1012" t="s">
        <v>4220</v>
      </c>
      <c r="S313" s="933"/>
      <c r="T313" s="1700"/>
      <c r="U313" s="926"/>
    </row>
    <row r="314" spans="1:21" ht="40.5" customHeight="1">
      <c r="A314" s="926" t="s">
        <v>2476</v>
      </c>
      <c r="B314" s="927">
        <v>44526</v>
      </c>
      <c r="C314" s="926">
        <f t="shared" si="23"/>
        <v>1</v>
      </c>
      <c r="D314" s="926">
        <f t="shared" si="24"/>
        <v>6</v>
      </c>
      <c r="E314" s="926"/>
      <c r="F314" s="926">
        <f t="shared" si="22"/>
        <v>22</v>
      </c>
      <c r="G314" s="1013" t="s">
        <v>5236</v>
      </c>
      <c r="H314" s="929"/>
      <c r="I314" s="929" t="s">
        <v>2310</v>
      </c>
      <c r="J314" s="1705"/>
      <c r="K314" s="176"/>
      <c r="L314" s="5"/>
      <c r="M314" s="1175" t="s">
        <v>4697</v>
      </c>
      <c r="N314" s="3" t="s">
        <v>2538</v>
      </c>
      <c r="O314" s="929" t="s">
        <v>269</v>
      </c>
      <c r="P314" s="927">
        <v>44526</v>
      </c>
      <c r="Q314" s="927">
        <v>44526</v>
      </c>
      <c r="R314" s="1012" t="s">
        <v>4220</v>
      </c>
      <c r="S314" s="933"/>
      <c r="T314" s="1534"/>
      <c r="U314" s="926"/>
    </row>
    <row r="315" spans="1:21" ht="40.5" customHeight="1">
      <c r="A315" s="926" t="s">
        <v>2476</v>
      </c>
      <c r="B315" s="927">
        <v>44526</v>
      </c>
      <c r="C315" s="926">
        <f t="shared" si="23"/>
        <v>1</v>
      </c>
      <c r="D315" s="926">
        <f t="shared" si="24"/>
        <v>6</v>
      </c>
      <c r="E315" s="926"/>
      <c r="F315" s="926">
        <f t="shared" si="22"/>
        <v>23</v>
      </c>
      <c r="G315" s="1013" t="s">
        <v>5237</v>
      </c>
      <c r="H315" s="929"/>
      <c r="I315" s="929" t="s">
        <v>2310</v>
      </c>
      <c r="J315" s="1705"/>
      <c r="K315" s="176"/>
      <c r="L315" s="5"/>
      <c r="M315" s="1175" t="s">
        <v>5333</v>
      </c>
      <c r="N315" s="3" t="s">
        <v>2663</v>
      </c>
      <c r="O315" s="929" t="s">
        <v>269</v>
      </c>
      <c r="P315" s="927">
        <v>44526</v>
      </c>
      <c r="Q315" s="927">
        <v>44526</v>
      </c>
      <c r="R315" s="1012" t="s">
        <v>4220</v>
      </c>
      <c r="S315" s="933"/>
      <c r="T315" s="1534"/>
      <c r="U315" s="926"/>
    </row>
    <row r="316" spans="1:21" ht="40.5" customHeight="1">
      <c r="A316" s="926" t="s">
        <v>2476</v>
      </c>
      <c r="B316" s="927">
        <v>44526</v>
      </c>
      <c r="C316" s="926">
        <f t="shared" si="23"/>
        <v>1</v>
      </c>
      <c r="D316" s="926">
        <f t="shared" si="24"/>
        <v>6</v>
      </c>
      <c r="E316" s="935" t="s">
        <v>4999</v>
      </c>
      <c r="F316" s="926">
        <f t="shared" si="22"/>
        <v>24</v>
      </c>
      <c r="G316" s="1013" t="s">
        <v>5238</v>
      </c>
      <c r="H316" s="929"/>
      <c r="I316" s="929" t="s">
        <v>551</v>
      </c>
      <c r="J316" s="1705" t="s">
        <v>5789</v>
      </c>
      <c r="K316" s="176">
        <v>44880</v>
      </c>
      <c r="L316" s="5">
        <v>44926</v>
      </c>
      <c r="M316" s="1175" t="s">
        <v>4746</v>
      </c>
      <c r="N316" s="3" t="s">
        <v>2663</v>
      </c>
      <c r="O316" s="929" t="s">
        <v>269</v>
      </c>
      <c r="P316" s="927">
        <v>44526</v>
      </c>
      <c r="Q316" s="927">
        <v>44526</v>
      </c>
      <c r="R316" s="1012" t="s">
        <v>4220</v>
      </c>
      <c r="S316" s="933"/>
      <c r="T316" s="1700"/>
      <c r="U316" s="926"/>
    </row>
    <row r="317" spans="1:21" ht="40.5" customHeight="1">
      <c r="A317" s="926" t="s">
        <v>2476</v>
      </c>
      <c r="B317" s="927">
        <v>44526</v>
      </c>
      <c r="C317" s="926">
        <f t="shared" si="23"/>
        <v>1</v>
      </c>
      <c r="D317" s="926">
        <f t="shared" si="24"/>
        <v>6</v>
      </c>
      <c r="E317" s="926"/>
      <c r="F317" s="926">
        <f t="shared" si="22"/>
        <v>25</v>
      </c>
      <c r="G317" s="1013" t="s">
        <v>5239</v>
      </c>
      <c r="H317" s="929"/>
      <c r="I317" s="929" t="s">
        <v>2310</v>
      </c>
      <c r="J317" s="1705"/>
      <c r="K317" s="176"/>
      <c r="L317" s="5"/>
      <c r="M317" s="1175" t="s">
        <v>5334</v>
      </c>
      <c r="N317" s="3" t="s">
        <v>2663</v>
      </c>
      <c r="O317" s="929" t="s">
        <v>269</v>
      </c>
      <c r="P317" s="927">
        <v>44526</v>
      </c>
      <c r="Q317" s="927">
        <v>44526</v>
      </c>
      <c r="R317" s="1012" t="s">
        <v>4220</v>
      </c>
      <c r="S317" s="933"/>
      <c r="T317" s="1534"/>
      <c r="U317" s="926"/>
    </row>
    <row r="318" spans="1:21" ht="63.75" customHeight="1">
      <c r="A318" s="926" t="s">
        <v>2476</v>
      </c>
      <c r="B318" s="927">
        <v>44526</v>
      </c>
      <c r="C318" s="926">
        <f t="shared" si="23"/>
        <v>1</v>
      </c>
      <c r="D318" s="926">
        <f t="shared" si="24"/>
        <v>6</v>
      </c>
      <c r="E318" s="926"/>
      <c r="F318" s="926">
        <f t="shared" si="22"/>
        <v>26</v>
      </c>
      <c r="G318" s="1013" t="s">
        <v>5240</v>
      </c>
      <c r="H318" s="929"/>
      <c r="I318" s="929" t="s">
        <v>2310</v>
      </c>
      <c r="J318" s="1705"/>
      <c r="K318" s="176"/>
      <c r="L318" s="5"/>
      <c r="M318" s="1175" t="s">
        <v>4076</v>
      </c>
      <c r="N318" s="3" t="s">
        <v>2663</v>
      </c>
      <c r="O318" s="929" t="s">
        <v>269</v>
      </c>
      <c r="P318" s="927">
        <v>44526</v>
      </c>
      <c r="Q318" s="927">
        <v>44526</v>
      </c>
      <c r="R318" s="1012" t="s">
        <v>4220</v>
      </c>
      <c r="S318" s="933"/>
      <c r="T318" s="1534"/>
      <c r="U318" s="926"/>
    </row>
    <row r="319" spans="1:21" ht="40.5" customHeight="1">
      <c r="A319" s="926" t="s">
        <v>2476</v>
      </c>
      <c r="B319" s="927">
        <v>44526</v>
      </c>
      <c r="C319" s="926">
        <f t="shared" si="23"/>
        <v>1</v>
      </c>
      <c r="D319" s="926">
        <f t="shared" si="24"/>
        <v>6</v>
      </c>
      <c r="E319" s="926"/>
      <c r="F319" s="926">
        <f t="shared" si="22"/>
        <v>27</v>
      </c>
      <c r="G319" s="1013" t="s">
        <v>5241</v>
      </c>
      <c r="H319" s="929"/>
      <c r="I319" s="929" t="s">
        <v>2310</v>
      </c>
      <c r="J319" s="1705"/>
      <c r="K319" s="176"/>
      <c r="L319" s="5"/>
      <c r="M319" s="1175" t="s">
        <v>5335</v>
      </c>
      <c r="N319" s="3" t="s">
        <v>2663</v>
      </c>
      <c r="O319" s="929" t="s">
        <v>269</v>
      </c>
      <c r="P319" s="927">
        <v>44526</v>
      </c>
      <c r="Q319" s="927">
        <v>44526</v>
      </c>
      <c r="R319" s="1012" t="s">
        <v>4220</v>
      </c>
      <c r="S319" s="933"/>
      <c r="T319" s="1534"/>
      <c r="U319" s="926"/>
    </row>
    <row r="320" spans="1:21" ht="51" customHeight="1">
      <c r="A320" s="926" t="s">
        <v>2476</v>
      </c>
      <c r="B320" s="927">
        <v>44526</v>
      </c>
      <c r="C320" s="926">
        <f t="shared" si="23"/>
        <v>1</v>
      </c>
      <c r="D320" s="926">
        <f t="shared" si="24"/>
        <v>6</v>
      </c>
      <c r="E320" s="926"/>
      <c r="F320" s="926">
        <f t="shared" si="22"/>
        <v>28</v>
      </c>
      <c r="G320" s="1013" t="s">
        <v>5242</v>
      </c>
      <c r="H320" s="929"/>
      <c r="I320" s="929" t="s">
        <v>2310</v>
      </c>
      <c r="J320" s="1705"/>
      <c r="K320" s="176"/>
      <c r="L320" s="5"/>
      <c r="M320" s="1175" t="s">
        <v>3146</v>
      </c>
      <c r="N320" s="3" t="s">
        <v>2663</v>
      </c>
      <c r="O320" s="929" t="s">
        <v>269</v>
      </c>
      <c r="P320" s="927">
        <v>44526</v>
      </c>
      <c r="Q320" s="927">
        <v>44526</v>
      </c>
      <c r="R320" s="1012" t="s">
        <v>4220</v>
      </c>
      <c r="S320" s="933"/>
      <c r="T320" s="1534"/>
      <c r="U320" s="926"/>
    </row>
    <row r="321" spans="1:21" ht="40.5" customHeight="1">
      <c r="A321" s="926" t="s">
        <v>2476</v>
      </c>
      <c r="B321" s="927">
        <v>44526</v>
      </c>
      <c r="C321" s="926">
        <f t="shared" si="23"/>
        <v>1</v>
      </c>
      <c r="D321" s="926">
        <f t="shared" si="24"/>
        <v>6</v>
      </c>
      <c r="E321" s="926"/>
      <c r="F321" s="926">
        <f t="shared" si="22"/>
        <v>29</v>
      </c>
      <c r="G321" s="1013" t="s">
        <v>5243</v>
      </c>
      <c r="H321" s="929"/>
      <c r="I321" s="929" t="s">
        <v>2310</v>
      </c>
      <c r="J321" s="1705"/>
      <c r="K321" s="176"/>
      <c r="L321" s="5"/>
      <c r="M321" s="1175" t="s">
        <v>2682</v>
      </c>
      <c r="N321" s="3" t="s">
        <v>2663</v>
      </c>
      <c r="O321" s="929" t="s">
        <v>269</v>
      </c>
      <c r="P321" s="927">
        <v>44526</v>
      </c>
      <c r="Q321" s="927">
        <v>44526</v>
      </c>
      <c r="R321" s="1012" t="s">
        <v>4220</v>
      </c>
      <c r="S321" s="933"/>
      <c r="T321" s="1534"/>
      <c r="U321" s="926"/>
    </row>
    <row r="322" spans="1:21" ht="40.5" customHeight="1">
      <c r="A322" s="926" t="s">
        <v>2476</v>
      </c>
      <c r="B322" s="927">
        <v>44526</v>
      </c>
      <c r="C322" s="926">
        <f t="shared" si="23"/>
        <v>1</v>
      </c>
      <c r="D322" s="926">
        <f t="shared" si="24"/>
        <v>6</v>
      </c>
      <c r="E322" s="926"/>
      <c r="F322" s="926">
        <f t="shared" si="22"/>
        <v>30</v>
      </c>
      <c r="G322" s="1013" t="s">
        <v>5244</v>
      </c>
      <c r="H322" s="929"/>
      <c r="I322" s="929" t="s">
        <v>2310</v>
      </c>
      <c r="J322" s="1705"/>
      <c r="K322" s="176"/>
      <c r="L322" s="5"/>
      <c r="M322" s="1175" t="s">
        <v>4746</v>
      </c>
      <c r="N322" s="3" t="s">
        <v>4506</v>
      </c>
      <c r="O322" s="929" t="s">
        <v>269</v>
      </c>
      <c r="P322" s="927">
        <v>44526</v>
      </c>
      <c r="Q322" s="927">
        <v>44526</v>
      </c>
      <c r="R322" s="1012" t="s">
        <v>4220</v>
      </c>
      <c r="S322" s="933"/>
      <c r="T322" s="1534"/>
      <c r="U322" s="926"/>
    </row>
    <row r="323" spans="1:21" ht="40.5" customHeight="1">
      <c r="A323" s="926" t="s">
        <v>2476</v>
      </c>
      <c r="B323" s="927">
        <v>44526</v>
      </c>
      <c r="C323" s="926">
        <f t="shared" si="23"/>
        <v>1</v>
      </c>
      <c r="D323" s="926">
        <f t="shared" si="24"/>
        <v>6</v>
      </c>
      <c r="E323" s="926"/>
      <c r="F323" s="926">
        <f t="shared" si="22"/>
        <v>31</v>
      </c>
      <c r="G323" s="1013" t="s">
        <v>5246</v>
      </c>
      <c r="H323" s="929"/>
      <c r="I323" s="929" t="s">
        <v>2310</v>
      </c>
      <c r="J323" s="1705"/>
      <c r="K323" s="176"/>
      <c r="L323" s="5"/>
      <c r="M323" s="1175" t="s">
        <v>5325</v>
      </c>
      <c r="N323" s="3" t="s">
        <v>1975</v>
      </c>
      <c r="O323" s="929" t="s">
        <v>77</v>
      </c>
      <c r="P323" s="927">
        <v>44526</v>
      </c>
      <c r="Q323" s="927">
        <v>44526</v>
      </c>
      <c r="R323" s="1012" t="s">
        <v>4220</v>
      </c>
      <c r="S323" s="933"/>
      <c r="T323" s="1534"/>
      <c r="U323" s="926"/>
    </row>
    <row r="324" spans="1:21" ht="40.5" customHeight="1">
      <c r="A324" s="926" t="s">
        <v>2476</v>
      </c>
      <c r="B324" s="927">
        <v>44526</v>
      </c>
      <c r="C324" s="926">
        <f t="shared" si="23"/>
        <v>1</v>
      </c>
      <c r="D324" s="926">
        <f t="shared" si="24"/>
        <v>6</v>
      </c>
      <c r="E324" s="926"/>
      <c r="F324" s="926">
        <f t="shared" si="22"/>
        <v>32</v>
      </c>
      <c r="G324" s="1013" t="s">
        <v>5247</v>
      </c>
      <c r="H324" s="929"/>
      <c r="I324" s="929" t="s">
        <v>2310</v>
      </c>
      <c r="J324" s="1705"/>
      <c r="K324" s="176"/>
      <c r="L324" s="5"/>
      <c r="M324" s="1175" t="s">
        <v>5322</v>
      </c>
      <c r="N324" s="3" t="s">
        <v>1975</v>
      </c>
      <c r="O324" s="929" t="s">
        <v>269</v>
      </c>
      <c r="P324" s="927">
        <v>44526</v>
      </c>
      <c r="Q324" s="927">
        <v>44526</v>
      </c>
      <c r="R324" s="1012" t="s">
        <v>4220</v>
      </c>
      <c r="S324" s="933"/>
      <c r="T324" s="1534"/>
      <c r="U324" s="926"/>
    </row>
    <row r="325" spans="1:21" ht="52.5" customHeight="1">
      <c r="A325" s="926" t="s">
        <v>2476</v>
      </c>
      <c r="B325" s="927">
        <v>44526</v>
      </c>
      <c r="C325" s="926">
        <f t="shared" si="23"/>
        <v>1</v>
      </c>
      <c r="D325" s="926">
        <f t="shared" si="24"/>
        <v>6</v>
      </c>
      <c r="E325" s="926"/>
      <c r="F325" s="926">
        <f t="shared" si="22"/>
        <v>33</v>
      </c>
      <c r="G325" s="1013" t="s">
        <v>5248</v>
      </c>
      <c r="H325" s="929"/>
      <c r="I325" s="929" t="s">
        <v>2310</v>
      </c>
      <c r="J325" s="1705"/>
      <c r="K325" s="176"/>
      <c r="L325" s="5"/>
      <c r="M325" s="1175" t="s">
        <v>4800</v>
      </c>
      <c r="N325" s="3" t="s">
        <v>1975</v>
      </c>
      <c r="O325" s="929" t="s">
        <v>269</v>
      </c>
      <c r="P325" s="927">
        <v>44526</v>
      </c>
      <c r="Q325" s="927">
        <v>44526</v>
      </c>
      <c r="R325" s="1012" t="s">
        <v>4220</v>
      </c>
      <c r="S325" s="933"/>
      <c r="T325" s="1534"/>
      <c r="U325" s="926"/>
    </row>
    <row r="326" spans="1:21" ht="40.5" customHeight="1">
      <c r="A326" s="926" t="s">
        <v>2476</v>
      </c>
      <c r="B326" s="927">
        <v>44526</v>
      </c>
      <c r="C326" s="926">
        <f t="shared" si="23"/>
        <v>1</v>
      </c>
      <c r="D326" s="926">
        <f t="shared" si="24"/>
        <v>6</v>
      </c>
      <c r="E326" s="926"/>
      <c r="F326" s="926">
        <f t="shared" ref="F326:F357" si="25">F325+1</f>
        <v>34</v>
      </c>
      <c r="G326" s="1013" t="s">
        <v>5249</v>
      </c>
      <c r="H326" s="929"/>
      <c r="I326" s="929" t="s">
        <v>2310</v>
      </c>
      <c r="J326" s="1705"/>
      <c r="K326" s="176"/>
      <c r="L326" s="5"/>
      <c r="M326" s="1175" t="s">
        <v>2479</v>
      </c>
      <c r="N326" s="3" t="s">
        <v>1975</v>
      </c>
      <c r="O326" s="929" t="s">
        <v>269</v>
      </c>
      <c r="P326" s="927">
        <v>44526</v>
      </c>
      <c r="Q326" s="927">
        <v>44526</v>
      </c>
      <c r="R326" s="1012" t="s">
        <v>4220</v>
      </c>
      <c r="S326" s="933"/>
      <c r="T326" s="1534"/>
      <c r="U326" s="926"/>
    </row>
    <row r="327" spans="1:21" ht="40.5" customHeight="1">
      <c r="A327" s="926" t="s">
        <v>2476</v>
      </c>
      <c r="B327" s="927">
        <v>44526</v>
      </c>
      <c r="C327" s="926">
        <f t="shared" si="23"/>
        <v>1</v>
      </c>
      <c r="D327" s="926">
        <f t="shared" si="24"/>
        <v>6</v>
      </c>
      <c r="E327" s="926"/>
      <c r="F327" s="926">
        <f t="shared" si="25"/>
        <v>35</v>
      </c>
      <c r="G327" s="1013" t="s">
        <v>5250</v>
      </c>
      <c r="H327" s="929"/>
      <c r="I327" s="929" t="s">
        <v>2310</v>
      </c>
      <c r="J327" s="1705"/>
      <c r="K327" s="176"/>
      <c r="L327" s="5"/>
      <c r="M327" s="1175" t="s">
        <v>5336</v>
      </c>
      <c r="N327" s="3" t="s">
        <v>1975</v>
      </c>
      <c r="O327" s="929" t="s">
        <v>269</v>
      </c>
      <c r="P327" s="927">
        <v>44526</v>
      </c>
      <c r="Q327" s="927">
        <v>44526</v>
      </c>
      <c r="R327" s="1012" t="s">
        <v>4220</v>
      </c>
      <c r="S327" s="933"/>
      <c r="T327" s="1534"/>
      <c r="U327" s="926"/>
    </row>
    <row r="328" spans="1:21" ht="71.25" customHeight="1">
      <c r="A328" s="926" t="s">
        <v>2476</v>
      </c>
      <c r="B328" s="927">
        <v>44526</v>
      </c>
      <c r="C328" s="926">
        <f t="shared" ref="C328:C359" si="26">C327</f>
        <v>1</v>
      </c>
      <c r="D328" s="926">
        <f t="shared" si="24"/>
        <v>6</v>
      </c>
      <c r="E328" s="926"/>
      <c r="F328" s="926">
        <f t="shared" si="25"/>
        <v>36</v>
      </c>
      <c r="G328" s="1013" t="s">
        <v>5251</v>
      </c>
      <c r="H328" s="929"/>
      <c r="I328" s="929" t="s">
        <v>2310</v>
      </c>
      <c r="J328" s="1705"/>
      <c r="K328" s="176"/>
      <c r="L328" s="5"/>
      <c r="M328" s="1175" t="s">
        <v>5319</v>
      </c>
      <c r="N328" s="3" t="s">
        <v>1975</v>
      </c>
      <c r="O328" s="929" t="s">
        <v>5220</v>
      </c>
      <c r="P328" s="927">
        <v>44526</v>
      </c>
      <c r="Q328" s="927">
        <v>44526</v>
      </c>
      <c r="R328" s="1012" t="s">
        <v>4220</v>
      </c>
      <c r="S328" s="933"/>
      <c r="T328" s="1534"/>
      <c r="U328" s="926"/>
    </row>
    <row r="329" spans="1:21" ht="57.75" customHeight="1">
      <c r="A329" s="926" t="s">
        <v>2476</v>
      </c>
      <c r="B329" s="927">
        <v>44526</v>
      </c>
      <c r="C329" s="926">
        <f t="shared" si="26"/>
        <v>1</v>
      </c>
      <c r="D329" s="926">
        <f t="shared" ref="D329:D360" si="27">D328</f>
        <v>6</v>
      </c>
      <c r="E329" s="926"/>
      <c r="F329" s="926">
        <f t="shared" si="25"/>
        <v>37</v>
      </c>
      <c r="G329" s="1013" t="s">
        <v>5252</v>
      </c>
      <c r="H329" s="929"/>
      <c r="I329" s="929" t="s">
        <v>2310</v>
      </c>
      <c r="J329" s="1705"/>
      <c r="K329" s="176"/>
      <c r="L329" s="5"/>
      <c r="M329" s="1175" t="s">
        <v>4687</v>
      </c>
      <c r="N329" s="3" t="s">
        <v>1975</v>
      </c>
      <c r="O329" s="929" t="s">
        <v>269</v>
      </c>
      <c r="P329" s="927">
        <v>44526</v>
      </c>
      <c r="Q329" s="927">
        <v>44526</v>
      </c>
      <c r="R329" s="1012" t="s">
        <v>4220</v>
      </c>
      <c r="S329" s="933"/>
      <c r="T329" s="1534"/>
      <c r="U329" s="926"/>
    </row>
    <row r="330" spans="1:21" ht="72" customHeight="1">
      <c r="A330" s="926" t="s">
        <v>2476</v>
      </c>
      <c r="B330" s="927">
        <v>44526</v>
      </c>
      <c r="C330" s="926">
        <f t="shared" si="26"/>
        <v>1</v>
      </c>
      <c r="D330" s="926">
        <f t="shared" si="27"/>
        <v>6</v>
      </c>
      <c r="E330" s="926"/>
      <c r="F330" s="926">
        <f t="shared" si="25"/>
        <v>38</v>
      </c>
      <c r="G330" s="1013" t="s">
        <v>5253</v>
      </c>
      <c r="H330" s="929"/>
      <c r="I330" s="929" t="s">
        <v>2310</v>
      </c>
      <c r="J330" s="1705"/>
      <c r="K330" s="176"/>
      <c r="L330" s="5"/>
      <c r="M330" s="1175" t="s">
        <v>4793</v>
      </c>
      <c r="N330" s="3" t="s">
        <v>1975</v>
      </c>
      <c r="O330" s="929" t="s">
        <v>5220</v>
      </c>
      <c r="P330" s="927">
        <v>44526</v>
      </c>
      <c r="Q330" s="927">
        <v>44526</v>
      </c>
      <c r="R330" s="1012" t="s">
        <v>4220</v>
      </c>
      <c r="S330" s="933"/>
      <c r="T330" s="1534"/>
      <c r="U330" s="926"/>
    </row>
    <row r="331" spans="1:21" ht="40.5" customHeight="1">
      <c r="A331" s="926" t="s">
        <v>2476</v>
      </c>
      <c r="B331" s="927">
        <v>44526</v>
      </c>
      <c r="C331" s="926">
        <f t="shared" si="26"/>
        <v>1</v>
      </c>
      <c r="D331" s="926">
        <f t="shared" si="27"/>
        <v>6</v>
      </c>
      <c r="E331" s="926"/>
      <c r="F331" s="926">
        <f t="shared" si="25"/>
        <v>39</v>
      </c>
      <c r="G331" s="1013" t="s">
        <v>5254</v>
      </c>
      <c r="H331" s="929"/>
      <c r="I331" s="929" t="s">
        <v>2310</v>
      </c>
      <c r="J331" s="1705"/>
      <c r="K331" s="176"/>
      <c r="L331" s="5"/>
      <c r="M331" s="1175" t="s">
        <v>4660</v>
      </c>
      <c r="N331" s="3" t="s">
        <v>1975</v>
      </c>
      <c r="O331" s="929" t="s">
        <v>269</v>
      </c>
      <c r="P331" s="927">
        <v>44526</v>
      </c>
      <c r="Q331" s="927">
        <v>44526</v>
      </c>
      <c r="R331" s="1012" t="s">
        <v>4220</v>
      </c>
      <c r="S331" s="933"/>
      <c r="T331" s="1534"/>
      <c r="U331" s="926"/>
    </row>
    <row r="332" spans="1:21" ht="53.25" customHeight="1">
      <c r="A332" s="926" t="s">
        <v>2476</v>
      </c>
      <c r="B332" s="927">
        <v>44526</v>
      </c>
      <c r="C332" s="926">
        <f t="shared" si="26"/>
        <v>1</v>
      </c>
      <c r="D332" s="926">
        <f t="shared" si="27"/>
        <v>6</v>
      </c>
      <c r="E332" s="926"/>
      <c r="F332" s="926">
        <f t="shared" si="25"/>
        <v>40</v>
      </c>
      <c r="G332" s="1013" t="s">
        <v>5255</v>
      </c>
      <c r="H332" s="929"/>
      <c r="I332" s="929" t="s">
        <v>2310</v>
      </c>
      <c r="J332" s="1705"/>
      <c r="K332" s="176"/>
      <c r="L332" s="5"/>
      <c r="M332" s="1175" t="s">
        <v>5337</v>
      </c>
      <c r="N332" s="3" t="s">
        <v>1975</v>
      </c>
      <c r="O332" s="929" t="s">
        <v>269</v>
      </c>
      <c r="P332" s="927">
        <v>44526</v>
      </c>
      <c r="Q332" s="927">
        <v>44526</v>
      </c>
      <c r="R332" s="1012" t="s">
        <v>4220</v>
      </c>
      <c r="S332" s="933"/>
      <c r="T332" s="1534"/>
      <c r="U332" s="926"/>
    </row>
    <row r="333" spans="1:21" ht="69.75" customHeight="1">
      <c r="A333" s="926" t="s">
        <v>2476</v>
      </c>
      <c r="B333" s="927">
        <v>44526</v>
      </c>
      <c r="C333" s="926">
        <f t="shared" si="26"/>
        <v>1</v>
      </c>
      <c r="D333" s="926">
        <f t="shared" si="27"/>
        <v>6</v>
      </c>
      <c r="E333" s="926"/>
      <c r="F333" s="926">
        <f t="shared" si="25"/>
        <v>41</v>
      </c>
      <c r="G333" s="1013" t="s">
        <v>5256</v>
      </c>
      <c r="H333" s="929"/>
      <c r="I333" s="929" t="s">
        <v>2310</v>
      </c>
      <c r="J333" s="1705"/>
      <c r="K333" s="176"/>
      <c r="L333" s="5"/>
      <c r="M333" s="1175" t="s">
        <v>4820</v>
      </c>
      <c r="N333" s="3" t="s">
        <v>1975</v>
      </c>
      <c r="O333" s="929" t="s">
        <v>77</v>
      </c>
      <c r="P333" s="927">
        <v>44526</v>
      </c>
      <c r="Q333" s="927">
        <v>44526</v>
      </c>
      <c r="R333" s="1012" t="s">
        <v>4220</v>
      </c>
      <c r="S333" s="933"/>
      <c r="T333" s="1534"/>
      <c r="U333" s="926"/>
    </row>
    <row r="334" spans="1:21" ht="63.75" customHeight="1">
      <c r="A334" s="926" t="s">
        <v>2476</v>
      </c>
      <c r="B334" s="927">
        <v>44526</v>
      </c>
      <c r="C334" s="926">
        <f t="shared" si="26"/>
        <v>1</v>
      </c>
      <c r="D334" s="926">
        <f t="shared" si="27"/>
        <v>6</v>
      </c>
      <c r="E334" s="926"/>
      <c r="F334" s="926">
        <f t="shared" si="25"/>
        <v>42</v>
      </c>
      <c r="G334" s="1013" t="s">
        <v>5257</v>
      </c>
      <c r="H334" s="929"/>
      <c r="I334" s="929" t="s">
        <v>2310</v>
      </c>
      <c r="J334" s="1705"/>
      <c r="K334" s="176"/>
      <c r="L334" s="5"/>
      <c r="M334" s="1175" t="s">
        <v>4772</v>
      </c>
      <c r="N334" s="3" t="s">
        <v>1975</v>
      </c>
      <c r="O334" s="929" t="s">
        <v>269</v>
      </c>
      <c r="P334" s="927">
        <v>44526</v>
      </c>
      <c r="Q334" s="927">
        <v>44526</v>
      </c>
      <c r="R334" s="1012" t="s">
        <v>4220</v>
      </c>
      <c r="S334" s="933"/>
      <c r="T334" s="1534"/>
      <c r="U334" s="926"/>
    </row>
    <row r="335" spans="1:21" ht="56.25" customHeight="1">
      <c r="A335" s="926" t="s">
        <v>2476</v>
      </c>
      <c r="B335" s="927">
        <v>44526</v>
      </c>
      <c r="C335" s="926">
        <f t="shared" si="26"/>
        <v>1</v>
      </c>
      <c r="D335" s="926">
        <f t="shared" si="27"/>
        <v>6</v>
      </c>
      <c r="E335" s="926"/>
      <c r="F335" s="926">
        <f t="shared" si="25"/>
        <v>43</v>
      </c>
      <c r="G335" s="1013" t="s">
        <v>5258</v>
      </c>
      <c r="H335" s="929"/>
      <c r="I335" s="929" t="s">
        <v>2310</v>
      </c>
      <c r="J335" s="1705"/>
      <c r="K335" s="176"/>
      <c r="L335" s="5"/>
      <c r="M335" s="1175" t="s">
        <v>4642</v>
      </c>
      <c r="N335" s="3" t="s">
        <v>1975</v>
      </c>
      <c r="O335" s="929" t="s">
        <v>269</v>
      </c>
      <c r="P335" s="927">
        <v>44526</v>
      </c>
      <c r="Q335" s="927">
        <v>44526</v>
      </c>
      <c r="R335" s="1012" t="s">
        <v>4220</v>
      </c>
      <c r="S335" s="933"/>
      <c r="T335" s="1534"/>
      <c r="U335" s="926"/>
    </row>
    <row r="336" spans="1:21" ht="55.5" customHeight="1">
      <c r="A336" s="926" t="s">
        <v>2476</v>
      </c>
      <c r="B336" s="927">
        <v>44526</v>
      </c>
      <c r="C336" s="926">
        <f t="shared" si="26"/>
        <v>1</v>
      </c>
      <c r="D336" s="926">
        <f t="shared" si="27"/>
        <v>6</v>
      </c>
      <c r="E336" s="926"/>
      <c r="F336" s="926">
        <f t="shared" si="25"/>
        <v>44</v>
      </c>
      <c r="G336" s="1013" t="s">
        <v>5259</v>
      </c>
      <c r="H336" s="929"/>
      <c r="I336" s="929" t="s">
        <v>2310</v>
      </c>
      <c r="J336" s="1705"/>
      <c r="K336" s="176"/>
      <c r="L336" s="5"/>
      <c r="M336" s="1175" t="s">
        <v>5320</v>
      </c>
      <c r="N336" s="3" t="s">
        <v>4410</v>
      </c>
      <c r="O336" s="929" t="s">
        <v>269</v>
      </c>
      <c r="P336" s="927">
        <v>44526</v>
      </c>
      <c r="Q336" s="927">
        <v>44526</v>
      </c>
      <c r="R336" s="1012" t="s">
        <v>4220</v>
      </c>
      <c r="S336" s="933"/>
      <c r="T336" s="1534"/>
      <c r="U336" s="926"/>
    </row>
    <row r="337" spans="1:21" ht="40.5" customHeight="1">
      <c r="A337" s="926" t="s">
        <v>2476</v>
      </c>
      <c r="B337" s="927">
        <v>44526</v>
      </c>
      <c r="C337" s="926">
        <f t="shared" si="26"/>
        <v>1</v>
      </c>
      <c r="D337" s="926">
        <f t="shared" si="27"/>
        <v>6</v>
      </c>
      <c r="E337" s="926"/>
      <c r="F337" s="926">
        <f t="shared" si="25"/>
        <v>45</v>
      </c>
      <c r="G337" s="1013" t="s">
        <v>5260</v>
      </c>
      <c r="H337" s="929"/>
      <c r="I337" s="929" t="s">
        <v>2310</v>
      </c>
      <c r="J337" s="1705"/>
      <c r="K337" s="176"/>
      <c r="L337" s="5"/>
      <c r="M337" s="1175" t="s">
        <v>4694</v>
      </c>
      <c r="N337" s="3" t="s">
        <v>4410</v>
      </c>
      <c r="O337" s="929" t="s">
        <v>269</v>
      </c>
      <c r="P337" s="927">
        <v>44526</v>
      </c>
      <c r="Q337" s="927">
        <v>44526</v>
      </c>
      <c r="R337" s="1012" t="s">
        <v>4220</v>
      </c>
      <c r="S337" s="933"/>
      <c r="T337" s="1534"/>
      <c r="U337" s="926"/>
    </row>
    <row r="338" spans="1:21" ht="40.5" customHeight="1">
      <c r="A338" s="926" t="s">
        <v>2476</v>
      </c>
      <c r="B338" s="927">
        <v>44526</v>
      </c>
      <c r="C338" s="926">
        <f t="shared" si="26"/>
        <v>1</v>
      </c>
      <c r="D338" s="926">
        <f t="shared" si="27"/>
        <v>6</v>
      </c>
      <c r="E338" s="926"/>
      <c r="F338" s="926">
        <f t="shared" si="25"/>
        <v>46</v>
      </c>
      <c r="G338" s="1013" t="s">
        <v>5261</v>
      </c>
      <c r="H338" s="929"/>
      <c r="I338" s="929" t="s">
        <v>2310</v>
      </c>
      <c r="J338" s="1705"/>
      <c r="K338" s="176"/>
      <c r="L338" s="5"/>
      <c r="M338" s="1175" t="s">
        <v>4683</v>
      </c>
      <c r="N338" s="3" t="s">
        <v>4410</v>
      </c>
      <c r="O338" s="929" t="s">
        <v>269</v>
      </c>
      <c r="P338" s="927">
        <v>44526</v>
      </c>
      <c r="Q338" s="927">
        <v>44526</v>
      </c>
      <c r="R338" s="1012" t="s">
        <v>4220</v>
      </c>
      <c r="S338" s="933"/>
      <c r="T338" s="1534"/>
      <c r="U338" s="926"/>
    </row>
    <row r="339" spans="1:21" ht="40.5" customHeight="1">
      <c r="A339" s="926" t="s">
        <v>2476</v>
      </c>
      <c r="B339" s="927">
        <v>44526</v>
      </c>
      <c r="C339" s="926">
        <f t="shared" si="26"/>
        <v>1</v>
      </c>
      <c r="D339" s="926">
        <f t="shared" si="27"/>
        <v>6</v>
      </c>
      <c r="E339" s="926"/>
      <c r="F339" s="926">
        <f t="shared" si="25"/>
        <v>47</v>
      </c>
      <c r="G339" s="1013" t="s">
        <v>5262</v>
      </c>
      <c r="H339" s="929"/>
      <c r="I339" s="929" t="s">
        <v>2310</v>
      </c>
      <c r="J339" s="1705"/>
      <c r="K339" s="176"/>
      <c r="L339" s="5"/>
      <c r="M339" s="1175"/>
      <c r="N339" s="3" t="s">
        <v>4410</v>
      </c>
      <c r="O339" s="929" t="s">
        <v>269</v>
      </c>
      <c r="P339" s="927">
        <v>44526</v>
      </c>
      <c r="Q339" s="927">
        <v>44526</v>
      </c>
      <c r="R339" s="1012" t="s">
        <v>4220</v>
      </c>
      <c r="S339" s="933"/>
      <c r="T339" s="1534"/>
      <c r="U339" s="926"/>
    </row>
    <row r="340" spans="1:21" ht="60" customHeight="1">
      <c r="A340" s="926" t="s">
        <v>2476</v>
      </c>
      <c r="B340" s="927">
        <v>44526</v>
      </c>
      <c r="C340" s="926">
        <f t="shared" si="26"/>
        <v>1</v>
      </c>
      <c r="D340" s="926">
        <f t="shared" si="27"/>
        <v>6</v>
      </c>
      <c r="E340" s="926"/>
      <c r="F340" s="926">
        <f t="shared" si="25"/>
        <v>48</v>
      </c>
      <c r="G340" s="1013" t="s">
        <v>5263</v>
      </c>
      <c r="H340" s="929"/>
      <c r="I340" s="929" t="s">
        <v>2310</v>
      </c>
      <c r="J340" s="1705"/>
      <c r="K340" s="176"/>
      <c r="L340" s="5"/>
      <c r="M340" s="1175" t="s">
        <v>5338</v>
      </c>
      <c r="N340" s="3" t="s">
        <v>4410</v>
      </c>
      <c r="O340" s="929" t="s">
        <v>269</v>
      </c>
      <c r="P340" s="927">
        <v>44526</v>
      </c>
      <c r="Q340" s="927">
        <v>44526</v>
      </c>
      <c r="R340" s="1012" t="s">
        <v>4220</v>
      </c>
      <c r="S340" s="933"/>
      <c r="T340" s="1534"/>
      <c r="U340" s="926"/>
    </row>
    <row r="341" spans="1:21" ht="40.5" customHeight="1">
      <c r="A341" s="926" t="s">
        <v>2476</v>
      </c>
      <c r="B341" s="927">
        <v>44526</v>
      </c>
      <c r="C341" s="926">
        <f t="shared" si="26"/>
        <v>1</v>
      </c>
      <c r="D341" s="926">
        <f t="shared" si="27"/>
        <v>6</v>
      </c>
      <c r="E341" s="926"/>
      <c r="F341" s="926">
        <f t="shared" si="25"/>
        <v>49</v>
      </c>
      <c r="G341" s="1013" t="s">
        <v>5264</v>
      </c>
      <c r="H341" s="929"/>
      <c r="I341" s="929" t="s">
        <v>2310</v>
      </c>
      <c r="J341" s="1705"/>
      <c r="K341" s="176"/>
      <c r="L341" s="5"/>
      <c r="M341" s="1175" t="s">
        <v>5339</v>
      </c>
      <c r="N341" s="3" t="s">
        <v>2512</v>
      </c>
      <c r="O341" s="929" t="s">
        <v>269</v>
      </c>
      <c r="P341" s="927">
        <v>44526</v>
      </c>
      <c r="Q341" s="927">
        <v>44526</v>
      </c>
      <c r="R341" s="1012" t="s">
        <v>4220</v>
      </c>
      <c r="S341" s="933"/>
      <c r="T341" s="1534"/>
      <c r="U341" s="926"/>
    </row>
    <row r="342" spans="1:21" ht="40.5" customHeight="1">
      <c r="A342" s="926" t="s">
        <v>2476</v>
      </c>
      <c r="B342" s="927">
        <v>44526</v>
      </c>
      <c r="C342" s="926">
        <f t="shared" si="26"/>
        <v>1</v>
      </c>
      <c r="D342" s="926">
        <f t="shared" si="27"/>
        <v>6</v>
      </c>
      <c r="E342" s="926"/>
      <c r="F342" s="926">
        <f t="shared" si="25"/>
        <v>50</v>
      </c>
      <c r="G342" s="1013" t="s">
        <v>5265</v>
      </c>
      <c r="H342" s="929"/>
      <c r="I342" s="929" t="s">
        <v>2310</v>
      </c>
      <c r="J342" s="1705"/>
      <c r="K342" s="176"/>
      <c r="L342" s="5"/>
      <c r="M342" s="1175" t="s">
        <v>4699</v>
      </c>
      <c r="N342" s="3" t="s">
        <v>2512</v>
      </c>
      <c r="O342" s="929" t="s">
        <v>269</v>
      </c>
      <c r="P342" s="927">
        <v>44526</v>
      </c>
      <c r="Q342" s="927">
        <v>44526</v>
      </c>
      <c r="R342" s="1012" t="s">
        <v>4220</v>
      </c>
      <c r="S342" s="933"/>
      <c r="T342" s="1534"/>
      <c r="U342" s="926"/>
    </row>
    <row r="343" spans="1:21" ht="40.5" customHeight="1">
      <c r="A343" s="926" t="s">
        <v>2476</v>
      </c>
      <c r="B343" s="927">
        <v>44526</v>
      </c>
      <c r="C343" s="926">
        <f t="shared" si="26"/>
        <v>1</v>
      </c>
      <c r="D343" s="926">
        <f t="shared" si="27"/>
        <v>6</v>
      </c>
      <c r="E343" s="935" t="s">
        <v>4049</v>
      </c>
      <c r="F343" s="926">
        <f t="shared" si="25"/>
        <v>51</v>
      </c>
      <c r="G343" s="1013" t="s">
        <v>5266</v>
      </c>
      <c r="H343" s="929"/>
      <c r="I343" s="929" t="s">
        <v>551</v>
      </c>
      <c r="J343" s="1705" t="s">
        <v>5789</v>
      </c>
      <c r="K343" s="176">
        <v>44438</v>
      </c>
      <c r="L343" s="5">
        <v>44452</v>
      </c>
      <c r="M343" s="1175" t="s">
        <v>3143</v>
      </c>
      <c r="N343" s="3" t="s">
        <v>2512</v>
      </c>
      <c r="O343" s="929" t="s">
        <v>269</v>
      </c>
      <c r="P343" s="927">
        <v>44526</v>
      </c>
      <c r="Q343" s="927">
        <v>44526</v>
      </c>
      <c r="R343" s="1012" t="s">
        <v>4220</v>
      </c>
      <c r="S343" s="933"/>
      <c r="T343" s="1700"/>
      <c r="U343" s="926"/>
    </row>
    <row r="344" spans="1:21" ht="40.5" customHeight="1">
      <c r="A344" s="926" t="s">
        <v>2476</v>
      </c>
      <c r="B344" s="927">
        <v>44526</v>
      </c>
      <c r="C344" s="926">
        <f t="shared" si="26"/>
        <v>1</v>
      </c>
      <c r="D344" s="926">
        <f t="shared" si="27"/>
        <v>6</v>
      </c>
      <c r="E344" s="935" t="s">
        <v>4049</v>
      </c>
      <c r="F344" s="926">
        <f t="shared" si="25"/>
        <v>52</v>
      </c>
      <c r="G344" s="1013" t="s">
        <v>5267</v>
      </c>
      <c r="H344" s="929"/>
      <c r="I344" s="929" t="s">
        <v>551</v>
      </c>
      <c r="J344" s="1705" t="s">
        <v>5789</v>
      </c>
      <c r="K344" s="176">
        <v>44438</v>
      </c>
      <c r="L344" s="5">
        <v>44452</v>
      </c>
      <c r="M344" s="1175" t="s">
        <v>4699</v>
      </c>
      <c r="N344" s="3" t="s">
        <v>2512</v>
      </c>
      <c r="O344" s="929" t="s">
        <v>269</v>
      </c>
      <c r="P344" s="927">
        <v>44526</v>
      </c>
      <c r="Q344" s="927">
        <v>44526</v>
      </c>
      <c r="R344" s="1012" t="s">
        <v>4220</v>
      </c>
      <c r="S344" s="933"/>
      <c r="T344" s="1700"/>
      <c r="U344" s="926"/>
    </row>
    <row r="345" spans="1:21" ht="52.5" customHeight="1">
      <c r="A345" s="926" t="s">
        <v>2476</v>
      </c>
      <c r="B345" s="927">
        <v>44526</v>
      </c>
      <c r="C345" s="926">
        <f t="shared" si="26"/>
        <v>1</v>
      </c>
      <c r="D345" s="926">
        <f t="shared" si="27"/>
        <v>6</v>
      </c>
      <c r="E345" s="926"/>
      <c r="F345" s="926">
        <f t="shared" si="25"/>
        <v>53</v>
      </c>
      <c r="G345" s="1013" t="s">
        <v>5268</v>
      </c>
      <c r="H345" s="929"/>
      <c r="I345" s="929" t="s">
        <v>2310</v>
      </c>
      <c r="J345" s="1705"/>
      <c r="K345" s="176"/>
      <c r="L345" s="5"/>
      <c r="M345" s="1175" t="s">
        <v>2570</v>
      </c>
      <c r="N345" s="3" t="s">
        <v>2614</v>
      </c>
      <c r="O345" s="929" t="s">
        <v>269</v>
      </c>
      <c r="P345" s="927">
        <v>44526</v>
      </c>
      <c r="Q345" s="927">
        <v>44526</v>
      </c>
      <c r="R345" s="1012" t="s">
        <v>4220</v>
      </c>
      <c r="S345" s="933"/>
      <c r="T345" s="1534"/>
      <c r="U345" s="926"/>
    </row>
    <row r="346" spans="1:21" ht="40.5" customHeight="1">
      <c r="A346" s="926" t="s">
        <v>2476</v>
      </c>
      <c r="B346" s="927">
        <v>44526</v>
      </c>
      <c r="C346" s="926">
        <f t="shared" si="26"/>
        <v>1</v>
      </c>
      <c r="D346" s="926">
        <f t="shared" si="27"/>
        <v>6</v>
      </c>
      <c r="E346" s="926"/>
      <c r="F346" s="926">
        <f t="shared" si="25"/>
        <v>54</v>
      </c>
      <c r="G346" s="1013" t="s">
        <v>5269</v>
      </c>
      <c r="H346" s="929"/>
      <c r="I346" s="929" t="s">
        <v>2310</v>
      </c>
      <c r="J346" s="1705"/>
      <c r="K346" s="176"/>
      <c r="L346" s="5"/>
      <c r="M346" s="1175" t="s">
        <v>5340</v>
      </c>
      <c r="N346" s="3" t="s">
        <v>2614</v>
      </c>
      <c r="O346" s="929" t="s">
        <v>269</v>
      </c>
      <c r="P346" s="927">
        <v>44526</v>
      </c>
      <c r="Q346" s="927">
        <v>44526</v>
      </c>
      <c r="R346" s="1012" t="s">
        <v>4220</v>
      </c>
      <c r="S346" s="933"/>
      <c r="T346" s="1534"/>
      <c r="U346" s="926"/>
    </row>
    <row r="347" spans="1:21" ht="40.5" customHeight="1">
      <c r="A347" s="926" t="s">
        <v>2476</v>
      </c>
      <c r="B347" s="927">
        <v>44526</v>
      </c>
      <c r="C347" s="926">
        <f t="shared" si="26"/>
        <v>1</v>
      </c>
      <c r="D347" s="926">
        <f t="shared" si="27"/>
        <v>6</v>
      </c>
      <c r="E347" s="926"/>
      <c r="F347" s="926">
        <f t="shared" si="25"/>
        <v>55</v>
      </c>
      <c r="G347" s="1013" t="s">
        <v>5270</v>
      </c>
      <c r="H347" s="929"/>
      <c r="I347" s="929" t="s">
        <v>2310</v>
      </c>
      <c r="J347" s="1705"/>
      <c r="K347" s="176"/>
      <c r="L347" s="5"/>
      <c r="M347" s="1175" t="s">
        <v>2535</v>
      </c>
      <c r="N347" s="3" t="s">
        <v>2614</v>
      </c>
      <c r="O347" s="929" t="s">
        <v>269</v>
      </c>
      <c r="P347" s="927">
        <v>44526</v>
      </c>
      <c r="Q347" s="927">
        <v>44526</v>
      </c>
      <c r="R347" s="1012" t="s">
        <v>4220</v>
      </c>
      <c r="S347" s="933"/>
      <c r="T347" s="1534"/>
      <c r="U347" s="926"/>
    </row>
    <row r="348" spans="1:21" ht="40.5" customHeight="1">
      <c r="A348" s="926" t="s">
        <v>2476</v>
      </c>
      <c r="B348" s="927">
        <v>44526</v>
      </c>
      <c r="C348" s="926">
        <f t="shared" si="26"/>
        <v>1</v>
      </c>
      <c r="D348" s="926">
        <f t="shared" si="27"/>
        <v>6</v>
      </c>
      <c r="E348" s="926"/>
      <c r="F348" s="926">
        <f t="shared" si="25"/>
        <v>56</v>
      </c>
      <c r="G348" s="1013" t="s">
        <v>5271</v>
      </c>
      <c r="H348" s="929"/>
      <c r="I348" s="929" t="s">
        <v>2310</v>
      </c>
      <c r="J348" s="1705"/>
      <c r="K348" s="176"/>
      <c r="L348" s="5"/>
      <c r="M348" s="1175" t="s">
        <v>5341</v>
      </c>
      <c r="N348" s="3" t="s">
        <v>2577</v>
      </c>
      <c r="O348" s="929" t="s">
        <v>269</v>
      </c>
      <c r="P348" s="927">
        <v>44526</v>
      </c>
      <c r="Q348" s="927">
        <v>44526</v>
      </c>
      <c r="R348" s="1012" t="s">
        <v>4220</v>
      </c>
      <c r="S348" s="933"/>
      <c r="T348" s="1534"/>
      <c r="U348" s="926"/>
    </row>
    <row r="349" spans="1:21" ht="40.5" customHeight="1">
      <c r="A349" s="926" t="s">
        <v>2476</v>
      </c>
      <c r="B349" s="927">
        <v>44526</v>
      </c>
      <c r="C349" s="926">
        <f t="shared" si="26"/>
        <v>1</v>
      </c>
      <c r="D349" s="926">
        <f t="shared" si="27"/>
        <v>6</v>
      </c>
      <c r="E349" s="926"/>
      <c r="F349" s="926">
        <f t="shared" si="25"/>
        <v>57</v>
      </c>
      <c r="G349" s="1013" t="s">
        <v>5272</v>
      </c>
      <c r="H349" s="929"/>
      <c r="I349" s="929" t="s">
        <v>2310</v>
      </c>
      <c r="J349" s="1705"/>
      <c r="K349" s="176"/>
      <c r="L349" s="5"/>
      <c r="M349" s="1175" t="s">
        <v>5314</v>
      </c>
      <c r="N349" s="3" t="s">
        <v>2577</v>
      </c>
      <c r="O349" s="929" t="s">
        <v>269</v>
      </c>
      <c r="P349" s="927">
        <v>44526</v>
      </c>
      <c r="Q349" s="927">
        <v>44526</v>
      </c>
      <c r="R349" s="1012" t="s">
        <v>4220</v>
      </c>
      <c r="S349" s="933"/>
      <c r="T349" s="1534"/>
      <c r="U349" s="926"/>
    </row>
    <row r="350" spans="1:21" ht="40.5" customHeight="1">
      <c r="A350" s="926" t="s">
        <v>2476</v>
      </c>
      <c r="B350" s="927">
        <v>44526</v>
      </c>
      <c r="C350" s="926">
        <f t="shared" si="26"/>
        <v>1</v>
      </c>
      <c r="D350" s="926">
        <f t="shared" si="27"/>
        <v>6</v>
      </c>
      <c r="E350" s="935" t="s">
        <v>4051</v>
      </c>
      <c r="F350" s="926">
        <f t="shared" si="25"/>
        <v>58</v>
      </c>
      <c r="G350" s="1013" t="s">
        <v>5273</v>
      </c>
      <c r="H350" s="929"/>
      <c r="I350" s="929" t="s">
        <v>551</v>
      </c>
      <c r="J350" s="1705" t="s">
        <v>5789</v>
      </c>
      <c r="K350" s="176">
        <v>44438</v>
      </c>
      <c r="L350" s="5">
        <v>44492</v>
      </c>
      <c r="M350" s="1175" t="s">
        <v>4710</v>
      </c>
      <c r="N350" s="3" t="s">
        <v>2577</v>
      </c>
      <c r="O350" s="929" t="s">
        <v>269</v>
      </c>
      <c r="P350" s="927">
        <v>44526</v>
      </c>
      <c r="Q350" s="927">
        <v>44526</v>
      </c>
      <c r="R350" s="1012" t="s">
        <v>4220</v>
      </c>
      <c r="S350" s="933"/>
      <c r="T350" s="1700"/>
      <c r="U350" s="926"/>
    </row>
    <row r="351" spans="1:21" ht="40.5" customHeight="1">
      <c r="A351" s="926" t="s">
        <v>2476</v>
      </c>
      <c r="B351" s="927">
        <v>44526</v>
      </c>
      <c r="C351" s="926">
        <f t="shared" si="26"/>
        <v>1</v>
      </c>
      <c r="D351" s="926">
        <f t="shared" si="27"/>
        <v>6</v>
      </c>
      <c r="E351" s="926"/>
      <c r="F351" s="926">
        <f t="shared" si="25"/>
        <v>59</v>
      </c>
      <c r="G351" s="1013" t="s">
        <v>5274</v>
      </c>
      <c r="H351" s="929"/>
      <c r="I351" s="929" t="s">
        <v>2310</v>
      </c>
      <c r="J351" s="1705"/>
      <c r="K351" s="176"/>
      <c r="L351" s="5"/>
      <c r="M351" s="1175" t="s">
        <v>68</v>
      </c>
      <c r="N351" s="3" t="s">
        <v>2515</v>
      </c>
      <c r="O351" s="929" t="s">
        <v>269</v>
      </c>
      <c r="P351" s="927">
        <v>44526</v>
      </c>
      <c r="Q351" s="927">
        <v>44526</v>
      </c>
      <c r="R351" s="1012" t="s">
        <v>4220</v>
      </c>
      <c r="S351" s="933"/>
      <c r="T351" s="1534"/>
      <c r="U351" s="926"/>
    </row>
    <row r="352" spans="1:21" ht="40.5" customHeight="1">
      <c r="A352" s="926" t="s">
        <v>2476</v>
      </c>
      <c r="B352" s="927">
        <v>44526</v>
      </c>
      <c r="C352" s="926">
        <f t="shared" si="26"/>
        <v>1</v>
      </c>
      <c r="D352" s="926">
        <f t="shared" si="27"/>
        <v>6</v>
      </c>
      <c r="E352" s="926"/>
      <c r="F352" s="926">
        <f t="shared" si="25"/>
        <v>60</v>
      </c>
      <c r="G352" s="1013" t="s">
        <v>5275</v>
      </c>
      <c r="H352" s="929"/>
      <c r="I352" s="929" t="s">
        <v>2310</v>
      </c>
      <c r="J352" s="1705"/>
      <c r="K352" s="176"/>
      <c r="L352" s="5"/>
      <c r="M352" s="1175" t="s">
        <v>4713</v>
      </c>
      <c r="N352" s="3" t="s">
        <v>2515</v>
      </c>
      <c r="O352" s="929" t="s">
        <v>269</v>
      </c>
      <c r="P352" s="927">
        <v>44526</v>
      </c>
      <c r="Q352" s="927">
        <v>44526</v>
      </c>
      <c r="R352" s="1012" t="s">
        <v>4220</v>
      </c>
      <c r="S352" s="933"/>
      <c r="T352" s="1534"/>
      <c r="U352" s="926"/>
    </row>
    <row r="353" spans="1:21" ht="40.5" customHeight="1">
      <c r="A353" s="926" t="s">
        <v>2476</v>
      </c>
      <c r="B353" s="927">
        <v>44526</v>
      </c>
      <c r="C353" s="926">
        <f t="shared" si="26"/>
        <v>1</v>
      </c>
      <c r="D353" s="926">
        <f t="shared" si="27"/>
        <v>6</v>
      </c>
      <c r="E353" s="926"/>
      <c r="F353" s="926">
        <f t="shared" si="25"/>
        <v>61</v>
      </c>
      <c r="G353" s="1013" t="s">
        <v>5276</v>
      </c>
      <c r="H353" s="929"/>
      <c r="I353" s="929" t="s">
        <v>2310</v>
      </c>
      <c r="J353" s="1705"/>
      <c r="K353" s="176"/>
      <c r="L353" s="5"/>
      <c r="M353" s="1175" t="s">
        <v>2682</v>
      </c>
      <c r="N353" s="3" t="s">
        <v>2515</v>
      </c>
      <c r="O353" s="929" t="s">
        <v>269</v>
      </c>
      <c r="P353" s="927">
        <v>44526</v>
      </c>
      <c r="Q353" s="927">
        <v>44526</v>
      </c>
      <c r="R353" s="1012" t="s">
        <v>4220</v>
      </c>
      <c r="S353" s="933"/>
      <c r="T353" s="1534"/>
      <c r="U353" s="926"/>
    </row>
    <row r="354" spans="1:21" ht="40.5" customHeight="1">
      <c r="A354" s="926" t="s">
        <v>2476</v>
      </c>
      <c r="B354" s="927">
        <v>44526</v>
      </c>
      <c r="C354" s="926">
        <f t="shared" si="26"/>
        <v>1</v>
      </c>
      <c r="D354" s="926">
        <f t="shared" si="27"/>
        <v>6</v>
      </c>
      <c r="E354" s="926"/>
      <c r="F354" s="926">
        <f t="shared" si="25"/>
        <v>62</v>
      </c>
      <c r="G354" s="1013" t="s">
        <v>5277</v>
      </c>
      <c r="H354" s="929"/>
      <c r="I354" s="929" t="s">
        <v>2310</v>
      </c>
      <c r="J354" s="1705"/>
      <c r="K354" s="176"/>
      <c r="L354" s="5"/>
      <c r="M354" s="1175" t="s">
        <v>4651</v>
      </c>
      <c r="N354" s="3" t="s">
        <v>1976</v>
      </c>
      <c r="O354" s="929" t="s">
        <v>269</v>
      </c>
      <c r="P354" s="927">
        <v>44526</v>
      </c>
      <c r="Q354" s="927">
        <v>44526</v>
      </c>
      <c r="R354" s="1012" t="s">
        <v>4220</v>
      </c>
      <c r="S354" s="933"/>
      <c r="T354" s="1534"/>
      <c r="U354" s="926"/>
    </row>
    <row r="355" spans="1:21" ht="40.5" customHeight="1">
      <c r="A355" s="926" t="s">
        <v>2476</v>
      </c>
      <c r="B355" s="927">
        <v>44526</v>
      </c>
      <c r="C355" s="926">
        <f t="shared" si="26"/>
        <v>1</v>
      </c>
      <c r="D355" s="926">
        <f t="shared" si="27"/>
        <v>6</v>
      </c>
      <c r="E355" s="926"/>
      <c r="F355" s="926">
        <f t="shared" si="25"/>
        <v>63</v>
      </c>
      <c r="G355" s="1013" t="s">
        <v>5278</v>
      </c>
      <c r="H355" s="929"/>
      <c r="I355" s="929" t="s">
        <v>2310</v>
      </c>
      <c r="J355" s="1705"/>
      <c r="K355" s="176"/>
      <c r="L355" s="5"/>
      <c r="M355" s="1175" t="s">
        <v>5342</v>
      </c>
      <c r="N355" s="3" t="s">
        <v>1976</v>
      </c>
      <c r="O355" s="929" t="s">
        <v>269</v>
      </c>
      <c r="P355" s="927">
        <v>44526</v>
      </c>
      <c r="Q355" s="927">
        <v>44526</v>
      </c>
      <c r="R355" s="1012" t="s">
        <v>4220</v>
      </c>
      <c r="S355" s="933"/>
      <c r="T355" s="1534"/>
      <c r="U355" s="926"/>
    </row>
    <row r="356" spans="1:21" ht="73.5" customHeight="1">
      <c r="A356" s="926" t="s">
        <v>2476</v>
      </c>
      <c r="B356" s="927">
        <v>44526</v>
      </c>
      <c r="C356" s="926">
        <f t="shared" si="26"/>
        <v>1</v>
      </c>
      <c r="D356" s="926">
        <f t="shared" si="27"/>
        <v>6</v>
      </c>
      <c r="E356" s="926"/>
      <c r="F356" s="926">
        <f t="shared" si="25"/>
        <v>64</v>
      </c>
      <c r="G356" s="1013" t="s">
        <v>5279</v>
      </c>
      <c r="H356" s="929"/>
      <c r="I356" s="929" t="s">
        <v>2310</v>
      </c>
      <c r="J356" s="1705"/>
      <c r="K356" s="176"/>
      <c r="L356" s="5"/>
      <c r="M356" s="1175" t="s">
        <v>2589</v>
      </c>
      <c r="N356" s="3" t="s">
        <v>2524</v>
      </c>
      <c r="O356" s="929" t="s">
        <v>77</v>
      </c>
      <c r="P356" s="927">
        <v>44526</v>
      </c>
      <c r="Q356" s="927">
        <v>44526</v>
      </c>
      <c r="R356" s="1012" t="s">
        <v>4220</v>
      </c>
      <c r="S356" s="933"/>
      <c r="T356" s="1534"/>
      <c r="U356" s="926"/>
    </row>
    <row r="357" spans="1:21" ht="57.75" customHeight="1">
      <c r="A357" s="926" t="s">
        <v>2476</v>
      </c>
      <c r="B357" s="927">
        <v>44526</v>
      </c>
      <c r="C357" s="926">
        <f t="shared" si="26"/>
        <v>1</v>
      </c>
      <c r="D357" s="926">
        <f t="shared" si="27"/>
        <v>6</v>
      </c>
      <c r="E357" s="926"/>
      <c r="F357" s="926">
        <f t="shared" si="25"/>
        <v>65</v>
      </c>
      <c r="G357" s="1013" t="s">
        <v>5280</v>
      </c>
      <c r="H357" s="929"/>
      <c r="I357" s="929" t="s">
        <v>2310</v>
      </c>
      <c r="J357" s="1705"/>
      <c r="K357" s="176"/>
      <c r="L357" s="5"/>
      <c r="M357" s="1175" t="s">
        <v>4770</v>
      </c>
      <c r="N357" s="3" t="s">
        <v>2524</v>
      </c>
      <c r="O357" s="929" t="s">
        <v>77</v>
      </c>
      <c r="P357" s="927">
        <v>44526</v>
      </c>
      <c r="Q357" s="927">
        <v>44526</v>
      </c>
      <c r="R357" s="1012" t="s">
        <v>4220</v>
      </c>
      <c r="S357" s="933"/>
      <c r="T357" s="1534"/>
      <c r="U357" s="926"/>
    </row>
    <row r="358" spans="1:21" ht="40.5" customHeight="1">
      <c r="A358" s="926" t="s">
        <v>2476</v>
      </c>
      <c r="B358" s="927">
        <v>44526</v>
      </c>
      <c r="C358" s="926">
        <f t="shared" si="26"/>
        <v>1</v>
      </c>
      <c r="D358" s="926">
        <f t="shared" si="27"/>
        <v>6</v>
      </c>
      <c r="E358" s="926"/>
      <c r="F358" s="926">
        <f t="shared" ref="F358:F369" si="28">F357+1</f>
        <v>66</v>
      </c>
      <c r="G358" s="1013" t="s">
        <v>5283</v>
      </c>
      <c r="H358" s="929"/>
      <c r="I358" s="929" t="s">
        <v>2310</v>
      </c>
      <c r="J358" s="1705"/>
      <c r="K358" s="176"/>
      <c r="L358" s="5"/>
      <c r="M358" s="1175" t="s">
        <v>2535</v>
      </c>
      <c r="N358" s="3" t="s">
        <v>2524</v>
      </c>
      <c r="O358" s="929" t="s">
        <v>77</v>
      </c>
      <c r="P358" s="927">
        <v>44526</v>
      </c>
      <c r="Q358" s="927">
        <v>44526</v>
      </c>
      <c r="R358" s="1012" t="s">
        <v>4220</v>
      </c>
      <c r="S358" s="933"/>
      <c r="T358" s="1534"/>
      <c r="U358" s="926"/>
    </row>
    <row r="359" spans="1:21" ht="40.5" customHeight="1">
      <c r="A359" s="926" t="s">
        <v>2476</v>
      </c>
      <c r="B359" s="927">
        <v>44526</v>
      </c>
      <c r="C359" s="926">
        <f t="shared" si="26"/>
        <v>1</v>
      </c>
      <c r="D359" s="926">
        <f t="shared" si="27"/>
        <v>6</v>
      </c>
      <c r="E359" s="926"/>
      <c r="F359" s="926">
        <f t="shared" si="28"/>
        <v>67</v>
      </c>
      <c r="G359" s="1013" t="s">
        <v>5284</v>
      </c>
      <c r="H359" s="929"/>
      <c r="I359" s="929" t="s">
        <v>2310</v>
      </c>
      <c r="J359" s="1705"/>
      <c r="K359" s="176"/>
      <c r="L359" s="5"/>
      <c r="M359" s="1175" t="s">
        <v>68</v>
      </c>
      <c r="N359" s="3" t="s">
        <v>2613</v>
      </c>
      <c r="O359" s="929" t="s">
        <v>269</v>
      </c>
      <c r="P359" s="927">
        <v>44526</v>
      </c>
      <c r="Q359" s="927">
        <v>44526</v>
      </c>
      <c r="R359" s="1012" t="s">
        <v>4220</v>
      </c>
      <c r="S359" s="933"/>
      <c r="T359" s="1534"/>
      <c r="U359" s="926"/>
    </row>
    <row r="360" spans="1:21" ht="62.25" customHeight="1">
      <c r="A360" s="926" t="s">
        <v>2476</v>
      </c>
      <c r="B360" s="927">
        <v>44526</v>
      </c>
      <c r="C360" s="926">
        <f t="shared" ref="C360:C368" si="29">C359</f>
        <v>1</v>
      </c>
      <c r="D360" s="926">
        <f t="shared" si="27"/>
        <v>6</v>
      </c>
      <c r="E360" s="926"/>
      <c r="F360" s="926">
        <f t="shared" si="28"/>
        <v>68</v>
      </c>
      <c r="G360" s="1013" t="s">
        <v>5285</v>
      </c>
      <c r="H360" s="929"/>
      <c r="I360" s="929" t="s">
        <v>2310</v>
      </c>
      <c r="J360" s="1705"/>
      <c r="K360" s="176"/>
      <c r="L360" s="5"/>
      <c r="M360" s="1175" t="s">
        <v>3425</v>
      </c>
      <c r="N360" s="3" t="s">
        <v>2532</v>
      </c>
      <c r="O360" s="929" t="s">
        <v>269</v>
      </c>
      <c r="P360" s="927">
        <v>44526</v>
      </c>
      <c r="Q360" s="927">
        <v>44526</v>
      </c>
      <c r="R360" s="1012" t="s">
        <v>4220</v>
      </c>
      <c r="S360" s="933"/>
      <c r="T360" s="1534"/>
      <c r="U360" s="926"/>
    </row>
    <row r="361" spans="1:21" ht="65.25" customHeight="1">
      <c r="A361" s="926" t="s">
        <v>2476</v>
      </c>
      <c r="B361" s="927">
        <v>44526</v>
      </c>
      <c r="C361" s="926">
        <f t="shared" si="29"/>
        <v>1</v>
      </c>
      <c r="D361" s="926">
        <f t="shared" ref="D361:D371" si="30">D360</f>
        <v>6</v>
      </c>
      <c r="E361" s="926"/>
      <c r="F361" s="926">
        <f t="shared" si="28"/>
        <v>69</v>
      </c>
      <c r="G361" s="1013" t="s">
        <v>5286</v>
      </c>
      <c r="H361" s="929"/>
      <c r="I361" s="929" t="s">
        <v>2310</v>
      </c>
      <c r="J361" s="1705"/>
      <c r="K361" s="176"/>
      <c r="L361" s="5"/>
      <c r="M361" s="1175" t="s">
        <v>3425</v>
      </c>
      <c r="N361" s="3" t="s">
        <v>2532</v>
      </c>
      <c r="O361" s="929" t="s">
        <v>269</v>
      </c>
      <c r="P361" s="927">
        <v>44526</v>
      </c>
      <c r="Q361" s="927">
        <v>44526</v>
      </c>
      <c r="R361" s="1012" t="s">
        <v>4220</v>
      </c>
      <c r="S361" s="933"/>
      <c r="T361" s="1534"/>
      <c r="U361" s="926"/>
    </row>
    <row r="362" spans="1:21" ht="58.5" customHeight="1">
      <c r="A362" s="926" t="s">
        <v>2476</v>
      </c>
      <c r="B362" s="927">
        <v>44526</v>
      </c>
      <c r="C362" s="926">
        <f t="shared" si="29"/>
        <v>1</v>
      </c>
      <c r="D362" s="926">
        <f t="shared" si="30"/>
        <v>6</v>
      </c>
      <c r="E362" s="926"/>
      <c r="F362" s="926">
        <f t="shared" si="28"/>
        <v>70</v>
      </c>
      <c r="G362" s="1013" t="s">
        <v>5287</v>
      </c>
      <c r="H362" s="929"/>
      <c r="I362" s="929" t="s">
        <v>2310</v>
      </c>
      <c r="J362" s="1705"/>
      <c r="K362" s="176"/>
      <c r="L362" s="5"/>
      <c r="M362" s="1175" t="s">
        <v>2609</v>
      </c>
      <c r="N362" s="3" t="s">
        <v>5245</v>
      </c>
      <c r="O362" s="929" t="s">
        <v>77</v>
      </c>
      <c r="P362" s="927">
        <v>44526</v>
      </c>
      <c r="Q362" s="927">
        <v>44526</v>
      </c>
      <c r="R362" s="1012" t="s">
        <v>4220</v>
      </c>
      <c r="S362" s="933"/>
      <c r="T362" s="1534"/>
      <c r="U362" s="926"/>
    </row>
    <row r="363" spans="1:21" ht="40.5" customHeight="1">
      <c r="A363" s="926" t="s">
        <v>2476</v>
      </c>
      <c r="B363" s="927">
        <v>44526</v>
      </c>
      <c r="C363" s="926">
        <f t="shared" si="29"/>
        <v>1</v>
      </c>
      <c r="D363" s="926">
        <f t="shared" si="30"/>
        <v>6</v>
      </c>
      <c r="E363" s="926"/>
      <c r="F363" s="926">
        <f t="shared" si="28"/>
        <v>71</v>
      </c>
      <c r="G363" s="1013" t="s">
        <v>5288</v>
      </c>
      <c r="H363" s="929"/>
      <c r="I363" s="929" t="s">
        <v>2310</v>
      </c>
      <c r="J363" s="1705"/>
      <c r="K363" s="176"/>
      <c r="L363" s="5"/>
      <c r="M363" s="1175" t="s">
        <v>5343</v>
      </c>
      <c r="N363" s="3" t="s">
        <v>5245</v>
      </c>
      <c r="O363" s="929" t="s">
        <v>77</v>
      </c>
      <c r="P363" s="927">
        <v>44526</v>
      </c>
      <c r="Q363" s="927">
        <v>44526</v>
      </c>
      <c r="R363" s="1012" t="s">
        <v>4220</v>
      </c>
      <c r="S363" s="933"/>
      <c r="T363" s="1534"/>
      <c r="U363" s="926"/>
    </row>
    <row r="364" spans="1:21" ht="40.5" customHeight="1">
      <c r="A364" s="926" t="s">
        <v>2476</v>
      </c>
      <c r="B364" s="927">
        <v>44526</v>
      </c>
      <c r="C364" s="926">
        <f t="shared" si="29"/>
        <v>1</v>
      </c>
      <c r="D364" s="926">
        <f t="shared" si="30"/>
        <v>6</v>
      </c>
      <c r="E364" s="926"/>
      <c r="F364" s="926">
        <f t="shared" si="28"/>
        <v>72</v>
      </c>
      <c r="G364" s="1013" t="s">
        <v>5289</v>
      </c>
      <c r="H364" s="929"/>
      <c r="I364" s="929" t="s">
        <v>2310</v>
      </c>
      <c r="J364" s="1705"/>
      <c r="K364" s="176"/>
      <c r="L364" s="5"/>
      <c r="M364" s="1175" t="s">
        <v>2687</v>
      </c>
      <c r="N364" s="3" t="s">
        <v>5245</v>
      </c>
      <c r="O364" s="929" t="s">
        <v>269</v>
      </c>
      <c r="P364" s="927">
        <v>44526</v>
      </c>
      <c r="Q364" s="927">
        <v>44526</v>
      </c>
      <c r="R364" s="1012" t="s">
        <v>4220</v>
      </c>
      <c r="S364" s="933"/>
      <c r="T364" s="1534"/>
      <c r="U364" s="926"/>
    </row>
    <row r="365" spans="1:21" ht="40.5" customHeight="1">
      <c r="A365" s="926" t="s">
        <v>2476</v>
      </c>
      <c r="B365" s="927">
        <v>44526</v>
      </c>
      <c r="C365" s="926">
        <f t="shared" si="29"/>
        <v>1</v>
      </c>
      <c r="D365" s="926">
        <f t="shared" si="30"/>
        <v>6</v>
      </c>
      <c r="E365" s="926"/>
      <c r="F365" s="926">
        <f t="shared" si="28"/>
        <v>73</v>
      </c>
      <c r="G365" s="1013" t="s">
        <v>5290</v>
      </c>
      <c r="H365" s="929"/>
      <c r="I365" s="929" t="s">
        <v>2310</v>
      </c>
      <c r="J365" s="1705"/>
      <c r="K365" s="176"/>
      <c r="L365" s="5"/>
      <c r="M365" s="1175" t="s">
        <v>2606</v>
      </c>
      <c r="N365" s="3" t="s">
        <v>5245</v>
      </c>
      <c r="O365" s="929" t="s">
        <v>77</v>
      </c>
      <c r="P365" s="927">
        <v>44526</v>
      </c>
      <c r="Q365" s="927">
        <v>44526</v>
      </c>
      <c r="R365" s="1012" t="s">
        <v>4220</v>
      </c>
      <c r="S365" s="933"/>
      <c r="T365" s="1534"/>
      <c r="U365" s="926"/>
    </row>
    <row r="366" spans="1:21" ht="40.5" customHeight="1">
      <c r="A366" s="926" t="s">
        <v>2476</v>
      </c>
      <c r="B366" s="927">
        <v>44526</v>
      </c>
      <c r="C366" s="926">
        <f t="shared" si="29"/>
        <v>1</v>
      </c>
      <c r="D366" s="926">
        <f t="shared" si="30"/>
        <v>6</v>
      </c>
      <c r="E366" s="926"/>
      <c r="F366" s="926">
        <f t="shared" si="28"/>
        <v>74</v>
      </c>
      <c r="G366" s="1013" t="s">
        <v>5291</v>
      </c>
      <c r="H366" s="929"/>
      <c r="I366" s="929" t="s">
        <v>2310</v>
      </c>
      <c r="J366" s="1705"/>
      <c r="K366" s="176"/>
      <c r="L366" s="5"/>
      <c r="M366" s="1175" t="s">
        <v>2528</v>
      </c>
      <c r="N366" s="3" t="s">
        <v>5245</v>
      </c>
      <c r="O366" s="929" t="s">
        <v>269</v>
      </c>
      <c r="P366" s="927">
        <v>44526</v>
      </c>
      <c r="Q366" s="927">
        <v>44526</v>
      </c>
      <c r="R366" s="1012" t="s">
        <v>4220</v>
      </c>
      <c r="S366" s="933"/>
      <c r="T366" s="1534"/>
      <c r="U366" s="926"/>
    </row>
    <row r="367" spans="1:21" ht="40.5" customHeight="1">
      <c r="A367" s="926" t="s">
        <v>2476</v>
      </c>
      <c r="B367" s="927">
        <v>44526</v>
      </c>
      <c r="C367" s="926">
        <f t="shared" si="29"/>
        <v>1</v>
      </c>
      <c r="D367" s="926">
        <f t="shared" si="30"/>
        <v>6</v>
      </c>
      <c r="E367" s="926"/>
      <c r="F367" s="926">
        <f t="shared" si="28"/>
        <v>75</v>
      </c>
      <c r="G367" s="1013" t="s">
        <v>5292</v>
      </c>
      <c r="H367" s="929"/>
      <c r="I367" s="929" t="s">
        <v>2310</v>
      </c>
      <c r="J367" s="1705"/>
      <c r="K367" s="176"/>
      <c r="L367" s="5"/>
      <c r="M367" s="1175" t="s">
        <v>3419</v>
      </c>
      <c r="N367" s="3" t="s">
        <v>5245</v>
      </c>
      <c r="O367" s="929" t="s">
        <v>5220</v>
      </c>
      <c r="P367" s="927">
        <v>44526</v>
      </c>
      <c r="Q367" s="927">
        <v>44526</v>
      </c>
      <c r="R367" s="1012" t="s">
        <v>4220</v>
      </c>
      <c r="S367" s="933"/>
      <c r="T367" s="1534"/>
      <c r="U367" s="926"/>
    </row>
    <row r="368" spans="1:21" ht="40.5" customHeight="1">
      <c r="A368" s="926" t="s">
        <v>2476</v>
      </c>
      <c r="B368" s="927">
        <v>44526</v>
      </c>
      <c r="C368" s="926">
        <f t="shared" si="29"/>
        <v>1</v>
      </c>
      <c r="D368" s="926">
        <f t="shared" si="30"/>
        <v>6</v>
      </c>
      <c r="E368" s="926"/>
      <c r="F368" s="926">
        <f t="shared" si="28"/>
        <v>76</v>
      </c>
      <c r="G368" s="1013" t="s">
        <v>5293</v>
      </c>
      <c r="H368" s="929"/>
      <c r="I368" s="929" t="s">
        <v>2310</v>
      </c>
      <c r="J368" s="1705"/>
      <c r="K368" s="176"/>
      <c r="L368" s="5"/>
      <c r="M368" s="1175" t="s">
        <v>4683</v>
      </c>
      <c r="N368" s="3" t="s">
        <v>1975</v>
      </c>
      <c r="O368" s="929" t="s">
        <v>77</v>
      </c>
      <c r="P368" s="927">
        <v>44526</v>
      </c>
      <c r="Q368" s="927">
        <v>44526</v>
      </c>
      <c r="R368" s="1012" t="s">
        <v>4220</v>
      </c>
      <c r="S368" s="933"/>
      <c r="T368" s="1534"/>
      <c r="U368" s="926"/>
    </row>
    <row r="369" spans="1:21" ht="40.5" customHeight="1">
      <c r="A369" s="926" t="s">
        <v>2476</v>
      </c>
      <c r="B369" s="927">
        <v>44694</v>
      </c>
      <c r="C369" s="926">
        <v>2</v>
      </c>
      <c r="D369" s="926">
        <f t="shared" si="30"/>
        <v>6</v>
      </c>
      <c r="E369" s="510"/>
      <c r="F369" s="926">
        <f t="shared" si="28"/>
        <v>77</v>
      </c>
      <c r="G369" s="1013" t="s">
        <v>5105</v>
      </c>
      <c r="H369" s="929"/>
      <c r="I369" s="929"/>
      <c r="J369" s="1705"/>
      <c r="K369" s="176"/>
      <c r="L369" s="5"/>
      <c r="M369" s="1175" t="s">
        <v>5323</v>
      </c>
      <c r="N369" s="3" t="s">
        <v>5106</v>
      </c>
      <c r="O369" s="929" t="s">
        <v>5099</v>
      </c>
      <c r="P369" s="927">
        <v>44694</v>
      </c>
      <c r="Q369" s="927">
        <v>44694</v>
      </c>
      <c r="R369" s="1012" t="s">
        <v>4220</v>
      </c>
      <c r="S369" s="933"/>
      <c r="T369" s="1700"/>
      <c r="U369" s="926"/>
    </row>
    <row r="370" spans="1:21" ht="67.5" customHeight="1">
      <c r="A370" s="926" t="s">
        <v>2476</v>
      </c>
      <c r="B370" s="927">
        <v>44694</v>
      </c>
      <c r="C370" s="926">
        <v>2</v>
      </c>
      <c r="D370" s="926">
        <f t="shared" si="30"/>
        <v>6</v>
      </c>
      <c r="E370" s="510" t="s">
        <v>5047</v>
      </c>
      <c r="F370" s="926">
        <v>1</v>
      </c>
      <c r="G370" s="1013" t="s">
        <v>5125</v>
      </c>
      <c r="H370" s="929"/>
      <c r="I370" s="929" t="s">
        <v>551</v>
      </c>
      <c r="J370" s="1705"/>
      <c r="K370" s="176"/>
      <c r="L370" s="5"/>
      <c r="M370" s="1175" t="s">
        <v>5323</v>
      </c>
      <c r="N370" s="3" t="s">
        <v>1975</v>
      </c>
      <c r="O370" s="929" t="s">
        <v>5047</v>
      </c>
      <c r="P370" s="927">
        <v>44694</v>
      </c>
      <c r="Q370" s="927">
        <v>44694</v>
      </c>
      <c r="R370" s="1012" t="s">
        <v>4220</v>
      </c>
      <c r="S370" s="933"/>
      <c r="T370" s="1700"/>
      <c r="U370" s="926"/>
    </row>
    <row r="371" spans="1:21" ht="75" customHeight="1">
      <c r="A371" s="926" t="s">
        <v>2476</v>
      </c>
      <c r="B371" s="927">
        <v>44694</v>
      </c>
      <c r="C371" s="926">
        <v>2</v>
      </c>
      <c r="D371" s="926">
        <f t="shared" si="30"/>
        <v>6</v>
      </c>
      <c r="E371" s="510" t="s">
        <v>3439</v>
      </c>
      <c r="F371" s="926">
        <f t="shared" ref="F371:F376" si="31">F370+1</f>
        <v>2</v>
      </c>
      <c r="G371" s="1013" t="s">
        <v>5070</v>
      </c>
      <c r="H371" s="929"/>
      <c r="I371" s="929" t="s">
        <v>551</v>
      </c>
      <c r="J371" s="1705" t="s">
        <v>5789</v>
      </c>
      <c r="K371" s="176">
        <v>44222</v>
      </c>
      <c r="L371" s="5">
        <v>44377</v>
      </c>
      <c r="M371" s="1175" t="s">
        <v>5778</v>
      </c>
      <c r="N371" s="3" t="s">
        <v>2604</v>
      </c>
      <c r="O371" s="929" t="s">
        <v>166</v>
      </c>
      <c r="P371" s="927">
        <v>44694</v>
      </c>
      <c r="Q371" s="927">
        <v>44694</v>
      </c>
      <c r="R371" s="1012" t="s">
        <v>4220</v>
      </c>
      <c r="S371" s="933"/>
      <c r="T371" s="1700" t="s">
        <v>5779</v>
      </c>
      <c r="U371" s="926"/>
    </row>
    <row r="372" spans="1:21" ht="40.5" customHeight="1">
      <c r="A372" s="926" t="s">
        <v>2476</v>
      </c>
      <c r="B372" s="927">
        <v>44526</v>
      </c>
      <c r="C372" s="926">
        <f t="shared" ref="C372:C389" si="32">C371</f>
        <v>2</v>
      </c>
      <c r="D372" s="926">
        <f t="shared" ref="D372:D389" si="33">D371</f>
        <v>6</v>
      </c>
      <c r="E372" s="926"/>
      <c r="F372" s="926">
        <f t="shared" si="31"/>
        <v>3</v>
      </c>
      <c r="G372" s="1013" t="s">
        <v>5296</v>
      </c>
      <c r="H372" s="929"/>
      <c r="I372" s="929" t="s">
        <v>2310</v>
      </c>
      <c r="J372" s="1705"/>
      <c r="K372" s="176"/>
      <c r="L372" s="5"/>
      <c r="M372" s="1175" t="s">
        <v>5344</v>
      </c>
      <c r="N372" s="3" t="s">
        <v>1975</v>
      </c>
      <c r="O372" s="929" t="s">
        <v>166</v>
      </c>
      <c r="P372" s="927">
        <v>44526</v>
      </c>
      <c r="Q372" s="927">
        <v>44526</v>
      </c>
      <c r="R372" s="1012" t="s">
        <v>4220</v>
      </c>
      <c r="S372" s="933"/>
      <c r="T372" s="1534"/>
      <c r="U372" s="926"/>
    </row>
    <row r="373" spans="1:21" ht="40.5" customHeight="1">
      <c r="A373" s="926" t="s">
        <v>2476</v>
      </c>
      <c r="B373" s="927">
        <v>44526</v>
      </c>
      <c r="C373" s="926">
        <f t="shared" si="32"/>
        <v>2</v>
      </c>
      <c r="D373" s="926">
        <f t="shared" si="33"/>
        <v>6</v>
      </c>
      <c r="E373" s="935" t="s">
        <v>4736</v>
      </c>
      <c r="F373" s="926">
        <f t="shared" si="31"/>
        <v>4</v>
      </c>
      <c r="G373" s="1013" t="s">
        <v>5297</v>
      </c>
      <c r="H373" s="929"/>
      <c r="I373" s="929" t="s">
        <v>551</v>
      </c>
      <c r="J373" s="1705"/>
      <c r="K373" s="176"/>
      <c r="L373" s="5"/>
      <c r="M373" s="1175" t="s">
        <v>4098</v>
      </c>
      <c r="N373" s="3" t="s">
        <v>5282</v>
      </c>
      <c r="O373" s="929" t="s">
        <v>166</v>
      </c>
      <c r="P373" s="927">
        <v>44526</v>
      </c>
      <c r="Q373" s="927">
        <v>44526</v>
      </c>
      <c r="R373" s="1012" t="s">
        <v>4220</v>
      </c>
      <c r="S373" s="933"/>
      <c r="T373" s="1700"/>
      <c r="U373" s="926"/>
    </row>
    <row r="374" spans="1:21" ht="63.75" customHeight="1">
      <c r="A374" s="926" t="s">
        <v>2476</v>
      </c>
      <c r="B374" s="927">
        <v>44526</v>
      </c>
      <c r="C374" s="926">
        <f t="shared" si="32"/>
        <v>2</v>
      </c>
      <c r="D374" s="926">
        <f t="shared" si="33"/>
        <v>6</v>
      </c>
      <c r="E374" s="926"/>
      <c r="F374" s="926">
        <f t="shared" si="31"/>
        <v>5</v>
      </c>
      <c r="G374" s="1013" t="s">
        <v>5298</v>
      </c>
      <c r="H374" s="929"/>
      <c r="I374" s="929" t="s">
        <v>2310</v>
      </c>
      <c r="J374" s="1705"/>
      <c r="K374" s="176"/>
      <c r="L374" s="5"/>
      <c r="M374" s="1175" t="s">
        <v>4687</v>
      </c>
      <c r="N374" s="3" t="s">
        <v>1975</v>
      </c>
      <c r="O374" s="929" t="s">
        <v>4735</v>
      </c>
      <c r="P374" s="927">
        <v>44526</v>
      </c>
      <c r="Q374" s="927">
        <v>44526</v>
      </c>
      <c r="R374" s="1012" t="s">
        <v>4220</v>
      </c>
      <c r="S374" s="933"/>
      <c r="T374" s="1534"/>
      <c r="U374" s="926"/>
    </row>
    <row r="375" spans="1:21" ht="66" customHeight="1">
      <c r="A375" s="926" t="s">
        <v>2476</v>
      </c>
      <c r="B375" s="927">
        <v>44526</v>
      </c>
      <c r="C375" s="926">
        <f t="shared" si="32"/>
        <v>2</v>
      </c>
      <c r="D375" s="926">
        <f t="shared" si="33"/>
        <v>6</v>
      </c>
      <c r="E375" s="926"/>
      <c r="F375" s="926">
        <f t="shared" si="31"/>
        <v>6</v>
      </c>
      <c r="G375" s="1013" t="s">
        <v>5299</v>
      </c>
      <c r="H375" s="929"/>
      <c r="I375" s="929" t="s">
        <v>2310</v>
      </c>
      <c r="J375" s="1705"/>
      <c r="K375" s="176"/>
      <c r="L375" s="5"/>
      <c r="M375" s="1175" t="s">
        <v>5345</v>
      </c>
      <c r="N375" s="3" t="s">
        <v>1975</v>
      </c>
      <c r="O375" s="929" t="s">
        <v>4735</v>
      </c>
      <c r="P375" s="927">
        <v>44526</v>
      </c>
      <c r="Q375" s="927">
        <v>44526</v>
      </c>
      <c r="R375" s="1012" t="s">
        <v>4220</v>
      </c>
      <c r="S375" s="933"/>
      <c r="T375" s="1534"/>
      <c r="U375" s="926"/>
    </row>
    <row r="376" spans="1:21" ht="72.75" customHeight="1">
      <c r="A376" s="926" t="s">
        <v>2476</v>
      </c>
      <c r="B376" s="927">
        <v>44526</v>
      </c>
      <c r="C376" s="926">
        <f t="shared" si="32"/>
        <v>2</v>
      </c>
      <c r="D376" s="926">
        <f t="shared" si="33"/>
        <v>6</v>
      </c>
      <c r="E376" s="935" t="s">
        <v>4048</v>
      </c>
      <c r="F376" s="926">
        <f t="shared" si="31"/>
        <v>7</v>
      </c>
      <c r="G376" s="1013" t="s">
        <v>5300</v>
      </c>
      <c r="H376" s="929"/>
      <c r="I376" s="929" t="s">
        <v>551</v>
      </c>
      <c r="J376" s="1705" t="s">
        <v>5789</v>
      </c>
      <c r="K376" s="176">
        <v>44438</v>
      </c>
      <c r="L376" s="177">
        <v>44464</v>
      </c>
      <c r="M376" s="1175" t="s">
        <v>4073</v>
      </c>
      <c r="N376" s="3" t="s">
        <v>2538</v>
      </c>
      <c r="O376" s="929" t="s">
        <v>4735</v>
      </c>
      <c r="P376" s="927">
        <v>44526</v>
      </c>
      <c r="Q376" s="927">
        <v>44526</v>
      </c>
      <c r="R376" s="1012" t="s">
        <v>4220</v>
      </c>
      <c r="S376" s="933"/>
      <c r="T376" s="1700"/>
      <c r="U376" s="926"/>
    </row>
    <row r="377" spans="1:21" ht="60" customHeight="1">
      <c r="A377" s="926" t="s">
        <v>2476</v>
      </c>
      <c r="B377" s="927">
        <v>44526</v>
      </c>
      <c r="C377" s="926">
        <f t="shared" si="32"/>
        <v>2</v>
      </c>
      <c r="D377" s="926">
        <f t="shared" si="33"/>
        <v>6</v>
      </c>
      <c r="E377" s="926"/>
      <c r="F377" s="926">
        <f t="shared" ref="F377:F386" si="34">F376+1</f>
        <v>8</v>
      </c>
      <c r="G377" s="1013" t="s">
        <v>5301</v>
      </c>
      <c r="H377" s="929"/>
      <c r="I377" s="929" t="s">
        <v>2310</v>
      </c>
      <c r="J377" s="1705"/>
      <c r="K377" s="176"/>
      <c r="L377" s="5"/>
      <c r="M377" s="1175" t="s">
        <v>4697</v>
      </c>
      <c r="N377" s="3" t="s">
        <v>2538</v>
      </c>
      <c r="O377" s="929" t="s">
        <v>4735</v>
      </c>
      <c r="P377" s="927">
        <v>44526</v>
      </c>
      <c r="Q377" s="927">
        <v>44526</v>
      </c>
      <c r="R377" s="1012" t="s">
        <v>4220</v>
      </c>
      <c r="S377" s="933"/>
      <c r="T377" s="1534"/>
      <c r="U377" s="926"/>
    </row>
    <row r="378" spans="1:21" ht="63" customHeight="1">
      <c r="A378" s="926" t="s">
        <v>2476</v>
      </c>
      <c r="B378" s="927">
        <v>44526</v>
      </c>
      <c r="C378" s="926">
        <f t="shared" si="32"/>
        <v>2</v>
      </c>
      <c r="D378" s="926">
        <f t="shared" si="33"/>
        <v>6</v>
      </c>
      <c r="E378" s="935" t="s">
        <v>4049</v>
      </c>
      <c r="F378" s="926">
        <f t="shared" si="34"/>
        <v>9</v>
      </c>
      <c r="G378" s="1013" t="s">
        <v>5302</v>
      </c>
      <c r="H378" s="929"/>
      <c r="I378" s="929" t="s">
        <v>551</v>
      </c>
      <c r="J378" s="1705" t="s">
        <v>5789</v>
      </c>
      <c r="K378" s="176">
        <v>44438</v>
      </c>
      <c r="L378" s="5">
        <v>44452</v>
      </c>
      <c r="M378" s="1175" t="s">
        <v>4699</v>
      </c>
      <c r="N378" s="3" t="s">
        <v>2512</v>
      </c>
      <c r="O378" s="929" t="s">
        <v>4735</v>
      </c>
      <c r="P378" s="927">
        <v>44526</v>
      </c>
      <c r="Q378" s="927">
        <v>44526</v>
      </c>
      <c r="R378" s="1012" t="s">
        <v>4220</v>
      </c>
      <c r="S378" s="933"/>
      <c r="T378" s="1700"/>
      <c r="U378" s="926"/>
    </row>
    <row r="379" spans="1:21" ht="55.5" customHeight="1">
      <c r="A379" s="926" t="s">
        <v>2476</v>
      </c>
      <c r="B379" s="927">
        <v>44526</v>
      </c>
      <c r="C379" s="926">
        <f t="shared" si="32"/>
        <v>2</v>
      </c>
      <c r="D379" s="926">
        <f t="shared" si="33"/>
        <v>6</v>
      </c>
      <c r="E379" s="935" t="s">
        <v>4049</v>
      </c>
      <c r="F379" s="926">
        <f t="shared" si="34"/>
        <v>10</v>
      </c>
      <c r="G379" s="1013" t="s">
        <v>5303</v>
      </c>
      <c r="H379" s="929"/>
      <c r="I379" s="929" t="s">
        <v>551</v>
      </c>
      <c r="J379" s="1705" t="s">
        <v>5789</v>
      </c>
      <c r="K379" s="176">
        <v>44438</v>
      </c>
      <c r="L379" s="5">
        <v>44452</v>
      </c>
      <c r="M379" s="1175" t="s">
        <v>4075</v>
      </c>
      <c r="N379" s="3" t="s">
        <v>2512</v>
      </c>
      <c r="O379" s="929" t="s">
        <v>4735</v>
      </c>
      <c r="P379" s="927">
        <v>44526</v>
      </c>
      <c r="Q379" s="927">
        <v>44526</v>
      </c>
      <c r="R379" s="1012" t="s">
        <v>4220</v>
      </c>
      <c r="S379" s="933"/>
      <c r="T379" s="1700"/>
      <c r="U379" s="926"/>
    </row>
    <row r="380" spans="1:21" ht="58.5" customHeight="1">
      <c r="A380" s="926" t="s">
        <v>2476</v>
      </c>
      <c r="B380" s="927">
        <v>44526</v>
      </c>
      <c r="C380" s="926">
        <f t="shared" si="32"/>
        <v>2</v>
      </c>
      <c r="D380" s="926">
        <f t="shared" si="33"/>
        <v>6</v>
      </c>
      <c r="E380" s="935" t="s">
        <v>4049</v>
      </c>
      <c r="F380" s="926">
        <f t="shared" si="34"/>
        <v>11</v>
      </c>
      <c r="G380" s="1013" t="s">
        <v>4701</v>
      </c>
      <c r="H380" s="929"/>
      <c r="I380" s="929" t="s">
        <v>551</v>
      </c>
      <c r="J380" s="1705" t="s">
        <v>5789</v>
      </c>
      <c r="K380" s="176">
        <v>44438</v>
      </c>
      <c r="L380" s="5">
        <v>44452</v>
      </c>
      <c r="M380" s="1175" t="s">
        <v>3143</v>
      </c>
      <c r="N380" s="3" t="s">
        <v>2512</v>
      </c>
      <c r="O380" s="929" t="s">
        <v>4735</v>
      </c>
      <c r="P380" s="927">
        <v>44526</v>
      </c>
      <c r="Q380" s="927">
        <v>44526</v>
      </c>
      <c r="R380" s="1012" t="s">
        <v>4220</v>
      </c>
      <c r="S380" s="933"/>
      <c r="T380" s="1700"/>
      <c r="U380" s="926"/>
    </row>
    <row r="381" spans="1:21" ht="65.25" customHeight="1">
      <c r="A381" s="926" t="s">
        <v>2476</v>
      </c>
      <c r="B381" s="927">
        <v>44526</v>
      </c>
      <c r="C381" s="926">
        <f t="shared" si="32"/>
        <v>2</v>
      </c>
      <c r="D381" s="926">
        <f t="shared" si="33"/>
        <v>6</v>
      </c>
      <c r="E381" s="935" t="s">
        <v>4050</v>
      </c>
      <c r="F381" s="926">
        <f t="shared" si="34"/>
        <v>12</v>
      </c>
      <c r="G381" s="1013" t="s">
        <v>5304</v>
      </c>
      <c r="H381" s="929"/>
      <c r="I381" s="929" t="s">
        <v>551</v>
      </c>
      <c r="J381" s="1705" t="s">
        <v>5789</v>
      </c>
      <c r="K381" s="176">
        <v>44466</v>
      </c>
      <c r="L381" s="5">
        <v>44541</v>
      </c>
      <c r="M381" s="1175" t="s">
        <v>3425</v>
      </c>
      <c r="N381" s="3" t="s">
        <v>2524</v>
      </c>
      <c r="O381" s="929" t="s">
        <v>4735</v>
      </c>
      <c r="P381" s="927">
        <v>44526</v>
      </c>
      <c r="Q381" s="927">
        <v>44526</v>
      </c>
      <c r="R381" s="1012" t="s">
        <v>4220</v>
      </c>
      <c r="S381" s="933"/>
      <c r="T381" s="1700"/>
      <c r="U381" s="926"/>
    </row>
    <row r="382" spans="1:21" ht="65.25" customHeight="1">
      <c r="A382" s="926" t="s">
        <v>2476</v>
      </c>
      <c r="B382" s="927">
        <v>44526</v>
      </c>
      <c r="C382" s="926">
        <f t="shared" si="32"/>
        <v>2</v>
      </c>
      <c r="D382" s="926">
        <f t="shared" si="33"/>
        <v>6</v>
      </c>
      <c r="E382" s="935" t="s">
        <v>4050</v>
      </c>
      <c r="F382" s="926">
        <f t="shared" si="34"/>
        <v>13</v>
      </c>
      <c r="G382" s="1013" t="s">
        <v>5305</v>
      </c>
      <c r="H382" s="929"/>
      <c r="I382" s="929" t="s">
        <v>551</v>
      </c>
      <c r="J382" s="1705" t="s">
        <v>5789</v>
      </c>
      <c r="K382" s="176">
        <v>44466</v>
      </c>
      <c r="L382" s="5">
        <v>44541</v>
      </c>
      <c r="M382" s="1175" t="s">
        <v>2714</v>
      </c>
      <c r="N382" s="3" t="s">
        <v>2524</v>
      </c>
      <c r="O382" s="929" t="s">
        <v>4735</v>
      </c>
      <c r="P382" s="927">
        <v>44526</v>
      </c>
      <c r="Q382" s="927">
        <v>44526</v>
      </c>
      <c r="R382" s="1012" t="s">
        <v>4220</v>
      </c>
      <c r="S382" s="933"/>
      <c r="T382" s="1700"/>
      <c r="U382" s="926"/>
    </row>
    <row r="383" spans="1:21" ht="62.25" customHeight="1">
      <c r="A383" s="926" t="s">
        <v>2476</v>
      </c>
      <c r="B383" s="927">
        <v>44526</v>
      </c>
      <c r="C383" s="926">
        <f t="shared" si="32"/>
        <v>2</v>
      </c>
      <c r="D383" s="926">
        <f t="shared" si="33"/>
        <v>6</v>
      </c>
      <c r="E383" s="935" t="s">
        <v>4050</v>
      </c>
      <c r="F383" s="926">
        <f t="shared" si="34"/>
        <v>14</v>
      </c>
      <c r="G383" s="1013" t="s">
        <v>5306</v>
      </c>
      <c r="H383" s="929"/>
      <c r="I383" s="929" t="s">
        <v>551</v>
      </c>
      <c r="J383" s="1705" t="s">
        <v>5789</v>
      </c>
      <c r="K383" s="176">
        <v>44466</v>
      </c>
      <c r="L383" s="5">
        <v>44541</v>
      </c>
      <c r="M383" s="1175" t="s">
        <v>2703</v>
      </c>
      <c r="N383" s="3" t="s">
        <v>2524</v>
      </c>
      <c r="O383" s="929" t="s">
        <v>4735</v>
      </c>
      <c r="P383" s="927">
        <v>44526</v>
      </c>
      <c r="Q383" s="927">
        <v>44526</v>
      </c>
      <c r="R383" s="1012" t="s">
        <v>4220</v>
      </c>
      <c r="S383" s="933"/>
      <c r="T383" s="1700"/>
      <c r="U383" s="926"/>
    </row>
    <row r="384" spans="1:21" ht="55.5" customHeight="1">
      <c r="A384" s="926" t="s">
        <v>2476</v>
      </c>
      <c r="B384" s="927">
        <v>44526</v>
      </c>
      <c r="C384" s="926">
        <f t="shared" si="32"/>
        <v>2</v>
      </c>
      <c r="D384" s="926">
        <f t="shared" si="33"/>
        <v>6</v>
      </c>
      <c r="E384" s="935" t="s">
        <v>4050</v>
      </c>
      <c r="F384" s="926">
        <f t="shared" si="34"/>
        <v>15</v>
      </c>
      <c r="G384" s="1013" t="s">
        <v>5307</v>
      </c>
      <c r="H384" s="929"/>
      <c r="I384" s="929" t="s">
        <v>551</v>
      </c>
      <c r="J384" s="1705" t="s">
        <v>5789</v>
      </c>
      <c r="K384" s="176">
        <v>44466</v>
      </c>
      <c r="L384" s="5">
        <v>44541</v>
      </c>
      <c r="M384" s="1175" t="s">
        <v>4729</v>
      </c>
      <c r="N384" s="3" t="s">
        <v>2524</v>
      </c>
      <c r="O384" s="929" t="s">
        <v>4735</v>
      </c>
      <c r="P384" s="927">
        <v>44526</v>
      </c>
      <c r="Q384" s="927">
        <v>44526</v>
      </c>
      <c r="R384" s="1012" t="s">
        <v>4220</v>
      </c>
      <c r="S384" s="933"/>
      <c r="T384" s="1700"/>
      <c r="U384" s="926"/>
    </row>
    <row r="385" spans="1:21" ht="60" customHeight="1">
      <c r="A385" s="926" t="s">
        <v>2476</v>
      </c>
      <c r="B385" s="927">
        <v>44526</v>
      </c>
      <c r="C385" s="926">
        <f t="shared" si="32"/>
        <v>2</v>
      </c>
      <c r="D385" s="926">
        <f t="shared" si="33"/>
        <v>6</v>
      </c>
      <c r="E385" s="935" t="s">
        <v>4051</v>
      </c>
      <c r="F385" s="926">
        <f t="shared" si="34"/>
        <v>16</v>
      </c>
      <c r="G385" s="1013" t="s">
        <v>5308</v>
      </c>
      <c r="H385" s="929"/>
      <c r="I385" s="929" t="s">
        <v>551</v>
      </c>
      <c r="J385" s="1705" t="s">
        <v>5789</v>
      </c>
      <c r="K385" s="176">
        <v>44438</v>
      </c>
      <c r="L385" s="5">
        <v>44492</v>
      </c>
      <c r="M385" s="1175" t="s">
        <v>2488</v>
      </c>
      <c r="N385" s="3" t="s">
        <v>2577</v>
      </c>
      <c r="O385" s="929" t="s">
        <v>4735</v>
      </c>
      <c r="P385" s="927">
        <v>44526</v>
      </c>
      <c r="Q385" s="927">
        <v>44526</v>
      </c>
      <c r="R385" s="1012" t="s">
        <v>4220</v>
      </c>
      <c r="S385" s="933"/>
      <c r="T385" s="1700"/>
      <c r="U385" s="926"/>
    </row>
    <row r="386" spans="1:21" ht="72" customHeight="1">
      <c r="A386" s="926" t="s">
        <v>2476</v>
      </c>
      <c r="B386" s="927">
        <v>44526</v>
      </c>
      <c r="C386" s="926">
        <f t="shared" si="32"/>
        <v>2</v>
      </c>
      <c r="D386" s="926">
        <f t="shared" si="33"/>
        <v>6</v>
      </c>
      <c r="E386" s="935" t="s">
        <v>4051</v>
      </c>
      <c r="F386" s="926">
        <f t="shared" si="34"/>
        <v>17</v>
      </c>
      <c r="G386" s="1013" t="s">
        <v>5309</v>
      </c>
      <c r="H386" s="929"/>
      <c r="I386" s="929" t="s">
        <v>551</v>
      </c>
      <c r="J386" s="1705" t="s">
        <v>5789</v>
      </c>
      <c r="K386" s="176">
        <v>44438</v>
      </c>
      <c r="L386" s="5">
        <v>44492</v>
      </c>
      <c r="M386" s="1175" t="s">
        <v>4710</v>
      </c>
      <c r="N386" s="3" t="s">
        <v>2577</v>
      </c>
      <c r="O386" s="929" t="s">
        <v>4735</v>
      </c>
      <c r="P386" s="927">
        <v>44526</v>
      </c>
      <c r="Q386" s="927">
        <v>44526</v>
      </c>
      <c r="R386" s="1012" t="s">
        <v>4220</v>
      </c>
      <c r="S386" s="933"/>
      <c r="T386" s="1700"/>
      <c r="U386" s="926"/>
    </row>
    <row r="387" spans="1:21" ht="60.75" customHeight="1">
      <c r="A387" s="926" t="s">
        <v>2476</v>
      </c>
      <c r="B387" s="927">
        <v>44526</v>
      </c>
      <c r="C387" s="926">
        <f t="shared" si="32"/>
        <v>2</v>
      </c>
      <c r="D387" s="926">
        <f t="shared" si="33"/>
        <v>6</v>
      </c>
      <c r="E387" s="935" t="s">
        <v>4052</v>
      </c>
      <c r="F387" s="926">
        <f>F386+1</f>
        <v>18</v>
      </c>
      <c r="G387" s="1013" t="s">
        <v>5310</v>
      </c>
      <c r="H387" s="929"/>
      <c r="I387" s="929" t="s">
        <v>551</v>
      </c>
      <c r="J387" s="1705" t="s">
        <v>5789</v>
      </c>
      <c r="K387" s="176">
        <v>44487</v>
      </c>
      <c r="L387" s="5">
        <v>44541</v>
      </c>
      <c r="M387" s="1175" t="s">
        <v>5346</v>
      </c>
      <c r="N387" s="3" t="s">
        <v>2663</v>
      </c>
      <c r="O387" s="929" t="s">
        <v>4735</v>
      </c>
      <c r="P387" s="927">
        <v>44526</v>
      </c>
      <c r="Q387" s="927">
        <v>44526</v>
      </c>
      <c r="R387" s="1012" t="s">
        <v>4220</v>
      </c>
      <c r="S387" s="933"/>
      <c r="T387" s="1700"/>
      <c r="U387" s="926"/>
    </row>
    <row r="388" spans="1:21" ht="57.75" customHeight="1">
      <c r="A388" s="926" t="s">
        <v>2476</v>
      </c>
      <c r="B388" s="927">
        <v>44526</v>
      </c>
      <c r="C388" s="926">
        <f t="shared" si="32"/>
        <v>2</v>
      </c>
      <c r="D388" s="926">
        <f t="shared" si="33"/>
        <v>6</v>
      </c>
      <c r="E388" s="935" t="s">
        <v>4053</v>
      </c>
      <c r="F388" s="926">
        <f>F387+1</f>
        <v>19</v>
      </c>
      <c r="G388" s="1013" t="s">
        <v>5311</v>
      </c>
      <c r="H388" s="929"/>
      <c r="I388" s="929" t="s">
        <v>551</v>
      </c>
      <c r="J388" s="1705" t="s">
        <v>5789</v>
      </c>
      <c r="K388" s="176">
        <v>44513</v>
      </c>
      <c r="L388" s="5">
        <v>44541</v>
      </c>
      <c r="M388" s="1175" t="s">
        <v>3146</v>
      </c>
      <c r="N388" s="3" t="s">
        <v>2515</v>
      </c>
      <c r="O388" s="929" t="s">
        <v>4735</v>
      </c>
      <c r="P388" s="927">
        <v>44526</v>
      </c>
      <c r="Q388" s="927">
        <v>44526</v>
      </c>
      <c r="R388" s="1012" t="s">
        <v>4220</v>
      </c>
      <c r="S388" s="933"/>
      <c r="T388" s="1700"/>
      <c r="U388" s="926"/>
    </row>
    <row r="389" spans="1:21" ht="40.5" customHeight="1">
      <c r="A389" s="926" t="s">
        <v>2476</v>
      </c>
      <c r="B389" s="927">
        <v>44526</v>
      </c>
      <c r="C389" s="926">
        <f t="shared" si="32"/>
        <v>2</v>
      </c>
      <c r="D389" s="926">
        <f t="shared" si="33"/>
        <v>6</v>
      </c>
      <c r="E389" s="935" t="s">
        <v>3606</v>
      </c>
      <c r="F389" s="926">
        <f>F388+1</f>
        <v>20</v>
      </c>
      <c r="G389" s="1013" t="s">
        <v>5312</v>
      </c>
      <c r="H389" s="929"/>
      <c r="I389" s="929" t="s">
        <v>551</v>
      </c>
      <c r="J389" s="1705" t="s">
        <v>5788</v>
      </c>
      <c r="K389" s="176"/>
      <c r="L389" s="5"/>
      <c r="M389" s="1175" t="s">
        <v>2479</v>
      </c>
      <c r="N389" s="3" t="s">
        <v>1975</v>
      </c>
      <c r="O389" s="929" t="s">
        <v>166</v>
      </c>
      <c r="P389" s="927">
        <v>44526</v>
      </c>
      <c r="Q389" s="927">
        <v>44526</v>
      </c>
      <c r="R389" s="1012" t="s">
        <v>4220</v>
      </c>
      <c r="S389" s="933"/>
      <c r="T389" s="1700"/>
      <c r="U389" s="926"/>
    </row>
    <row r="390" spans="1:21" ht="40.5" customHeight="1">
      <c r="A390" s="926" t="s">
        <v>2476</v>
      </c>
      <c r="B390" s="927">
        <v>44364</v>
      </c>
      <c r="C390" s="926">
        <v>9</v>
      </c>
      <c r="D390" s="926">
        <v>3</v>
      </c>
      <c r="E390" s="935" t="s">
        <v>3446</v>
      </c>
      <c r="F390" s="926">
        <v>1</v>
      </c>
      <c r="G390" s="1013" t="s">
        <v>4622</v>
      </c>
      <c r="H390" s="929"/>
      <c r="I390" s="929" t="s">
        <v>551</v>
      </c>
      <c r="J390" s="1705" t="s">
        <v>5788</v>
      </c>
      <c r="K390" s="176">
        <v>44231</v>
      </c>
      <c r="L390" s="5">
        <v>44377</v>
      </c>
      <c r="M390" s="1175" t="s">
        <v>2488</v>
      </c>
      <c r="N390" s="3" t="s">
        <v>2577</v>
      </c>
      <c r="O390" s="929" t="s">
        <v>166</v>
      </c>
      <c r="P390" s="927">
        <v>44364</v>
      </c>
      <c r="Q390" s="927">
        <v>44364</v>
      </c>
      <c r="R390" s="1012" t="s">
        <v>4220</v>
      </c>
      <c r="S390" s="933"/>
      <c r="T390" s="1700"/>
      <c r="U390" s="926"/>
    </row>
    <row r="391" spans="1:21" ht="40.5" customHeight="1">
      <c r="A391" s="926" t="s">
        <v>2476</v>
      </c>
      <c r="B391" s="927">
        <v>44364</v>
      </c>
      <c r="C391" s="926">
        <v>9</v>
      </c>
      <c r="D391" s="926">
        <v>3</v>
      </c>
      <c r="E391" s="935" t="s">
        <v>3448</v>
      </c>
      <c r="F391" s="926">
        <f>F390+1</f>
        <v>2</v>
      </c>
      <c r="G391" s="1013" t="s">
        <v>4623</v>
      </c>
      <c r="H391" s="929"/>
      <c r="I391" s="929" t="s">
        <v>551</v>
      </c>
      <c r="J391" s="1705" t="s">
        <v>5788</v>
      </c>
      <c r="K391" s="176">
        <v>44242</v>
      </c>
      <c r="L391" s="5">
        <v>44270</v>
      </c>
      <c r="M391" s="1175" t="s">
        <v>2488</v>
      </c>
      <c r="N391" s="3" t="s">
        <v>2577</v>
      </c>
      <c r="O391" s="929" t="s">
        <v>166</v>
      </c>
      <c r="P391" s="927">
        <v>44364</v>
      </c>
      <c r="Q391" s="927">
        <v>44364</v>
      </c>
      <c r="R391" s="1012" t="s">
        <v>4220</v>
      </c>
      <c r="S391" s="933"/>
      <c r="T391" s="1700"/>
      <c r="U391" s="926"/>
    </row>
    <row r="392" spans="1:21" ht="40.5" customHeight="1">
      <c r="A392" s="926" t="s">
        <v>2476</v>
      </c>
      <c r="B392" s="927">
        <v>44364</v>
      </c>
      <c r="C392" s="926">
        <v>9</v>
      </c>
      <c r="D392" s="926">
        <v>3</v>
      </c>
      <c r="E392" s="935" t="s">
        <v>3450</v>
      </c>
      <c r="F392" s="926">
        <f t="shared" ref="F392:F455" si="35">F391+1</f>
        <v>3</v>
      </c>
      <c r="G392" s="1013" t="s">
        <v>4624</v>
      </c>
      <c r="H392" s="929"/>
      <c r="I392" s="929" t="s">
        <v>551</v>
      </c>
      <c r="J392" s="1705" t="s">
        <v>5788</v>
      </c>
      <c r="K392" s="176">
        <v>44271</v>
      </c>
      <c r="L392" s="5">
        <v>44275</v>
      </c>
      <c r="M392" s="1175" t="s">
        <v>2488</v>
      </c>
      <c r="N392" s="3" t="s">
        <v>2577</v>
      </c>
      <c r="O392" s="929" t="s">
        <v>166</v>
      </c>
      <c r="P392" s="927">
        <v>44364</v>
      </c>
      <c r="Q392" s="927">
        <v>44364</v>
      </c>
      <c r="R392" s="1012" t="s">
        <v>4220</v>
      </c>
      <c r="S392" s="933"/>
      <c r="T392" s="1700"/>
      <c r="U392" s="926"/>
    </row>
    <row r="393" spans="1:21" ht="40.5" customHeight="1">
      <c r="A393" s="926" t="s">
        <v>2476</v>
      </c>
      <c r="B393" s="927">
        <v>44364</v>
      </c>
      <c r="C393" s="926">
        <v>9</v>
      </c>
      <c r="D393" s="926">
        <v>3</v>
      </c>
      <c r="E393" s="935" t="s">
        <v>3452</v>
      </c>
      <c r="F393" s="926">
        <f t="shared" si="35"/>
        <v>4</v>
      </c>
      <c r="G393" s="1013" t="s">
        <v>4625</v>
      </c>
      <c r="H393" s="929"/>
      <c r="I393" s="929" t="s">
        <v>551</v>
      </c>
      <c r="J393" s="1705" t="s">
        <v>5788</v>
      </c>
      <c r="K393" s="176">
        <v>44270</v>
      </c>
      <c r="L393" s="5">
        <v>44275</v>
      </c>
      <c r="M393" s="1175" t="s">
        <v>2488</v>
      </c>
      <c r="N393" s="3" t="s">
        <v>2577</v>
      </c>
      <c r="O393" s="929" t="s">
        <v>166</v>
      </c>
      <c r="P393" s="927">
        <v>44364</v>
      </c>
      <c r="Q393" s="927">
        <v>44364</v>
      </c>
      <c r="R393" s="1012" t="s">
        <v>4220</v>
      </c>
      <c r="S393" s="933"/>
      <c r="T393" s="1700"/>
      <c r="U393" s="926"/>
    </row>
    <row r="394" spans="1:21" ht="67.5" customHeight="1">
      <c r="A394" s="926" t="s">
        <v>2476</v>
      </c>
      <c r="B394" s="927">
        <v>44364</v>
      </c>
      <c r="C394" s="926">
        <v>9</v>
      </c>
      <c r="D394" s="926">
        <v>3</v>
      </c>
      <c r="E394" s="935" t="s">
        <v>3454</v>
      </c>
      <c r="F394" s="926">
        <f t="shared" si="35"/>
        <v>5</v>
      </c>
      <c r="G394" s="1013" t="s">
        <v>4626</v>
      </c>
      <c r="H394" s="929"/>
      <c r="I394" s="929" t="s">
        <v>551</v>
      </c>
      <c r="J394" s="1705" t="s">
        <v>5788</v>
      </c>
      <c r="K394" s="176">
        <v>44227</v>
      </c>
      <c r="L394" s="5">
        <v>44270</v>
      </c>
      <c r="M394" s="1175" t="s">
        <v>2488</v>
      </c>
      <c r="N394" s="3" t="s">
        <v>2577</v>
      </c>
      <c r="O394" s="929" t="s">
        <v>166</v>
      </c>
      <c r="P394" s="927">
        <v>44364</v>
      </c>
      <c r="Q394" s="927">
        <v>44364</v>
      </c>
      <c r="R394" s="1012" t="s">
        <v>4220</v>
      </c>
      <c r="S394" s="933"/>
      <c r="T394" s="1700"/>
      <c r="U394" s="926"/>
    </row>
    <row r="395" spans="1:21" ht="99" customHeight="1">
      <c r="A395" s="926" t="s">
        <v>2476</v>
      </c>
      <c r="B395" s="927">
        <v>44364</v>
      </c>
      <c r="C395" s="926">
        <v>9</v>
      </c>
      <c r="D395" s="926">
        <v>3</v>
      </c>
      <c r="E395" s="935" t="s">
        <v>3602</v>
      </c>
      <c r="F395" s="926">
        <f t="shared" si="35"/>
        <v>6</v>
      </c>
      <c r="G395" s="1013" t="s">
        <v>4627</v>
      </c>
      <c r="H395" s="929"/>
      <c r="I395" s="929" t="s">
        <v>551</v>
      </c>
      <c r="J395" s="1705" t="s">
        <v>5788</v>
      </c>
      <c r="K395" s="176">
        <v>44242</v>
      </c>
      <c r="L395" s="5">
        <v>44332</v>
      </c>
      <c r="M395" s="1175" t="s">
        <v>4098</v>
      </c>
      <c r="N395" s="3" t="s">
        <v>2604</v>
      </c>
      <c r="O395" s="929" t="s">
        <v>166</v>
      </c>
      <c r="P395" s="927">
        <v>44364</v>
      </c>
      <c r="Q395" s="927">
        <v>44364</v>
      </c>
      <c r="R395" s="1012" t="s">
        <v>4220</v>
      </c>
      <c r="S395" s="933"/>
      <c r="T395" s="1700"/>
      <c r="U395" s="926"/>
    </row>
    <row r="396" spans="1:21" ht="99" customHeight="1">
      <c r="A396" s="926" t="s">
        <v>2476</v>
      </c>
      <c r="B396" s="927">
        <v>44364</v>
      </c>
      <c r="C396" s="926">
        <v>9</v>
      </c>
      <c r="D396" s="926">
        <v>3</v>
      </c>
      <c r="E396" s="935" t="s">
        <v>3603</v>
      </c>
      <c r="F396" s="926">
        <f t="shared" si="35"/>
        <v>7</v>
      </c>
      <c r="G396" s="1013" t="s">
        <v>4627</v>
      </c>
      <c r="H396" s="23" t="s">
        <v>3135</v>
      </c>
      <c r="I396" s="929" t="s">
        <v>551</v>
      </c>
      <c r="J396" s="1705" t="s">
        <v>5788</v>
      </c>
      <c r="K396" s="176">
        <v>44242</v>
      </c>
      <c r="L396" s="5">
        <v>44332</v>
      </c>
      <c r="M396" s="1175" t="s">
        <v>4098</v>
      </c>
      <c r="N396" s="3" t="s">
        <v>2604</v>
      </c>
      <c r="O396" s="929" t="s">
        <v>166</v>
      </c>
      <c r="P396" s="927">
        <v>44364</v>
      </c>
      <c r="Q396" s="927">
        <v>44364</v>
      </c>
      <c r="R396" s="1012" t="s">
        <v>4220</v>
      </c>
      <c r="S396" s="933"/>
      <c r="T396" s="1700"/>
      <c r="U396" s="926"/>
    </row>
    <row r="397" spans="1:21" ht="40.5" customHeight="1">
      <c r="A397" s="926" t="s">
        <v>2476</v>
      </c>
      <c r="B397" s="927">
        <v>44364</v>
      </c>
      <c r="C397" s="926">
        <v>9</v>
      </c>
      <c r="D397" s="926">
        <v>3</v>
      </c>
      <c r="E397" s="935" t="s">
        <v>3604</v>
      </c>
      <c r="F397" s="926">
        <f t="shared" si="35"/>
        <v>8</v>
      </c>
      <c r="G397" s="1013" t="s">
        <v>4628</v>
      </c>
      <c r="H397" s="929"/>
      <c r="I397" s="929" t="s">
        <v>551</v>
      </c>
      <c r="J397" s="1705" t="s">
        <v>5788</v>
      </c>
      <c r="K397" s="176">
        <v>44378</v>
      </c>
      <c r="L397" s="5">
        <v>44424</v>
      </c>
      <c r="M397" s="1175" t="s">
        <v>4629</v>
      </c>
      <c r="N397" s="3" t="s">
        <v>2577</v>
      </c>
      <c r="O397" s="929" t="s">
        <v>166</v>
      </c>
      <c r="P397" s="927">
        <v>44364</v>
      </c>
      <c r="Q397" s="927">
        <v>44364</v>
      </c>
      <c r="R397" s="1012" t="s">
        <v>4220</v>
      </c>
      <c r="S397" s="933"/>
      <c r="T397" s="1700"/>
      <c r="U397" s="926"/>
    </row>
    <row r="398" spans="1:21" ht="40.5" customHeight="1">
      <c r="A398" s="926" t="s">
        <v>2476</v>
      </c>
      <c r="B398" s="927">
        <v>44364</v>
      </c>
      <c r="C398" s="926">
        <v>9</v>
      </c>
      <c r="D398" s="926">
        <v>4</v>
      </c>
      <c r="E398" s="510" t="s">
        <v>3438</v>
      </c>
      <c r="F398" s="926">
        <f t="shared" si="35"/>
        <v>9</v>
      </c>
      <c r="G398" s="1013" t="s">
        <v>4630</v>
      </c>
      <c r="H398" s="929"/>
      <c r="I398" s="929" t="s">
        <v>551</v>
      </c>
      <c r="J398" s="1705" t="s">
        <v>5789</v>
      </c>
      <c r="K398" s="176">
        <v>44222</v>
      </c>
      <c r="L398" s="5">
        <v>44377</v>
      </c>
      <c r="M398" s="1175" t="s">
        <v>4631</v>
      </c>
      <c r="N398" s="3" t="s">
        <v>2604</v>
      </c>
      <c r="O398" s="929" t="s">
        <v>166</v>
      </c>
      <c r="P398" s="927">
        <v>44364</v>
      </c>
      <c r="Q398" s="927">
        <v>44364</v>
      </c>
      <c r="R398" s="1012" t="s">
        <v>4220</v>
      </c>
      <c r="S398" s="933"/>
      <c r="T398" s="1700"/>
      <c r="U398" s="926"/>
    </row>
    <row r="399" spans="1:21" ht="54" customHeight="1">
      <c r="A399" s="926" t="s">
        <v>2476</v>
      </c>
      <c r="B399" s="927">
        <v>44364</v>
      </c>
      <c r="C399" s="926">
        <v>9</v>
      </c>
      <c r="D399" s="926">
        <v>4</v>
      </c>
      <c r="E399" s="935" t="s">
        <v>4352</v>
      </c>
      <c r="F399" s="926">
        <f t="shared" si="35"/>
        <v>10</v>
      </c>
      <c r="G399" s="1013" t="s">
        <v>4632</v>
      </c>
      <c r="H399" s="929"/>
      <c r="I399" s="929" t="s">
        <v>551</v>
      </c>
      <c r="J399" s="1705" t="s">
        <v>5788</v>
      </c>
      <c r="K399" s="176">
        <v>44767</v>
      </c>
      <c r="L399" s="5">
        <v>44814</v>
      </c>
      <c r="M399" s="1175" t="s">
        <v>4633</v>
      </c>
      <c r="N399" s="3" t="s">
        <v>2604</v>
      </c>
      <c r="O399" s="929" t="s">
        <v>166</v>
      </c>
      <c r="P399" s="927">
        <v>44364</v>
      </c>
      <c r="Q399" s="927">
        <v>44364</v>
      </c>
      <c r="R399" s="1012" t="s">
        <v>4220</v>
      </c>
      <c r="S399" s="933"/>
      <c r="T399" s="1700"/>
      <c r="U399" s="926"/>
    </row>
    <row r="400" spans="1:21" ht="72" customHeight="1">
      <c r="A400" s="926" t="s">
        <v>2476</v>
      </c>
      <c r="B400" s="927">
        <v>44364</v>
      </c>
      <c r="C400" s="926">
        <v>9</v>
      </c>
      <c r="D400" s="926">
        <v>4</v>
      </c>
      <c r="E400" s="510" t="s">
        <v>4051</v>
      </c>
      <c r="F400" s="926">
        <f t="shared" si="35"/>
        <v>11</v>
      </c>
      <c r="G400" s="1013" t="s">
        <v>4634</v>
      </c>
      <c r="H400" s="929"/>
      <c r="I400" s="929" t="s">
        <v>551</v>
      </c>
      <c r="J400" s="1705" t="s">
        <v>5789</v>
      </c>
      <c r="K400" s="176">
        <v>44438</v>
      </c>
      <c r="L400" s="5">
        <v>44492</v>
      </c>
      <c r="M400" s="1175" t="s">
        <v>2488</v>
      </c>
      <c r="N400" s="3" t="s">
        <v>2577</v>
      </c>
      <c r="O400" s="929" t="s">
        <v>166</v>
      </c>
      <c r="P400" s="927">
        <v>44364</v>
      </c>
      <c r="Q400" s="927">
        <v>44364</v>
      </c>
      <c r="R400" s="1012" t="s">
        <v>4220</v>
      </c>
      <c r="S400" s="933"/>
      <c r="T400" s="1700"/>
      <c r="U400" s="926"/>
    </row>
    <row r="401" spans="1:21" ht="40.5" customHeight="1">
      <c r="A401" s="926" t="s">
        <v>2476</v>
      </c>
      <c r="B401" s="927">
        <v>44364</v>
      </c>
      <c r="C401" s="926">
        <v>9</v>
      </c>
      <c r="D401" s="926">
        <v>4</v>
      </c>
      <c r="E401" s="935" t="s">
        <v>4736</v>
      </c>
      <c r="F401" s="926">
        <f t="shared" si="35"/>
        <v>12</v>
      </c>
      <c r="G401" s="1013" t="s">
        <v>4635</v>
      </c>
      <c r="H401" s="929"/>
      <c r="I401" s="929" t="s">
        <v>551</v>
      </c>
      <c r="J401" s="1705"/>
      <c r="K401" s="176"/>
      <c r="L401" s="5"/>
      <c r="M401" s="1175" t="s">
        <v>4636</v>
      </c>
      <c r="N401" s="3" t="s">
        <v>1975</v>
      </c>
      <c r="O401" s="929" t="s">
        <v>166</v>
      </c>
      <c r="P401" s="927">
        <v>44364</v>
      </c>
      <c r="Q401" s="927">
        <v>44364</v>
      </c>
      <c r="R401" s="1012" t="s">
        <v>4220</v>
      </c>
      <c r="S401" s="933"/>
      <c r="T401" s="1700"/>
      <c r="U401" s="926"/>
    </row>
    <row r="402" spans="1:21" ht="40.5" customHeight="1">
      <c r="A402" s="926" t="s">
        <v>2476</v>
      </c>
      <c r="B402" s="927">
        <v>44364</v>
      </c>
      <c r="C402" s="926">
        <v>9</v>
      </c>
      <c r="D402" s="926">
        <v>4</v>
      </c>
      <c r="E402" s="935" t="s">
        <v>3442</v>
      </c>
      <c r="F402" s="926">
        <f t="shared" si="35"/>
        <v>13</v>
      </c>
      <c r="G402" s="1013" t="s">
        <v>4637</v>
      </c>
      <c r="H402" s="929"/>
      <c r="I402" s="929" t="s">
        <v>551</v>
      </c>
      <c r="J402" s="1705" t="s">
        <v>5789</v>
      </c>
      <c r="K402" s="176">
        <v>44228</v>
      </c>
      <c r="L402" s="5">
        <v>44281</v>
      </c>
      <c r="M402" s="1175" t="s">
        <v>4638</v>
      </c>
      <c r="N402" s="3" t="s">
        <v>2506</v>
      </c>
      <c r="O402" s="929" t="s">
        <v>166</v>
      </c>
      <c r="P402" s="927">
        <v>44364</v>
      </c>
      <c r="Q402" s="927">
        <v>44364</v>
      </c>
      <c r="R402" s="1012" t="s">
        <v>4220</v>
      </c>
      <c r="S402" s="933"/>
      <c r="T402" s="1700"/>
      <c r="U402" s="926"/>
    </row>
    <row r="403" spans="1:21" ht="40.5" customHeight="1">
      <c r="A403" s="926" t="s">
        <v>2476</v>
      </c>
      <c r="B403" s="927">
        <v>44364</v>
      </c>
      <c r="C403" s="926">
        <v>9</v>
      </c>
      <c r="D403" s="926">
        <v>4</v>
      </c>
      <c r="E403" s="935" t="s">
        <v>3894</v>
      </c>
      <c r="F403" s="926">
        <f t="shared" si="35"/>
        <v>14</v>
      </c>
      <c r="G403" s="1013" t="s">
        <v>4639</v>
      </c>
      <c r="H403" s="929"/>
      <c r="I403" s="929" t="s">
        <v>551</v>
      </c>
      <c r="J403" s="1705" t="s">
        <v>5789</v>
      </c>
      <c r="K403" s="176">
        <v>44236</v>
      </c>
      <c r="L403" s="5">
        <v>44257</v>
      </c>
      <c r="M403" s="1175" t="s">
        <v>3976</v>
      </c>
      <c r="N403" s="3" t="s">
        <v>1975</v>
      </c>
      <c r="O403" s="929" t="s">
        <v>166</v>
      </c>
      <c r="P403" s="927">
        <v>44364</v>
      </c>
      <c r="Q403" s="927">
        <v>44364</v>
      </c>
      <c r="R403" s="1012" t="s">
        <v>4220</v>
      </c>
      <c r="S403" s="933"/>
      <c r="T403" s="1700"/>
      <c r="U403" s="926"/>
    </row>
    <row r="404" spans="1:21" ht="40.5" customHeight="1">
      <c r="A404" s="926" t="s">
        <v>2476</v>
      </c>
      <c r="B404" s="927">
        <v>44364</v>
      </c>
      <c r="C404" s="926">
        <v>9</v>
      </c>
      <c r="D404" s="926">
        <v>4</v>
      </c>
      <c r="E404" s="935" t="s">
        <v>3447</v>
      </c>
      <c r="F404" s="926">
        <f t="shared" si="35"/>
        <v>15</v>
      </c>
      <c r="G404" s="1013" t="s">
        <v>4640</v>
      </c>
      <c r="H404" s="929"/>
      <c r="I404" s="929" t="s">
        <v>551</v>
      </c>
      <c r="J404" s="1705" t="s">
        <v>5788</v>
      </c>
      <c r="K404" s="176">
        <v>44508</v>
      </c>
      <c r="L404" s="5">
        <v>44548</v>
      </c>
      <c r="M404" s="1175" t="s">
        <v>3146</v>
      </c>
      <c r="N404" s="3" t="s">
        <v>2515</v>
      </c>
      <c r="O404" s="929" t="s">
        <v>166</v>
      </c>
      <c r="P404" s="927">
        <v>44364</v>
      </c>
      <c r="Q404" s="927">
        <v>44364</v>
      </c>
      <c r="R404" s="1012" t="s">
        <v>4220</v>
      </c>
      <c r="S404" s="933"/>
      <c r="T404" s="1700"/>
      <c r="U404" s="926"/>
    </row>
    <row r="405" spans="1:21" ht="75" customHeight="1">
      <c r="A405" s="926" t="s">
        <v>2476</v>
      </c>
      <c r="B405" s="927">
        <v>44364</v>
      </c>
      <c r="C405" s="926">
        <v>9</v>
      </c>
      <c r="D405" s="926">
        <v>4</v>
      </c>
      <c r="E405" s="935" t="s">
        <v>3605</v>
      </c>
      <c r="F405" s="926">
        <f t="shared" si="35"/>
        <v>16</v>
      </c>
      <c r="G405" s="1013" t="s">
        <v>4641</v>
      </c>
      <c r="H405" s="929"/>
      <c r="I405" s="929" t="s">
        <v>551</v>
      </c>
      <c r="J405" s="1705" t="s">
        <v>5788</v>
      </c>
      <c r="K405" s="176">
        <v>44322</v>
      </c>
      <c r="L405" s="5">
        <v>44347</v>
      </c>
      <c r="M405" s="1175" t="s">
        <v>4642</v>
      </c>
      <c r="N405" s="3" t="s">
        <v>1975</v>
      </c>
      <c r="O405" s="929" t="s">
        <v>166</v>
      </c>
      <c r="P405" s="927">
        <v>44364</v>
      </c>
      <c r="Q405" s="927">
        <v>44364</v>
      </c>
      <c r="R405" s="1012" t="s">
        <v>4220</v>
      </c>
      <c r="S405" s="933"/>
      <c r="T405" s="1700"/>
      <c r="U405" s="926"/>
    </row>
    <row r="406" spans="1:21" ht="64.5" customHeight="1">
      <c r="A406" s="926" t="s">
        <v>2476</v>
      </c>
      <c r="B406" s="927">
        <v>44364</v>
      </c>
      <c r="C406" s="926">
        <v>9</v>
      </c>
      <c r="D406" s="926">
        <v>4</v>
      </c>
      <c r="E406" s="935" t="s">
        <v>3314</v>
      </c>
      <c r="F406" s="926">
        <f t="shared" si="35"/>
        <v>17</v>
      </c>
      <c r="G406" s="1013" t="s">
        <v>4643</v>
      </c>
      <c r="H406" s="929"/>
      <c r="I406" s="929" t="s">
        <v>551</v>
      </c>
      <c r="J406" s="1705" t="s">
        <v>5788</v>
      </c>
      <c r="K406" s="176">
        <v>44194</v>
      </c>
      <c r="L406" s="5">
        <v>44284</v>
      </c>
      <c r="M406" s="1175" t="s">
        <v>4644</v>
      </c>
      <c r="N406" s="3" t="s">
        <v>4226</v>
      </c>
      <c r="O406" s="929" t="s">
        <v>166</v>
      </c>
      <c r="P406" s="927">
        <v>44364</v>
      </c>
      <c r="Q406" s="927">
        <v>44364</v>
      </c>
      <c r="R406" s="1012" t="s">
        <v>4220</v>
      </c>
      <c r="S406" s="933"/>
      <c r="T406" s="1700"/>
      <c r="U406" s="926"/>
    </row>
    <row r="407" spans="1:21" ht="39.950000000000003" customHeight="1">
      <c r="A407" s="926" t="s">
        <v>2476</v>
      </c>
      <c r="B407" s="927">
        <v>44364</v>
      </c>
      <c r="C407" s="926">
        <v>9</v>
      </c>
      <c r="D407" s="926">
        <v>4</v>
      </c>
      <c r="E407" s="926"/>
      <c r="F407" s="926">
        <f t="shared" si="35"/>
        <v>18</v>
      </c>
      <c r="G407" s="1013" t="s">
        <v>4645</v>
      </c>
      <c r="H407" s="929"/>
      <c r="I407" s="929" t="s">
        <v>2310</v>
      </c>
      <c r="J407" s="1705"/>
      <c r="K407" s="176"/>
      <c r="L407" s="5"/>
      <c r="M407" s="1175" t="s">
        <v>4646</v>
      </c>
      <c r="N407" s="3" t="s">
        <v>2524</v>
      </c>
      <c r="O407" s="929" t="s">
        <v>166</v>
      </c>
      <c r="P407" s="927">
        <v>44364</v>
      </c>
      <c r="Q407" s="927">
        <v>44364</v>
      </c>
      <c r="R407" s="1012" t="s">
        <v>4220</v>
      </c>
      <c r="S407" s="933"/>
      <c r="T407" s="1534"/>
      <c r="U407" s="926"/>
    </row>
    <row r="408" spans="1:21" ht="39.950000000000003" customHeight="1">
      <c r="A408" s="926" t="s">
        <v>2476</v>
      </c>
      <c r="B408" s="927">
        <v>44364</v>
      </c>
      <c r="C408" s="926">
        <v>9</v>
      </c>
      <c r="D408" s="926">
        <v>4</v>
      </c>
      <c r="E408" s="926"/>
      <c r="F408" s="926">
        <f t="shared" si="35"/>
        <v>19</v>
      </c>
      <c r="G408" s="1013" t="s">
        <v>4647</v>
      </c>
      <c r="H408" s="929"/>
      <c r="I408" s="929" t="s">
        <v>2310</v>
      </c>
      <c r="J408" s="1705"/>
      <c r="K408" s="176"/>
      <c r="L408" s="5"/>
      <c r="M408" s="1175" t="s">
        <v>4648</v>
      </c>
      <c r="N408" s="3" t="s">
        <v>2524</v>
      </c>
      <c r="O408" s="929" t="s">
        <v>166</v>
      </c>
      <c r="P408" s="927">
        <v>44364</v>
      </c>
      <c r="Q408" s="927">
        <v>44364</v>
      </c>
      <c r="R408" s="1012" t="s">
        <v>4220</v>
      </c>
      <c r="S408" s="933"/>
      <c r="T408" s="1534"/>
      <c r="U408" s="926"/>
    </row>
    <row r="409" spans="1:21" ht="39.950000000000003" customHeight="1">
      <c r="A409" s="926" t="s">
        <v>2476</v>
      </c>
      <c r="B409" s="927">
        <v>44364</v>
      </c>
      <c r="C409" s="926">
        <v>9</v>
      </c>
      <c r="D409" s="926">
        <v>4</v>
      </c>
      <c r="E409" s="510" t="s">
        <v>4310</v>
      </c>
      <c r="F409" s="926">
        <f t="shared" si="35"/>
        <v>20</v>
      </c>
      <c r="G409" s="1013" t="s">
        <v>4649</v>
      </c>
      <c r="H409" s="929"/>
      <c r="I409" s="929" t="s">
        <v>551</v>
      </c>
      <c r="J409" s="1705" t="s">
        <v>5789</v>
      </c>
      <c r="K409" s="176">
        <v>44886</v>
      </c>
      <c r="L409" s="5">
        <v>44893</v>
      </c>
      <c r="M409" s="1175" t="s">
        <v>2609</v>
      </c>
      <c r="N409" s="3" t="s">
        <v>2532</v>
      </c>
      <c r="O409" s="929" t="s">
        <v>166</v>
      </c>
      <c r="P409" s="927">
        <v>44364</v>
      </c>
      <c r="Q409" s="927">
        <v>44364</v>
      </c>
      <c r="R409" s="1012" t="s">
        <v>4220</v>
      </c>
      <c r="S409" s="933"/>
      <c r="T409" s="1700"/>
      <c r="U409" s="926"/>
    </row>
    <row r="410" spans="1:21" ht="39.950000000000003" customHeight="1">
      <c r="A410" s="926" t="s">
        <v>2476</v>
      </c>
      <c r="B410" s="927">
        <v>44364</v>
      </c>
      <c r="C410" s="926">
        <v>9</v>
      </c>
      <c r="D410" s="926">
        <v>4</v>
      </c>
      <c r="E410" s="926"/>
      <c r="F410" s="926">
        <f t="shared" si="35"/>
        <v>21</v>
      </c>
      <c r="G410" s="1013" t="s">
        <v>4650</v>
      </c>
      <c r="H410" s="929"/>
      <c r="I410" s="929" t="s">
        <v>2310</v>
      </c>
      <c r="J410" s="1705"/>
      <c r="K410" s="176"/>
      <c r="L410" s="5"/>
      <c r="M410" s="1175" t="s">
        <v>4651</v>
      </c>
      <c r="N410" s="3" t="s">
        <v>1976</v>
      </c>
      <c r="O410" s="929" t="s">
        <v>166</v>
      </c>
      <c r="P410" s="927">
        <v>44364</v>
      </c>
      <c r="Q410" s="927">
        <v>44364</v>
      </c>
      <c r="R410" s="1012" t="s">
        <v>4220</v>
      </c>
      <c r="S410" s="933"/>
      <c r="T410" s="1534"/>
      <c r="U410" s="926"/>
    </row>
    <row r="411" spans="1:21" ht="39.950000000000003" customHeight="1">
      <c r="A411" s="926" t="s">
        <v>2476</v>
      </c>
      <c r="B411" s="927">
        <v>44364</v>
      </c>
      <c r="C411" s="926">
        <v>9</v>
      </c>
      <c r="D411" s="926">
        <v>4</v>
      </c>
      <c r="E411" s="926"/>
      <c r="F411" s="926">
        <f t="shared" si="35"/>
        <v>22</v>
      </c>
      <c r="G411" s="1013" t="s">
        <v>4652</v>
      </c>
      <c r="H411" s="929"/>
      <c r="I411" s="929" t="s">
        <v>2310</v>
      </c>
      <c r="J411" s="1705"/>
      <c r="K411" s="176"/>
      <c r="L411" s="5"/>
      <c r="M411" s="1175" t="s">
        <v>4651</v>
      </c>
      <c r="N411" s="3" t="s">
        <v>1976</v>
      </c>
      <c r="O411" s="929" t="s">
        <v>166</v>
      </c>
      <c r="P411" s="927">
        <v>44364</v>
      </c>
      <c r="Q411" s="927">
        <v>44364</v>
      </c>
      <c r="R411" s="1012" t="s">
        <v>4220</v>
      </c>
      <c r="S411" s="933"/>
      <c r="T411" s="1534"/>
      <c r="U411" s="926"/>
    </row>
    <row r="412" spans="1:21" ht="51.75" customHeight="1">
      <c r="A412" s="926" t="s">
        <v>2476</v>
      </c>
      <c r="B412" s="927">
        <v>44364</v>
      </c>
      <c r="C412" s="926">
        <v>9</v>
      </c>
      <c r="D412" s="926">
        <v>4</v>
      </c>
      <c r="E412" s="935" t="s">
        <v>2731</v>
      </c>
      <c r="F412" s="926">
        <f t="shared" si="35"/>
        <v>23</v>
      </c>
      <c r="G412" s="1013" t="s">
        <v>3399</v>
      </c>
      <c r="H412" s="929"/>
      <c r="I412" s="929" t="s">
        <v>551</v>
      </c>
      <c r="J412" s="1705" t="s">
        <v>5789</v>
      </c>
      <c r="K412" s="176">
        <v>44166</v>
      </c>
      <c r="L412" s="5">
        <v>44196</v>
      </c>
      <c r="M412" s="1175" t="s">
        <v>4254</v>
      </c>
      <c r="N412" s="3" t="s">
        <v>2506</v>
      </c>
      <c r="O412" s="929" t="s">
        <v>166</v>
      </c>
      <c r="P412" s="927">
        <v>44364</v>
      </c>
      <c r="Q412" s="927">
        <v>44364</v>
      </c>
      <c r="R412" s="1012" t="s">
        <v>4220</v>
      </c>
      <c r="S412" s="933"/>
      <c r="T412" s="1700"/>
      <c r="U412" s="926"/>
    </row>
    <row r="413" spans="1:21" ht="39.950000000000003" customHeight="1">
      <c r="A413" s="926" t="s">
        <v>2476</v>
      </c>
      <c r="B413" s="927">
        <v>44364</v>
      </c>
      <c r="C413" s="926">
        <v>9</v>
      </c>
      <c r="D413" s="926">
        <v>4</v>
      </c>
      <c r="E413" s="926"/>
      <c r="F413" s="926">
        <f t="shared" si="35"/>
        <v>24</v>
      </c>
      <c r="G413" s="1013" t="s">
        <v>4653</v>
      </c>
      <c r="H413" s="929"/>
      <c r="I413" s="929" t="s">
        <v>2310</v>
      </c>
      <c r="J413" s="1705"/>
      <c r="K413" s="176"/>
      <c r="L413" s="5"/>
      <c r="M413" s="1175" t="s">
        <v>4654</v>
      </c>
      <c r="N413" s="3" t="s">
        <v>2512</v>
      </c>
      <c r="O413" s="929" t="s">
        <v>166</v>
      </c>
      <c r="P413" s="927">
        <v>44364</v>
      </c>
      <c r="Q413" s="927">
        <v>44364</v>
      </c>
      <c r="R413" s="1012" t="s">
        <v>4220</v>
      </c>
      <c r="S413" s="933"/>
      <c r="T413" s="1534"/>
      <c r="U413" s="926"/>
    </row>
    <row r="414" spans="1:21" ht="39.950000000000003" customHeight="1">
      <c r="A414" s="926" t="s">
        <v>2476</v>
      </c>
      <c r="B414" s="927">
        <v>44364</v>
      </c>
      <c r="C414" s="926">
        <v>9</v>
      </c>
      <c r="D414" s="926">
        <v>4</v>
      </c>
      <c r="E414" s="935" t="s">
        <v>4343</v>
      </c>
      <c r="F414" s="926">
        <f t="shared" si="35"/>
        <v>25</v>
      </c>
      <c r="G414" s="1013" t="s">
        <v>4655</v>
      </c>
      <c r="H414" s="929"/>
      <c r="I414" s="929" t="s">
        <v>551</v>
      </c>
      <c r="J414" s="1705" t="s">
        <v>5788</v>
      </c>
      <c r="K414" s="176">
        <v>44634</v>
      </c>
      <c r="L414" s="5">
        <v>44639</v>
      </c>
      <c r="M414" s="1175" t="s">
        <v>4654</v>
      </c>
      <c r="N414" s="3" t="s">
        <v>2512</v>
      </c>
      <c r="O414" s="929" t="s">
        <v>166</v>
      </c>
      <c r="P414" s="927">
        <v>44364</v>
      </c>
      <c r="Q414" s="927">
        <v>44364</v>
      </c>
      <c r="R414" s="1012" t="s">
        <v>4220</v>
      </c>
      <c r="S414" s="933"/>
      <c r="T414" s="1700"/>
      <c r="U414" s="926"/>
    </row>
    <row r="415" spans="1:21" ht="39.950000000000003" customHeight="1">
      <c r="A415" s="926" t="s">
        <v>2476</v>
      </c>
      <c r="B415" s="927">
        <v>44364</v>
      </c>
      <c r="C415" s="926">
        <v>9</v>
      </c>
      <c r="D415" s="926">
        <v>4</v>
      </c>
      <c r="E415" s="935" t="s">
        <v>3444</v>
      </c>
      <c r="F415" s="926">
        <f t="shared" si="35"/>
        <v>26</v>
      </c>
      <c r="G415" s="1013" t="s">
        <v>4656</v>
      </c>
      <c r="H415" s="929"/>
      <c r="I415" s="929" t="s">
        <v>551</v>
      </c>
      <c r="J415" s="1705" t="s">
        <v>5789</v>
      </c>
      <c r="K415" s="176">
        <v>44361</v>
      </c>
      <c r="L415" s="5">
        <v>44379</v>
      </c>
      <c r="M415" s="1175" t="s">
        <v>4654</v>
      </c>
      <c r="N415" s="3" t="s">
        <v>2512</v>
      </c>
      <c r="O415" s="929" t="s">
        <v>166</v>
      </c>
      <c r="P415" s="927">
        <v>44364</v>
      </c>
      <c r="Q415" s="927">
        <v>44364</v>
      </c>
      <c r="R415" s="1012" t="s">
        <v>4220</v>
      </c>
      <c r="S415" s="933"/>
      <c r="T415" s="1700"/>
      <c r="U415" s="926"/>
    </row>
    <row r="416" spans="1:21" ht="39.950000000000003" customHeight="1">
      <c r="A416" s="926" t="s">
        <v>2476</v>
      </c>
      <c r="B416" s="927">
        <v>44364</v>
      </c>
      <c r="C416" s="926">
        <v>9</v>
      </c>
      <c r="D416" s="926">
        <f>D415</f>
        <v>4</v>
      </c>
      <c r="E416" s="926"/>
      <c r="F416" s="926">
        <f t="shared" si="35"/>
        <v>27</v>
      </c>
      <c r="G416" s="1013" t="s">
        <v>4657</v>
      </c>
      <c r="H416" s="929"/>
      <c r="I416" s="929" t="s">
        <v>2310</v>
      </c>
      <c r="J416" s="1705"/>
      <c r="K416" s="176"/>
      <c r="L416" s="5"/>
      <c r="M416" s="1175" t="s">
        <v>4658</v>
      </c>
      <c r="N416" s="3" t="s">
        <v>1975</v>
      </c>
      <c r="O416" s="929" t="s">
        <v>166</v>
      </c>
      <c r="P416" s="927">
        <v>44364</v>
      </c>
      <c r="Q416" s="927">
        <v>44364</v>
      </c>
      <c r="R416" s="1012" t="s">
        <v>4220</v>
      </c>
      <c r="S416" s="933"/>
      <c r="T416" s="1534"/>
      <c r="U416" s="926"/>
    </row>
    <row r="417" spans="1:21" ht="39.950000000000003" customHeight="1">
      <c r="A417" s="926" t="s">
        <v>2476</v>
      </c>
      <c r="B417" s="927">
        <v>44364</v>
      </c>
      <c r="C417" s="926">
        <v>9</v>
      </c>
      <c r="D417" s="926">
        <f t="shared" ref="D417:D445" si="36">D416</f>
        <v>4</v>
      </c>
      <c r="E417" s="926"/>
      <c r="F417" s="926">
        <f t="shared" si="35"/>
        <v>28</v>
      </c>
      <c r="G417" s="1013" t="s">
        <v>4659</v>
      </c>
      <c r="H417" s="929"/>
      <c r="I417" s="929" t="s">
        <v>2310</v>
      </c>
      <c r="J417" s="1705"/>
      <c r="K417" s="176"/>
      <c r="L417" s="5"/>
      <c r="M417" s="1175" t="s">
        <v>4660</v>
      </c>
      <c r="N417" s="3" t="s">
        <v>1975</v>
      </c>
      <c r="O417" s="929" t="s">
        <v>166</v>
      </c>
      <c r="P417" s="927">
        <v>44364</v>
      </c>
      <c r="Q417" s="927">
        <v>44364</v>
      </c>
      <c r="R417" s="1012" t="s">
        <v>4220</v>
      </c>
      <c r="S417" s="933"/>
      <c r="T417" s="1534"/>
      <c r="U417" s="926"/>
    </row>
    <row r="418" spans="1:21" ht="39.950000000000003" customHeight="1">
      <c r="A418" s="926" t="s">
        <v>2476</v>
      </c>
      <c r="B418" s="927">
        <v>44364</v>
      </c>
      <c r="C418" s="926">
        <v>9</v>
      </c>
      <c r="D418" s="926">
        <f t="shared" si="36"/>
        <v>4</v>
      </c>
      <c r="E418" s="935" t="s">
        <v>4736</v>
      </c>
      <c r="F418" s="926">
        <f t="shared" si="35"/>
        <v>29</v>
      </c>
      <c r="G418" s="1013" t="s">
        <v>4661</v>
      </c>
      <c r="H418" s="929"/>
      <c r="I418" s="929" t="s">
        <v>551</v>
      </c>
      <c r="J418" s="1705"/>
      <c r="K418" s="176"/>
      <c r="L418" s="5"/>
      <c r="M418" s="1175" t="s">
        <v>4098</v>
      </c>
      <c r="N418" s="3" t="s">
        <v>2575</v>
      </c>
      <c r="O418" s="929" t="s">
        <v>166</v>
      </c>
      <c r="P418" s="927">
        <v>44364</v>
      </c>
      <c r="Q418" s="927">
        <v>44364</v>
      </c>
      <c r="R418" s="1012" t="s">
        <v>4220</v>
      </c>
      <c r="S418" s="933"/>
      <c r="T418" s="1700"/>
      <c r="U418" s="926"/>
    </row>
    <row r="419" spans="1:21" ht="63" customHeight="1">
      <c r="A419" s="926" t="s">
        <v>2476</v>
      </c>
      <c r="B419" s="927">
        <v>44364</v>
      </c>
      <c r="C419" s="926">
        <v>9</v>
      </c>
      <c r="D419" s="926">
        <v>5</v>
      </c>
      <c r="E419" s="935" t="s">
        <v>4052</v>
      </c>
      <c r="F419" s="926">
        <f t="shared" si="35"/>
        <v>30</v>
      </c>
      <c r="G419" s="1013" t="s">
        <v>4662</v>
      </c>
      <c r="H419" s="929"/>
      <c r="I419" s="929" t="s">
        <v>551</v>
      </c>
      <c r="J419" s="1705" t="s">
        <v>5789</v>
      </c>
      <c r="K419" s="176">
        <v>44487</v>
      </c>
      <c r="L419" s="5">
        <v>44541</v>
      </c>
      <c r="M419" s="1175" t="s">
        <v>4076</v>
      </c>
      <c r="N419" s="3" t="s">
        <v>2663</v>
      </c>
      <c r="O419" s="929" t="s">
        <v>166</v>
      </c>
      <c r="P419" s="927">
        <v>44364</v>
      </c>
      <c r="Q419" s="927">
        <v>44364</v>
      </c>
      <c r="R419" s="1012" t="s">
        <v>4220</v>
      </c>
      <c r="S419" s="933"/>
      <c r="T419" s="1700"/>
      <c r="U419" s="926"/>
    </row>
    <row r="420" spans="1:21" ht="56.25" customHeight="1">
      <c r="A420" s="926" t="s">
        <v>2476</v>
      </c>
      <c r="B420" s="927">
        <v>44364</v>
      </c>
      <c r="C420" s="926">
        <v>9</v>
      </c>
      <c r="D420" s="926">
        <f t="shared" si="36"/>
        <v>5</v>
      </c>
      <c r="E420" s="510" t="s">
        <v>4736</v>
      </c>
      <c r="F420" s="926">
        <f t="shared" si="35"/>
        <v>31</v>
      </c>
      <c r="G420" s="1013" t="s">
        <v>4663</v>
      </c>
      <c r="H420" s="929"/>
      <c r="I420" s="929" t="s">
        <v>551</v>
      </c>
      <c r="J420" s="1705"/>
      <c r="K420" s="176"/>
      <c r="L420" s="5"/>
      <c r="M420" s="1175" t="s">
        <v>4076</v>
      </c>
      <c r="N420" s="3" t="s">
        <v>2663</v>
      </c>
      <c r="O420" s="929" t="s">
        <v>166</v>
      </c>
      <c r="P420" s="927">
        <v>44364</v>
      </c>
      <c r="Q420" s="927">
        <v>44364</v>
      </c>
      <c r="R420" s="1012" t="s">
        <v>4220</v>
      </c>
      <c r="S420" s="933"/>
      <c r="T420" s="1700"/>
      <c r="U420" s="926"/>
    </row>
    <row r="421" spans="1:21" ht="39.950000000000003" customHeight="1">
      <c r="A421" s="926" t="s">
        <v>2476</v>
      </c>
      <c r="B421" s="927">
        <v>44364</v>
      </c>
      <c r="C421" s="926">
        <v>9</v>
      </c>
      <c r="D421" s="926">
        <f t="shared" si="36"/>
        <v>5</v>
      </c>
      <c r="E421" s="935" t="s">
        <v>4736</v>
      </c>
      <c r="F421" s="926">
        <f t="shared" si="35"/>
        <v>32</v>
      </c>
      <c r="G421" s="1013" t="s">
        <v>4664</v>
      </c>
      <c r="H421" s="929"/>
      <c r="I421" s="929" t="s">
        <v>551</v>
      </c>
      <c r="J421" s="1705"/>
      <c r="K421" s="176"/>
      <c r="L421" s="5"/>
      <c r="M421" s="1175" t="s">
        <v>4076</v>
      </c>
      <c r="N421" s="3" t="s">
        <v>2663</v>
      </c>
      <c r="O421" s="929" t="s">
        <v>166</v>
      </c>
      <c r="P421" s="927">
        <v>44364</v>
      </c>
      <c r="Q421" s="927">
        <v>44364</v>
      </c>
      <c r="R421" s="1012" t="s">
        <v>4220</v>
      </c>
      <c r="S421" s="933"/>
      <c r="T421" s="1700"/>
      <c r="U421" s="926"/>
    </row>
    <row r="422" spans="1:21" ht="56.25" customHeight="1">
      <c r="A422" s="926" t="s">
        <v>2476</v>
      </c>
      <c r="B422" s="927">
        <v>44364</v>
      </c>
      <c r="C422" s="926">
        <v>9</v>
      </c>
      <c r="D422" s="926">
        <f t="shared" si="36"/>
        <v>5</v>
      </c>
      <c r="E422" s="935" t="s">
        <v>3447</v>
      </c>
      <c r="F422" s="926">
        <v>1</v>
      </c>
      <c r="G422" s="1013" t="s">
        <v>4666</v>
      </c>
      <c r="H422" s="929"/>
      <c r="I422" s="929" t="s">
        <v>551</v>
      </c>
      <c r="J422" s="1705" t="s">
        <v>5788</v>
      </c>
      <c r="K422" s="176">
        <v>44211</v>
      </c>
      <c r="L422" s="5">
        <v>44270</v>
      </c>
      <c r="M422" s="1175" t="s">
        <v>2488</v>
      </c>
      <c r="N422" s="3" t="s">
        <v>1975</v>
      </c>
      <c r="O422" s="929" t="s">
        <v>77</v>
      </c>
      <c r="P422" s="927">
        <v>44364</v>
      </c>
      <c r="Q422" s="927">
        <v>44364</v>
      </c>
      <c r="R422" s="1012" t="s">
        <v>4220</v>
      </c>
      <c r="S422" s="933"/>
      <c r="T422" s="1700"/>
      <c r="U422" s="926"/>
    </row>
    <row r="423" spans="1:21" ht="49.5" customHeight="1">
      <c r="A423" s="926" t="s">
        <v>2476</v>
      </c>
      <c r="B423" s="927">
        <v>44364</v>
      </c>
      <c r="C423" s="926">
        <v>9</v>
      </c>
      <c r="D423" s="926">
        <f t="shared" si="36"/>
        <v>5</v>
      </c>
      <c r="E423" s="935" t="s">
        <v>3449</v>
      </c>
      <c r="F423" s="926">
        <f t="shared" si="35"/>
        <v>2</v>
      </c>
      <c r="G423" s="1013" t="s">
        <v>4667</v>
      </c>
      <c r="H423" s="929"/>
      <c r="I423" s="929" t="s">
        <v>551</v>
      </c>
      <c r="J423" s="1705" t="s">
        <v>5788</v>
      </c>
      <c r="K423" s="176">
        <v>44211</v>
      </c>
      <c r="L423" s="5">
        <v>44266</v>
      </c>
      <c r="M423" s="1175" t="s">
        <v>2488</v>
      </c>
      <c r="N423" s="3" t="s">
        <v>1975</v>
      </c>
      <c r="O423" s="929" t="str">
        <f>O422</f>
        <v>RAMO 33</v>
      </c>
      <c r="P423" s="927">
        <v>44364</v>
      </c>
      <c r="Q423" s="927">
        <v>44364</v>
      </c>
      <c r="R423" s="1012" t="s">
        <v>4220</v>
      </c>
      <c r="S423" s="933"/>
      <c r="T423" s="1700"/>
      <c r="U423" s="926"/>
    </row>
    <row r="424" spans="1:21" ht="51" customHeight="1">
      <c r="A424" s="926" t="s">
        <v>2476</v>
      </c>
      <c r="B424" s="927">
        <v>44364</v>
      </c>
      <c r="C424" s="926">
        <v>9</v>
      </c>
      <c r="D424" s="926">
        <f t="shared" si="36"/>
        <v>5</v>
      </c>
      <c r="E424" s="935" t="s">
        <v>3451</v>
      </c>
      <c r="F424" s="926">
        <f t="shared" si="35"/>
        <v>3</v>
      </c>
      <c r="G424" s="1013" t="s">
        <v>4668</v>
      </c>
      <c r="H424" s="929"/>
      <c r="I424" s="929" t="s">
        <v>551</v>
      </c>
      <c r="J424" s="1705" t="s">
        <v>5788</v>
      </c>
      <c r="K424" s="176">
        <v>44211</v>
      </c>
      <c r="L424" s="5">
        <v>44256</v>
      </c>
      <c r="M424" s="1175" t="s">
        <v>2488</v>
      </c>
      <c r="N424" s="3" t="s">
        <v>1975</v>
      </c>
      <c r="O424" s="929" t="str">
        <f t="shared" ref="O424:O446" si="37">O423</f>
        <v>RAMO 33</v>
      </c>
      <c r="P424" s="927">
        <v>44364</v>
      </c>
      <c r="Q424" s="927">
        <v>44364</v>
      </c>
      <c r="R424" s="1012" t="s">
        <v>4220</v>
      </c>
      <c r="S424" s="933"/>
      <c r="T424" s="1700"/>
      <c r="U424" s="926"/>
    </row>
    <row r="425" spans="1:21" ht="67.5" customHeight="1">
      <c r="A425" s="926" t="s">
        <v>2476</v>
      </c>
      <c r="B425" s="927">
        <v>44364</v>
      </c>
      <c r="C425" s="926">
        <v>9</v>
      </c>
      <c r="D425" s="926">
        <f>D424</f>
        <v>5</v>
      </c>
      <c r="E425" s="935" t="s">
        <v>3440</v>
      </c>
      <c r="F425" s="926">
        <f t="shared" si="35"/>
        <v>4</v>
      </c>
      <c r="G425" s="1013" t="s">
        <v>4669</v>
      </c>
      <c r="H425" s="929"/>
      <c r="I425" s="929" t="s">
        <v>551</v>
      </c>
      <c r="J425" s="1705" t="s">
        <v>5789</v>
      </c>
      <c r="K425" s="176">
        <v>44440</v>
      </c>
      <c r="L425" s="5">
        <v>44455</v>
      </c>
      <c r="M425" s="1175" t="s">
        <v>2488</v>
      </c>
      <c r="N425" s="3" t="s">
        <v>1975</v>
      </c>
      <c r="O425" s="929" t="str">
        <f>O424</f>
        <v>RAMO 33</v>
      </c>
      <c r="P425" s="927">
        <v>44364</v>
      </c>
      <c r="Q425" s="927">
        <v>44364</v>
      </c>
      <c r="R425" s="1012" t="s">
        <v>4220</v>
      </c>
      <c r="S425" s="933"/>
      <c r="T425" s="1700"/>
      <c r="U425" s="926"/>
    </row>
    <row r="426" spans="1:21" ht="39.950000000000003" customHeight="1">
      <c r="A426" s="926" t="s">
        <v>2476</v>
      </c>
      <c r="B426" s="927">
        <v>44364</v>
      </c>
      <c r="C426" s="926">
        <v>9</v>
      </c>
      <c r="D426" s="926">
        <f t="shared" si="36"/>
        <v>5</v>
      </c>
      <c r="E426" s="935" t="s">
        <v>4343</v>
      </c>
      <c r="F426" s="926">
        <f t="shared" si="35"/>
        <v>5</v>
      </c>
      <c r="G426" s="1013" t="s">
        <v>4671</v>
      </c>
      <c r="H426" s="929"/>
      <c r="I426" s="929" t="s">
        <v>551</v>
      </c>
      <c r="J426" s="1705" t="s">
        <v>5788</v>
      </c>
      <c r="K426" s="176">
        <v>44634</v>
      </c>
      <c r="L426" s="5">
        <v>44639</v>
      </c>
      <c r="M426" s="1175" t="s">
        <v>4654</v>
      </c>
      <c r="N426" s="3" t="s">
        <v>2512</v>
      </c>
      <c r="O426" s="929" t="str">
        <f t="shared" si="37"/>
        <v>RAMO 33</v>
      </c>
      <c r="P426" s="927">
        <v>44364</v>
      </c>
      <c r="Q426" s="927">
        <v>44364</v>
      </c>
      <c r="R426" s="1012" t="s">
        <v>4220</v>
      </c>
      <c r="S426" s="933"/>
      <c r="T426" s="1700"/>
      <c r="U426" s="926"/>
    </row>
    <row r="427" spans="1:21" ht="39.950000000000003" customHeight="1">
      <c r="A427" s="926" t="s">
        <v>2476</v>
      </c>
      <c r="B427" s="927">
        <v>44364</v>
      </c>
      <c r="C427" s="926">
        <v>9</v>
      </c>
      <c r="D427" s="926">
        <f>D426</f>
        <v>5</v>
      </c>
      <c r="E427" s="935" t="s">
        <v>3444</v>
      </c>
      <c r="F427" s="926">
        <f t="shared" si="35"/>
        <v>6</v>
      </c>
      <c r="G427" s="1013" t="s">
        <v>4670</v>
      </c>
      <c r="H427" s="929"/>
      <c r="I427" s="929" t="s">
        <v>551</v>
      </c>
      <c r="J427" s="1705" t="s">
        <v>5789</v>
      </c>
      <c r="K427" s="176">
        <v>44361</v>
      </c>
      <c r="L427" s="5">
        <v>44379</v>
      </c>
      <c r="M427" s="1175" t="s">
        <v>4654</v>
      </c>
      <c r="N427" s="3" t="s">
        <v>2512</v>
      </c>
      <c r="O427" s="929" t="str">
        <f>O426</f>
        <v>RAMO 33</v>
      </c>
      <c r="P427" s="927">
        <v>44364</v>
      </c>
      <c r="Q427" s="927">
        <v>44364</v>
      </c>
      <c r="R427" s="1012" t="s">
        <v>4220</v>
      </c>
      <c r="S427" s="933"/>
      <c r="T427" s="1700"/>
      <c r="U427" s="926"/>
    </row>
    <row r="428" spans="1:21" ht="51.75" customHeight="1">
      <c r="A428" s="926" t="s">
        <v>2476</v>
      </c>
      <c r="B428" s="927">
        <v>44364</v>
      </c>
      <c r="C428" s="926">
        <v>9</v>
      </c>
      <c r="D428" s="926">
        <f t="shared" si="36"/>
        <v>5</v>
      </c>
      <c r="E428" s="510" t="s">
        <v>4736</v>
      </c>
      <c r="F428" s="926">
        <f t="shared" si="35"/>
        <v>7</v>
      </c>
      <c r="G428" s="1013" t="s">
        <v>4672</v>
      </c>
      <c r="H428" s="929"/>
      <c r="I428" s="929" t="s">
        <v>551</v>
      </c>
      <c r="J428" s="1705"/>
      <c r="K428" s="176"/>
      <c r="L428" s="5"/>
      <c r="M428" s="1175" t="s">
        <v>4076</v>
      </c>
      <c r="N428" s="3" t="s">
        <v>2663</v>
      </c>
      <c r="O428" s="929" t="str">
        <f t="shared" si="37"/>
        <v>RAMO 33</v>
      </c>
      <c r="P428" s="927">
        <v>44364</v>
      </c>
      <c r="Q428" s="927">
        <v>44364</v>
      </c>
      <c r="R428" s="1012" t="s">
        <v>4220</v>
      </c>
      <c r="S428" s="933"/>
      <c r="T428" s="1700"/>
      <c r="U428" s="926"/>
    </row>
    <row r="429" spans="1:21" ht="51.75" customHeight="1">
      <c r="A429" s="926" t="s">
        <v>2476</v>
      </c>
      <c r="B429" s="927">
        <v>44364</v>
      </c>
      <c r="C429" s="926">
        <v>9</v>
      </c>
      <c r="D429" s="926">
        <f>D428</f>
        <v>5</v>
      </c>
      <c r="E429" s="935" t="s">
        <v>4736</v>
      </c>
      <c r="F429" s="926">
        <f t="shared" si="35"/>
        <v>8</v>
      </c>
      <c r="G429" s="1013" t="s">
        <v>4673</v>
      </c>
      <c r="H429" s="929"/>
      <c r="I429" s="929" t="s">
        <v>551</v>
      </c>
      <c r="J429" s="1705"/>
      <c r="K429" s="176"/>
      <c r="L429" s="5"/>
      <c r="M429" s="1175" t="s">
        <v>4076</v>
      </c>
      <c r="N429" s="3" t="s">
        <v>2663</v>
      </c>
      <c r="O429" s="929" t="str">
        <f>O428</f>
        <v>RAMO 33</v>
      </c>
      <c r="P429" s="927">
        <v>44364</v>
      </c>
      <c r="Q429" s="927">
        <v>44364</v>
      </c>
      <c r="R429" s="1012" t="s">
        <v>4220</v>
      </c>
      <c r="S429" s="933"/>
      <c r="T429" s="1700"/>
      <c r="U429" s="926"/>
    </row>
    <row r="430" spans="1:21" ht="39.950000000000003" customHeight="1">
      <c r="A430" s="926" t="s">
        <v>2476</v>
      </c>
      <c r="B430" s="927">
        <v>44364</v>
      </c>
      <c r="C430" s="926">
        <v>9</v>
      </c>
      <c r="D430" s="926">
        <f t="shared" si="36"/>
        <v>5</v>
      </c>
      <c r="E430" s="926"/>
      <c r="F430" s="926">
        <f t="shared" si="35"/>
        <v>9</v>
      </c>
      <c r="G430" s="1013" t="s">
        <v>4674</v>
      </c>
      <c r="H430" s="929"/>
      <c r="I430" s="929" t="s">
        <v>2310</v>
      </c>
      <c r="J430" s="1705"/>
      <c r="K430" s="176"/>
      <c r="L430" s="5"/>
      <c r="M430" s="1175" t="s">
        <v>4675</v>
      </c>
      <c r="N430" s="3" t="s">
        <v>1975</v>
      </c>
      <c r="O430" s="929" t="str">
        <f t="shared" si="37"/>
        <v>RAMO 33</v>
      </c>
      <c r="P430" s="927">
        <v>44364</v>
      </c>
      <c r="Q430" s="927">
        <v>44364</v>
      </c>
      <c r="R430" s="1012" t="s">
        <v>4220</v>
      </c>
      <c r="S430" s="933"/>
      <c r="T430" s="1534"/>
      <c r="U430" s="926"/>
    </row>
    <row r="431" spans="1:21" ht="39.950000000000003" customHeight="1">
      <c r="A431" s="926" t="s">
        <v>2476</v>
      </c>
      <c r="B431" s="927">
        <v>44364</v>
      </c>
      <c r="C431" s="926">
        <v>9</v>
      </c>
      <c r="D431" s="926">
        <f t="shared" si="36"/>
        <v>5</v>
      </c>
      <c r="E431" s="510" t="s">
        <v>3447</v>
      </c>
      <c r="F431" s="926">
        <f t="shared" si="35"/>
        <v>10</v>
      </c>
      <c r="G431" s="1013" t="s">
        <v>4676</v>
      </c>
      <c r="H431" s="929"/>
      <c r="I431" s="929" t="s">
        <v>551</v>
      </c>
      <c r="J431" s="1705" t="s">
        <v>5788</v>
      </c>
      <c r="K431" s="176">
        <v>44508</v>
      </c>
      <c r="L431" s="5">
        <v>44548</v>
      </c>
      <c r="M431" s="1175" t="s">
        <v>3146</v>
      </c>
      <c r="N431" s="3" t="s">
        <v>2515</v>
      </c>
      <c r="O431" s="929" t="str">
        <f t="shared" si="37"/>
        <v>RAMO 33</v>
      </c>
      <c r="P431" s="927">
        <v>44364</v>
      </c>
      <c r="Q431" s="927">
        <v>44364</v>
      </c>
      <c r="R431" s="1012" t="s">
        <v>4220</v>
      </c>
      <c r="S431" s="933"/>
      <c r="T431" s="1700" t="s">
        <v>5782</v>
      </c>
      <c r="U431" s="926"/>
    </row>
    <row r="432" spans="1:21" ht="39.950000000000003" customHeight="1">
      <c r="A432" s="926" t="s">
        <v>2476</v>
      </c>
      <c r="B432" s="927">
        <v>44364</v>
      </c>
      <c r="C432" s="926">
        <v>9</v>
      </c>
      <c r="D432" s="926">
        <f t="shared" si="36"/>
        <v>5</v>
      </c>
      <c r="E432" s="510" t="s">
        <v>3447</v>
      </c>
      <c r="F432" s="926">
        <f t="shared" si="35"/>
        <v>11</v>
      </c>
      <c r="G432" s="1013" t="s">
        <v>4677</v>
      </c>
      <c r="H432" s="929"/>
      <c r="I432" s="929" t="s">
        <v>551</v>
      </c>
      <c r="J432" s="1705" t="s">
        <v>5788</v>
      </c>
      <c r="K432" s="176">
        <v>44508</v>
      </c>
      <c r="L432" s="5">
        <v>44548</v>
      </c>
      <c r="M432" s="1175" t="s">
        <v>3146</v>
      </c>
      <c r="N432" s="3" t="s">
        <v>2515</v>
      </c>
      <c r="O432" s="929" t="str">
        <f t="shared" si="37"/>
        <v>RAMO 33</v>
      </c>
      <c r="P432" s="927">
        <v>44364</v>
      </c>
      <c r="Q432" s="927">
        <v>44364</v>
      </c>
      <c r="R432" s="1012" t="s">
        <v>4220</v>
      </c>
      <c r="S432" s="933"/>
      <c r="T432" s="1700" t="s">
        <v>5782</v>
      </c>
      <c r="U432" s="926"/>
    </row>
    <row r="433" spans="1:21" ht="39.950000000000003" customHeight="1">
      <c r="A433" s="926" t="s">
        <v>2476</v>
      </c>
      <c r="B433" s="927">
        <v>44364</v>
      </c>
      <c r="C433" s="926">
        <v>9</v>
      </c>
      <c r="D433" s="926">
        <f t="shared" si="36"/>
        <v>5</v>
      </c>
      <c r="E433" s="1596" t="s">
        <v>3061</v>
      </c>
      <c r="F433" s="926">
        <v>1</v>
      </c>
      <c r="G433" s="1013" t="s">
        <v>4678</v>
      </c>
      <c r="H433" s="23" t="s">
        <v>3135</v>
      </c>
      <c r="I433" s="929" t="s">
        <v>551</v>
      </c>
      <c r="J433" s="1705"/>
      <c r="K433" s="176"/>
      <c r="L433" s="5"/>
      <c r="M433" s="1175" t="s">
        <v>3064</v>
      </c>
      <c r="N433" s="3" t="s">
        <v>2524</v>
      </c>
      <c r="O433" s="929" t="s">
        <v>3108</v>
      </c>
      <c r="P433" s="927">
        <v>44364</v>
      </c>
      <c r="Q433" s="927">
        <v>44364</v>
      </c>
      <c r="R433" s="1012" t="s">
        <v>4220</v>
      </c>
      <c r="S433" s="933"/>
      <c r="T433" s="1700"/>
      <c r="U433" s="926"/>
    </row>
    <row r="434" spans="1:21" ht="39.950000000000003" customHeight="1">
      <c r="A434" s="926" t="s">
        <v>2476</v>
      </c>
      <c r="B434" s="927">
        <v>44364</v>
      </c>
      <c r="C434" s="926">
        <v>9</v>
      </c>
      <c r="D434" s="926">
        <f t="shared" si="36"/>
        <v>5</v>
      </c>
      <c r="E434" s="510" t="s">
        <v>2726</v>
      </c>
      <c r="F434" s="926">
        <f t="shared" si="35"/>
        <v>2</v>
      </c>
      <c r="G434" s="1013" t="s">
        <v>4679</v>
      </c>
      <c r="H434" s="929"/>
      <c r="I434" s="929" t="s">
        <v>551</v>
      </c>
      <c r="J434" s="1705" t="s">
        <v>5789</v>
      </c>
      <c r="K434" s="176">
        <v>43945</v>
      </c>
      <c r="L434" s="5">
        <v>44098</v>
      </c>
      <c r="M434" s="1175" t="s">
        <v>4680</v>
      </c>
      <c r="N434" s="3" t="s">
        <v>2614</v>
      </c>
      <c r="O434" s="929" t="str">
        <f t="shared" si="37"/>
        <v>CEA</v>
      </c>
      <c r="P434" s="927">
        <v>44364</v>
      </c>
      <c r="Q434" s="927">
        <v>44364</v>
      </c>
      <c r="R434" s="1012" t="s">
        <v>4220</v>
      </c>
      <c r="S434" s="933"/>
      <c r="T434" s="1700" t="s">
        <v>5783</v>
      </c>
      <c r="U434" s="926"/>
    </row>
    <row r="435" spans="1:21" ht="51.75" customHeight="1">
      <c r="A435" s="926" t="s">
        <v>2476</v>
      </c>
      <c r="B435" s="927">
        <v>44364</v>
      </c>
      <c r="C435" s="926">
        <v>9</v>
      </c>
      <c r="D435" s="926">
        <f t="shared" si="36"/>
        <v>5</v>
      </c>
      <c r="E435" s="935" t="s">
        <v>3605</v>
      </c>
      <c r="F435" s="926">
        <f t="shared" si="35"/>
        <v>3</v>
      </c>
      <c r="G435" s="1013" t="s">
        <v>4681</v>
      </c>
      <c r="H435" s="929"/>
      <c r="I435" s="929" t="s">
        <v>551</v>
      </c>
      <c r="J435" s="1705" t="s">
        <v>5788</v>
      </c>
      <c r="K435" s="176">
        <v>44322</v>
      </c>
      <c r="L435" s="5">
        <v>44347</v>
      </c>
      <c r="M435" s="1175" t="s">
        <v>4642</v>
      </c>
      <c r="N435" s="3" t="s">
        <v>1975</v>
      </c>
      <c r="O435" s="929" t="str">
        <f t="shared" si="37"/>
        <v>CEA</v>
      </c>
      <c r="P435" s="927">
        <v>44364</v>
      </c>
      <c r="Q435" s="927">
        <v>44364</v>
      </c>
      <c r="R435" s="1012" t="s">
        <v>4220</v>
      </c>
      <c r="S435" s="933"/>
      <c r="T435" s="1700"/>
      <c r="U435" s="926"/>
    </row>
    <row r="436" spans="1:21" ht="57.75" customHeight="1">
      <c r="A436" s="926" t="s">
        <v>2476</v>
      </c>
      <c r="B436" s="927">
        <v>44364</v>
      </c>
      <c r="C436" s="926">
        <v>9</v>
      </c>
      <c r="D436" s="926">
        <f t="shared" si="36"/>
        <v>5</v>
      </c>
      <c r="E436" s="934" t="s">
        <v>3613</v>
      </c>
      <c r="F436" s="926">
        <v>1</v>
      </c>
      <c r="G436" s="1013" t="s">
        <v>4682</v>
      </c>
      <c r="H436" s="929"/>
      <c r="I436" s="929" t="s">
        <v>551</v>
      </c>
      <c r="J436" s="1705" t="s">
        <v>5787</v>
      </c>
      <c r="K436" s="176">
        <v>44242</v>
      </c>
      <c r="L436" s="5">
        <v>44331</v>
      </c>
      <c r="M436" s="1175" t="s">
        <v>4683</v>
      </c>
      <c r="N436" s="3" t="s">
        <v>1975</v>
      </c>
      <c r="O436" s="929" t="s">
        <v>867</v>
      </c>
      <c r="P436" s="927">
        <v>44364</v>
      </c>
      <c r="Q436" s="927">
        <v>44364</v>
      </c>
      <c r="R436" s="1012" t="s">
        <v>4220</v>
      </c>
      <c r="S436" s="933"/>
      <c r="T436" s="1700"/>
      <c r="U436" s="926"/>
    </row>
    <row r="437" spans="1:21" ht="39.950000000000003" customHeight="1">
      <c r="A437" s="926" t="s">
        <v>2476</v>
      </c>
      <c r="B437" s="927">
        <v>44364</v>
      </c>
      <c r="C437" s="926">
        <v>9</v>
      </c>
      <c r="D437" s="926">
        <f t="shared" si="36"/>
        <v>5</v>
      </c>
      <c r="E437" s="934" t="s">
        <v>3612</v>
      </c>
      <c r="F437" s="926">
        <f t="shared" si="35"/>
        <v>2</v>
      </c>
      <c r="G437" s="1013" t="s">
        <v>4684</v>
      </c>
      <c r="H437" s="929"/>
      <c r="I437" s="929" t="s">
        <v>551</v>
      </c>
      <c r="J437" s="1705" t="s">
        <v>5787</v>
      </c>
      <c r="K437" s="609">
        <v>44280</v>
      </c>
      <c r="L437" s="5">
        <v>44347</v>
      </c>
      <c r="M437" s="1175" t="s">
        <v>4685</v>
      </c>
      <c r="N437" s="3" t="s">
        <v>2604</v>
      </c>
      <c r="O437" s="929" t="str">
        <f t="shared" si="37"/>
        <v>FOCOCI</v>
      </c>
      <c r="P437" s="927">
        <v>44364</v>
      </c>
      <c r="Q437" s="927">
        <v>44364</v>
      </c>
      <c r="R437" s="1012" t="s">
        <v>4220</v>
      </c>
      <c r="S437" s="933"/>
      <c r="T437" s="1700"/>
      <c r="U437" s="926"/>
    </row>
    <row r="438" spans="1:21" ht="66" customHeight="1">
      <c r="A438" s="926" t="s">
        <v>2476</v>
      </c>
      <c r="B438" s="927">
        <v>44364</v>
      </c>
      <c r="C438" s="926">
        <v>9</v>
      </c>
      <c r="D438" s="926">
        <f t="shared" si="36"/>
        <v>5</v>
      </c>
      <c r="E438" s="926"/>
      <c r="F438" s="926">
        <v>1</v>
      </c>
      <c r="G438" s="1013" t="s">
        <v>4686</v>
      </c>
      <c r="H438" s="929"/>
      <c r="I438" s="929" t="s">
        <v>2310</v>
      </c>
      <c r="J438" s="1705"/>
      <c r="K438" s="176"/>
      <c r="L438" s="5"/>
      <c r="M438" s="1175" t="s">
        <v>4687</v>
      </c>
      <c r="N438" s="3" t="s">
        <v>1975</v>
      </c>
      <c r="O438" s="929" t="s">
        <v>4665</v>
      </c>
      <c r="P438" s="927">
        <v>44364</v>
      </c>
      <c r="Q438" s="927">
        <v>44364</v>
      </c>
      <c r="R438" s="1012" t="s">
        <v>4220</v>
      </c>
      <c r="S438" s="933"/>
      <c r="T438" s="1534"/>
      <c r="U438" s="926"/>
    </row>
    <row r="439" spans="1:21" ht="64.5" customHeight="1">
      <c r="A439" s="926" t="s">
        <v>2476</v>
      </c>
      <c r="B439" s="927">
        <v>44364</v>
      </c>
      <c r="C439" s="926">
        <v>9</v>
      </c>
      <c r="D439" s="926">
        <f t="shared" si="36"/>
        <v>5</v>
      </c>
      <c r="E439" s="926"/>
      <c r="F439" s="926">
        <f t="shared" si="35"/>
        <v>2</v>
      </c>
      <c r="G439" s="1013" t="s">
        <v>4688</v>
      </c>
      <c r="H439" s="929"/>
      <c r="I439" s="929" t="s">
        <v>2310</v>
      </c>
      <c r="J439" s="1705"/>
      <c r="K439" s="176"/>
      <c r="L439" s="5"/>
      <c r="M439" s="1175" t="s">
        <v>4689</v>
      </c>
      <c r="N439" s="3" t="s">
        <v>1975</v>
      </c>
      <c r="O439" s="929" t="str">
        <f t="shared" si="37"/>
        <v>PEPREM (SADER)</v>
      </c>
      <c r="P439" s="927">
        <v>44364</v>
      </c>
      <c r="Q439" s="927">
        <v>44364</v>
      </c>
      <c r="R439" s="1012" t="s">
        <v>4220</v>
      </c>
      <c r="S439" s="933"/>
      <c r="T439" s="1534"/>
      <c r="U439" s="926"/>
    </row>
    <row r="440" spans="1:21" ht="53.25" customHeight="1">
      <c r="A440" s="926" t="s">
        <v>2476</v>
      </c>
      <c r="B440" s="927">
        <v>44364</v>
      </c>
      <c r="C440" s="926">
        <v>9</v>
      </c>
      <c r="D440" s="926">
        <f t="shared" si="36"/>
        <v>5</v>
      </c>
      <c r="E440" s="926"/>
      <c r="F440" s="926">
        <f t="shared" si="35"/>
        <v>3</v>
      </c>
      <c r="G440" s="1013" t="s">
        <v>4690</v>
      </c>
      <c r="H440" s="929"/>
      <c r="I440" s="929" t="s">
        <v>2310</v>
      </c>
      <c r="J440" s="1705"/>
      <c r="K440" s="176"/>
      <c r="L440" s="5"/>
      <c r="M440" s="1175" t="s">
        <v>3419</v>
      </c>
      <c r="N440" s="3" t="s">
        <v>2506</v>
      </c>
      <c r="O440" s="929" t="str">
        <f t="shared" si="37"/>
        <v>PEPREM (SADER)</v>
      </c>
      <c r="P440" s="927">
        <v>44364</v>
      </c>
      <c r="Q440" s="927">
        <v>44364</v>
      </c>
      <c r="R440" s="1012" t="s">
        <v>4220</v>
      </c>
      <c r="S440" s="933"/>
      <c r="T440" s="1534"/>
      <c r="U440" s="926"/>
    </row>
    <row r="441" spans="1:21" ht="67.5" customHeight="1">
      <c r="A441" s="926" t="s">
        <v>2476</v>
      </c>
      <c r="B441" s="927">
        <v>44364</v>
      </c>
      <c r="C441" s="926">
        <v>9</v>
      </c>
      <c r="D441" s="926">
        <f t="shared" si="36"/>
        <v>5</v>
      </c>
      <c r="E441" s="926"/>
      <c r="F441" s="926">
        <f t="shared" si="35"/>
        <v>4</v>
      </c>
      <c r="G441" s="1013" t="s">
        <v>4691</v>
      </c>
      <c r="H441" s="929"/>
      <c r="I441" s="929" t="s">
        <v>2310</v>
      </c>
      <c r="J441" s="1705"/>
      <c r="K441" s="176"/>
      <c r="L441" s="5"/>
      <c r="M441" s="1175" t="s">
        <v>4692</v>
      </c>
      <c r="N441" s="3" t="s">
        <v>2506</v>
      </c>
      <c r="O441" s="929" t="str">
        <f t="shared" si="37"/>
        <v>PEPREM (SADER)</v>
      </c>
      <c r="P441" s="927">
        <v>44364</v>
      </c>
      <c r="Q441" s="927">
        <v>44364</v>
      </c>
      <c r="R441" s="1012" t="s">
        <v>4220</v>
      </c>
      <c r="S441" s="933"/>
      <c r="T441" s="1534"/>
      <c r="U441" s="926"/>
    </row>
    <row r="442" spans="1:21" ht="42.75" customHeight="1">
      <c r="A442" s="926" t="s">
        <v>2476</v>
      </c>
      <c r="B442" s="927">
        <v>44364</v>
      </c>
      <c r="C442" s="926">
        <v>9</v>
      </c>
      <c r="D442" s="926">
        <f t="shared" si="36"/>
        <v>5</v>
      </c>
      <c r="E442" s="926"/>
      <c r="F442" s="926">
        <f t="shared" si="35"/>
        <v>5</v>
      </c>
      <c r="G442" s="1013" t="s">
        <v>4693</v>
      </c>
      <c r="H442" s="929"/>
      <c r="I442" s="929" t="s">
        <v>2310</v>
      </c>
      <c r="J442" s="1705"/>
      <c r="K442" s="176"/>
      <c r="L442" s="5"/>
      <c r="M442" s="1175" t="s">
        <v>4694</v>
      </c>
      <c r="N442" s="3" t="s">
        <v>2506</v>
      </c>
      <c r="O442" s="929" t="str">
        <f t="shared" si="37"/>
        <v>PEPREM (SADER)</v>
      </c>
      <c r="P442" s="927">
        <v>44364</v>
      </c>
      <c r="Q442" s="927">
        <v>44364</v>
      </c>
      <c r="R442" s="1012" t="s">
        <v>4220</v>
      </c>
      <c r="S442" s="933"/>
      <c r="T442" s="1534"/>
      <c r="U442" s="926"/>
    </row>
    <row r="443" spans="1:21" ht="68.25" customHeight="1">
      <c r="A443" s="926" t="s">
        <v>2476</v>
      </c>
      <c r="B443" s="927">
        <v>44364</v>
      </c>
      <c r="C443" s="926">
        <v>9</v>
      </c>
      <c r="D443" s="926">
        <f t="shared" si="36"/>
        <v>5</v>
      </c>
      <c r="E443" s="935" t="s">
        <v>4048</v>
      </c>
      <c r="F443" s="926">
        <f t="shared" si="35"/>
        <v>6</v>
      </c>
      <c r="G443" s="1013" t="s">
        <v>4695</v>
      </c>
      <c r="H443" s="929"/>
      <c r="I443" s="929" t="s">
        <v>551</v>
      </c>
      <c r="J443" s="1705" t="s">
        <v>5789</v>
      </c>
      <c r="K443" s="176">
        <v>44438</v>
      </c>
      <c r="L443" s="5">
        <v>44464</v>
      </c>
      <c r="M443" s="1175" t="s">
        <v>4073</v>
      </c>
      <c r="N443" s="3" t="s">
        <v>2538</v>
      </c>
      <c r="O443" s="929" t="str">
        <f t="shared" si="37"/>
        <v>PEPREM (SADER)</v>
      </c>
      <c r="P443" s="927">
        <v>44364</v>
      </c>
      <c r="Q443" s="927">
        <v>44364</v>
      </c>
      <c r="R443" s="1012" t="s">
        <v>4220</v>
      </c>
      <c r="S443" s="933"/>
      <c r="T443" s="1700"/>
      <c r="U443" s="926"/>
    </row>
    <row r="444" spans="1:21" ht="54.75" customHeight="1">
      <c r="A444" s="926" t="s">
        <v>2476</v>
      </c>
      <c r="B444" s="927">
        <v>44364</v>
      </c>
      <c r="C444" s="926">
        <v>9</v>
      </c>
      <c r="D444" s="926">
        <f t="shared" si="36"/>
        <v>5</v>
      </c>
      <c r="E444" s="935" t="s">
        <v>4051</v>
      </c>
      <c r="F444" s="926">
        <f t="shared" si="35"/>
        <v>7</v>
      </c>
      <c r="G444" s="1013" t="s">
        <v>4696</v>
      </c>
      <c r="H444" s="929"/>
      <c r="I444" s="929" t="s">
        <v>551</v>
      </c>
      <c r="J444" s="1705" t="s">
        <v>5789</v>
      </c>
      <c r="K444" s="176">
        <v>44438</v>
      </c>
      <c r="L444" s="5">
        <v>44492</v>
      </c>
      <c r="M444" s="1175" t="s">
        <v>4697</v>
      </c>
      <c r="N444" s="3" t="s">
        <v>2538</v>
      </c>
      <c r="O444" s="929" t="str">
        <f t="shared" si="37"/>
        <v>PEPREM (SADER)</v>
      </c>
      <c r="P444" s="927">
        <v>44364</v>
      </c>
      <c r="Q444" s="927">
        <v>44364</v>
      </c>
      <c r="R444" s="1012" t="s">
        <v>4220</v>
      </c>
      <c r="S444" s="933"/>
      <c r="T444" s="1700"/>
      <c r="U444" s="926"/>
    </row>
    <row r="445" spans="1:21" ht="51.75" customHeight="1">
      <c r="A445" s="926" t="s">
        <v>2476</v>
      </c>
      <c r="B445" s="927">
        <v>44364</v>
      </c>
      <c r="C445" s="926">
        <v>9</v>
      </c>
      <c r="D445" s="926">
        <f t="shared" si="36"/>
        <v>5</v>
      </c>
      <c r="E445" s="935" t="s">
        <v>4049</v>
      </c>
      <c r="F445" s="926">
        <f t="shared" si="35"/>
        <v>8</v>
      </c>
      <c r="G445" s="1013" t="s">
        <v>4698</v>
      </c>
      <c r="H445" s="929"/>
      <c r="I445" s="929" t="s">
        <v>551</v>
      </c>
      <c r="J445" s="1705" t="s">
        <v>5789</v>
      </c>
      <c r="K445" s="176">
        <v>44153</v>
      </c>
      <c r="L445" s="5">
        <v>44191</v>
      </c>
      <c r="M445" s="1175" t="s">
        <v>4699</v>
      </c>
      <c r="N445" s="3" t="s">
        <v>2512</v>
      </c>
      <c r="O445" s="929" t="str">
        <f t="shared" si="37"/>
        <v>PEPREM (SADER)</v>
      </c>
      <c r="P445" s="927">
        <v>44364</v>
      </c>
      <c r="Q445" s="927">
        <v>44364</v>
      </c>
      <c r="R445" s="1012" t="s">
        <v>4220</v>
      </c>
      <c r="S445" s="933"/>
      <c r="T445" s="1700"/>
      <c r="U445" s="926"/>
    </row>
    <row r="446" spans="1:21" ht="57.75" customHeight="1">
      <c r="A446" s="926" t="s">
        <v>2476</v>
      </c>
      <c r="B446" s="927">
        <v>44364</v>
      </c>
      <c r="C446" s="926">
        <v>9</v>
      </c>
      <c r="D446" s="926">
        <v>6</v>
      </c>
      <c r="E446" s="935" t="s">
        <v>4049</v>
      </c>
      <c r="F446" s="926">
        <f t="shared" si="35"/>
        <v>9</v>
      </c>
      <c r="G446" s="1013" t="s">
        <v>4700</v>
      </c>
      <c r="H446" s="929"/>
      <c r="I446" s="929" t="s">
        <v>551</v>
      </c>
      <c r="J446" s="1705" t="s">
        <v>5789</v>
      </c>
      <c r="K446" s="176">
        <v>44153</v>
      </c>
      <c r="L446" s="5">
        <v>44191</v>
      </c>
      <c r="M446" s="1175" t="s">
        <v>4075</v>
      </c>
      <c r="N446" s="3" t="s">
        <v>2512</v>
      </c>
      <c r="O446" s="929" t="str">
        <f t="shared" si="37"/>
        <v>PEPREM (SADER)</v>
      </c>
      <c r="P446" s="927">
        <v>44364</v>
      </c>
      <c r="Q446" s="927">
        <v>44364</v>
      </c>
      <c r="R446" s="1012" t="s">
        <v>4220</v>
      </c>
      <c r="S446" s="933"/>
      <c r="T446" s="1700"/>
      <c r="U446" s="926"/>
    </row>
    <row r="447" spans="1:21" ht="51" customHeight="1">
      <c r="A447" s="926" t="s">
        <v>2476</v>
      </c>
      <c r="B447" s="927">
        <v>44364</v>
      </c>
      <c r="C447" s="926">
        <v>9</v>
      </c>
      <c r="D447" s="926">
        <f t="shared" ref="D447:D461" si="38">D446</f>
        <v>6</v>
      </c>
      <c r="E447" s="935" t="s">
        <v>4049</v>
      </c>
      <c r="F447" s="926">
        <f t="shared" si="35"/>
        <v>10</v>
      </c>
      <c r="G447" s="1013" t="s">
        <v>4701</v>
      </c>
      <c r="H447" s="929"/>
      <c r="I447" s="929" t="s">
        <v>551</v>
      </c>
      <c r="J447" s="1705" t="s">
        <v>5789</v>
      </c>
      <c r="K447" s="176">
        <v>44153</v>
      </c>
      <c r="L447" s="5">
        <v>44191</v>
      </c>
      <c r="M447" s="1175" t="s">
        <v>4702</v>
      </c>
      <c r="N447" s="3" t="s">
        <v>2512</v>
      </c>
      <c r="O447" s="929" t="str">
        <f t="shared" ref="O447:O461" si="39">O446</f>
        <v>PEPREM (SADER)</v>
      </c>
      <c r="P447" s="927">
        <v>44364</v>
      </c>
      <c r="Q447" s="927">
        <v>44364</v>
      </c>
      <c r="R447" s="1012" t="s">
        <v>4220</v>
      </c>
      <c r="S447" s="933"/>
      <c r="T447" s="1700"/>
      <c r="U447" s="926"/>
    </row>
    <row r="448" spans="1:21" ht="53.25" customHeight="1">
      <c r="A448" s="926" t="s">
        <v>2476</v>
      </c>
      <c r="B448" s="927">
        <v>44364</v>
      </c>
      <c r="C448" s="926">
        <v>9</v>
      </c>
      <c r="D448" s="926">
        <f t="shared" si="38"/>
        <v>6</v>
      </c>
      <c r="E448" s="926"/>
      <c r="F448" s="926">
        <f t="shared" si="35"/>
        <v>11</v>
      </c>
      <c r="G448" s="1013" t="s">
        <v>4703</v>
      </c>
      <c r="H448" s="929"/>
      <c r="I448" s="929" t="s">
        <v>2310</v>
      </c>
      <c r="J448" s="1705"/>
      <c r="K448" s="176"/>
      <c r="L448" s="5"/>
      <c r="M448" s="1175" t="s">
        <v>4704</v>
      </c>
      <c r="N448" s="3" t="s">
        <v>2663</v>
      </c>
      <c r="O448" s="929" t="str">
        <f t="shared" si="39"/>
        <v>PEPREM (SADER)</v>
      </c>
      <c r="P448" s="927">
        <v>44364</v>
      </c>
      <c r="Q448" s="927">
        <v>44364</v>
      </c>
      <c r="R448" s="1012" t="s">
        <v>4220</v>
      </c>
      <c r="S448" s="933"/>
      <c r="T448" s="1534"/>
      <c r="U448" s="926"/>
    </row>
    <row r="449" spans="1:21" ht="53.25" customHeight="1">
      <c r="A449" s="926" t="s">
        <v>2476</v>
      </c>
      <c r="B449" s="927">
        <v>44364</v>
      </c>
      <c r="C449" s="926">
        <v>9</v>
      </c>
      <c r="D449" s="926">
        <f t="shared" si="38"/>
        <v>6</v>
      </c>
      <c r="E449" s="926"/>
      <c r="F449" s="926">
        <f t="shared" si="35"/>
        <v>12</v>
      </c>
      <c r="G449" s="1013" t="s">
        <v>4705</v>
      </c>
      <c r="H449" s="929"/>
      <c r="I449" s="929" t="s">
        <v>2310</v>
      </c>
      <c r="J449" s="1705"/>
      <c r="K449" s="176"/>
      <c r="L449" s="5"/>
      <c r="M449" s="1175" t="s">
        <v>4706</v>
      </c>
      <c r="N449" s="3" t="s">
        <v>2614</v>
      </c>
      <c r="O449" s="929" t="str">
        <f t="shared" si="39"/>
        <v>PEPREM (SADER)</v>
      </c>
      <c r="P449" s="927">
        <v>44364</v>
      </c>
      <c r="Q449" s="927">
        <v>44364</v>
      </c>
      <c r="R449" s="1012" t="s">
        <v>4220</v>
      </c>
      <c r="S449" s="933"/>
      <c r="T449" s="1534"/>
      <c r="U449" s="926"/>
    </row>
    <row r="450" spans="1:21" ht="57.75" customHeight="1">
      <c r="A450" s="926" t="s">
        <v>2476</v>
      </c>
      <c r="B450" s="927">
        <v>44364</v>
      </c>
      <c r="C450" s="926">
        <v>9</v>
      </c>
      <c r="D450" s="926">
        <f t="shared" si="38"/>
        <v>6</v>
      </c>
      <c r="E450" s="926"/>
      <c r="F450" s="926">
        <f t="shared" si="35"/>
        <v>13</v>
      </c>
      <c r="G450" s="1013" t="s">
        <v>4707</v>
      </c>
      <c r="H450" s="929"/>
      <c r="I450" s="929" t="s">
        <v>2310</v>
      </c>
      <c r="J450" s="1705"/>
      <c r="K450" s="176"/>
      <c r="L450" s="5"/>
      <c r="M450" s="1175" t="s">
        <v>2619</v>
      </c>
      <c r="N450" s="3" t="s">
        <v>2614</v>
      </c>
      <c r="O450" s="929" t="str">
        <f t="shared" si="39"/>
        <v>PEPREM (SADER)</v>
      </c>
      <c r="P450" s="927">
        <v>44364</v>
      </c>
      <c r="Q450" s="927">
        <v>44364</v>
      </c>
      <c r="R450" s="1012" t="s">
        <v>4220</v>
      </c>
      <c r="S450" s="933"/>
      <c r="T450" s="1534"/>
      <c r="U450" s="926"/>
    </row>
    <row r="451" spans="1:21" ht="51.75" customHeight="1">
      <c r="A451" s="926" t="s">
        <v>2476</v>
      </c>
      <c r="B451" s="927">
        <v>44364</v>
      </c>
      <c r="C451" s="926">
        <v>9</v>
      </c>
      <c r="D451" s="926">
        <f t="shared" si="38"/>
        <v>6</v>
      </c>
      <c r="E451" s="935" t="s">
        <v>4051</v>
      </c>
      <c r="F451" s="926">
        <f t="shared" si="35"/>
        <v>14</v>
      </c>
      <c r="G451" s="1013" t="s">
        <v>4708</v>
      </c>
      <c r="H451" s="929"/>
      <c r="I451" s="929" t="s">
        <v>551</v>
      </c>
      <c r="J451" s="1705" t="s">
        <v>5789</v>
      </c>
      <c r="K451" s="176">
        <v>44438</v>
      </c>
      <c r="L451" s="5">
        <v>44492</v>
      </c>
      <c r="M451" s="1175" t="s">
        <v>2488</v>
      </c>
      <c r="N451" s="3" t="s">
        <v>2577</v>
      </c>
      <c r="O451" s="929" t="str">
        <f t="shared" si="39"/>
        <v>PEPREM (SADER)</v>
      </c>
      <c r="P451" s="927">
        <v>44364</v>
      </c>
      <c r="Q451" s="927">
        <v>44364</v>
      </c>
      <c r="R451" s="1012" t="s">
        <v>4220</v>
      </c>
      <c r="S451" s="933"/>
      <c r="T451" s="1700"/>
      <c r="U451" s="926"/>
    </row>
    <row r="452" spans="1:21" ht="61.5" customHeight="1">
      <c r="A452" s="926" t="s">
        <v>2476</v>
      </c>
      <c r="B452" s="927">
        <v>44364</v>
      </c>
      <c r="C452" s="926">
        <v>9</v>
      </c>
      <c r="D452" s="926">
        <f t="shared" si="38"/>
        <v>6</v>
      </c>
      <c r="E452" s="935" t="s">
        <v>4051</v>
      </c>
      <c r="F452" s="926">
        <f t="shared" si="35"/>
        <v>15</v>
      </c>
      <c r="G452" s="1013" t="s">
        <v>4709</v>
      </c>
      <c r="H452" s="929"/>
      <c r="I452" s="929" t="s">
        <v>551</v>
      </c>
      <c r="J452" s="1705" t="s">
        <v>5789</v>
      </c>
      <c r="K452" s="176">
        <v>44438</v>
      </c>
      <c r="L452" s="5">
        <v>44492</v>
      </c>
      <c r="M452" s="1175" t="s">
        <v>4710</v>
      </c>
      <c r="N452" s="3" t="s">
        <v>2577</v>
      </c>
      <c r="O452" s="929" t="str">
        <f t="shared" si="39"/>
        <v>PEPREM (SADER)</v>
      </c>
      <c r="P452" s="927">
        <v>44364</v>
      </c>
      <c r="Q452" s="927">
        <v>44364</v>
      </c>
      <c r="R452" s="1012" t="s">
        <v>4220</v>
      </c>
      <c r="S452" s="933"/>
      <c r="T452" s="1700"/>
      <c r="U452" s="926"/>
    </row>
    <row r="453" spans="1:21" ht="54.75" customHeight="1">
      <c r="A453" s="926" t="s">
        <v>2476</v>
      </c>
      <c r="B453" s="927">
        <v>44364</v>
      </c>
      <c r="C453" s="926">
        <v>9</v>
      </c>
      <c r="D453" s="926">
        <f t="shared" si="38"/>
        <v>6</v>
      </c>
      <c r="E453" s="926"/>
      <c r="F453" s="926">
        <f t="shared" si="35"/>
        <v>16</v>
      </c>
      <c r="G453" s="1013" t="s">
        <v>4711</v>
      </c>
      <c r="H453" s="929"/>
      <c r="I453" s="929" t="s">
        <v>2310</v>
      </c>
      <c r="J453" s="1705"/>
      <c r="K453" s="176"/>
      <c r="L453" s="5"/>
      <c r="M453" s="1175" t="s">
        <v>2619</v>
      </c>
      <c r="N453" s="3" t="s">
        <v>2515</v>
      </c>
      <c r="O453" s="929" t="str">
        <f t="shared" si="39"/>
        <v>PEPREM (SADER)</v>
      </c>
      <c r="P453" s="927">
        <v>44364</v>
      </c>
      <c r="Q453" s="927">
        <v>44364</v>
      </c>
      <c r="R453" s="1012" t="s">
        <v>4220</v>
      </c>
      <c r="S453" s="933"/>
      <c r="T453" s="1534"/>
      <c r="U453" s="926"/>
    </row>
    <row r="454" spans="1:21" ht="51" customHeight="1">
      <c r="A454" s="926" t="s">
        <v>2476</v>
      </c>
      <c r="B454" s="927">
        <v>44364</v>
      </c>
      <c r="C454" s="926">
        <v>9</v>
      </c>
      <c r="D454" s="926">
        <f t="shared" si="38"/>
        <v>6</v>
      </c>
      <c r="E454" s="926"/>
      <c r="F454" s="926">
        <f t="shared" si="35"/>
        <v>17</v>
      </c>
      <c r="G454" s="1013" t="s">
        <v>4712</v>
      </c>
      <c r="H454" s="929"/>
      <c r="I454" s="929" t="s">
        <v>2310</v>
      </c>
      <c r="J454" s="1705"/>
      <c r="K454" s="176"/>
      <c r="L454" s="5"/>
      <c r="M454" s="1175" t="s">
        <v>4713</v>
      </c>
      <c r="N454" s="3" t="s">
        <v>2515</v>
      </c>
      <c r="O454" s="929" t="str">
        <f t="shared" si="39"/>
        <v>PEPREM (SADER)</v>
      </c>
      <c r="P454" s="927">
        <v>44364</v>
      </c>
      <c r="Q454" s="927">
        <v>44364</v>
      </c>
      <c r="R454" s="1012" t="s">
        <v>4220</v>
      </c>
      <c r="S454" s="933"/>
      <c r="T454" s="1534"/>
      <c r="U454" s="926"/>
    </row>
    <row r="455" spans="1:21" ht="51.75" customHeight="1">
      <c r="A455" s="926" t="s">
        <v>2476</v>
      </c>
      <c r="B455" s="927">
        <v>44364</v>
      </c>
      <c r="C455" s="926">
        <v>9</v>
      </c>
      <c r="D455" s="926">
        <f t="shared" si="38"/>
        <v>6</v>
      </c>
      <c r="E455" s="926"/>
      <c r="F455" s="926">
        <f t="shared" si="35"/>
        <v>18</v>
      </c>
      <c r="G455" s="1013" t="s">
        <v>4714</v>
      </c>
      <c r="H455" s="929"/>
      <c r="I455" s="929" t="s">
        <v>2310</v>
      </c>
      <c r="J455" s="1705"/>
      <c r="K455" s="176"/>
      <c r="L455" s="5"/>
      <c r="M455" s="1175" t="s">
        <v>2570</v>
      </c>
      <c r="N455" s="3" t="s">
        <v>2515</v>
      </c>
      <c r="O455" s="929" t="str">
        <f t="shared" si="39"/>
        <v>PEPREM (SADER)</v>
      </c>
      <c r="P455" s="927">
        <v>44364</v>
      </c>
      <c r="Q455" s="927">
        <v>44364</v>
      </c>
      <c r="R455" s="1012" t="s">
        <v>4220</v>
      </c>
      <c r="S455" s="933"/>
      <c r="T455" s="1534"/>
      <c r="U455" s="926"/>
    </row>
    <row r="456" spans="1:21" ht="53.25" customHeight="1">
      <c r="A456" s="926" t="s">
        <v>2476</v>
      </c>
      <c r="B456" s="927">
        <v>44364</v>
      </c>
      <c r="C456" s="926">
        <v>9</v>
      </c>
      <c r="D456" s="926">
        <f t="shared" si="38"/>
        <v>6</v>
      </c>
      <c r="E456" s="935" t="s">
        <v>4053</v>
      </c>
      <c r="F456" s="926">
        <f t="shared" ref="F456:F471" si="40">F455+1</f>
        <v>19</v>
      </c>
      <c r="G456" s="1013" t="s">
        <v>4715</v>
      </c>
      <c r="H456" s="929"/>
      <c r="I456" s="929" t="s">
        <v>551</v>
      </c>
      <c r="J456" s="1705" t="s">
        <v>5789</v>
      </c>
      <c r="K456" s="176">
        <v>44513</v>
      </c>
      <c r="L456" s="5">
        <v>44541</v>
      </c>
      <c r="M456" s="1175" t="s">
        <v>3146</v>
      </c>
      <c r="N456" s="3" t="s">
        <v>2515</v>
      </c>
      <c r="O456" s="929" t="str">
        <f t="shared" si="39"/>
        <v>PEPREM (SADER)</v>
      </c>
      <c r="P456" s="927">
        <v>44364</v>
      </c>
      <c r="Q456" s="927">
        <v>44364</v>
      </c>
      <c r="R456" s="1012" t="s">
        <v>4220</v>
      </c>
      <c r="S456" s="933"/>
      <c r="T456" s="1700"/>
      <c r="U456" s="926"/>
    </row>
    <row r="457" spans="1:21" ht="54.75" customHeight="1">
      <c r="A457" s="926" t="s">
        <v>2476</v>
      </c>
      <c r="B457" s="927">
        <v>44364</v>
      </c>
      <c r="C457" s="926">
        <v>9</v>
      </c>
      <c r="D457" s="926">
        <f t="shared" si="38"/>
        <v>6</v>
      </c>
      <c r="E457" s="935" t="s">
        <v>2733</v>
      </c>
      <c r="F457" s="926">
        <f t="shared" si="40"/>
        <v>20</v>
      </c>
      <c r="G457" s="1013" t="s">
        <v>4716</v>
      </c>
      <c r="H457" s="929"/>
      <c r="I457" s="929" t="s">
        <v>551</v>
      </c>
      <c r="J457" s="1705" t="s">
        <v>5789</v>
      </c>
      <c r="K457" s="176">
        <v>44166</v>
      </c>
      <c r="L457" s="5">
        <v>44196</v>
      </c>
      <c r="M457" s="1175" t="s">
        <v>3419</v>
      </c>
      <c r="N457" s="3" t="s">
        <v>1976</v>
      </c>
      <c r="O457" s="929" t="str">
        <f t="shared" si="39"/>
        <v>PEPREM (SADER)</v>
      </c>
      <c r="P457" s="927">
        <v>44364</v>
      </c>
      <c r="Q457" s="927">
        <v>44364</v>
      </c>
      <c r="R457" s="1012" t="s">
        <v>4220</v>
      </c>
      <c r="S457" s="933"/>
      <c r="T457" s="1700"/>
      <c r="U457" s="926"/>
    </row>
    <row r="458" spans="1:21" ht="39.950000000000003" customHeight="1">
      <c r="A458" s="926" t="s">
        <v>2476</v>
      </c>
      <c r="B458" s="927">
        <v>44364</v>
      </c>
      <c r="C458" s="926">
        <v>9</v>
      </c>
      <c r="D458" s="926">
        <f t="shared" si="38"/>
        <v>6</v>
      </c>
      <c r="E458" s="926"/>
      <c r="F458" s="926">
        <f t="shared" si="40"/>
        <v>21</v>
      </c>
      <c r="G458" s="1013" t="s">
        <v>4717</v>
      </c>
      <c r="H458" s="929"/>
      <c r="I458" s="929" t="s">
        <v>2310</v>
      </c>
      <c r="J458" s="1705"/>
      <c r="K458" s="176"/>
      <c r="L458" s="5"/>
      <c r="M458" s="1175" t="s">
        <v>4718</v>
      </c>
      <c r="N458" s="3" t="s">
        <v>1976</v>
      </c>
      <c r="O458" s="929" t="str">
        <f t="shared" si="39"/>
        <v>PEPREM (SADER)</v>
      </c>
      <c r="P458" s="927">
        <v>44364</v>
      </c>
      <c r="Q458" s="927">
        <v>44364</v>
      </c>
      <c r="R458" s="1012" t="s">
        <v>4220</v>
      </c>
      <c r="S458" s="933"/>
      <c r="T458" s="1534"/>
      <c r="U458" s="926"/>
    </row>
    <row r="459" spans="1:21" ht="60" customHeight="1">
      <c r="A459" s="926" t="s">
        <v>2476</v>
      </c>
      <c r="B459" s="927">
        <v>44364</v>
      </c>
      <c r="C459" s="926">
        <v>9</v>
      </c>
      <c r="D459" s="926">
        <f t="shared" si="38"/>
        <v>6</v>
      </c>
      <c r="E459" s="926"/>
      <c r="F459" s="926">
        <f t="shared" si="40"/>
        <v>22</v>
      </c>
      <c r="G459" s="1013" t="s">
        <v>4719</v>
      </c>
      <c r="H459" s="929"/>
      <c r="I459" s="929" t="s">
        <v>2310</v>
      </c>
      <c r="J459" s="1705"/>
      <c r="K459" s="176"/>
      <c r="L459" s="5"/>
      <c r="M459" s="1175" t="s">
        <v>4720</v>
      </c>
      <c r="N459" s="3" t="s">
        <v>1976</v>
      </c>
      <c r="O459" s="929" t="str">
        <f t="shared" si="39"/>
        <v>PEPREM (SADER)</v>
      </c>
      <c r="P459" s="927">
        <v>44364</v>
      </c>
      <c r="Q459" s="927">
        <v>44364</v>
      </c>
      <c r="R459" s="1012" t="s">
        <v>4220</v>
      </c>
      <c r="S459" s="933"/>
      <c r="T459" s="1534"/>
      <c r="U459" s="926"/>
    </row>
    <row r="460" spans="1:21" ht="53.25" customHeight="1">
      <c r="A460" s="926" t="s">
        <v>2476</v>
      </c>
      <c r="B460" s="927">
        <v>44364</v>
      </c>
      <c r="C460" s="926">
        <v>9</v>
      </c>
      <c r="D460" s="926">
        <f t="shared" si="38"/>
        <v>6</v>
      </c>
      <c r="E460" s="926"/>
      <c r="F460" s="926">
        <f t="shared" si="40"/>
        <v>23</v>
      </c>
      <c r="G460" s="1013" t="s">
        <v>4721</v>
      </c>
      <c r="H460" s="929"/>
      <c r="I460" s="929" t="s">
        <v>2310</v>
      </c>
      <c r="J460" s="1705"/>
      <c r="K460" s="176"/>
      <c r="L460" s="5"/>
      <c r="M460" s="1175" t="s">
        <v>2488</v>
      </c>
      <c r="N460" s="3" t="s">
        <v>1976</v>
      </c>
      <c r="O460" s="929" t="str">
        <f t="shared" si="39"/>
        <v>PEPREM (SADER)</v>
      </c>
      <c r="P460" s="927">
        <v>44364</v>
      </c>
      <c r="Q460" s="927">
        <v>44364</v>
      </c>
      <c r="R460" s="1012" t="s">
        <v>4220</v>
      </c>
      <c r="S460" s="933"/>
      <c r="T460" s="1534"/>
      <c r="U460" s="926"/>
    </row>
    <row r="461" spans="1:21" ht="54.75" customHeight="1">
      <c r="A461" s="926" t="s">
        <v>2476</v>
      </c>
      <c r="B461" s="927">
        <v>44364</v>
      </c>
      <c r="C461" s="926">
        <v>9</v>
      </c>
      <c r="D461" s="926">
        <f t="shared" si="38"/>
        <v>6</v>
      </c>
      <c r="E461" s="926"/>
      <c r="F461" s="926">
        <f t="shared" si="40"/>
        <v>24</v>
      </c>
      <c r="G461" s="1013" t="s">
        <v>4722</v>
      </c>
      <c r="H461" s="929"/>
      <c r="I461" s="929" t="s">
        <v>2310</v>
      </c>
      <c r="J461" s="1705"/>
      <c r="K461" s="176"/>
      <c r="L461" s="5"/>
      <c r="M461" s="1175" t="s">
        <v>4706</v>
      </c>
      <c r="N461" s="3" t="s">
        <v>1976</v>
      </c>
      <c r="O461" s="929" t="str">
        <f t="shared" si="39"/>
        <v>PEPREM (SADER)</v>
      </c>
      <c r="P461" s="927">
        <v>44364</v>
      </c>
      <c r="Q461" s="927">
        <v>44364</v>
      </c>
      <c r="R461" s="1012" t="s">
        <v>4220</v>
      </c>
      <c r="S461" s="933"/>
      <c r="T461" s="1534"/>
      <c r="U461" s="926"/>
    </row>
    <row r="462" spans="1:21" ht="56.25" customHeight="1">
      <c r="A462" s="926" t="s">
        <v>2476</v>
      </c>
      <c r="B462" s="927">
        <v>44364</v>
      </c>
      <c r="C462" s="926">
        <v>9</v>
      </c>
      <c r="D462" s="926">
        <f t="shared" ref="D462:D471" si="41">D461</f>
        <v>6</v>
      </c>
      <c r="E462" s="926"/>
      <c r="F462" s="926">
        <f t="shared" si="40"/>
        <v>25</v>
      </c>
      <c r="G462" s="1013" t="s">
        <v>4723</v>
      </c>
      <c r="H462" s="929"/>
      <c r="I462" s="929" t="s">
        <v>2310</v>
      </c>
      <c r="J462" s="1705"/>
      <c r="K462" s="176"/>
      <c r="L462" s="5"/>
      <c r="M462" s="1175" t="s">
        <v>4724</v>
      </c>
      <c r="N462" s="3" t="s">
        <v>1976</v>
      </c>
      <c r="O462" s="929" t="str">
        <f t="shared" ref="O462:O471" si="42">O461</f>
        <v>PEPREM (SADER)</v>
      </c>
      <c r="P462" s="927">
        <v>44364</v>
      </c>
      <c r="Q462" s="927">
        <v>44364</v>
      </c>
      <c r="R462" s="1012" t="s">
        <v>4220</v>
      </c>
      <c r="S462" s="933"/>
      <c r="T462" s="1534"/>
      <c r="U462" s="926"/>
    </row>
    <row r="463" spans="1:21" ht="51.75" customHeight="1">
      <c r="A463" s="926" t="s">
        <v>2476</v>
      </c>
      <c r="B463" s="927">
        <v>44364</v>
      </c>
      <c r="C463" s="926">
        <v>9</v>
      </c>
      <c r="D463" s="926">
        <f t="shared" si="41"/>
        <v>6</v>
      </c>
      <c r="E463" s="935" t="s">
        <v>4050</v>
      </c>
      <c r="F463" s="926">
        <f t="shared" si="40"/>
        <v>26</v>
      </c>
      <c r="G463" s="1013" t="s">
        <v>4725</v>
      </c>
      <c r="H463" s="929"/>
      <c r="I463" s="929" t="s">
        <v>551</v>
      </c>
      <c r="J463" s="1705" t="s">
        <v>5789</v>
      </c>
      <c r="K463" s="176">
        <v>44466</v>
      </c>
      <c r="L463" s="5">
        <v>44541</v>
      </c>
      <c r="M463" s="1175" t="s">
        <v>3425</v>
      </c>
      <c r="N463" s="3" t="s">
        <v>2524</v>
      </c>
      <c r="O463" s="929" t="str">
        <f t="shared" si="42"/>
        <v>PEPREM (SADER)</v>
      </c>
      <c r="P463" s="927">
        <v>44364</v>
      </c>
      <c r="Q463" s="927">
        <v>44364</v>
      </c>
      <c r="R463" s="1012" t="s">
        <v>4220</v>
      </c>
      <c r="S463" s="933"/>
      <c r="T463" s="1700"/>
      <c r="U463" s="926"/>
    </row>
    <row r="464" spans="1:21" ht="39.950000000000003" customHeight="1">
      <c r="A464" s="926" t="s">
        <v>2476</v>
      </c>
      <c r="B464" s="927">
        <v>44364</v>
      </c>
      <c r="C464" s="926">
        <v>9</v>
      </c>
      <c r="D464" s="926">
        <f t="shared" si="41"/>
        <v>6</v>
      </c>
      <c r="E464" s="935" t="s">
        <v>4050</v>
      </c>
      <c r="F464" s="926">
        <f t="shared" si="40"/>
        <v>27</v>
      </c>
      <c r="G464" s="1013" t="s">
        <v>4726</v>
      </c>
      <c r="H464" s="929"/>
      <c r="I464" s="929" t="s">
        <v>551</v>
      </c>
      <c r="J464" s="1705" t="s">
        <v>5789</v>
      </c>
      <c r="K464" s="176">
        <v>44466</v>
      </c>
      <c r="L464" s="5">
        <v>44541</v>
      </c>
      <c r="M464" s="1175" t="s">
        <v>2714</v>
      </c>
      <c r="N464" s="3" t="s">
        <v>2524</v>
      </c>
      <c r="O464" s="929" t="str">
        <f t="shared" si="42"/>
        <v>PEPREM (SADER)</v>
      </c>
      <c r="P464" s="927">
        <v>44364</v>
      </c>
      <c r="Q464" s="927">
        <v>44364</v>
      </c>
      <c r="R464" s="1012" t="s">
        <v>4220</v>
      </c>
      <c r="S464" s="933"/>
      <c r="T464" s="1700"/>
      <c r="U464" s="926"/>
    </row>
    <row r="465" spans="1:21" ht="56.25" customHeight="1">
      <c r="A465" s="926" t="s">
        <v>2476</v>
      </c>
      <c r="B465" s="927">
        <v>44364</v>
      </c>
      <c r="C465" s="926">
        <v>9</v>
      </c>
      <c r="D465" s="926">
        <f t="shared" si="41"/>
        <v>6</v>
      </c>
      <c r="E465" s="935" t="s">
        <v>4050</v>
      </c>
      <c r="F465" s="926">
        <f t="shared" si="40"/>
        <v>28</v>
      </c>
      <c r="G465" s="1013" t="s">
        <v>4727</v>
      </c>
      <c r="H465" s="929"/>
      <c r="I465" s="929" t="s">
        <v>551</v>
      </c>
      <c r="J465" s="1705" t="s">
        <v>5789</v>
      </c>
      <c r="K465" s="176">
        <v>44466</v>
      </c>
      <c r="L465" s="5">
        <v>44541</v>
      </c>
      <c r="M465" s="1175" t="s">
        <v>2703</v>
      </c>
      <c r="N465" s="3" t="s">
        <v>2524</v>
      </c>
      <c r="O465" s="929" t="str">
        <f t="shared" si="42"/>
        <v>PEPREM (SADER)</v>
      </c>
      <c r="P465" s="927">
        <v>44364</v>
      </c>
      <c r="Q465" s="927">
        <v>44364</v>
      </c>
      <c r="R465" s="1012" t="s">
        <v>4220</v>
      </c>
      <c r="S465" s="933"/>
      <c r="T465" s="1700"/>
      <c r="U465" s="926"/>
    </row>
    <row r="466" spans="1:21" ht="49.5" customHeight="1">
      <c r="A466" s="926" t="s">
        <v>2476</v>
      </c>
      <c r="B466" s="927">
        <v>44364</v>
      </c>
      <c r="C466" s="926">
        <v>9</v>
      </c>
      <c r="D466" s="926">
        <f t="shared" si="41"/>
        <v>6</v>
      </c>
      <c r="E466" s="935" t="s">
        <v>4050</v>
      </c>
      <c r="F466" s="926">
        <f t="shared" si="40"/>
        <v>29</v>
      </c>
      <c r="G466" s="1013" t="s">
        <v>4728</v>
      </c>
      <c r="H466" s="929"/>
      <c r="I466" s="929" t="s">
        <v>551</v>
      </c>
      <c r="J466" s="1705" t="s">
        <v>5789</v>
      </c>
      <c r="K466" s="176">
        <v>44466</v>
      </c>
      <c r="L466" s="5">
        <v>44541</v>
      </c>
      <c r="M466" s="1175" t="s">
        <v>4729</v>
      </c>
      <c r="N466" s="3" t="s">
        <v>2524</v>
      </c>
      <c r="O466" s="929" t="str">
        <f t="shared" si="42"/>
        <v>PEPREM (SADER)</v>
      </c>
      <c r="P466" s="927">
        <v>44364</v>
      </c>
      <c r="Q466" s="927">
        <v>44364</v>
      </c>
      <c r="R466" s="1012" t="s">
        <v>4220</v>
      </c>
      <c r="S466" s="933"/>
      <c r="T466" s="1700"/>
      <c r="U466" s="926"/>
    </row>
    <row r="467" spans="1:21" ht="57.75" customHeight="1">
      <c r="A467" s="926" t="s">
        <v>2476</v>
      </c>
      <c r="B467" s="927">
        <v>44364</v>
      </c>
      <c r="C467" s="926">
        <v>9</v>
      </c>
      <c r="D467" s="926">
        <f t="shared" si="41"/>
        <v>6</v>
      </c>
      <c r="E467" s="926"/>
      <c r="F467" s="926">
        <f t="shared" si="40"/>
        <v>30</v>
      </c>
      <c r="G467" s="1013" t="s">
        <v>4730</v>
      </c>
      <c r="H467" s="929"/>
      <c r="I467" s="929" t="s">
        <v>2310</v>
      </c>
      <c r="J467" s="1705"/>
      <c r="K467" s="176"/>
      <c r="L467" s="5"/>
      <c r="M467" s="1175" t="s">
        <v>4731</v>
      </c>
      <c r="N467" s="3" t="s">
        <v>2532</v>
      </c>
      <c r="O467" s="929" t="str">
        <f t="shared" si="42"/>
        <v>PEPREM (SADER)</v>
      </c>
      <c r="P467" s="927">
        <v>44364</v>
      </c>
      <c r="Q467" s="927">
        <v>44364</v>
      </c>
      <c r="R467" s="1012" t="s">
        <v>4220</v>
      </c>
      <c r="S467" s="933"/>
      <c r="T467" s="1534"/>
      <c r="U467" s="926"/>
    </row>
    <row r="468" spans="1:21" ht="51.75" customHeight="1">
      <c r="A468" s="926" t="s">
        <v>2476</v>
      </c>
      <c r="B468" s="927">
        <v>44364</v>
      </c>
      <c r="C468" s="926">
        <v>9</v>
      </c>
      <c r="D468" s="926">
        <f t="shared" si="41"/>
        <v>6</v>
      </c>
      <c r="E468" s="926"/>
      <c r="F468" s="926">
        <f t="shared" si="40"/>
        <v>31</v>
      </c>
      <c r="G468" s="1013" t="s">
        <v>4732</v>
      </c>
      <c r="H468" s="929"/>
      <c r="I468" s="929" t="s">
        <v>2310</v>
      </c>
      <c r="J468" s="1705"/>
      <c r="K468" s="176"/>
      <c r="L468" s="5"/>
      <c r="M468" s="1175" t="s">
        <v>2619</v>
      </c>
      <c r="N468" s="3" t="s">
        <v>2532</v>
      </c>
      <c r="O468" s="929" t="str">
        <f t="shared" si="42"/>
        <v>PEPREM (SADER)</v>
      </c>
      <c r="P468" s="927">
        <v>44364</v>
      </c>
      <c r="Q468" s="927">
        <v>44364</v>
      </c>
      <c r="R468" s="1012" t="s">
        <v>4220</v>
      </c>
      <c r="S468" s="933"/>
      <c r="T468" s="1534"/>
      <c r="U468" s="926"/>
    </row>
    <row r="469" spans="1:21" ht="56.25" customHeight="1">
      <c r="A469" s="926" t="s">
        <v>2476</v>
      </c>
      <c r="B469" s="927">
        <v>44364</v>
      </c>
      <c r="C469" s="926">
        <v>9</v>
      </c>
      <c r="D469" s="926">
        <f t="shared" si="41"/>
        <v>6</v>
      </c>
      <c r="E469" s="935" t="s">
        <v>4051</v>
      </c>
      <c r="F469" s="926">
        <f t="shared" si="40"/>
        <v>32</v>
      </c>
      <c r="G469" s="1013" t="s">
        <v>4733</v>
      </c>
      <c r="H469" s="929"/>
      <c r="I469" s="929" t="s">
        <v>551</v>
      </c>
      <c r="J469" s="1705" t="s">
        <v>5789</v>
      </c>
      <c r="K469" s="176">
        <v>44438</v>
      </c>
      <c r="L469" s="5">
        <v>44492</v>
      </c>
      <c r="M469" s="1175" t="s">
        <v>2488</v>
      </c>
      <c r="N469" s="3" t="s">
        <v>2577</v>
      </c>
      <c r="O469" s="929" t="str">
        <f t="shared" si="42"/>
        <v>PEPREM (SADER)</v>
      </c>
      <c r="P469" s="927">
        <v>44364</v>
      </c>
      <c r="Q469" s="927">
        <v>44364</v>
      </c>
      <c r="R469" s="1012" t="s">
        <v>4220</v>
      </c>
      <c r="S469" s="933"/>
      <c r="T469" s="1700"/>
      <c r="U469" s="926"/>
    </row>
    <row r="470" spans="1:21" ht="39.950000000000003" customHeight="1">
      <c r="A470" s="926" t="s">
        <v>2476</v>
      </c>
      <c r="B470" s="927">
        <v>44364</v>
      </c>
      <c r="C470" s="926">
        <v>9</v>
      </c>
      <c r="D470" s="926">
        <f t="shared" si="41"/>
        <v>6</v>
      </c>
      <c r="E470" s="926"/>
      <c r="F470" s="926">
        <f t="shared" si="40"/>
        <v>33</v>
      </c>
      <c r="G470" s="1013" t="s">
        <v>4734</v>
      </c>
      <c r="H470" s="929"/>
      <c r="I470" s="929" t="s">
        <v>2310</v>
      </c>
      <c r="J470" s="1705"/>
      <c r="K470" s="176"/>
      <c r="L470" s="5"/>
      <c r="M470" s="1175" t="s">
        <v>3420</v>
      </c>
      <c r="N470" s="3" t="s">
        <v>2512</v>
      </c>
      <c r="O470" s="929" t="str">
        <f t="shared" si="42"/>
        <v>PEPREM (SADER)</v>
      </c>
      <c r="P470" s="927">
        <v>44364</v>
      </c>
      <c r="Q470" s="927">
        <v>44364</v>
      </c>
      <c r="R470" s="1012" t="s">
        <v>4220</v>
      </c>
      <c r="S470" s="933"/>
      <c r="T470" s="1534"/>
      <c r="U470" s="926"/>
    </row>
    <row r="471" spans="1:21" ht="64.5" customHeight="1">
      <c r="A471" s="926" t="s">
        <v>2476</v>
      </c>
      <c r="B471" s="927">
        <v>44364</v>
      </c>
      <c r="C471" s="926">
        <v>9</v>
      </c>
      <c r="D471" s="926">
        <f t="shared" si="41"/>
        <v>6</v>
      </c>
      <c r="E471" s="935" t="s">
        <v>4052</v>
      </c>
      <c r="F471" s="926">
        <f t="shared" si="40"/>
        <v>34</v>
      </c>
      <c r="G471" s="1013" t="s">
        <v>4662</v>
      </c>
      <c r="H471" s="929"/>
      <c r="I471" s="929" t="s">
        <v>551</v>
      </c>
      <c r="J471" s="1705" t="s">
        <v>5789</v>
      </c>
      <c r="K471" s="176">
        <v>44487</v>
      </c>
      <c r="L471" s="5">
        <v>44541</v>
      </c>
      <c r="M471" s="1175" t="s">
        <v>4076</v>
      </c>
      <c r="N471" s="3" t="s">
        <v>2663</v>
      </c>
      <c r="O471" s="929" t="str">
        <f t="shared" si="42"/>
        <v>PEPREM (SADER)</v>
      </c>
      <c r="P471" s="927">
        <v>44364</v>
      </c>
      <c r="Q471" s="927">
        <v>44364</v>
      </c>
      <c r="R471" s="1012" t="s">
        <v>4220</v>
      </c>
      <c r="S471" s="933"/>
      <c r="T471" s="1700"/>
      <c r="U471" s="926"/>
    </row>
    <row r="472" spans="1:21" ht="58.5" customHeight="1">
      <c r="A472" s="926" t="s">
        <v>2476</v>
      </c>
      <c r="B472" s="927">
        <v>44181</v>
      </c>
      <c r="C472" s="926">
        <v>8</v>
      </c>
      <c r="D472" s="926">
        <v>3</v>
      </c>
      <c r="E472" s="935" t="s">
        <v>3314</v>
      </c>
      <c r="F472" s="926">
        <v>1</v>
      </c>
      <c r="G472" s="1013" t="s">
        <v>4270</v>
      </c>
      <c r="H472" s="929"/>
      <c r="I472" s="929" t="s">
        <v>551</v>
      </c>
      <c r="J472" s="929"/>
      <c r="K472" s="5">
        <v>44194</v>
      </c>
      <c r="L472" s="5">
        <v>44284</v>
      </c>
      <c r="M472" s="1533" t="s">
        <v>4226</v>
      </c>
      <c r="N472" s="3" t="s">
        <v>4226</v>
      </c>
      <c r="O472" s="929" t="s">
        <v>166</v>
      </c>
      <c r="P472" s="927">
        <v>44181</v>
      </c>
      <c r="Q472" s="927">
        <v>44181</v>
      </c>
      <c r="R472" s="1012" t="s">
        <v>4220</v>
      </c>
      <c r="S472" s="933"/>
      <c r="T472" s="1534"/>
      <c r="U472" s="926"/>
    </row>
    <row r="473" spans="1:21" ht="55.5" customHeight="1">
      <c r="A473" s="926" t="s">
        <v>2476</v>
      </c>
      <c r="B473" s="927">
        <v>44181</v>
      </c>
      <c r="C473" s="926">
        <v>8</v>
      </c>
      <c r="D473" s="926">
        <v>3</v>
      </c>
      <c r="E473" s="935" t="s">
        <v>3314</v>
      </c>
      <c r="F473" s="926">
        <f t="shared" ref="F473:F480" si="43">F472+1</f>
        <v>2</v>
      </c>
      <c r="G473" s="1013" t="s">
        <v>4271</v>
      </c>
      <c r="H473" s="929"/>
      <c r="I473" s="929" t="s">
        <v>551</v>
      </c>
      <c r="J473" s="929"/>
      <c r="K473" s="5">
        <v>44194</v>
      </c>
      <c r="L473" s="5">
        <v>44284</v>
      </c>
      <c r="M473" s="1533" t="s">
        <v>4226</v>
      </c>
      <c r="N473" s="3" t="s">
        <v>4226</v>
      </c>
      <c r="O473" s="929" t="s">
        <v>166</v>
      </c>
      <c r="P473" s="927">
        <v>44181</v>
      </c>
      <c r="Q473" s="927">
        <v>44181</v>
      </c>
      <c r="R473" s="1012" t="s">
        <v>4220</v>
      </c>
      <c r="S473" s="933"/>
      <c r="T473" s="1534"/>
      <c r="U473" s="926"/>
    </row>
    <row r="474" spans="1:21" ht="40.5" customHeight="1">
      <c r="A474" s="926" t="s">
        <v>2476</v>
      </c>
      <c r="B474" s="927">
        <v>44181</v>
      </c>
      <c r="C474" s="926">
        <v>8</v>
      </c>
      <c r="D474" s="926">
        <v>4</v>
      </c>
      <c r="E474" s="926"/>
      <c r="F474" s="926">
        <f t="shared" si="43"/>
        <v>3</v>
      </c>
      <c r="G474" s="1013" t="s">
        <v>4228</v>
      </c>
      <c r="H474" s="929"/>
      <c r="I474" s="929" t="s">
        <v>551</v>
      </c>
      <c r="J474" s="1705"/>
      <c r="K474" s="176"/>
      <c r="L474" s="5"/>
      <c r="M474" s="1175" t="s">
        <v>1975</v>
      </c>
      <c r="N474" s="3" t="s">
        <v>1975</v>
      </c>
      <c r="O474" s="929" t="s">
        <v>166</v>
      </c>
      <c r="P474" s="927">
        <v>44181</v>
      </c>
      <c r="Q474" s="927">
        <v>44181</v>
      </c>
      <c r="R474" s="1012" t="s">
        <v>4220</v>
      </c>
      <c r="S474" s="933"/>
      <c r="T474" s="1534"/>
      <c r="U474" s="926"/>
    </row>
    <row r="475" spans="1:21" ht="40.5" customHeight="1">
      <c r="A475" s="926" t="s">
        <v>2476</v>
      </c>
      <c r="B475" s="927">
        <v>44181</v>
      </c>
      <c r="C475" s="926">
        <v>8</v>
      </c>
      <c r="D475" s="926">
        <v>4</v>
      </c>
      <c r="E475" s="935" t="s">
        <v>3606</v>
      </c>
      <c r="F475" s="926">
        <f t="shared" si="43"/>
        <v>4</v>
      </c>
      <c r="G475" s="1013" t="s">
        <v>4272</v>
      </c>
      <c r="H475" s="929"/>
      <c r="I475" s="929" t="s">
        <v>551</v>
      </c>
      <c r="J475" s="929"/>
      <c r="K475" s="5">
        <v>44018</v>
      </c>
      <c r="L475" s="5">
        <v>44104</v>
      </c>
      <c r="M475" s="1175" t="s">
        <v>1975</v>
      </c>
      <c r="N475" s="3" t="s">
        <v>1975</v>
      </c>
      <c r="O475" s="929" t="s">
        <v>166</v>
      </c>
      <c r="P475" s="927">
        <v>44181</v>
      </c>
      <c r="Q475" s="927">
        <v>44181</v>
      </c>
      <c r="R475" s="1012" t="s">
        <v>4220</v>
      </c>
      <c r="S475" s="933"/>
      <c r="T475" s="1534"/>
      <c r="U475" s="926"/>
    </row>
    <row r="476" spans="1:21" ht="40.5" customHeight="1">
      <c r="A476" s="926" t="s">
        <v>2476</v>
      </c>
      <c r="B476" s="927">
        <v>44181</v>
      </c>
      <c r="C476" s="926">
        <v>8</v>
      </c>
      <c r="D476" s="926">
        <v>4</v>
      </c>
      <c r="E476" s="935" t="s">
        <v>3308</v>
      </c>
      <c r="F476" s="926">
        <v>1</v>
      </c>
      <c r="G476" s="1013" t="s">
        <v>4272</v>
      </c>
      <c r="H476" s="929"/>
      <c r="I476" s="929" t="s">
        <v>551</v>
      </c>
      <c r="J476" s="929"/>
      <c r="K476" s="5">
        <v>44195</v>
      </c>
      <c r="L476" s="5">
        <v>44227</v>
      </c>
      <c r="M476" s="1175" t="s">
        <v>1975</v>
      </c>
      <c r="N476" s="3" t="s">
        <v>1975</v>
      </c>
      <c r="O476" s="929" t="s">
        <v>2680</v>
      </c>
      <c r="P476" s="927">
        <v>44181</v>
      </c>
      <c r="Q476" s="927">
        <v>44181</v>
      </c>
      <c r="R476" s="1012" t="s">
        <v>4220</v>
      </c>
      <c r="S476" s="933"/>
      <c r="T476" s="1534"/>
      <c r="U476" s="926"/>
    </row>
    <row r="477" spans="1:21" ht="53.25" customHeight="1">
      <c r="A477" s="926" t="s">
        <v>2476</v>
      </c>
      <c r="B477" s="927">
        <v>44181</v>
      </c>
      <c r="C477" s="926">
        <v>8</v>
      </c>
      <c r="D477" s="926">
        <v>4</v>
      </c>
      <c r="E477" s="935" t="s">
        <v>3304</v>
      </c>
      <c r="F477" s="926">
        <v>1</v>
      </c>
      <c r="G477" s="1013" t="s">
        <v>4273</v>
      </c>
      <c r="H477" s="929"/>
      <c r="I477" s="929" t="s">
        <v>551</v>
      </c>
      <c r="J477" s="929"/>
      <c r="K477" s="5">
        <v>44169</v>
      </c>
      <c r="L477" s="5">
        <v>44180</v>
      </c>
      <c r="M477" s="1175" t="s">
        <v>4269</v>
      </c>
      <c r="N477" s="3" t="s">
        <v>1975</v>
      </c>
      <c r="O477" s="929" t="s">
        <v>77</v>
      </c>
      <c r="P477" s="927">
        <v>44181</v>
      </c>
      <c r="Q477" s="927">
        <v>44181</v>
      </c>
      <c r="R477" s="1012" t="s">
        <v>4220</v>
      </c>
      <c r="S477" s="933"/>
      <c r="T477" s="1534"/>
      <c r="U477" s="926"/>
    </row>
    <row r="478" spans="1:21" ht="57" customHeight="1">
      <c r="A478" s="926" t="s">
        <v>2476</v>
      </c>
      <c r="B478" s="927">
        <v>44181</v>
      </c>
      <c r="C478" s="926">
        <v>8</v>
      </c>
      <c r="D478" s="926">
        <v>4</v>
      </c>
      <c r="E478" s="935" t="s">
        <v>3304</v>
      </c>
      <c r="F478" s="926">
        <f t="shared" si="43"/>
        <v>2</v>
      </c>
      <c r="G478" s="1013" t="s">
        <v>4274</v>
      </c>
      <c r="H478" s="929"/>
      <c r="I478" s="929" t="s">
        <v>551</v>
      </c>
      <c r="J478" s="929"/>
      <c r="K478" s="5">
        <v>44169</v>
      </c>
      <c r="L478" s="5">
        <v>44180</v>
      </c>
      <c r="M478" s="1175" t="s">
        <v>4269</v>
      </c>
      <c r="N478" s="3" t="s">
        <v>1975</v>
      </c>
      <c r="O478" s="929" t="s">
        <v>77</v>
      </c>
      <c r="P478" s="927">
        <v>44181</v>
      </c>
      <c r="Q478" s="927">
        <v>44181</v>
      </c>
      <c r="R478" s="1012" t="s">
        <v>4220</v>
      </c>
      <c r="S478" s="933"/>
      <c r="T478" s="1534"/>
      <c r="U478" s="926"/>
    </row>
    <row r="479" spans="1:21" ht="40.5" customHeight="1">
      <c r="A479" s="926" t="s">
        <v>2476</v>
      </c>
      <c r="B479" s="927">
        <v>44181</v>
      </c>
      <c r="C479" s="926">
        <v>8</v>
      </c>
      <c r="D479" s="926">
        <v>4</v>
      </c>
      <c r="E479" s="935" t="s">
        <v>3297</v>
      </c>
      <c r="F479" s="926">
        <f t="shared" si="43"/>
        <v>3</v>
      </c>
      <c r="G479" s="1013" t="s">
        <v>4275</v>
      </c>
      <c r="H479" s="929"/>
      <c r="I479" s="929" t="s">
        <v>551</v>
      </c>
      <c r="J479" s="929"/>
      <c r="K479" s="5">
        <v>44165</v>
      </c>
      <c r="L479" s="5">
        <v>44180</v>
      </c>
      <c r="M479" s="1175" t="s">
        <v>4276</v>
      </c>
      <c r="N479" s="3" t="s">
        <v>2524</v>
      </c>
      <c r="O479" s="929" t="s">
        <v>77</v>
      </c>
      <c r="P479" s="927">
        <v>44181</v>
      </c>
      <c r="Q479" s="927">
        <v>44181</v>
      </c>
      <c r="R479" s="1012" t="s">
        <v>4220</v>
      </c>
      <c r="S479" s="933"/>
      <c r="T479" s="1534"/>
      <c r="U479" s="926"/>
    </row>
    <row r="480" spans="1:21" ht="40.5" customHeight="1">
      <c r="A480" s="926" t="s">
        <v>2476</v>
      </c>
      <c r="B480" s="927">
        <v>44181</v>
      </c>
      <c r="C480" s="926">
        <v>8</v>
      </c>
      <c r="D480" s="926">
        <v>4</v>
      </c>
      <c r="E480" s="935" t="s">
        <v>3310</v>
      </c>
      <c r="F480" s="926">
        <f t="shared" si="43"/>
        <v>4</v>
      </c>
      <c r="G480" s="1013" t="s">
        <v>4277</v>
      </c>
      <c r="H480" s="929"/>
      <c r="I480" s="929" t="s">
        <v>551</v>
      </c>
      <c r="J480" s="929"/>
      <c r="K480" s="5">
        <v>44172</v>
      </c>
      <c r="L480" s="5">
        <v>44184</v>
      </c>
      <c r="M480" s="1175" t="s">
        <v>3159</v>
      </c>
      <c r="N480" s="3" t="s">
        <v>1975</v>
      </c>
      <c r="O480" s="929" t="s">
        <v>77</v>
      </c>
      <c r="P480" s="927">
        <v>44181</v>
      </c>
      <c r="Q480" s="927">
        <v>44181</v>
      </c>
      <c r="R480" s="1012" t="s">
        <v>4220</v>
      </c>
      <c r="S480" s="933"/>
      <c r="T480" s="1534"/>
      <c r="U480" s="926"/>
    </row>
    <row r="481" spans="1:21" ht="40.5" customHeight="1">
      <c r="A481" s="926" t="s">
        <v>2476</v>
      </c>
      <c r="B481" s="927">
        <v>44161</v>
      </c>
      <c r="C481" s="926">
        <v>7</v>
      </c>
      <c r="D481" s="926">
        <v>3</v>
      </c>
      <c r="E481" s="926"/>
      <c r="F481" s="926">
        <v>1</v>
      </c>
      <c r="G481" s="1013" t="s">
        <v>4221</v>
      </c>
      <c r="H481" s="929"/>
      <c r="I481" s="929" t="s">
        <v>551</v>
      </c>
      <c r="J481" s="1705"/>
      <c r="K481" s="176"/>
      <c r="L481" s="5"/>
      <c r="M481" s="1175" t="s">
        <v>4222</v>
      </c>
      <c r="N481" s="3" t="s">
        <v>2480</v>
      </c>
      <c r="O481" s="929" t="s">
        <v>166</v>
      </c>
      <c r="P481" s="927">
        <v>44181</v>
      </c>
      <c r="Q481" s="927">
        <v>44181</v>
      </c>
      <c r="R481" s="1012" t="s">
        <v>4220</v>
      </c>
      <c r="S481" s="933"/>
      <c r="T481" s="1534"/>
      <c r="U481" s="926"/>
    </row>
    <row r="482" spans="1:21" ht="40.5" customHeight="1">
      <c r="A482" s="926" t="s">
        <v>2476</v>
      </c>
      <c r="B482" s="927">
        <v>44161</v>
      </c>
      <c r="C482" s="926">
        <v>7</v>
      </c>
      <c r="D482" s="926">
        <v>3</v>
      </c>
      <c r="E482" s="926"/>
      <c r="F482" s="926">
        <f>F481+1</f>
        <v>2</v>
      </c>
      <c r="G482" s="1013" t="s">
        <v>4223</v>
      </c>
      <c r="H482" s="929"/>
      <c r="I482" s="929" t="s">
        <v>551</v>
      </c>
      <c r="J482" s="1705"/>
      <c r="K482" s="176"/>
      <c r="L482" s="5"/>
      <c r="M482" s="1175" t="s">
        <v>4222</v>
      </c>
      <c r="N482" s="3" t="s">
        <v>2480</v>
      </c>
      <c r="O482" s="929" t="s">
        <v>166</v>
      </c>
      <c r="P482" s="927">
        <v>44181</v>
      </c>
      <c r="Q482" s="927">
        <v>44181</v>
      </c>
      <c r="R482" s="1012" t="s">
        <v>4220</v>
      </c>
      <c r="S482" s="933"/>
      <c r="T482" s="1534"/>
      <c r="U482" s="926"/>
    </row>
    <row r="483" spans="1:21" ht="40.5" customHeight="1">
      <c r="A483" s="926" t="s">
        <v>2476</v>
      </c>
      <c r="B483" s="927">
        <v>44161</v>
      </c>
      <c r="C483" s="926">
        <v>7</v>
      </c>
      <c r="D483" s="926">
        <v>3</v>
      </c>
      <c r="E483" s="935" t="s">
        <v>3314</v>
      </c>
      <c r="F483" s="926">
        <f t="shared" ref="F483:F522" si="44">F482+1</f>
        <v>3</v>
      </c>
      <c r="G483" s="1013" t="s">
        <v>4224</v>
      </c>
      <c r="H483" s="929"/>
      <c r="I483" s="929" t="s">
        <v>551</v>
      </c>
      <c r="J483" s="929"/>
      <c r="K483" s="5">
        <v>44194</v>
      </c>
      <c r="L483" s="5">
        <v>44284</v>
      </c>
      <c r="M483" s="1175" t="s">
        <v>4225</v>
      </c>
      <c r="N483" s="3" t="s">
        <v>4226</v>
      </c>
      <c r="O483" s="929" t="s">
        <v>166</v>
      </c>
      <c r="P483" s="927">
        <v>44181</v>
      </c>
      <c r="Q483" s="927">
        <v>44181</v>
      </c>
      <c r="R483" s="1012" t="s">
        <v>4220</v>
      </c>
      <c r="S483" s="933"/>
      <c r="T483" s="1534"/>
      <c r="U483" s="926"/>
    </row>
    <row r="484" spans="1:21" ht="40.5" customHeight="1">
      <c r="A484" s="926" t="s">
        <v>2476</v>
      </c>
      <c r="B484" s="927">
        <v>44161</v>
      </c>
      <c r="C484" s="926">
        <v>7</v>
      </c>
      <c r="D484" s="926">
        <v>3</v>
      </c>
      <c r="E484" s="935" t="s">
        <v>3314</v>
      </c>
      <c r="F484" s="926">
        <f t="shared" si="44"/>
        <v>4</v>
      </c>
      <c r="G484" s="1013" t="s">
        <v>4227</v>
      </c>
      <c r="H484" s="929"/>
      <c r="I484" s="929" t="s">
        <v>551</v>
      </c>
      <c r="J484" s="929"/>
      <c r="K484" s="5">
        <v>44194</v>
      </c>
      <c r="L484" s="5">
        <v>44284</v>
      </c>
      <c r="M484" s="1175" t="s">
        <v>4225</v>
      </c>
      <c r="N484" s="3" t="s">
        <v>4226</v>
      </c>
      <c r="O484" s="929" t="s">
        <v>166</v>
      </c>
      <c r="P484" s="927">
        <v>44181</v>
      </c>
      <c r="Q484" s="927">
        <v>44181</v>
      </c>
      <c r="R484" s="1012" t="s">
        <v>4220</v>
      </c>
      <c r="S484" s="933"/>
      <c r="T484" s="1534"/>
      <c r="U484" s="926"/>
    </row>
    <row r="485" spans="1:21" ht="40.5" customHeight="1">
      <c r="A485" s="926" t="s">
        <v>2476</v>
      </c>
      <c r="B485" s="927">
        <v>44161</v>
      </c>
      <c r="C485" s="926">
        <v>7</v>
      </c>
      <c r="D485" s="926">
        <v>3</v>
      </c>
      <c r="E485" s="926"/>
      <c r="F485" s="926">
        <f t="shared" si="44"/>
        <v>5</v>
      </c>
      <c r="G485" s="1013" t="s">
        <v>4228</v>
      </c>
      <c r="H485" s="929"/>
      <c r="I485" s="929" t="s">
        <v>2310</v>
      </c>
      <c r="J485" s="1705"/>
      <c r="K485" s="176"/>
      <c r="L485" s="5"/>
      <c r="M485" s="1175" t="s">
        <v>1975</v>
      </c>
      <c r="N485" s="3" t="s">
        <v>2480</v>
      </c>
      <c r="O485" s="929" t="s">
        <v>166</v>
      </c>
      <c r="P485" s="927">
        <v>44181</v>
      </c>
      <c r="Q485" s="927">
        <v>44181</v>
      </c>
      <c r="R485" s="1012" t="s">
        <v>4220</v>
      </c>
      <c r="S485" s="933"/>
      <c r="T485" s="1534"/>
      <c r="U485" s="926"/>
    </row>
    <row r="486" spans="1:21" ht="83.25" customHeight="1">
      <c r="A486" s="926" t="s">
        <v>2476</v>
      </c>
      <c r="B486" s="927">
        <v>44161</v>
      </c>
      <c r="C486" s="926">
        <v>7</v>
      </c>
      <c r="D486" s="926">
        <v>4</v>
      </c>
      <c r="E486" s="1594" t="s">
        <v>3061</v>
      </c>
      <c r="F486" s="926">
        <v>1</v>
      </c>
      <c r="G486" s="1013" t="s">
        <v>4229</v>
      </c>
      <c r="H486" s="929"/>
      <c r="I486" s="929" t="s">
        <v>551</v>
      </c>
      <c r="J486" s="1705"/>
      <c r="K486" s="176"/>
      <c r="L486" s="5"/>
      <c r="M486" s="1175" t="s">
        <v>2524</v>
      </c>
      <c r="N486" s="3" t="s">
        <v>2524</v>
      </c>
      <c r="O486" s="929" t="s">
        <v>3108</v>
      </c>
      <c r="P486" s="927">
        <v>44181</v>
      </c>
      <c r="Q486" s="927">
        <v>44181</v>
      </c>
      <c r="R486" s="1012" t="s">
        <v>4220</v>
      </c>
      <c r="S486" s="933"/>
      <c r="T486" s="1534"/>
      <c r="U486" s="926"/>
    </row>
    <row r="487" spans="1:21" ht="70.5" customHeight="1">
      <c r="A487" s="926" t="s">
        <v>2476</v>
      </c>
      <c r="B487" s="927">
        <v>44161</v>
      </c>
      <c r="C487" s="926">
        <v>7</v>
      </c>
      <c r="D487" s="926">
        <v>4</v>
      </c>
      <c r="E487" s="929"/>
      <c r="F487" s="926">
        <v>1</v>
      </c>
      <c r="G487" s="1013" t="s">
        <v>4230</v>
      </c>
      <c r="H487" s="929"/>
      <c r="I487" s="929" t="s">
        <v>551</v>
      </c>
      <c r="J487" s="1705"/>
      <c r="K487" s="176"/>
      <c r="L487" s="5"/>
      <c r="M487" s="1175" t="s">
        <v>4231</v>
      </c>
      <c r="N487" s="3" t="s">
        <v>2480</v>
      </c>
      <c r="O487" s="929" t="s">
        <v>247</v>
      </c>
      <c r="P487" s="927">
        <v>44181</v>
      </c>
      <c r="Q487" s="927">
        <v>44181</v>
      </c>
      <c r="R487" s="1012" t="s">
        <v>4220</v>
      </c>
      <c r="S487" s="933"/>
      <c r="T487" s="1536" t="s">
        <v>4278</v>
      </c>
      <c r="U487" s="926"/>
    </row>
    <row r="488" spans="1:21" ht="40.5" customHeight="1">
      <c r="A488" s="926" t="s">
        <v>2476</v>
      </c>
      <c r="B488" s="927">
        <v>44161</v>
      </c>
      <c r="C488" s="926">
        <v>7</v>
      </c>
      <c r="D488" s="926">
        <v>4</v>
      </c>
      <c r="E488" s="1594" t="s">
        <v>3061</v>
      </c>
      <c r="F488" s="926">
        <v>1</v>
      </c>
      <c r="G488" s="1013" t="s">
        <v>4232</v>
      </c>
      <c r="H488" s="929"/>
      <c r="I488" s="929" t="s">
        <v>551</v>
      </c>
      <c r="J488" s="1705"/>
      <c r="K488" s="176"/>
      <c r="L488" s="5"/>
      <c r="M488" s="1175" t="s">
        <v>1975</v>
      </c>
      <c r="N488" s="3" t="s">
        <v>2480</v>
      </c>
      <c r="O488" s="929" t="s">
        <v>4233</v>
      </c>
      <c r="P488" s="927">
        <v>44181</v>
      </c>
      <c r="Q488" s="927">
        <v>44181</v>
      </c>
      <c r="R488" s="1012" t="s">
        <v>4220</v>
      </c>
      <c r="S488" s="933"/>
      <c r="T488" s="1534"/>
      <c r="U488" s="926"/>
    </row>
    <row r="489" spans="1:21" ht="40.5" customHeight="1">
      <c r="A489" s="926" t="s">
        <v>2476</v>
      </c>
      <c r="B489" s="927">
        <v>44161</v>
      </c>
      <c r="C489" s="926">
        <v>7</v>
      </c>
      <c r="D489" s="926">
        <v>4</v>
      </c>
      <c r="E489" s="1594" t="s">
        <v>3061</v>
      </c>
      <c r="F489" s="926">
        <f t="shared" si="44"/>
        <v>2</v>
      </c>
      <c r="G489" s="1013" t="s">
        <v>4234</v>
      </c>
      <c r="H489" s="929"/>
      <c r="I489" s="929" t="s">
        <v>551</v>
      </c>
      <c r="J489" s="1705"/>
      <c r="K489" s="176"/>
      <c r="L489" s="5"/>
      <c r="M489" s="1175" t="s">
        <v>1975</v>
      </c>
      <c r="N489" s="3" t="s">
        <v>2480</v>
      </c>
      <c r="O489" s="929" t="s">
        <v>4233</v>
      </c>
      <c r="P489" s="927">
        <v>44181</v>
      </c>
      <c r="Q489" s="927">
        <v>44181</v>
      </c>
      <c r="R489" s="1012" t="s">
        <v>4220</v>
      </c>
      <c r="S489" s="933"/>
      <c r="T489" s="1534"/>
      <c r="U489" s="926"/>
    </row>
    <row r="490" spans="1:21" ht="80.25" customHeight="1">
      <c r="A490" s="926" t="s">
        <v>2476</v>
      </c>
      <c r="B490" s="927">
        <v>44161</v>
      </c>
      <c r="C490" s="926">
        <v>7</v>
      </c>
      <c r="D490" s="926">
        <v>4</v>
      </c>
      <c r="E490" s="1594" t="s">
        <v>3061</v>
      </c>
      <c r="F490" s="926">
        <v>1</v>
      </c>
      <c r="G490" s="1013" t="s">
        <v>4229</v>
      </c>
      <c r="H490" s="929"/>
      <c r="I490" s="929" t="s">
        <v>551</v>
      </c>
      <c r="J490" s="1705"/>
      <c r="K490" s="176"/>
      <c r="L490" s="5"/>
      <c r="M490" s="1175" t="s">
        <v>2524</v>
      </c>
      <c r="N490" s="3" t="s">
        <v>2524</v>
      </c>
      <c r="O490" s="929" t="s">
        <v>3108</v>
      </c>
      <c r="P490" s="927">
        <v>44181</v>
      </c>
      <c r="Q490" s="927">
        <v>44181</v>
      </c>
      <c r="R490" s="1012" t="s">
        <v>4220</v>
      </c>
      <c r="S490" s="933"/>
      <c r="T490" s="1534"/>
      <c r="U490" s="926"/>
    </row>
    <row r="491" spans="1:21" ht="40.5" customHeight="1">
      <c r="A491" s="926" t="s">
        <v>2476</v>
      </c>
      <c r="B491" s="927">
        <v>44161</v>
      </c>
      <c r="C491" s="926">
        <v>7</v>
      </c>
      <c r="D491" s="926">
        <v>4</v>
      </c>
      <c r="E491" s="935" t="s">
        <v>3301</v>
      </c>
      <c r="F491" s="926">
        <v>1</v>
      </c>
      <c r="G491" s="1013" t="s">
        <v>4235</v>
      </c>
      <c r="H491" s="929"/>
      <c r="I491" s="929" t="s">
        <v>551</v>
      </c>
      <c r="J491" s="929"/>
      <c r="K491" s="5">
        <v>44166</v>
      </c>
      <c r="L491" s="5">
        <v>44189</v>
      </c>
      <c r="M491" s="1175" t="s">
        <v>1975</v>
      </c>
      <c r="N491" s="3" t="s">
        <v>2480</v>
      </c>
      <c r="O491" s="929" t="s">
        <v>3300</v>
      </c>
      <c r="P491" s="927">
        <v>44181</v>
      </c>
      <c r="Q491" s="927">
        <v>44181</v>
      </c>
      <c r="R491" s="1012" t="s">
        <v>4220</v>
      </c>
      <c r="S491" s="933"/>
      <c r="T491" s="1534"/>
      <c r="U491" s="926"/>
    </row>
    <row r="492" spans="1:21" ht="52.5" customHeight="1">
      <c r="A492" s="926" t="s">
        <v>2476</v>
      </c>
      <c r="B492" s="927">
        <v>44161</v>
      </c>
      <c r="C492" s="926">
        <v>7</v>
      </c>
      <c r="D492" s="926">
        <v>4</v>
      </c>
      <c r="E492" s="935" t="s">
        <v>2733</v>
      </c>
      <c r="F492" s="926">
        <v>1</v>
      </c>
      <c r="G492" s="1013" t="s">
        <v>4236</v>
      </c>
      <c r="H492" s="929"/>
      <c r="I492" s="929" t="s">
        <v>551</v>
      </c>
      <c r="J492" s="929"/>
      <c r="K492" s="5">
        <v>44166</v>
      </c>
      <c r="L492" s="5">
        <v>44196</v>
      </c>
      <c r="M492" s="1175" t="s">
        <v>4237</v>
      </c>
      <c r="N492" s="3" t="s">
        <v>1976</v>
      </c>
      <c r="O492" s="1013" t="s">
        <v>4238</v>
      </c>
      <c r="P492" s="927">
        <v>44181</v>
      </c>
      <c r="Q492" s="927">
        <v>44181</v>
      </c>
      <c r="R492" s="1012" t="s">
        <v>4220</v>
      </c>
      <c r="S492" s="933"/>
      <c r="T492" s="1534"/>
      <c r="U492" s="926"/>
    </row>
    <row r="493" spans="1:21" ht="58.5" customHeight="1">
      <c r="A493" s="926" t="s">
        <v>2476</v>
      </c>
      <c r="B493" s="927">
        <v>44161</v>
      </c>
      <c r="C493" s="926">
        <v>7</v>
      </c>
      <c r="D493" s="926">
        <v>4</v>
      </c>
      <c r="E493" s="935" t="s">
        <v>3324</v>
      </c>
      <c r="F493" s="926">
        <f t="shared" si="44"/>
        <v>2</v>
      </c>
      <c r="G493" s="1013" t="s">
        <v>4239</v>
      </c>
      <c r="H493" s="929"/>
      <c r="I493" s="929" t="s">
        <v>551</v>
      </c>
      <c r="J493" s="929"/>
      <c r="K493" s="5">
        <v>44150</v>
      </c>
      <c r="L493" s="5">
        <v>44181</v>
      </c>
      <c r="M493" s="1175" t="s">
        <v>4247</v>
      </c>
      <c r="N493" s="3" t="s">
        <v>2503</v>
      </c>
      <c r="O493" s="1013" t="s">
        <v>4238</v>
      </c>
      <c r="P493" s="927">
        <v>44181</v>
      </c>
      <c r="Q493" s="927">
        <v>44181</v>
      </c>
      <c r="R493" s="1012" t="s">
        <v>4220</v>
      </c>
      <c r="S493" s="933"/>
      <c r="T493" s="1534"/>
      <c r="U493" s="926"/>
    </row>
    <row r="494" spans="1:21" ht="53.25" customHeight="1">
      <c r="A494" s="926" t="s">
        <v>2476</v>
      </c>
      <c r="B494" s="927">
        <v>44161</v>
      </c>
      <c r="C494" s="926">
        <v>7</v>
      </c>
      <c r="D494" s="926">
        <v>4</v>
      </c>
      <c r="E494" s="935" t="s">
        <v>3324</v>
      </c>
      <c r="F494" s="926">
        <f t="shared" si="44"/>
        <v>3</v>
      </c>
      <c r="G494" s="1013" t="s">
        <v>4240</v>
      </c>
      <c r="H494" s="929"/>
      <c r="I494" s="929" t="s">
        <v>551</v>
      </c>
      <c r="J494" s="929"/>
      <c r="K494" s="5">
        <v>44150</v>
      </c>
      <c r="L494" s="5">
        <v>44181</v>
      </c>
      <c r="M494" s="1175" t="s">
        <v>4248</v>
      </c>
      <c r="N494" s="3" t="s">
        <v>2503</v>
      </c>
      <c r="O494" s="1013" t="s">
        <v>4238</v>
      </c>
      <c r="P494" s="927">
        <v>44181</v>
      </c>
      <c r="Q494" s="927">
        <v>44181</v>
      </c>
      <c r="R494" s="1012" t="s">
        <v>4220</v>
      </c>
      <c r="S494" s="933"/>
      <c r="T494" s="1534"/>
      <c r="U494" s="926"/>
    </row>
    <row r="495" spans="1:21" ht="60" customHeight="1">
      <c r="A495" s="926" t="s">
        <v>2476</v>
      </c>
      <c r="B495" s="927">
        <v>44161</v>
      </c>
      <c r="C495" s="926">
        <v>7</v>
      </c>
      <c r="D495" s="926">
        <v>4</v>
      </c>
      <c r="E495" s="935" t="s">
        <v>3324</v>
      </c>
      <c r="F495" s="926">
        <f t="shared" si="44"/>
        <v>4</v>
      </c>
      <c r="G495" s="1013" t="s">
        <v>4241</v>
      </c>
      <c r="H495" s="929"/>
      <c r="I495" s="929" t="s">
        <v>551</v>
      </c>
      <c r="J495" s="929"/>
      <c r="K495" s="5">
        <v>44150</v>
      </c>
      <c r="L495" s="5">
        <v>44181</v>
      </c>
      <c r="M495" s="1175" t="s">
        <v>4248</v>
      </c>
      <c r="N495" s="3" t="s">
        <v>2503</v>
      </c>
      <c r="O495" s="1013" t="s">
        <v>4238</v>
      </c>
      <c r="P495" s="927">
        <v>44181</v>
      </c>
      <c r="Q495" s="927">
        <v>44181</v>
      </c>
      <c r="R495" s="1012" t="s">
        <v>4220</v>
      </c>
      <c r="S495" s="933"/>
      <c r="T495" s="1534"/>
      <c r="U495" s="926"/>
    </row>
    <row r="496" spans="1:21" ht="56.25" customHeight="1">
      <c r="A496" s="926" t="s">
        <v>2476</v>
      </c>
      <c r="B496" s="927">
        <v>44161</v>
      </c>
      <c r="C496" s="926">
        <v>7</v>
      </c>
      <c r="D496" s="926">
        <v>4</v>
      </c>
      <c r="E496" s="935" t="s">
        <v>3324</v>
      </c>
      <c r="F496" s="926">
        <f t="shared" si="44"/>
        <v>5</v>
      </c>
      <c r="G496" s="1013" t="s">
        <v>4242</v>
      </c>
      <c r="H496" s="929"/>
      <c r="I496" s="929" t="s">
        <v>551</v>
      </c>
      <c r="J496" s="929"/>
      <c r="K496" s="5">
        <v>44150</v>
      </c>
      <c r="L496" s="5">
        <v>44181</v>
      </c>
      <c r="M496" s="1175" t="s">
        <v>4248</v>
      </c>
      <c r="N496" s="3" t="s">
        <v>2503</v>
      </c>
      <c r="O496" s="1013" t="s">
        <v>4238</v>
      </c>
      <c r="P496" s="927">
        <v>44181</v>
      </c>
      <c r="Q496" s="927">
        <v>44181</v>
      </c>
      <c r="R496" s="1012" t="s">
        <v>4220</v>
      </c>
      <c r="S496" s="933"/>
      <c r="T496" s="1534"/>
      <c r="U496" s="926"/>
    </row>
    <row r="497" spans="1:21" ht="40.5" customHeight="1">
      <c r="A497" s="926" t="s">
        <v>2476</v>
      </c>
      <c r="B497" s="927">
        <v>44161</v>
      </c>
      <c r="C497" s="926">
        <v>7</v>
      </c>
      <c r="D497" s="926">
        <v>4</v>
      </c>
      <c r="E497" s="935" t="s">
        <v>3324</v>
      </c>
      <c r="F497" s="926">
        <f t="shared" si="44"/>
        <v>6</v>
      </c>
      <c r="G497" s="1013" t="s">
        <v>4243</v>
      </c>
      <c r="H497" s="929"/>
      <c r="I497" s="929" t="s">
        <v>551</v>
      </c>
      <c r="J497" s="929"/>
      <c r="K497" s="5">
        <v>44150</v>
      </c>
      <c r="L497" s="5">
        <v>44181</v>
      </c>
      <c r="M497" s="1175" t="s">
        <v>4249</v>
      </c>
      <c r="N497" s="3" t="s">
        <v>2503</v>
      </c>
      <c r="O497" s="1013" t="s">
        <v>4238</v>
      </c>
      <c r="P497" s="927">
        <v>44181</v>
      </c>
      <c r="Q497" s="927">
        <v>44181</v>
      </c>
      <c r="R497" s="1012" t="s">
        <v>4220</v>
      </c>
      <c r="S497" s="933"/>
      <c r="T497" s="1534"/>
      <c r="U497" s="926"/>
    </row>
    <row r="498" spans="1:21" ht="54.75" customHeight="1">
      <c r="A498" s="926" t="s">
        <v>2476</v>
      </c>
      <c r="B498" s="927">
        <v>44161</v>
      </c>
      <c r="C498" s="926">
        <v>7</v>
      </c>
      <c r="D498" s="926">
        <v>4</v>
      </c>
      <c r="E498" s="935" t="s">
        <v>3324</v>
      </c>
      <c r="F498" s="926">
        <f t="shared" si="44"/>
        <v>7</v>
      </c>
      <c r="G498" s="1013" t="s">
        <v>4244</v>
      </c>
      <c r="H498" s="929"/>
      <c r="I498" s="929" t="s">
        <v>551</v>
      </c>
      <c r="J498" s="929"/>
      <c r="K498" s="5">
        <v>44150</v>
      </c>
      <c r="L498" s="5">
        <v>44181</v>
      </c>
      <c r="M498" s="1175" t="s">
        <v>4250</v>
      </c>
      <c r="N498" s="3" t="s">
        <v>2503</v>
      </c>
      <c r="O498" s="1013" t="s">
        <v>4238</v>
      </c>
      <c r="P498" s="927">
        <v>44181</v>
      </c>
      <c r="Q498" s="927">
        <v>44181</v>
      </c>
      <c r="R498" s="1012" t="s">
        <v>4220</v>
      </c>
      <c r="S498" s="933"/>
      <c r="T498" s="1534"/>
      <c r="U498" s="926"/>
    </row>
    <row r="499" spans="1:21" ht="60.75" customHeight="1">
      <c r="A499" s="926" t="s">
        <v>2476</v>
      </c>
      <c r="B499" s="927">
        <v>44161</v>
      </c>
      <c r="C499" s="926">
        <v>7</v>
      </c>
      <c r="D499" s="926">
        <v>4</v>
      </c>
      <c r="E499" s="935" t="s">
        <v>3238</v>
      </c>
      <c r="F499" s="926">
        <f t="shared" si="44"/>
        <v>8</v>
      </c>
      <c r="G499" s="1013" t="s">
        <v>4245</v>
      </c>
      <c r="H499" s="929"/>
      <c r="I499" s="929" t="s">
        <v>551</v>
      </c>
      <c r="J499" s="929"/>
      <c r="K499" s="5">
        <v>44166</v>
      </c>
      <c r="L499" s="5">
        <v>44196</v>
      </c>
      <c r="M499" s="1175" t="s">
        <v>2613</v>
      </c>
      <c r="N499" s="3" t="s">
        <v>2613</v>
      </c>
      <c r="O499" s="1013" t="s">
        <v>4238</v>
      </c>
      <c r="P499" s="927">
        <v>44181</v>
      </c>
      <c r="Q499" s="927">
        <v>44181</v>
      </c>
      <c r="R499" s="1012" t="s">
        <v>4220</v>
      </c>
      <c r="S499" s="933"/>
      <c r="T499" s="1534"/>
      <c r="U499" s="926"/>
    </row>
    <row r="500" spans="1:21" ht="40.5" customHeight="1">
      <c r="A500" s="926" t="s">
        <v>2476</v>
      </c>
      <c r="B500" s="927">
        <v>44161</v>
      </c>
      <c r="C500" s="926">
        <v>7</v>
      </c>
      <c r="D500" s="926">
        <v>4</v>
      </c>
      <c r="E500" s="935" t="s">
        <v>2730</v>
      </c>
      <c r="F500" s="926">
        <f t="shared" si="44"/>
        <v>9</v>
      </c>
      <c r="G500" s="1013" t="s">
        <v>4246</v>
      </c>
      <c r="H500" s="929"/>
      <c r="I500" s="929" t="s">
        <v>551</v>
      </c>
      <c r="J500" s="929"/>
      <c r="K500" s="5">
        <v>44144</v>
      </c>
      <c r="L500" s="5">
        <v>44191</v>
      </c>
      <c r="M500" s="1175" t="s">
        <v>4251</v>
      </c>
      <c r="N500" s="3" t="s">
        <v>2614</v>
      </c>
      <c r="O500" s="1013" t="s">
        <v>4238</v>
      </c>
      <c r="P500" s="927">
        <v>44181</v>
      </c>
      <c r="Q500" s="927">
        <v>44181</v>
      </c>
      <c r="R500" s="1012" t="s">
        <v>4220</v>
      </c>
      <c r="S500" s="933"/>
      <c r="T500" s="1534"/>
      <c r="U500" s="926"/>
    </row>
    <row r="501" spans="1:21" ht="60" customHeight="1">
      <c r="A501" s="926" t="s">
        <v>2476</v>
      </c>
      <c r="B501" s="927">
        <v>44161</v>
      </c>
      <c r="C501" s="926">
        <v>7</v>
      </c>
      <c r="D501" s="926">
        <v>4</v>
      </c>
      <c r="E501" s="935" t="s">
        <v>2731</v>
      </c>
      <c r="F501" s="926">
        <f t="shared" si="44"/>
        <v>10</v>
      </c>
      <c r="G501" s="1013" t="s">
        <v>3397</v>
      </c>
      <c r="H501" s="929"/>
      <c r="I501" s="929" t="s">
        <v>551</v>
      </c>
      <c r="J501" s="929"/>
      <c r="K501" s="5">
        <v>44166</v>
      </c>
      <c r="L501" s="5">
        <v>44196</v>
      </c>
      <c r="M501" s="1175" t="s">
        <v>4252</v>
      </c>
      <c r="N501" s="3" t="s">
        <v>2506</v>
      </c>
      <c r="O501" s="1013" t="s">
        <v>4238</v>
      </c>
      <c r="P501" s="927">
        <v>44181</v>
      </c>
      <c r="Q501" s="927">
        <v>44181</v>
      </c>
      <c r="R501" s="1012" t="s">
        <v>4220</v>
      </c>
      <c r="S501" s="933"/>
      <c r="T501" s="1534"/>
      <c r="U501" s="926"/>
    </row>
    <row r="502" spans="1:21" ht="52.5" customHeight="1">
      <c r="A502" s="926" t="s">
        <v>2476</v>
      </c>
      <c r="B502" s="927">
        <v>44161</v>
      </c>
      <c r="C502" s="926">
        <v>7</v>
      </c>
      <c r="D502" s="926">
        <v>4</v>
      </c>
      <c r="E502" s="935" t="s">
        <v>2731</v>
      </c>
      <c r="F502" s="926">
        <f t="shared" si="44"/>
        <v>11</v>
      </c>
      <c r="G502" s="1013" t="s">
        <v>3398</v>
      </c>
      <c r="H502" s="929"/>
      <c r="I502" s="929" t="s">
        <v>551</v>
      </c>
      <c r="J502" s="929"/>
      <c r="K502" s="5">
        <v>44166</v>
      </c>
      <c r="L502" s="5">
        <v>44196</v>
      </c>
      <c r="M502" s="1175" t="s">
        <v>4253</v>
      </c>
      <c r="N502" s="3" t="s">
        <v>2506</v>
      </c>
      <c r="O502" s="1013" t="s">
        <v>4238</v>
      </c>
      <c r="P502" s="927">
        <v>44181</v>
      </c>
      <c r="Q502" s="927">
        <v>44181</v>
      </c>
      <c r="R502" s="1012" t="s">
        <v>4220</v>
      </c>
      <c r="S502" s="933"/>
      <c r="T502" s="1534"/>
      <c r="U502" s="926"/>
    </row>
    <row r="503" spans="1:21" ht="54.75" customHeight="1">
      <c r="A503" s="926" t="s">
        <v>2476</v>
      </c>
      <c r="B503" s="927">
        <v>44161</v>
      </c>
      <c r="C503" s="926">
        <v>7</v>
      </c>
      <c r="D503" s="926">
        <v>4</v>
      </c>
      <c r="E503" s="935" t="s">
        <v>2731</v>
      </c>
      <c r="F503" s="926">
        <f t="shared" si="44"/>
        <v>12</v>
      </c>
      <c r="G503" s="1207" t="s">
        <v>3399</v>
      </c>
      <c r="H503" s="929"/>
      <c r="I503" s="929" t="s">
        <v>551</v>
      </c>
      <c r="J503" s="929"/>
      <c r="K503" s="5">
        <v>44166</v>
      </c>
      <c r="L503" s="5">
        <v>44196</v>
      </c>
      <c r="M503" s="929" t="s">
        <v>4254</v>
      </c>
      <c r="N503" s="3" t="s">
        <v>2506</v>
      </c>
      <c r="O503" s="1013" t="s">
        <v>4238</v>
      </c>
      <c r="P503" s="927">
        <v>44181</v>
      </c>
      <c r="Q503" s="927">
        <v>44181</v>
      </c>
      <c r="R503" s="1012" t="s">
        <v>4220</v>
      </c>
      <c r="S503" s="933"/>
      <c r="T503" s="1534"/>
      <c r="U503" s="926"/>
    </row>
    <row r="504" spans="1:21" ht="58.5" customHeight="1">
      <c r="A504" s="926" t="s">
        <v>2476</v>
      </c>
      <c r="B504" s="927">
        <v>44161</v>
      </c>
      <c r="C504" s="926">
        <v>7</v>
      </c>
      <c r="D504" s="926">
        <v>4</v>
      </c>
      <c r="E504" s="935" t="s">
        <v>2732</v>
      </c>
      <c r="F504" s="926">
        <f t="shared" si="44"/>
        <v>13</v>
      </c>
      <c r="G504" s="1207" t="s">
        <v>3400</v>
      </c>
      <c r="H504" s="929"/>
      <c r="I504" s="929" t="s">
        <v>551</v>
      </c>
      <c r="J504" s="929"/>
      <c r="K504" s="5">
        <v>44140</v>
      </c>
      <c r="L504" s="5">
        <v>44191</v>
      </c>
      <c r="M504" s="929" t="s">
        <v>4255</v>
      </c>
      <c r="N504" s="3" t="s">
        <v>2515</v>
      </c>
      <c r="O504" s="1013" t="s">
        <v>4238</v>
      </c>
      <c r="P504" s="927">
        <v>44181</v>
      </c>
      <c r="Q504" s="927">
        <v>44181</v>
      </c>
      <c r="R504" s="1012" t="s">
        <v>4220</v>
      </c>
      <c r="S504" s="933"/>
      <c r="T504" s="1534"/>
      <c r="U504" s="926"/>
    </row>
    <row r="505" spans="1:21" ht="54.75" customHeight="1">
      <c r="A505" s="926" t="s">
        <v>2476</v>
      </c>
      <c r="B505" s="927">
        <v>44161</v>
      </c>
      <c r="C505" s="926">
        <v>7</v>
      </c>
      <c r="D505" s="926">
        <v>4</v>
      </c>
      <c r="E505" s="935" t="s">
        <v>2732</v>
      </c>
      <c r="F505" s="926">
        <f t="shared" si="44"/>
        <v>14</v>
      </c>
      <c r="G505" s="1207" t="s">
        <v>3401</v>
      </c>
      <c r="H505" s="929"/>
      <c r="I505" s="929" t="s">
        <v>551</v>
      </c>
      <c r="J505" s="929"/>
      <c r="K505" s="5">
        <v>44140</v>
      </c>
      <c r="L505" s="5">
        <v>44191</v>
      </c>
      <c r="M505" s="929" t="s">
        <v>4256</v>
      </c>
      <c r="N505" s="3" t="s">
        <v>2515</v>
      </c>
      <c r="O505" s="1013" t="s">
        <v>4238</v>
      </c>
      <c r="P505" s="927">
        <v>44181</v>
      </c>
      <c r="Q505" s="927">
        <v>44181</v>
      </c>
      <c r="R505" s="1012" t="s">
        <v>4220</v>
      </c>
      <c r="S505" s="933"/>
      <c r="T505" s="1534"/>
      <c r="U505" s="926"/>
    </row>
    <row r="506" spans="1:21" ht="69" customHeight="1">
      <c r="A506" s="926" t="s">
        <v>2476</v>
      </c>
      <c r="B506" s="927">
        <v>44161</v>
      </c>
      <c r="C506" s="926">
        <v>7</v>
      </c>
      <c r="D506" s="926">
        <v>5</v>
      </c>
      <c r="E506" s="935" t="s">
        <v>3240</v>
      </c>
      <c r="F506" s="926">
        <f t="shared" si="44"/>
        <v>15</v>
      </c>
      <c r="G506" s="1207" t="s">
        <v>3402</v>
      </c>
      <c r="H506" s="929"/>
      <c r="I506" s="929" t="s">
        <v>551</v>
      </c>
      <c r="J506" s="929"/>
      <c r="K506" s="5">
        <v>44139</v>
      </c>
      <c r="L506" s="5">
        <v>44191</v>
      </c>
      <c r="M506" s="929" t="s">
        <v>4257</v>
      </c>
      <c r="N506" s="3" t="s">
        <v>1975</v>
      </c>
      <c r="O506" s="1013" t="s">
        <v>4238</v>
      </c>
      <c r="P506" s="927">
        <v>44181</v>
      </c>
      <c r="Q506" s="927">
        <v>44181</v>
      </c>
      <c r="R506" s="1012" t="s">
        <v>4220</v>
      </c>
      <c r="S506" s="933"/>
      <c r="T506" s="1534"/>
      <c r="U506" s="926"/>
    </row>
    <row r="507" spans="1:21" ht="70.5" customHeight="1">
      <c r="A507" s="926" t="s">
        <v>2476</v>
      </c>
      <c r="B507" s="927">
        <v>44161</v>
      </c>
      <c r="C507" s="926">
        <v>7</v>
      </c>
      <c r="D507" s="926">
        <v>5</v>
      </c>
      <c r="E507" s="935" t="s">
        <v>3240</v>
      </c>
      <c r="F507" s="926">
        <f t="shared" si="44"/>
        <v>16</v>
      </c>
      <c r="G507" s="1207" t="s">
        <v>3403</v>
      </c>
      <c r="H507" s="929"/>
      <c r="I507" s="929" t="s">
        <v>551</v>
      </c>
      <c r="J507" s="929"/>
      <c r="K507" s="5">
        <v>44139</v>
      </c>
      <c r="L507" s="5">
        <v>44191</v>
      </c>
      <c r="M507" s="929" t="s">
        <v>4258</v>
      </c>
      <c r="N507" s="3" t="s">
        <v>1975</v>
      </c>
      <c r="O507" s="1013" t="s">
        <v>4238</v>
      </c>
      <c r="P507" s="927">
        <v>44181</v>
      </c>
      <c r="Q507" s="927">
        <v>44181</v>
      </c>
      <c r="R507" s="1012" t="s">
        <v>4220</v>
      </c>
      <c r="S507" s="933"/>
      <c r="T507" s="1534"/>
      <c r="U507" s="926"/>
    </row>
    <row r="508" spans="1:21" ht="75" customHeight="1">
      <c r="A508" s="926" t="s">
        <v>2476</v>
      </c>
      <c r="B508" s="927">
        <v>44161</v>
      </c>
      <c r="C508" s="926">
        <v>7</v>
      </c>
      <c r="D508" s="926">
        <v>5</v>
      </c>
      <c r="E508" s="935" t="s">
        <v>3240</v>
      </c>
      <c r="F508" s="926">
        <f t="shared" si="44"/>
        <v>17</v>
      </c>
      <c r="G508" s="1207" t="s">
        <v>3404</v>
      </c>
      <c r="H508" s="929"/>
      <c r="I508" s="929" t="s">
        <v>551</v>
      </c>
      <c r="J508" s="929"/>
      <c r="K508" s="5">
        <v>44139</v>
      </c>
      <c r="L508" s="5">
        <v>44191</v>
      </c>
      <c r="M508" s="929" t="s">
        <v>4259</v>
      </c>
      <c r="N508" s="3" t="s">
        <v>1975</v>
      </c>
      <c r="O508" s="1013" t="s">
        <v>4238</v>
      </c>
      <c r="P508" s="927">
        <v>44181</v>
      </c>
      <c r="Q508" s="927">
        <v>44181</v>
      </c>
      <c r="R508" s="1012" t="s">
        <v>4220</v>
      </c>
      <c r="S508" s="933"/>
      <c r="T508" s="1534"/>
      <c r="U508" s="926"/>
    </row>
    <row r="509" spans="1:21" ht="72.75" customHeight="1">
      <c r="A509" s="926" t="s">
        <v>2476</v>
      </c>
      <c r="B509" s="927">
        <v>44161</v>
      </c>
      <c r="C509" s="926">
        <v>7</v>
      </c>
      <c r="D509" s="926">
        <v>5</v>
      </c>
      <c r="E509" s="935" t="s">
        <v>3240</v>
      </c>
      <c r="F509" s="926">
        <f t="shared" si="44"/>
        <v>18</v>
      </c>
      <c r="G509" s="1207" t="s">
        <v>3405</v>
      </c>
      <c r="H509" s="929"/>
      <c r="I509" s="929" t="s">
        <v>551</v>
      </c>
      <c r="J509" s="929"/>
      <c r="K509" s="5">
        <v>44139</v>
      </c>
      <c r="L509" s="5">
        <v>44191</v>
      </c>
      <c r="M509" s="929" t="s">
        <v>4259</v>
      </c>
      <c r="N509" s="3" t="s">
        <v>1975</v>
      </c>
      <c r="O509" s="1013" t="s">
        <v>4238</v>
      </c>
      <c r="P509" s="927">
        <v>44181</v>
      </c>
      <c r="Q509" s="927">
        <v>44181</v>
      </c>
      <c r="R509" s="1012" t="s">
        <v>4220</v>
      </c>
      <c r="S509" s="933"/>
      <c r="T509" s="1534"/>
      <c r="U509" s="926"/>
    </row>
    <row r="510" spans="1:21" ht="69.75" customHeight="1">
      <c r="A510" s="926" t="s">
        <v>2476</v>
      </c>
      <c r="B510" s="927">
        <v>44161</v>
      </c>
      <c r="C510" s="926">
        <v>7</v>
      </c>
      <c r="D510" s="926">
        <v>5</v>
      </c>
      <c r="E510" s="935" t="s">
        <v>3240</v>
      </c>
      <c r="F510" s="926">
        <f t="shared" si="44"/>
        <v>19</v>
      </c>
      <c r="G510" s="1207" t="s">
        <v>3406</v>
      </c>
      <c r="H510" s="929"/>
      <c r="I510" s="929" t="s">
        <v>551</v>
      </c>
      <c r="J510" s="929"/>
      <c r="K510" s="5">
        <v>44139</v>
      </c>
      <c r="L510" s="5">
        <v>44191</v>
      </c>
      <c r="M510" s="929" t="s">
        <v>4260</v>
      </c>
      <c r="N510" s="3" t="s">
        <v>1975</v>
      </c>
      <c r="O510" s="1013" t="s">
        <v>4238</v>
      </c>
      <c r="P510" s="927">
        <v>44181</v>
      </c>
      <c r="Q510" s="927">
        <v>44181</v>
      </c>
      <c r="R510" s="1012" t="s">
        <v>4220</v>
      </c>
      <c r="S510" s="933"/>
      <c r="T510" s="1534"/>
      <c r="U510" s="926"/>
    </row>
    <row r="511" spans="1:21" ht="71.25" customHeight="1">
      <c r="A511" s="926" t="s">
        <v>2476</v>
      </c>
      <c r="B511" s="927">
        <v>44161</v>
      </c>
      <c r="C511" s="926">
        <v>7</v>
      </c>
      <c r="D511" s="926">
        <v>5</v>
      </c>
      <c r="E511" s="935" t="s">
        <v>3240</v>
      </c>
      <c r="F511" s="926">
        <f t="shared" si="44"/>
        <v>20</v>
      </c>
      <c r="G511" s="1207" t="s">
        <v>3407</v>
      </c>
      <c r="H511" s="929"/>
      <c r="I511" s="929" t="s">
        <v>551</v>
      </c>
      <c r="J511" s="929"/>
      <c r="K511" s="5">
        <v>44139</v>
      </c>
      <c r="L511" s="5">
        <v>44191</v>
      </c>
      <c r="M511" s="929" t="s">
        <v>4260</v>
      </c>
      <c r="N511" s="3" t="s">
        <v>1975</v>
      </c>
      <c r="O511" s="1013" t="s">
        <v>4238</v>
      </c>
      <c r="P511" s="927">
        <v>44181</v>
      </c>
      <c r="Q511" s="927">
        <v>44181</v>
      </c>
      <c r="R511" s="1012" t="s">
        <v>4220</v>
      </c>
      <c r="S511" s="933"/>
      <c r="T511" s="1534"/>
      <c r="U511" s="926"/>
    </row>
    <row r="512" spans="1:21" ht="68.25" customHeight="1">
      <c r="A512" s="926" t="s">
        <v>2476</v>
      </c>
      <c r="B512" s="927">
        <v>44161</v>
      </c>
      <c r="C512" s="926">
        <v>7</v>
      </c>
      <c r="D512" s="926">
        <v>5</v>
      </c>
      <c r="E512" s="935" t="s">
        <v>3240</v>
      </c>
      <c r="F512" s="926">
        <f t="shared" si="44"/>
        <v>21</v>
      </c>
      <c r="G512" s="1207" t="s">
        <v>3408</v>
      </c>
      <c r="H512" s="929"/>
      <c r="I512" s="929" t="s">
        <v>551</v>
      </c>
      <c r="J512" s="929"/>
      <c r="K512" s="5">
        <v>44139</v>
      </c>
      <c r="L512" s="5">
        <v>44191</v>
      </c>
      <c r="M512" s="929" t="s">
        <v>4260</v>
      </c>
      <c r="N512" s="3" t="s">
        <v>1975</v>
      </c>
      <c r="O512" s="1013" t="s">
        <v>4238</v>
      </c>
      <c r="P512" s="927">
        <v>44181</v>
      </c>
      <c r="Q512" s="927">
        <v>44181</v>
      </c>
      <c r="R512" s="1012" t="s">
        <v>4220</v>
      </c>
      <c r="S512" s="933"/>
      <c r="T512" s="1534"/>
      <c r="U512" s="926"/>
    </row>
    <row r="513" spans="1:21" ht="63.75" customHeight="1">
      <c r="A513" s="926" t="s">
        <v>2476</v>
      </c>
      <c r="B513" s="927">
        <v>44161</v>
      </c>
      <c r="C513" s="926">
        <v>7</v>
      </c>
      <c r="D513" s="926">
        <v>5</v>
      </c>
      <c r="E513" s="935" t="s">
        <v>3242</v>
      </c>
      <c r="F513" s="926">
        <f t="shared" si="44"/>
        <v>22</v>
      </c>
      <c r="G513" s="1207" t="s">
        <v>3409</v>
      </c>
      <c r="H513" s="929"/>
      <c r="I513" s="929" t="s">
        <v>551</v>
      </c>
      <c r="J513" s="929"/>
      <c r="K513" s="5">
        <v>44172</v>
      </c>
      <c r="L513" s="5">
        <v>44196</v>
      </c>
      <c r="M513" s="929" t="s">
        <v>4261</v>
      </c>
      <c r="N513" s="3" t="s">
        <v>1975</v>
      </c>
      <c r="O513" s="1013" t="s">
        <v>4238</v>
      </c>
      <c r="P513" s="927">
        <v>44181</v>
      </c>
      <c r="Q513" s="927">
        <v>44181</v>
      </c>
      <c r="R513" s="1012" t="s">
        <v>4220</v>
      </c>
      <c r="S513" s="933"/>
      <c r="T513" s="1534"/>
      <c r="U513" s="926"/>
    </row>
    <row r="514" spans="1:21" ht="62.25" customHeight="1">
      <c r="A514" s="926" t="s">
        <v>2476</v>
      </c>
      <c r="B514" s="927">
        <v>44161</v>
      </c>
      <c r="C514" s="926">
        <v>7</v>
      </c>
      <c r="D514" s="926">
        <v>5</v>
      </c>
      <c r="E514" s="935" t="s">
        <v>3244</v>
      </c>
      <c r="F514" s="926">
        <f t="shared" si="44"/>
        <v>23</v>
      </c>
      <c r="G514" s="1207" t="s">
        <v>3410</v>
      </c>
      <c r="H514" s="929"/>
      <c r="I514" s="929" t="s">
        <v>551</v>
      </c>
      <c r="J514" s="929"/>
      <c r="K514" s="5">
        <v>44153</v>
      </c>
      <c r="L514" s="5">
        <v>44191</v>
      </c>
      <c r="M514" s="929" t="s">
        <v>4262</v>
      </c>
      <c r="N514" s="3" t="s">
        <v>1975</v>
      </c>
      <c r="O514" s="1013" t="s">
        <v>4238</v>
      </c>
      <c r="P514" s="927">
        <v>44181</v>
      </c>
      <c r="Q514" s="927">
        <v>44181</v>
      </c>
      <c r="R514" s="1012" t="s">
        <v>4220</v>
      </c>
      <c r="S514" s="933"/>
      <c r="T514" s="1534"/>
      <c r="U514" s="926"/>
    </row>
    <row r="515" spans="1:21" ht="56.25" customHeight="1">
      <c r="A515" s="926" t="s">
        <v>2476</v>
      </c>
      <c r="B515" s="927">
        <v>44161</v>
      </c>
      <c r="C515" s="926">
        <v>7</v>
      </c>
      <c r="D515" s="926">
        <v>5</v>
      </c>
      <c r="E515" s="935" t="s">
        <v>3244</v>
      </c>
      <c r="F515" s="926">
        <f t="shared" si="44"/>
        <v>24</v>
      </c>
      <c r="G515" s="1207" t="s">
        <v>3411</v>
      </c>
      <c r="H515" s="929"/>
      <c r="I515" s="929" t="s">
        <v>551</v>
      </c>
      <c r="J515" s="929"/>
      <c r="K515" s="5">
        <v>44153</v>
      </c>
      <c r="L515" s="5">
        <v>44191</v>
      </c>
      <c r="M515" s="929" t="s">
        <v>4263</v>
      </c>
      <c r="N515" s="3" t="s">
        <v>1975</v>
      </c>
      <c r="O515" s="1013" t="s">
        <v>4238</v>
      </c>
      <c r="P515" s="927">
        <v>44181</v>
      </c>
      <c r="Q515" s="927">
        <v>44181</v>
      </c>
      <c r="R515" s="1012" t="s">
        <v>4220</v>
      </c>
      <c r="S515" s="933"/>
      <c r="T515" s="1534"/>
      <c r="U515" s="926"/>
    </row>
    <row r="516" spans="1:21" ht="55.5" customHeight="1">
      <c r="A516" s="926" t="s">
        <v>2476</v>
      </c>
      <c r="B516" s="927">
        <v>44161</v>
      </c>
      <c r="C516" s="926">
        <v>7</v>
      </c>
      <c r="D516" s="926">
        <v>5</v>
      </c>
      <c r="E516" s="935" t="s">
        <v>3244</v>
      </c>
      <c r="F516" s="926">
        <f t="shared" si="44"/>
        <v>25</v>
      </c>
      <c r="G516" s="1207" t="s">
        <v>3412</v>
      </c>
      <c r="H516" s="929"/>
      <c r="I516" s="929" t="s">
        <v>551</v>
      </c>
      <c r="J516" s="929"/>
      <c r="K516" s="5">
        <v>44153</v>
      </c>
      <c r="L516" s="5">
        <v>44191</v>
      </c>
      <c r="M516" s="929" t="s">
        <v>4264</v>
      </c>
      <c r="N516" s="3" t="s">
        <v>1975</v>
      </c>
      <c r="O516" s="1013" t="s">
        <v>4238</v>
      </c>
      <c r="P516" s="927">
        <v>44181</v>
      </c>
      <c r="Q516" s="927">
        <v>44181</v>
      </c>
      <c r="R516" s="1012" t="s">
        <v>4220</v>
      </c>
      <c r="S516" s="933"/>
      <c r="T516" s="1534"/>
      <c r="U516" s="926"/>
    </row>
    <row r="517" spans="1:21" ht="65.25" customHeight="1">
      <c r="A517" s="926" t="s">
        <v>2476</v>
      </c>
      <c r="B517" s="927">
        <v>44161</v>
      </c>
      <c r="C517" s="926">
        <v>7</v>
      </c>
      <c r="D517" s="926">
        <v>5</v>
      </c>
      <c r="E517" s="935" t="s">
        <v>3244</v>
      </c>
      <c r="F517" s="926">
        <f t="shared" si="44"/>
        <v>26</v>
      </c>
      <c r="G517" s="1207" t="s">
        <v>3413</v>
      </c>
      <c r="H517" s="929"/>
      <c r="I517" s="929" t="s">
        <v>551</v>
      </c>
      <c r="J517" s="929"/>
      <c r="K517" s="5">
        <v>44153</v>
      </c>
      <c r="L517" s="5">
        <v>44191</v>
      </c>
      <c r="M517" s="929" t="s">
        <v>4265</v>
      </c>
      <c r="N517" s="3" t="s">
        <v>1975</v>
      </c>
      <c r="O517" s="1013" t="s">
        <v>4238</v>
      </c>
      <c r="P517" s="927">
        <v>44181</v>
      </c>
      <c r="Q517" s="927">
        <v>44181</v>
      </c>
      <c r="R517" s="1012" t="s">
        <v>4220</v>
      </c>
      <c r="S517" s="933"/>
      <c r="T517" s="1534"/>
      <c r="U517" s="926"/>
    </row>
    <row r="518" spans="1:21" ht="77.25" customHeight="1">
      <c r="A518" s="926" t="s">
        <v>2476</v>
      </c>
      <c r="B518" s="927">
        <v>44161</v>
      </c>
      <c r="C518" s="926">
        <v>7</v>
      </c>
      <c r="D518" s="926">
        <v>5</v>
      </c>
      <c r="E518" s="935" t="s">
        <v>3247</v>
      </c>
      <c r="F518" s="926">
        <f t="shared" si="44"/>
        <v>27</v>
      </c>
      <c r="G518" s="1207" t="s">
        <v>3414</v>
      </c>
      <c r="H518" s="929"/>
      <c r="I518" s="929" t="s">
        <v>551</v>
      </c>
      <c r="J518" s="929"/>
      <c r="K518" s="5">
        <v>44139</v>
      </c>
      <c r="L518" s="5">
        <v>44196</v>
      </c>
      <c r="M518" s="929" t="s">
        <v>4266</v>
      </c>
      <c r="N518" s="3" t="s">
        <v>1975</v>
      </c>
      <c r="O518" s="1013" t="s">
        <v>4238</v>
      </c>
      <c r="P518" s="927">
        <v>44181</v>
      </c>
      <c r="Q518" s="927">
        <v>44181</v>
      </c>
      <c r="R518" s="1012" t="s">
        <v>4220</v>
      </c>
      <c r="S518" s="933"/>
      <c r="T518" s="1534"/>
      <c r="U518" s="926"/>
    </row>
    <row r="519" spans="1:21" ht="55.5" customHeight="1">
      <c r="A519" s="926" t="s">
        <v>2476</v>
      </c>
      <c r="B519" s="927">
        <v>44161</v>
      </c>
      <c r="C519" s="926">
        <v>7</v>
      </c>
      <c r="D519" s="926">
        <v>5</v>
      </c>
      <c r="E519" s="935" t="s">
        <v>3247</v>
      </c>
      <c r="F519" s="926">
        <f t="shared" si="44"/>
        <v>28</v>
      </c>
      <c r="G519" s="1207" t="s">
        <v>3415</v>
      </c>
      <c r="H519" s="929"/>
      <c r="I519" s="929" t="s">
        <v>551</v>
      </c>
      <c r="J519" s="929"/>
      <c r="K519" s="5">
        <v>44139</v>
      </c>
      <c r="L519" s="5">
        <v>44196</v>
      </c>
      <c r="M519" s="929" t="s">
        <v>4267</v>
      </c>
      <c r="N519" s="3" t="s">
        <v>1975</v>
      </c>
      <c r="O519" s="1013" t="s">
        <v>4238</v>
      </c>
      <c r="P519" s="927">
        <v>44181</v>
      </c>
      <c r="Q519" s="927">
        <v>44181</v>
      </c>
      <c r="R519" s="1012" t="s">
        <v>4220</v>
      </c>
      <c r="S519" s="933"/>
      <c r="T519" s="1534"/>
      <c r="U519" s="926"/>
    </row>
    <row r="520" spans="1:21" ht="71.25" customHeight="1">
      <c r="A520" s="926" t="s">
        <v>2476</v>
      </c>
      <c r="B520" s="927">
        <v>44161</v>
      </c>
      <c r="C520" s="926">
        <v>7</v>
      </c>
      <c r="D520" s="926">
        <v>5</v>
      </c>
      <c r="E520" s="935" t="s">
        <v>3247</v>
      </c>
      <c r="F520" s="926">
        <f t="shared" si="44"/>
        <v>29</v>
      </c>
      <c r="G520" s="1207" t="s">
        <v>3416</v>
      </c>
      <c r="H520" s="929"/>
      <c r="I520" s="929" t="s">
        <v>551</v>
      </c>
      <c r="J520" s="929"/>
      <c r="K520" s="5">
        <v>44139</v>
      </c>
      <c r="L520" s="5">
        <v>44196</v>
      </c>
      <c r="M520" s="929" t="s">
        <v>4268</v>
      </c>
      <c r="N520" s="3" t="s">
        <v>1975</v>
      </c>
      <c r="O520" s="1013" t="s">
        <v>4238</v>
      </c>
      <c r="P520" s="927">
        <v>44181</v>
      </c>
      <c r="Q520" s="927">
        <v>44181</v>
      </c>
      <c r="R520" s="1012" t="s">
        <v>4220</v>
      </c>
      <c r="S520" s="933"/>
      <c r="T520" s="1534"/>
      <c r="U520" s="926"/>
    </row>
    <row r="521" spans="1:21" ht="60.75" customHeight="1">
      <c r="A521" s="926" t="s">
        <v>2476</v>
      </c>
      <c r="B521" s="927">
        <v>44161</v>
      </c>
      <c r="C521" s="926">
        <v>7</v>
      </c>
      <c r="D521" s="926">
        <v>5</v>
      </c>
      <c r="E521" s="935" t="s">
        <v>3244</v>
      </c>
      <c r="F521" s="926">
        <f t="shared" si="44"/>
        <v>30</v>
      </c>
      <c r="G521" s="1207" t="s">
        <v>3417</v>
      </c>
      <c r="H521" s="929"/>
      <c r="I521" s="929" t="s">
        <v>551</v>
      </c>
      <c r="J521" s="929"/>
      <c r="K521" s="5">
        <v>44153</v>
      </c>
      <c r="L521" s="5">
        <v>44191</v>
      </c>
      <c r="M521" s="929" t="s">
        <v>4269</v>
      </c>
      <c r="N521" s="3" t="s">
        <v>1975</v>
      </c>
      <c r="O521" s="1013" t="s">
        <v>4238</v>
      </c>
      <c r="P521" s="927">
        <v>44181</v>
      </c>
      <c r="Q521" s="927">
        <v>44181</v>
      </c>
      <c r="R521" s="1012" t="s">
        <v>4220</v>
      </c>
      <c r="S521" s="933"/>
      <c r="T521" s="1534"/>
      <c r="U521" s="926"/>
    </row>
    <row r="522" spans="1:21" ht="53.25" customHeight="1">
      <c r="A522" s="926" t="s">
        <v>2476</v>
      </c>
      <c r="B522" s="927">
        <v>44161</v>
      </c>
      <c r="C522" s="926">
        <v>7</v>
      </c>
      <c r="D522" s="926">
        <v>5</v>
      </c>
      <c r="E522" s="935" t="s">
        <v>3247</v>
      </c>
      <c r="F522" s="926">
        <f t="shared" si="44"/>
        <v>31</v>
      </c>
      <c r="G522" s="1207" t="s">
        <v>3418</v>
      </c>
      <c r="H522" s="929"/>
      <c r="I522" s="929" t="s">
        <v>551</v>
      </c>
      <c r="J522" s="929"/>
      <c r="K522" s="5">
        <v>44139</v>
      </c>
      <c r="L522" s="5">
        <v>44196</v>
      </c>
      <c r="M522" s="929" t="s">
        <v>4269</v>
      </c>
      <c r="N522" s="3" t="s">
        <v>1975</v>
      </c>
      <c r="O522" s="1013" t="s">
        <v>4238</v>
      </c>
      <c r="P522" s="927">
        <v>44181</v>
      </c>
      <c r="Q522" s="927">
        <v>44181</v>
      </c>
      <c r="R522" s="1012" t="s">
        <v>4220</v>
      </c>
      <c r="S522" s="933"/>
      <c r="T522" s="1534"/>
      <c r="U522" s="926"/>
    </row>
    <row r="523" spans="1:21" ht="41.25" customHeight="1">
      <c r="A523" s="926" t="s">
        <v>2476</v>
      </c>
      <c r="B523" s="927">
        <v>44041</v>
      </c>
      <c r="C523" s="926">
        <v>6</v>
      </c>
      <c r="D523" s="926">
        <v>3</v>
      </c>
      <c r="E523" s="935" t="s">
        <v>2734</v>
      </c>
      <c r="F523" s="926">
        <v>1</v>
      </c>
      <c r="G523" s="1013" t="s">
        <v>3056</v>
      </c>
      <c r="H523" s="929"/>
      <c r="I523" s="929" t="s">
        <v>551</v>
      </c>
      <c r="J523" s="1705"/>
      <c r="K523" s="176">
        <v>43894</v>
      </c>
      <c r="L523" s="5">
        <v>43960</v>
      </c>
      <c r="M523" s="1175" t="s">
        <v>3062</v>
      </c>
      <c r="N523" s="3" t="s">
        <v>2480</v>
      </c>
      <c r="O523" s="929" t="s">
        <v>166</v>
      </c>
      <c r="P523" s="927">
        <f>B523</f>
        <v>44041</v>
      </c>
      <c r="Q523" s="927">
        <f>B523</f>
        <v>44041</v>
      </c>
      <c r="R523" s="1012" t="s">
        <v>4220</v>
      </c>
      <c r="S523" s="933" t="s">
        <v>3057</v>
      </c>
      <c r="T523" s="1534"/>
      <c r="U523" s="926"/>
    </row>
    <row r="524" spans="1:21" ht="40.5" customHeight="1">
      <c r="A524" s="926" t="s">
        <v>2476</v>
      </c>
      <c r="B524" s="927">
        <v>44041</v>
      </c>
      <c r="C524" s="926">
        <v>6</v>
      </c>
      <c r="D524" s="926">
        <v>3</v>
      </c>
      <c r="E524" s="935" t="s">
        <v>2734</v>
      </c>
      <c r="F524" s="926">
        <v>2</v>
      </c>
      <c r="G524" s="1013" t="s">
        <v>3058</v>
      </c>
      <c r="H524" s="929"/>
      <c r="I524" s="929" t="s">
        <v>551</v>
      </c>
      <c r="J524" s="1705"/>
      <c r="K524" s="176">
        <v>43894</v>
      </c>
      <c r="L524" s="5">
        <v>43960</v>
      </c>
      <c r="M524" s="1175" t="s">
        <v>3062</v>
      </c>
      <c r="N524" s="3" t="s">
        <v>2480</v>
      </c>
      <c r="O524" s="929" t="s">
        <v>166</v>
      </c>
      <c r="P524" s="927">
        <f>B524</f>
        <v>44041</v>
      </c>
      <c r="Q524" s="927">
        <f>B524</f>
        <v>44041</v>
      </c>
      <c r="R524" s="1012" t="s">
        <v>4220</v>
      </c>
      <c r="S524" s="933" t="s">
        <v>3057</v>
      </c>
      <c r="T524" s="1534"/>
      <c r="U524" s="926"/>
    </row>
    <row r="525" spans="1:21" ht="40.5" customHeight="1">
      <c r="A525" s="926" t="s">
        <v>2476</v>
      </c>
      <c r="B525" s="927">
        <v>44041</v>
      </c>
      <c r="C525" s="926">
        <v>6</v>
      </c>
      <c r="D525" s="926">
        <v>3</v>
      </c>
      <c r="E525" s="935" t="s">
        <v>2724</v>
      </c>
      <c r="F525" s="926">
        <v>3</v>
      </c>
      <c r="G525" s="1013" t="s">
        <v>3060</v>
      </c>
      <c r="H525" s="929"/>
      <c r="I525" s="929" t="s">
        <v>551</v>
      </c>
      <c r="J525" s="1705"/>
      <c r="K525" s="176">
        <v>43893</v>
      </c>
      <c r="L525" s="5">
        <v>43982</v>
      </c>
      <c r="M525" s="1175" t="s">
        <v>1607</v>
      </c>
      <c r="N525" s="3" t="s">
        <v>2506</v>
      </c>
      <c r="O525" s="929" t="s">
        <v>166</v>
      </c>
      <c r="P525" s="927">
        <f t="shared" ref="P525:P536" si="45">B525</f>
        <v>44041</v>
      </c>
      <c r="Q525" s="927">
        <f t="shared" ref="Q525:Q536" si="46">B525</f>
        <v>44041</v>
      </c>
      <c r="R525" s="1012" t="s">
        <v>4220</v>
      </c>
      <c r="S525" s="931" t="s">
        <v>2910</v>
      </c>
      <c r="T525" s="1534"/>
      <c r="U525" s="926"/>
    </row>
    <row r="526" spans="1:21" ht="51.75" customHeight="1">
      <c r="A526" s="926" t="s">
        <v>2476</v>
      </c>
      <c r="B526" s="927">
        <v>44041</v>
      </c>
      <c r="C526" s="926">
        <v>6</v>
      </c>
      <c r="D526" s="926">
        <v>3</v>
      </c>
      <c r="E526" s="1537" t="s">
        <v>3061</v>
      </c>
      <c r="F526" s="926">
        <v>4</v>
      </c>
      <c r="G526" s="1013" t="s">
        <v>3059</v>
      </c>
      <c r="H526" s="929"/>
      <c r="I526" s="929" t="s">
        <v>551</v>
      </c>
      <c r="J526" s="929"/>
      <c r="K526" s="926" t="s">
        <v>3061</v>
      </c>
      <c r="L526" s="926" t="s">
        <v>3061</v>
      </c>
      <c r="M526" s="929" t="s">
        <v>2532</v>
      </c>
      <c r="N526" s="929" t="s">
        <v>2532</v>
      </c>
      <c r="O526" s="929" t="s">
        <v>166</v>
      </c>
      <c r="P526" s="927">
        <f t="shared" si="45"/>
        <v>44041</v>
      </c>
      <c r="Q526" s="927">
        <f t="shared" si="46"/>
        <v>44041</v>
      </c>
      <c r="R526" s="1012" t="s">
        <v>4220</v>
      </c>
      <c r="S526" s="931"/>
      <c r="T526" s="1534"/>
      <c r="U526" s="926"/>
    </row>
    <row r="527" spans="1:21" ht="25.5">
      <c r="A527" s="926" t="s">
        <v>2476</v>
      </c>
      <c r="B527" s="927">
        <v>44041</v>
      </c>
      <c r="C527" s="926">
        <v>6</v>
      </c>
      <c r="D527" s="926">
        <v>3</v>
      </c>
      <c r="E527" s="926"/>
      <c r="F527" s="926">
        <v>5</v>
      </c>
      <c r="G527" s="1013" t="s">
        <v>3063</v>
      </c>
      <c r="H527" s="929"/>
      <c r="I527" s="929" t="s">
        <v>551</v>
      </c>
      <c r="J527" s="929"/>
      <c r="K527" s="929"/>
      <c r="L527" s="929"/>
      <c r="M527" s="929" t="s">
        <v>3064</v>
      </c>
      <c r="N527" s="929" t="s">
        <v>2524</v>
      </c>
      <c r="O527" s="929" t="s">
        <v>166</v>
      </c>
      <c r="P527" s="927">
        <f t="shared" si="45"/>
        <v>44041</v>
      </c>
      <c r="Q527" s="927">
        <f t="shared" si="46"/>
        <v>44041</v>
      </c>
      <c r="R527" s="1012" t="s">
        <v>4220</v>
      </c>
      <c r="S527" s="931"/>
      <c r="T527" s="1534"/>
      <c r="U527" s="926"/>
    </row>
    <row r="528" spans="1:21" ht="25.5">
      <c r="A528" s="926" t="s">
        <v>2476</v>
      </c>
      <c r="B528" s="927">
        <v>44041</v>
      </c>
      <c r="C528" s="926">
        <v>6</v>
      </c>
      <c r="D528" s="926">
        <v>3</v>
      </c>
      <c r="E528" s="935" t="s">
        <v>2854</v>
      </c>
      <c r="F528" s="926">
        <v>6</v>
      </c>
      <c r="G528" s="1013" t="s">
        <v>3065</v>
      </c>
      <c r="H528" s="929"/>
      <c r="I528" s="929" t="s">
        <v>551</v>
      </c>
      <c r="J528" s="1705"/>
      <c r="K528" s="176">
        <v>44008</v>
      </c>
      <c r="L528" s="5">
        <v>44074</v>
      </c>
      <c r="M528" s="1175" t="s">
        <v>3066</v>
      </c>
      <c r="N528" s="929" t="s">
        <v>2663</v>
      </c>
      <c r="O528" s="929" t="s">
        <v>166</v>
      </c>
      <c r="P528" s="927">
        <f t="shared" si="45"/>
        <v>44041</v>
      </c>
      <c r="Q528" s="927">
        <f t="shared" si="46"/>
        <v>44041</v>
      </c>
      <c r="R528" s="1012" t="s">
        <v>4220</v>
      </c>
      <c r="S528" s="931"/>
      <c r="T528" s="1534"/>
      <c r="U528" s="926"/>
    </row>
    <row r="529" spans="1:21" ht="30">
      <c r="A529" s="926" t="s">
        <v>2476</v>
      </c>
      <c r="B529" s="927">
        <v>44041</v>
      </c>
      <c r="C529" s="926">
        <v>6</v>
      </c>
      <c r="D529" s="926">
        <v>3</v>
      </c>
      <c r="E529" s="935" t="s">
        <v>2855</v>
      </c>
      <c r="F529" s="926">
        <v>7</v>
      </c>
      <c r="G529" s="1013" t="s">
        <v>3067</v>
      </c>
      <c r="H529" s="929"/>
      <c r="I529" s="929" t="s">
        <v>551</v>
      </c>
      <c r="J529" s="1705"/>
      <c r="K529" s="176">
        <v>44018</v>
      </c>
      <c r="L529" s="5">
        <v>44104</v>
      </c>
      <c r="M529" s="929" t="s">
        <v>3068</v>
      </c>
      <c r="N529" s="929" t="s">
        <v>2663</v>
      </c>
      <c r="O529" s="929" t="s">
        <v>166</v>
      </c>
      <c r="P529" s="927">
        <f t="shared" si="45"/>
        <v>44041</v>
      </c>
      <c r="Q529" s="927">
        <f t="shared" si="46"/>
        <v>44041</v>
      </c>
      <c r="R529" s="1012" t="s">
        <v>4220</v>
      </c>
      <c r="S529" s="931"/>
      <c r="T529" s="1534"/>
      <c r="U529" s="926"/>
    </row>
    <row r="530" spans="1:21" ht="91.5" customHeight="1">
      <c r="A530" s="926" t="s">
        <v>2476</v>
      </c>
      <c r="B530" s="927">
        <v>44041</v>
      </c>
      <c r="C530" s="926">
        <v>6</v>
      </c>
      <c r="D530" s="926">
        <v>3</v>
      </c>
      <c r="E530" s="935" t="s">
        <v>2726</v>
      </c>
      <c r="F530" s="926">
        <v>8</v>
      </c>
      <c r="G530" s="1013" t="s">
        <v>3069</v>
      </c>
      <c r="H530" s="929"/>
      <c r="I530" s="929" t="s">
        <v>551</v>
      </c>
      <c r="J530" s="1705"/>
      <c r="K530" s="176">
        <v>43945</v>
      </c>
      <c r="L530" s="5">
        <v>44098</v>
      </c>
      <c r="M530" s="929" t="s">
        <v>2614</v>
      </c>
      <c r="N530" s="929" t="s">
        <v>2614</v>
      </c>
      <c r="O530" s="929" t="s">
        <v>166</v>
      </c>
      <c r="P530" s="927">
        <f t="shared" si="45"/>
        <v>44041</v>
      </c>
      <c r="Q530" s="927">
        <f t="shared" si="46"/>
        <v>44041</v>
      </c>
      <c r="R530" s="1012" t="s">
        <v>4220</v>
      </c>
      <c r="S530" s="931"/>
      <c r="T530" s="1534"/>
      <c r="U530" s="926"/>
    </row>
    <row r="531" spans="1:21" ht="44.25" customHeight="1">
      <c r="A531" s="926" t="s">
        <v>2476</v>
      </c>
      <c r="B531" s="927">
        <v>44041</v>
      </c>
      <c r="C531" s="926">
        <v>6</v>
      </c>
      <c r="D531" s="926">
        <v>3</v>
      </c>
      <c r="E531" s="935" t="s">
        <v>2825</v>
      </c>
      <c r="F531" s="926">
        <v>9</v>
      </c>
      <c r="G531" s="1013" t="s">
        <v>3070</v>
      </c>
      <c r="H531" s="929" t="s">
        <v>3071</v>
      </c>
      <c r="I531" s="929" t="s">
        <v>551</v>
      </c>
      <c r="J531" s="1705"/>
      <c r="K531" s="176">
        <v>43952</v>
      </c>
      <c r="L531" s="5">
        <v>43987</v>
      </c>
      <c r="M531" s="1178" t="s">
        <v>3072</v>
      </c>
      <c r="N531" s="929" t="s">
        <v>2538</v>
      </c>
      <c r="O531" s="929" t="s">
        <v>166</v>
      </c>
      <c r="P531" s="927">
        <f t="shared" si="45"/>
        <v>44041</v>
      </c>
      <c r="Q531" s="927">
        <f t="shared" si="46"/>
        <v>44041</v>
      </c>
      <c r="R531" s="1012" t="s">
        <v>4220</v>
      </c>
      <c r="S531" s="931"/>
      <c r="T531" s="1534"/>
      <c r="U531" s="926"/>
    </row>
    <row r="532" spans="1:21" ht="25.5">
      <c r="A532" s="926" t="s">
        <v>2476</v>
      </c>
      <c r="B532" s="927">
        <v>44041</v>
      </c>
      <c r="C532" s="926">
        <v>6</v>
      </c>
      <c r="D532" s="926">
        <v>3</v>
      </c>
      <c r="E532" s="935" t="s">
        <v>3605</v>
      </c>
      <c r="F532" s="926">
        <v>10</v>
      </c>
      <c r="G532" s="1013" t="s">
        <v>3073</v>
      </c>
      <c r="H532" s="929"/>
      <c r="I532" s="929" t="s">
        <v>551</v>
      </c>
      <c r="J532" s="929"/>
      <c r="K532" s="929"/>
      <c r="L532" s="929"/>
      <c r="M532" s="1013" t="s">
        <v>3074</v>
      </c>
      <c r="N532" s="929" t="s">
        <v>2480</v>
      </c>
      <c r="O532" s="929" t="s">
        <v>166</v>
      </c>
      <c r="P532" s="927">
        <f t="shared" si="45"/>
        <v>44041</v>
      </c>
      <c r="Q532" s="927">
        <f t="shared" si="46"/>
        <v>44041</v>
      </c>
      <c r="R532" s="1012" t="s">
        <v>4220</v>
      </c>
      <c r="S532" s="931"/>
      <c r="T532" s="1534"/>
      <c r="U532" s="926"/>
    </row>
    <row r="533" spans="1:21" ht="26.25" customHeight="1">
      <c r="A533" s="926" t="s">
        <v>2476</v>
      </c>
      <c r="B533" s="927">
        <v>44041</v>
      </c>
      <c r="C533" s="926">
        <v>6</v>
      </c>
      <c r="D533" s="926">
        <v>3</v>
      </c>
      <c r="E533" s="935" t="s">
        <v>3605</v>
      </c>
      <c r="F533" s="926">
        <v>11</v>
      </c>
      <c r="G533" s="1013" t="s">
        <v>3075</v>
      </c>
      <c r="H533" s="929"/>
      <c r="I533" s="929" t="s">
        <v>551</v>
      </c>
      <c r="J533" s="929"/>
      <c r="K533" s="929"/>
      <c r="L533" s="929"/>
      <c r="M533" s="1013" t="s">
        <v>3074</v>
      </c>
      <c r="N533" s="929" t="s">
        <v>2480</v>
      </c>
      <c r="O533" s="929" t="s">
        <v>166</v>
      </c>
      <c r="P533" s="927">
        <f t="shared" si="45"/>
        <v>44041</v>
      </c>
      <c r="Q533" s="927">
        <f t="shared" si="46"/>
        <v>44041</v>
      </c>
      <c r="R533" s="1012" t="s">
        <v>4220</v>
      </c>
      <c r="S533" s="931"/>
      <c r="T533" s="1534"/>
      <c r="U533" s="926"/>
    </row>
    <row r="534" spans="1:21" ht="38.25">
      <c r="A534" s="926" t="s">
        <v>2476</v>
      </c>
      <c r="B534" s="927">
        <v>44041</v>
      </c>
      <c r="C534" s="926">
        <v>6</v>
      </c>
      <c r="D534" s="926">
        <v>3</v>
      </c>
      <c r="E534" s="935" t="s">
        <v>3605</v>
      </c>
      <c r="F534" s="926">
        <v>12</v>
      </c>
      <c r="G534" s="1013" t="s">
        <v>3076</v>
      </c>
      <c r="H534" s="929"/>
      <c r="I534" s="929" t="s">
        <v>551</v>
      </c>
      <c r="J534" s="929"/>
      <c r="K534" s="929"/>
      <c r="L534" s="929"/>
      <c r="M534" s="1013" t="s">
        <v>3074</v>
      </c>
      <c r="N534" s="929" t="s">
        <v>2480</v>
      </c>
      <c r="O534" s="929" t="s">
        <v>166</v>
      </c>
      <c r="P534" s="927">
        <f t="shared" si="45"/>
        <v>44041</v>
      </c>
      <c r="Q534" s="927">
        <f t="shared" si="46"/>
        <v>44041</v>
      </c>
      <c r="R534" s="1012" t="s">
        <v>4220</v>
      </c>
      <c r="S534" s="931"/>
      <c r="T534" s="1534"/>
      <c r="U534" s="926"/>
    </row>
    <row r="535" spans="1:21" ht="38.25">
      <c r="A535" s="926" t="s">
        <v>2476</v>
      </c>
      <c r="B535" s="927">
        <v>44041</v>
      </c>
      <c r="C535" s="926">
        <v>6</v>
      </c>
      <c r="D535" s="926">
        <v>3</v>
      </c>
      <c r="E535" s="935" t="s">
        <v>3026</v>
      </c>
      <c r="F535" s="926">
        <v>13</v>
      </c>
      <c r="G535" s="1013" t="s">
        <v>3077</v>
      </c>
      <c r="H535" s="929"/>
      <c r="I535" s="929" t="s">
        <v>551</v>
      </c>
      <c r="J535" s="929"/>
      <c r="K535" s="929"/>
      <c r="L535" s="929"/>
      <c r="M535" s="1013" t="s">
        <v>3078</v>
      </c>
      <c r="N535" s="1013" t="s">
        <v>2524</v>
      </c>
      <c r="O535" s="929" t="s">
        <v>166</v>
      </c>
      <c r="P535" s="927">
        <f t="shared" si="45"/>
        <v>44041</v>
      </c>
      <c r="Q535" s="927">
        <f t="shared" si="46"/>
        <v>44041</v>
      </c>
      <c r="R535" s="1012" t="s">
        <v>4220</v>
      </c>
      <c r="S535" s="931"/>
      <c r="T535" s="1534"/>
      <c r="U535" s="926"/>
    </row>
    <row r="536" spans="1:21" ht="30" customHeight="1">
      <c r="A536" s="926" t="s">
        <v>2476</v>
      </c>
      <c r="B536" s="927">
        <v>44041</v>
      </c>
      <c r="C536" s="926">
        <v>6</v>
      </c>
      <c r="D536" s="926">
        <v>3</v>
      </c>
      <c r="E536" s="935" t="s">
        <v>3018</v>
      </c>
      <c r="F536" s="926">
        <v>14</v>
      </c>
      <c r="G536" s="1013" t="s">
        <v>3079</v>
      </c>
      <c r="H536" s="929"/>
      <c r="I536" s="929" t="s">
        <v>551</v>
      </c>
      <c r="J536" s="929"/>
      <c r="K536" s="929"/>
      <c r="L536" s="929"/>
      <c r="M536" s="1013" t="s">
        <v>3080</v>
      </c>
      <c r="N536" s="1013" t="s">
        <v>2480</v>
      </c>
      <c r="O536" s="929" t="s">
        <v>166</v>
      </c>
      <c r="P536" s="927">
        <f t="shared" si="45"/>
        <v>44041</v>
      </c>
      <c r="Q536" s="927">
        <f t="shared" si="46"/>
        <v>44041</v>
      </c>
      <c r="R536" s="1012" t="s">
        <v>4220</v>
      </c>
      <c r="S536" s="931"/>
      <c r="T536" s="1534"/>
      <c r="U536" s="926"/>
    </row>
    <row r="537" spans="1:21" ht="25.5">
      <c r="A537" s="926" t="s">
        <v>2476</v>
      </c>
      <c r="B537" s="927">
        <v>44041</v>
      </c>
      <c r="C537" s="926">
        <v>6</v>
      </c>
      <c r="D537" s="926">
        <v>4</v>
      </c>
      <c r="E537" s="935" t="s">
        <v>3019</v>
      </c>
      <c r="F537" s="926">
        <v>15</v>
      </c>
      <c r="G537" s="1013" t="s">
        <v>3081</v>
      </c>
      <c r="H537" s="929"/>
      <c r="I537" s="929" t="s">
        <v>551</v>
      </c>
      <c r="J537" s="929"/>
      <c r="K537" s="929"/>
      <c r="L537" s="929"/>
      <c r="M537" s="1013" t="s">
        <v>2577</v>
      </c>
      <c r="N537" s="1013" t="s">
        <v>2577</v>
      </c>
      <c r="O537" s="929" t="s">
        <v>166</v>
      </c>
      <c r="P537" s="927">
        <f>B537</f>
        <v>44041</v>
      </c>
      <c r="Q537" s="927">
        <f>B537</f>
        <v>44041</v>
      </c>
      <c r="R537" s="1012" t="s">
        <v>4220</v>
      </c>
      <c r="S537" s="931"/>
      <c r="T537" s="1534"/>
      <c r="U537" s="926"/>
    </row>
    <row r="538" spans="1:21" ht="38.25">
      <c r="A538" s="926" t="s">
        <v>2476</v>
      </c>
      <c r="B538" s="927">
        <v>44041</v>
      </c>
      <c r="C538" s="926">
        <v>6</v>
      </c>
      <c r="D538" s="926">
        <v>4</v>
      </c>
      <c r="E538" s="935" t="s">
        <v>2829</v>
      </c>
      <c r="F538" s="926">
        <v>16</v>
      </c>
      <c r="G538" s="1013" t="s">
        <v>3082</v>
      </c>
      <c r="H538" s="929"/>
      <c r="I538" s="929" t="s">
        <v>551</v>
      </c>
      <c r="J538" s="929"/>
      <c r="K538" s="5">
        <v>44046</v>
      </c>
      <c r="L538" s="5">
        <v>44099</v>
      </c>
      <c r="M538" s="1178" t="s">
        <v>3083</v>
      </c>
      <c r="N538" s="1013" t="s">
        <v>2480</v>
      </c>
      <c r="O538" s="929" t="s">
        <v>166</v>
      </c>
      <c r="P538" s="927">
        <f>B538</f>
        <v>44041</v>
      </c>
      <c r="Q538" s="927">
        <f>B538</f>
        <v>44041</v>
      </c>
      <c r="R538" s="1012" t="s">
        <v>4220</v>
      </c>
      <c r="S538" s="931"/>
      <c r="T538" s="1534"/>
      <c r="U538" s="926"/>
    </row>
    <row r="539" spans="1:21" ht="38.25">
      <c r="A539" s="926" t="s">
        <v>2476</v>
      </c>
      <c r="B539" s="927">
        <v>44041</v>
      </c>
      <c r="C539" s="926">
        <v>6</v>
      </c>
      <c r="D539" s="926">
        <v>4</v>
      </c>
      <c r="E539" s="935" t="s">
        <v>2829</v>
      </c>
      <c r="F539" s="926">
        <v>17</v>
      </c>
      <c r="G539" s="1013" t="s">
        <v>3084</v>
      </c>
      <c r="H539" s="929"/>
      <c r="I539" s="929" t="s">
        <v>551</v>
      </c>
      <c r="J539" s="929"/>
      <c r="K539" s="5">
        <v>44046</v>
      </c>
      <c r="L539" s="5">
        <v>44099</v>
      </c>
      <c r="M539" s="1178" t="s">
        <v>3083</v>
      </c>
      <c r="N539" s="1013" t="s">
        <v>2480</v>
      </c>
      <c r="O539" s="929" t="s">
        <v>166</v>
      </c>
      <c r="P539" s="927">
        <f>B539</f>
        <v>44041</v>
      </c>
      <c r="Q539" s="927">
        <f>B539</f>
        <v>44041</v>
      </c>
      <c r="R539" s="1012" t="s">
        <v>4220</v>
      </c>
      <c r="S539" s="931"/>
      <c r="T539" s="1534"/>
      <c r="U539" s="926"/>
    </row>
    <row r="540" spans="1:21" ht="25.5">
      <c r="A540" s="926" t="s">
        <v>2476</v>
      </c>
      <c r="B540" s="927">
        <v>44041</v>
      </c>
      <c r="C540" s="926">
        <v>6</v>
      </c>
      <c r="D540" s="926">
        <v>4</v>
      </c>
      <c r="E540" s="926"/>
      <c r="F540" s="926">
        <v>18</v>
      </c>
      <c r="G540" s="1013" t="s">
        <v>3085</v>
      </c>
      <c r="H540" s="929"/>
      <c r="I540" s="929"/>
      <c r="J540" s="929"/>
      <c r="K540" s="929"/>
      <c r="L540" s="929"/>
      <c r="M540" s="1013" t="s">
        <v>3086</v>
      </c>
      <c r="N540" s="1013" t="s">
        <v>2663</v>
      </c>
      <c r="O540" s="929" t="s">
        <v>166</v>
      </c>
      <c r="P540" s="927">
        <f>B540</f>
        <v>44041</v>
      </c>
      <c r="Q540" s="927">
        <f>B540</f>
        <v>44041</v>
      </c>
      <c r="R540" s="1012" t="s">
        <v>4220</v>
      </c>
      <c r="S540" s="931"/>
      <c r="T540" s="1534"/>
      <c r="U540" s="926"/>
    </row>
    <row r="541" spans="1:21" ht="41.25" customHeight="1">
      <c r="A541" s="926" t="s">
        <v>2476</v>
      </c>
      <c r="B541" s="927">
        <v>44041</v>
      </c>
      <c r="C541" s="926">
        <v>6</v>
      </c>
      <c r="D541" s="926">
        <v>4</v>
      </c>
      <c r="E541" s="935" t="s">
        <v>2737</v>
      </c>
      <c r="F541" s="926">
        <v>1</v>
      </c>
      <c r="G541" s="1013" t="s">
        <v>3087</v>
      </c>
      <c r="H541" s="929"/>
      <c r="I541" s="929" t="s">
        <v>551</v>
      </c>
      <c r="J541" s="929"/>
      <c r="K541" s="5">
        <v>43962</v>
      </c>
      <c r="L541" s="5">
        <v>44054</v>
      </c>
      <c r="M541" s="1178" t="s">
        <v>3088</v>
      </c>
      <c r="N541" s="1013" t="s">
        <v>2480</v>
      </c>
      <c r="O541" s="929" t="s">
        <v>77</v>
      </c>
      <c r="P541" s="927">
        <f>B541</f>
        <v>44041</v>
      </c>
      <c r="Q541" s="927">
        <f>B541</f>
        <v>44041</v>
      </c>
      <c r="R541" s="1012" t="s">
        <v>4220</v>
      </c>
      <c r="S541" s="931"/>
      <c r="T541" s="1534"/>
      <c r="U541" s="926"/>
    </row>
    <row r="542" spans="1:21" ht="38.25">
      <c r="A542" s="926" t="s">
        <v>2476</v>
      </c>
      <c r="B542" s="927">
        <v>44041</v>
      </c>
      <c r="C542" s="926">
        <v>6</v>
      </c>
      <c r="D542" s="926">
        <v>4</v>
      </c>
      <c r="E542" s="935" t="s">
        <v>2739</v>
      </c>
      <c r="F542" s="926">
        <v>2</v>
      </c>
      <c r="G542" s="1013" t="s">
        <v>3089</v>
      </c>
      <c r="H542" s="929"/>
      <c r="I542" s="929" t="s">
        <v>551</v>
      </c>
      <c r="J542" s="929"/>
      <c r="K542" s="5">
        <v>43984</v>
      </c>
      <c r="L542" s="5">
        <v>44040</v>
      </c>
      <c r="M542" s="1178" t="s">
        <v>3090</v>
      </c>
      <c r="N542" s="1013" t="s">
        <v>2480</v>
      </c>
      <c r="O542" s="929" t="s">
        <v>77</v>
      </c>
      <c r="P542" s="927">
        <f t="shared" ref="P542:P599" si="47">B542</f>
        <v>44041</v>
      </c>
      <c r="Q542" s="927">
        <f t="shared" ref="Q542:Q599" si="48">B542</f>
        <v>44041</v>
      </c>
      <c r="R542" s="1012" t="s">
        <v>4220</v>
      </c>
      <c r="S542" s="1179" t="s">
        <v>2894</v>
      </c>
      <c r="T542" s="1534"/>
      <c r="U542" s="926"/>
    </row>
    <row r="543" spans="1:21" ht="38.25">
      <c r="A543" s="926" t="s">
        <v>2476</v>
      </c>
      <c r="B543" s="927">
        <v>44041</v>
      </c>
      <c r="C543" s="926">
        <v>6</v>
      </c>
      <c r="D543" s="926">
        <v>4</v>
      </c>
      <c r="E543" s="935" t="s">
        <v>2739</v>
      </c>
      <c r="F543" s="926">
        <v>3</v>
      </c>
      <c r="G543" s="1013" t="s">
        <v>3091</v>
      </c>
      <c r="H543" s="929"/>
      <c r="I543" s="929" t="s">
        <v>551</v>
      </c>
      <c r="J543" s="929"/>
      <c r="K543" s="5">
        <v>43984</v>
      </c>
      <c r="L543" s="5">
        <v>44040</v>
      </c>
      <c r="M543" s="1013" t="s">
        <v>3090</v>
      </c>
      <c r="N543" s="1013" t="s">
        <v>2480</v>
      </c>
      <c r="O543" s="929" t="s">
        <v>77</v>
      </c>
      <c r="P543" s="927">
        <f t="shared" si="47"/>
        <v>44041</v>
      </c>
      <c r="Q543" s="927">
        <f t="shared" si="48"/>
        <v>44041</v>
      </c>
      <c r="R543" s="1012" t="s">
        <v>4220</v>
      </c>
      <c r="S543" s="1179" t="s">
        <v>2894</v>
      </c>
      <c r="T543" s="1534"/>
      <c r="U543" s="926"/>
    </row>
    <row r="544" spans="1:21" ht="84" customHeight="1">
      <c r="A544" s="926" t="s">
        <v>2476</v>
      </c>
      <c r="B544" s="927">
        <v>44041</v>
      </c>
      <c r="C544" s="926">
        <v>6</v>
      </c>
      <c r="D544" s="926">
        <v>4</v>
      </c>
      <c r="E544" s="935" t="s">
        <v>2739</v>
      </c>
      <c r="F544" s="926">
        <v>4</v>
      </c>
      <c r="G544" s="1013" t="s">
        <v>3092</v>
      </c>
      <c r="H544" s="929"/>
      <c r="I544" s="929" t="s">
        <v>551</v>
      </c>
      <c r="J544" s="929"/>
      <c r="K544" s="5">
        <v>43984</v>
      </c>
      <c r="L544" s="5">
        <v>44040</v>
      </c>
      <c r="M544" s="1013" t="s">
        <v>3090</v>
      </c>
      <c r="N544" s="1013" t="s">
        <v>2480</v>
      </c>
      <c r="O544" s="929" t="s">
        <v>77</v>
      </c>
      <c r="P544" s="927">
        <f t="shared" si="47"/>
        <v>44041</v>
      </c>
      <c r="Q544" s="927">
        <f t="shared" si="48"/>
        <v>44041</v>
      </c>
      <c r="R544" s="1012" t="s">
        <v>4220</v>
      </c>
      <c r="S544" s="1179" t="s">
        <v>2894</v>
      </c>
      <c r="T544" s="1534"/>
      <c r="U544" s="926"/>
    </row>
    <row r="545" spans="1:21" ht="38.25">
      <c r="A545" s="926" t="s">
        <v>2476</v>
      </c>
      <c r="B545" s="927">
        <v>44041</v>
      </c>
      <c r="C545" s="926">
        <v>6</v>
      </c>
      <c r="D545" s="926">
        <v>4</v>
      </c>
      <c r="E545" s="935" t="s">
        <v>2740</v>
      </c>
      <c r="F545" s="926">
        <v>5</v>
      </c>
      <c r="G545" s="1013" t="s">
        <v>3095</v>
      </c>
      <c r="H545" s="929"/>
      <c r="I545" s="929" t="s">
        <v>551</v>
      </c>
      <c r="J545" s="929"/>
      <c r="K545" s="5">
        <v>43984</v>
      </c>
      <c r="L545" s="5">
        <v>44040</v>
      </c>
      <c r="M545" s="1178" t="s">
        <v>3094</v>
      </c>
      <c r="N545" s="1013" t="s">
        <v>2480</v>
      </c>
      <c r="O545" s="929" t="s">
        <v>77</v>
      </c>
      <c r="P545" s="927">
        <f t="shared" si="47"/>
        <v>44041</v>
      </c>
      <c r="Q545" s="927">
        <f t="shared" si="48"/>
        <v>44041</v>
      </c>
      <c r="R545" s="1012" t="s">
        <v>4220</v>
      </c>
      <c r="S545" s="1180" t="s">
        <v>2892</v>
      </c>
      <c r="T545" s="1535"/>
      <c r="U545" s="926"/>
    </row>
    <row r="546" spans="1:21" ht="38.25">
      <c r="A546" s="926" t="s">
        <v>2476</v>
      </c>
      <c r="B546" s="927">
        <v>44041</v>
      </c>
      <c r="C546" s="926">
        <v>6</v>
      </c>
      <c r="D546" s="926">
        <v>4</v>
      </c>
      <c r="E546" s="935" t="s">
        <v>2740</v>
      </c>
      <c r="F546" s="926">
        <v>6</v>
      </c>
      <c r="G546" s="1013" t="s">
        <v>3093</v>
      </c>
      <c r="H546" s="929"/>
      <c r="I546" s="929" t="s">
        <v>551</v>
      </c>
      <c r="J546" s="929"/>
      <c r="K546" s="5">
        <v>43984</v>
      </c>
      <c r="L546" s="5">
        <v>44040</v>
      </c>
      <c r="M546" s="1178" t="s">
        <v>3094</v>
      </c>
      <c r="N546" s="1013" t="s">
        <v>2480</v>
      </c>
      <c r="O546" s="929" t="s">
        <v>77</v>
      </c>
      <c r="P546" s="927">
        <f t="shared" si="47"/>
        <v>44041</v>
      </c>
      <c r="Q546" s="927">
        <f t="shared" si="48"/>
        <v>44041</v>
      </c>
      <c r="R546" s="1012" t="s">
        <v>4220</v>
      </c>
      <c r="S546" s="1180" t="s">
        <v>2892</v>
      </c>
      <c r="T546" s="1535"/>
      <c r="U546" s="926"/>
    </row>
    <row r="547" spans="1:21" ht="38.25">
      <c r="A547" s="926" t="s">
        <v>2476</v>
      </c>
      <c r="B547" s="927">
        <v>44041</v>
      </c>
      <c r="C547" s="926">
        <v>6</v>
      </c>
      <c r="D547" s="926">
        <v>4</v>
      </c>
      <c r="E547" s="935" t="s">
        <v>2740</v>
      </c>
      <c r="F547" s="926">
        <v>7</v>
      </c>
      <c r="G547" s="1013" t="s">
        <v>3096</v>
      </c>
      <c r="H547" s="929"/>
      <c r="I547" s="929" t="s">
        <v>551</v>
      </c>
      <c r="J547" s="929"/>
      <c r="K547" s="5">
        <v>43984</v>
      </c>
      <c r="L547" s="5">
        <v>44040</v>
      </c>
      <c r="M547" s="1178" t="s">
        <v>3094</v>
      </c>
      <c r="N547" s="1013" t="s">
        <v>2480</v>
      </c>
      <c r="O547" s="929" t="s">
        <v>77</v>
      </c>
      <c r="P547" s="927">
        <f t="shared" si="47"/>
        <v>44041</v>
      </c>
      <c r="Q547" s="927">
        <f t="shared" si="48"/>
        <v>44041</v>
      </c>
      <c r="R547" s="1012" t="s">
        <v>4220</v>
      </c>
      <c r="S547" s="1180" t="s">
        <v>2892</v>
      </c>
      <c r="T547" s="1535"/>
      <c r="U547" s="926"/>
    </row>
    <row r="548" spans="1:21" ht="42" customHeight="1">
      <c r="A548" s="926" t="s">
        <v>2476</v>
      </c>
      <c r="B548" s="927">
        <v>44041</v>
      </c>
      <c r="C548" s="926">
        <v>6</v>
      </c>
      <c r="D548" s="926">
        <v>4</v>
      </c>
      <c r="E548" s="935" t="s">
        <v>2827</v>
      </c>
      <c r="F548" s="926">
        <v>8</v>
      </c>
      <c r="G548" s="1013" t="s">
        <v>3097</v>
      </c>
      <c r="H548" s="929"/>
      <c r="I548" s="929" t="s">
        <v>551</v>
      </c>
      <c r="J548" s="929"/>
      <c r="K548" s="5">
        <v>43997</v>
      </c>
      <c r="L548" s="5">
        <v>44011</v>
      </c>
      <c r="M548" s="1178" t="s">
        <v>3098</v>
      </c>
      <c r="N548" s="1013" t="s">
        <v>2480</v>
      </c>
      <c r="O548" s="929" t="s">
        <v>77</v>
      </c>
      <c r="P548" s="927">
        <f t="shared" si="47"/>
        <v>44041</v>
      </c>
      <c r="Q548" s="927">
        <f t="shared" si="48"/>
        <v>44041</v>
      </c>
      <c r="R548" s="1012" t="s">
        <v>4220</v>
      </c>
      <c r="S548" s="1179" t="s">
        <v>2893</v>
      </c>
      <c r="T548" s="1534"/>
      <c r="U548" s="926"/>
    </row>
    <row r="549" spans="1:21" ht="25.5">
      <c r="A549" s="926" t="s">
        <v>2476</v>
      </c>
      <c r="B549" s="927">
        <v>44041</v>
      </c>
      <c r="C549" s="926">
        <v>6</v>
      </c>
      <c r="D549" s="926">
        <v>4</v>
      </c>
      <c r="E549" s="935" t="s">
        <v>2827</v>
      </c>
      <c r="F549" s="926">
        <v>9</v>
      </c>
      <c r="G549" s="1013" t="s">
        <v>3099</v>
      </c>
      <c r="H549" s="929"/>
      <c r="I549" s="929" t="s">
        <v>551</v>
      </c>
      <c r="J549" s="929"/>
      <c r="K549" s="5">
        <v>43997</v>
      </c>
      <c r="L549" s="5">
        <v>44011</v>
      </c>
      <c r="M549" s="1178" t="s">
        <v>3098</v>
      </c>
      <c r="N549" s="1013" t="s">
        <v>2480</v>
      </c>
      <c r="O549" s="929" t="s">
        <v>77</v>
      </c>
      <c r="P549" s="927">
        <f t="shared" si="47"/>
        <v>44041</v>
      </c>
      <c r="Q549" s="927">
        <f t="shared" si="48"/>
        <v>44041</v>
      </c>
      <c r="R549" s="1012" t="s">
        <v>4220</v>
      </c>
      <c r="S549" s="1179" t="s">
        <v>2893</v>
      </c>
      <c r="T549" s="1534"/>
      <c r="U549" s="926"/>
    </row>
    <row r="550" spans="1:21" ht="40.5" customHeight="1">
      <c r="A550" s="926" t="s">
        <v>2476</v>
      </c>
      <c r="B550" s="927">
        <v>44041</v>
      </c>
      <c r="C550" s="926">
        <v>6</v>
      </c>
      <c r="D550" s="926">
        <v>4</v>
      </c>
      <c r="E550" s="935" t="s">
        <v>2827</v>
      </c>
      <c r="F550" s="926">
        <v>10</v>
      </c>
      <c r="G550" s="1013" t="s">
        <v>3100</v>
      </c>
      <c r="H550" s="929"/>
      <c r="I550" s="929" t="s">
        <v>551</v>
      </c>
      <c r="J550" s="929"/>
      <c r="K550" s="5">
        <v>43997</v>
      </c>
      <c r="L550" s="5">
        <v>44011</v>
      </c>
      <c r="M550" s="1178" t="s">
        <v>3098</v>
      </c>
      <c r="N550" s="1013" t="s">
        <v>2480</v>
      </c>
      <c r="O550" s="929" t="s">
        <v>77</v>
      </c>
      <c r="P550" s="927">
        <f t="shared" si="47"/>
        <v>44041</v>
      </c>
      <c r="Q550" s="927">
        <f t="shared" si="48"/>
        <v>44041</v>
      </c>
      <c r="R550" s="1012" t="s">
        <v>4220</v>
      </c>
      <c r="S550" s="1179" t="s">
        <v>2893</v>
      </c>
      <c r="T550" s="1534"/>
      <c r="U550" s="926"/>
    </row>
    <row r="551" spans="1:21" ht="38.25">
      <c r="A551" s="926" t="s">
        <v>2476</v>
      </c>
      <c r="B551" s="927">
        <v>44041</v>
      </c>
      <c r="C551" s="926">
        <v>6</v>
      </c>
      <c r="D551" s="926">
        <v>4</v>
      </c>
      <c r="E551" s="935" t="s">
        <v>2742</v>
      </c>
      <c r="F551" s="926">
        <v>11</v>
      </c>
      <c r="G551" s="1013" t="s">
        <v>3101</v>
      </c>
      <c r="H551" s="929"/>
      <c r="I551" s="929" t="s">
        <v>551</v>
      </c>
      <c r="J551" s="929"/>
      <c r="K551" s="5">
        <v>44032</v>
      </c>
      <c r="L551" s="5">
        <v>44063</v>
      </c>
      <c r="M551" s="1178" t="s">
        <v>3102</v>
      </c>
      <c r="N551" s="1013" t="s">
        <v>2480</v>
      </c>
      <c r="O551" s="929" t="s">
        <v>77</v>
      </c>
      <c r="P551" s="927">
        <f t="shared" si="47"/>
        <v>44041</v>
      </c>
      <c r="Q551" s="927">
        <f t="shared" si="48"/>
        <v>44041</v>
      </c>
      <c r="R551" s="1012" t="s">
        <v>4220</v>
      </c>
      <c r="S551" s="1179" t="s">
        <v>2882</v>
      </c>
      <c r="T551" s="1534"/>
      <c r="U551" s="926"/>
    </row>
    <row r="552" spans="1:21" ht="50.25" customHeight="1">
      <c r="A552" s="926" t="s">
        <v>2476</v>
      </c>
      <c r="B552" s="927">
        <v>44041</v>
      </c>
      <c r="C552" s="926">
        <v>6</v>
      </c>
      <c r="D552" s="926">
        <v>4</v>
      </c>
      <c r="E552" s="935" t="s">
        <v>2826</v>
      </c>
      <c r="F552" s="926">
        <v>12</v>
      </c>
      <c r="G552" s="1013" t="s">
        <v>3103</v>
      </c>
      <c r="H552" s="929"/>
      <c r="I552" s="929" t="s">
        <v>551</v>
      </c>
      <c r="J552" s="929"/>
      <c r="K552" s="5">
        <v>43990</v>
      </c>
      <c r="L552" s="5">
        <v>44057</v>
      </c>
      <c r="M552" s="1178" t="s">
        <v>3104</v>
      </c>
      <c r="N552" s="1013" t="s">
        <v>2480</v>
      </c>
      <c r="O552" s="929" t="s">
        <v>77</v>
      </c>
      <c r="P552" s="927">
        <f t="shared" si="47"/>
        <v>44041</v>
      </c>
      <c r="Q552" s="927">
        <f t="shared" si="48"/>
        <v>44041</v>
      </c>
      <c r="R552" s="1012" t="s">
        <v>4220</v>
      </c>
      <c r="S552" s="931"/>
      <c r="T552" s="1534"/>
      <c r="U552" s="926"/>
    </row>
    <row r="553" spans="1:21" ht="38.25">
      <c r="A553" s="926" t="s">
        <v>2476</v>
      </c>
      <c r="B553" s="927">
        <v>44041</v>
      </c>
      <c r="C553" s="926">
        <v>6</v>
      </c>
      <c r="D553" s="926">
        <v>4</v>
      </c>
      <c r="E553" s="935" t="s">
        <v>2826</v>
      </c>
      <c r="F553" s="926">
        <v>13</v>
      </c>
      <c r="G553" s="1013" t="s">
        <v>3106</v>
      </c>
      <c r="H553" s="929"/>
      <c r="I553" s="929" t="s">
        <v>551</v>
      </c>
      <c r="J553" s="929"/>
      <c r="K553" s="5">
        <v>43990</v>
      </c>
      <c r="L553" s="5">
        <v>44057</v>
      </c>
      <c r="M553" s="1013" t="s">
        <v>3104</v>
      </c>
      <c r="N553" s="1013" t="s">
        <v>2480</v>
      </c>
      <c r="O553" s="929" t="s">
        <v>77</v>
      </c>
      <c r="P553" s="927">
        <f t="shared" si="47"/>
        <v>44041</v>
      </c>
      <c r="Q553" s="927">
        <f t="shared" si="48"/>
        <v>44041</v>
      </c>
      <c r="R553" s="1012" t="s">
        <v>4220</v>
      </c>
      <c r="S553" s="931"/>
      <c r="T553" s="1534"/>
      <c r="U553" s="926"/>
    </row>
    <row r="554" spans="1:21" ht="38.25">
      <c r="A554" s="926" t="s">
        <v>2476</v>
      </c>
      <c r="B554" s="927">
        <v>44041</v>
      </c>
      <c r="C554" s="926">
        <v>6</v>
      </c>
      <c r="D554" s="926">
        <v>4</v>
      </c>
      <c r="E554" s="935" t="s">
        <v>2826</v>
      </c>
      <c r="F554" s="926">
        <v>14</v>
      </c>
      <c r="G554" s="1013" t="s">
        <v>3105</v>
      </c>
      <c r="H554" s="929"/>
      <c r="I554" s="929" t="s">
        <v>551</v>
      </c>
      <c r="J554" s="929"/>
      <c r="K554" s="5">
        <v>43990</v>
      </c>
      <c r="L554" s="5">
        <v>44057</v>
      </c>
      <c r="M554" s="1013" t="s">
        <v>3104</v>
      </c>
      <c r="N554" s="1013" t="s">
        <v>2480</v>
      </c>
      <c r="O554" s="929" t="s">
        <v>77</v>
      </c>
      <c r="P554" s="927">
        <f t="shared" si="47"/>
        <v>44041</v>
      </c>
      <c r="Q554" s="927">
        <f t="shared" si="48"/>
        <v>44041</v>
      </c>
      <c r="R554" s="1012" t="s">
        <v>4220</v>
      </c>
      <c r="S554" s="931"/>
      <c r="T554" s="1534"/>
      <c r="U554" s="926"/>
    </row>
    <row r="555" spans="1:21" ht="51" customHeight="1">
      <c r="A555" s="926" t="s">
        <v>2476</v>
      </c>
      <c r="B555" s="927">
        <v>44041</v>
      </c>
      <c r="C555" s="926">
        <v>6</v>
      </c>
      <c r="D555" s="926">
        <v>4</v>
      </c>
      <c r="E555" s="935" t="s">
        <v>2826</v>
      </c>
      <c r="F555" s="926">
        <v>15</v>
      </c>
      <c r="G555" s="1013" t="s">
        <v>3109</v>
      </c>
      <c r="H555" s="929"/>
      <c r="I555" s="929" t="s">
        <v>551</v>
      </c>
      <c r="J555" s="929"/>
      <c r="K555" s="929"/>
      <c r="L555" s="929"/>
      <c r="M555" s="1013" t="s">
        <v>3110</v>
      </c>
      <c r="N555" s="1013" t="s">
        <v>2480</v>
      </c>
      <c r="O555" s="929" t="s">
        <v>77</v>
      </c>
      <c r="P555" s="927">
        <f t="shared" si="47"/>
        <v>44041</v>
      </c>
      <c r="Q555" s="927">
        <f t="shared" si="48"/>
        <v>44041</v>
      </c>
      <c r="R555" s="1012" t="s">
        <v>4220</v>
      </c>
      <c r="S555" s="931"/>
      <c r="T555" s="1534"/>
      <c r="U555" s="926"/>
    </row>
    <row r="556" spans="1:21" ht="38.25">
      <c r="A556" s="926" t="s">
        <v>2476</v>
      </c>
      <c r="B556" s="927">
        <v>44041</v>
      </c>
      <c r="C556" s="926">
        <v>6</v>
      </c>
      <c r="D556" s="926">
        <v>4</v>
      </c>
      <c r="E556" s="935" t="s">
        <v>2828</v>
      </c>
      <c r="F556" s="926">
        <v>16</v>
      </c>
      <c r="G556" s="1013" t="s">
        <v>3111</v>
      </c>
      <c r="H556" s="929"/>
      <c r="I556" s="929" t="s">
        <v>551</v>
      </c>
      <c r="J556" s="929"/>
      <c r="K556" s="5">
        <v>44000</v>
      </c>
      <c r="L556" s="5">
        <v>44030</v>
      </c>
      <c r="M556" s="1178" t="s">
        <v>3110</v>
      </c>
      <c r="N556" s="1013" t="s">
        <v>2480</v>
      </c>
      <c r="O556" s="929" t="s">
        <v>77</v>
      </c>
      <c r="P556" s="927">
        <f t="shared" si="47"/>
        <v>44041</v>
      </c>
      <c r="Q556" s="927">
        <f t="shared" si="48"/>
        <v>44041</v>
      </c>
      <c r="R556" s="1012" t="s">
        <v>4220</v>
      </c>
      <c r="S556" s="931"/>
      <c r="T556" s="1534"/>
      <c r="U556" s="926"/>
    </row>
    <row r="557" spans="1:21" ht="27.75" customHeight="1">
      <c r="A557" s="926" t="s">
        <v>2476</v>
      </c>
      <c r="B557" s="927">
        <v>44041</v>
      </c>
      <c r="C557" s="926">
        <v>6</v>
      </c>
      <c r="D557" s="926">
        <v>4</v>
      </c>
      <c r="E557" s="926"/>
      <c r="F557" s="926">
        <v>17</v>
      </c>
      <c r="G557" s="1013" t="s">
        <v>3112</v>
      </c>
      <c r="H557" s="929"/>
      <c r="I557" s="929"/>
      <c r="J557" s="929"/>
      <c r="K557" s="929"/>
      <c r="L557" s="929"/>
      <c r="M557" s="1013" t="s">
        <v>3074</v>
      </c>
      <c r="N557" s="1013" t="s">
        <v>2480</v>
      </c>
      <c r="O557" s="929" t="s">
        <v>77</v>
      </c>
      <c r="P557" s="927">
        <f t="shared" si="47"/>
        <v>44041</v>
      </c>
      <c r="Q557" s="927">
        <f t="shared" si="48"/>
        <v>44041</v>
      </c>
      <c r="R557" s="1012" t="s">
        <v>4220</v>
      </c>
      <c r="S557" s="931"/>
      <c r="T557" s="1534"/>
      <c r="U557" s="926"/>
    </row>
    <row r="558" spans="1:21" ht="38.25">
      <c r="A558" s="926" t="s">
        <v>2476</v>
      </c>
      <c r="B558" s="927">
        <v>44041</v>
      </c>
      <c r="C558" s="926">
        <v>6</v>
      </c>
      <c r="D558" s="926">
        <v>4</v>
      </c>
      <c r="E558" s="926"/>
      <c r="F558" s="926">
        <v>18</v>
      </c>
      <c r="G558" s="1013" t="s">
        <v>3113</v>
      </c>
      <c r="H558" s="929"/>
      <c r="I558" s="929" t="s">
        <v>2310</v>
      </c>
      <c r="J558" s="929"/>
      <c r="K558" s="929"/>
      <c r="L558" s="929"/>
      <c r="M558" s="1013" t="s">
        <v>3114</v>
      </c>
      <c r="N558" s="1013" t="s">
        <v>2480</v>
      </c>
      <c r="O558" s="929" t="s">
        <v>77</v>
      </c>
      <c r="P558" s="927">
        <f t="shared" si="47"/>
        <v>44041</v>
      </c>
      <c r="Q558" s="927">
        <f t="shared" si="48"/>
        <v>44041</v>
      </c>
      <c r="R558" s="1012" t="s">
        <v>4220</v>
      </c>
      <c r="S558" s="931"/>
      <c r="T558" s="1534"/>
      <c r="U558" s="926"/>
    </row>
    <row r="559" spans="1:21" ht="38.25">
      <c r="A559" s="926" t="s">
        <v>2476</v>
      </c>
      <c r="B559" s="927">
        <v>44041</v>
      </c>
      <c r="C559" s="926">
        <v>6</v>
      </c>
      <c r="D559" s="926">
        <v>4</v>
      </c>
      <c r="E559" s="926"/>
      <c r="F559" s="926">
        <v>19</v>
      </c>
      <c r="G559" s="1013" t="s">
        <v>3115</v>
      </c>
      <c r="H559" s="929"/>
      <c r="I559" s="929" t="s">
        <v>2310</v>
      </c>
      <c r="J559" s="929"/>
      <c r="K559" s="929"/>
      <c r="L559" s="929"/>
      <c r="M559" s="1013" t="s">
        <v>3114</v>
      </c>
      <c r="N559" s="1013" t="s">
        <v>2480</v>
      </c>
      <c r="O559" s="929" t="s">
        <v>77</v>
      </c>
      <c r="P559" s="927">
        <f t="shared" si="47"/>
        <v>44041</v>
      </c>
      <c r="Q559" s="927">
        <f t="shared" si="48"/>
        <v>44041</v>
      </c>
      <c r="R559" s="1012" t="s">
        <v>4220</v>
      </c>
      <c r="S559" s="931"/>
      <c r="T559" s="1534"/>
      <c r="U559" s="926"/>
    </row>
    <row r="560" spans="1:21" ht="38.25">
      <c r="A560" s="926" t="s">
        <v>2476</v>
      </c>
      <c r="B560" s="927">
        <v>44041</v>
      </c>
      <c r="C560" s="926">
        <v>6</v>
      </c>
      <c r="D560" s="926">
        <v>4</v>
      </c>
      <c r="E560" s="926"/>
      <c r="F560" s="926">
        <v>20</v>
      </c>
      <c r="G560" s="1013" t="s">
        <v>3116</v>
      </c>
      <c r="H560" s="929"/>
      <c r="I560" s="929" t="s">
        <v>2310</v>
      </c>
      <c r="J560" s="929"/>
      <c r="K560" s="929"/>
      <c r="L560" s="929"/>
      <c r="M560" s="1013" t="s">
        <v>3114</v>
      </c>
      <c r="N560" s="1013" t="s">
        <v>2480</v>
      </c>
      <c r="O560" s="929" t="s">
        <v>77</v>
      </c>
      <c r="P560" s="927">
        <f t="shared" si="47"/>
        <v>44041</v>
      </c>
      <c r="Q560" s="927">
        <f t="shared" si="48"/>
        <v>44041</v>
      </c>
      <c r="R560" s="1012" t="s">
        <v>4220</v>
      </c>
      <c r="S560" s="931"/>
      <c r="T560" s="1534"/>
      <c r="U560" s="926"/>
    </row>
    <row r="561" spans="1:21" ht="52.5" customHeight="1">
      <c r="A561" s="926" t="s">
        <v>2476</v>
      </c>
      <c r="B561" s="927">
        <v>44041</v>
      </c>
      <c r="C561" s="926">
        <v>6</v>
      </c>
      <c r="D561" s="926">
        <v>4</v>
      </c>
      <c r="E561" s="926"/>
      <c r="F561" s="926">
        <v>21</v>
      </c>
      <c r="G561" s="1013" t="s">
        <v>3117</v>
      </c>
      <c r="H561" s="929"/>
      <c r="I561" s="929"/>
      <c r="J561" s="929"/>
      <c r="K561" s="929"/>
      <c r="L561" s="929"/>
      <c r="M561" s="1013" t="s">
        <v>3118</v>
      </c>
      <c r="N561" s="1013" t="s">
        <v>2480</v>
      </c>
      <c r="O561" s="929" t="s">
        <v>77</v>
      </c>
      <c r="P561" s="927">
        <f t="shared" si="47"/>
        <v>44041</v>
      </c>
      <c r="Q561" s="927">
        <f t="shared" si="48"/>
        <v>44041</v>
      </c>
      <c r="R561" s="1012" t="s">
        <v>4220</v>
      </c>
      <c r="S561" s="931"/>
      <c r="T561" s="1534"/>
      <c r="U561" s="926"/>
    </row>
    <row r="562" spans="1:21" ht="38.25">
      <c r="A562" s="926" t="s">
        <v>2476</v>
      </c>
      <c r="B562" s="927">
        <v>44041</v>
      </c>
      <c r="C562" s="926">
        <v>6</v>
      </c>
      <c r="D562" s="926">
        <v>4</v>
      </c>
      <c r="E562" s="926"/>
      <c r="F562" s="926">
        <v>22</v>
      </c>
      <c r="G562" s="1013" t="s">
        <v>3120</v>
      </c>
      <c r="H562" s="929"/>
      <c r="I562" s="929"/>
      <c r="J562" s="929"/>
      <c r="K562" s="929"/>
      <c r="L562" s="929"/>
      <c r="M562" s="1013" t="s">
        <v>3119</v>
      </c>
      <c r="N562" s="1013" t="s">
        <v>2480</v>
      </c>
      <c r="O562" s="929" t="s">
        <v>77</v>
      </c>
      <c r="P562" s="927">
        <f t="shared" si="47"/>
        <v>44041</v>
      </c>
      <c r="Q562" s="927">
        <f t="shared" si="48"/>
        <v>44041</v>
      </c>
      <c r="R562" s="1012" t="s">
        <v>4220</v>
      </c>
      <c r="S562" s="931"/>
      <c r="T562" s="1534"/>
      <c r="U562" s="926"/>
    </row>
    <row r="563" spans="1:21" ht="38.25">
      <c r="A563" s="926" t="s">
        <v>2476</v>
      </c>
      <c r="B563" s="927">
        <v>44041</v>
      </c>
      <c r="C563" s="926">
        <v>6</v>
      </c>
      <c r="D563" s="926">
        <v>4</v>
      </c>
      <c r="E563" s="926"/>
      <c r="F563" s="926">
        <v>23</v>
      </c>
      <c r="G563" s="1013" t="s">
        <v>3121</v>
      </c>
      <c r="H563" s="929"/>
      <c r="I563" s="929"/>
      <c r="J563" s="929"/>
      <c r="K563" s="929"/>
      <c r="L563" s="929"/>
      <c r="M563" s="1013" t="s">
        <v>3119</v>
      </c>
      <c r="N563" s="1013" t="s">
        <v>2480</v>
      </c>
      <c r="O563" s="929" t="s">
        <v>77</v>
      </c>
      <c r="P563" s="927">
        <f t="shared" si="47"/>
        <v>44041</v>
      </c>
      <c r="Q563" s="927">
        <f t="shared" si="48"/>
        <v>44041</v>
      </c>
      <c r="R563" s="1012" t="s">
        <v>4220</v>
      </c>
      <c r="S563" s="931"/>
      <c r="T563" s="1534"/>
      <c r="U563" s="926"/>
    </row>
    <row r="564" spans="1:21" ht="38.25">
      <c r="A564" s="926" t="s">
        <v>2476</v>
      </c>
      <c r="B564" s="927">
        <v>44041</v>
      </c>
      <c r="C564" s="926">
        <v>6</v>
      </c>
      <c r="D564" s="926">
        <v>4</v>
      </c>
      <c r="E564" s="926"/>
      <c r="F564" s="926">
        <v>24</v>
      </c>
      <c r="G564" s="1013" t="s">
        <v>3122</v>
      </c>
      <c r="H564" s="929"/>
      <c r="I564" s="929"/>
      <c r="J564" s="929"/>
      <c r="K564" s="929"/>
      <c r="L564" s="929"/>
      <c r="M564" s="1013" t="s">
        <v>3119</v>
      </c>
      <c r="N564" s="1013" t="s">
        <v>2480</v>
      </c>
      <c r="O564" s="929" t="s">
        <v>77</v>
      </c>
      <c r="P564" s="927">
        <f t="shared" si="47"/>
        <v>44041</v>
      </c>
      <c r="Q564" s="927">
        <f t="shared" si="48"/>
        <v>44041</v>
      </c>
      <c r="R564" s="1012" t="s">
        <v>4220</v>
      </c>
      <c r="S564" s="931"/>
      <c r="T564" s="1534"/>
      <c r="U564" s="926"/>
    </row>
    <row r="565" spans="1:21" ht="41.25" customHeight="1">
      <c r="A565" s="926" t="s">
        <v>2476</v>
      </c>
      <c r="B565" s="927">
        <v>44041</v>
      </c>
      <c r="C565" s="926">
        <v>6</v>
      </c>
      <c r="D565" s="926">
        <v>4</v>
      </c>
      <c r="E565" s="926"/>
      <c r="F565" s="926">
        <v>25</v>
      </c>
      <c r="G565" s="1013" t="s">
        <v>3123</v>
      </c>
      <c r="H565" s="929"/>
      <c r="I565" s="929"/>
      <c r="J565" s="929"/>
      <c r="K565" s="929"/>
      <c r="L565" s="929"/>
      <c r="M565" s="1013" t="s">
        <v>3124</v>
      </c>
      <c r="N565" s="1013" t="s">
        <v>2480</v>
      </c>
      <c r="O565" s="929" t="s">
        <v>77</v>
      </c>
      <c r="P565" s="927">
        <f t="shared" si="47"/>
        <v>44041</v>
      </c>
      <c r="Q565" s="927">
        <f t="shared" si="48"/>
        <v>44041</v>
      </c>
      <c r="R565" s="1012" t="s">
        <v>4220</v>
      </c>
      <c r="S565" s="931"/>
      <c r="T565" s="1534"/>
      <c r="U565" s="926"/>
    </row>
    <row r="566" spans="1:21" ht="53.25" customHeight="1">
      <c r="A566" s="926" t="s">
        <v>2476</v>
      </c>
      <c r="B566" s="927">
        <v>44041</v>
      </c>
      <c r="C566" s="926">
        <v>6</v>
      </c>
      <c r="D566" s="926">
        <v>4</v>
      </c>
      <c r="E566" s="935" t="s">
        <v>2735</v>
      </c>
      <c r="F566" s="926">
        <v>26</v>
      </c>
      <c r="G566" s="1013" t="s">
        <v>3127</v>
      </c>
      <c r="H566" s="1177" t="s">
        <v>3125</v>
      </c>
      <c r="I566" s="929" t="s">
        <v>551</v>
      </c>
      <c r="J566" s="1705"/>
      <c r="K566" s="176">
        <v>43937</v>
      </c>
      <c r="L566" s="5">
        <v>43958</v>
      </c>
      <c r="M566" s="1178" t="s">
        <v>3126</v>
      </c>
      <c r="N566" s="1013" t="s">
        <v>2538</v>
      </c>
      <c r="O566" s="929" t="s">
        <v>77</v>
      </c>
      <c r="P566" s="927">
        <f t="shared" si="47"/>
        <v>44041</v>
      </c>
      <c r="Q566" s="927">
        <f t="shared" si="48"/>
        <v>44041</v>
      </c>
      <c r="R566" s="1012" t="s">
        <v>4220</v>
      </c>
      <c r="S566" s="931"/>
      <c r="T566" s="1534"/>
      <c r="U566" s="926"/>
    </row>
    <row r="567" spans="1:21" ht="25.5">
      <c r="A567" s="926" t="s">
        <v>2476</v>
      </c>
      <c r="B567" s="927">
        <v>44041</v>
      </c>
      <c r="C567" s="926">
        <v>6</v>
      </c>
      <c r="D567" s="926">
        <v>4</v>
      </c>
      <c r="E567" s="935" t="s">
        <v>2743</v>
      </c>
      <c r="F567" s="926">
        <v>27</v>
      </c>
      <c r="G567" s="1013" t="s">
        <v>3128</v>
      </c>
      <c r="H567" s="1177" t="s">
        <v>3129</v>
      </c>
      <c r="I567" s="929" t="s">
        <v>551</v>
      </c>
      <c r="J567" s="1705"/>
      <c r="K567" s="176">
        <v>43976</v>
      </c>
      <c r="L567" s="5">
        <v>43983</v>
      </c>
      <c r="M567" s="1178" t="s">
        <v>3126</v>
      </c>
      <c r="N567" s="1013" t="s">
        <v>2538</v>
      </c>
      <c r="O567" s="929" t="s">
        <v>77</v>
      </c>
      <c r="P567" s="927">
        <f t="shared" si="47"/>
        <v>44041</v>
      </c>
      <c r="Q567" s="927">
        <f t="shared" si="48"/>
        <v>44041</v>
      </c>
      <c r="R567" s="1012" t="s">
        <v>4220</v>
      </c>
      <c r="S567" s="931"/>
      <c r="T567" s="1534"/>
      <c r="U567" s="926"/>
    </row>
    <row r="568" spans="1:21" ht="38.25">
      <c r="A568" s="926" t="s">
        <v>2476</v>
      </c>
      <c r="B568" s="927">
        <v>44041</v>
      </c>
      <c r="C568" s="926">
        <v>6</v>
      </c>
      <c r="D568" s="926">
        <v>4</v>
      </c>
      <c r="E568" s="935" t="s">
        <v>2741</v>
      </c>
      <c r="F568" s="926">
        <v>28</v>
      </c>
      <c r="G568" s="1013" t="s">
        <v>3130</v>
      </c>
      <c r="H568" s="929"/>
      <c r="I568" s="929" t="s">
        <v>551</v>
      </c>
      <c r="J568" s="929"/>
      <c r="K568" s="5">
        <v>43984</v>
      </c>
      <c r="L568" s="5">
        <v>44037</v>
      </c>
      <c r="M568" s="1178" t="s">
        <v>3131</v>
      </c>
      <c r="N568" s="1013" t="s">
        <v>2538</v>
      </c>
      <c r="O568" s="929" t="s">
        <v>77</v>
      </c>
      <c r="P568" s="927">
        <f t="shared" si="47"/>
        <v>44041</v>
      </c>
      <c r="Q568" s="927">
        <f t="shared" si="48"/>
        <v>44041</v>
      </c>
      <c r="R568" s="1012" t="s">
        <v>4220</v>
      </c>
      <c r="S568" s="931"/>
      <c r="T568" s="1534"/>
      <c r="U568" s="926"/>
    </row>
    <row r="569" spans="1:21" ht="25.5">
      <c r="A569" s="926" t="s">
        <v>2476</v>
      </c>
      <c r="B569" s="927">
        <v>44041</v>
      </c>
      <c r="C569" s="926">
        <v>6</v>
      </c>
      <c r="D569" s="926">
        <v>4</v>
      </c>
      <c r="E569" s="926"/>
      <c r="F569" s="926">
        <v>29</v>
      </c>
      <c r="G569" s="1013" t="s">
        <v>3132</v>
      </c>
      <c r="H569" s="929"/>
      <c r="I569" s="929"/>
      <c r="J569" s="929"/>
      <c r="K569" s="929"/>
      <c r="L569" s="929"/>
      <c r="M569" s="1013" t="s">
        <v>3133</v>
      </c>
      <c r="N569" s="1013" t="s">
        <v>2538</v>
      </c>
      <c r="O569" s="929" t="s">
        <v>77</v>
      </c>
      <c r="P569" s="927">
        <f t="shared" si="47"/>
        <v>44041</v>
      </c>
      <c r="Q569" s="927">
        <f t="shared" si="48"/>
        <v>44041</v>
      </c>
      <c r="R569" s="1012" t="s">
        <v>4220</v>
      </c>
      <c r="S569" s="931"/>
      <c r="T569" s="1534"/>
      <c r="U569" s="926"/>
    </row>
    <row r="570" spans="1:21" ht="38.25">
      <c r="A570" s="926" t="s">
        <v>2476</v>
      </c>
      <c r="B570" s="927">
        <v>44041</v>
      </c>
      <c r="C570" s="926">
        <v>6</v>
      </c>
      <c r="D570" s="926">
        <v>4</v>
      </c>
      <c r="E570" s="935" t="s">
        <v>2924</v>
      </c>
      <c r="F570" s="926">
        <v>30</v>
      </c>
      <c r="G570" s="1013" t="s">
        <v>3134</v>
      </c>
      <c r="H570" s="926" t="s">
        <v>3135</v>
      </c>
      <c r="I570" s="929" t="s">
        <v>551</v>
      </c>
      <c r="J570" s="929"/>
      <c r="K570" s="5">
        <v>44032</v>
      </c>
      <c r="L570" s="5">
        <v>44089</v>
      </c>
      <c r="M570" s="1178" t="s">
        <v>3136</v>
      </c>
      <c r="N570" s="1013" t="s">
        <v>2538</v>
      </c>
      <c r="O570" s="929" t="s">
        <v>77</v>
      </c>
      <c r="P570" s="927">
        <f t="shared" si="47"/>
        <v>44041</v>
      </c>
      <c r="Q570" s="927">
        <f t="shared" si="48"/>
        <v>44041</v>
      </c>
      <c r="R570" s="1012" t="s">
        <v>4220</v>
      </c>
      <c r="S570" s="931"/>
      <c r="T570" s="1534"/>
      <c r="U570" s="926"/>
    </row>
    <row r="571" spans="1:21" ht="51" customHeight="1">
      <c r="A571" s="926" t="s">
        <v>2476</v>
      </c>
      <c r="B571" s="927">
        <v>44041</v>
      </c>
      <c r="C571" s="926">
        <v>6</v>
      </c>
      <c r="D571" s="926">
        <v>4</v>
      </c>
      <c r="E571" s="935" t="s">
        <v>3010</v>
      </c>
      <c r="F571" s="926">
        <v>31</v>
      </c>
      <c r="G571" s="1013" t="s">
        <v>3137</v>
      </c>
      <c r="H571" s="926" t="s">
        <v>3135</v>
      </c>
      <c r="I571" s="929" t="s">
        <v>551</v>
      </c>
      <c r="J571" s="929"/>
      <c r="K571" s="5">
        <v>44032</v>
      </c>
      <c r="L571" s="5">
        <v>44089</v>
      </c>
      <c r="M571" s="1178" t="s">
        <v>3136</v>
      </c>
      <c r="N571" s="1013" t="s">
        <v>2538</v>
      </c>
      <c r="O571" s="929" t="s">
        <v>77</v>
      </c>
      <c r="P571" s="927">
        <f t="shared" si="47"/>
        <v>44041</v>
      </c>
      <c r="Q571" s="927">
        <f t="shared" si="48"/>
        <v>44041</v>
      </c>
      <c r="R571" s="1012" t="s">
        <v>4220</v>
      </c>
      <c r="S571" s="931"/>
      <c r="T571" s="1534"/>
      <c r="U571" s="926"/>
    </row>
    <row r="572" spans="1:21" ht="32.25" customHeight="1">
      <c r="A572" s="926" t="s">
        <v>2476</v>
      </c>
      <c r="B572" s="927">
        <v>44041</v>
      </c>
      <c r="C572" s="926">
        <v>6</v>
      </c>
      <c r="D572" s="926">
        <v>5</v>
      </c>
      <c r="E572" s="935" t="s">
        <v>3010</v>
      </c>
      <c r="F572" s="926">
        <v>32</v>
      </c>
      <c r="G572" s="1013" t="s">
        <v>3138</v>
      </c>
      <c r="H572" s="926" t="s">
        <v>3135</v>
      </c>
      <c r="I572" s="929" t="s">
        <v>551</v>
      </c>
      <c r="J572" s="929"/>
      <c r="K572" s="5">
        <v>44032</v>
      </c>
      <c r="L572" s="5">
        <v>44089</v>
      </c>
      <c r="M572" s="1013" t="s">
        <v>3136</v>
      </c>
      <c r="N572" s="1013" t="s">
        <v>2538</v>
      </c>
      <c r="O572" s="929" t="s">
        <v>77</v>
      </c>
      <c r="P572" s="927">
        <f t="shared" si="47"/>
        <v>44041</v>
      </c>
      <c r="Q572" s="927">
        <f t="shared" si="48"/>
        <v>44041</v>
      </c>
      <c r="R572" s="1012" t="s">
        <v>4220</v>
      </c>
      <c r="S572" s="931"/>
      <c r="T572" s="1534"/>
      <c r="U572" s="926"/>
    </row>
    <row r="573" spans="1:21" ht="18" customHeight="1">
      <c r="A573" s="926" t="s">
        <v>2476</v>
      </c>
      <c r="B573" s="927">
        <v>44041</v>
      </c>
      <c r="C573" s="926">
        <v>6</v>
      </c>
      <c r="D573" s="926">
        <v>5</v>
      </c>
      <c r="E573" s="926"/>
      <c r="F573" s="926">
        <v>33</v>
      </c>
      <c r="G573" s="1013" t="s">
        <v>3139</v>
      </c>
      <c r="H573" s="926" t="s">
        <v>3135</v>
      </c>
      <c r="I573" s="929" t="s">
        <v>551</v>
      </c>
      <c r="J573" s="929"/>
      <c r="K573" s="929"/>
      <c r="L573" s="929"/>
      <c r="M573" s="1013" t="s">
        <v>3136</v>
      </c>
      <c r="N573" s="1013" t="s">
        <v>2538</v>
      </c>
      <c r="O573" s="929" t="s">
        <v>77</v>
      </c>
      <c r="P573" s="927">
        <f t="shared" si="47"/>
        <v>44041</v>
      </c>
      <c r="Q573" s="927">
        <f t="shared" si="48"/>
        <v>44041</v>
      </c>
      <c r="R573" s="1012" t="s">
        <v>4220</v>
      </c>
      <c r="S573" s="931"/>
      <c r="T573" s="1534"/>
      <c r="U573" s="926"/>
    </row>
    <row r="574" spans="1:21" ht="25.5">
      <c r="A574" s="926" t="s">
        <v>2476</v>
      </c>
      <c r="B574" s="927">
        <v>44041</v>
      </c>
      <c r="C574" s="926">
        <v>6</v>
      </c>
      <c r="D574" s="926">
        <v>5</v>
      </c>
      <c r="E574" s="935" t="s">
        <v>2923</v>
      </c>
      <c r="F574" s="926">
        <v>34</v>
      </c>
      <c r="G574" s="1013" t="s">
        <v>3140</v>
      </c>
      <c r="H574" s="929"/>
      <c r="I574" s="929" t="s">
        <v>551</v>
      </c>
      <c r="J574" s="929"/>
      <c r="K574" s="5">
        <v>44032</v>
      </c>
      <c r="L574" s="5">
        <v>44051</v>
      </c>
      <c r="M574" s="1178" t="s">
        <v>3141</v>
      </c>
      <c r="N574" s="1013" t="s">
        <v>2480</v>
      </c>
      <c r="O574" s="929" t="s">
        <v>77</v>
      </c>
      <c r="P574" s="927">
        <f t="shared" si="47"/>
        <v>44041</v>
      </c>
      <c r="Q574" s="927">
        <f t="shared" si="48"/>
        <v>44041</v>
      </c>
      <c r="R574" s="1012" t="s">
        <v>4220</v>
      </c>
      <c r="S574" s="931"/>
      <c r="T574" s="1534"/>
      <c r="U574" s="926"/>
    </row>
    <row r="575" spans="1:21" ht="38.25">
      <c r="A575" s="926" t="s">
        <v>2476</v>
      </c>
      <c r="B575" s="927">
        <v>44041</v>
      </c>
      <c r="C575" s="926">
        <v>6</v>
      </c>
      <c r="D575" s="926">
        <v>5</v>
      </c>
      <c r="E575" s="926"/>
      <c r="F575" s="926">
        <v>35</v>
      </c>
      <c r="G575" s="1013" t="s">
        <v>3142</v>
      </c>
      <c r="H575" s="929"/>
      <c r="I575" s="929"/>
      <c r="J575" s="929"/>
      <c r="K575" s="929"/>
      <c r="L575" s="929"/>
      <c r="M575" s="1013" t="s">
        <v>3143</v>
      </c>
      <c r="N575" s="1013" t="s">
        <v>2512</v>
      </c>
      <c r="O575" s="929" t="s">
        <v>77</v>
      </c>
      <c r="P575" s="927">
        <f t="shared" si="47"/>
        <v>44041</v>
      </c>
      <c r="Q575" s="927">
        <f t="shared" si="48"/>
        <v>44041</v>
      </c>
      <c r="R575" s="1012" t="s">
        <v>4220</v>
      </c>
      <c r="S575" s="931"/>
      <c r="T575" s="1534"/>
      <c r="U575" s="926"/>
    </row>
    <row r="576" spans="1:21" ht="25.5">
      <c r="A576" s="926" t="s">
        <v>2476</v>
      </c>
      <c r="B576" s="927">
        <v>44041</v>
      </c>
      <c r="C576" s="926">
        <v>6</v>
      </c>
      <c r="D576" s="926">
        <v>5</v>
      </c>
      <c r="E576" s="926"/>
      <c r="F576" s="926">
        <v>36</v>
      </c>
      <c r="G576" s="1013" t="s">
        <v>3144</v>
      </c>
      <c r="H576" s="929"/>
      <c r="I576" s="929"/>
      <c r="J576" s="929"/>
      <c r="K576" s="929"/>
      <c r="L576" s="929"/>
      <c r="M576" s="1013" t="s">
        <v>3143</v>
      </c>
      <c r="N576" s="1013" t="s">
        <v>2512</v>
      </c>
      <c r="O576" s="929" t="s">
        <v>77</v>
      </c>
      <c r="P576" s="927">
        <f t="shared" si="47"/>
        <v>44041</v>
      </c>
      <c r="Q576" s="927">
        <f t="shared" si="48"/>
        <v>44041</v>
      </c>
      <c r="R576" s="1012" t="s">
        <v>4220</v>
      </c>
      <c r="S576" s="931"/>
      <c r="T576" s="1534"/>
      <c r="U576" s="926"/>
    </row>
    <row r="577" spans="1:21" ht="38.25">
      <c r="A577" s="926" t="s">
        <v>2476</v>
      </c>
      <c r="B577" s="927">
        <v>44041</v>
      </c>
      <c r="C577" s="926">
        <v>6</v>
      </c>
      <c r="D577" s="926">
        <v>5</v>
      </c>
      <c r="E577" s="935" t="s">
        <v>2736</v>
      </c>
      <c r="F577" s="926">
        <v>37</v>
      </c>
      <c r="G577" s="1013" t="s">
        <v>3145</v>
      </c>
      <c r="H577" s="929"/>
      <c r="I577" s="929" t="s">
        <v>551</v>
      </c>
      <c r="J577" s="929"/>
      <c r="K577" s="5">
        <v>43949</v>
      </c>
      <c r="L577" s="5">
        <v>43980</v>
      </c>
      <c r="M577" s="1178" t="s">
        <v>3146</v>
      </c>
      <c r="N577" s="1013" t="s">
        <v>2577</v>
      </c>
      <c r="O577" s="929" t="s">
        <v>77</v>
      </c>
      <c r="P577" s="927">
        <f t="shared" si="47"/>
        <v>44041</v>
      </c>
      <c r="Q577" s="927">
        <f t="shared" si="48"/>
        <v>44041</v>
      </c>
      <c r="R577" s="1012" t="s">
        <v>4220</v>
      </c>
      <c r="S577" s="1180" t="s">
        <v>2839</v>
      </c>
      <c r="T577" s="1535"/>
      <c r="U577" s="926"/>
    </row>
    <row r="578" spans="1:21" ht="39.75" customHeight="1">
      <c r="A578" s="926" t="s">
        <v>2476</v>
      </c>
      <c r="B578" s="927">
        <v>44041</v>
      </c>
      <c r="C578" s="926">
        <v>6</v>
      </c>
      <c r="D578" s="926">
        <v>5</v>
      </c>
      <c r="E578" s="935" t="s">
        <v>2738</v>
      </c>
      <c r="F578" s="926">
        <v>38</v>
      </c>
      <c r="G578" s="1013" t="s">
        <v>3147</v>
      </c>
      <c r="H578" s="929"/>
      <c r="I578" s="929" t="s">
        <v>551</v>
      </c>
      <c r="J578" s="929"/>
      <c r="K578" s="5">
        <v>43949</v>
      </c>
      <c r="L578" s="5">
        <v>43980</v>
      </c>
      <c r="M578" s="1178" t="s">
        <v>3146</v>
      </c>
      <c r="N578" s="1013" t="s">
        <v>2577</v>
      </c>
      <c r="O578" s="929" t="s">
        <v>77</v>
      </c>
      <c r="P578" s="927">
        <f t="shared" si="47"/>
        <v>44041</v>
      </c>
      <c r="Q578" s="927">
        <f t="shared" si="48"/>
        <v>44041</v>
      </c>
      <c r="R578" s="1012" t="s">
        <v>4220</v>
      </c>
      <c r="S578" s="1179" t="s">
        <v>2880</v>
      </c>
      <c r="T578" s="1534"/>
      <c r="U578" s="926"/>
    </row>
    <row r="579" spans="1:21" ht="39.75" customHeight="1">
      <c r="A579" s="926" t="s">
        <v>2476</v>
      </c>
      <c r="B579" s="927">
        <v>44041</v>
      </c>
      <c r="C579" s="926">
        <v>6</v>
      </c>
      <c r="D579" s="926">
        <v>5</v>
      </c>
      <c r="E579" s="926"/>
      <c r="F579" s="926">
        <v>39</v>
      </c>
      <c r="G579" s="1013" t="s">
        <v>3148</v>
      </c>
      <c r="H579" s="929"/>
      <c r="I579" s="929"/>
      <c r="J579" s="929"/>
      <c r="K579" s="929"/>
      <c r="L579" s="929"/>
      <c r="M579" s="1013" t="s">
        <v>3149</v>
      </c>
      <c r="N579" s="1013" t="s">
        <v>2577</v>
      </c>
      <c r="O579" s="929" t="s">
        <v>77</v>
      </c>
      <c r="P579" s="927">
        <f t="shared" si="47"/>
        <v>44041</v>
      </c>
      <c r="Q579" s="927">
        <f t="shared" si="48"/>
        <v>44041</v>
      </c>
      <c r="R579" s="1012" t="s">
        <v>4220</v>
      </c>
      <c r="S579" s="931"/>
      <c r="T579" s="1534"/>
      <c r="U579" s="926"/>
    </row>
    <row r="580" spans="1:21" ht="38.25">
      <c r="A580" s="926" t="s">
        <v>2476</v>
      </c>
      <c r="B580" s="927">
        <v>44041</v>
      </c>
      <c r="C580" s="926">
        <v>6</v>
      </c>
      <c r="D580" s="926">
        <v>5</v>
      </c>
      <c r="E580" s="926"/>
      <c r="F580" s="926">
        <v>40</v>
      </c>
      <c r="G580" s="1013" t="s">
        <v>3150</v>
      </c>
      <c r="H580" s="929"/>
      <c r="I580" s="929"/>
      <c r="J580" s="929"/>
      <c r="K580" s="929"/>
      <c r="L580" s="929"/>
      <c r="M580" s="1013" t="s">
        <v>3146</v>
      </c>
      <c r="N580" s="1013" t="s">
        <v>2577</v>
      </c>
      <c r="O580" s="929" t="s">
        <v>77</v>
      </c>
      <c r="P580" s="927">
        <f t="shared" si="47"/>
        <v>44041</v>
      </c>
      <c r="Q580" s="927">
        <f t="shared" si="48"/>
        <v>44041</v>
      </c>
      <c r="R580" s="1012" t="s">
        <v>4220</v>
      </c>
      <c r="S580" s="931"/>
      <c r="T580" s="1534"/>
      <c r="U580" s="926"/>
    </row>
    <row r="581" spans="1:21" ht="51.75" customHeight="1">
      <c r="A581" s="926" t="s">
        <v>2476</v>
      </c>
      <c r="B581" s="927">
        <v>44041</v>
      </c>
      <c r="C581" s="926">
        <v>6</v>
      </c>
      <c r="D581" s="926">
        <v>5</v>
      </c>
      <c r="E581" s="926"/>
      <c r="F581" s="926">
        <v>41</v>
      </c>
      <c r="G581" s="1013" t="s">
        <v>3151</v>
      </c>
      <c r="H581" s="929"/>
      <c r="I581" s="929"/>
      <c r="J581" s="929"/>
      <c r="K581" s="929"/>
      <c r="L581" s="929"/>
      <c r="M581" s="1013" t="s">
        <v>2619</v>
      </c>
      <c r="N581" s="1013" t="s">
        <v>2524</v>
      </c>
      <c r="O581" s="929" t="s">
        <v>77</v>
      </c>
      <c r="P581" s="927">
        <f t="shared" si="47"/>
        <v>44041</v>
      </c>
      <c r="Q581" s="927">
        <f t="shared" si="48"/>
        <v>44041</v>
      </c>
      <c r="R581" s="1012" t="s">
        <v>4220</v>
      </c>
      <c r="S581" s="931"/>
      <c r="T581" s="1534"/>
      <c r="U581" s="926"/>
    </row>
    <row r="582" spans="1:21" ht="38.25">
      <c r="A582" s="926" t="s">
        <v>2476</v>
      </c>
      <c r="B582" s="927">
        <v>44041</v>
      </c>
      <c r="C582" s="926">
        <v>6</v>
      </c>
      <c r="D582" s="926">
        <v>5</v>
      </c>
      <c r="E582" s="926"/>
      <c r="F582" s="926">
        <v>42</v>
      </c>
      <c r="G582" s="1013" t="s">
        <v>3152</v>
      </c>
      <c r="H582" s="929"/>
      <c r="I582" s="929"/>
      <c r="J582" s="929"/>
      <c r="K582" s="929"/>
      <c r="L582" s="929"/>
      <c r="M582" s="1013" t="s">
        <v>2619</v>
      </c>
      <c r="N582" s="1013" t="s">
        <v>2524</v>
      </c>
      <c r="O582" s="929" t="s">
        <v>77</v>
      </c>
      <c r="P582" s="927">
        <f t="shared" si="47"/>
        <v>44041</v>
      </c>
      <c r="Q582" s="927">
        <f t="shared" si="48"/>
        <v>44041</v>
      </c>
      <c r="R582" s="1012" t="s">
        <v>4220</v>
      </c>
      <c r="S582" s="931"/>
      <c r="T582" s="1534"/>
      <c r="U582" s="926"/>
    </row>
    <row r="583" spans="1:21" ht="25.5">
      <c r="A583" s="926" t="s">
        <v>2476</v>
      </c>
      <c r="B583" s="927">
        <v>44041</v>
      </c>
      <c r="C583" s="926">
        <v>6</v>
      </c>
      <c r="D583" s="926">
        <v>5</v>
      </c>
      <c r="E583" s="926"/>
      <c r="F583" s="926">
        <v>43</v>
      </c>
      <c r="G583" s="1013" t="s">
        <v>3153</v>
      </c>
      <c r="H583" s="929"/>
      <c r="I583" s="929"/>
      <c r="J583" s="929"/>
      <c r="K583" s="929"/>
      <c r="L583" s="929"/>
      <c r="M583" s="1013" t="s">
        <v>2619</v>
      </c>
      <c r="N583" s="1013" t="s">
        <v>2524</v>
      </c>
      <c r="O583" s="929" t="s">
        <v>77</v>
      </c>
      <c r="P583" s="927">
        <f t="shared" si="47"/>
        <v>44041</v>
      </c>
      <c r="Q583" s="927">
        <f t="shared" si="48"/>
        <v>44041</v>
      </c>
      <c r="R583" s="1012" t="s">
        <v>4220</v>
      </c>
      <c r="S583" s="931"/>
      <c r="T583" s="1534"/>
      <c r="U583" s="926"/>
    </row>
    <row r="584" spans="1:21" ht="25.5">
      <c r="A584" s="926" t="s">
        <v>2476</v>
      </c>
      <c r="B584" s="927">
        <v>44041</v>
      </c>
      <c r="C584" s="926">
        <v>6</v>
      </c>
      <c r="D584" s="926">
        <v>5</v>
      </c>
      <c r="E584" s="926"/>
      <c r="F584" s="926">
        <v>44</v>
      </c>
      <c r="G584" s="1013" t="s">
        <v>3154</v>
      </c>
      <c r="H584" s="929"/>
      <c r="I584" s="929"/>
      <c r="J584" s="929"/>
      <c r="K584" s="929"/>
      <c r="L584" s="929"/>
      <c r="M584" s="1013" t="s">
        <v>3155</v>
      </c>
      <c r="N584" s="1013" t="s">
        <v>2604</v>
      </c>
      <c r="O584" s="929" t="s">
        <v>77</v>
      </c>
      <c r="P584" s="927">
        <f t="shared" si="47"/>
        <v>44041</v>
      </c>
      <c r="Q584" s="927">
        <f t="shared" si="48"/>
        <v>44041</v>
      </c>
      <c r="R584" s="1012" t="s">
        <v>4220</v>
      </c>
      <c r="S584" s="931"/>
      <c r="T584" s="1534"/>
      <c r="U584" s="926"/>
    </row>
    <row r="585" spans="1:21" ht="25.5">
      <c r="A585" s="926" t="s">
        <v>2476</v>
      </c>
      <c r="B585" s="927">
        <v>44041</v>
      </c>
      <c r="C585" s="926">
        <v>6</v>
      </c>
      <c r="D585" s="926">
        <v>5</v>
      </c>
      <c r="E585" s="926"/>
      <c r="F585" s="926">
        <v>45</v>
      </c>
      <c r="G585" s="1013" t="s">
        <v>3156</v>
      </c>
      <c r="H585" s="929"/>
      <c r="I585" s="929"/>
      <c r="J585" s="929"/>
      <c r="K585" s="929"/>
      <c r="L585" s="929"/>
      <c r="M585" s="1013" t="s">
        <v>3155</v>
      </c>
      <c r="N585" s="1013" t="s">
        <v>2604</v>
      </c>
      <c r="O585" s="929" t="s">
        <v>77</v>
      </c>
      <c r="P585" s="927">
        <f t="shared" si="47"/>
        <v>44041</v>
      </c>
      <c r="Q585" s="927">
        <f t="shared" si="48"/>
        <v>44041</v>
      </c>
      <c r="R585" s="1012" t="s">
        <v>4220</v>
      </c>
      <c r="S585" s="931"/>
      <c r="T585" s="1534"/>
      <c r="U585" s="926"/>
    </row>
    <row r="586" spans="1:21" ht="38.25">
      <c r="A586" s="926" t="s">
        <v>2476</v>
      </c>
      <c r="B586" s="927">
        <v>44041</v>
      </c>
      <c r="C586" s="926">
        <v>6</v>
      </c>
      <c r="D586" s="926">
        <v>5</v>
      </c>
      <c r="E586" s="926"/>
      <c r="F586" s="926">
        <v>46</v>
      </c>
      <c r="G586" s="1013" t="s">
        <v>3157</v>
      </c>
      <c r="H586" s="929"/>
      <c r="I586" s="929"/>
      <c r="J586" s="929"/>
      <c r="K586" s="929"/>
      <c r="L586" s="929"/>
      <c r="M586" s="1013" t="s">
        <v>3155</v>
      </c>
      <c r="N586" s="1013" t="s">
        <v>2604</v>
      </c>
      <c r="O586" s="929" t="s">
        <v>77</v>
      </c>
      <c r="P586" s="927">
        <f t="shared" si="47"/>
        <v>44041</v>
      </c>
      <c r="Q586" s="927">
        <f t="shared" si="48"/>
        <v>44041</v>
      </c>
      <c r="R586" s="1012" t="s">
        <v>4220</v>
      </c>
      <c r="S586" s="931"/>
      <c r="T586" s="1534"/>
      <c r="U586" s="926"/>
    </row>
    <row r="587" spans="1:21" ht="38.25">
      <c r="A587" s="926" t="s">
        <v>2476</v>
      </c>
      <c r="B587" s="927">
        <v>44041</v>
      </c>
      <c r="C587" s="926">
        <v>6</v>
      </c>
      <c r="D587" s="926">
        <v>5</v>
      </c>
      <c r="E587" s="926"/>
      <c r="F587" s="926">
        <v>47</v>
      </c>
      <c r="G587" s="1013" t="s">
        <v>3158</v>
      </c>
      <c r="H587" s="929"/>
      <c r="I587" s="929"/>
      <c r="J587" s="929"/>
      <c r="K587" s="929"/>
      <c r="L587" s="929"/>
      <c r="M587" s="1013" t="s">
        <v>2606</v>
      </c>
      <c r="N587" s="1013" t="s">
        <v>2604</v>
      </c>
      <c r="O587" s="929" t="s">
        <v>77</v>
      </c>
      <c r="P587" s="927">
        <f t="shared" si="47"/>
        <v>44041</v>
      </c>
      <c r="Q587" s="927">
        <f t="shared" si="48"/>
        <v>44041</v>
      </c>
      <c r="R587" s="1012" t="s">
        <v>4220</v>
      </c>
      <c r="S587" s="931"/>
      <c r="T587" s="1534"/>
      <c r="U587" s="926"/>
    </row>
    <row r="588" spans="1:21" ht="27" customHeight="1">
      <c r="A588" s="926" t="s">
        <v>2476</v>
      </c>
      <c r="B588" s="927">
        <v>44041</v>
      </c>
      <c r="C588" s="926">
        <v>6</v>
      </c>
      <c r="D588" s="926">
        <v>5</v>
      </c>
      <c r="E588" s="926"/>
      <c r="F588" s="926">
        <v>1</v>
      </c>
      <c r="G588" s="1013" t="s">
        <v>3159</v>
      </c>
      <c r="H588" s="929"/>
      <c r="I588" s="929"/>
      <c r="J588" s="929"/>
      <c r="K588" s="929"/>
      <c r="L588" s="929"/>
      <c r="M588" s="1013" t="s">
        <v>3160</v>
      </c>
      <c r="N588" s="1013" t="s">
        <v>2480</v>
      </c>
      <c r="O588" s="929" t="s">
        <v>64</v>
      </c>
      <c r="P588" s="927">
        <f t="shared" si="47"/>
        <v>44041</v>
      </c>
      <c r="Q588" s="927">
        <f t="shared" si="48"/>
        <v>44041</v>
      </c>
      <c r="R588" s="1012" t="s">
        <v>4220</v>
      </c>
      <c r="S588" s="931"/>
      <c r="T588" s="1534"/>
      <c r="U588" s="926"/>
    </row>
    <row r="589" spans="1:21" ht="25.5">
      <c r="A589" s="926" t="s">
        <v>2476</v>
      </c>
      <c r="B589" s="927">
        <v>44041</v>
      </c>
      <c r="C589" s="926">
        <v>6</v>
      </c>
      <c r="D589" s="926">
        <v>5</v>
      </c>
      <c r="E589" s="926"/>
      <c r="F589" s="926">
        <v>2</v>
      </c>
      <c r="G589" s="1013" t="s">
        <v>3161</v>
      </c>
      <c r="H589" s="929"/>
      <c r="I589" s="929"/>
      <c r="J589" s="929"/>
      <c r="K589" s="929"/>
      <c r="L589" s="929"/>
      <c r="M589" s="1013" t="s">
        <v>2537</v>
      </c>
      <c r="N589" s="1013" t="s">
        <v>1976</v>
      </c>
      <c r="O589" s="929" t="s">
        <v>64</v>
      </c>
      <c r="P589" s="927">
        <f>B589</f>
        <v>44041</v>
      </c>
      <c r="Q589" s="927">
        <f>B589</f>
        <v>44041</v>
      </c>
      <c r="R589" s="1012" t="s">
        <v>4220</v>
      </c>
      <c r="S589" s="931"/>
      <c r="T589" s="1534"/>
      <c r="U589" s="926"/>
    </row>
    <row r="590" spans="1:21" ht="25.5">
      <c r="A590" s="926" t="s">
        <v>2476</v>
      </c>
      <c r="B590" s="927">
        <v>44041</v>
      </c>
      <c r="C590" s="926">
        <v>6</v>
      </c>
      <c r="D590" s="926">
        <v>5</v>
      </c>
      <c r="E590" s="926"/>
      <c r="F590" s="926">
        <v>1</v>
      </c>
      <c r="G590" s="1013" t="s">
        <v>3162</v>
      </c>
      <c r="H590" s="929"/>
      <c r="I590" s="929"/>
      <c r="J590" s="929"/>
      <c r="K590" s="929"/>
      <c r="L590" s="929"/>
      <c r="M590" s="1013" t="s">
        <v>3163</v>
      </c>
      <c r="N590" s="1013" t="s">
        <v>2480</v>
      </c>
      <c r="O590" s="929" t="s">
        <v>867</v>
      </c>
      <c r="P590" s="927">
        <f>B590</f>
        <v>44041</v>
      </c>
      <c r="Q590" s="927">
        <f>B590</f>
        <v>44041</v>
      </c>
      <c r="R590" s="1012" t="s">
        <v>4220</v>
      </c>
      <c r="S590" s="931"/>
      <c r="T590" s="1534"/>
      <c r="U590" s="926"/>
    </row>
    <row r="591" spans="1:21" ht="27" customHeight="1">
      <c r="A591" s="926" t="s">
        <v>2476</v>
      </c>
      <c r="B591" s="927">
        <v>44041</v>
      </c>
      <c r="C591" s="926">
        <v>6</v>
      </c>
      <c r="D591" s="926">
        <v>5</v>
      </c>
      <c r="E591" s="926"/>
      <c r="F591" s="926">
        <v>2</v>
      </c>
      <c r="G591" s="1013" t="s">
        <v>3164</v>
      </c>
      <c r="H591" s="1" t="s">
        <v>3166</v>
      </c>
      <c r="I591" s="929"/>
      <c r="J591" s="929"/>
      <c r="K591" s="929"/>
      <c r="L591" s="929"/>
      <c r="M591" s="1013" t="s">
        <v>68</v>
      </c>
      <c r="N591" s="1013" t="s">
        <v>2538</v>
      </c>
      <c r="O591" s="929" t="s">
        <v>867</v>
      </c>
      <c r="P591" s="927">
        <f t="shared" si="47"/>
        <v>44041</v>
      </c>
      <c r="Q591" s="927">
        <f t="shared" si="48"/>
        <v>44041</v>
      </c>
      <c r="R591" s="1012" t="s">
        <v>4220</v>
      </c>
      <c r="S591" s="931"/>
      <c r="T591" s="1534"/>
      <c r="U591" s="926"/>
    </row>
    <row r="592" spans="1:21" ht="25.5">
      <c r="A592" s="926" t="s">
        <v>2476</v>
      </c>
      <c r="B592" s="927">
        <v>44041</v>
      </c>
      <c r="C592" s="926">
        <v>6</v>
      </c>
      <c r="D592" s="926">
        <v>5</v>
      </c>
      <c r="E592" s="926"/>
      <c r="F592" s="926">
        <v>3</v>
      </c>
      <c r="G592" s="1013" t="s">
        <v>3165</v>
      </c>
      <c r="H592" s="1" t="s">
        <v>3166</v>
      </c>
      <c r="I592" s="929"/>
      <c r="J592" s="929"/>
      <c r="K592" s="929"/>
      <c r="L592" s="929"/>
      <c r="M592" s="1013" t="s">
        <v>68</v>
      </c>
      <c r="N592" s="1013" t="s">
        <v>2480</v>
      </c>
      <c r="O592" s="929" t="s">
        <v>867</v>
      </c>
      <c r="P592" s="927">
        <f>B592</f>
        <v>44041</v>
      </c>
      <c r="Q592" s="927">
        <f>B592</f>
        <v>44041</v>
      </c>
      <c r="R592" s="1012" t="s">
        <v>4220</v>
      </c>
      <c r="S592" s="931"/>
      <c r="T592" s="1534"/>
      <c r="U592" s="926"/>
    </row>
    <row r="593" spans="1:21" ht="25.5">
      <c r="A593" s="926" t="s">
        <v>2476</v>
      </c>
      <c r="B593" s="927">
        <v>44041</v>
      </c>
      <c r="C593" s="926">
        <v>6</v>
      </c>
      <c r="D593" s="926">
        <v>5</v>
      </c>
      <c r="E593" s="926"/>
      <c r="F593" s="926">
        <v>1</v>
      </c>
      <c r="G593" s="1013" t="s">
        <v>3168</v>
      </c>
      <c r="H593" s="929"/>
      <c r="I593" s="929"/>
      <c r="J593" s="929"/>
      <c r="K593" s="929"/>
      <c r="L593" s="929"/>
      <c r="M593" s="1013" t="s">
        <v>3169</v>
      </c>
      <c r="N593" s="1013" t="s">
        <v>2480</v>
      </c>
      <c r="O593" s="929" t="s">
        <v>3107</v>
      </c>
      <c r="P593" s="927">
        <f t="shared" si="47"/>
        <v>44041</v>
      </c>
      <c r="Q593" s="927">
        <f t="shared" si="48"/>
        <v>44041</v>
      </c>
      <c r="R593" s="1012" t="s">
        <v>4220</v>
      </c>
      <c r="S593" s="931"/>
      <c r="T593" s="1534"/>
      <c r="U593" s="926"/>
    </row>
    <row r="594" spans="1:21" ht="38.25">
      <c r="A594" s="926" t="s">
        <v>2476</v>
      </c>
      <c r="B594" s="927">
        <v>44041</v>
      </c>
      <c r="C594" s="926">
        <v>6</v>
      </c>
      <c r="D594" s="926">
        <v>5</v>
      </c>
      <c r="E594" s="926"/>
      <c r="F594" s="926">
        <v>1</v>
      </c>
      <c r="G594" s="1013" t="s">
        <v>3167</v>
      </c>
      <c r="H594" s="929"/>
      <c r="I594" s="929"/>
      <c r="J594" s="929"/>
      <c r="K594" s="929"/>
      <c r="L594" s="929"/>
      <c r="M594" s="1013" t="s">
        <v>3149</v>
      </c>
      <c r="N594" s="1013" t="s">
        <v>2663</v>
      </c>
      <c r="O594" s="929" t="s">
        <v>3108</v>
      </c>
      <c r="P594" s="927">
        <f t="shared" si="47"/>
        <v>44041</v>
      </c>
      <c r="Q594" s="927">
        <f t="shared" si="48"/>
        <v>44041</v>
      </c>
      <c r="R594" s="1012" t="s">
        <v>4220</v>
      </c>
      <c r="S594" s="931"/>
      <c r="T594" s="931"/>
      <c r="U594" s="926"/>
    </row>
    <row r="595" spans="1:21" ht="53.25" customHeight="1">
      <c r="A595" s="926" t="s">
        <v>2476</v>
      </c>
      <c r="B595" s="927">
        <v>44041</v>
      </c>
      <c r="C595" s="926">
        <v>6</v>
      </c>
      <c r="D595" s="926">
        <v>5</v>
      </c>
      <c r="E595" s="926"/>
      <c r="F595" s="926">
        <v>1</v>
      </c>
      <c r="G595" s="1013" t="s">
        <v>3171</v>
      </c>
      <c r="H595" s="929"/>
      <c r="I595" s="929"/>
      <c r="J595" s="929"/>
      <c r="K595" s="929"/>
      <c r="L595" s="929"/>
      <c r="M595" s="1013" t="s">
        <v>2591</v>
      </c>
      <c r="N595" s="1013" t="s">
        <v>2524</v>
      </c>
      <c r="O595" s="929" t="s">
        <v>247</v>
      </c>
      <c r="P595" s="927">
        <f t="shared" si="47"/>
        <v>44041</v>
      </c>
      <c r="Q595" s="927">
        <f t="shared" si="48"/>
        <v>44041</v>
      </c>
      <c r="R595" s="1012" t="s">
        <v>4220</v>
      </c>
      <c r="S595" s="931"/>
      <c r="T595" s="931"/>
      <c r="U595" s="926"/>
    </row>
    <row r="596" spans="1:21" ht="78" customHeight="1">
      <c r="A596" s="926" t="s">
        <v>2476</v>
      </c>
      <c r="B596" s="927">
        <v>44041</v>
      </c>
      <c r="C596" s="926">
        <v>6</v>
      </c>
      <c r="D596" s="926">
        <v>5</v>
      </c>
      <c r="E596" s="926"/>
      <c r="F596" s="926">
        <v>2</v>
      </c>
      <c r="G596" s="1013" t="s">
        <v>3170</v>
      </c>
      <c r="H596" s="929"/>
      <c r="I596" s="929"/>
      <c r="J596" s="929"/>
      <c r="K596" s="929"/>
      <c r="L596" s="929"/>
      <c r="M596" s="1013" t="s">
        <v>3143</v>
      </c>
      <c r="N596" s="1013" t="s">
        <v>2480</v>
      </c>
      <c r="O596" s="929" t="s">
        <v>247</v>
      </c>
      <c r="P596" s="927">
        <f t="shared" si="47"/>
        <v>44041</v>
      </c>
      <c r="Q596" s="927">
        <f t="shared" si="48"/>
        <v>44041</v>
      </c>
      <c r="R596" s="1012" t="s">
        <v>4220</v>
      </c>
      <c r="S596" s="931"/>
      <c r="T596" s="931"/>
      <c r="U596" s="926"/>
    </row>
    <row r="597" spans="1:21" ht="38.25">
      <c r="A597" s="926" t="s">
        <v>2476</v>
      </c>
      <c r="B597" s="927">
        <v>44041</v>
      </c>
      <c r="C597" s="926">
        <v>6</v>
      </c>
      <c r="D597" s="926">
        <v>5</v>
      </c>
      <c r="E597" s="926"/>
      <c r="F597" s="926">
        <v>1</v>
      </c>
      <c r="G597" s="1013" t="s">
        <v>3172</v>
      </c>
      <c r="H597" s="929"/>
      <c r="I597" s="929"/>
      <c r="J597" s="929"/>
      <c r="K597" s="929"/>
      <c r="L597" s="929"/>
      <c r="M597" s="1013" t="s">
        <v>3173</v>
      </c>
      <c r="N597" s="1013" t="s">
        <v>2480</v>
      </c>
      <c r="O597" s="929" t="s">
        <v>77</v>
      </c>
      <c r="P597" s="927">
        <f t="shared" si="47"/>
        <v>44041</v>
      </c>
      <c r="Q597" s="927">
        <f t="shared" si="48"/>
        <v>44041</v>
      </c>
      <c r="R597" s="1012" t="s">
        <v>4220</v>
      </c>
      <c r="S597" s="931"/>
      <c r="T597" s="931"/>
      <c r="U597" s="926"/>
    </row>
    <row r="598" spans="1:21" ht="38.25" customHeight="1">
      <c r="A598" s="926" t="s">
        <v>2476</v>
      </c>
      <c r="B598" s="927">
        <v>44041</v>
      </c>
      <c r="C598" s="926">
        <v>6</v>
      </c>
      <c r="D598" s="926">
        <v>5</v>
      </c>
      <c r="E598" s="926"/>
      <c r="F598" s="926">
        <v>2</v>
      </c>
      <c r="G598" s="1013" t="s">
        <v>3174</v>
      </c>
      <c r="H598" s="929"/>
      <c r="I598" s="929"/>
      <c r="J598" s="929"/>
      <c r="K598" s="929"/>
      <c r="L598" s="929"/>
      <c r="M598" s="1013" t="s">
        <v>3146</v>
      </c>
      <c r="N598" s="1013" t="s">
        <v>2577</v>
      </c>
      <c r="O598" s="929" t="s">
        <v>77</v>
      </c>
      <c r="P598" s="927">
        <f t="shared" si="47"/>
        <v>44041</v>
      </c>
      <c r="Q598" s="927">
        <f t="shared" si="48"/>
        <v>44041</v>
      </c>
      <c r="R598" s="1012" t="s">
        <v>4220</v>
      </c>
      <c r="S598" s="931"/>
      <c r="T598" s="931"/>
      <c r="U598" s="926"/>
    </row>
    <row r="599" spans="1:21" ht="41.25" customHeight="1">
      <c r="A599" s="926" t="s">
        <v>2476</v>
      </c>
      <c r="B599" s="927">
        <v>44041</v>
      </c>
      <c r="C599" s="926">
        <v>6</v>
      </c>
      <c r="D599" s="926">
        <v>5</v>
      </c>
      <c r="E599" s="926"/>
      <c r="F599" s="926">
        <v>3</v>
      </c>
      <c r="G599" s="1013" t="s">
        <v>3113</v>
      </c>
      <c r="H599" s="929"/>
      <c r="I599" s="929"/>
      <c r="J599" s="929"/>
      <c r="K599" s="929"/>
      <c r="L599" s="929"/>
      <c r="M599" s="1013" t="s">
        <v>2697</v>
      </c>
      <c r="N599" s="1013" t="s">
        <v>2480</v>
      </c>
      <c r="O599" s="929" t="s">
        <v>77</v>
      </c>
      <c r="P599" s="927">
        <f t="shared" si="47"/>
        <v>44041</v>
      </c>
      <c r="Q599" s="927">
        <f t="shared" si="48"/>
        <v>44041</v>
      </c>
      <c r="R599" s="1012" t="s">
        <v>4220</v>
      </c>
      <c r="S599" s="931"/>
      <c r="T599" s="931"/>
      <c r="U599" s="926"/>
    </row>
    <row r="600" spans="1:21" ht="38.25" customHeight="1">
      <c r="A600" s="926" t="s">
        <v>2476</v>
      </c>
      <c r="B600" s="927">
        <v>44041</v>
      </c>
      <c r="C600" s="926">
        <v>6</v>
      </c>
      <c r="D600" s="926">
        <v>5</v>
      </c>
      <c r="E600" s="926"/>
      <c r="F600" s="926">
        <v>4</v>
      </c>
      <c r="G600" s="1013" t="s">
        <v>3115</v>
      </c>
      <c r="H600" s="929"/>
      <c r="I600" s="929"/>
      <c r="J600" s="929"/>
      <c r="K600" s="929"/>
      <c r="L600" s="929"/>
      <c r="M600" s="1013" t="s">
        <v>2697</v>
      </c>
      <c r="N600" s="1013" t="s">
        <v>2480</v>
      </c>
      <c r="O600" s="929" t="s">
        <v>77</v>
      </c>
      <c r="P600" s="927">
        <f t="shared" ref="P600:P606" si="49">B600</f>
        <v>44041</v>
      </c>
      <c r="Q600" s="927">
        <f t="shared" ref="Q600:Q606" si="50">B600</f>
        <v>44041</v>
      </c>
      <c r="R600" s="1012" t="s">
        <v>4220</v>
      </c>
      <c r="S600" s="931"/>
      <c r="T600" s="931"/>
      <c r="U600" s="926"/>
    </row>
    <row r="601" spans="1:21" ht="39.75" customHeight="1">
      <c r="A601" s="926" t="s">
        <v>2476</v>
      </c>
      <c r="B601" s="927">
        <v>44041</v>
      </c>
      <c r="C601" s="926">
        <v>6</v>
      </c>
      <c r="D601" s="926">
        <v>5</v>
      </c>
      <c r="E601" s="926"/>
      <c r="F601" s="926">
        <v>5</v>
      </c>
      <c r="G601" s="1013" t="s">
        <v>3116</v>
      </c>
      <c r="H601" s="929"/>
      <c r="I601" s="929"/>
      <c r="J601" s="929"/>
      <c r="K601" s="929"/>
      <c r="L601" s="929"/>
      <c r="M601" s="1013" t="s">
        <v>2697</v>
      </c>
      <c r="N601" s="1013" t="s">
        <v>2480</v>
      </c>
      <c r="O601" s="929" t="s">
        <v>77</v>
      </c>
      <c r="P601" s="927">
        <f t="shared" si="49"/>
        <v>44041</v>
      </c>
      <c r="Q601" s="927">
        <f t="shared" si="50"/>
        <v>44041</v>
      </c>
      <c r="R601" s="1012" t="s">
        <v>4220</v>
      </c>
      <c r="S601" s="931"/>
      <c r="T601" s="931"/>
      <c r="U601" s="926"/>
    </row>
    <row r="602" spans="1:21" ht="40.5" customHeight="1">
      <c r="A602" s="926" t="s">
        <v>2476</v>
      </c>
      <c r="B602" s="927">
        <v>44041</v>
      </c>
      <c r="C602" s="926">
        <v>6</v>
      </c>
      <c r="D602" s="926">
        <v>6</v>
      </c>
      <c r="E602" s="926"/>
      <c r="F602" s="926">
        <v>6</v>
      </c>
      <c r="G602" s="1013" t="s">
        <v>3175</v>
      </c>
      <c r="H602" s="929"/>
      <c r="I602" s="929"/>
      <c r="J602" s="929"/>
      <c r="K602" s="929"/>
      <c r="L602" s="929"/>
      <c r="M602" s="1013" t="s">
        <v>2697</v>
      </c>
      <c r="N602" s="1013" t="s">
        <v>2480</v>
      </c>
      <c r="O602" s="929" t="s">
        <v>77</v>
      </c>
      <c r="P602" s="927">
        <f t="shared" si="49"/>
        <v>44041</v>
      </c>
      <c r="Q602" s="927">
        <f t="shared" si="50"/>
        <v>44041</v>
      </c>
      <c r="R602" s="1012" t="s">
        <v>4220</v>
      </c>
      <c r="S602" s="931"/>
      <c r="T602" s="931"/>
      <c r="U602" s="926"/>
    </row>
    <row r="603" spans="1:21" ht="40.5" customHeight="1">
      <c r="A603" s="926" t="s">
        <v>2476</v>
      </c>
      <c r="B603" s="927">
        <v>44041</v>
      </c>
      <c r="C603" s="926">
        <v>6</v>
      </c>
      <c r="D603" s="926">
        <v>6</v>
      </c>
      <c r="E603" s="926"/>
      <c r="F603" s="926">
        <v>7</v>
      </c>
      <c r="G603" s="1013" t="s">
        <v>3120</v>
      </c>
      <c r="H603" s="929"/>
      <c r="I603" s="929"/>
      <c r="J603" s="929"/>
      <c r="K603" s="929"/>
      <c r="L603" s="929"/>
      <c r="M603" s="1013" t="s">
        <v>2556</v>
      </c>
      <c r="N603" s="1013" t="s">
        <v>2480</v>
      </c>
      <c r="O603" s="929" t="s">
        <v>77</v>
      </c>
      <c r="P603" s="927">
        <f t="shared" si="49"/>
        <v>44041</v>
      </c>
      <c r="Q603" s="927">
        <f t="shared" si="50"/>
        <v>44041</v>
      </c>
      <c r="R603" s="1012" t="s">
        <v>4220</v>
      </c>
      <c r="S603" s="931"/>
      <c r="T603" s="931"/>
      <c r="U603" s="926"/>
    </row>
    <row r="604" spans="1:21" ht="40.5" customHeight="1">
      <c r="A604" s="926" t="s">
        <v>2476</v>
      </c>
      <c r="B604" s="927">
        <v>44041</v>
      </c>
      <c r="C604" s="926">
        <v>6</v>
      </c>
      <c r="D604" s="926">
        <v>6</v>
      </c>
      <c r="E604" s="926"/>
      <c r="F604" s="926">
        <v>8</v>
      </c>
      <c r="G604" s="1013" t="s">
        <v>3121</v>
      </c>
      <c r="H604" s="929"/>
      <c r="I604" s="929"/>
      <c r="J604" s="929"/>
      <c r="K604" s="929"/>
      <c r="L604" s="929"/>
      <c r="M604" s="1013" t="s">
        <v>2556</v>
      </c>
      <c r="N604" s="1013" t="s">
        <v>2480</v>
      </c>
      <c r="O604" s="929" t="s">
        <v>77</v>
      </c>
      <c r="P604" s="927">
        <f t="shared" si="49"/>
        <v>44041</v>
      </c>
      <c r="Q604" s="927">
        <f t="shared" si="50"/>
        <v>44041</v>
      </c>
      <c r="R604" s="1012" t="s">
        <v>4220</v>
      </c>
      <c r="S604" s="931"/>
      <c r="T604" s="931"/>
      <c r="U604" s="926"/>
    </row>
    <row r="605" spans="1:21" ht="50.25" customHeight="1">
      <c r="A605" s="926" t="s">
        <v>2476</v>
      </c>
      <c r="B605" s="927">
        <v>44041</v>
      </c>
      <c r="C605" s="926">
        <v>6</v>
      </c>
      <c r="D605" s="926">
        <v>6</v>
      </c>
      <c r="E605" s="926"/>
      <c r="F605" s="926">
        <v>9</v>
      </c>
      <c r="G605" s="1013" t="s">
        <v>3176</v>
      </c>
      <c r="H605" s="929"/>
      <c r="I605" s="929"/>
      <c r="J605" s="929"/>
      <c r="K605" s="929"/>
      <c r="L605" s="929"/>
      <c r="M605" s="1013" t="s">
        <v>2556</v>
      </c>
      <c r="N605" s="1013" t="s">
        <v>2480</v>
      </c>
      <c r="O605" s="929" t="s">
        <v>77</v>
      </c>
      <c r="P605" s="927">
        <f t="shared" si="49"/>
        <v>44041</v>
      </c>
      <c r="Q605" s="927">
        <f t="shared" si="50"/>
        <v>44041</v>
      </c>
      <c r="R605" s="1012" t="s">
        <v>4220</v>
      </c>
      <c r="S605" s="931"/>
      <c r="T605" s="931"/>
      <c r="U605" s="926"/>
    </row>
    <row r="606" spans="1:21" ht="40.5" customHeight="1">
      <c r="A606" s="926" t="s">
        <v>2476</v>
      </c>
      <c r="B606" s="927">
        <v>44041</v>
      </c>
      <c r="C606" s="926">
        <v>6</v>
      </c>
      <c r="D606" s="926">
        <v>6</v>
      </c>
      <c r="E606" s="926"/>
      <c r="F606" s="926">
        <v>10</v>
      </c>
      <c r="G606" s="1013" t="s">
        <v>3177</v>
      </c>
      <c r="H606" s="929"/>
      <c r="I606" s="929"/>
      <c r="J606" s="929"/>
      <c r="K606" s="929"/>
      <c r="L606" s="929"/>
      <c r="M606" s="1013" t="s">
        <v>2556</v>
      </c>
      <c r="N606" s="1013" t="s">
        <v>2480</v>
      </c>
      <c r="O606" s="929" t="s">
        <v>77</v>
      </c>
      <c r="P606" s="927">
        <f t="shared" si="49"/>
        <v>44041</v>
      </c>
      <c r="Q606" s="927">
        <f t="shared" si="50"/>
        <v>44041</v>
      </c>
      <c r="R606" s="1012" t="s">
        <v>4220</v>
      </c>
      <c r="S606" s="931"/>
      <c r="T606" s="931"/>
      <c r="U606" s="926"/>
    </row>
    <row r="607" spans="1:21" ht="38.25">
      <c r="A607" s="926" t="s">
        <v>2476</v>
      </c>
      <c r="B607" s="927">
        <v>44041</v>
      </c>
      <c r="C607" s="926">
        <v>6</v>
      </c>
      <c r="D607" s="926">
        <v>6</v>
      </c>
      <c r="E607" s="926"/>
      <c r="F607" s="926">
        <v>11</v>
      </c>
      <c r="G607" s="1013" t="s">
        <v>3151</v>
      </c>
      <c r="H607" s="929"/>
      <c r="I607" s="929"/>
      <c r="J607" s="929"/>
      <c r="K607" s="929"/>
      <c r="L607" s="929"/>
      <c r="M607" s="1013" t="s">
        <v>2619</v>
      </c>
      <c r="N607" s="1013" t="s">
        <v>2524</v>
      </c>
      <c r="O607" s="929" t="s">
        <v>77</v>
      </c>
      <c r="P607" s="927">
        <f>B607</f>
        <v>44041</v>
      </c>
      <c r="Q607" s="927">
        <f>B607</f>
        <v>44041</v>
      </c>
      <c r="R607" s="1012" t="s">
        <v>4220</v>
      </c>
      <c r="S607" s="931"/>
      <c r="T607" s="931"/>
      <c r="U607" s="926"/>
    </row>
    <row r="608" spans="1:21" ht="38.25">
      <c r="A608" s="926" t="s">
        <v>2476</v>
      </c>
      <c r="B608" s="927">
        <v>44041</v>
      </c>
      <c r="C608" s="926">
        <v>6</v>
      </c>
      <c r="D608" s="926">
        <v>6</v>
      </c>
      <c r="E608" s="926"/>
      <c r="F608" s="926">
        <v>12</v>
      </c>
      <c r="G608" s="1013" t="s">
        <v>3152</v>
      </c>
      <c r="H608" s="929"/>
      <c r="I608" s="929"/>
      <c r="J608" s="929"/>
      <c r="K608" s="929"/>
      <c r="L608" s="929"/>
      <c r="M608" s="1013" t="s">
        <v>2619</v>
      </c>
      <c r="N608" s="1013" t="s">
        <v>2524</v>
      </c>
      <c r="O608" s="929" t="s">
        <v>77</v>
      </c>
      <c r="P608" s="927">
        <f>B608</f>
        <v>44041</v>
      </c>
      <c r="Q608" s="927">
        <f>B608</f>
        <v>44041</v>
      </c>
      <c r="R608" s="1012" t="s">
        <v>4220</v>
      </c>
      <c r="S608" s="931"/>
      <c r="T608" s="931"/>
      <c r="U608" s="926"/>
    </row>
    <row r="609" spans="1:21" ht="39.75" customHeight="1">
      <c r="A609" s="926" t="s">
        <v>2476</v>
      </c>
      <c r="B609" s="927">
        <v>44041</v>
      </c>
      <c r="C609" s="926">
        <v>6</v>
      </c>
      <c r="D609" s="926">
        <v>6</v>
      </c>
      <c r="E609" s="926"/>
      <c r="F609" s="926">
        <v>13</v>
      </c>
      <c r="G609" s="1013" t="s">
        <v>3153</v>
      </c>
      <c r="H609" s="929"/>
      <c r="I609" s="929"/>
      <c r="J609" s="929"/>
      <c r="K609" s="929"/>
      <c r="L609" s="929"/>
      <c r="M609" s="1013" t="s">
        <v>2619</v>
      </c>
      <c r="N609" s="1013" t="s">
        <v>2524</v>
      </c>
      <c r="O609" s="929" t="s">
        <v>77</v>
      </c>
      <c r="P609" s="927">
        <f>B609</f>
        <v>44041</v>
      </c>
      <c r="Q609" s="927">
        <f>B609</f>
        <v>44041</v>
      </c>
      <c r="R609" s="1012" t="s">
        <v>4220</v>
      </c>
      <c r="S609" s="931"/>
      <c r="T609" s="931"/>
      <c r="U609" s="926"/>
    </row>
    <row r="610" spans="1:21" ht="32.25" hidden="1" customHeight="1">
      <c r="A610" s="926" t="s">
        <v>2476</v>
      </c>
      <c r="B610" s="927">
        <v>43538</v>
      </c>
      <c r="C610" s="926">
        <v>2</v>
      </c>
      <c r="D610" s="926">
        <v>11</v>
      </c>
      <c r="E610" s="936" t="s">
        <v>1242</v>
      </c>
      <c r="F610" s="936"/>
      <c r="G610" s="1013" t="s">
        <v>2634</v>
      </c>
      <c r="H610" s="929"/>
      <c r="I610" s="929" t="s">
        <v>551</v>
      </c>
      <c r="J610" s="929"/>
      <c r="K610" s="929"/>
      <c r="L610" s="929"/>
      <c r="M610" s="1013" t="s">
        <v>2528</v>
      </c>
      <c r="N610" s="1013" t="s">
        <v>2524</v>
      </c>
      <c r="O610" s="929" t="s">
        <v>77</v>
      </c>
      <c r="P610" s="927">
        <f t="shared" ref="P610:P641" si="51">B610</f>
        <v>43538</v>
      </c>
      <c r="Q610" s="927">
        <f t="shared" ref="Q610:Q615" si="52">P610</f>
        <v>43538</v>
      </c>
      <c r="R610" s="1012" t="s">
        <v>4220</v>
      </c>
      <c r="S610" s="933" t="s">
        <v>2136</v>
      </c>
      <c r="T610" s="933"/>
      <c r="U610" s="926"/>
    </row>
    <row r="611" spans="1:21" hidden="1">
      <c r="A611" s="926" t="s">
        <v>2476</v>
      </c>
      <c r="B611" s="927">
        <v>43538</v>
      </c>
      <c r="C611" s="926">
        <v>2</v>
      </c>
      <c r="D611" s="926">
        <v>11</v>
      </c>
      <c r="E611" s="934" t="s">
        <v>1199</v>
      </c>
      <c r="F611" s="934"/>
      <c r="G611" s="1013" t="s">
        <v>2635</v>
      </c>
      <c r="H611" s="929"/>
      <c r="I611" s="929" t="s">
        <v>551</v>
      </c>
      <c r="J611" s="929"/>
      <c r="K611" s="929"/>
      <c r="L611" s="929"/>
      <c r="M611" s="1013" t="s">
        <v>2636</v>
      </c>
      <c r="N611" s="1013" t="s">
        <v>2524</v>
      </c>
      <c r="O611" s="929" t="s">
        <v>77</v>
      </c>
      <c r="P611" s="927">
        <f t="shared" si="51"/>
        <v>43538</v>
      </c>
      <c r="Q611" s="927">
        <f t="shared" si="52"/>
        <v>43538</v>
      </c>
      <c r="R611" s="1012" t="s">
        <v>4220</v>
      </c>
      <c r="S611" s="931"/>
      <c r="T611" s="931"/>
      <c r="U611" s="926"/>
    </row>
    <row r="612" spans="1:21" ht="45" hidden="1">
      <c r="A612" s="926" t="s">
        <v>2476</v>
      </c>
      <c r="B612" s="927">
        <v>43538</v>
      </c>
      <c r="C612" s="926">
        <v>2</v>
      </c>
      <c r="D612" s="926">
        <v>11</v>
      </c>
      <c r="E612" s="926"/>
      <c r="F612" s="926"/>
      <c r="G612" s="1013" t="s">
        <v>2637</v>
      </c>
      <c r="H612" s="929" t="s">
        <v>2638</v>
      </c>
      <c r="I612" s="929" t="s">
        <v>2310</v>
      </c>
      <c r="J612" s="929"/>
      <c r="K612" s="929"/>
      <c r="L612" s="929"/>
      <c r="M612" s="1013" t="s">
        <v>2568</v>
      </c>
      <c r="N612" s="1013" t="s">
        <v>2538</v>
      </c>
      <c r="O612" s="929" t="s">
        <v>77</v>
      </c>
      <c r="P612" s="927">
        <f t="shared" si="51"/>
        <v>43538</v>
      </c>
      <c r="Q612" s="927">
        <f t="shared" si="52"/>
        <v>43538</v>
      </c>
      <c r="R612" s="1012" t="s">
        <v>4220</v>
      </c>
      <c r="S612" s="931"/>
      <c r="T612" s="931"/>
      <c r="U612" s="926"/>
    </row>
    <row r="613" spans="1:21" hidden="1">
      <c r="A613" s="926" t="s">
        <v>2476</v>
      </c>
      <c r="B613" s="927">
        <v>43538</v>
      </c>
      <c r="C613" s="926">
        <v>2</v>
      </c>
      <c r="D613" s="926">
        <v>11</v>
      </c>
      <c r="E613" s="936" t="s">
        <v>1253</v>
      </c>
      <c r="F613" s="936"/>
      <c r="G613" s="1013" t="s">
        <v>2639</v>
      </c>
      <c r="H613" s="929"/>
      <c r="I613" s="929" t="s">
        <v>551</v>
      </c>
      <c r="J613" s="929"/>
      <c r="K613" s="929"/>
      <c r="L613" s="929"/>
      <c r="M613" s="1013" t="s">
        <v>2570</v>
      </c>
      <c r="N613" s="1013" t="s">
        <v>2538</v>
      </c>
      <c r="O613" s="929" t="s">
        <v>77</v>
      </c>
      <c r="P613" s="927">
        <f t="shared" si="51"/>
        <v>43538</v>
      </c>
      <c r="Q613" s="927">
        <f t="shared" si="52"/>
        <v>43538</v>
      </c>
      <c r="R613" s="1012" t="s">
        <v>4220</v>
      </c>
      <c r="S613" s="933" t="s">
        <v>2142</v>
      </c>
      <c r="T613" s="933"/>
      <c r="U613" s="926"/>
    </row>
    <row r="614" spans="1:21" ht="45" hidden="1">
      <c r="A614" s="926" t="s">
        <v>2476</v>
      </c>
      <c r="B614" s="927">
        <v>43538</v>
      </c>
      <c r="C614" s="926">
        <v>2</v>
      </c>
      <c r="D614" s="926">
        <v>11</v>
      </c>
      <c r="E614" s="926"/>
      <c r="F614" s="926"/>
      <c r="G614" s="1013" t="s">
        <v>2640</v>
      </c>
      <c r="H614" s="929" t="s">
        <v>2638</v>
      </c>
      <c r="I614" s="929" t="s">
        <v>2310</v>
      </c>
      <c r="J614" s="929"/>
      <c r="K614" s="929"/>
      <c r="L614" s="929"/>
      <c r="M614" s="1013" t="s">
        <v>2641</v>
      </c>
      <c r="N614" s="1013" t="s">
        <v>2538</v>
      </c>
      <c r="O614" s="929" t="s">
        <v>77</v>
      </c>
      <c r="P614" s="927">
        <f t="shared" si="51"/>
        <v>43538</v>
      </c>
      <c r="Q614" s="927">
        <f t="shared" si="52"/>
        <v>43538</v>
      </c>
      <c r="R614" s="1012" t="s">
        <v>4220</v>
      </c>
      <c r="S614" s="931"/>
      <c r="T614" s="931"/>
      <c r="U614" s="926"/>
    </row>
    <row r="615" spans="1:21" ht="45" hidden="1">
      <c r="A615" s="926" t="s">
        <v>2476</v>
      </c>
      <c r="B615" s="927">
        <v>43538</v>
      </c>
      <c r="C615" s="926">
        <v>2</v>
      </c>
      <c r="D615" s="926">
        <v>11</v>
      </c>
      <c r="E615" s="926"/>
      <c r="F615" s="926"/>
      <c r="G615" s="1013" t="s">
        <v>2642</v>
      </c>
      <c r="H615" s="929" t="s">
        <v>2643</v>
      </c>
      <c r="I615" s="929" t="s">
        <v>2310</v>
      </c>
      <c r="J615" s="929"/>
      <c r="K615" s="929"/>
      <c r="L615" s="929"/>
      <c r="M615" s="1013" t="s">
        <v>2488</v>
      </c>
      <c r="N615" s="1013" t="s">
        <v>2577</v>
      </c>
      <c r="O615" s="929" t="s">
        <v>77</v>
      </c>
      <c r="P615" s="927">
        <f t="shared" si="51"/>
        <v>43538</v>
      </c>
      <c r="Q615" s="927">
        <f t="shared" si="52"/>
        <v>43538</v>
      </c>
      <c r="R615" s="1012" t="s">
        <v>4220</v>
      </c>
      <c r="S615" s="931"/>
      <c r="T615" s="931"/>
      <c r="U615" s="926"/>
    </row>
    <row r="616" spans="1:21" hidden="1">
      <c r="A616" s="926" t="s">
        <v>2476</v>
      </c>
      <c r="B616" s="927">
        <v>43538</v>
      </c>
      <c r="C616" s="926">
        <v>2</v>
      </c>
      <c r="D616" s="926">
        <v>11</v>
      </c>
      <c r="E616" s="936" t="s">
        <v>1266</v>
      </c>
      <c r="F616" s="936"/>
      <c r="G616" s="1013" t="s">
        <v>2644</v>
      </c>
      <c r="H616" s="929"/>
      <c r="I616" s="929" t="s">
        <v>551</v>
      </c>
      <c r="J616" s="929"/>
      <c r="K616" s="929"/>
      <c r="L616" s="929"/>
      <c r="M616" s="1013" t="s">
        <v>2586</v>
      </c>
      <c r="N616" s="1013" t="s">
        <v>2524</v>
      </c>
      <c r="O616" s="929" t="s">
        <v>77</v>
      </c>
      <c r="P616" s="927">
        <f t="shared" si="51"/>
        <v>43538</v>
      </c>
      <c r="Q616" s="927">
        <f t="shared" ref="Q616:Q677" si="53">P616</f>
        <v>43538</v>
      </c>
      <c r="R616" s="1012" t="s">
        <v>4220</v>
      </c>
      <c r="S616" s="933" t="s">
        <v>2149</v>
      </c>
      <c r="T616" s="933"/>
      <c r="U616" s="926"/>
    </row>
    <row r="617" spans="1:21" ht="45" hidden="1">
      <c r="A617" s="926" t="s">
        <v>2476</v>
      </c>
      <c r="B617" s="927">
        <v>43538</v>
      </c>
      <c r="C617" s="926">
        <v>2</v>
      </c>
      <c r="D617" s="926">
        <v>11</v>
      </c>
      <c r="E617" s="934" t="s">
        <v>2645</v>
      </c>
      <c r="F617" s="934"/>
      <c r="G617" s="1013" t="s">
        <v>2646</v>
      </c>
      <c r="H617" s="929"/>
      <c r="I617" s="929" t="s">
        <v>551</v>
      </c>
      <c r="J617" s="929"/>
      <c r="K617" s="929"/>
      <c r="L617" s="929"/>
      <c r="M617" s="1013" t="s">
        <v>2647</v>
      </c>
      <c r="N617" s="1013" t="s">
        <v>2648</v>
      </c>
      <c r="O617" s="929" t="s">
        <v>77</v>
      </c>
      <c r="P617" s="927">
        <f t="shared" si="51"/>
        <v>43538</v>
      </c>
      <c r="Q617" s="927">
        <f t="shared" si="53"/>
        <v>43538</v>
      </c>
      <c r="R617" s="1012" t="s">
        <v>4220</v>
      </c>
      <c r="S617" s="931"/>
      <c r="T617" s="931"/>
      <c r="U617" s="926"/>
    </row>
    <row r="618" spans="1:21" ht="58.5" hidden="1" customHeight="1">
      <c r="A618" s="926" t="s">
        <v>2476</v>
      </c>
      <c r="B618" s="927">
        <v>43742</v>
      </c>
      <c r="C618" s="926">
        <v>4</v>
      </c>
      <c r="D618" s="926">
        <v>3</v>
      </c>
      <c r="E618" s="935" t="s">
        <v>1180</v>
      </c>
      <c r="F618" s="935"/>
      <c r="G618" s="1013" t="s">
        <v>2649</v>
      </c>
      <c r="H618" s="929"/>
      <c r="I618" s="929" t="s">
        <v>551</v>
      </c>
      <c r="J618" s="929"/>
      <c r="K618" s="929"/>
      <c r="L618" s="929"/>
      <c r="M618" s="1013"/>
      <c r="N618" s="1013" t="s">
        <v>2650</v>
      </c>
      <c r="O618" s="929" t="s">
        <v>166</v>
      </c>
      <c r="P618" s="927">
        <f t="shared" si="51"/>
        <v>43742</v>
      </c>
      <c r="Q618" s="927">
        <f t="shared" si="53"/>
        <v>43742</v>
      </c>
      <c r="R618" s="1012" t="s">
        <v>4220</v>
      </c>
      <c r="S618" s="926"/>
      <c r="T618" s="926"/>
      <c r="U618" s="926"/>
    </row>
    <row r="619" spans="1:21" ht="44.25" hidden="1" customHeight="1">
      <c r="A619" s="926" t="s">
        <v>2476</v>
      </c>
      <c r="B619" s="927">
        <v>43742</v>
      </c>
      <c r="C619" s="926">
        <v>4</v>
      </c>
      <c r="D619" s="926">
        <v>3</v>
      </c>
      <c r="E619" s="935" t="s">
        <v>1246</v>
      </c>
      <c r="F619" s="935"/>
      <c r="G619" s="1013" t="s">
        <v>2651</v>
      </c>
      <c r="H619" s="929"/>
      <c r="I619" s="929" t="s">
        <v>551</v>
      </c>
      <c r="J619" s="929"/>
      <c r="K619" s="929"/>
      <c r="L619" s="929"/>
      <c r="M619" s="1013" t="s">
        <v>2652</v>
      </c>
      <c r="N619" s="1013" t="s">
        <v>2480</v>
      </c>
      <c r="O619" s="929" t="s">
        <v>166</v>
      </c>
      <c r="P619" s="927">
        <f t="shared" si="51"/>
        <v>43742</v>
      </c>
      <c r="Q619" s="927">
        <f t="shared" si="53"/>
        <v>43742</v>
      </c>
      <c r="R619" s="1012" t="s">
        <v>4220</v>
      </c>
      <c r="S619" s="926"/>
      <c r="T619" s="926"/>
      <c r="U619" s="926"/>
    </row>
    <row r="620" spans="1:21" ht="38.25" hidden="1" customHeight="1">
      <c r="A620" s="926" t="s">
        <v>2476</v>
      </c>
      <c r="B620" s="927">
        <v>43742</v>
      </c>
      <c r="C620" s="926">
        <v>4</v>
      </c>
      <c r="D620" s="926">
        <v>3</v>
      </c>
      <c r="E620" s="935" t="s">
        <v>1281</v>
      </c>
      <c r="F620" s="935"/>
      <c r="G620" s="1013" t="s">
        <v>2653</v>
      </c>
      <c r="H620" s="929"/>
      <c r="I620" s="929" t="s">
        <v>551</v>
      </c>
      <c r="J620" s="929"/>
      <c r="K620" s="929"/>
      <c r="L620" s="929"/>
      <c r="M620" s="1013" t="s">
        <v>2654</v>
      </c>
      <c r="N620" s="1013" t="s">
        <v>2480</v>
      </c>
      <c r="O620" s="929" t="s">
        <v>166</v>
      </c>
      <c r="P620" s="927">
        <f t="shared" si="51"/>
        <v>43742</v>
      </c>
      <c r="Q620" s="927">
        <f t="shared" si="53"/>
        <v>43742</v>
      </c>
      <c r="R620" s="1012" t="s">
        <v>4220</v>
      </c>
      <c r="S620" s="926"/>
      <c r="T620" s="926"/>
      <c r="U620" s="926"/>
    </row>
    <row r="621" spans="1:21" ht="30.75" hidden="1" customHeight="1">
      <c r="A621" s="926" t="s">
        <v>2476</v>
      </c>
      <c r="B621" s="927">
        <v>43742</v>
      </c>
      <c r="C621" s="926">
        <v>4</v>
      </c>
      <c r="D621" s="926">
        <v>3</v>
      </c>
      <c r="E621" s="935" t="s">
        <v>1287</v>
      </c>
      <c r="F621" s="935"/>
      <c r="G621" s="1013" t="s">
        <v>2655</v>
      </c>
      <c r="H621" s="929"/>
      <c r="I621" s="929" t="s">
        <v>551</v>
      </c>
      <c r="J621" s="929"/>
      <c r="K621" s="929"/>
      <c r="L621" s="929"/>
      <c r="M621" s="1013" t="s">
        <v>2654</v>
      </c>
      <c r="N621" s="1013" t="s">
        <v>2480</v>
      </c>
      <c r="O621" s="929" t="s">
        <v>166</v>
      </c>
      <c r="P621" s="927">
        <f t="shared" si="51"/>
        <v>43742</v>
      </c>
      <c r="Q621" s="927">
        <f t="shared" si="53"/>
        <v>43742</v>
      </c>
      <c r="R621" s="1012" t="s">
        <v>4220</v>
      </c>
      <c r="S621" s="926"/>
      <c r="T621" s="926"/>
      <c r="U621" s="926"/>
    </row>
    <row r="622" spans="1:21" ht="25.5" hidden="1">
      <c r="A622" s="926" t="s">
        <v>2476</v>
      </c>
      <c r="B622" s="927">
        <v>43742</v>
      </c>
      <c r="C622" s="926">
        <v>4</v>
      </c>
      <c r="D622" s="926">
        <v>3</v>
      </c>
      <c r="E622" s="926"/>
      <c r="F622" s="926"/>
      <c r="G622" s="1013" t="s">
        <v>2656</v>
      </c>
      <c r="H622" s="929"/>
      <c r="I622" s="929" t="s">
        <v>2310</v>
      </c>
      <c r="J622" s="929"/>
      <c r="K622" s="929"/>
      <c r="L622" s="929"/>
      <c r="M622" s="1013" t="s">
        <v>2652</v>
      </c>
      <c r="N622" s="1013" t="s">
        <v>2480</v>
      </c>
      <c r="O622" s="929" t="s">
        <v>166</v>
      </c>
      <c r="P622" s="927">
        <f t="shared" si="51"/>
        <v>43742</v>
      </c>
      <c r="Q622" s="927">
        <f t="shared" si="53"/>
        <v>43742</v>
      </c>
      <c r="R622" s="1012" t="s">
        <v>4220</v>
      </c>
      <c r="S622" s="926"/>
      <c r="T622" s="926"/>
      <c r="U622" s="926"/>
    </row>
    <row r="623" spans="1:21" ht="25.5" hidden="1">
      <c r="A623" s="926" t="s">
        <v>2476</v>
      </c>
      <c r="B623" s="927">
        <v>43742</v>
      </c>
      <c r="C623" s="926">
        <v>4</v>
      </c>
      <c r="D623" s="926">
        <v>3</v>
      </c>
      <c r="E623" s="926"/>
      <c r="F623" s="926"/>
      <c r="G623" s="1013" t="s">
        <v>2657</v>
      </c>
      <c r="H623" s="929"/>
      <c r="I623" s="929" t="s">
        <v>2310</v>
      </c>
      <c r="J623" s="929"/>
      <c r="K623" s="929"/>
      <c r="L623" s="929"/>
      <c r="M623" s="1013" t="s">
        <v>2658</v>
      </c>
      <c r="N623" s="1013" t="s">
        <v>2480</v>
      </c>
      <c r="O623" s="929" t="s">
        <v>166</v>
      </c>
      <c r="P623" s="927">
        <f t="shared" si="51"/>
        <v>43742</v>
      </c>
      <c r="Q623" s="927">
        <f t="shared" si="53"/>
        <v>43742</v>
      </c>
      <c r="R623" s="1012" t="s">
        <v>4220</v>
      </c>
      <c r="S623" s="926"/>
      <c r="T623" s="926"/>
      <c r="U623" s="926"/>
    </row>
    <row r="624" spans="1:21" ht="25.5" hidden="1">
      <c r="A624" s="926" t="s">
        <v>2476</v>
      </c>
      <c r="B624" s="927">
        <v>43742</v>
      </c>
      <c r="C624" s="926">
        <v>4</v>
      </c>
      <c r="D624" s="926">
        <v>3</v>
      </c>
      <c r="E624" s="926"/>
      <c r="F624" s="926"/>
      <c r="G624" s="1013" t="s">
        <v>2659</v>
      </c>
      <c r="H624" s="929"/>
      <c r="I624" s="929" t="s">
        <v>2310</v>
      </c>
      <c r="J624" s="929"/>
      <c r="K624" s="929"/>
      <c r="L624" s="929"/>
      <c r="M624" s="1013" t="s">
        <v>2660</v>
      </c>
      <c r="N624" s="1013" t="s">
        <v>2480</v>
      </c>
      <c r="O624" s="929" t="s">
        <v>166</v>
      </c>
      <c r="P624" s="927">
        <f t="shared" si="51"/>
        <v>43742</v>
      </c>
      <c r="Q624" s="927">
        <f t="shared" si="53"/>
        <v>43742</v>
      </c>
      <c r="R624" s="1012" t="s">
        <v>4220</v>
      </c>
      <c r="S624" s="926"/>
      <c r="T624" s="926"/>
      <c r="U624" s="926"/>
    </row>
    <row r="625" spans="1:21" ht="25.5" hidden="1">
      <c r="A625" s="926" t="s">
        <v>2476</v>
      </c>
      <c r="B625" s="927">
        <v>43742</v>
      </c>
      <c r="C625" s="926">
        <v>4</v>
      </c>
      <c r="D625" s="926">
        <v>3</v>
      </c>
      <c r="E625" s="926"/>
      <c r="F625" s="926"/>
      <c r="G625" s="1013" t="s">
        <v>2661</v>
      </c>
      <c r="H625" s="929"/>
      <c r="I625" s="929" t="s">
        <v>2310</v>
      </c>
      <c r="J625" s="929"/>
      <c r="K625" s="929"/>
      <c r="L625" s="929"/>
      <c r="M625" s="1013" t="s">
        <v>2496</v>
      </c>
      <c r="N625" s="1013" t="s">
        <v>2480</v>
      </c>
      <c r="O625" s="929" t="s">
        <v>166</v>
      </c>
      <c r="P625" s="927">
        <f t="shared" si="51"/>
        <v>43742</v>
      </c>
      <c r="Q625" s="927">
        <f t="shared" si="53"/>
        <v>43742</v>
      </c>
      <c r="R625" s="1012" t="s">
        <v>4220</v>
      </c>
      <c r="S625" s="926"/>
      <c r="T625" s="926"/>
      <c r="U625" s="926"/>
    </row>
    <row r="626" spans="1:21" ht="25.5" hidden="1">
      <c r="A626" s="926" t="s">
        <v>2476</v>
      </c>
      <c r="B626" s="927">
        <v>43742</v>
      </c>
      <c r="C626" s="926">
        <v>4</v>
      </c>
      <c r="D626" s="926">
        <v>3</v>
      </c>
      <c r="E626" s="935" t="s">
        <v>1180</v>
      </c>
      <c r="F626" s="935"/>
      <c r="G626" s="1013" t="s">
        <v>2662</v>
      </c>
      <c r="H626" s="929"/>
      <c r="I626" s="929" t="s">
        <v>551</v>
      </c>
      <c r="J626" s="929"/>
      <c r="K626" s="929"/>
      <c r="L626" s="929"/>
      <c r="M626" s="1013"/>
      <c r="N626" s="1013" t="s">
        <v>2663</v>
      </c>
      <c r="O626" s="929" t="s">
        <v>166</v>
      </c>
      <c r="P626" s="927">
        <f t="shared" si="51"/>
        <v>43742</v>
      </c>
      <c r="Q626" s="927">
        <f t="shared" si="53"/>
        <v>43742</v>
      </c>
      <c r="R626" s="1012" t="s">
        <v>4220</v>
      </c>
      <c r="S626" s="926"/>
      <c r="T626" s="926"/>
      <c r="U626" s="926"/>
    </row>
    <row r="627" spans="1:21" ht="25.5" hidden="1">
      <c r="A627" s="926" t="s">
        <v>2476</v>
      </c>
      <c r="B627" s="927">
        <v>43742</v>
      </c>
      <c r="C627" s="926">
        <v>4</v>
      </c>
      <c r="D627" s="926">
        <v>3</v>
      </c>
      <c r="E627" s="935" t="s">
        <v>1274</v>
      </c>
      <c r="F627" s="935"/>
      <c r="G627" s="1013" t="s">
        <v>2664</v>
      </c>
      <c r="H627" s="929"/>
      <c r="I627" s="929" t="s">
        <v>551</v>
      </c>
      <c r="J627" s="929"/>
      <c r="K627" s="929"/>
      <c r="L627" s="929"/>
      <c r="M627" s="1013" t="s">
        <v>2665</v>
      </c>
      <c r="N627" s="1013" t="s">
        <v>2506</v>
      </c>
      <c r="O627" s="929" t="s">
        <v>166</v>
      </c>
      <c r="P627" s="927">
        <f t="shared" si="51"/>
        <v>43742</v>
      </c>
      <c r="Q627" s="927">
        <f t="shared" si="53"/>
        <v>43742</v>
      </c>
      <c r="R627" s="1012" t="s">
        <v>4220</v>
      </c>
      <c r="S627" s="926"/>
      <c r="T627" s="926"/>
      <c r="U627" s="926"/>
    </row>
    <row r="628" spans="1:21" ht="25.5" hidden="1">
      <c r="A628" s="926" t="s">
        <v>2476</v>
      </c>
      <c r="B628" s="927">
        <v>43742</v>
      </c>
      <c r="C628" s="926">
        <v>4</v>
      </c>
      <c r="D628" s="926">
        <v>4</v>
      </c>
      <c r="E628" s="926"/>
      <c r="F628" s="926"/>
      <c r="G628" s="1013" t="s">
        <v>2666</v>
      </c>
      <c r="H628" s="929"/>
      <c r="I628" s="929" t="s">
        <v>2310</v>
      </c>
      <c r="J628" s="929"/>
      <c r="K628" s="929"/>
      <c r="L628" s="929"/>
      <c r="M628" s="1013" t="s">
        <v>2665</v>
      </c>
      <c r="N628" s="1013" t="s">
        <v>2506</v>
      </c>
      <c r="O628" s="929" t="s">
        <v>166</v>
      </c>
      <c r="P628" s="927">
        <f t="shared" si="51"/>
        <v>43742</v>
      </c>
      <c r="Q628" s="927">
        <f t="shared" si="53"/>
        <v>43742</v>
      </c>
      <c r="R628" s="1012" t="s">
        <v>4220</v>
      </c>
      <c r="S628" s="926"/>
      <c r="T628" s="926"/>
      <c r="U628" s="926"/>
    </row>
    <row r="629" spans="1:21" ht="25.5" hidden="1">
      <c r="A629" s="926" t="s">
        <v>2476</v>
      </c>
      <c r="B629" s="927">
        <v>43742</v>
      </c>
      <c r="C629" s="926">
        <v>4</v>
      </c>
      <c r="D629" s="926">
        <v>4</v>
      </c>
      <c r="E629" s="926"/>
      <c r="F629" s="926"/>
      <c r="G629" s="1013" t="s">
        <v>2667</v>
      </c>
      <c r="H629" s="929"/>
      <c r="I629" s="929" t="s">
        <v>2310</v>
      </c>
      <c r="J629" s="929"/>
      <c r="K629" s="929"/>
      <c r="L629" s="929"/>
      <c r="M629" s="1013"/>
      <c r="N629" s="1013" t="s">
        <v>2668</v>
      </c>
      <c r="O629" s="929" t="s">
        <v>166</v>
      </c>
      <c r="P629" s="927">
        <f t="shared" si="51"/>
        <v>43742</v>
      </c>
      <c r="Q629" s="927">
        <f t="shared" si="53"/>
        <v>43742</v>
      </c>
      <c r="R629" s="1012" t="s">
        <v>4220</v>
      </c>
      <c r="S629" s="926"/>
      <c r="T629" s="926"/>
      <c r="U629" s="926"/>
    </row>
    <row r="630" spans="1:21" ht="25.5" hidden="1">
      <c r="A630" s="926" t="s">
        <v>2476</v>
      </c>
      <c r="B630" s="927">
        <v>43742</v>
      </c>
      <c r="C630" s="926">
        <v>4</v>
      </c>
      <c r="D630" s="926">
        <v>4</v>
      </c>
      <c r="E630" s="926"/>
      <c r="F630" s="926"/>
      <c r="G630" s="1013" t="s">
        <v>2669</v>
      </c>
      <c r="H630" s="929"/>
      <c r="I630" s="929" t="s">
        <v>2310</v>
      </c>
      <c r="J630" s="929"/>
      <c r="K630" s="929"/>
      <c r="L630" s="929"/>
      <c r="M630" s="1013"/>
      <c r="N630" s="1013" t="s">
        <v>1976</v>
      </c>
      <c r="O630" s="929" t="s">
        <v>166</v>
      </c>
      <c r="P630" s="927">
        <f t="shared" si="51"/>
        <v>43742</v>
      </c>
      <c r="Q630" s="927">
        <f t="shared" si="53"/>
        <v>43742</v>
      </c>
      <c r="R630" s="1012" t="s">
        <v>4220</v>
      </c>
      <c r="S630" s="926"/>
      <c r="T630" s="926"/>
      <c r="U630" s="926"/>
    </row>
    <row r="631" spans="1:21" ht="25.5" hidden="1">
      <c r="A631" s="926" t="s">
        <v>2476</v>
      </c>
      <c r="B631" s="927">
        <v>43742</v>
      </c>
      <c r="C631" s="926">
        <v>4</v>
      </c>
      <c r="D631" s="926">
        <v>4</v>
      </c>
      <c r="E631" s="935" t="s">
        <v>1290</v>
      </c>
      <c r="F631" s="935"/>
      <c r="G631" s="1013" t="s">
        <v>2655</v>
      </c>
      <c r="H631" s="929"/>
      <c r="I631" s="929" t="s">
        <v>551</v>
      </c>
      <c r="J631" s="929"/>
      <c r="K631" s="929"/>
      <c r="L631" s="929"/>
      <c r="M631" s="1013"/>
      <c r="N631" s="1013" t="s">
        <v>1976</v>
      </c>
      <c r="O631" s="929" t="s">
        <v>166</v>
      </c>
      <c r="P631" s="927">
        <f t="shared" si="51"/>
        <v>43742</v>
      </c>
      <c r="Q631" s="927">
        <f t="shared" si="53"/>
        <v>43742</v>
      </c>
      <c r="R631" s="1012" t="s">
        <v>4220</v>
      </c>
      <c r="S631" s="926"/>
      <c r="T631" s="926"/>
      <c r="U631" s="926"/>
    </row>
    <row r="632" spans="1:21" ht="25.5" hidden="1">
      <c r="A632" s="926" t="s">
        <v>2476</v>
      </c>
      <c r="B632" s="927">
        <v>43742</v>
      </c>
      <c r="C632" s="926">
        <v>4</v>
      </c>
      <c r="D632" s="926">
        <v>4</v>
      </c>
      <c r="E632" s="935" t="s">
        <v>1167</v>
      </c>
      <c r="F632" s="935"/>
      <c r="G632" s="1013" t="s">
        <v>2670</v>
      </c>
      <c r="H632" s="929"/>
      <c r="I632" s="929" t="s">
        <v>551</v>
      </c>
      <c r="J632" s="929"/>
      <c r="K632" s="929"/>
      <c r="L632" s="929"/>
      <c r="M632" s="1013" t="s">
        <v>2671</v>
      </c>
      <c r="N632" s="1013" t="s">
        <v>2524</v>
      </c>
      <c r="O632" s="929" t="s">
        <v>166</v>
      </c>
      <c r="P632" s="927">
        <f t="shared" si="51"/>
        <v>43742</v>
      </c>
      <c r="Q632" s="927">
        <f t="shared" si="53"/>
        <v>43742</v>
      </c>
      <c r="R632" s="1012" t="s">
        <v>4220</v>
      </c>
      <c r="S632" s="926"/>
      <c r="T632" s="926"/>
      <c r="U632" s="926"/>
    </row>
    <row r="633" spans="1:21" ht="45" hidden="1" customHeight="1">
      <c r="A633" s="926" t="s">
        <v>2476</v>
      </c>
      <c r="B633" s="927">
        <v>43742</v>
      </c>
      <c r="C633" s="926">
        <v>4</v>
      </c>
      <c r="D633" s="926">
        <v>4</v>
      </c>
      <c r="E633" s="935" t="s">
        <v>1170</v>
      </c>
      <c r="F633" s="935"/>
      <c r="G633" s="1013" t="s">
        <v>2672</v>
      </c>
      <c r="H633" s="929"/>
      <c r="I633" s="929" t="s">
        <v>551</v>
      </c>
      <c r="J633" s="929"/>
      <c r="K633" s="929"/>
      <c r="L633" s="929"/>
      <c r="M633" s="1013" t="s">
        <v>2671</v>
      </c>
      <c r="N633" s="1013" t="s">
        <v>2524</v>
      </c>
      <c r="O633" s="929" t="s">
        <v>166</v>
      </c>
      <c r="P633" s="927">
        <f t="shared" si="51"/>
        <v>43742</v>
      </c>
      <c r="Q633" s="927">
        <f t="shared" si="53"/>
        <v>43742</v>
      </c>
      <c r="R633" s="1012" t="s">
        <v>4220</v>
      </c>
      <c r="S633" s="926"/>
      <c r="T633" s="926"/>
      <c r="U633" s="926"/>
    </row>
    <row r="634" spans="1:21" ht="40.5" hidden="1" customHeight="1">
      <c r="A634" s="926" t="s">
        <v>2476</v>
      </c>
      <c r="B634" s="927">
        <v>43742</v>
      </c>
      <c r="C634" s="926">
        <v>4</v>
      </c>
      <c r="D634" s="926">
        <v>4</v>
      </c>
      <c r="E634" s="935" t="s">
        <v>1172</v>
      </c>
      <c r="F634" s="935"/>
      <c r="G634" s="1013" t="s">
        <v>2673</v>
      </c>
      <c r="H634" s="929"/>
      <c r="I634" s="929" t="s">
        <v>551</v>
      </c>
      <c r="J634" s="929"/>
      <c r="K634" s="929"/>
      <c r="L634" s="929"/>
      <c r="M634" s="1013" t="s">
        <v>2671</v>
      </c>
      <c r="N634" s="1013" t="s">
        <v>2524</v>
      </c>
      <c r="O634" s="929" t="s">
        <v>166</v>
      </c>
      <c r="P634" s="927">
        <f t="shared" si="51"/>
        <v>43742</v>
      </c>
      <c r="Q634" s="927">
        <f t="shared" si="53"/>
        <v>43742</v>
      </c>
      <c r="R634" s="1012" t="s">
        <v>4220</v>
      </c>
      <c r="S634" s="926"/>
      <c r="T634" s="926"/>
      <c r="U634" s="926"/>
    </row>
    <row r="635" spans="1:21" ht="25.5" hidden="1" customHeight="1">
      <c r="A635" s="926" t="s">
        <v>2476</v>
      </c>
      <c r="B635" s="927">
        <v>43742</v>
      </c>
      <c r="C635" s="926">
        <v>4</v>
      </c>
      <c r="D635" s="926">
        <v>4</v>
      </c>
      <c r="E635" s="926"/>
      <c r="F635" s="926"/>
      <c r="G635" s="1013" t="s">
        <v>2674</v>
      </c>
      <c r="H635" s="929"/>
      <c r="I635" s="929" t="s">
        <v>2310</v>
      </c>
      <c r="J635" s="929"/>
      <c r="K635" s="929"/>
      <c r="L635" s="929"/>
      <c r="M635" s="1013" t="s">
        <v>2675</v>
      </c>
      <c r="N635" s="1013" t="s">
        <v>2524</v>
      </c>
      <c r="O635" s="929" t="s">
        <v>166</v>
      </c>
      <c r="P635" s="927">
        <f t="shared" si="51"/>
        <v>43742</v>
      </c>
      <c r="Q635" s="927">
        <f t="shared" si="53"/>
        <v>43742</v>
      </c>
      <c r="R635" s="1012" t="s">
        <v>4220</v>
      </c>
      <c r="S635" s="926"/>
      <c r="T635" s="926"/>
      <c r="U635" s="926"/>
    </row>
    <row r="636" spans="1:21" ht="23.25" hidden="1" customHeight="1">
      <c r="A636" s="926" t="s">
        <v>2476</v>
      </c>
      <c r="B636" s="927">
        <v>43742</v>
      </c>
      <c r="C636" s="926">
        <v>4</v>
      </c>
      <c r="D636" s="926">
        <v>4</v>
      </c>
      <c r="E636" s="935" t="s">
        <v>1186</v>
      </c>
      <c r="F636" s="935"/>
      <c r="G636" s="1013" t="s">
        <v>2676</v>
      </c>
      <c r="H636" s="929"/>
      <c r="I636" s="929" t="s">
        <v>551</v>
      </c>
      <c r="J636" s="929"/>
      <c r="K636" s="929"/>
      <c r="L636" s="929"/>
      <c r="M636" s="1013" t="s">
        <v>2677</v>
      </c>
      <c r="N636" s="1013" t="s">
        <v>2524</v>
      </c>
      <c r="O636" s="929" t="s">
        <v>166</v>
      </c>
      <c r="P636" s="927">
        <f t="shared" si="51"/>
        <v>43742</v>
      </c>
      <c r="Q636" s="927">
        <f t="shared" si="53"/>
        <v>43742</v>
      </c>
      <c r="R636" s="1012" t="s">
        <v>4220</v>
      </c>
      <c r="S636" s="926"/>
      <c r="T636" s="926"/>
      <c r="U636" s="926"/>
    </row>
    <row r="637" spans="1:21" ht="45.75" hidden="1" customHeight="1">
      <c r="A637" s="926" t="s">
        <v>2476</v>
      </c>
      <c r="B637" s="927">
        <v>43742</v>
      </c>
      <c r="C637" s="926">
        <v>4</v>
      </c>
      <c r="D637" s="926">
        <v>4</v>
      </c>
      <c r="E637" s="934" t="s">
        <v>2678</v>
      </c>
      <c r="F637" s="934"/>
      <c r="G637" s="1013" t="s">
        <v>2679</v>
      </c>
      <c r="H637" s="929"/>
      <c r="I637" s="929" t="s">
        <v>551</v>
      </c>
      <c r="J637" s="929"/>
      <c r="K637" s="929"/>
      <c r="L637" s="929"/>
      <c r="M637" s="1013" t="s">
        <v>2479</v>
      </c>
      <c r="N637" s="1013" t="s">
        <v>2480</v>
      </c>
      <c r="O637" s="929" t="s">
        <v>2680</v>
      </c>
      <c r="P637" s="927">
        <f t="shared" si="51"/>
        <v>43742</v>
      </c>
      <c r="Q637" s="927">
        <f t="shared" si="53"/>
        <v>43742</v>
      </c>
      <c r="R637" s="1012" t="s">
        <v>4220</v>
      </c>
      <c r="S637" s="926"/>
      <c r="T637" s="926"/>
      <c r="U637" s="926"/>
    </row>
    <row r="638" spans="1:21" ht="30" hidden="1">
      <c r="A638" s="926" t="s">
        <v>2476</v>
      </c>
      <c r="B638" s="927">
        <v>43742</v>
      </c>
      <c r="C638" s="926">
        <v>4</v>
      </c>
      <c r="D638" s="926">
        <v>4</v>
      </c>
      <c r="E638" s="935" t="s">
        <v>1206</v>
      </c>
      <c r="F638" s="935"/>
      <c r="G638" s="1013" t="s">
        <v>2681</v>
      </c>
      <c r="H638" s="929"/>
      <c r="I638" s="929" t="s">
        <v>551</v>
      </c>
      <c r="J638" s="929"/>
      <c r="K638" s="929"/>
      <c r="L638" s="929"/>
      <c r="M638" s="1013" t="s">
        <v>2682</v>
      </c>
      <c r="N638" s="1013" t="s">
        <v>2524</v>
      </c>
      <c r="O638" s="929" t="s">
        <v>2683</v>
      </c>
      <c r="P638" s="927">
        <f t="shared" si="51"/>
        <v>43742</v>
      </c>
      <c r="Q638" s="927">
        <f t="shared" si="53"/>
        <v>43742</v>
      </c>
      <c r="R638" s="1012" t="s">
        <v>4220</v>
      </c>
      <c r="S638" s="926"/>
      <c r="T638" s="926"/>
      <c r="U638" s="926"/>
    </row>
    <row r="639" spans="1:21" ht="51" hidden="1">
      <c r="A639" s="926" t="s">
        <v>2476</v>
      </c>
      <c r="B639" s="927">
        <v>43742</v>
      </c>
      <c r="C639" s="926">
        <v>4</v>
      </c>
      <c r="D639" s="926">
        <v>4</v>
      </c>
      <c r="E639" s="935" t="s">
        <v>1217</v>
      </c>
      <c r="F639" s="935"/>
      <c r="G639" s="1013" t="s">
        <v>2681</v>
      </c>
      <c r="H639" s="929"/>
      <c r="I639" s="929" t="s">
        <v>551</v>
      </c>
      <c r="J639" s="929"/>
      <c r="K639" s="929"/>
      <c r="L639" s="929"/>
      <c r="M639" s="1013" t="s">
        <v>2684</v>
      </c>
      <c r="N639" s="1013" t="s">
        <v>2577</v>
      </c>
      <c r="O639" s="929" t="s">
        <v>2683</v>
      </c>
      <c r="P639" s="927">
        <f t="shared" si="51"/>
        <v>43742</v>
      </c>
      <c r="Q639" s="927">
        <f t="shared" si="53"/>
        <v>43742</v>
      </c>
      <c r="R639" s="1012" t="s">
        <v>4220</v>
      </c>
      <c r="S639" s="926"/>
      <c r="T639" s="926"/>
      <c r="U639" s="926"/>
    </row>
    <row r="640" spans="1:21" ht="25.5" hidden="1">
      <c r="A640" s="926" t="s">
        <v>2476</v>
      </c>
      <c r="B640" s="927">
        <v>43742</v>
      </c>
      <c r="C640" s="926">
        <v>4</v>
      </c>
      <c r="D640" s="926">
        <v>4</v>
      </c>
      <c r="E640" s="926"/>
      <c r="F640" s="926"/>
      <c r="G640" s="1013" t="s">
        <v>2685</v>
      </c>
      <c r="H640" s="929"/>
      <c r="I640" s="929" t="s">
        <v>2310</v>
      </c>
      <c r="J640" s="929"/>
      <c r="K640" s="929"/>
      <c r="L640" s="929"/>
      <c r="M640" s="1013"/>
      <c r="N640" s="1013" t="s">
        <v>2614</v>
      </c>
      <c r="O640" s="929" t="s">
        <v>1155</v>
      </c>
      <c r="P640" s="927">
        <f t="shared" si="51"/>
        <v>43742</v>
      </c>
      <c r="Q640" s="927">
        <f t="shared" si="53"/>
        <v>43742</v>
      </c>
      <c r="R640" s="1012" t="s">
        <v>4220</v>
      </c>
      <c r="S640" s="926"/>
      <c r="T640" s="926"/>
      <c r="U640" s="926"/>
    </row>
    <row r="641" spans="1:21" ht="25.5" hidden="1">
      <c r="A641" s="926" t="s">
        <v>2476</v>
      </c>
      <c r="B641" s="927">
        <v>43742</v>
      </c>
      <c r="C641" s="926">
        <v>4</v>
      </c>
      <c r="D641" s="926">
        <v>4</v>
      </c>
      <c r="E641" s="935" t="s">
        <v>1257</v>
      </c>
      <c r="F641" s="935"/>
      <c r="G641" s="1013" t="s">
        <v>2686</v>
      </c>
      <c r="H641" s="929"/>
      <c r="I641" s="929" t="s">
        <v>551</v>
      </c>
      <c r="J641" s="929"/>
      <c r="K641" s="929"/>
      <c r="L641" s="929"/>
      <c r="M641" s="1013" t="s">
        <v>2687</v>
      </c>
      <c r="N641" s="1013" t="s">
        <v>2480</v>
      </c>
      <c r="O641" s="929" t="s">
        <v>77</v>
      </c>
      <c r="P641" s="927">
        <f t="shared" si="51"/>
        <v>43742</v>
      </c>
      <c r="Q641" s="927">
        <f t="shared" si="53"/>
        <v>43742</v>
      </c>
      <c r="R641" s="1012" t="s">
        <v>4220</v>
      </c>
      <c r="S641" s="926"/>
      <c r="T641" s="926"/>
      <c r="U641" s="926"/>
    </row>
    <row r="642" spans="1:21" ht="25.5" hidden="1">
      <c r="A642" s="926" t="s">
        <v>2476</v>
      </c>
      <c r="B642" s="927">
        <v>43742</v>
      </c>
      <c r="C642" s="926">
        <v>4</v>
      </c>
      <c r="D642" s="926">
        <v>4</v>
      </c>
      <c r="E642" s="935" t="s">
        <v>1263</v>
      </c>
      <c r="F642" s="935"/>
      <c r="G642" s="1013" t="s">
        <v>2688</v>
      </c>
      <c r="H642" s="929"/>
      <c r="I642" s="929" t="s">
        <v>551</v>
      </c>
      <c r="J642" s="929"/>
      <c r="K642" s="929"/>
      <c r="L642" s="929"/>
      <c r="M642" s="1013" t="s">
        <v>2687</v>
      </c>
      <c r="N642" s="1013" t="s">
        <v>2480</v>
      </c>
      <c r="O642" s="929" t="s">
        <v>77</v>
      </c>
      <c r="P642" s="927">
        <f t="shared" ref="P642:P673" si="54">B642</f>
        <v>43742</v>
      </c>
      <c r="Q642" s="927">
        <f t="shared" si="53"/>
        <v>43742</v>
      </c>
      <c r="R642" s="1012" t="s">
        <v>4220</v>
      </c>
      <c r="S642" s="926"/>
      <c r="T642" s="926"/>
      <c r="U642" s="926"/>
    </row>
    <row r="643" spans="1:21" ht="25.5" hidden="1">
      <c r="A643" s="926" t="s">
        <v>2476</v>
      </c>
      <c r="B643" s="927">
        <v>43742</v>
      </c>
      <c r="C643" s="926">
        <v>4</v>
      </c>
      <c r="D643" s="926">
        <v>4</v>
      </c>
      <c r="E643" s="935" t="s">
        <v>1322</v>
      </c>
      <c r="F643" s="935"/>
      <c r="G643" s="1013" t="s">
        <v>2689</v>
      </c>
      <c r="H643" s="929"/>
      <c r="I643" s="929" t="s">
        <v>551</v>
      </c>
      <c r="J643" s="929"/>
      <c r="K643" s="929"/>
      <c r="L643" s="929"/>
      <c r="M643" s="1013" t="s">
        <v>2690</v>
      </c>
      <c r="N643" s="1013" t="s">
        <v>2480</v>
      </c>
      <c r="O643" s="929" t="s">
        <v>77</v>
      </c>
      <c r="P643" s="927">
        <f t="shared" si="54"/>
        <v>43742</v>
      </c>
      <c r="Q643" s="927">
        <f t="shared" si="53"/>
        <v>43742</v>
      </c>
      <c r="R643" s="1012" t="s">
        <v>4220</v>
      </c>
      <c r="S643" s="926"/>
      <c r="T643" s="926"/>
      <c r="U643" s="926"/>
    </row>
    <row r="644" spans="1:21" ht="25.5" hidden="1">
      <c r="A644" s="926" t="s">
        <v>2476</v>
      </c>
      <c r="B644" s="927">
        <v>43742</v>
      </c>
      <c r="C644" s="926">
        <v>4</v>
      </c>
      <c r="D644" s="926">
        <v>4</v>
      </c>
      <c r="E644" s="935" t="s">
        <v>1317</v>
      </c>
      <c r="F644" s="935"/>
      <c r="G644" s="1013" t="s">
        <v>2691</v>
      </c>
      <c r="H644" s="929"/>
      <c r="I644" s="929" t="s">
        <v>551</v>
      </c>
      <c r="J644" s="929"/>
      <c r="K644" s="929"/>
      <c r="L644" s="929"/>
      <c r="M644" s="1013" t="s">
        <v>2690</v>
      </c>
      <c r="N644" s="1013" t="s">
        <v>2480</v>
      </c>
      <c r="O644" s="929" t="s">
        <v>77</v>
      </c>
      <c r="P644" s="927">
        <f t="shared" si="54"/>
        <v>43742</v>
      </c>
      <c r="Q644" s="927">
        <f t="shared" si="53"/>
        <v>43742</v>
      </c>
      <c r="R644" s="1012" t="s">
        <v>4220</v>
      </c>
      <c r="S644" s="926"/>
      <c r="T644" s="926"/>
      <c r="U644" s="926"/>
    </row>
    <row r="645" spans="1:21" ht="25.5" hidden="1">
      <c r="A645" s="926" t="s">
        <v>2476</v>
      </c>
      <c r="B645" s="927">
        <v>43742</v>
      </c>
      <c r="C645" s="926">
        <v>4</v>
      </c>
      <c r="D645" s="926">
        <v>4</v>
      </c>
      <c r="E645" s="935" t="s">
        <v>1361</v>
      </c>
      <c r="F645" s="935"/>
      <c r="G645" s="1013" t="s">
        <v>2692</v>
      </c>
      <c r="H645" s="929"/>
      <c r="I645" s="929" t="s">
        <v>551</v>
      </c>
      <c r="J645" s="929"/>
      <c r="K645" s="929"/>
      <c r="L645" s="929"/>
      <c r="M645" s="1013" t="s">
        <v>2647</v>
      </c>
      <c r="N645" s="1013" t="s">
        <v>2480</v>
      </c>
      <c r="O645" s="929" t="s">
        <v>77</v>
      </c>
      <c r="P645" s="927">
        <f t="shared" si="54"/>
        <v>43742</v>
      </c>
      <c r="Q645" s="927">
        <f t="shared" si="53"/>
        <v>43742</v>
      </c>
      <c r="R645" s="1012" t="s">
        <v>4220</v>
      </c>
      <c r="S645" s="926"/>
      <c r="T645" s="926"/>
      <c r="U645" s="926"/>
    </row>
    <row r="646" spans="1:21" hidden="1">
      <c r="A646" s="926" t="s">
        <v>2476</v>
      </c>
      <c r="B646" s="927">
        <v>43742</v>
      </c>
      <c r="C646" s="926">
        <v>4</v>
      </c>
      <c r="D646" s="926">
        <v>4</v>
      </c>
      <c r="E646" s="935" t="s">
        <v>1350</v>
      </c>
      <c r="F646" s="935"/>
      <c r="G646" s="1013" t="s">
        <v>2693</v>
      </c>
      <c r="H646" s="929"/>
      <c r="I646" s="929" t="s">
        <v>551</v>
      </c>
      <c r="J646" s="929"/>
      <c r="K646" s="929"/>
      <c r="L646" s="929"/>
      <c r="M646" s="1013" t="s">
        <v>2647</v>
      </c>
      <c r="N646" s="1013" t="s">
        <v>2480</v>
      </c>
      <c r="O646" s="929" t="s">
        <v>77</v>
      </c>
      <c r="P646" s="927">
        <f t="shared" si="54"/>
        <v>43742</v>
      </c>
      <c r="Q646" s="927">
        <f t="shared" si="53"/>
        <v>43742</v>
      </c>
      <c r="R646" s="1012" t="s">
        <v>4220</v>
      </c>
      <c r="S646" s="926"/>
      <c r="T646" s="926"/>
      <c r="U646" s="926"/>
    </row>
    <row r="647" spans="1:21" ht="25.5" hidden="1">
      <c r="A647" s="926" t="s">
        <v>2476</v>
      </c>
      <c r="B647" s="927">
        <v>43742</v>
      </c>
      <c r="C647" s="926">
        <v>4</v>
      </c>
      <c r="D647" s="926">
        <v>4</v>
      </c>
      <c r="E647" s="935" t="s">
        <v>1395</v>
      </c>
      <c r="F647" s="935"/>
      <c r="G647" s="1013" t="s">
        <v>2694</v>
      </c>
      <c r="H647" s="929"/>
      <c r="I647" s="929" t="s">
        <v>551</v>
      </c>
      <c r="J647" s="929"/>
      <c r="K647" s="929"/>
      <c r="L647" s="929"/>
      <c r="M647" s="1013" t="s">
        <v>2542</v>
      </c>
      <c r="N647" s="1013" t="s">
        <v>2480</v>
      </c>
      <c r="O647" s="929" t="s">
        <v>77</v>
      </c>
      <c r="P647" s="927">
        <f t="shared" si="54"/>
        <v>43742</v>
      </c>
      <c r="Q647" s="927">
        <f t="shared" si="53"/>
        <v>43742</v>
      </c>
      <c r="R647" s="1012" t="s">
        <v>4220</v>
      </c>
      <c r="S647" s="926"/>
      <c r="T647" s="926"/>
      <c r="U647" s="926"/>
    </row>
    <row r="648" spans="1:21" ht="22.5" hidden="1" customHeight="1">
      <c r="A648" s="926" t="s">
        <v>2476</v>
      </c>
      <c r="B648" s="927">
        <v>43742</v>
      </c>
      <c r="C648" s="926">
        <v>4</v>
      </c>
      <c r="D648" s="926">
        <v>4</v>
      </c>
      <c r="E648" s="935" t="s">
        <v>1356</v>
      </c>
      <c r="F648" s="935"/>
      <c r="G648" s="1013" t="s">
        <v>2695</v>
      </c>
      <c r="H648" s="929"/>
      <c r="I648" s="929" t="s">
        <v>551</v>
      </c>
      <c r="J648" s="929"/>
      <c r="K648" s="929"/>
      <c r="L648" s="929"/>
      <c r="M648" s="1013" t="s">
        <v>2647</v>
      </c>
      <c r="N648" s="1013" t="s">
        <v>2480</v>
      </c>
      <c r="O648" s="929" t="s">
        <v>77</v>
      </c>
      <c r="P648" s="927">
        <f t="shared" si="54"/>
        <v>43742</v>
      </c>
      <c r="Q648" s="927">
        <f t="shared" si="53"/>
        <v>43742</v>
      </c>
      <c r="R648" s="1012" t="s">
        <v>4220</v>
      </c>
      <c r="S648" s="926"/>
      <c r="T648" s="926"/>
      <c r="U648" s="926"/>
    </row>
    <row r="649" spans="1:21" ht="28.5" hidden="1" customHeight="1">
      <c r="A649" s="926" t="s">
        <v>2476</v>
      </c>
      <c r="B649" s="927">
        <v>43742</v>
      </c>
      <c r="C649" s="926">
        <v>4</v>
      </c>
      <c r="D649" s="926">
        <v>4</v>
      </c>
      <c r="E649" s="935" t="s">
        <v>1350</v>
      </c>
      <c r="F649" s="935"/>
      <c r="G649" s="1013" t="s">
        <v>2696</v>
      </c>
      <c r="H649" s="929"/>
      <c r="I649" s="929" t="s">
        <v>551</v>
      </c>
      <c r="J649" s="929"/>
      <c r="K649" s="929"/>
      <c r="L649" s="929"/>
      <c r="M649" s="1013" t="s">
        <v>2647</v>
      </c>
      <c r="N649" s="1013" t="s">
        <v>2480</v>
      </c>
      <c r="O649" s="929" t="s">
        <v>77</v>
      </c>
      <c r="P649" s="927">
        <f t="shared" si="54"/>
        <v>43742</v>
      </c>
      <c r="Q649" s="927">
        <f t="shared" si="53"/>
        <v>43742</v>
      </c>
      <c r="R649" s="1012" t="s">
        <v>4220</v>
      </c>
      <c r="S649" s="926"/>
      <c r="T649" s="926"/>
      <c r="U649" s="926"/>
    </row>
    <row r="650" spans="1:21" ht="15" hidden="1" customHeight="1">
      <c r="A650" s="926" t="s">
        <v>2476</v>
      </c>
      <c r="B650" s="927">
        <v>43742</v>
      </c>
      <c r="C650" s="926">
        <v>4</v>
      </c>
      <c r="D650" s="926">
        <v>4</v>
      </c>
      <c r="E650" s="935" t="s">
        <v>1371</v>
      </c>
      <c r="F650" s="935"/>
      <c r="G650" s="1013" t="s">
        <v>2695</v>
      </c>
      <c r="H650" s="929"/>
      <c r="I650" s="929" t="s">
        <v>551</v>
      </c>
      <c r="J650" s="929"/>
      <c r="K650" s="929"/>
      <c r="L650" s="929"/>
      <c r="M650" s="1013" t="s">
        <v>2697</v>
      </c>
      <c r="N650" s="1013" t="s">
        <v>2480</v>
      </c>
      <c r="O650" s="929" t="s">
        <v>77</v>
      </c>
      <c r="P650" s="927">
        <f t="shared" si="54"/>
        <v>43742</v>
      </c>
      <c r="Q650" s="927">
        <f t="shared" si="53"/>
        <v>43742</v>
      </c>
      <c r="R650" s="1012" t="s">
        <v>4220</v>
      </c>
      <c r="S650" s="926"/>
      <c r="T650" s="926"/>
      <c r="U650" s="926"/>
    </row>
    <row r="651" spans="1:21" hidden="1">
      <c r="A651" s="926" t="s">
        <v>2476</v>
      </c>
      <c r="B651" s="927">
        <v>43742</v>
      </c>
      <c r="C651" s="926">
        <v>4</v>
      </c>
      <c r="D651" s="926">
        <v>4</v>
      </c>
      <c r="E651" s="935" t="s">
        <v>1366</v>
      </c>
      <c r="F651" s="935"/>
      <c r="G651" s="1013" t="s">
        <v>2698</v>
      </c>
      <c r="H651" s="929"/>
      <c r="I651" s="929" t="s">
        <v>551</v>
      </c>
      <c r="J651" s="929"/>
      <c r="K651" s="929"/>
      <c r="L651" s="929"/>
      <c r="M651" s="1013" t="s">
        <v>2697</v>
      </c>
      <c r="N651" s="1013" t="s">
        <v>2480</v>
      </c>
      <c r="O651" s="929" t="s">
        <v>77</v>
      </c>
      <c r="P651" s="927">
        <f t="shared" si="54"/>
        <v>43742</v>
      </c>
      <c r="Q651" s="927">
        <f t="shared" si="53"/>
        <v>43742</v>
      </c>
      <c r="R651" s="1012" t="s">
        <v>4220</v>
      </c>
      <c r="S651" s="926"/>
      <c r="T651" s="926"/>
      <c r="U651" s="926"/>
    </row>
    <row r="652" spans="1:21" ht="27.75" hidden="1" customHeight="1">
      <c r="A652" s="926" t="s">
        <v>2476</v>
      </c>
      <c r="B652" s="927">
        <v>43742</v>
      </c>
      <c r="C652" s="926">
        <v>4</v>
      </c>
      <c r="D652" s="926">
        <v>4</v>
      </c>
      <c r="E652" s="935" t="s">
        <v>1377</v>
      </c>
      <c r="F652" s="935"/>
      <c r="G652" s="1013" t="s">
        <v>2699</v>
      </c>
      <c r="H652" s="929"/>
      <c r="I652" s="929" t="s">
        <v>551</v>
      </c>
      <c r="J652" s="929"/>
      <c r="K652" s="929"/>
      <c r="L652" s="929"/>
      <c r="M652" s="1013" t="s">
        <v>2697</v>
      </c>
      <c r="N652" s="1013" t="s">
        <v>2480</v>
      </c>
      <c r="O652" s="929" t="s">
        <v>77</v>
      </c>
      <c r="P652" s="927">
        <f t="shared" si="54"/>
        <v>43742</v>
      </c>
      <c r="Q652" s="927">
        <f t="shared" si="53"/>
        <v>43742</v>
      </c>
      <c r="R652" s="1012" t="s">
        <v>4220</v>
      </c>
      <c r="S652" s="926"/>
      <c r="T652" s="926"/>
      <c r="U652" s="926"/>
    </row>
    <row r="653" spans="1:21" ht="25.5" hidden="1">
      <c r="A653" s="926" t="s">
        <v>2476</v>
      </c>
      <c r="B653" s="927">
        <v>43742</v>
      </c>
      <c r="C653" s="926">
        <v>4</v>
      </c>
      <c r="D653" s="926">
        <v>4</v>
      </c>
      <c r="E653" s="935" t="s">
        <v>1189</v>
      </c>
      <c r="F653" s="935"/>
      <c r="G653" s="1013" t="s">
        <v>2689</v>
      </c>
      <c r="H653" s="929"/>
      <c r="I653" s="929" t="s">
        <v>551</v>
      </c>
      <c r="J653" s="929"/>
      <c r="K653" s="929"/>
      <c r="L653" s="929"/>
      <c r="M653" s="1013" t="s">
        <v>2619</v>
      </c>
      <c r="N653" s="1013" t="s">
        <v>2480</v>
      </c>
      <c r="O653" s="929" t="s">
        <v>77</v>
      </c>
      <c r="P653" s="927">
        <f t="shared" si="54"/>
        <v>43742</v>
      </c>
      <c r="Q653" s="927">
        <f t="shared" si="53"/>
        <v>43742</v>
      </c>
      <c r="R653" s="1012" t="s">
        <v>4220</v>
      </c>
      <c r="S653" s="926"/>
      <c r="T653" s="926"/>
      <c r="U653" s="926"/>
    </row>
    <row r="654" spans="1:21" ht="25.5" hidden="1">
      <c r="A654" s="926" t="s">
        <v>2476</v>
      </c>
      <c r="B654" s="927">
        <v>43742</v>
      </c>
      <c r="C654" s="926">
        <v>4</v>
      </c>
      <c r="D654" s="926">
        <v>5</v>
      </c>
      <c r="E654" s="935" t="s">
        <v>1192</v>
      </c>
      <c r="F654" s="935"/>
      <c r="G654" s="1013" t="s">
        <v>2700</v>
      </c>
      <c r="H654" s="929"/>
      <c r="I654" s="929" t="s">
        <v>551</v>
      </c>
      <c r="J654" s="929"/>
      <c r="K654" s="929"/>
      <c r="L654" s="929"/>
      <c r="M654" s="1013" t="s">
        <v>2619</v>
      </c>
      <c r="N654" s="1013" t="s">
        <v>2480</v>
      </c>
      <c r="O654" s="929" t="s">
        <v>77</v>
      </c>
      <c r="P654" s="927">
        <f t="shared" si="54"/>
        <v>43742</v>
      </c>
      <c r="Q654" s="927">
        <f t="shared" si="53"/>
        <v>43742</v>
      </c>
      <c r="R654" s="1012" t="s">
        <v>4220</v>
      </c>
      <c r="S654" s="926"/>
      <c r="T654" s="926"/>
      <c r="U654" s="926"/>
    </row>
    <row r="655" spans="1:21" hidden="1">
      <c r="A655" s="926" t="s">
        <v>2476</v>
      </c>
      <c r="B655" s="927">
        <v>43742</v>
      </c>
      <c r="C655" s="926">
        <v>4</v>
      </c>
      <c r="D655" s="926">
        <v>5</v>
      </c>
      <c r="E655" s="926"/>
      <c r="F655" s="926"/>
      <c r="G655" s="1013" t="s">
        <v>2701</v>
      </c>
      <c r="H655" s="929"/>
      <c r="I655" s="929" t="s">
        <v>2310</v>
      </c>
      <c r="J655" s="929"/>
      <c r="K655" s="929"/>
      <c r="L655" s="929"/>
      <c r="M655" s="1013" t="s">
        <v>2619</v>
      </c>
      <c r="N655" s="1013" t="s">
        <v>2480</v>
      </c>
      <c r="O655" s="929" t="s">
        <v>77</v>
      </c>
      <c r="P655" s="927">
        <f t="shared" si="54"/>
        <v>43742</v>
      </c>
      <c r="Q655" s="927">
        <f t="shared" si="53"/>
        <v>43742</v>
      </c>
      <c r="R655" s="1012" t="s">
        <v>4220</v>
      </c>
      <c r="S655" s="926"/>
      <c r="T655" s="926"/>
      <c r="U655" s="926"/>
    </row>
    <row r="656" spans="1:21" hidden="1">
      <c r="A656" s="926" t="s">
        <v>2476</v>
      </c>
      <c r="B656" s="927">
        <v>43742</v>
      </c>
      <c r="C656" s="926">
        <v>4</v>
      </c>
      <c r="D656" s="926">
        <v>5</v>
      </c>
      <c r="E656" s="935" t="s">
        <v>1297</v>
      </c>
      <c r="F656" s="935"/>
      <c r="G656" s="1013" t="s">
        <v>2702</v>
      </c>
      <c r="H656" s="929"/>
      <c r="I656" s="929" t="s">
        <v>551</v>
      </c>
      <c r="J656" s="929"/>
      <c r="K656" s="929"/>
      <c r="L656" s="929"/>
      <c r="M656" s="1013" t="s">
        <v>2703</v>
      </c>
      <c r="N656" s="1013" t="s">
        <v>2538</v>
      </c>
      <c r="O656" s="929" t="s">
        <v>77</v>
      </c>
      <c r="P656" s="927">
        <f t="shared" si="54"/>
        <v>43742</v>
      </c>
      <c r="Q656" s="927">
        <f t="shared" si="53"/>
        <v>43742</v>
      </c>
      <c r="R656" s="1012" t="s">
        <v>4220</v>
      </c>
      <c r="S656" s="926"/>
      <c r="T656" s="926"/>
      <c r="U656" s="926"/>
    </row>
    <row r="657" spans="1:21" hidden="1">
      <c r="A657" s="926" t="s">
        <v>2476</v>
      </c>
      <c r="B657" s="927">
        <v>43742</v>
      </c>
      <c r="C657" s="926">
        <v>4</v>
      </c>
      <c r="D657" s="926">
        <v>5</v>
      </c>
      <c r="E657" s="935" t="s">
        <v>1253</v>
      </c>
      <c r="F657" s="935"/>
      <c r="G657" s="1013" t="s">
        <v>2704</v>
      </c>
      <c r="H657" s="929"/>
      <c r="I657" s="929" t="s">
        <v>551</v>
      </c>
      <c r="J657" s="929"/>
      <c r="K657" s="929"/>
      <c r="L657" s="929"/>
      <c r="M657" s="1013" t="s">
        <v>2570</v>
      </c>
      <c r="N657" s="1013" t="s">
        <v>2538</v>
      </c>
      <c r="O657" s="929" t="s">
        <v>77</v>
      </c>
      <c r="P657" s="927">
        <f t="shared" si="54"/>
        <v>43742</v>
      </c>
      <c r="Q657" s="927">
        <f t="shared" si="53"/>
        <v>43742</v>
      </c>
      <c r="R657" s="1012" t="s">
        <v>4220</v>
      </c>
      <c r="S657" s="926"/>
      <c r="T657" s="926"/>
      <c r="U657" s="926"/>
    </row>
    <row r="658" spans="1:21" hidden="1">
      <c r="A658" s="926" t="s">
        <v>2476</v>
      </c>
      <c r="B658" s="927">
        <v>43742</v>
      </c>
      <c r="C658" s="926">
        <v>4</v>
      </c>
      <c r="D658" s="926">
        <v>5</v>
      </c>
      <c r="E658" s="935" t="s">
        <v>1300</v>
      </c>
      <c r="F658" s="935"/>
      <c r="G658" s="1013" t="s">
        <v>2705</v>
      </c>
      <c r="H658" s="929"/>
      <c r="I658" s="929" t="s">
        <v>551</v>
      </c>
      <c r="J658" s="929"/>
      <c r="K658" s="929"/>
      <c r="L658" s="929"/>
      <c r="M658" s="1013" t="s">
        <v>2570</v>
      </c>
      <c r="N658" s="1013" t="s">
        <v>2538</v>
      </c>
      <c r="O658" s="929" t="s">
        <v>77</v>
      </c>
      <c r="P658" s="927">
        <f t="shared" si="54"/>
        <v>43742</v>
      </c>
      <c r="Q658" s="927">
        <f t="shared" si="53"/>
        <v>43742</v>
      </c>
      <c r="R658" s="1012" t="s">
        <v>4220</v>
      </c>
      <c r="S658" s="926"/>
      <c r="T658" s="926"/>
      <c r="U658" s="926"/>
    </row>
    <row r="659" spans="1:21" hidden="1">
      <c r="A659" s="926" t="s">
        <v>2476</v>
      </c>
      <c r="B659" s="927">
        <v>43742</v>
      </c>
      <c r="C659" s="926">
        <v>4</v>
      </c>
      <c r="D659" s="926">
        <v>5</v>
      </c>
      <c r="E659" s="935" t="s">
        <v>1384</v>
      </c>
      <c r="F659" s="935"/>
      <c r="G659" s="1013" t="s">
        <v>2704</v>
      </c>
      <c r="H659" s="929"/>
      <c r="I659" s="929" t="s">
        <v>551</v>
      </c>
      <c r="J659" s="929"/>
      <c r="K659" s="929"/>
      <c r="L659" s="929"/>
      <c r="M659" s="1013" t="s">
        <v>2488</v>
      </c>
      <c r="N659" s="1013" t="s">
        <v>2538</v>
      </c>
      <c r="O659" s="929" t="s">
        <v>77</v>
      </c>
      <c r="P659" s="927">
        <f t="shared" si="54"/>
        <v>43742</v>
      </c>
      <c r="Q659" s="927">
        <f t="shared" si="53"/>
        <v>43742</v>
      </c>
      <c r="R659" s="1012" t="s">
        <v>4220</v>
      </c>
      <c r="S659" s="926"/>
      <c r="T659" s="926"/>
      <c r="U659" s="926"/>
    </row>
    <row r="660" spans="1:21" ht="25.5" hidden="1">
      <c r="A660" s="926" t="s">
        <v>2476</v>
      </c>
      <c r="B660" s="927">
        <v>43742</v>
      </c>
      <c r="C660" s="926">
        <v>4</v>
      </c>
      <c r="D660" s="926">
        <v>5</v>
      </c>
      <c r="E660" s="935" t="s">
        <v>1242</v>
      </c>
      <c r="F660" s="935"/>
      <c r="G660" s="1013" t="s">
        <v>2688</v>
      </c>
      <c r="H660" s="929"/>
      <c r="I660" s="929" t="s">
        <v>551</v>
      </c>
      <c r="J660" s="929"/>
      <c r="K660" s="929"/>
      <c r="L660" s="929"/>
      <c r="M660" s="1013" t="s">
        <v>2528</v>
      </c>
      <c r="N660" s="1013" t="s">
        <v>2524</v>
      </c>
      <c r="O660" s="929" t="s">
        <v>77</v>
      </c>
      <c r="P660" s="927">
        <f t="shared" si="54"/>
        <v>43742</v>
      </c>
      <c r="Q660" s="927">
        <f t="shared" si="53"/>
        <v>43742</v>
      </c>
      <c r="R660" s="1012" t="s">
        <v>4220</v>
      </c>
      <c r="S660" s="926"/>
      <c r="T660" s="926"/>
      <c r="U660" s="926"/>
    </row>
    <row r="661" spans="1:21" ht="25.5" hidden="1">
      <c r="A661" s="926" t="s">
        <v>2476</v>
      </c>
      <c r="B661" s="927">
        <v>43742</v>
      </c>
      <c r="C661" s="926">
        <v>4</v>
      </c>
      <c r="D661" s="926">
        <v>5</v>
      </c>
      <c r="E661" s="935" t="s">
        <v>1242</v>
      </c>
      <c r="F661" s="935"/>
      <c r="G661" s="1013" t="s">
        <v>2706</v>
      </c>
      <c r="H661" s="929"/>
      <c r="I661" s="929" t="s">
        <v>551</v>
      </c>
      <c r="J661" s="929"/>
      <c r="K661" s="929"/>
      <c r="L661" s="929"/>
      <c r="M661" s="1013" t="s">
        <v>2528</v>
      </c>
      <c r="N661" s="1013" t="s">
        <v>2524</v>
      </c>
      <c r="O661" s="929" t="s">
        <v>77</v>
      </c>
      <c r="P661" s="927">
        <f t="shared" si="54"/>
        <v>43742</v>
      </c>
      <c r="Q661" s="927">
        <f t="shared" si="53"/>
        <v>43742</v>
      </c>
      <c r="R661" s="1012" t="s">
        <v>4220</v>
      </c>
      <c r="S661" s="926"/>
      <c r="T661" s="926"/>
      <c r="U661" s="926"/>
    </row>
    <row r="662" spans="1:21" hidden="1">
      <c r="A662" s="926" t="s">
        <v>2476</v>
      </c>
      <c r="B662" s="927">
        <v>43742</v>
      </c>
      <c r="C662" s="926">
        <v>4</v>
      </c>
      <c r="D662" s="926">
        <v>5</v>
      </c>
      <c r="E662" s="935" t="s">
        <v>1242</v>
      </c>
      <c r="F662" s="935"/>
      <c r="G662" s="1013" t="s">
        <v>2707</v>
      </c>
      <c r="H662" s="929"/>
      <c r="I662" s="929" t="s">
        <v>551</v>
      </c>
      <c r="J662" s="929"/>
      <c r="K662" s="929"/>
      <c r="L662" s="929"/>
      <c r="M662" s="1013" t="s">
        <v>2528</v>
      </c>
      <c r="N662" s="1013" t="s">
        <v>2524</v>
      </c>
      <c r="O662" s="929" t="s">
        <v>77</v>
      </c>
      <c r="P662" s="927">
        <f t="shared" si="54"/>
        <v>43742</v>
      </c>
      <c r="Q662" s="927">
        <f t="shared" si="53"/>
        <v>43742</v>
      </c>
      <c r="R662" s="1012" t="s">
        <v>4220</v>
      </c>
      <c r="S662" s="926"/>
      <c r="T662" s="926"/>
      <c r="U662" s="926"/>
    </row>
    <row r="663" spans="1:21" ht="25.5" hidden="1">
      <c r="A663" s="926" t="s">
        <v>2476</v>
      </c>
      <c r="B663" s="927">
        <v>43742</v>
      </c>
      <c r="C663" s="926">
        <v>4</v>
      </c>
      <c r="D663" s="926">
        <v>5</v>
      </c>
      <c r="E663" s="935" t="s">
        <v>1266</v>
      </c>
      <c r="F663" s="935"/>
      <c r="G663" s="1013" t="s">
        <v>2708</v>
      </c>
      <c r="H663" s="929"/>
      <c r="I663" s="929" t="s">
        <v>551</v>
      </c>
      <c r="J663" s="929"/>
      <c r="K663" s="929"/>
      <c r="L663" s="929"/>
      <c r="M663" s="1013" t="s">
        <v>2586</v>
      </c>
      <c r="N663" s="1013" t="s">
        <v>2524</v>
      </c>
      <c r="O663" s="929" t="s">
        <v>77</v>
      </c>
      <c r="P663" s="927">
        <f t="shared" si="54"/>
        <v>43742</v>
      </c>
      <c r="Q663" s="927">
        <f t="shared" si="53"/>
        <v>43742</v>
      </c>
      <c r="R663" s="1012" t="s">
        <v>4220</v>
      </c>
      <c r="S663" s="926"/>
      <c r="T663" s="926"/>
      <c r="U663" s="926"/>
    </row>
    <row r="664" spans="1:21" hidden="1">
      <c r="A664" s="926" t="s">
        <v>2476</v>
      </c>
      <c r="B664" s="927">
        <v>43742</v>
      </c>
      <c r="C664" s="926">
        <v>4</v>
      </c>
      <c r="D664" s="926">
        <v>5</v>
      </c>
      <c r="E664" s="935" t="s">
        <v>1249</v>
      </c>
      <c r="F664" s="935"/>
      <c r="G664" s="1013" t="s">
        <v>2709</v>
      </c>
      <c r="H664" s="929"/>
      <c r="I664" s="929" t="s">
        <v>551</v>
      </c>
      <c r="J664" s="929"/>
      <c r="K664" s="929"/>
      <c r="L664" s="929"/>
      <c r="M664" s="1013" t="s">
        <v>2703</v>
      </c>
      <c r="N664" s="1013" t="s">
        <v>2524</v>
      </c>
      <c r="O664" s="929" t="s">
        <v>77</v>
      </c>
      <c r="P664" s="927">
        <f t="shared" si="54"/>
        <v>43742</v>
      </c>
      <c r="Q664" s="927">
        <f t="shared" si="53"/>
        <v>43742</v>
      </c>
      <c r="R664" s="1012" t="s">
        <v>4220</v>
      </c>
      <c r="S664" s="926"/>
      <c r="T664" s="926"/>
      <c r="U664" s="926"/>
    </row>
    <row r="665" spans="1:21" ht="36.75" hidden="1" customHeight="1">
      <c r="A665" s="926" t="s">
        <v>2476</v>
      </c>
      <c r="B665" s="927">
        <v>43742</v>
      </c>
      <c r="C665" s="926">
        <v>4</v>
      </c>
      <c r="D665" s="926">
        <v>5</v>
      </c>
      <c r="E665" s="935" t="s">
        <v>1249</v>
      </c>
      <c r="F665" s="935"/>
      <c r="G665" s="1013" t="s">
        <v>2710</v>
      </c>
      <c r="H665" s="929"/>
      <c r="I665" s="929" t="s">
        <v>551</v>
      </c>
      <c r="J665" s="929"/>
      <c r="K665" s="929"/>
      <c r="L665" s="929"/>
      <c r="M665" s="1013" t="s">
        <v>2703</v>
      </c>
      <c r="N665" s="1013" t="s">
        <v>2524</v>
      </c>
      <c r="O665" s="929" t="s">
        <v>77</v>
      </c>
      <c r="P665" s="927">
        <f t="shared" si="54"/>
        <v>43742</v>
      </c>
      <c r="Q665" s="927">
        <f t="shared" si="53"/>
        <v>43742</v>
      </c>
      <c r="R665" s="1012" t="s">
        <v>4220</v>
      </c>
      <c r="S665" s="926"/>
      <c r="T665" s="926"/>
      <c r="U665" s="926"/>
    </row>
    <row r="666" spans="1:21" ht="27.75" hidden="1" customHeight="1">
      <c r="A666" s="926" t="s">
        <v>2476</v>
      </c>
      <c r="B666" s="927">
        <v>43742</v>
      </c>
      <c r="C666" s="926">
        <v>4</v>
      </c>
      <c r="D666" s="926">
        <v>5</v>
      </c>
      <c r="E666" s="935" t="s">
        <v>1304</v>
      </c>
      <c r="F666" s="935"/>
      <c r="G666" s="1013" t="s">
        <v>2711</v>
      </c>
      <c r="H666" s="929"/>
      <c r="I666" s="929" t="s">
        <v>551</v>
      </c>
      <c r="J666" s="929"/>
      <c r="K666" s="929"/>
      <c r="L666" s="929"/>
      <c r="M666" s="1013" t="s">
        <v>2712</v>
      </c>
      <c r="N666" s="1013" t="s">
        <v>2524</v>
      </c>
      <c r="O666" s="929" t="s">
        <v>77</v>
      </c>
      <c r="P666" s="927">
        <f t="shared" si="54"/>
        <v>43742</v>
      </c>
      <c r="Q666" s="927">
        <f t="shared" si="53"/>
        <v>43742</v>
      </c>
      <c r="R666" s="1012" t="s">
        <v>4220</v>
      </c>
      <c r="S666" s="926"/>
      <c r="T666" s="926"/>
      <c r="U666" s="926"/>
    </row>
    <row r="667" spans="1:21" ht="33" hidden="1" customHeight="1">
      <c r="A667" s="926" t="s">
        <v>2476</v>
      </c>
      <c r="B667" s="927">
        <v>43742</v>
      </c>
      <c r="C667" s="926">
        <v>4</v>
      </c>
      <c r="D667" s="926">
        <v>5</v>
      </c>
      <c r="E667" s="935" t="s">
        <v>1310</v>
      </c>
      <c r="F667" s="935"/>
      <c r="G667" s="1013" t="s">
        <v>2713</v>
      </c>
      <c r="H667" s="929"/>
      <c r="I667" s="929" t="s">
        <v>551</v>
      </c>
      <c r="J667" s="929"/>
      <c r="K667" s="929"/>
      <c r="L667" s="929"/>
      <c r="M667" s="1013" t="s">
        <v>2712</v>
      </c>
      <c r="N667" s="1013" t="s">
        <v>2524</v>
      </c>
      <c r="O667" s="929" t="s">
        <v>77</v>
      </c>
      <c r="P667" s="927">
        <f t="shared" si="54"/>
        <v>43742</v>
      </c>
      <c r="Q667" s="927">
        <f t="shared" si="53"/>
        <v>43742</v>
      </c>
      <c r="R667" s="1012" t="s">
        <v>4220</v>
      </c>
      <c r="S667" s="926"/>
      <c r="T667" s="926"/>
      <c r="U667" s="926"/>
    </row>
    <row r="668" spans="1:21" hidden="1">
      <c r="A668" s="926" t="s">
        <v>2476</v>
      </c>
      <c r="B668" s="927">
        <v>43742</v>
      </c>
      <c r="C668" s="926">
        <v>4</v>
      </c>
      <c r="D668" s="926">
        <v>5</v>
      </c>
      <c r="E668" s="935" t="s">
        <v>1325</v>
      </c>
      <c r="F668" s="935"/>
      <c r="G668" s="1013" t="s">
        <v>2711</v>
      </c>
      <c r="H668" s="929"/>
      <c r="I668" s="929" t="s">
        <v>551</v>
      </c>
      <c r="J668" s="929"/>
      <c r="K668" s="929"/>
      <c r="L668" s="929"/>
      <c r="M668" s="1013" t="s">
        <v>2714</v>
      </c>
      <c r="N668" s="1013" t="s">
        <v>2524</v>
      </c>
      <c r="O668" s="929" t="s">
        <v>77</v>
      </c>
      <c r="P668" s="927">
        <f t="shared" si="54"/>
        <v>43742</v>
      </c>
      <c r="Q668" s="927">
        <f t="shared" si="53"/>
        <v>43742</v>
      </c>
      <c r="R668" s="1012" t="s">
        <v>4220</v>
      </c>
      <c r="S668" s="926"/>
      <c r="T668" s="926"/>
      <c r="U668" s="926"/>
    </row>
    <row r="669" spans="1:21" ht="27.75" hidden="1" customHeight="1">
      <c r="A669" s="926" t="s">
        <v>2476</v>
      </c>
      <c r="B669" s="927">
        <v>43742</v>
      </c>
      <c r="C669" s="926">
        <v>4</v>
      </c>
      <c r="D669" s="926">
        <v>5</v>
      </c>
      <c r="E669" s="935" t="s">
        <v>1325</v>
      </c>
      <c r="F669" s="935"/>
      <c r="G669" s="1013" t="s">
        <v>2715</v>
      </c>
      <c r="H669" s="929"/>
      <c r="I669" s="929" t="s">
        <v>551</v>
      </c>
      <c r="J669" s="929"/>
      <c r="K669" s="929"/>
      <c r="L669" s="929"/>
      <c r="M669" s="1013" t="s">
        <v>2714</v>
      </c>
      <c r="N669" s="1013" t="s">
        <v>2524</v>
      </c>
      <c r="O669" s="929" t="s">
        <v>77</v>
      </c>
      <c r="P669" s="927">
        <f t="shared" si="54"/>
        <v>43742</v>
      </c>
      <c r="Q669" s="927">
        <f t="shared" si="53"/>
        <v>43742</v>
      </c>
      <c r="R669" s="1012" t="s">
        <v>4220</v>
      </c>
      <c r="S669" s="926"/>
      <c r="T669" s="926"/>
      <c r="U669" s="926"/>
    </row>
    <row r="670" spans="1:21" hidden="1">
      <c r="A670" s="926" t="s">
        <v>2476</v>
      </c>
      <c r="B670" s="927">
        <v>43742</v>
      </c>
      <c r="C670" s="926">
        <v>4</v>
      </c>
      <c r="D670" s="926">
        <v>5</v>
      </c>
      <c r="E670" s="935" t="s">
        <v>1330</v>
      </c>
      <c r="F670" s="935"/>
      <c r="G670" s="1013" t="s">
        <v>2716</v>
      </c>
      <c r="H670" s="929"/>
      <c r="I670" s="929" t="s">
        <v>551</v>
      </c>
      <c r="J670" s="929"/>
      <c r="K670" s="929"/>
      <c r="L670" s="929"/>
      <c r="M670" s="1013" t="s">
        <v>2717</v>
      </c>
      <c r="N670" s="1013" t="s">
        <v>2524</v>
      </c>
      <c r="O670" s="929" t="s">
        <v>77</v>
      </c>
      <c r="P670" s="927">
        <f t="shared" si="54"/>
        <v>43742</v>
      </c>
      <c r="Q670" s="927">
        <f t="shared" si="53"/>
        <v>43742</v>
      </c>
      <c r="R670" s="1012" t="s">
        <v>4220</v>
      </c>
      <c r="S670" s="926"/>
      <c r="T670" s="926"/>
      <c r="U670" s="926"/>
    </row>
    <row r="671" spans="1:21" ht="27.75" hidden="1" customHeight="1">
      <c r="A671" s="926" t="s">
        <v>2476</v>
      </c>
      <c r="B671" s="927">
        <v>43742</v>
      </c>
      <c r="C671" s="926">
        <v>4</v>
      </c>
      <c r="D671" s="926">
        <v>5</v>
      </c>
      <c r="E671" s="935" t="s">
        <v>1333</v>
      </c>
      <c r="F671" s="935"/>
      <c r="G671" s="1013" t="s">
        <v>2718</v>
      </c>
      <c r="H671" s="929"/>
      <c r="I671" s="929" t="s">
        <v>551</v>
      </c>
      <c r="J671" s="929"/>
      <c r="K671" s="929"/>
      <c r="L671" s="929"/>
      <c r="M671" s="1013" t="s">
        <v>2717</v>
      </c>
      <c r="N671" s="1013" t="s">
        <v>2524</v>
      </c>
      <c r="O671" s="929" t="s">
        <v>77</v>
      </c>
      <c r="P671" s="927">
        <f t="shared" si="54"/>
        <v>43742</v>
      </c>
      <c r="Q671" s="927">
        <f t="shared" si="53"/>
        <v>43742</v>
      </c>
      <c r="R671" s="1012" t="s">
        <v>4220</v>
      </c>
      <c r="S671" s="926"/>
      <c r="T671" s="926"/>
      <c r="U671" s="926"/>
    </row>
    <row r="672" spans="1:21" ht="43.5" hidden="1" customHeight="1">
      <c r="A672" s="926" t="s">
        <v>2476</v>
      </c>
      <c r="B672" s="927">
        <v>43742</v>
      </c>
      <c r="C672" s="926">
        <v>4</v>
      </c>
      <c r="D672" s="926">
        <v>5</v>
      </c>
      <c r="E672" s="935" t="s">
        <v>1202</v>
      </c>
      <c r="F672" s="935"/>
      <c r="G672" s="1013" t="s">
        <v>2689</v>
      </c>
      <c r="H672" s="929"/>
      <c r="I672" s="929" t="s">
        <v>551</v>
      </c>
      <c r="J672" s="929"/>
      <c r="K672" s="929"/>
      <c r="L672" s="929"/>
      <c r="M672" s="1013" t="s">
        <v>2636</v>
      </c>
      <c r="N672" s="1013" t="s">
        <v>2524</v>
      </c>
      <c r="O672" s="929" t="s">
        <v>77</v>
      </c>
      <c r="P672" s="927">
        <f t="shared" si="54"/>
        <v>43742</v>
      </c>
      <c r="Q672" s="927">
        <f t="shared" si="53"/>
        <v>43742</v>
      </c>
      <c r="R672" s="1012" t="s">
        <v>4220</v>
      </c>
      <c r="S672" s="926"/>
      <c r="T672" s="926"/>
      <c r="U672" s="926"/>
    </row>
    <row r="673" spans="1:21" ht="54" hidden="1" customHeight="1">
      <c r="A673" s="926" t="s">
        <v>2476</v>
      </c>
      <c r="B673" s="927">
        <v>43742</v>
      </c>
      <c r="C673" s="926">
        <v>4</v>
      </c>
      <c r="D673" s="926">
        <v>5</v>
      </c>
      <c r="E673" s="935" t="s">
        <v>1199</v>
      </c>
      <c r="F673" s="935"/>
      <c r="G673" s="1013" t="s">
        <v>2719</v>
      </c>
      <c r="H673" s="929"/>
      <c r="I673" s="929" t="s">
        <v>551</v>
      </c>
      <c r="J673" s="929"/>
      <c r="K673" s="929"/>
      <c r="L673" s="929"/>
      <c r="M673" s="1013" t="s">
        <v>2636</v>
      </c>
      <c r="N673" s="1013" t="s">
        <v>2524</v>
      </c>
      <c r="O673" s="929" t="s">
        <v>77</v>
      </c>
      <c r="P673" s="927">
        <f t="shared" si="54"/>
        <v>43742</v>
      </c>
      <c r="Q673" s="927">
        <f t="shared" si="53"/>
        <v>43742</v>
      </c>
      <c r="R673" s="1012" t="s">
        <v>4220</v>
      </c>
      <c r="S673" s="926"/>
      <c r="T673" s="926"/>
      <c r="U673" s="926"/>
    </row>
    <row r="674" spans="1:21" ht="42.75" hidden="1" customHeight="1">
      <c r="A674" s="926" t="s">
        <v>2476</v>
      </c>
      <c r="B674" s="927">
        <v>43742</v>
      </c>
      <c r="C674" s="926">
        <v>4</v>
      </c>
      <c r="D674" s="926">
        <v>5</v>
      </c>
      <c r="E674" s="935" t="s">
        <v>1196</v>
      </c>
      <c r="F674" s="935"/>
      <c r="G674" s="1013" t="s">
        <v>2720</v>
      </c>
      <c r="H674" s="929"/>
      <c r="I674" s="929" t="s">
        <v>551</v>
      </c>
      <c r="J674" s="929"/>
      <c r="K674" s="929"/>
      <c r="L674" s="929"/>
      <c r="M674" s="1013" t="s">
        <v>2636</v>
      </c>
      <c r="N674" s="1013" t="s">
        <v>2524</v>
      </c>
      <c r="O674" s="929" t="s">
        <v>77</v>
      </c>
      <c r="P674" s="927">
        <f t="shared" ref="P674:P703" si="55">B674</f>
        <v>43742</v>
      </c>
      <c r="Q674" s="927">
        <f t="shared" si="53"/>
        <v>43742</v>
      </c>
      <c r="R674" s="1012" t="s">
        <v>4220</v>
      </c>
      <c r="S674" s="926"/>
      <c r="T674" s="926"/>
      <c r="U674" s="926"/>
    </row>
    <row r="675" spans="1:21" ht="40.5" hidden="1" customHeight="1">
      <c r="A675" s="926" t="s">
        <v>2476</v>
      </c>
      <c r="B675" s="927">
        <v>43742</v>
      </c>
      <c r="C675" s="926">
        <v>4</v>
      </c>
      <c r="D675" s="926">
        <v>5</v>
      </c>
      <c r="E675" s="935" t="s">
        <v>1389</v>
      </c>
      <c r="F675" s="935"/>
      <c r="G675" s="1013" t="s">
        <v>2721</v>
      </c>
      <c r="H675" s="929"/>
      <c r="I675" s="929" t="s">
        <v>551</v>
      </c>
      <c r="J675" s="929"/>
      <c r="K675" s="929"/>
      <c r="L675" s="929"/>
      <c r="M675" s="1013" t="s">
        <v>2636</v>
      </c>
      <c r="N675" s="1013" t="s">
        <v>2524</v>
      </c>
      <c r="O675" s="929" t="s">
        <v>77</v>
      </c>
      <c r="P675" s="927">
        <f t="shared" si="55"/>
        <v>43742</v>
      </c>
      <c r="Q675" s="927">
        <f t="shared" si="53"/>
        <v>43742</v>
      </c>
      <c r="R675" s="1012" t="s">
        <v>4220</v>
      </c>
      <c r="S675" s="926"/>
      <c r="T675" s="926"/>
      <c r="U675" s="926"/>
    </row>
    <row r="676" spans="1:21" hidden="1">
      <c r="A676" s="926" t="s">
        <v>2476</v>
      </c>
      <c r="B676" s="927">
        <v>43185</v>
      </c>
      <c r="C676" s="926">
        <v>4</v>
      </c>
      <c r="D676" s="926">
        <v>4</v>
      </c>
      <c r="E676" s="932" t="s">
        <v>957</v>
      </c>
      <c r="F676" s="932"/>
      <c r="G676" s="1013" t="s">
        <v>2478</v>
      </c>
      <c r="H676" s="929"/>
      <c r="I676" s="929" t="s">
        <v>551</v>
      </c>
      <c r="J676" s="929"/>
      <c r="K676" s="929"/>
      <c r="L676" s="929"/>
      <c r="M676" s="1013" t="s">
        <v>2479</v>
      </c>
      <c r="N676" s="1013" t="s">
        <v>2480</v>
      </c>
      <c r="O676" s="929" t="s">
        <v>166</v>
      </c>
      <c r="P676" s="927">
        <f t="shared" si="55"/>
        <v>43185</v>
      </c>
      <c r="Q676" s="927">
        <f t="shared" si="53"/>
        <v>43185</v>
      </c>
      <c r="R676" s="930" t="s">
        <v>2481</v>
      </c>
      <c r="S676" s="933" t="s">
        <v>2003</v>
      </c>
      <c r="T676" s="933"/>
      <c r="U676" s="926"/>
    </row>
    <row r="677" spans="1:21" ht="25.5" hidden="1">
      <c r="A677" s="926" t="s">
        <v>2476</v>
      </c>
      <c r="B677" s="927">
        <v>43185</v>
      </c>
      <c r="C677" s="926">
        <v>4</v>
      </c>
      <c r="D677" s="926">
        <v>4</v>
      </c>
      <c r="E677" s="934" t="s">
        <v>948</v>
      </c>
      <c r="F677" s="934"/>
      <c r="G677" s="1013" t="s">
        <v>2482</v>
      </c>
      <c r="H677" s="929"/>
      <c r="I677" s="929" t="s">
        <v>551</v>
      </c>
      <c r="J677" s="929"/>
      <c r="K677" s="929"/>
      <c r="L677" s="929"/>
      <c r="M677" s="1013" t="s">
        <v>2483</v>
      </c>
      <c r="N677" s="1013" t="s">
        <v>2480</v>
      </c>
      <c r="O677" s="929" t="s">
        <v>166</v>
      </c>
      <c r="P677" s="927">
        <f t="shared" si="55"/>
        <v>43185</v>
      </c>
      <c r="Q677" s="927">
        <f t="shared" si="53"/>
        <v>43185</v>
      </c>
      <c r="R677" s="930" t="s">
        <v>2481</v>
      </c>
      <c r="S677" s="933" t="s">
        <v>1995</v>
      </c>
      <c r="T677" s="933"/>
      <c r="U677" s="926"/>
    </row>
    <row r="678" spans="1:21" ht="32.25" hidden="1" customHeight="1">
      <c r="A678" s="926" t="s">
        <v>2476</v>
      </c>
      <c r="B678" s="927">
        <v>43185</v>
      </c>
      <c r="C678" s="926">
        <v>4</v>
      </c>
      <c r="D678" s="926">
        <v>4</v>
      </c>
      <c r="E678" s="932" t="s">
        <v>967</v>
      </c>
      <c r="F678" s="932"/>
      <c r="G678" s="1013" t="s">
        <v>2484</v>
      </c>
      <c r="H678" s="929"/>
      <c r="I678" s="929" t="s">
        <v>551</v>
      </c>
      <c r="J678" s="929"/>
      <c r="K678" s="929"/>
      <c r="L678" s="929"/>
      <c r="M678" s="1013" t="s">
        <v>2485</v>
      </c>
      <c r="N678" s="1013" t="s">
        <v>2480</v>
      </c>
      <c r="O678" s="929" t="s">
        <v>166</v>
      </c>
      <c r="P678" s="927">
        <f t="shared" si="55"/>
        <v>43185</v>
      </c>
      <c r="Q678" s="927">
        <f t="shared" ref="Q678:Q741" si="56">P678</f>
        <v>43185</v>
      </c>
      <c r="R678" s="930" t="s">
        <v>2481</v>
      </c>
      <c r="S678" s="931"/>
      <c r="T678" s="931"/>
      <c r="U678" s="926"/>
    </row>
    <row r="679" spans="1:21" hidden="1">
      <c r="A679" s="926" t="s">
        <v>2476</v>
      </c>
      <c r="B679" s="927">
        <v>43185</v>
      </c>
      <c r="C679" s="926">
        <v>4</v>
      </c>
      <c r="D679" s="926">
        <v>4</v>
      </c>
      <c r="E679" s="932" t="s">
        <v>1019</v>
      </c>
      <c r="F679" s="932"/>
      <c r="G679" s="1013" t="s">
        <v>31</v>
      </c>
      <c r="H679" s="929"/>
      <c r="I679" s="929" t="s">
        <v>551</v>
      </c>
      <c r="J679" s="929"/>
      <c r="K679" s="929"/>
      <c r="L679" s="929"/>
      <c r="M679" s="1013" t="s">
        <v>2486</v>
      </c>
      <c r="N679" s="1013" t="s">
        <v>2480</v>
      </c>
      <c r="O679" s="929" t="s">
        <v>166</v>
      </c>
      <c r="P679" s="927">
        <f t="shared" si="55"/>
        <v>43185</v>
      </c>
      <c r="Q679" s="927">
        <f t="shared" si="56"/>
        <v>43185</v>
      </c>
      <c r="R679" s="930" t="s">
        <v>2481</v>
      </c>
      <c r="S679" s="933" t="s">
        <v>2036</v>
      </c>
      <c r="T679" s="933"/>
      <c r="U679" s="926"/>
    </row>
    <row r="680" spans="1:21" hidden="1">
      <c r="A680" s="926" t="s">
        <v>2476</v>
      </c>
      <c r="B680" s="927">
        <v>43185</v>
      </c>
      <c r="C680" s="926">
        <v>4</v>
      </c>
      <c r="D680" s="926">
        <v>4</v>
      </c>
      <c r="E680" s="932" t="s">
        <v>1071</v>
      </c>
      <c r="F680" s="932"/>
      <c r="G680" s="1013" t="s">
        <v>2487</v>
      </c>
      <c r="H680" s="929"/>
      <c r="I680" s="929" t="s">
        <v>551</v>
      </c>
      <c r="J680" s="929"/>
      <c r="K680" s="929"/>
      <c r="L680" s="929"/>
      <c r="M680" s="1013" t="s">
        <v>2488</v>
      </c>
      <c r="N680" s="1013" t="s">
        <v>2480</v>
      </c>
      <c r="O680" s="929" t="s">
        <v>166</v>
      </c>
      <c r="P680" s="927">
        <f t="shared" si="55"/>
        <v>43185</v>
      </c>
      <c r="Q680" s="927">
        <f t="shared" si="56"/>
        <v>43185</v>
      </c>
      <c r="R680" s="930" t="s">
        <v>2481</v>
      </c>
      <c r="S680" s="933" t="s">
        <v>2065</v>
      </c>
      <c r="T680" s="933"/>
      <c r="U680" s="926"/>
    </row>
    <row r="681" spans="1:21" hidden="1">
      <c r="A681" s="926" t="s">
        <v>2476</v>
      </c>
      <c r="B681" s="927">
        <v>43185</v>
      </c>
      <c r="C681" s="926">
        <v>4</v>
      </c>
      <c r="D681" s="926">
        <v>4</v>
      </c>
      <c r="E681" s="932" t="s">
        <v>1066</v>
      </c>
      <c r="F681" s="932"/>
      <c r="G681" s="1013" t="s">
        <v>2489</v>
      </c>
      <c r="H681" s="929"/>
      <c r="I681" s="929" t="s">
        <v>551</v>
      </c>
      <c r="J681" s="929"/>
      <c r="K681" s="929"/>
      <c r="L681" s="929"/>
      <c r="M681" s="1013" t="s">
        <v>2488</v>
      </c>
      <c r="N681" s="1013" t="s">
        <v>2480</v>
      </c>
      <c r="O681" s="929" t="s">
        <v>166</v>
      </c>
      <c r="P681" s="927">
        <f t="shared" si="55"/>
        <v>43185</v>
      </c>
      <c r="Q681" s="927">
        <f t="shared" si="56"/>
        <v>43185</v>
      </c>
      <c r="R681" s="930" t="s">
        <v>2481</v>
      </c>
      <c r="S681" s="933" t="s">
        <v>2062</v>
      </c>
      <c r="T681" s="933"/>
      <c r="U681" s="926"/>
    </row>
    <row r="682" spans="1:21" hidden="1">
      <c r="A682" s="926" t="s">
        <v>2476</v>
      </c>
      <c r="B682" s="927">
        <v>43185</v>
      </c>
      <c r="C682" s="926">
        <v>4</v>
      </c>
      <c r="D682" s="926">
        <v>4</v>
      </c>
      <c r="E682" s="926"/>
      <c r="F682" s="926"/>
      <c r="G682" s="1013" t="s">
        <v>2490</v>
      </c>
      <c r="H682" s="929"/>
      <c r="I682" s="929" t="s">
        <v>2310</v>
      </c>
      <c r="J682" s="929"/>
      <c r="K682" s="929"/>
      <c r="L682" s="929"/>
      <c r="M682" s="1013" t="s">
        <v>2491</v>
      </c>
      <c r="N682" s="1013" t="s">
        <v>2480</v>
      </c>
      <c r="O682" s="929" t="s">
        <v>166</v>
      </c>
      <c r="P682" s="927">
        <f t="shared" si="55"/>
        <v>43185</v>
      </c>
      <c r="Q682" s="927">
        <f t="shared" si="56"/>
        <v>43185</v>
      </c>
      <c r="R682" s="930" t="s">
        <v>2481</v>
      </c>
      <c r="S682" s="931"/>
      <c r="T682" s="931"/>
      <c r="U682" s="926"/>
    </row>
    <row r="683" spans="1:21" ht="25.5" hidden="1">
      <c r="A683" s="926" t="s">
        <v>2476</v>
      </c>
      <c r="B683" s="927">
        <v>43185</v>
      </c>
      <c r="C683" s="926">
        <v>4</v>
      </c>
      <c r="D683" s="926">
        <v>4</v>
      </c>
      <c r="E683" s="926"/>
      <c r="F683" s="926"/>
      <c r="G683" s="1013" t="s">
        <v>2492</v>
      </c>
      <c r="H683" s="929"/>
      <c r="I683" s="929" t="s">
        <v>2310</v>
      </c>
      <c r="J683" s="929"/>
      <c r="K683" s="929"/>
      <c r="L683" s="929"/>
      <c r="M683" s="1013" t="s">
        <v>2491</v>
      </c>
      <c r="N683" s="1013" t="s">
        <v>2480</v>
      </c>
      <c r="O683" s="929" t="s">
        <v>166</v>
      </c>
      <c r="P683" s="927">
        <f t="shared" si="55"/>
        <v>43185</v>
      </c>
      <c r="Q683" s="927">
        <f t="shared" si="56"/>
        <v>43185</v>
      </c>
      <c r="R683" s="930" t="s">
        <v>2481</v>
      </c>
      <c r="S683" s="931"/>
      <c r="T683" s="931"/>
      <c r="U683" s="926"/>
    </row>
    <row r="684" spans="1:21" hidden="1">
      <c r="A684" s="926" t="s">
        <v>2476</v>
      </c>
      <c r="B684" s="927">
        <v>43185</v>
      </c>
      <c r="C684" s="926">
        <v>4</v>
      </c>
      <c r="D684" s="926">
        <v>4</v>
      </c>
      <c r="E684" s="926"/>
      <c r="F684" s="926"/>
      <c r="G684" s="1013" t="s">
        <v>2493</v>
      </c>
      <c r="H684" s="929"/>
      <c r="I684" s="929" t="s">
        <v>2310</v>
      </c>
      <c r="J684" s="929"/>
      <c r="K684" s="929"/>
      <c r="L684" s="929"/>
      <c r="M684" s="1013" t="s">
        <v>2494</v>
      </c>
      <c r="N684" s="1013" t="s">
        <v>2480</v>
      </c>
      <c r="O684" s="929" t="s">
        <v>166</v>
      </c>
      <c r="P684" s="927">
        <f t="shared" si="55"/>
        <v>43185</v>
      </c>
      <c r="Q684" s="927">
        <f t="shared" si="56"/>
        <v>43185</v>
      </c>
      <c r="R684" s="930" t="s">
        <v>2481</v>
      </c>
      <c r="S684" s="931"/>
      <c r="T684" s="931"/>
      <c r="U684" s="926"/>
    </row>
    <row r="685" spans="1:21" ht="25.5" hidden="1">
      <c r="A685" s="926" t="s">
        <v>2476</v>
      </c>
      <c r="B685" s="927">
        <v>43185</v>
      </c>
      <c r="C685" s="926">
        <v>4</v>
      </c>
      <c r="D685" s="926">
        <v>4</v>
      </c>
      <c r="E685" s="926"/>
      <c r="F685" s="926"/>
      <c r="G685" s="1013" t="s">
        <v>2495</v>
      </c>
      <c r="H685" s="929"/>
      <c r="I685" s="929" t="s">
        <v>2310</v>
      </c>
      <c r="J685" s="929"/>
      <c r="K685" s="929"/>
      <c r="L685" s="929"/>
      <c r="M685" s="1013" t="s">
        <v>2496</v>
      </c>
      <c r="N685" s="1013" t="s">
        <v>2480</v>
      </c>
      <c r="O685" s="929" t="s">
        <v>166</v>
      </c>
      <c r="P685" s="927">
        <f t="shared" si="55"/>
        <v>43185</v>
      </c>
      <c r="Q685" s="927">
        <f t="shared" si="56"/>
        <v>43185</v>
      </c>
      <c r="R685" s="930" t="s">
        <v>2481</v>
      </c>
      <c r="S685" s="931"/>
      <c r="T685" s="931"/>
      <c r="U685" s="926"/>
    </row>
    <row r="686" spans="1:21" ht="29.25" hidden="1" customHeight="1">
      <c r="A686" s="926" t="s">
        <v>2476</v>
      </c>
      <c r="B686" s="927">
        <v>43185</v>
      </c>
      <c r="C686" s="926">
        <v>4</v>
      </c>
      <c r="D686" s="926">
        <v>4</v>
      </c>
      <c r="E686" s="926"/>
      <c r="F686" s="926"/>
      <c r="G686" s="1013" t="s">
        <v>2497</v>
      </c>
      <c r="H686" s="929"/>
      <c r="I686" s="929" t="s">
        <v>2310</v>
      </c>
      <c r="J686" s="929"/>
      <c r="K686" s="929"/>
      <c r="L686" s="929"/>
      <c r="M686" s="1013" t="s">
        <v>2498</v>
      </c>
      <c r="N686" s="1013" t="s">
        <v>2480</v>
      </c>
      <c r="O686" s="929" t="s">
        <v>166</v>
      </c>
      <c r="P686" s="927">
        <f t="shared" si="55"/>
        <v>43185</v>
      </c>
      <c r="Q686" s="927">
        <f t="shared" si="56"/>
        <v>43185</v>
      </c>
      <c r="R686" s="930" t="s">
        <v>2481</v>
      </c>
      <c r="S686" s="931"/>
      <c r="T686" s="931"/>
      <c r="U686" s="926"/>
    </row>
    <row r="687" spans="1:21" ht="25.5" hidden="1">
      <c r="A687" s="926" t="s">
        <v>2476</v>
      </c>
      <c r="B687" s="927">
        <v>43185</v>
      </c>
      <c r="C687" s="926">
        <v>4</v>
      </c>
      <c r="D687" s="926">
        <v>4</v>
      </c>
      <c r="E687" s="926"/>
      <c r="F687" s="926"/>
      <c r="G687" s="1013" t="s">
        <v>2499</v>
      </c>
      <c r="H687" s="929"/>
      <c r="I687" s="929" t="s">
        <v>2310</v>
      </c>
      <c r="J687" s="929"/>
      <c r="K687" s="929"/>
      <c r="L687" s="929"/>
      <c r="M687" s="1013" t="s">
        <v>2500</v>
      </c>
      <c r="N687" s="1013" t="s">
        <v>2480</v>
      </c>
      <c r="O687" s="929" t="s">
        <v>166</v>
      </c>
      <c r="P687" s="927">
        <f t="shared" si="55"/>
        <v>43185</v>
      </c>
      <c r="Q687" s="927">
        <f t="shared" si="56"/>
        <v>43185</v>
      </c>
      <c r="R687" s="930" t="s">
        <v>2481</v>
      </c>
      <c r="S687" s="931"/>
      <c r="T687" s="931"/>
      <c r="U687" s="926"/>
    </row>
    <row r="688" spans="1:21" ht="60" hidden="1" customHeight="1">
      <c r="A688" s="926" t="s">
        <v>2476</v>
      </c>
      <c r="B688" s="927">
        <v>43185</v>
      </c>
      <c r="C688" s="926">
        <v>4</v>
      </c>
      <c r="D688" s="926">
        <v>4</v>
      </c>
      <c r="E688" s="926"/>
      <c r="F688" s="926"/>
      <c r="G688" s="1013" t="s">
        <v>2501</v>
      </c>
      <c r="H688" s="929"/>
      <c r="I688" s="929" t="s">
        <v>2310</v>
      </c>
      <c r="J688" s="929"/>
      <c r="K688" s="929"/>
      <c r="L688" s="929"/>
      <c r="M688" s="1013" t="s">
        <v>2500</v>
      </c>
      <c r="N688" s="1013" t="s">
        <v>2480</v>
      </c>
      <c r="O688" s="929" t="s">
        <v>166</v>
      </c>
      <c r="P688" s="927">
        <f t="shared" si="55"/>
        <v>43185</v>
      </c>
      <c r="Q688" s="927">
        <f t="shared" si="56"/>
        <v>43185</v>
      </c>
      <c r="R688" s="930" t="s">
        <v>2481</v>
      </c>
      <c r="S688" s="931"/>
      <c r="T688" s="931"/>
      <c r="U688" s="926"/>
    </row>
    <row r="689" spans="1:21" ht="25.5" hidden="1">
      <c r="A689" s="926" t="s">
        <v>2476</v>
      </c>
      <c r="B689" s="927">
        <v>43185</v>
      </c>
      <c r="C689" s="926">
        <v>4</v>
      </c>
      <c r="D689" s="926">
        <v>4</v>
      </c>
      <c r="E689" s="932" t="s">
        <v>951</v>
      </c>
      <c r="F689" s="932"/>
      <c r="G689" s="1013" t="s">
        <v>2502</v>
      </c>
      <c r="H689" s="929"/>
      <c r="I689" s="929" t="s">
        <v>551</v>
      </c>
      <c r="J689" s="929"/>
      <c r="K689" s="929"/>
      <c r="L689" s="929"/>
      <c r="M689" s="1013" t="s">
        <v>2488</v>
      </c>
      <c r="N689" s="1013" t="s">
        <v>2503</v>
      </c>
      <c r="O689" s="929" t="s">
        <v>166</v>
      </c>
      <c r="P689" s="927">
        <f t="shared" si="55"/>
        <v>43185</v>
      </c>
      <c r="Q689" s="927">
        <f t="shared" si="56"/>
        <v>43185</v>
      </c>
      <c r="R689" s="930" t="s">
        <v>2481</v>
      </c>
      <c r="S689" s="933" t="s">
        <v>1998</v>
      </c>
      <c r="T689" s="933"/>
      <c r="U689" s="926"/>
    </row>
    <row r="690" spans="1:21" hidden="1">
      <c r="A690" s="926" t="s">
        <v>2476</v>
      </c>
      <c r="B690" s="927">
        <v>43185</v>
      </c>
      <c r="C690" s="926">
        <v>4</v>
      </c>
      <c r="D690" s="926">
        <v>5</v>
      </c>
      <c r="E690" s="932" t="s">
        <v>961</v>
      </c>
      <c r="F690" s="932"/>
      <c r="G690" s="1013" t="s">
        <v>2504</v>
      </c>
      <c r="H690" s="929"/>
      <c r="I690" s="929" t="s">
        <v>551</v>
      </c>
      <c r="J690" s="929"/>
      <c r="K690" s="929"/>
      <c r="L690" s="929"/>
      <c r="M690" s="1013" t="s">
        <v>2505</v>
      </c>
      <c r="N690" s="1013" t="s">
        <v>2506</v>
      </c>
      <c r="O690" s="929" t="s">
        <v>166</v>
      </c>
      <c r="P690" s="927">
        <f t="shared" si="55"/>
        <v>43185</v>
      </c>
      <c r="Q690" s="927">
        <f t="shared" si="56"/>
        <v>43185</v>
      </c>
      <c r="R690" s="930" t="s">
        <v>2481</v>
      </c>
      <c r="S690" s="931"/>
      <c r="T690" s="931"/>
      <c r="U690" s="926"/>
    </row>
    <row r="691" spans="1:21" hidden="1">
      <c r="A691" s="926" t="s">
        <v>2476</v>
      </c>
      <c r="B691" s="927">
        <v>43185</v>
      </c>
      <c r="C691" s="926">
        <v>4</v>
      </c>
      <c r="D691" s="926">
        <v>5</v>
      </c>
      <c r="E691" s="932" t="s">
        <v>977</v>
      </c>
      <c r="F691" s="932"/>
      <c r="G691" s="1013" t="s">
        <v>2507</v>
      </c>
      <c r="H691" s="929"/>
      <c r="I691" s="929" t="s">
        <v>551</v>
      </c>
      <c r="J691" s="929"/>
      <c r="K691" s="929"/>
      <c r="L691" s="929"/>
      <c r="M691" s="1013" t="s">
        <v>2508</v>
      </c>
      <c r="N691" s="1013" t="s">
        <v>2506</v>
      </c>
      <c r="O691" s="929" t="s">
        <v>166</v>
      </c>
      <c r="P691" s="927">
        <f t="shared" si="55"/>
        <v>43185</v>
      </c>
      <c r="Q691" s="927">
        <f t="shared" si="56"/>
        <v>43185</v>
      </c>
      <c r="R691" s="930" t="s">
        <v>2481</v>
      </c>
      <c r="S691" s="933" t="s">
        <v>2011</v>
      </c>
      <c r="T691" s="933"/>
      <c r="U691" s="926"/>
    </row>
    <row r="692" spans="1:21" hidden="1">
      <c r="A692" s="926" t="s">
        <v>2476</v>
      </c>
      <c r="B692" s="927">
        <v>43185</v>
      </c>
      <c r="C692" s="926">
        <v>4</v>
      </c>
      <c r="D692" s="926">
        <v>5</v>
      </c>
      <c r="E692" s="932" t="s">
        <v>980</v>
      </c>
      <c r="F692" s="932"/>
      <c r="G692" s="1013" t="s">
        <v>2509</v>
      </c>
      <c r="H692" s="929"/>
      <c r="I692" s="929" t="s">
        <v>551</v>
      </c>
      <c r="J692" s="929"/>
      <c r="K692" s="929"/>
      <c r="L692" s="929"/>
      <c r="M692" s="1013" t="s">
        <v>2508</v>
      </c>
      <c r="N692" s="1013" t="s">
        <v>2506</v>
      </c>
      <c r="O692" s="929" t="s">
        <v>166</v>
      </c>
      <c r="P692" s="927">
        <f t="shared" si="55"/>
        <v>43185</v>
      </c>
      <c r="Q692" s="927">
        <f t="shared" si="56"/>
        <v>43185</v>
      </c>
      <c r="R692" s="930" t="s">
        <v>2481</v>
      </c>
      <c r="S692" s="933" t="s">
        <v>2013</v>
      </c>
      <c r="T692" s="933"/>
      <c r="U692" s="926"/>
    </row>
    <row r="693" spans="1:21" ht="25.5" hidden="1">
      <c r="A693" s="926" t="s">
        <v>2476</v>
      </c>
      <c r="B693" s="927">
        <v>43185</v>
      </c>
      <c r="C693" s="926">
        <v>4</v>
      </c>
      <c r="D693" s="926">
        <v>5</v>
      </c>
      <c r="E693" s="932" t="s">
        <v>954</v>
      </c>
      <c r="F693" s="932"/>
      <c r="G693" s="1013" t="s">
        <v>2510</v>
      </c>
      <c r="H693" s="929"/>
      <c r="I693" s="929" t="s">
        <v>551</v>
      </c>
      <c r="J693" s="929"/>
      <c r="K693" s="929"/>
      <c r="L693" s="929"/>
      <c r="M693" s="1013" t="s">
        <v>2511</v>
      </c>
      <c r="N693" s="1013" t="s">
        <v>2512</v>
      </c>
      <c r="O693" s="929" t="s">
        <v>166</v>
      </c>
      <c r="P693" s="927">
        <f t="shared" si="55"/>
        <v>43185</v>
      </c>
      <c r="Q693" s="927">
        <f t="shared" si="56"/>
        <v>43185</v>
      </c>
      <c r="R693" s="930" t="s">
        <v>2481</v>
      </c>
      <c r="S693" s="933" t="s">
        <v>2000</v>
      </c>
      <c r="T693" s="933"/>
      <c r="U693" s="926"/>
    </row>
    <row r="694" spans="1:21" ht="28.5" hidden="1" customHeight="1">
      <c r="A694" s="926" t="s">
        <v>2476</v>
      </c>
      <c r="B694" s="927">
        <v>43185</v>
      </c>
      <c r="C694" s="926">
        <v>4</v>
      </c>
      <c r="D694" s="926">
        <v>5</v>
      </c>
      <c r="E694" s="926"/>
      <c r="F694" s="926"/>
      <c r="G694" s="1013" t="s">
        <v>2513</v>
      </c>
      <c r="H694" s="929"/>
      <c r="I694" s="929" t="s">
        <v>2310</v>
      </c>
      <c r="J694" s="929"/>
      <c r="K694" s="929"/>
      <c r="L694" s="929"/>
      <c r="M694" s="1013" t="s">
        <v>2514</v>
      </c>
      <c r="N694" s="1013" t="s">
        <v>2515</v>
      </c>
      <c r="O694" s="929" t="s">
        <v>166</v>
      </c>
      <c r="P694" s="927">
        <f t="shared" si="55"/>
        <v>43185</v>
      </c>
      <c r="Q694" s="927">
        <f t="shared" si="56"/>
        <v>43185</v>
      </c>
      <c r="R694" s="930" t="s">
        <v>2481</v>
      </c>
      <c r="S694" s="931"/>
      <c r="T694" s="931"/>
      <c r="U694" s="926"/>
    </row>
    <row r="695" spans="1:21" ht="25.5" hidden="1">
      <c r="A695" s="926" t="s">
        <v>2476</v>
      </c>
      <c r="B695" s="927">
        <v>43185</v>
      </c>
      <c r="C695" s="926">
        <v>4</v>
      </c>
      <c r="D695" s="926">
        <v>5</v>
      </c>
      <c r="E695" s="926"/>
      <c r="F695" s="926"/>
      <c r="G695" s="1013" t="s">
        <v>2516</v>
      </c>
      <c r="H695" s="929"/>
      <c r="I695" s="929" t="s">
        <v>2310</v>
      </c>
      <c r="J695" s="929"/>
      <c r="K695" s="929"/>
      <c r="L695" s="929"/>
      <c r="M695" s="1013" t="s">
        <v>2517</v>
      </c>
      <c r="N695" s="1013" t="s">
        <v>1976</v>
      </c>
      <c r="O695" s="929" t="s">
        <v>166</v>
      </c>
      <c r="P695" s="927">
        <f t="shared" si="55"/>
        <v>43185</v>
      </c>
      <c r="Q695" s="927">
        <f t="shared" si="56"/>
        <v>43185</v>
      </c>
      <c r="R695" s="930" t="s">
        <v>2481</v>
      </c>
      <c r="S695" s="931"/>
      <c r="T695" s="931"/>
      <c r="U695" s="926"/>
    </row>
    <row r="696" spans="1:21" ht="25.5" hidden="1">
      <c r="A696" s="926" t="s">
        <v>2476</v>
      </c>
      <c r="B696" s="927">
        <v>43185</v>
      </c>
      <c r="C696" s="926">
        <v>4</v>
      </c>
      <c r="D696" s="926">
        <v>5</v>
      </c>
      <c r="E696" s="926"/>
      <c r="F696" s="926"/>
      <c r="G696" s="1013" t="s">
        <v>2518</v>
      </c>
      <c r="H696" s="929"/>
      <c r="I696" s="929" t="s">
        <v>2310</v>
      </c>
      <c r="J696" s="929"/>
      <c r="K696" s="929"/>
      <c r="L696" s="929"/>
      <c r="M696" s="1013" t="s">
        <v>2519</v>
      </c>
      <c r="N696" s="1013" t="s">
        <v>1976</v>
      </c>
      <c r="O696" s="929" t="s">
        <v>166</v>
      </c>
      <c r="P696" s="927">
        <f t="shared" si="55"/>
        <v>43185</v>
      </c>
      <c r="Q696" s="927">
        <f t="shared" si="56"/>
        <v>43185</v>
      </c>
      <c r="R696" s="930" t="s">
        <v>2481</v>
      </c>
      <c r="S696" s="931"/>
      <c r="T696" s="931"/>
      <c r="U696" s="926"/>
    </row>
    <row r="697" spans="1:21" ht="25.5" hidden="1">
      <c r="A697" s="926" t="s">
        <v>2476</v>
      </c>
      <c r="B697" s="927">
        <v>43185</v>
      </c>
      <c r="C697" s="926">
        <v>4</v>
      </c>
      <c r="D697" s="926">
        <v>5</v>
      </c>
      <c r="E697" s="932" t="s">
        <v>1094</v>
      </c>
      <c r="F697" s="932"/>
      <c r="G697" s="1013" t="s">
        <v>2520</v>
      </c>
      <c r="H697" s="929"/>
      <c r="I697" s="929" t="s">
        <v>551</v>
      </c>
      <c r="J697" s="929"/>
      <c r="K697" s="929"/>
      <c r="L697" s="929"/>
      <c r="M697" s="1013" t="s">
        <v>2521</v>
      </c>
      <c r="N697" s="1013" t="s">
        <v>1976</v>
      </c>
      <c r="O697" s="929" t="s">
        <v>166</v>
      </c>
      <c r="P697" s="927">
        <f t="shared" si="55"/>
        <v>43185</v>
      </c>
      <c r="Q697" s="927">
        <f t="shared" si="56"/>
        <v>43185</v>
      </c>
      <c r="R697" s="930" t="s">
        <v>2481</v>
      </c>
      <c r="S697" s="933" t="s">
        <v>2074</v>
      </c>
      <c r="T697" s="933"/>
      <c r="U697" s="926"/>
    </row>
    <row r="698" spans="1:21" hidden="1">
      <c r="A698" s="926" t="s">
        <v>2476</v>
      </c>
      <c r="B698" s="927">
        <v>43185</v>
      </c>
      <c r="C698" s="926">
        <v>4</v>
      </c>
      <c r="D698" s="926">
        <v>5</v>
      </c>
      <c r="E698" s="928"/>
      <c r="F698" s="928"/>
      <c r="G698" s="1013" t="s">
        <v>2522</v>
      </c>
      <c r="H698" s="929"/>
      <c r="I698" s="929" t="s">
        <v>2310</v>
      </c>
      <c r="J698" s="929"/>
      <c r="K698" s="929"/>
      <c r="L698" s="929"/>
      <c r="M698" s="1013" t="s">
        <v>2523</v>
      </c>
      <c r="N698" s="1013" t="s">
        <v>2524</v>
      </c>
      <c r="O698" s="929" t="s">
        <v>166</v>
      </c>
      <c r="P698" s="927">
        <f t="shared" si="55"/>
        <v>43185</v>
      </c>
      <c r="Q698" s="927">
        <f t="shared" si="56"/>
        <v>43185</v>
      </c>
      <c r="R698" s="930" t="s">
        <v>2481</v>
      </c>
      <c r="S698" s="931"/>
      <c r="T698" s="931"/>
      <c r="U698" s="926"/>
    </row>
    <row r="699" spans="1:21" hidden="1">
      <c r="A699" s="926" t="s">
        <v>2476</v>
      </c>
      <c r="B699" s="927">
        <v>43185</v>
      </c>
      <c r="C699" s="926">
        <v>4</v>
      </c>
      <c r="D699" s="926">
        <v>5</v>
      </c>
      <c r="E699" s="932" t="s">
        <v>720</v>
      </c>
      <c r="F699" s="932"/>
      <c r="G699" s="1013" t="s">
        <v>2525</v>
      </c>
      <c r="H699" s="929"/>
      <c r="I699" s="929" t="s">
        <v>551</v>
      </c>
      <c r="J699" s="929"/>
      <c r="K699" s="929"/>
      <c r="L699" s="929"/>
      <c r="M699" s="1013" t="s">
        <v>2498</v>
      </c>
      <c r="N699" s="1013" t="s">
        <v>2524</v>
      </c>
      <c r="O699" s="929" t="s">
        <v>166</v>
      </c>
      <c r="P699" s="927">
        <f t="shared" si="55"/>
        <v>43185</v>
      </c>
      <c r="Q699" s="927">
        <f t="shared" si="56"/>
        <v>43185</v>
      </c>
      <c r="R699" s="930" t="s">
        <v>2481</v>
      </c>
      <c r="S699" s="933" t="s">
        <v>1912</v>
      </c>
      <c r="T699" s="933"/>
      <c r="U699" s="926"/>
    </row>
    <row r="700" spans="1:21" hidden="1">
      <c r="A700" s="926" t="s">
        <v>2476</v>
      </c>
      <c r="B700" s="927">
        <v>43185</v>
      </c>
      <c r="C700" s="926">
        <v>4</v>
      </c>
      <c r="D700" s="926">
        <v>5</v>
      </c>
      <c r="E700" s="932" t="s">
        <v>720</v>
      </c>
      <c r="F700" s="932"/>
      <c r="G700" s="1013" t="s">
        <v>2522</v>
      </c>
      <c r="H700" s="929"/>
      <c r="I700" s="929" t="s">
        <v>551</v>
      </c>
      <c r="J700" s="929"/>
      <c r="K700" s="929"/>
      <c r="L700" s="929"/>
      <c r="M700" s="1013" t="s">
        <v>2498</v>
      </c>
      <c r="N700" s="1013" t="s">
        <v>2524</v>
      </c>
      <c r="O700" s="929" t="s">
        <v>166</v>
      </c>
      <c r="P700" s="927">
        <f t="shared" si="55"/>
        <v>43185</v>
      </c>
      <c r="Q700" s="927">
        <f t="shared" si="56"/>
        <v>43185</v>
      </c>
      <c r="R700" s="930" t="s">
        <v>2481</v>
      </c>
      <c r="S700" s="933" t="s">
        <v>1912</v>
      </c>
      <c r="T700" s="933"/>
      <c r="U700" s="926"/>
    </row>
    <row r="701" spans="1:21" hidden="1">
      <c r="A701" s="926" t="s">
        <v>2476</v>
      </c>
      <c r="B701" s="927">
        <v>43185</v>
      </c>
      <c r="C701" s="926">
        <v>4</v>
      </c>
      <c r="D701" s="926">
        <v>5</v>
      </c>
      <c r="E701" s="926"/>
      <c r="F701" s="926"/>
      <c r="G701" s="1013" t="s">
        <v>2526</v>
      </c>
      <c r="H701" s="929"/>
      <c r="I701" s="929" t="s">
        <v>2310</v>
      </c>
      <c r="J701" s="929"/>
      <c r="K701" s="929"/>
      <c r="L701" s="929"/>
      <c r="M701" s="1013" t="s">
        <v>2498</v>
      </c>
      <c r="N701" s="1013" t="s">
        <v>2524</v>
      </c>
      <c r="O701" s="929" t="s">
        <v>166</v>
      </c>
      <c r="P701" s="927">
        <f t="shared" si="55"/>
        <v>43185</v>
      </c>
      <c r="Q701" s="927">
        <f t="shared" si="56"/>
        <v>43185</v>
      </c>
      <c r="R701" s="930" t="s">
        <v>2481</v>
      </c>
      <c r="S701" s="931"/>
      <c r="T701" s="931"/>
      <c r="U701" s="926"/>
    </row>
    <row r="702" spans="1:21" ht="32.25" hidden="1" customHeight="1">
      <c r="A702" s="926" t="s">
        <v>2476</v>
      </c>
      <c r="B702" s="927">
        <v>43185</v>
      </c>
      <c r="C702" s="926">
        <v>4</v>
      </c>
      <c r="D702" s="926">
        <v>5</v>
      </c>
      <c r="E702" s="932" t="s">
        <v>1081</v>
      </c>
      <c r="F702" s="932"/>
      <c r="G702" s="1013" t="s">
        <v>2527</v>
      </c>
      <c r="H702" s="929"/>
      <c r="I702" s="929" t="s">
        <v>551</v>
      </c>
      <c r="J702" s="929"/>
      <c r="K702" s="929"/>
      <c r="L702" s="929"/>
      <c r="M702" s="1013" t="s">
        <v>2528</v>
      </c>
      <c r="N702" s="1013" t="s">
        <v>2524</v>
      </c>
      <c r="O702" s="929" t="s">
        <v>166</v>
      </c>
      <c r="P702" s="927">
        <f t="shared" si="55"/>
        <v>43185</v>
      </c>
      <c r="Q702" s="927">
        <f t="shared" si="56"/>
        <v>43185</v>
      </c>
      <c r="R702" s="930" t="s">
        <v>2481</v>
      </c>
      <c r="S702" s="933" t="s">
        <v>2069</v>
      </c>
      <c r="T702" s="933"/>
      <c r="U702" s="926"/>
    </row>
    <row r="703" spans="1:21" hidden="1">
      <c r="A703" s="926" t="s">
        <v>2476</v>
      </c>
      <c r="B703" s="927">
        <v>43185</v>
      </c>
      <c r="C703" s="926">
        <v>4</v>
      </c>
      <c r="D703" s="926">
        <v>5</v>
      </c>
      <c r="E703" s="926"/>
      <c r="F703" s="926"/>
      <c r="G703" s="1013" t="s">
        <v>2529</v>
      </c>
      <c r="H703" s="929"/>
      <c r="I703" s="929" t="s">
        <v>2310</v>
      </c>
      <c r="J703" s="929"/>
      <c r="K703" s="929"/>
      <c r="L703" s="929"/>
      <c r="M703" s="1013" t="s">
        <v>2530</v>
      </c>
      <c r="N703" s="1013" t="s">
        <v>2524</v>
      </c>
      <c r="O703" s="929" t="s">
        <v>166</v>
      </c>
      <c r="P703" s="927">
        <f t="shared" si="55"/>
        <v>43185</v>
      </c>
      <c r="Q703" s="927">
        <f t="shared" si="56"/>
        <v>43185</v>
      </c>
      <c r="R703" s="930" t="s">
        <v>2481</v>
      </c>
      <c r="S703" s="931"/>
      <c r="T703" s="931"/>
      <c r="U703" s="926"/>
    </row>
    <row r="704" spans="1:21" hidden="1">
      <c r="A704" s="926" t="s">
        <v>2476</v>
      </c>
      <c r="B704" s="927">
        <v>43185</v>
      </c>
      <c r="C704" s="926">
        <v>4</v>
      </c>
      <c r="D704" s="926">
        <v>5</v>
      </c>
      <c r="E704" s="926"/>
      <c r="F704" s="926"/>
      <c r="G704" s="1013" t="s">
        <v>2531</v>
      </c>
      <c r="H704" s="929"/>
      <c r="I704" s="929" t="s">
        <v>2310</v>
      </c>
      <c r="J704" s="929"/>
      <c r="K704" s="929"/>
      <c r="L704" s="929"/>
      <c r="M704" s="1013" t="s">
        <v>2486</v>
      </c>
      <c r="N704" s="1013" t="s">
        <v>2532</v>
      </c>
      <c r="O704" s="929" t="s">
        <v>166</v>
      </c>
      <c r="P704" s="927">
        <f t="shared" ref="P704:P735" si="57">B704</f>
        <v>43185</v>
      </c>
      <c r="Q704" s="927">
        <f t="shared" si="56"/>
        <v>43185</v>
      </c>
      <c r="R704" s="930" t="s">
        <v>2481</v>
      </c>
      <c r="S704" s="931"/>
      <c r="T704" s="931"/>
      <c r="U704" s="926"/>
    </row>
    <row r="705" spans="1:21" hidden="1">
      <c r="A705" s="926" t="s">
        <v>2476</v>
      </c>
      <c r="B705" s="927">
        <v>43185</v>
      </c>
      <c r="C705" s="926">
        <v>4</v>
      </c>
      <c r="D705" s="926">
        <v>5</v>
      </c>
      <c r="E705" s="926"/>
      <c r="F705" s="926"/>
      <c r="G705" s="1013" t="s">
        <v>2533</v>
      </c>
      <c r="H705" s="929"/>
      <c r="I705" s="929" t="s">
        <v>2310</v>
      </c>
      <c r="J705" s="929"/>
      <c r="K705" s="929"/>
      <c r="L705" s="929"/>
      <c r="M705" s="1013" t="s">
        <v>2486</v>
      </c>
      <c r="N705" s="1013" t="s">
        <v>2532</v>
      </c>
      <c r="O705" s="929" t="s">
        <v>166</v>
      </c>
      <c r="P705" s="927">
        <f t="shared" si="57"/>
        <v>43185</v>
      </c>
      <c r="Q705" s="927">
        <f t="shared" si="56"/>
        <v>43185</v>
      </c>
      <c r="R705" s="930" t="s">
        <v>2481</v>
      </c>
      <c r="S705" s="931"/>
      <c r="T705" s="931"/>
      <c r="U705" s="926"/>
    </row>
    <row r="706" spans="1:21" ht="25.5" hidden="1">
      <c r="A706" s="926" t="s">
        <v>2476</v>
      </c>
      <c r="B706" s="927">
        <v>43185</v>
      </c>
      <c r="C706" s="926">
        <v>4</v>
      </c>
      <c r="D706" s="926">
        <v>5</v>
      </c>
      <c r="E706" s="926"/>
      <c r="F706" s="926"/>
      <c r="G706" s="1013" t="s">
        <v>2534</v>
      </c>
      <c r="H706" s="929"/>
      <c r="I706" s="929" t="s">
        <v>2310</v>
      </c>
      <c r="J706" s="929"/>
      <c r="K706" s="929"/>
      <c r="L706" s="929"/>
      <c r="M706" s="1013" t="s">
        <v>2535</v>
      </c>
      <c r="N706" s="1013" t="s">
        <v>2532</v>
      </c>
      <c r="O706" s="929" t="s">
        <v>166</v>
      </c>
      <c r="P706" s="927">
        <f t="shared" si="57"/>
        <v>43185</v>
      </c>
      <c r="Q706" s="927">
        <f t="shared" si="56"/>
        <v>43185</v>
      </c>
      <c r="R706" s="930" t="s">
        <v>2481</v>
      </c>
      <c r="S706" s="931"/>
      <c r="T706" s="931"/>
      <c r="U706" s="926"/>
    </row>
    <row r="707" spans="1:21" hidden="1">
      <c r="A707" s="926" t="s">
        <v>2476</v>
      </c>
      <c r="B707" s="927">
        <v>43185</v>
      </c>
      <c r="C707" s="926">
        <v>4</v>
      </c>
      <c r="D707" s="926">
        <v>5</v>
      </c>
      <c r="E707" s="926"/>
      <c r="F707" s="926"/>
      <c r="G707" s="1013" t="s">
        <v>2536</v>
      </c>
      <c r="H707" s="929"/>
      <c r="I707" s="929" t="s">
        <v>2310</v>
      </c>
      <c r="J707" s="929"/>
      <c r="K707" s="929"/>
      <c r="L707" s="929"/>
      <c r="M707" s="1013" t="s">
        <v>2537</v>
      </c>
      <c r="N707" s="1013" t="s">
        <v>2538</v>
      </c>
      <c r="O707" s="929" t="s">
        <v>166</v>
      </c>
      <c r="P707" s="927">
        <f t="shared" si="57"/>
        <v>43185</v>
      </c>
      <c r="Q707" s="927">
        <f t="shared" si="56"/>
        <v>43185</v>
      </c>
      <c r="R707" s="930" t="s">
        <v>2481</v>
      </c>
      <c r="S707" s="931"/>
      <c r="T707" s="931"/>
      <c r="U707" s="926"/>
    </row>
    <row r="708" spans="1:21" hidden="1">
      <c r="A708" s="926" t="s">
        <v>2476</v>
      </c>
      <c r="B708" s="927">
        <v>43185</v>
      </c>
      <c r="C708" s="926">
        <v>4</v>
      </c>
      <c r="D708" s="926">
        <v>6</v>
      </c>
      <c r="E708" s="932" t="s">
        <v>2539</v>
      </c>
      <c r="F708" s="932"/>
      <c r="G708" s="1013" t="s">
        <v>2540</v>
      </c>
      <c r="H708" s="929"/>
      <c r="I708" s="929" t="s">
        <v>551</v>
      </c>
      <c r="J708" s="929"/>
      <c r="K708" s="929"/>
      <c r="L708" s="929"/>
      <c r="M708" s="1013" t="s">
        <v>2488</v>
      </c>
      <c r="N708" s="1013" t="s">
        <v>2480</v>
      </c>
      <c r="O708" s="929" t="s">
        <v>77</v>
      </c>
      <c r="P708" s="927">
        <f t="shared" si="57"/>
        <v>43185</v>
      </c>
      <c r="Q708" s="927">
        <f t="shared" si="56"/>
        <v>43185</v>
      </c>
      <c r="R708" s="930" t="s">
        <v>2481</v>
      </c>
      <c r="S708" s="933" t="s">
        <v>2027</v>
      </c>
      <c r="T708" s="933"/>
      <c r="U708" s="926"/>
    </row>
    <row r="709" spans="1:21" hidden="1">
      <c r="A709" s="926" t="s">
        <v>2476</v>
      </c>
      <c r="B709" s="927">
        <v>43185</v>
      </c>
      <c r="C709" s="926">
        <v>4</v>
      </c>
      <c r="D709" s="926">
        <v>6</v>
      </c>
      <c r="E709" s="928"/>
      <c r="F709" s="928"/>
      <c r="G709" s="1013" t="s">
        <v>2541</v>
      </c>
      <c r="H709" s="929"/>
      <c r="I709" s="929" t="s">
        <v>2310</v>
      </c>
      <c r="J709" s="929"/>
      <c r="K709" s="929"/>
      <c r="L709" s="929"/>
      <c r="M709" s="1013" t="s">
        <v>2542</v>
      </c>
      <c r="N709" s="1013" t="s">
        <v>2480</v>
      </c>
      <c r="O709" s="929" t="s">
        <v>77</v>
      </c>
      <c r="P709" s="927">
        <f t="shared" si="57"/>
        <v>43185</v>
      </c>
      <c r="Q709" s="927">
        <f t="shared" si="56"/>
        <v>43185</v>
      </c>
      <c r="R709" s="930" t="s">
        <v>2481</v>
      </c>
      <c r="S709" s="931"/>
      <c r="T709" s="931"/>
      <c r="U709" s="926"/>
    </row>
    <row r="710" spans="1:21" hidden="1">
      <c r="A710" s="926" t="s">
        <v>2476</v>
      </c>
      <c r="B710" s="927">
        <v>43185</v>
      </c>
      <c r="C710" s="926">
        <v>4</v>
      </c>
      <c r="D710" s="926">
        <v>6</v>
      </c>
      <c r="E710" s="932" t="s">
        <v>1076</v>
      </c>
      <c r="F710" s="932"/>
      <c r="G710" s="1013" t="s">
        <v>2543</v>
      </c>
      <c r="H710" s="929"/>
      <c r="I710" s="929" t="s">
        <v>551</v>
      </c>
      <c r="J710" s="929"/>
      <c r="K710" s="929"/>
      <c r="L710" s="929"/>
      <c r="M710" s="1013" t="s">
        <v>2488</v>
      </c>
      <c r="N710" s="1013" t="s">
        <v>2480</v>
      </c>
      <c r="O710" s="929" t="s">
        <v>77</v>
      </c>
      <c r="P710" s="927">
        <f t="shared" si="57"/>
        <v>43185</v>
      </c>
      <c r="Q710" s="927">
        <f t="shared" si="56"/>
        <v>43185</v>
      </c>
      <c r="R710" s="930" t="s">
        <v>2481</v>
      </c>
      <c r="S710" s="933" t="s">
        <v>2067</v>
      </c>
      <c r="T710" s="933"/>
      <c r="U710" s="926"/>
    </row>
    <row r="711" spans="1:21" hidden="1">
      <c r="A711" s="926" t="s">
        <v>2476</v>
      </c>
      <c r="B711" s="927">
        <v>43185</v>
      </c>
      <c r="C711" s="926">
        <v>4</v>
      </c>
      <c r="D711" s="926">
        <v>6</v>
      </c>
      <c r="E711" s="926"/>
      <c r="F711" s="926"/>
      <c r="G711" s="1013" t="s">
        <v>2544</v>
      </c>
      <c r="H711" s="929"/>
      <c r="I711" s="929" t="s">
        <v>2310</v>
      </c>
      <c r="J711" s="929"/>
      <c r="K711" s="929"/>
      <c r="L711" s="929"/>
      <c r="M711" s="1013" t="s">
        <v>2542</v>
      </c>
      <c r="N711" s="1013" t="s">
        <v>2480</v>
      </c>
      <c r="O711" s="929" t="s">
        <v>77</v>
      </c>
      <c r="P711" s="927">
        <f t="shared" si="57"/>
        <v>43185</v>
      </c>
      <c r="Q711" s="927">
        <f t="shared" si="56"/>
        <v>43185</v>
      </c>
      <c r="R711" s="930" t="s">
        <v>2481</v>
      </c>
      <c r="S711" s="931"/>
      <c r="T711" s="931"/>
      <c r="U711" s="926"/>
    </row>
    <row r="712" spans="1:21" hidden="1">
      <c r="A712" s="926" t="s">
        <v>2476</v>
      </c>
      <c r="B712" s="927">
        <v>43185</v>
      </c>
      <c r="C712" s="926">
        <v>4</v>
      </c>
      <c r="D712" s="926">
        <v>6</v>
      </c>
      <c r="E712" s="926"/>
      <c r="F712" s="926"/>
      <c r="G712" s="1013" t="s">
        <v>2545</v>
      </c>
      <c r="H712" s="929"/>
      <c r="I712" s="929" t="s">
        <v>2310</v>
      </c>
      <c r="J712" s="929"/>
      <c r="K712" s="929"/>
      <c r="L712" s="929"/>
      <c r="M712" s="1013" t="s">
        <v>2542</v>
      </c>
      <c r="N712" s="1013" t="s">
        <v>2480</v>
      </c>
      <c r="O712" s="929" t="s">
        <v>77</v>
      </c>
      <c r="P712" s="927">
        <f t="shared" si="57"/>
        <v>43185</v>
      </c>
      <c r="Q712" s="927">
        <f t="shared" si="56"/>
        <v>43185</v>
      </c>
      <c r="R712" s="930" t="s">
        <v>2481</v>
      </c>
      <c r="S712" s="931"/>
      <c r="T712" s="931"/>
      <c r="U712" s="926"/>
    </row>
    <row r="713" spans="1:21" ht="29.25" hidden="1" customHeight="1">
      <c r="A713" s="926" t="s">
        <v>2476</v>
      </c>
      <c r="B713" s="927">
        <v>43185</v>
      </c>
      <c r="C713" s="926">
        <v>4</v>
      </c>
      <c r="D713" s="926">
        <v>6</v>
      </c>
      <c r="E713" s="935" t="s">
        <v>970</v>
      </c>
      <c r="F713" s="935"/>
      <c r="G713" s="1013" t="s">
        <v>2546</v>
      </c>
      <c r="H713" s="929"/>
      <c r="I713" s="929" t="s">
        <v>551</v>
      </c>
      <c r="J713" s="929"/>
      <c r="K713" s="929"/>
      <c r="L713" s="929"/>
      <c r="M713" s="1013" t="s">
        <v>2542</v>
      </c>
      <c r="N713" s="1013" t="s">
        <v>2480</v>
      </c>
      <c r="O713" s="929" t="s">
        <v>77</v>
      </c>
      <c r="P713" s="927">
        <f t="shared" si="57"/>
        <v>43185</v>
      </c>
      <c r="Q713" s="927">
        <f t="shared" si="56"/>
        <v>43185</v>
      </c>
      <c r="R713" s="930" t="s">
        <v>2481</v>
      </c>
      <c r="S713" s="933" t="s">
        <v>2006</v>
      </c>
      <c r="T713" s="933"/>
      <c r="U713" s="926"/>
    </row>
    <row r="714" spans="1:21" hidden="1">
      <c r="A714" s="926" t="s">
        <v>2476</v>
      </c>
      <c r="B714" s="927">
        <v>43185</v>
      </c>
      <c r="C714" s="926">
        <v>4</v>
      </c>
      <c r="D714" s="926">
        <v>6</v>
      </c>
      <c r="E714" s="926"/>
      <c r="F714" s="926"/>
      <c r="G714" s="1013" t="s">
        <v>2547</v>
      </c>
      <c r="H714" s="929"/>
      <c r="I714" s="929" t="s">
        <v>2310</v>
      </c>
      <c r="J714" s="929"/>
      <c r="K714" s="929"/>
      <c r="L714" s="929"/>
      <c r="M714" s="1013" t="s">
        <v>2542</v>
      </c>
      <c r="N714" s="1013" t="s">
        <v>2480</v>
      </c>
      <c r="O714" s="929" t="s">
        <v>77</v>
      </c>
      <c r="P714" s="927">
        <f t="shared" si="57"/>
        <v>43185</v>
      </c>
      <c r="Q714" s="927">
        <f t="shared" si="56"/>
        <v>43185</v>
      </c>
      <c r="R714" s="930" t="s">
        <v>2481</v>
      </c>
      <c r="S714" s="931"/>
      <c r="T714" s="931"/>
      <c r="U714" s="926"/>
    </row>
    <row r="715" spans="1:21" hidden="1">
      <c r="A715" s="926" t="s">
        <v>2476</v>
      </c>
      <c r="B715" s="927">
        <v>43185</v>
      </c>
      <c r="C715" s="926">
        <v>4</v>
      </c>
      <c r="D715" s="926">
        <v>6</v>
      </c>
      <c r="E715" s="926"/>
      <c r="F715" s="926"/>
      <c r="G715" s="1013" t="s">
        <v>2544</v>
      </c>
      <c r="H715" s="929"/>
      <c r="I715" s="929" t="s">
        <v>2310</v>
      </c>
      <c r="J715" s="929"/>
      <c r="K715" s="929"/>
      <c r="L715" s="929"/>
      <c r="M715" s="1013" t="s">
        <v>2548</v>
      </c>
      <c r="N715" s="1013" t="s">
        <v>2480</v>
      </c>
      <c r="O715" s="929" t="s">
        <v>77</v>
      </c>
      <c r="P715" s="927">
        <f t="shared" si="57"/>
        <v>43185</v>
      </c>
      <c r="Q715" s="927">
        <f t="shared" si="56"/>
        <v>43185</v>
      </c>
      <c r="R715" s="930" t="s">
        <v>2481</v>
      </c>
      <c r="S715" s="931"/>
      <c r="T715" s="931"/>
      <c r="U715" s="926"/>
    </row>
    <row r="716" spans="1:21" hidden="1">
      <c r="A716" s="926" t="s">
        <v>2476</v>
      </c>
      <c r="B716" s="927">
        <v>43185</v>
      </c>
      <c r="C716" s="926">
        <v>4</v>
      </c>
      <c r="D716" s="926">
        <v>6</v>
      </c>
      <c r="E716" s="926"/>
      <c r="F716" s="926"/>
      <c r="G716" s="1013" t="s">
        <v>2545</v>
      </c>
      <c r="H716" s="929"/>
      <c r="I716" s="929" t="s">
        <v>2310</v>
      </c>
      <c r="J716" s="929"/>
      <c r="K716" s="929"/>
      <c r="L716" s="929"/>
      <c r="M716" s="1013" t="s">
        <v>2548</v>
      </c>
      <c r="N716" s="1013" t="s">
        <v>2480</v>
      </c>
      <c r="O716" s="929" t="s">
        <v>77</v>
      </c>
      <c r="P716" s="927">
        <f t="shared" si="57"/>
        <v>43185</v>
      </c>
      <c r="Q716" s="927">
        <f t="shared" si="56"/>
        <v>43185</v>
      </c>
      <c r="R716" s="930" t="s">
        <v>2481</v>
      </c>
      <c r="S716" s="931"/>
      <c r="T716" s="931"/>
      <c r="U716" s="926"/>
    </row>
    <row r="717" spans="1:21" ht="32.25" hidden="1" customHeight="1">
      <c r="A717" s="926" t="s">
        <v>2476</v>
      </c>
      <c r="B717" s="927">
        <v>43185</v>
      </c>
      <c r="C717" s="926">
        <v>4</v>
      </c>
      <c r="D717" s="926">
        <v>7</v>
      </c>
      <c r="E717" s="926"/>
      <c r="F717" s="926"/>
      <c r="G717" s="1013" t="s">
        <v>2546</v>
      </c>
      <c r="H717" s="929"/>
      <c r="I717" s="929" t="s">
        <v>2310</v>
      </c>
      <c r="J717" s="929"/>
      <c r="K717" s="929"/>
      <c r="L717" s="929"/>
      <c r="M717" s="1013" t="s">
        <v>2548</v>
      </c>
      <c r="N717" s="1013" t="s">
        <v>2480</v>
      </c>
      <c r="O717" s="929" t="s">
        <v>77</v>
      </c>
      <c r="P717" s="927">
        <f t="shared" si="57"/>
        <v>43185</v>
      </c>
      <c r="Q717" s="927">
        <f t="shared" si="56"/>
        <v>43185</v>
      </c>
      <c r="R717" s="930" t="s">
        <v>2481</v>
      </c>
      <c r="S717" s="931"/>
      <c r="T717" s="931"/>
      <c r="U717" s="926"/>
    </row>
    <row r="718" spans="1:21" hidden="1">
      <c r="A718" s="926" t="s">
        <v>2476</v>
      </c>
      <c r="B718" s="927">
        <v>43185</v>
      </c>
      <c r="C718" s="926">
        <v>4</v>
      </c>
      <c r="D718" s="926">
        <v>7</v>
      </c>
      <c r="E718" s="926"/>
      <c r="F718" s="926"/>
      <c r="G718" s="1013" t="s">
        <v>2547</v>
      </c>
      <c r="H718" s="929"/>
      <c r="I718" s="929" t="s">
        <v>2310</v>
      </c>
      <c r="J718" s="929"/>
      <c r="K718" s="929"/>
      <c r="L718" s="929"/>
      <c r="M718" s="1013" t="s">
        <v>2548</v>
      </c>
      <c r="N718" s="1013" t="s">
        <v>2480</v>
      </c>
      <c r="O718" s="929" t="s">
        <v>77</v>
      </c>
      <c r="P718" s="927">
        <f t="shared" si="57"/>
        <v>43185</v>
      </c>
      <c r="Q718" s="927">
        <f t="shared" si="56"/>
        <v>43185</v>
      </c>
      <c r="R718" s="930" t="s">
        <v>2481</v>
      </c>
      <c r="S718" s="931"/>
      <c r="T718" s="931"/>
      <c r="U718" s="926"/>
    </row>
    <row r="719" spans="1:21" hidden="1">
      <c r="A719" s="926" t="s">
        <v>2476</v>
      </c>
      <c r="B719" s="927">
        <v>43185</v>
      </c>
      <c r="C719" s="926">
        <v>4</v>
      </c>
      <c r="D719" s="926">
        <v>7</v>
      </c>
      <c r="E719" s="926"/>
      <c r="F719" s="926"/>
      <c r="G719" s="1013" t="s">
        <v>2547</v>
      </c>
      <c r="H719" s="929"/>
      <c r="I719" s="929" t="s">
        <v>2310</v>
      </c>
      <c r="J719" s="929"/>
      <c r="K719" s="929"/>
      <c r="L719" s="929"/>
      <c r="M719" s="1013" t="s">
        <v>2549</v>
      </c>
      <c r="N719" s="1013" t="s">
        <v>2480</v>
      </c>
      <c r="O719" s="929" t="s">
        <v>77</v>
      </c>
      <c r="P719" s="927">
        <f t="shared" si="57"/>
        <v>43185</v>
      </c>
      <c r="Q719" s="927">
        <f t="shared" si="56"/>
        <v>43185</v>
      </c>
      <c r="R719" s="930" t="s">
        <v>2481</v>
      </c>
      <c r="S719" s="931"/>
      <c r="T719" s="931"/>
      <c r="U719" s="926"/>
    </row>
    <row r="720" spans="1:21" hidden="1">
      <c r="A720" s="926" t="s">
        <v>2476</v>
      </c>
      <c r="B720" s="927">
        <v>43185</v>
      </c>
      <c r="C720" s="926">
        <v>4</v>
      </c>
      <c r="D720" s="926">
        <v>7</v>
      </c>
      <c r="E720" s="926"/>
      <c r="F720" s="926"/>
      <c r="G720" s="1013" t="s">
        <v>1521</v>
      </c>
      <c r="H720" s="929"/>
      <c r="I720" s="929" t="s">
        <v>2310</v>
      </c>
      <c r="J720" s="929"/>
      <c r="K720" s="929"/>
      <c r="L720" s="929"/>
      <c r="M720" s="1013" t="s">
        <v>2550</v>
      </c>
      <c r="N720" s="1013" t="s">
        <v>2480</v>
      </c>
      <c r="O720" s="929" t="s">
        <v>77</v>
      </c>
      <c r="P720" s="927">
        <f t="shared" si="57"/>
        <v>43185</v>
      </c>
      <c r="Q720" s="927">
        <f t="shared" si="56"/>
        <v>43185</v>
      </c>
      <c r="R720" s="930" t="s">
        <v>2481</v>
      </c>
      <c r="S720" s="931"/>
      <c r="T720" s="931"/>
      <c r="U720" s="926"/>
    </row>
    <row r="721" spans="1:21" ht="25.5" hidden="1">
      <c r="A721" s="926" t="s">
        <v>2476</v>
      </c>
      <c r="B721" s="927">
        <v>43185</v>
      </c>
      <c r="C721" s="926">
        <v>4</v>
      </c>
      <c r="D721" s="926">
        <v>7</v>
      </c>
      <c r="E721" s="926"/>
      <c r="F721" s="926"/>
      <c r="G721" s="1013" t="s">
        <v>2551</v>
      </c>
      <c r="H721" s="929"/>
      <c r="I721" s="929" t="s">
        <v>2310</v>
      </c>
      <c r="J721" s="929"/>
      <c r="K721" s="929"/>
      <c r="L721" s="929"/>
      <c r="M721" s="1013" t="s">
        <v>2552</v>
      </c>
      <c r="N721" s="1013" t="s">
        <v>2480</v>
      </c>
      <c r="O721" s="929" t="s">
        <v>77</v>
      </c>
      <c r="P721" s="927">
        <f t="shared" si="57"/>
        <v>43185</v>
      </c>
      <c r="Q721" s="927">
        <f t="shared" si="56"/>
        <v>43185</v>
      </c>
      <c r="R721" s="930" t="s">
        <v>2481</v>
      </c>
      <c r="S721" s="931"/>
      <c r="T721" s="931"/>
      <c r="U721" s="926"/>
    </row>
    <row r="722" spans="1:21" ht="32.25" hidden="1" customHeight="1">
      <c r="A722" s="926" t="s">
        <v>2476</v>
      </c>
      <c r="B722" s="927">
        <v>43185</v>
      </c>
      <c r="C722" s="926">
        <v>4</v>
      </c>
      <c r="D722" s="926">
        <v>7</v>
      </c>
      <c r="E722" s="926"/>
      <c r="F722" s="926"/>
      <c r="G722" s="1013" t="s">
        <v>2553</v>
      </c>
      <c r="H722" s="929"/>
      <c r="I722" s="929" t="s">
        <v>2310</v>
      </c>
      <c r="J722" s="929"/>
      <c r="K722" s="929"/>
      <c r="L722" s="929"/>
      <c r="M722" s="1013" t="s">
        <v>2554</v>
      </c>
      <c r="N722" s="1013" t="s">
        <v>2480</v>
      </c>
      <c r="O722" s="929" t="s">
        <v>77</v>
      </c>
      <c r="P722" s="927">
        <f t="shared" si="57"/>
        <v>43185</v>
      </c>
      <c r="Q722" s="927">
        <f t="shared" si="56"/>
        <v>43185</v>
      </c>
      <c r="R722" s="930" t="s">
        <v>2481</v>
      </c>
      <c r="S722" s="931"/>
      <c r="T722" s="931"/>
      <c r="U722" s="926"/>
    </row>
    <row r="723" spans="1:21" hidden="1">
      <c r="A723" s="926" t="s">
        <v>2476</v>
      </c>
      <c r="B723" s="927">
        <v>43185</v>
      </c>
      <c r="C723" s="926">
        <v>4</v>
      </c>
      <c r="D723" s="926">
        <v>7</v>
      </c>
      <c r="E723" s="926"/>
      <c r="F723" s="926"/>
      <c r="G723" s="1013" t="s">
        <v>2555</v>
      </c>
      <c r="H723" s="929"/>
      <c r="I723" s="929" t="s">
        <v>2310</v>
      </c>
      <c r="J723" s="929"/>
      <c r="K723" s="929"/>
      <c r="L723" s="929"/>
      <c r="M723" s="1013" t="s">
        <v>2556</v>
      </c>
      <c r="N723" s="1013" t="s">
        <v>2480</v>
      </c>
      <c r="O723" s="929" t="s">
        <v>77</v>
      </c>
      <c r="P723" s="927">
        <f t="shared" si="57"/>
        <v>43185</v>
      </c>
      <c r="Q723" s="927">
        <f t="shared" si="56"/>
        <v>43185</v>
      </c>
      <c r="R723" s="930" t="s">
        <v>2481</v>
      </c>
      <c r="S723" s="931"/>
      <c r="T723" s="931"/>
      <c r="U723" s="926"/>
    </row>
    <row r="724" spans="1:21" hidden="1">
      <c r="A724" s="926" t="s">
        <v>2476</v>
      </c>
      <c r="B724" s="927">
        <v>43185</v>
      </c>
      <c r="C724" s="926">
        <v>4</v>
      </c>
      <c r="D724" s="926">
        <v>7</v>
      </c>
      <c r="E724" s="926"/>
      <c r="F724" s="926"/>
      <c r="G724" s="1013" t="s">
        <v>2557</v>
      </c>
      <c r="H724" s="929"/>
      <c r="I724" s="929" t="s">
        <v>2310</v>
      </c>
      <c r="J724" s="929"/>
      <c r="K724" s="929"/>
      <c r="L724" s="929"/>
      <c r="M724" s="1013" t="s">
        <v>2498</v>
      </c>
      <c r="N724" s="1013" t="s">
        <v>2538</v>
      </c>
      <c r="O724" s="929" t="s">
        <v>77</v>
      </c>
      <c r="P724" s="927">
        <f t="shared" si="57"/>
        <v>43185</v>
      </c>
      <c r="Q724" s="927">
        <f t="shared" si="56"/>
        <v>43185</v>
      </c>
      <c r="R724" s="930" t="s">
        <v>2481</v>
      </c>
      <c r="S724" s="931"/>
      <c r="T724" s="931"/>
      <c r="U724" s="926"/>
    </row>
    <row r="725" spans="1:21" hidden="1">
      <c r="A725" s="926" t="s">
        <v>2476</v>
      </c>
      <c r="B725" s="927">
        <v>43185</v>
      </c>
      <c r="C725" s="926">
        <v>4</v>
      </c>
      <c r="D725" s="926">
        <v>7</v>
      </c>
      <c r="E725" s="926"/>
      <c r="F725" s="926"/>
      <c r="G725" s="1013" t="s">
        <v>2558</v>
      </c>
      <c r="H725" s="929"/>
      <c r="I725" s="929" t="s">
        <v>2310</v>
      </c>
      <c r="J725" s="929"/>
      <c r="K725" s="929"/>
      <c r="L725" s="929"/>
      <c r="M725" s="1013" t="s">
        <v>2559</v>
      </c>
      <c r="N725" s="1013" t="s">
        <v>2538</v>
      </c>
      <c r="O725" s="929" t="s">
        <v>77</v>
      </c>
      <c r="P725" s="927">
        <f t="shared" si="57"/>
        <v>43185</v>
      </c>
      <c r="Q725" s="927">
        <f t="shared" si="56"/>
        <v>43185</v>
      </c>
      <c r="R725" s="930" t="s">
        <v>2481</v>
      </c>
      <c r="S725" s="931"/>
      <c r="T725" s="931"/>
      <c r="U725" s="926"/>
    </row>
    <row r="726" spans="1:21" ht="25.5" hidden="1">
      <c r="A726" s="926" t="s">
        <v>2476</v>
      </c>
      <c r="B726" s="927">
        <v>43185</v>
      </c>
      <c r="C726" s="926">
        <v>4</v>
      </c>
      <c r="D726" s="926">
        <v>7</v>
      </c>
      <c r="E726" s="926"/>
      <c r="F726" s="926"/>
      <c r="G726" s="1013" t="s">
        <v>2560</v>
      </c>
      <c r="H726" s="929"/>
      <c r="I726" s="929" t="s">
        <v>2310</v>
      </c>
      <c r="J726" s="929"/>
      <c r="K726" s="929"/>
      <c r="L726" s="929"/>
      <c r="M726" s="1013" t="s">
        <v>2561</v>
      </c>
      <c r="N726" s="1013" t="s">
        <v>2538</v>
      </c>
      <c r="O726" s="929" t="s">
        <v>77</v>
      </c>
      <c r="P726" s="927">
        <f t="shared" si="57"/>
        <v>43185</v>
      </c>
      <c r="Q726" s="927">
        <f t="shared" si="56"/>
        <v>43185</v>
      </c>
      <c r="R726" s="930" t="s">
        <v>2481</v>
      </c>
      <c r="S726" s="931"/>
      <c r="T726" s="931"/>
      <c r="U726" s="926"/>
    </row>
    <row r="727" spans="1:21" hidden="1">
      <c r="A727" s="926" t="s">
        <v>2476</v>
      </c>
      <c r="B727" s="927">
        <v>43185</v>
      </c>
      <c r="C727" s="926">
        <v>4</v>
      </c>
      <c r="D727" s="926">
        <v>7</v>
      </c>
      <c r="E727" s="926"/>
      <c r="F727" s="926"/>
      <c r="G727" s="1013" t="s">
        <v>2562</v>
      </c>
      <c r="H727" s="929"/>
      <c r="I727" s="929" t="s">
        <v>2310</v>
      </c>
      <c r="J727" s="929"/>
      <c r="K727" s="929"/>
      <c r="L727" s="929"/>
      <c r="M727" s="1013" t="s">
        <v>2563</v>
      </c>
      <c r="N727" s="1013" t="s">
        <v>2480</v>
      </c>
      <c r="O727" s="929" t="s">
        <v>77</v>
      </c>
      <c r="P727" s="927">
        <f t="shared" si="57"/>
        <v>43185</v>
      </c>
      <c r="Q727" s="927">
        <f t="shared" si="56"/>
        <v>43185</v>
      </c>
      <c r="R727" s="930" t="s">
        <v>2481</v>
      </c>
      <c r="S727" s="931"/>
      <c r="T727" s="931"/>
      <c r="U727" s="926"/>
    </row>
    <row r="728" spans="1:21" hidden="1">
      <c r="A728" s="926" t="s">
        <v>2476</v>
      </c>
      <c r="B728" s="927">
        <v>43185</v>
      </c>
      <c r="C728" s="926">
        <v>4</v>
      </c>
      <c r="D728" s="926">
        <v>7</v>
      </c>
      <c r="E728" s="926"/>
      <c r="F728" s="926"/>
      <c r="G728" s="1013" t="s">
        <v>2564</v>
      </c>
      <c r="H728" s="929"/>
      <c r="I728" s="929" t="s">
        <v>2310</v>
      </c>
      <c r="J728" s="929"/>
      <c r="K728" s="929"/>
      <c r="L728" s="929"/>
      <c r="M728" s="1013" t="s">
        <v>2559</v>
      </c>
      <c r="N728" s="1013" t="s">
        <v>2538</v>
      </c>
      <c r="O728" s="929" t="s">
        <v>77</v>
      </c>
      <c r="P728" s="927">
        <f t="shared" si="57"/>
        <v>43185</v>
      </c>
      <c r="Q728" s="927">
        <f t="shared" si="56"/>
        <v>43185</v>
      </c>
      <c r="R728" s="930" t="s">
        <v>2481</v>
      </c>
      <c r="S728" s="931"/>
      <c r="T728" s="931"/>
      <c r="U728" s="926"/>
    </row>
    <row r="729" spans="1:21" ht="25.5" hidden="1">
      <c r="A729" s="926" t="s">
        <v>2476</v>
      </c>
      <c r="B729" s="927">
        <v>43185</v>
      </c>
      <c r="C729" s="926">
        <v>4</v>
      </c>
      <c r="D729" s="926">
        <v>7</v>
      </c>
      <c r="E729" s="926"/>
      <c r="F729" s="926"/>
      <c r="G729" s="1013" t="s">
        <v>2565</v>
      </c>
      <c r="H729" s="929"/>
      <c r="I729" s="929" t="s">
        <v>2310</v>
      </c>
      <c r="J729" s="929"/>
      <c r="K729" s="929"/>
      <c r="L729" s="929"/>
      <c r="M729" s="1013" t="s">
        <v>2530</v>
      </c>
      <c r="N729" s="1013" t="s">
        <v>2538</v>
      </c>
      <c r="O729" s="929" t="s">
        <v>77</v>
      </c>
      <c r="P729" s="927">
        <f t="shared" si="57"/>
        <v>43185</v>
      </c>
      <c r="Q729" s="927">
        <f t="shared" si="56"/>
        <v>43185</v>
      </c>
      <c r="R729" s="930" t="s">
        <v>2481</v>
      </c>
      <c r="S729" s="931"/>
      <c r="T729" s="931"/>
      <c r="U729" s="926"/>
    </row>
    <row r="730" spans="1:21" hidden="1">
      <c r="A730" s="926" t="s">
        <v>2476</v>
      </c>
      <c r="B730" s="927">
        <v>43185</v>
      </c>
      <c r="C730" s="926">
        <v>4</v>
      </c>
      <c r="D730" s="926">
        <v>7</v>
      </c>
      <c r="E730" s="926"/>
      <c r="F730" s="926"/>
      <c r="G730" s="1013" t="s">
        <v>2564</v>
      </c>
      <c r="H730" s="929"/>
      <c r="I730" s="929" t="s">
        <v>2310</v>
      </c>
      <c r="J730" s="929"/>
      <c r="K730" s="929"/>
      <c r="L730" s="929"/>
      <c r="M730" s="1013" t="s">
        <v>2566</v>
      </c>
      <c r="N730" s="1013" t="s">
        <v>2538</v>
      </c>
      <c r="O730" s="929" t="s">
        <v>77</v>
      </c>
      <c r="P730" s="927">
        <f t="shared" si="57"/>
        <v>43185</v>
      </c>
      <c r="Q730" s="927">
        <f t="shared" si="56"/>
        <v>43185</v>
      </c>
      <c r="R730" s="930" t="s">
        <v>2481</v>
      </c>
      <c r="S730" s="931"/>
      <c r="T730" s="931"/>
      <c r="U730" s="926"/>
    </row>
    <row r="731" spans="1:21" ht="25.5" hidden="1">
      <c r="A731" s="926" t="s">
        <v>2476</v>
      </c>
      <c r="B731" s="927">
        <v>43185</v>
      </c>
      <c r="C731" s="926">
        <v>4</v>
      </c>
      <c r="D731" s="926">
        <v>7</v>
      </c>
      <c r="E731" s="932" t="s">
        <v>1128</v>
      </c>
      <c r="F731" s="932"/>
      <c r="G731" s="1013" t="s">
        <v>2567</v>
      </c>
      <c r="H731" s="929"/>
      <c r="I731" s="929" t="s">
        <v>551</v>
      </c>
      <c r="J731" s="929"/>
      <c r="K731" s="929"/>
      <c r="L731" s="929"/>
      <c r="M731" s="1013" t="s">
        <v>2568</v>
      </c>
      <c r="N731" s="1013" t="s">
        <v>2538</v>
      </c>
      <c r="O731" s="929" t="s">
        <v>77</v>
      </c>
      <c r="P731" s="927">
        <f t="shared" si="57"/>
        <v>43185</v>
      </c>
      <c r="Q731" s="927">
        <f t="shared" si="56"/>
        <v>43185</v>
      </c>
      <c r="R731" s="930" t="s">
        <v>2481</v>
      </c>
      <c r="S731" s="933" t="s">
        <v>2089</v>
      </c>
      <c r="T731" s="933"/>
      <c r="U731" s="926"/>
    </row>
    <row r="732" spans="1:21" ht="25.5" hidden="1">
      <c r="A732" s="926" t="s">
        <v>2476</v>
      </c>
      <c r="B732" s="927">
        <v>43185</v>
      </c>
      <c r="C732" s="926">
        <v>4</v>
      </c>
      <c r="D732" s="926">
        <v>8</v>
      </c>
      <c r="E732" s="932" t="s">
        <v>1114</v>
      </c>
      <c r="F732" s="932"/>
      <c r="G732" s="1013" t="s">
        <v>2569</v>
      </c>
      <c r="H732" s="929"/>
      <c r="I732" s="929" t="s">
        <v>551</v>
      </c>
      <c r="J732" s="929"/>
      <c r="K732" s="929"/>
      <c r="L732" s="929"/>
      <c r="M732" s="1013" t="s">
        <v>2568</v>
      </c>
      <c r="N732" s="1013" t="s">
        <v>2538</v>
      </c>
      <c r="O732" s="929" t="s">
        <v>77</v>
      </c>
      <c r="P732" s="927">
        <f t="shared" si="57"/>
        <v>43185</v>
      </c>
      <c r="Q732" s="927">
        <f t="shared" si="56"/>
        <v>43185</v>
      </c>
      <c r="R732" s="930" t="s">
        <v>2481</v>
      </c>
      <c r="S732" s="933" t="s">
        <v>2086</v>
      </c>
      <c r="T732" s="933"/>
      <c r="U732" s="926"/>
    </row>
    <row r="733" spans="1:21" ht="25.5" hidden="1">
      <c r="A733" s="926" t="s">
        <v>2476</v>
      </c>
      <c r="B733" s="927">
        <v>43185</v>
      </c>
      <c r="C733" s="926">
        <v>4</v>
      </c>
      <c r="D733" s="926">
        <v>8</v>
      </c>
      <c r="E733" s="926"/>
      <c r="F733" s="926"/>
      <c r="G733" s="1013" t="s">
        <v>2567</v>
      </c>
      <c r="H733" s="929"/>
      <c r="I733" s="929" t="s">
        <v>2310</v>
      </c>
      <c r="J733" s="929"/>
      <c r="K733" s="929"/>
      <c r="L733" s="929"/>
      <c r="M733" s="1013" t="s">
        <v>2570</v>
      </c>
      <c r="N733" s="1013" t="s">
        <v>2538</v>
      </c>
      <c r="O733" s="929" t="s">
        <v>77</v>
      </c>
      <c r="P733" s="927">
        <f t="shared" si="57"/>
        <v>43185</v>
      </c>
      <c r="Q733" s="927">
        <f t="shared" si="56"/>
        <v>43185</v>
      </c>
      <c r="R733" s="930" t="s">
        <v>2481</v>
      </c>
      <c r="S733" s="931"/>
      <c r="T733" s="931"/>
      <c r="U733" s="926"/>
    </row>
    <row r="734" spans="1:21" ht="25.5" hidden="1">
      <c r="A734" s="926" t="s">
        <v>2476</v>
      </c>
      <c r="B734" s="927">
        <v>43185</v>
      </c>
      <c r="C734" s="926">
        <v>4</v>
      </c>
      <c r="D734" s="926">
        <v>8</v>
      </c>
      <c r="E734" s="926"/>
      <c r="F734" s="926"/>
      <c r="G734" s="1013" t="s">
        <v>2569</v>
      </c>
      <c r="H734" s="929"/>
      <c r="I734" s="929" t="s">
        <v>2310</v>
      </c>
      <c r="J734" s="929"/>
      <c r="K734" s="929"/>
      <c r="L734" s="929"/>
      <c r="M734" s="1013" t="s">
        <v>2570</v>
      </c>
      <c r="N734" s="1013" t="s">
        <v>2538</v>
      </c>
      <c r="O734" s="929" t="s">
        <v>77</v>
      </c>
      <c r="P734" s="927">
        <f t="shared" si="57"/>
        <v>43185</v>
      </c>
      <c r="Q734" s="927">
        <f t="shared" si="56"/>
        <v>43185</v>
      </c>
      <c r="R734" s="930" t="s">
        <v>2481</v>
      </c>
      <c r="S734" s="931"/>
      <c r="T734" s="931"/>
      <c r="U734" s="926"/>
    </row>
    <row r="735" spans="1:21" ht="37.5" hidden="1" customHeight="1">
      <c r="A735" s="926" t="s">
        <v>2476</v>
      </c>
      <c r="B735" s="927">
        <v>43185</v>
      </c>
      <c r="C735" s="926">
        <v>4</v>
      </c>
      <c r="D735" s="926">
        <v>8</v>
      </c>
      <c r="E735" s="932" t="s">
        <v>1133</v>
      </c>
      <c r="F735" s="932"/>
      <c r="G735" s="1013" t="s">
        <v>2571</v>
      </c>
      <c r="H735" s="929"/>
      <c r="I735" s="929" t="s">
        <v>551</v>
      </c>
      <c r="J735" s="929"/>
      <c r="K735" s="929"/>
      <c r="L735" s="929"/>
      <c r="M735" s="1013" t="s">
        <v>2511</v>
      </c>
      <c r="N735" s="1013" t="s">
        <v>2512</v>
      </c>
      <c r="O735" s="929" t="s">
        <v>77</v>
      </c>
      <c r="P735" s="927">
        <f t="shared" si="57"/>
        <v>43185</v>
      </c>
      <c r="Q735" s="927">
        <f t="shared" si="56"/>
        <v>43185</v>
      </c>
      <c r="R735" s="930" t="s">
        <v>2481</v>
      </c>
      <c r="S735" s="933" t="s">
        <v>2091</v>
      </c>
      <c r="T735" s="933"/>
      <c r="U735" s="926"/>
    </row>
    <row r="736" spans="1:21" hidden="1">
      <c r="A736" s="926" t="s">
        <v>2476</v>
      </c>
      <c r="B736" s="927">
        <v>43185</v>
      </c>
      <c r="C736" s="926">
        <v>4</v>
      </c>
      <c r="D736" s="926">
        <v>8</v>
      </c>
      <c r="E736" s="926"/>
      <c r="F736" s="926"/>
      <c r="G736" s="1013" t="s">
        <v>2572</v>
      </c>
      <c r="H736" s="929"/>
      <c r="I736" s="929" t="s">
        <v>2310</v>
      </c>
      <c r="J736" s="929"/>
      <c r="K736" s="929"/>
      <c r="L736" s="929"/>
      <c r="M736" s="1013" t="s">
        <v>2573</v>
      </c>
      <c r="N736" s="1013" t="s">
        <v>2512</v>
      </c>
      <c r="O736" s="929" t="s">
        <v>77</v>
      </c>
      <c r="P736" s="927">
        <f t="shared" ref="P736:P767" si="58">B736</f>
        <v>43185</v>
      </c>
      <c r="Q736" s="927">
        <f t="shared" si="56"/>
        <v>43185</v>
      </c>
      <c r="R736" s="930" t="s">
        <v>2481</v>
      </c>
      <c r="S736" s="931"/>
      <c r="T736" s="931"/>
      <c r="U736" s="926"/>
    </row>
    <row r="737" spans="1:21" hidden="1">
      <c r="A737" s="926" t="s">
        <v>2476</v>
      </c>
      <c r="B737" s="927">
        <v>43185</v>
      </c>
      <c r="C737" s="926">
        <v>4</v>
      </c>
      <c r="D737" s="926">
        <v>8</v>
      </c>
      <c r="E737" s="926"/>
      <c r="F737" s="926"/>
      <c r="G737" s="1013" t="s">
        <v>2574</v>
      </c>
      <c r="H737" s="929"/>
      <c r="I737" s="929" t="s">
        <v>2310</v>
      </c>
      <c r="J737" s="929"/>
      <c r="K737" s="929"/>
      <c r="L737" s="929"/>
      <c r="M737" s="1013" t="s">
        <v>68</v>
      </c>
      <c r="N737" s="1013" t="s">
        <v>2575</v>
      </c>
      <c r="O737" s="929" t="s">
        <v>77</v>
      </c>
      <c r="P737" s="927">
        <f t="shared" si="58"/>
        <v>43185</v>
      </c>
      <c r="Q737" s="927">
        <f t="shared" si="56"/>
        <v>43185</v>
      </c>
      <c r="R737" s="930" t="s">
        <v>2481</v>
      </c>
      <c r="S737" s="931"/>
      <c r="T737" s="931"/>
      <c r="U737" s="926"/>
    </row>
    <row r="738" spans="1:21" hidden="1">
      <c r="A738" s="926" t="s">
        <v>2476</v>
      </c>
      <c r="B738" s="927">
        <v>43185</v>
      </c>
      <c r="C738" s="926">
        <v>4</v>
      </c>
      <c r="D738" s="926">
        <v>8</v>
      </c>
      <c r="E738" s="926"/>
      <c r="F738" s="926"/>
      <c r="G738" s="1013" t="s">
        <v>2564</v>
      </c>
      <c r="H738" s="929"/>
      <c r="I738" s="929" t="s">
        <v>2310</v>
      </c>
      <c r="J738" s="929"/>
      <c r="K738" s="929"/>
      <c r="L738" s="929"/>
      <c r="M738" s="1013" t="s">
        <v>2576</v>
      </c>
      <c r="N738" s="1013" t="s">
        <v>2577</v>
      </c>
      <c r="O738" s="929" t="s">
        <v>77</v>
      </c>
      <c r="P738" s="927">
        <f t="shared" si="58"/>
        <v>43185</v>
      </c>
      <c r="Q738" s="927">
        <f t="shared" si="56"/>
        <v>43185</v>
      </c>
      <c r="R738" s="930" t="s">
        <v>2481</v>
      </c>
      <c r="S738" s="931"/>
      <c r="T738" s="931"/>
      <c r="U738" s="926"/>
    </row>
    <row r="739" spans="1:21" hidden="1">
      <c r="A739" s="926" t="s">
        <v>2476</v>
      </c>
      <c r="B739" s="927">
        <v>43185</v>
      </c>
      <c r="C739" s="926">
        <v>4</v>
      </c>
      <c r="D739" s="926">
        <v>8</v>
      </c>
      <c r="E739" s="928"/>
      <c r="F739" s="928"/>
      <c r="G739" s="1013" t="s">
        <v>2578</v>
      </c>
      <c r="H739" s="929"/>
      <c r="I739" s="929" t="s">
        <v>2310</v>
      </c>
      <c r="J739" s="929"/>
      <c r="K739" s="929"/>
      <c r="L739" s="929"/>
      <c r="M739" s="1013" t="s">
        <v>2528</v>
      </c>
      <c r="N739" s="1013" t="s">
        <v>2524</v>
      </c>
      <c r="O739" s="929" t="s">
        <v>77</v>
      </c>
      <c r="P739" s="927">
        <f t="shared" si="58"/>
        <v>43185</v>
      </c>
      <c r="Q739" s="927">
        <f t="shared" si="56"/>
        <v>43185</v>
      </c>
      <c r="R739" s="930" t="s">
        <v>2481</v>
      </c>
      <c r="S739" s="931"/>
      <c r="T739" s="931"/>
      <c r="U739" s="926"/>
    </row>
    <row r="740" spans="1:21" hidden="1">
      <c r="A740" s="926" t="s">
        <v>2476</v>
      </c>
      <c r="B740" s="927">
        <v>43185</v>
      </c>
      <c r="C740" s="926">
        <v>4</v>
      </c>
      <c r="D740" s="926">
        <v>8</v>
      </c>
      <c r="E740" s="926"/>
      <c r="F740" s="926"/>
      <c r="G740" s="1013" t="s">
        <v>2509</v>
      </c>
      <c r="H740" s="929"/>
      <c r="I740" s="929" t="s">
        <v>2310</v>
      </c>
      <c r="J740" s="929"/>
      <c r="K740" s="929"/>
      <c r="L740" s="929"/>
      <c r="M740" s="1013" t="s">
        <v>2528</v>
      </c>
      <c r="N740" s="1013" t="s">
        <v>2524</v>
      </c>
      <c r="O740" s="929" t="s">
        <v>77</v>
      </c>
      <c r="P740" s="927">
        <f t="shared" si="58"/>
        <v>43185</v>
      </c>
      <c r="Q740" s="927">
        <f t="shared" si="56"/>
        <v>43185</v>
      </c>
      <c r="R740" s="930" t="s">
        <v>2481</v>
      </c>
      <c r="S740" s="931"/>
      <c r="T740" s="931"/>
      <c r="U740" s="926"/>
    </row>
    <row r="741" spans="1:21" hidden="1">
      <c r="A741" s="926" t="s">
        <v>2476</v>
      </c>
      <c r="B741" s="927">
        <v>43185</v>
      </c>
      <c r="C741" s="926">
        <v>4</v>
      </c>
      <c r="D741" s="926">
        <v>8</v>
      </c>
      <c r="E741" s="926"/>
      <c r="F741" s="926"/>
      <c r="G741" s="1013" t="s">
        <v>2555</v>
      </c>
      <c r="H741" s="929"/>
      <c r="I741" s="929" t="s">
        <v>2310</v>
      </c>
      <c r="J741" s="929"/>
      <c r="K741" s="929"/>
      <c r="L741" s="929"/>
      <c r="M741" s="1013" t="s">
        <v>2528</v>
      </c>
      <c r="N741" s="1013" t="s">
        <v>2524</v>
      </c>
      <c r="O741" s="929" t="s">
        <v>77</v>
      </c>
      <c r="P741" s="927">
        <f t="shared" si="58"/>
        <v>43185</v>
      </c>
      <c r="Q741" s="927">
        <f t="shared" si="56"/>
        <v>43185</v>
      </c>
      <c r="R741" s="930" t="s">
        <v>2481</v>
      </c>
      <c r="S741" s="931"/>
      <c r="T741" s="931"/>
      <c r="U741" s="926"/>
    </row>
    <row r="742" spans="1:21" ht="25.5" hidden="1">
      <c r="A742" s="926" t="s">
        <v>2476</v>
      </c>
      <c r="B742" s="927">
        <v>43185</v>
      </c>
      <c r="C742" s="926">
        <v>4</v>
      </c>
      <c r="D742" s="926">
        <v>8</v>
      </c>
      <c r="E742" s="935" t="s">
        <v>1242</v>
      </c>
      <c r="F742" s="935"/>
      <c r="G742" s="1013" t="s">
        <v>2579</v>
      </c>
      <c r="H742" s="929"/>
      <c r="I742" s="929" t="s">
        <v>551</v>
      </c>
      <c r="J742" s="929"/>
      <c r="K742" s="929"/>
      <c r="L742" s="929"/>
      <c r="M742" s="1013" t="s">
        <v>2528</v>
      </c>
      <c r="N742" s="1013" t="s">
        <v>2524</v>
      </c>
      <c r="O742" s="929" t="s">
        <v>77</v>
      </c>
      <c r="P742" s="927">
        <f t="shared" si="58"/>
        <v>43185</v>
      </c>
      <c r="Q742" s="927">
        <f t="shared" ref="Q742:Q795" si="59">P742</f>
        <v>43185</v>
      </c>
      <c r="R742" s="930" t="s">
        <v>2481</v>
      </c>
      <c r="S742" s="933" t="s">
        <v>2136</v>
      </c>
      <c r="T742" s="933"/>
      <c r="U742" s="926"/>
    </row>
    <row r="743" spans="1:21" ht="25.5" hidden="1">
      <c r="A743" s="926" t="s">
        <v>2476</v>
      </c>
      <c r="B743" s="927">
        <v>43185</v>
      </c>
      <c r="C743" s="926">
        <v>4</v>
      </c>
      <c r="D743" s="926">
        <v>8</v>
      </c>
      <c r="E743" s="935" t="s">
        <v>1242</v>
      </c>
      <c r="F743" s="935"/>
      <c r="G743" s="1013" t="s">
        <v>2580</v>
      </c>
      <c r="H743" s="929"/>
      <c r="I743" s="929" t="s">
        <v>551</v>
      </c>
      <c r="J743" s="929"/>
      <c r="K743" s="929"/>
      <c r="L743" s="929"/>
      <c r="M743" s="1013" t="s">
        <v>2528</v>
      </c>
      <c r="N743" s="1013" t="s">
        <v>2524</v>
      </c>
      <c r="O743" s="929" t="s">
        <v>77</v>
      </c>
      <c r="P743" s="927">
        <f t="shared" si="58"/>
        <v>43185</v>
      </c>
      <c r="Q743" s="927">
        <f t="shared" si="59"/>
        <v>43185</v>
      </c>
      <c r="R743" s="930" t="s">
        <v>2481</v>
      </c>
      <c r="S743" s="933" t="s">
        <v>2136</v>
      </c>
      <c r="T743" s="933"/>
      <c r="U743" s="926"/>
    </row>
    <row r="744" spans="1:21" hidden="1">
      <c r="A744" s="926" t="s">
        <v>2476</v>
      </c>
      <c r="B744" s="927">
        <v>43185</v>
      </c>
      <c r="C744" s="926">
        <v>4</v>
      </c>
      <c r="D744" s="926">
        <v>8</v>
      </c>
      <c r="E744" s="935" t="s">
        <v>1242</v>
      </c>
      <c r="F744" s="935"/>
      <c r="G744" s="1013" t="s">
        <v>2581</v>
      </c>
      <c r="H744" s="929"/>
      <c r="I744" s="929" t="s">
        <v>551</v>
      </c>
      <c r="J744" s="929"/>
      <c r="K744" s="929"/>
      <c r="L744" s="929"/>
      <c r="M744" s="1013" t="s">
        <v>2528</v>
      </c>
      <c r="N744" s="1013" t="s">
        <v>2524</v>
      </c>
      <c r="O744" s="929" t="s">
        <v>77</v>
      </c>
      <c r="P744" s="927">
        <f t="shared" si="58"/>
        <v>43185</v>
      </c>
      <c r="Q744" s="927">
        <f t="shared" si="59"/>
        <v>43185</v>
      </c>
      <c r="R744" s="930" t="s">
        <v>2481</v>
      </c>
      <c r="S744" s="933" t="s">
        <v>2136</v>
      </c>
      <c r="T744" s="933"/>
      <c r="U744" s="926"/>
    </row>
    <row r="745" spans="1:21" hidden="1">
      <c r="A745" s="926" t="s">
        <v>2476</v>
      </c>
      <c r="B745" s="927">
        <v>43185</v>
      </c>
      <c r="C745" s="926">
        <v>4</v>
      </c>
      <c r="D745" s="926">
        <v>8</v>
      </c>
      <c r="E745" s="926"/>
      <c r="F745" s="926"/>
      <c r="G745" s="1013" t="s">
        <v>2582</v>
      </c>
      <c r="H745" s="929"/>
      <c r="I745" s="929" t="s">
        <v>2310</v>
      </c>
      <c r="J745" s="929"/>
      <c r="K745" s="929"/>
      <c r="L745" s="929"/>
      <c r="M745" s="1013" t="s">
        <v>2535</v>
      </c>
      <c r="N745" s="1013" t="s">
        <v>2524</v>
      </c>
      <c r="O745" s="929" t="s">
        <v>77</v>
      </c>
      <c r="P745" s="927">
        <f t="shared" si="58"/>
        <v>43185</v>
      </c>
      <c r="Q745" s="927">
        <f t="shared" si="59"/>
        <v>43185</v>
      </c>
      <c r="R745" s="930" t="s">
        <v>2481</v>
      </c>
      <c r="S745" s="931"/>
      <c r="T745" s="931"/>
      <c r="U745" s="926"/>
    </row>
    <row r="746" spans="1:21" hidden="1">
      <c r="A746" s="926" t="s">
        <v>2476</v>
      </c>
      <c r="B746" s="927">
        <v>43185</v>
      </c>
      <c r="C746" s="926">
        <v>4</v>
      </c>
      <c r="D746" s="926">
        <v>8</v>
      </c>
      <c r="E746" s="926"/>
      <c r="F746" s="926"/>
      <c r="G746" s="1013" t="s">
        <v>2583</v>
      </c>
      <c r="H746" s="929"/>
      <c r="I746" s="929" t="s">
        <v>2310</v>
      </c>
      <c r="J746" s="929"/>
      <c r="K746" s="929"/>
      <c r="L746" s="929"/>
      <c r="M746" s="1013" t="s">
        <v>2584</v>
      </c>
      <c r="N746" s="1013" t="s">
        <v>2524</v>
      </c>
      <c r="O746" s="929" t="s">
        <v>77</v>
      </c>
      <c r="P746" s="927">
        <f t="shared" si="58"/>
        <v>43185</v>
      </c>
      <c r="Q746" s="927">
        <f t="shared" si="59"/>
        <v>43185</v>
      </c>
      <c r="R746" s="930" t="s">
        <v>2481</v>
      </c>
      <c r="S746" s="931"/>
      <c r="T746" s="931"/>
      <c r="U746" s="926"/>
    </row>
    <row r="747" spans="1:21" hidden="1">
      <c r="A747" s="926" t="s">
        <v>2476</v>
      </c>
      <c r="B747" s="927">
        <v>43185</v>
      </c>
      <c r="C747" s="926">
        <v>4</v>
      </c>
      <c r="D747" s="926">
        <v>9</v>
      </c>
      <c r="E747" s="935" t="s">
        <v>1266</v>
      </c>
      <c r="F747" s="935"/>
      <c r="G747" s="1013" t="s">
        <v>2585</v>
      </c>
      <c r="H747" s="929"/>
      <c r="I747" s="929" t="s">
        <v>551</v>
      </c>
      <c r="J747" s="929"/>
      <c r="K747" s="929"/>
      <c r="L747" s="929"/>
      <c r="M747" s="1013" t="s">
        <v>2586</v>
      </c>
      <c r="N747" s="1013" t="s">
        <v>2524</v>
      </c>
      <c r="O747" s="929" t="s">
        <v>77</v>
      </c>
      <c r="P747" s="927">
        <f t="shared" si="58"/>
        <v>43185</v>
      </c>
      <c r="Q747" s="927">
        <f t="shared" si="59"/>
        <v>43185</v>
      </c>
      <c r="R747" s="930" t="s">
        <v>2481</v>
      </c>
      <c r="S747" s="933" t="s">
        <v>2149</v>
      </c>
      <c r="T747" s="933"/>
      <c r="U747" s="926"/>
    </row>
    <row r="748" spans="1:21" hidden="1">
      <c r="A748" s="926" t="s">
        <v>2476</v>
      </c>
      <c r="B748" s="927">
        <v>43185</v>
      </c>
      <c r="C748" s="926">
        <v>4</v>
      </c>
      <c r="D748" s="926">
        <v>9</v>
      </c>
      <c r="E748" s="926"/>
      <c r="F748" s="926"/>
      <c r="G748" s="1013" t="s">
        <v>2587</v>
      </c>
      <c r="H748" s="929"/>
      <c r="I748" s="929" t="s">
        <v>2310</v>
      </c>
      <c r="J748" s="929"/>
      <c r="K748" s="929"/>
      <c r="L748" s="929"/>
      <c r="M748" s="1013" t="s">
        <v>2588</v>
      </c>
      <c r="N748" s="1013" t="s">
        <v>2524</v>
      </c>
      <c r="O748" s="929" t="s">
        <v>77</v>
      </c>
      <c r="P748" s="927">
        <f t="shared" si="58"/>
        <v>43185</v>
      </c>
      <c r="Q748" s="927">
        <f t="shared" si="59"/>
        <v>43185</v>
      </c>
      <c r="R748" s="930" t="s">
        <v>2481</v>
      </c>
      <c r="S748" s="931"/>
      <c r="T748" s="931"/>
      <c r="U748" s="926"/>
    </row>
    <row r="749" spans="1:21" hidden="1">
      <c r="A749" s="926" t="s">
        <v>2476</v>
      </c>
      <c r="B749" s="927">
        <v>43185</v>
      </c>
      <c r="C749" s="926">
        <v>4</v>
      </c>
      <c r="D749" s="926">
        <v>9</v>
      </c>
      <c r="E749" s="926"/>
      <c r="F749" s="926"/>
      <c r="G749" s="1013" t="s">
        <v>2564</v>
      </c>
      <c r="H749" s="929"/>
      <c r="I749" s="929" t="s">
        <v>2310</v>
      </c>
      <c r="J749" s="929"/>
      <c r="K749" s="929"/>
      <c r="L749" s="929"/>
      <c r="M749" s="1013" t="s">
        <v>2589</v>
      </c>
      <c r="N749" s="1013" t="s">
        <v>2524</v>
      </c>
      <c r="O749" s="929" t="s">
        <v>77</v>
      </c>
      <c r="P749" s="927">
        <f t="shared" si="58"/>
        <v>43185</v>
      </c>
      <c r="Q749" s="927">
        <f t="shared" si="59"/>
        <v>43185</v>
      </c>
      <c r="R749" s="930" t="s">
        <v>2481</v>
      </c>
      <c r="S749" s="931"/>
      <c r="T749" s="931"/>
      <c r="U749" s="926"/>
    </row>
    <row r="750" spans="1:21" hidden="1">
      <c r="A750" s="926" t="s">
        <v>2476</v>
      </c>
      <c r="B750" s="927">
        <v>43185</v>
      </c>
      <c r="C750" s="926">
        <v>4</v>
      </c>
      <c r="D750" s="926">
        <v>9</v>
      </c>
      <c r="E750" s="926"/>
      <c r="F750" s="926"/>
      <c r="G750" s="1013" t="s">
        <v>2590</v>
      </c>
      <c r="H750" s="929"/>
      <c r="I750" s="929" t="s">
        <v>2310</v>
      </c>
      <c r="J750" s="929"/>
      <c r="K750" s="929"/>
      <c r="L750" s="929"/>
      <c r="M750" s="1013" t="s">
        <v>2530</v>
      </c>
      <c r="N750" s="1013" t="s">
        <v>2524</v>
      </c>
      <c r="O750" s="929" t="s">
        <v>77</v>
      </c>
      <c r="P750" s="927">
        <f t="shared" si="58"/>
        <v>43185</v>
      </c>
      <c r="Q750" s="927">
        <f t="shared" si="59"/>
        <v>43185</v>
      </c>
      <c r="R750" s="930" t="s">
        <v>2481</v>
      </c>
      <c r="S750" s="931"/>
      <c r="T750" s="931"/>
      <c r="U750" s="926"/>
    </row>
    <row r="751" spans="1:21" hidden="1">
      <c r="A751" s="926" t="s">
        <v>2476</v>
      </c>
      <c r="B751" s="927">
        <v>43185</v>
      </c>
      <c r="C751" s="926">
        <v>4</v>
      </c>
      <c r="D751" s="926">
        <v>9</v>
      </c>
      <c r="E751" s="926"/>
      <c r="F751" s="926"/>
      <c r="G751" s="1013" t="s">
        <v>2564</v>
      </c>
      <c r="H751" s="929"/>
      <c r="I751" s="929" t="s">
        <v>2310</v>
      </c>
      <c r="J751" s="929"/>
      <c r="K751" s="929"/>
      <c r="L751" s="929"/>
      <c r="M751" s="1013" t="s">
        <v>2591</v>
      </c>
      <c r="N751" s="1013" t="s">
        <v>2524</v>
      </c>
      <c r="O751" s="929" t="s">
        <v>77</v>
      </c>
      <c r="P751" s="927">
        <f t="shared" si="58"/>
        <v>43185</v>
      </c>
      <c r="Q751" s="927">
        <f t="shared" si="59"/>
        <v>43185</v>
      </c>
      <c r="R751" s="930" t="s">
        <v>2481</v>
      </c>
      <c r="S751" s="931"/>
      <c r="T751" s="931"/>
      <c r="U751" s="926"/>
    </row>
    <row r="752" spans="1:21" hidden="1">
      <c r="A752" s="926" t="s">
        <v>2476</v>
      </c>
      <c r="B752" s="927">
        <v>43185</v>
      </c>
      <c r="C752" s="926">
        <v>4</v>
      </c>
      <c r="D752" s="926">
        <v>9</v>
      </c>
      <c r="E752" s="926"/>
      <c r="F752" s="926"/>
      <c r="G752" s="1013" t="s">
        <v>2592</v>
      </c>
      <c r="H752" s="929"/>
      <c r="I752" s="929" t="s">
        <v>2310</v>
      </c>
      <c r="J752" s="929"/>
      <c r="K752" s="929"/>
      <c r="L752" s="929"/>
      <c r="M752" s="1013" t="s">
        <v>2530</v>
      </c>
      <c r="N752" s="1013" t="s">
        <v>2524</v>
      </c>
      <c r="O752" s="929" t="s">
        <v>77</v>
      </c>
      <c r="P752" s="927">
        <f t="shared" si="58"/>
        <v>43185</v>
      </c>
      <c r="Q752" s="927">
        <f t="shared" si="59"/>
        <v>43185</v>
      </c>
      <c r="R752" s="930" t="s">
        <v>2481</v>
      </c>
      <c r="S752" s="931"/>
      <c r="T752" s="931"/>
      <c r="U752" s="926"/>
    </row>
    <row r="753" spans="1:21" ht="32.25" hidden="1" customHeight="1">
      <c r="A753" s="926" t="s">
        <v>2476</v>
      </c>
      <c r="B753" s="927">
        <v>43185</v>
      </c>
      <c r="C753" s="926">
        <v>4</v>
      </c>
      <c r="D753" s="926">
        <v>9</v>
      </c>
      <c r="E753" s="932" t="s">
        <v>1057</v>
      </c>
      <c r="F753" s="932"/>
      <c r="G753" s="1013" t="s">
        <v>2593</v>
      </c>
      <c r="H753" s="929"/>
      <c r="I753" s="929" t="s">
        <v>551</v>
      </c>
      <c r="J753" s="929"/>
      <c r="K753" s="929"/>
      <c r="L753" s="929"/>
      <c r="M753" s="1013" t="s">
        <v>2586</v>
      </c>
      <c r="N753" s="1013" t="s">
        <v>2524</v>
      </c>
      <c r="O753" s="929" t="s">
        <v>77</v>
      </c>
      <c r="P753" s="927">
        <f t="shared" si="58"/>
        <v>43185</v>
      </c>
      <c r="Q753" s="927">
        <f t="shared" si="59"/>
        <v>43185</v>
      </c>
      <c r="R753" s="930" t="s">
        <v>2481</v>
      </c>
      <c r="S753" s="933" t="s">
        <v>2058</v>
      </c>
      <c r="T753" s="933"/>
      <c r="U753" s="926"/>
    </row>
    <row r="754" spans="1:21" ht="25.5" hidden="1">
      <c r="A754" s="926" t="s">
        <v>2476</v>
      </c>
      <c r="B754" s="927">
        <v>43185</v>
      </c>
      <c r="C754" s="926">
        <v>4</v>
      </c>
      <c r="D754" s="926">
        <v>9</v>
      </c>
      <c r="E754" s="932" t="s">
        <v>1026</v>
      </c>
      <c r="F754" s="932"/>
      <c r="G754" s="1013" t="s">
        <v>2594</v>
      </c>
      <c r="H754" s="929"/>
      <c r="I754" s="929" t="s">
        <v>551</v>
      </c>
      <c r="J754" s="929"/>
      <c r="K754" s="929"/>
      <c r="L754" s="929"/>
      <c r="M754" s="1013" t="s">
        <v>2586</v>
      </c>
      <c r="N754" s="1013" t="s">
        <v>2524</v>
      </c>
      <c r="O754" s="929" t="s">
        <v>77</v>
      </c>
      <c r="P754" s="927">
        <f t="shared" si="58"/>
        <v>43185</v>
      </c>
      <c r="Q754" s="927">
        <f t="shared" si="59"/>
        <v>43185</v>
      </c>
      <c r="R754" s="930" t="s">
        <v>2481</v>
      </c>
      <c r="S754" s="933" t="s">
        <v>2042</v>
      </c>
      <c r="T754" s="933"/>
      <c r="U754" s="926"/>
    </row>
    <row r="755" spans="1:21" hidden="1">
      <c r="A755" s="926" t="s">
        <v>2476</v>
      </c>
      <c r="B755" s="927">
        <v>43185</v>
      </c>
      <c r="C755" s="926">
        <v>4</v>
      </c>
      <c r="D755" s="926">
        <v>9</v>
      </c>
      <c r="E755" s="932" t="s">
        <v>1023</v>
      </c>
      <c r="F755" s="932"/>
      <c r="G755" s="1013" t="s">
        <v>2595</v>
      </c>
      <c r="H755" s="929"/>
      <c r="I755" s="929" t="s">
        <v>551</v>
      </c>
      <c r="J755" s="929"/>
      <c r="K755" s="929"/>
      <c r="L755" s="929"/>
      <c r="M755" s="1013" t="s">
        <v>2530</v>
      </c>
      <c r="N755" s="1013" t="s">
        <v>2524</v>
      </c>
      <c r="O755" s="929" t="s">
        <v>77</v>
      </c>
      <c r="P755" s="927">
        <f t="shared" si="58"/>
        <v>43185</v>
      </c>
      <c r="Q755" s="927">
        <f t="shared" si="59"/>
        <v>43185</v>
      </c>
      <c r="R755" s="930" t="s">
        <v>2481</v>
      </c>
      <c r="S755" s="931"/>
      <c r="T755" s="931"/>
      <c r="U755" s="926"/>
    </row>
    <row r="756" spans="1:21" hidden="1">
      <c r="A756" s="926" t="s">
        <v>2476</v>
      </c>
      <c r="B756" s="927">
        <v>43185</v>
      </c>
      <c r="C756" s="926">
        <v>4</v>
      </c>
      <c r="D756" s="926">
        <v>9</v>
      </c>
      <c r="E756" s="932" t="s">
        <v>1109</v>
      </c>
      <c r="F756" s="932"/>
      <c r="G756" s="1013" t="s">
        <v>2596</v>
      </c>
      <c r="H756" s="929"/>
      <c r="I756" s="929" t="s">
        <v>551</v>
      </c>
      <c r="J756" s="929"/>
      <c r="K756" s="929"/>
      <c r="L756" s="929"/>
      <c r="M756" s="1013" t="s">
        <v>2597</v>
      </c>
      <c r="N756" s="1013" t="s">
        <v>2524</v>
      </c>
      <c r="O756" s="929" t="s">
        <v>77</v>
      </c>
      <c r="P756" s="927">
        <f t="shared" si="58"/>
        <v>43185</v>
      </c>
      <c r="Q756" s="927">
        <f t="shared" si="59"/>
        <v>43185</v>
      </c>
      <c r="R756" s="930" t="s">
        <v>2481</v>
      </c>
      <c r="S756" s="933" t="s">
        <v>2082</v>
      </c>
      <c r="T756" s="933"/>
      <c r="U756" s="926"/>
    </row>
    <row r="757" spans="1:21" hidden="1">
      <c r="A757" s="926" t="s">
        <v>2476</v>
      </c>
      <c r="B757" s="927">
        <v>43185</v>
      </c>
      <c r="C757" s="926">
        <v>4</v>
      </c>
      <c r="D757" s="926">
        <v>9</v>
      </c>
      <c r="E757" s="932" t="s">
        <v>1105</v>
      </c>
      <c r="F757" s="932"/>
      <c r="G757" s="1013" t="s">
        <v>2598</v>
      </c>
      <c r="H757" s="929"/>
      <c r="I757" s="929" t="s">
        <v>551</v>
      </c>
      <c r="J757" s="929"/>
      <c r="K757" s="929"/>
      <c r="L757" s="929"/>
      <c r="M757" s="1013" t="s">
        <v>2597</v>
      </c>
      <c r="N757" s="1013" t="s">
        <v>2524</v>
      </c>
      <c r="O757" s="929" t="s">
        <v>77</v>
      </c>
      <c r="P757" s="927">
        <f t="shared" si="58"/>
        <v>43185</v>
      </c>
      <c r="Q757" s="927">
        <f t="shared" si="59"/>
        <v>43185</v>
      </c>
      <c r="R757" s="930" t="s">
        <v>2481</v>
      </c>
      <c r="S757" s="933" t="s">
        <v>2079</v>
      </c>
      <c r="T757" s="933"/>
      <c r="U757" s="926"/>
    </row>
    <row r="758" spans="1:21" hidden="1">
      <c r="A758" s="926" t="s">
        <v>2476</v>
      </c>
      <c r="B758" s="927">
        <v>43185</v>
      </c>
      <c r="C758" s="926">
        <v>4</v>
      </c>
      <c r="D758" s="926">
        <v>9</v>
      </c>
      <c r="E758" s="926"/>
      <c r="F758" s="926"/>
      <c r="G758" s="1013" t="s">
        <v>2504</v>
      </c>
      <c r="H758" s="929"/>
      <c r="I758" s="929" t="s">
        <v>2310</v>
      </c>
      <c r="J758" s="929"/>
      <c r="K758" s="929"/>
      <c r="L758" s="929"/>
      <c r="M758" s="1013" t="s">
        <v>2535</v>
      </c>
      <c r="N758" s="1013" t="s">
        <v>2524</v>
      </c>
      <c r="O758" s="929" t="s">
        <v>77</v>
      </c>
      <c r="P758" s="927">
        <f t="shared" si="58"/>
        <v>43185</v>
      </c>
      <c r="Q758" s="927">
        <f t="shared" si="59"/>
        <v>43185</v>
      </c>
      <c r="R758" s="930" t="s">
        <v>2481</v>
      </c>
      <c r="S758" s="931"/>
      <c r="T758" s="931"/>
      <c r="U758" s="926"/>
    </row>
    <row r="759" spans="1:21" hidden="1">
      <c r="A759" s="926" t="s">
        <v>2476</v>
      </c>
      <c r="B759" s="927">
        <v>43185</v>
      </c>
      <c r="C759" s="926">
        <v>4</v>
      </c>
      <c r="D759" s="926">
        <v>9</v>
      </c>
      <c r="E759" s="932" t="s">
        <v>1086</v>
      </c>
      <c r="F759" s="932"/>
      <c r="G759" s="1013" t="s">
        <v>2599</v>
      </c>
      <c r="H759" s="929"/>
      <c r="I759" s="929" t="s">
        <v>551</v>
      </c>
      <c r="J759" s="929"/>
      <c r="K759" s="929"/>
      <c r="L759" s="929"/>
      <c r="M759" s="1013" t="s">
        <v>2600</v>
      </c>
      <c r="N759" s="1013" t="s">
        <v>2524</v>
      </c>
      <c r="O759" s="929" t="s">
        <v>77</v>
      </c>
      <c r="P759" s="927">
        <f t="shared" si="58"/>
        <v>43185</v>
      </c>
      <c r="Q759" s="927">
        <f t="shared" si="59"/>
        <v>43185</v>
      </c>
      <c r="R759" s="930" t="s">
        <v>2481</v>
      </c>
      <c r="S759" s="933" t="s">
        <v>2601</v>
      </c>
      <c r="T759" s="933"/>
      <c r="U759" s="926"/>
    </row>
    <row r="760" spans="1:21" hidden="1">
      <c r="A760" s="926" t="s">
        <v>2476</v>
      </c>
      <c r="B760" s="927">
        <v>43185</v>
      </c>
      <c r="C760" s="926">
        <v>4</v>
      </c>
      <c r="D760" s="926">
        <v>9</v>
      </c>
      <c r="E760" s="926"/>
      <c r="F760" s="926"/>
      <c r="G760" s="1013" t="s">
        <v>2602</v>
      </c>
      <c r="H760" s="929"/>
      <c r="I760" s="929" t="s">
        <v>2310</v>
      </c>
      <c r="J760" s="929"/>
      <c r="K760" s="929"/>
      <c r="L760" s="929"/>
      <c r="M760" s="1013" t="s">
        <v>2591</v>
      </c>
      <c r="N760" s="1013" t="s">
        <v>2524</v>
      </c>
      <c r="O760" s="929" t="s">
        <v>77</v>
      </c>
      <c r="P760" s="927">
        <f t="shared" si="58"/>
        <v>43185</v>
      </c>
      <c r="Q760" s="927">
        <f t="shared" si="59"/>
        <v>43185</v>
      </c>
      <c r="R760" s="930" t="s">
        <v>2481</v>
      </c>
      <c r="S760" s="931"/>
      <c r="T760" s="931"/>
      <c r="U760" s="926"/>
    </row>
    <row r="761" spans="1:21" ht="25.5" hidden="1">
      <c r="A761" s="926" t="s">
        <v>2476</v>
      </c>
      <c r="B761" s="927">
        <v>43185</v>
      </c>
      <c r="C761" s="926">
        <v>4</v>
      </c>
      <c r="D761" s="926">
        <v>9</v>
      </c>
      <c r="E761" s="932" t="s">
        <v>1014</v>
      </c>
      <c r="F761" s="932"/>
      <c r="G761" s="1013" t="s">
        <v>2603</v>
      </c>
      <c r="H761" s="929"/>
      <c r="I761" s="929" t="s">
        <v>551</v>
      </c>
      <c r="J761" s="929"/>
      <c r="K761" s="929"/>
      <c r="L761" s="929"/>
      <c r="M761" s="1013" t="s">
        <v>2535</v>
      </c>
      <c r="N761" s="1013" t="s">
        <v>2604</v>
      </c>
      <c r="O761" s="929" t="s">
        <v>77</v>
      </c>
      <c r="P761" s="927">
        <f t="shared" si="58"/>
        <v>43185</v>
      </c>
      <c r="Q761" s="927">
        <f t="shared" si="59"/>
        <v>43185</v>
      </c>
      <c r="R761" s="930" t="s">
        <v>2481</v>
      </c>
      <c r="S761" s="933" t="s">
        <v>2032</v>
      </c>
      <c r="T761" s="933"/>
      <c r="U761" s="926"/>
    </row>
    <row r="762" spans="1:21" ht="25.5" hidden="1">
      <c r="A762" s="926" t="s">
        <v>2476</v>
      </c>
      <c r="B762" s="927">
        <v>43185</v>
      </c>
      <c r="C762" s="926">
        <v>4</v>
      </c>
      <c r="D762" s="926">
        <v>9</v>
      </c>
      <c r="E762" s="932" t="s">
        <v>1007</v>
      </c>
      <c r="F762" s="932"/>
      <c r="G762" s="1013" t="s">
        <v>2605</v>
      </c>
      <c r="H762" s="929"/>
      <c r="I762" s="929" t="s">
        <v>551</v>
      </c>
      <c r="J762" s="929"/>
      <c r="K762" s="929"/>
      <c r="L762" s="929"/>
      <c r="M762" s="1013" t="s">
        <v>2535</v>
      </c>
      <c r="N762" s="1013" t="s">
        <v>2604</v>
      </c>
      <c r="O762" s="929" t="s">
        <v>77</v>
      </c>
      <c r="P762" s="927">
        <f t="shared" si="58"/>
        <v>43185</v>
      </c>
      <c r="Q762" s="927">
        <f t="shared" si="59"/>
        <v>43185</v>
      </c>
      <c r="R762" s="930" t="s">
        <v>2481</v>
      </c>
      <c r="S762" s="933" t="s">
        <v>2031</v>
      </c>
      <c r="T762" s="933"/>
      <c r="U762" s="926"/>
    </row>
    <row r="763" spans="1:21" hidden="1">
      <c r="A763" s="926" t="s">
        <v>2476</v>
      </c>
      <c r="B763" s="927">
        <v>43185</v>
      </c>
      <c r="C763" s="926">
        <v>4</v>
      </c>
      <c r="D763" s="926">
        <v>9</v>
      </c>
      <c r="E763" s="932" t="s">
        <v>1043</v>
      </c>
      <c r="F763" s="932"/>
      <c r="G763" s="1013" t="s">
        <v>2509</v>
      </c>
      <c r="H763" s="929"/>
      <c r="I763" s="929" t="s">
        <v>551</v>
      </c>
      <c r="J763" s="929"/>
      <c r="K763" s="929"/>
      <c r="L763" s="929"/>
      <c r="M763" s="1013" t="s">
        <v>2606</v>
      </c>
      <c r="N763" s="1013" t="s">
        <v>2604</v>
      </c>
      <c r="O763" s="929" t="s">
        <v>77</v>
      </c>
      <c r="P763" s="927">
        <f t="shared" si="58"/>
        <v>43185</v>
      </c>
      <c r="Q763" s="927">
        <f t="shared" si="59"/>
        <v>43185</v>
      </c>
      <c r="R763" s="930" t="s">
        <v>2481</v>
      </c>
      <c r="S763" s="933" t="s">
        <v>2270</v>
      </c>
      <c r="T763" s="933"/>
      <c r="U763" s="926"/>
    </row>
    <row r="764" spans="1:21" hidden="1">
      <c r="A764" s="926" t="s">
        <v>2476</v>
      </c>
      <c r="B764" s="927">
        <v>43185</v>
      </c>
      <c r="C764" s="926">
        <v>4</v>
      </c>
      <c r="D764" s="926">
        <v>9</v>
      </c>
      <c r="E764" s="932" t="s">
        <v>1046</v>
      </c>
      <c r="F764" s="932"/>
      <c r="G764" s="1013" t="s">
        <v>2595</v>
      </c>
      <c r="H764" s="929"/>
      <c r="I764" s="929" t="s">
        <v>551</v>
      </c>
      <c r="J764" s="929"/>
      <c r="K764" s="929"/>
      <c r="L764" s="929"/>
      <c r="M764" s="1013" t="s">
        <v>2606</v>
      </c>
      <c r="N764" s="1013" t="s">
        <v>2604</v>
      </c>
      <c r="O764" s="929" t="s">
        <v>77</v>
      </c>
      <c r="P764" s="927">
        <f t="shared" si="58"/>
        <v>43185</v>
      </c>
      <c r="Q764" s="927">
        <f t="shared" si="59"/>
        <v>43185</v>
      </c>
      <c r="R764" s="930" t="s">
        <v>2481</v>
      </c>
      <c r="S764" s="933" t="s">
        <v>2271</v>
      </c>
      <c r="T764" s="933"/>
      <c r="U764" s="926"/>
    </row>
    <row r="765" spans="1:21" hidden="1">
      <c r="A765" s="926" t="s">
        <v>2476</v>
      </c>
      <c r="B765" s="927">
        <v>43185</v>
      </c>
      <c r="C765" s="926">
        <v>4</v>
      </c>
      <c r="D765" s="926">
        <v>10</v>
      </c>
      <c r="E765" s="932" t="s">
        <v>982</v>
      </c>
      <c r="F765" s="932"/>
      <c r="G765" s="1013" t="s">
        <v>2504</v>
      </c>
      <c r="H765" s="929"/>
      <c r="I765" s="929" t="s">
        <v>551</v>
      </c>
      <c r="J765" s="929"/>
      <c r="K765" s="929"/>
      <c r="L765" s="929"/>
      <c r="M765" s="1013" t="s">
        <v>2607</v>
      </c>
      <c r="N765" s="1013" t="s">
        <v>2604</v>
      </c>
      <c r="O765" s="929" t="s">
        <v>77</v>
      </c>
      <c r="P765" s="927">
        <f t="shared" si="58"/>
        <v>43185</v>
      </c>
      <c r="Q765" s="927">
        <f t="shared" si="59"/>
        <v>43185</v>
      </c>
      <c r="R765" s="930" t="s">
        <v>2481</v>
      </c>
      <c r="S765" s="933"/>
      <c r="T765" s="933"/>
      <c r="U765" s="926"/>
    </row>
    <row r="766" spans="1:21" hidden="1">
      <c r="A766" s="926" t="s">
        <v>2476</v>
      </c>
      <c r="B766" s="927">
        <v>43185</v>
      </c>
      <c r="C766" s="926">
        <v>4</v>
      </c>
      <c r="D766" s="926">
        <v>10</v>
      </c>
      <c r="E766" s="926"/>
      <c r="F766" s="926"/>
      <c r="G766" s="1013" t="s">
        <v>2608</v>
      </c>
      <c r="H766" s="929"/>
      <c r="I766" s="929" t="s">
        <v>2310</v>
      </c>
      <c r="J766" s="929"/>
      <c r="K766" s="929"/>
      <c r="L766" s="929"/>
      <c r="M766" s="1013" t="s">
        <v>2609</v>
      </c>
      <c r="N766" s="1013" t="s">
        <v>2604</v>
      </c>
      <c r="O766" s="929" t="s">
        <v>77</v>
      </c>
      <c r="P766" s="927">
        <f t="shared" si="58"/>
        <v>43185</v>
      </c>
      <c r="Q766" s="927">
        <f t="shared" si="59"/>
        <v>43185</v>
      </c>
      <c r="R766" s="930" t="s">
        <v>2481</v>
      </c>
      <c r="S766" s="931"/>
      <c r="T766" s="931"/>
      <c r="U766" s="926"/>
    </row>
    <row r="767" spans="1:21" hidden="1">
      <c r="A767" s="926" t="s">
        <v>2476</v>
      </c>
      <c r="B767" s="927">
        <v>43185</v>
      </c>
      <c r="C767" s="926">
        <v>4</v>
      </c>
      <c r="D767" s="926">
        <v>10</v>
      </c>
      <c r="E767" s="926"/>
      <c r="F767" s="926"/>
      <c r="G767" s="1013" t="s">
        <v>2610</v>
      </c>
      <c r="H767" s="929"/>
      <c r="I767" s="929" t="s">
        <v>2310</v>
      </c>
      <c r="J767" s="929"/>
      <c r="K767" s="929"/>
      <c r="L767" s="929"/>
      <c r="M767" s="1013" t="s">
        <v>2609</v>
      </c>
      <c r="N767" s="1013" t="s">
        <v>2604</v>
      </c>
      <c r="O767" s="929" t="s">
        <v>77</v>
      </c>
      <c r="P767" s="927">
        <f t="shared" si="58"/>
        <v>43185</v>
      </c>
      <c r="Q767" s="927">
        <f t="shared" si="59"/>
        <v>43185</v>
      </c>
      <c r="R767" s="930" t="s">
        <v>2481</v>
      </c>
      <c r="S767" s="931"/>
      <c r="T767" s="931"/>
      <c r="U767" s="926"/>
    </row>
    <row r="768" spans="1:21" ht="25.5" hidden="1">
      <c r="A768" s="926" t="s">
        <v>2476</v>
      </c>
      <c r="B768" s="927">
        <v>43185</v>
      </c>
      <c r="C768" s="926">
        <v>4</v>
      </c>
      <c r="D768" s="926">
        <v>10</v>
      </c>
      <c r="E768" s="926"/>
      <c r="F768" s="926"/>
      <c r="G768" s="1013" t="s">
        <v>2611</v>
      </c>
      <c r="H768" s="929"/>
      <c r="I768" s="929" t="s">
        <v>2310</v>
      </c>
      <c r="J768" s="929"/>
      <c r="K768" s="929"/>
      <c r="L768" s="929"/>
      <c r="M768" s="1013" t="s">
        <v>68</v>
      </c>
      <c r="N768" s="1013" t="s">
        <v>2604</v>
      </c>
      <c r="O768" s="929" t="s">
        <v>77</v>
      </c>
      <c r="P768" s="927">
        <f t="shared" ref="P768:P795" si="60">B768</f>
        <v>43185</v>
      </c>
      <c r="Q768" s="927">
        <f t="shared" si="59"/>
        <v>43185</v>
      </c>
      <c r="R768" s="930" t="s">
        <v>2481</v>
      </c>
      <c r="S768" s="931"/>
      <c r="T768" s="931"/>
      <c r="U768" s="926"/>
    </row>
    <row r="769" spans="1:21" hidden="1">
      <c r="A769" s="926" t="s">
        <v>2476</v>
      </c>
      <c r="B769" s="927">
        <v>43185</v>
      </c>
      <c r="C769" s="926">
        <v>4</v>
      </c>
      <c r="D769" s="926">
        <v>10</v>
      </c>
      <c r="E769" s="926"/>
      <c r="F769" s="926"/>
      <c r="G769" s="1013" t="s">
        <v>2612</v>
      </c>
      <c r="H769" s="929"/>
      <c r="I769" s="929" t="s">
        <v>2310</v>
      </c>
      <c r="J769" s="929"/>
      <c r="K769" s="929"/>
      <c r="L769" s="929"/>
      <c r="M769" s="1013" t="s">
        <v>68</v>
      </c>
      <c r="N769" s="1013" t="s">
        <v>2613</v>
      </c>
      <c r="O769" s="929" t="s">
        <v>77</v>
      </c>
      <c r="P769" s="927">
        <f t="shared" si="60"/>
        <v>43185</v>
      </c>
      <c r="Q769" s="927">
        <f t="shared" si="59"/>
        <v>43185</v>
      </c>
      <c r="R769" s="930" t="s">
        <v>2481</v>
      </c>
      <c r="S769" s="931"/>
      <c r="T769" s="931"/>
      <c r="U769" s="926"/>
    </row>
    <row r="770" spans="1:21" hidden="1">
      <c r="A770" s="926" t="s">
        <v>2476</v>
      </c>
      <c r="B770" s="927">
        <v>43185</v>
      </c>
      <c r="C770" s="926">
        <v>4</v>
      </c>
      <c r="D770" s="926">
        <v>10</v>
      </c>
      <c r="E770" s="926"/>
      <c r="F770" s="926"/>
      <c r="G770" s="1013" t="s">
        <v>1521</v>
      </c>
      <c r="H770" s="929"/>
      <c r="I770" s="929" t="s">
        <v>2310</v>
      </c>
      <c r="J770" s="929"/>
      <c r="K770" s="929"/>
      <c r="L770" s="929"/>
      <c r="M770" s="1013" t="s">
        <v>68</v>
      </c>
      <c r="N770" s="1013" t="s">
        <v>2614</v>
      </c>
      <c r="O770" s="929" t="s">
        <v>77</v>
      </c>
      <c r="P770" s="927">
        <f t="shared" si="60"/>
        <v>43185</v>
      </c>
      <c r="Q770" s="927">
        <f t="shared" si="59"/>
        <v>43185</v>
      </c>
      <c r="R770" s="930" t="s">
        <v>2481</v>
      </c>
      <c r="S770" s="931"/>
      <c r="T770" s="931"/>
      <c r="U770" s="926"/>
    </row>
    <row r="771" spans="1:21" ht="25.5" hidden="1">
      <c r="A771" s="926" t="s">
        <v>2476</v>
      </c>
      <c r="B771" s="927">
        <v>43185</v>
      </c>
      <c r="C771" s="926">
        <v>4</v>
      </c>
      <c r="D771" s="926">
        <v>11</v>
      </c>
      <c r="E771" s="932" t="s">
        <v>992</v>
      </c>
      <c r="F771" s="932"/>
      <c r="G771" s="1013" t="s">
        <v>2615</v>
      </c>
      <c r="H771" s="929"/>
      <c r="I771" s="929" t="s">
        <v>551</v>
      </c>
      <c r="J771" s="929"/>
      <c r="K771" s="929"/>
      <c r="L771" s="929"/>
      <c r="M771" s="1013" t="s">
        <v>2521</v>
      </c>
      <c r="N771" s="1013" t="s">
        <v>1976</v>
      </c>
      <c r="O771" s="929" t="s">
        <v>2616</v>
      </c>
      <c r="P771" s="927">
        <f t="shared" si="60"/>
        <v>43185</v>
      </c>
      <c r="Q771" s="927">
        <f t="shared" si="59"/>
        <v>43185</v>
      </c>
      <c r="R771" s="930" t="s">
        <v>2481</v>
      </c>
      <c r="S771" s="933" t="s">
        <v>2020</v>
      </c>
      <c r="T771" s="933"/>
      <c r="U771" s="926"/>
    </row>
    <row r="772" spans="1:21" hidden="1">
      <c r="A772" s="926" t="s">
        <v>2476</v>
      </c>
      <c r="B772" s="927">
        <v>43185</v>
      </c>
      <c r="C772" s="926">
        <v>4</v>
      </c>
      <c r="D772" s="926">
        <v>11</v>
      </c>
      <c r="E772" s="932" t="s">
        <v>988</v>
      </c>
      <c r="F772" s="932"/>
      <c r="G772" s="1013" t="s">
        <v>2617</v>
      </c>
      <c r="H772" s="929"/>
      <c r="I772" s="929" t="s">
        <v>551</v>
      </c>
      <c r="J772" s="929"/>
      <c r="K772" s="929"/>
      <c r="L772" s="929"/>
      <c r="M772" s="1013" t="s">
        <v>2570</v>
      </c>
      <c r="N772" s="1013" t="s">
        <v>2515</v>
      </c>
      <c r="O772" s="929" t="s">
        <v>2616</v>
      </c>
      <c r="P772" s="927">
        <f t="shared" si="60"/>
        <v>43185</v>
      </c>
      <c r="Q772" s="927">
        <f t="shared" si="59"/>
        <v>43185</v>
      </c>
      <c r="R772" s="930" t="s">
        <v>2481</v>
      </c>
      <c r="S772" s="933" t="s">
        <v>2018</v>
      </c>
      <c r="T772" s="933"/>
      <c r="U772" s="926"/>
    </row>
    <row r="773" spans="1:21" hidden="1">
      <c r="A773" s="926" t="s">
        <v>2476</v>
      </c>
      <c r="B773" s="927">
        <v>43185</v>
      </c>
      <c r="C773" s="926">
        <v>4</v>
      </c>
      <c r="D773" s="926">
        <v>11</v>
      </c>
      <c r="E773" s="932" t="s">
        <v>974</v>
      </c>
      <c r="F773" s="932"/>
      <c r="G773" s="1013" t="s">
        <v>2617</v>
      </c>
      <c r="H773" s="929"/>
      <c r="I773" s="929" t="s">
        <v>551</v>
      </c>
      <c r="J773" s="929"/>
      <c r="K773" s="929"/>
      <c r="L773" s="929"/>
      <c r="M773" s="1013" t="s">
        <v>2618</v>
      </c>
      <c r="N773" s="1013" t="s">
        <v>2506</v>
      </c>
      <c r="O773" s="929" t="s">
        <v>2616</v>
      </c>
      <c r="P773" s="927">
        <f t="shared" si="60"/>
        <v>43185</v>
      </c>
      <c r="Q773" s="927">
        <f t="shared" si="59"/>
        <v>43185</v>
      </c>
      <c r="R773" s="930" t="s">
        <v>2481</v>
      </c>
      <c r="S773" s="933" t="s">
        <v>2009</v>
      </c>
      <c r="T773" s="933"/>
      <c r="U773" s="926"/>
    </row>
    <row r="774" spans="1:21" hidden="1">
      <c r="A774" s="926" t="s">
        <v>2476</v>
      </c>
      <c r="B774" s="927">
        <v>43185</v>
      </c>
      <c r="C774" s="926">
        <v>4</v>
      </c>
      <c r="D774" s="926">
        <v>11</v>
      </c>
      <c r="E774" s="926"/>
      <c r="F774" s="926"/>
      <c r="G774" s="1013" t="s">
        <v>2617</v>
      </c>
      <c r="H774" s="929"/>
      <c r="I774" s="929" t="s">
        <v>2310</v>
      </c>
      <c r="J774" s="929"/>
      <c r="K774" s="929"/>
      <c r="L774" s="929"/>
      <c r="M774" s="1013" t="s">
        <v>2570</v>
      </c>
      <c r="N774" s="1013" t="s">
        <v>2614</v>
      </c>
      <c r="O774" s="929" t="s">
        <v>2616</v>
      </c>
      <c r="P774" s="927">
        <f t="shared" si="60"/>
        <v>43185</v>
      </c>
      <c r="Q774" s="927">
        <f t="shared" si="59"/>
        <v>43185</v>
      </c>
      <c r="R774" s="930" t="s">
        <v>2481</v>
      </c>
      <c r="S774" s="931"/>
      <c r="T774" s="931"/>
      <c r="U774" s="926"/>
    </row>
    <row r="775" spans="1:21" hidden="1">
      <c r="A775" s="926" t="s">
        <v>2476</v>
      </c>
      <c r="B775" s="927">
        <v>43185</v>
      </c>
      <c r="C775" s="926">
        <v>4</v>
      </c>
      <c r="D775" s="926">
        <v>12</v>
      </c>
      <c r="E775" s="932" t="s">
        <v>1099</v>
      </c>
      <c r="F775" s="932"/>
      <c r="G775" s="1013" t="s">
        <v>2487</v>
      </c>
      <c r="H775" s="929"/>
      <c r="I775" s="929" t="s">
        <v>551</v>
      </c>
      <c r="J775" s="929"/>
      <c r="K775" s="929"/>
      <c r="L775" s="929"/>
      <c r="M775" s="1013" t="s">
        <v>2619</v>
      </c>
      <c r="N775" s="1013" t="s">
        <v>2480</v>
      </c>
      <c r="O775" s="929" t="s">
        <v>867</v>
      </c>
      <c r="P775" s="927">
        <f t="shared" si="60"/>
        <v>43185</v>
      </c>
      <c r="Q775" s="927">
        <f t="shared" si="59"/>
        <v>43185</v>
      </c>
      <c r="R775" s="930" t="s">
        <v>2481</v>
      </c>
      <c r="S775" s="933" t="s">
        <v>2077</v>
      </c>
      <c r="T775" s="933"/>
      <c r="U775" s="926"/>
    </row>
    <row r="776" spans="1:21" hidden="1">
      <c r="A776" s="926" t="s">
        <v>2476</v>
      </c>
      <c r="B776" s="927">
        <v>43185</v>
      </c>
      <c r="C776" s="926">
        <v>4</v>
      </c>
      <c r="D776" s="926">
        <v>12</v>
      </c>
      <c r="E776" s="932" t="s">
        <v>1053</v>
      </c>
      <c r="F776" s="932"/>
      <c r="G776" s="1013" t="s">
        <v>2487</v>
      </c>
      <c r="H776" s="929"/>
      <c r="I776" s="929" t="s">
        <v>551</v>
      </c>
      <c r="J776" s="929"/>
      <c r="K776" s="929"/>
      <c r="L776" s="929"/>
      <c r="M776" s="1013" t="s">
        <v>2528</v>
      </c>
      <c r="N776" s="1013" t="s">
        <v>2480</v>
      </c>
      <c r="O776" s="929" t="s">
        <v>64</v>
      </c>
      <c r="P776" s="927">
        <f t="shared" si="60"/>
        <v>43185</v>
      </c>
      <c r="Q776" s="927">
        <f t="shared" si="59"/>
        <v>43185</v>
      </c>
      <c r="R776" s="930" t="s">
        <v>2481</v>
      </c>
      <c r="S776" s="933" t="s">
        <v>2054</v>
      </c>
      <c r="T776" s="933"/>
      <c r="U776" s="926"/>
    </row>
    <row r="777" spans="1:21" ht="30.75" hidden="1" customHeight="1">
      <c r="A777" s="926" t="s">
        <v>2476</v>
      </c>
      <c r="B777" s="927">
        <v>43185</v>
      </c>
      <c r="C777" s="926">
        <v>4</v>
      </c>
      <c r="D777" s="926">
        <v>12</v>
      </c>
      <c r="E777" s="932" t="s">
        <v>1037</v>
      </c>
      <c r="F777" s="932"/>
      <c r="G777" s="1013" t="s">
        <v>2620</v>
      </c>
      <c r="H777" s="929"/>
      <c r="I777" s="929" t="s">
        <v>551</v>
      </c>
      <c r="J777" s="929"/>
      <c r="K777" s="929"/>
      <c r="L777" s="929"/>
      <c r="M777" s="1013" t="s">
        <v>2528</v>
      </c>
      <c r="N777" s="1013" t="s">
        <v>2480</v>
      </c>
      <c r="O777" s="929" t="s">
        <v>64</v>
      </c>
      <c r="P777" s="927">
        <f t="shared" si="60"/>
        <v>43185</v>
      </c>
      <c r="Q777" s="927">
        <f t="shared" si="59"/>
        <v>43185</v>
      </c>
      <c r="R777" s="930" t="s">
        <v>2481</v>
      </c>
      <c r="S777" s="933" t="s">
        <v>2045</v>
      </c>
      <c r="T777" s="933"/>
      <c r="U777" s="926"/>
    </row>
    <row r="778" spans="1:21" hidden="1">
      <c r="A778" s="926" t="s">
        <v>2476</v>
      </c>
      <c r="B778" s="927">
        <v>43185</v>
      </c>
      <c r="C778" s="926">
        <v>4</v>
      </c>
      <c r="D778" s="926">
        <v>12</v>
      </c>
      <c r="E778" s="932" t="s">
        <v>1049</v>
      </c>
      <c r="F778" s="932"/>
      <c r="G778" s="1013" t="s">
        <v>2621</v>
      </c>
      <c r="H778" s="929"/>
      <c r="I778" s="929" t="s">
        <v>551</v>
      </c>
      <c r="J778" s="929"/>
      <c r="K778" s="929"/>
      <c r="L778" s="929"/>
      <c r="M778" s="1013" t="s">
        <v>2530</v>
      </c>
      <c r="N778" s="1013" t="s">
        <v>2480</v>
      </c>
      <c r="O778" s="929" t="s">
        <v>64</v>
      </c>
      <c r="P778" s="927">
        <f t="shared" si="60"/>
        <v>43185</v>
      </c>
      <c r="Q778" s="927">
        <f t="shared" si="59"/>
        <v>43185</v>
      </c>
      <c r="R778" s="930" t="s">
        <v>2481</v>
      </c>
      <c r="S778" s="933" t="s">
        <v>2051</v>
      </c>
      <c r="T778" s="933"/>
      <c r="U778" s="926"/>
    </row>
    <row r="779" spans="1:21" hidden="1">
      <c r="A779" s="926" t="s">
        <v>2476</v>
      </c>
      <c r="B779" s="927">
        <v>43185</v>
      </c>
      <c r="C779" s="926">
        <v>4</v>
      </c>
      <c r="D779" s="926">
        <v>13</v>
      </c>
      <c r="E779" s="926"/>
      <c r="F779" s="926"/>
      <c r="G779" s="1013" t="s">
        <v>2622</v>
      </c>
      <c r="H779" s="929"/>
      <c r="I779" s="929" t="s">
        <v>2310</v>
      </c>
      <c r="J779" s="929"/>
      <c r="K779" s="929"/>
      <c r="L779" s="929"/>
      <c r="M779" s="1013" t="s">
        <v>68</v>
      </c>
      <c r="N779" s="1013" t="s">
        <v>2524</v>
      </c>
      <c r="O779" s="929" t="s">
        <v>642</v>
      </c>
      <c r="P779" s="927">
        <f t="shared" si="60"/>
        <v>43185</v>
      </c>
      <c r="Q779" s="927">
        <f t="shared" si="59"/>
        <v>43185</v>
      </c>
      <c r="R779" s="930" t="s">
        <v>2481</v>
      </c>
      <c r="S779" s="931"/>
      <c r="T779" s="931"/>
      <c r="U779" s="926"/>
    </row>
    <row r="780" spans="1:21" hidden="1">
      <c r="A780" s="926" t="s">
        <v>2476</v>
      </c>
      <c r="B780" s="927">
        <v>43185</v>
      </c>
      <c r="C780" s="926">
        <v>4</v>
      </c>
      <c r="D780" s="926">
        <v>14</v>
      </c>
      <c r="E780" s="926"/>
      <c r="F780" s="926"/>
      <c r="G780" s="1013" t="s">
        <v>2544</v>
      </c>
      <c r="H780" s="929"/>
      <c r="I780" s="929" t="s">
        <v>2310</v>
      </c>
      <c r="J780" s="929"/>
      <c r="K780" s="929"/>
      <c r="L780" s="929"/>
      <c r="M780" s="1013" t="s">
        <v>2568</v>
      </c>
      <c r="N780" s="1013" t="s">
        <v>2538</v>
      </c>
      <c r="O780" s="929" t="s">
        <v>2623</v>
      </c>
      <c r="P780" s="927">
        <f t="shared" si="60"/>
        <v>43185</v>
      </c>
      <c r="Q780" s="927">
        <f t="shared" si="59"/>
        <v>43185</v>
      </c>
      <c r="R780" s="930" t="s">
        <v>2481</v>
      </c>
      <c r="S780" s="931"/>
      <c r="T780" s="931"/>
      <c r="U780" s="926"/>
    </row>
    <row r="781" spans="1:21" hidden="1">
      <c r="A781" s="926" t="s">
        <v>2476</v>
      </c>
      <c r="B781" s="927">
        <v>43185</v>
      </c>
      <c r="C781" s="926">
        <v>4</v>
      </c>
      <c r="D781" s="926">
        <v>14</v>
      </c>
      <c r="E781" s="926"/>
      <c r="F781" s="926"/>
      <c r="G781" s="1013" t="s">
        <v>2624</v>
      </c>
      <c r="H781" s="929"/>
      <c r="I781" s="929" t="s">
        <v>2310</v>
      </c>
      <c r="J781" s="929"/>
      <c r="K781" s="929"/>
      <c r="L781" s="929"/>
      <c r="M781" s="1013" t="s">
        <v>2568</v>
      </c>
      <c r="N781" s="1013" t="s">
        <v>2538</v>
      </c>
      <c r="O781" s="929" t="s">
        <v>2623</v>
      </c>
      <c r="P781" s="927">
        <f t="shared" si="60"/>
        <v>43185</v>
      </c>
      <c r="Q781" s="927">
        <f t="shared" si="59"/>
        <v>43185</v>
      </c>
      <c r="R781" s="930" t="s">
        <v>2481</v>
      </c>
      <c r="S781" s="931"/>
      <c r="T781" s="931"/>
      <c r="U781" s="926"/>
    </row>
    <row r="782" spans="1:21" hidden="1">
      <c r="A782" s="926" t="s">
        <v>2476</v>
      </c>
      <c r="B782" s="927">
        <v>43185</v>
      </c>
      <c r="C782" s="926">
        <v>4</v>
      </c>
      <c r="D782" s="926">
        <v>14</v>
      </c>
      <c r="E782" s="926"/>
      <c r="F782" s="926"/>
      <c r="G782" s="1013" t="s">
        <v>2625</v>
      </c>
      <c r="H782" s="929"/>
      <c r="I782" s="929" t="s">
        <v>2310</v>
      </c>
      <c r="J782" s="929"/>
      <c r="K782" s="929"/>
      <c r="L782" s="929"/>
      <c r="M782" s="1013" t="s">
        <v>2568</v>
      </c>
      <c r="N782" s="1013" t="s">
        <v>2538</v>
      </c>
      <c r="O782" s="929" t="s">
        <v>2623</v>
      </c>
      <c r="P782" s="927">
        <f t="shared" si="60"/>
        <v>43185</v>
      </c>
      <c r="Q782" s="927">
        <f t="shared" si="59"/>
        <v>43185</v>
      </c>
      <c r="R782" s="930" t="s">
        <v>2481</v>
      </c>
      <c r="S782" s="931"/>
      <c r="T782" s="931"/>
      <c r="U782" s="926"/>
    </row>
    <row r="783" spans="1:21" hidden="1">
      <c r="A783" s="926" t="s">
        <v>2476</v>
      </c>
      <c r="B783" s="927">
        <v>43185</v>
      </c>
      <c r="C783" s="926">
        <v>4</v>
      </c>
      <c r="D783" s="926">
        <v>14</v>
      </c>
      <c r="E783" s="926"/>
      <c r="F783" s="926"/>
      <c r="G783" s="1013" t="s">
        <v>2545</v>
      </c>
      <c r="H783" s="929"/>
      <c r="I783" s="929" t="s">
        <v>2310</v>
      </c>
      <c r="J783" s="929"/>
      <c r="K783" s="929"/>
      <c r="L783" s="929"/>
      <c r="M783" s="1013" t="s">
        <v>2528</v>
      </c>
      <c r="N783" s="1013" t="s">
        <v>2524</v>
      </c>
      <c r="O783" s="929" t="s">
        <v>2623</v>
      </c>
      <c r="P783" s="927">
        <f t="shared" si="60"/>
        <v>43185</v>
      </c>
      <c r="Q783" s="927">
        <f t="shared" si="59"/>
        <v>43185</v>
      </c>
      <c r="R783" s="930" t="s">
        <v>2481</v>
      </c>
      <c r="S783" s="931"/>
      <c r="T783" s="931"/>
      <c r="U783" s="926"/>
    </row>
    <row r="784" spans="1:21" hidden="1">
      <c r="A784" s="926" t="s">
        <v>2476</v>
      </c>
      <c r="B784" s="927">
        <v>43185</v>
      </c>
      <c r="C784" s="926">
        <v>4</v>
      </c>
      <c r="D784" s="926">
        <v>14</v>
      </c>
      <c r="E784" s="926"/>
      <c r="F784" s="926"/>
      <c r="G784" s="1013" t="s">
        <v>2544</v>
      </c>
      <c r="H784" s="929"/>
      <c r="I784" s="929" t="s">
        <v>2310</v>
      </c>
      <c r="J784" s="929"/>
      <c r="K784" s="929"/>
      <c r="L784" s="929"/>
      <c r="M784" s="1013" t="s">
        <v>2528</v>
      </c>
      <c r="N784" s="1013" t="s">
        <v>2524</v>
      </c>
      <c r="O784" s="929" t="s">
        <v>2623</v>
      </c>
      <c r="P784" s="927">
        <f t="shared" si="60"/>
        <v>43185</v>
      </c>
      <c r="Q784" s="927">
        <f t="shared" si="59"/>
        <v>43185</v>
      </c>
      <c r="R784" s="930" t="s">
        <v>2481</v>
      </c>
      <c r="S784" s="931"/>
      <c r="T784" s="931"/>
      <c r="U784" s="926"/>
    </row>
    <row r="785" spans="1:21" ht="33" hidden="1" customHeight="1">
      <c r="A785" s="926" t="s">
        <v>2476</v>
      </c>
      <c r="B785" s="927">
        <v>43185</v>
      </c>
      <c r="C785" s="926">
        <v>4</v>
      </c>
      <c r="D785" s="926">
        <v>14</v>
      </c>
      <c r="E785" s="926"/>
      <c r="F785" s="926"/>
      <c r="G785" s="1013" t="s">
        <v>2626</v>
      </c>
      <c r="H785" s="929"/>
      <c r="I785" s="929" t="s">
        <v>2310</v>
      </c>
      <c r="J785" s="929"/>
      <c r="K785" s="929"/>
      <c r="L785" s="929"/>
      <c r="M785" s="1013" t="s">
        <v>2528</v>
      </c>
      <c r="N785" s="1013" t="s">
        <v>2524</v>
      </c>
      <c r="O785" s="929" t="s">
        <v>2623</v>
      </c>
      <c r="P785" s="927">
        <f t="shared" si="60"/>
        <v>43185</v>
      </c>
      <c r="Q785" s="927">
        <f t="shared" si="59"/>
        <v>43185</v>
      </c>
      <c r="R785" s="930" t="s">
        <v>2481</v>
      </c>
      <c r="S785" s="931"/>
      <c r="T785" s="931"/>
      <c r="U785" s="926"/>
    </row>
    <row r="786" spans="1:21" ht="17.25" hidden="1" customHeight="1">
      <c r="A786" s="926" t="s">
        <v>2476</v>
      </c>
      <c r="B786" s="927">
        <v>43185</v>
      </c>
      <c r="C786" s="926">
        <v>4</v>
      </c>
      <c r="D786" s="926">
        <v>14</v>
      </c>
      <c r="E786" s="926"/>
      <c r="F786" s="926"/>
      <c r="G786" s="1013" t="s">
        <v>2544</v>
      </c>
      <c r="H786" s="929"/>
      <c r="I786" s="929" t="s">
        <v>2310</v>
      </c>
      <c r="J786" s="929"/>
      <c r="K786" s="929"/>
      <c r="L786" s="929"/>
      <c r="M786" s="1013" t="s">
        <v>2535</v>
      </c>
      <c r="N786" s="1013" t="s">
        <v>2604</v>
      </c>
      <c r="O786" s="929" t="s">
        <v>2623</v>
      </c>
      <c r="P786" s="927">
        <f t="shared" si="60"/>
        <v>43185</v>
      </c>
      <c r="Q786" s="927">
        <f t="shared" si="59"/>
        <v>43185</v>
      </c>
      <c r="R786" s="930" t="s">
        <v>2481</v>
      </c>
      <c r="S786" s="931"/>
      <c r="T786" s="931"/>
      <c r="U786" s="926"/>
    </row>
    <row r="787" spans="1:21" hidden="1">
      <c r="A787" s="926" t="s">
        <v>2476</v>
      </c>
      <c r="B787" s="927">
        <v>43185</v>
      </c>
      <c r="C787" s="926">
        <v>4</v>
      </c>
      <c r="D787" s="926">
        <v>14</v>
      </c>
      <c r="E787" s="926"/>
      <c r="F787" s="926"/>
      <c r="G787" s="1013" t="s">
        <v>2545</v>
      </c>
      <c r="H787" s="929"/>
      <c r="I787" s="929" t="s">
        <v>2310</v>
      </c>
      <c r="J787" s="929"/>
      <c r="K787" s="929"/>
      <c r="L787" s="929"/>
      <c r="M787" s="1013" t="s">
        <v>2535</v>
      </c>
      <c r="N787" s="1013" t="s">
        <v>2604</v>
      </c>
      <c r="O787" s="929" t="s">
        <v>2623</v>
      </c>
      <c r="P787" s="927">
        <f t="shared" si="60"/>
        <v>43185</v>
      </c>
      <c r="Q787" s="927">
        <f t="shared" si="59"/>
        <v>43185</v>
      </c>
      <c r="R787" s="930" t="s">
        <v>2481</v>
      </c>
      <c r="S787" s="931"/>
      <c r="T787" s="931"/>
      <c r="U787" s="926"/>
    </row>
    <row r="788" spans="1:21" hidden="1">
      <c r="A788" s="926" t="s">
        <v>2476</v>
      </c>
      <c r="B788" s="927">
        <v>43185</v>
      </c>
      <c r="C788" s="926">
        <v>4</v>
      </c>
      <c r="D788" s="926">
        <v>14</v>
      </c>
      <c r="E788" s="926"/>
      <c r="F788" s="926"/>
      <c r="G788" s="1013" t="s">
        <v>2625</v>
      </c>
      <c r="H788" s="929"/>
      <c r="I788" s="929" t="s">
        <v>2310</v>
      </c>
      <c r="J788" s="929"/>
      <c r="K788" s="929"/>
      <c r="L788" s="929"/>
      <c r="M788" s="1013" t="s">
        <v>2535</v>
      </c>
      <c r="N788" s="1013" t="s">
        <v>2604</v>
      </c>
      <c r="O788" s="929" t="s">
        <v>2623</v>
      </c>
      <c r="P788" s="927">
        <f t="shared" si="60"/>
        <v>43185</v>
      </c>
      <c r="Q788" s="927">
        <f t="shared" si="59"/>
        <v>43185</v>
      </c>
      <c r="R788" s="930" t="s">
        <v>2481</v>
      </c>
      <c r="S788" s="931"/>
      <c r="T788" s="931"/>
      <c r="U788" s="926"/>
    </row>
    <row r="789" spans="1:21" hidden="1">
      <c r="A789" s="926" t="s">
        <v>2476</v>
      </c>
      <c r="B789" s="927">
        <v>43185</v>
      </c>
      <c r="C789" s="926">
        <v>4</v>
      </c>
      <c r="D789" s="926">
        <v>14</v>
      </c>
      <c r="E789" s="926"/>
      <c r="F789" s="926"/>
      <c r="G789" s="1013" t="s">
        <v>2544</v>
      </c>
      <c r="H789" s="929"/>
      <c r="I789" s="929" t="s">
        <v>2310</v>
      </c>
      <c r="J789" s="929"/>
      <c r="K789" s="929"/>
      <c r="L789" s="929"/>
      <c r="M789" s="1013" t="s">
        <v>2627</v>
      </c>
      <c r="N789" s="1013" t="s">
        <v>2604</v>
      </c>
      <c r="O789" s="929" t="s">
        <v>2623</v>
      </c>
      <c r="P789" s="927">
        <f t="shared" si="60"/>
        <v>43185</v>
      </c>
      <c r="Q789" s="927">
        <f t="shared" si="59"/>
        <v>43185</v>
      </c>
      <c r="R789" s="930" t="s">
        <v>2481</v>
      </c>
      <c r="S789" s="931"/>
      <c r="T789" s="931"/>
      <c r="U789" s="926"/>
    </row>
    <row r="790" spans="1:21" hidden="1">
      <c r="A790" s="926" t="s">
        <v>2476</v>
      </c>
      <c r="B790" s="927">
        <v>43185</v>
      </c>
      <c r="C790" s="926">
        <v>4</v>
      </c>
      <c r="D790" s="926">
        <v>14</v>
      </c>
      <c r="E790" s="926"/>
      <c r="F790" s="926"/>
      <c r="G790" s="1013" t="s">
        <v>2545</v>
      </c>
      <c r="H790" s="929"/>
      <c r="I790" s="929" t="s">
        <v>2310</v>
      </c>
      <c r="J790" s="929"/>
      <c r="K790" s="929"/>
      <c r="L790" s="929"/>
      <c r="M790" s="1013" t="s">
        <v>2627</v>
      </c>
      <c r="N790" s="1013" t="s">
        <v>2604</v>
      </c>
      <c r="O790" s="929" t="s">
        <v>2623</v>
      </c>
      <c r="P790" s="927">
        <f t="shared" si="60"/>
        <v>43185</v>
      </c>
      <c r="Q790" s="927">
        <f t="shared" si="59"/>
        <v>43185</v>
      </c>
      <c r="R790" s="930" t="s">
        <v>2481</v>
      </c>
      <c r="S790" s="931"/>
      <c r="T790" s="931"/>
      <c r="U790" s="926"/>
    </row>
    <row r="791" spans="1:21" hidden="1">
      <c r="A791" s="926" t="s">
        <v>2476</v>
      </c>
      <c r="B791" s="927">
        <v>43185</v>
      </c>
      <c r="C791" s="926">
        <v>4</v>
      </c>
      <c r="D791" s="926">
        <v>14</v>
      </c>
      <c r="E791" s="926"/>
      <c r="F791" s="926"/>
      <c r="G791" s="1013" t="s">
        <v>2625</v>
      </c>
      <c r="H791" s="929"/>
      <c r="I791" s="929" t="s">
        <v>2310</v>
      </c>
      <c r="J791" s="929"/>
      <c r="K791" s="929"/>
      <c r="L791" s="929"/>
      <c r="M791" s="1013" t="s">
        <v>2627</v>
      </c>
      <c r="N791" s="1013" t="s">
        <v>2604</v>
      </c>
      <c r="O791" s="929" t="s">
        <v>2623</v>
      </c>
      <c r="P791" s="927">
        <f t="shared" si="60"/>
        <v>43185</v>
      </c>
      <c r="Q791" s="927">
        <f t="shared" si="59"/>
        <v>43185</v>
      </c>
      <c r="R791" s="930" t="s">
        <v>2481</v>
      </c>
      <c r="S791" s="931"/>
      <c r="T791" s="931"/>
      <c r="U791" s="926"/>
    </row>
    <row r="792" spans="1:21" ht="25.5" hidden="1">
      <c r="A792" s="926" t="s">
        <v>2476</v>
      </c>
      <c r="B792" s="927">
        <v>43451</v>
      </c>
      <c r="C792" s="926">
        <v>1</v>
      </c>
      <c r="D792" s="926">
        <v>4</v>
      </c>
      <c r="E792" s="935" t="s">
        <v>948</v>
      </c>
      <c r="F792" s="935"/>
      <c r="G792" s="1013" t="s">
        <v>2628</v>
      </c>
      <c r="H792" s="929"/>
      <c r="I792" s="929" t="s">
        <v>551</v>
      </c>
      <c r="J792" s="929"/>
      <c r="K792" s="929"/>
      <c r="L792" s="929"/>
      <c r="M792" s="1013" t="s">
        <v>2629</v>
      </c>
      <c r="N792" s="1013" t="s">
        <v>2524</v>
      </c>
      <c r="O792" s="929" t="s">
        <v>77</v>
      </c>
      <c r="P792" s="927">
        <f t="shared" si="60"/>
        <v>43451</v>
      </c>
      <c r="Q792" s="927">
        <f t="shared" si="59"/>
        <v>43451</v>
      </c>
      <c r="R792" s="930" t="s">
        <v>2630</v>
      </c>
      <c r="S792" s="933" t="s">
        <v>2096</v>
      </c>
      <c r="T792" s="933"/>
      <c r="U792" s="926"/>
    </row>
    <row r="793" spans="1:21" ht="25.5" hidden="1">
      <c r="A793" s="926" t="s">
        <v>2476</v>
      </c>
      <c r="B793" s="927">
        <v>43451</v>
      </c>
      <c r="C793" s="926">
        <v>1</v>
      </c>
      <c r="D793" s="926">
        <v>4</v>
      </c>
      <c r="E793" s="935" t="s">
        <v>951</v>
      </c>
      <c r="F793" s="935"/>
      <c r="G793" s="1013" t="s">
        <v>2631</v>
      </c>
      <c r="H793" s="929"/>
      <c r="I793" s="929" t="s">
        <v>551</v>
      </c>
      <c r="J793" s="929"/>
      <c r="K793" s="929"/>
      <c r="L793" s="929"/>
      <c r="M793" s="1013" t="s">
        <v>2629</v>
      </c>
      <c r="N793" s="1013" t="s">
        <v>2524</v>
      </c>
      <c r="O793" s="929" t="s">
        <v>77</v>
      </c>
      <c r="P793" s="927">
        <f t="shared" si="60"/>
        <v>43451</v>
      </c>
      <c r="Q793" s="927">
        <f t="shared" si="59"/>
        <v>43451</v>
      </c>
      <c r="R793" s="930" t="s">
        <v>2630</v>
      </c>
      <c r="S793" s="933" t="s">
        <v>2096</v>
      </c>
      <c r="T793" s="933"/>
      <c r="U793" s="926"/>
    </row>
    <row r="794" spans="1:21" hidden="1">
      <c r="A794" s="926" t="s">
        <v>2476</v>
      </c>
      <c r="B794" s="927">
        <v>43451</v>
      </c>
      <c r="C794" s="926">
        <v>1</v>
      </c>
      <c r="D794" s="926">
        <v>4</v>
      </c>
      <c r="E794" s="935" t="s">
        <v>957</v>
      </c>
      <c r="F794" s="935"/>
      <c r="G794" s="1013" t="s">
        <v>2632</v>
      </c>
      <c r="H794" s="929"/>
      <c r="I794" s="929" t="s">
        <v>551</v>
      </c>
      <c r="J794" s="929"/>
      <c r="K794" s="929"/>
      <c r="L794" s="929"/>
      <c r="M794" s="1013" t="s">
        <v>2633</v>
      </c>
      <c r="N794" s="1013" t="s">
        <v>2524</v>
      </c>
      <c r="O794" s="929" t="s">
        <v>77</v>
      </c>
      <c r="P794" s="927">
        <f t="shared" si="60"/>
        <v>43451</v>
      </c>
      <c r="Q794" s="927">
        <f t="shared" si="59"/>
        <v>43451</v>
      </c>
      <c r="R794" s="930" t="s">
        <v>2630</v>
      </c>
      <c r="S794" s="933" t="s">
        <v>2101</v>
      </c>
      <c r="T794" s="933"/>
      <c r="U794" s="926"/>
    </row>
    <row r="795" spans="1:21" hidden="1">
      <c r="A795" s="926" t="s">
        <v>2476</v>
      </c>
      <c r="B795" s="927">
        <v>43451</v>
      </c>
      <c r="C795" s="926">
        <v>1</v>
      </c>
      <c r="D795" s="926">
        <v>5</v>
      </c>
      <c r="E795" s="935" t="s">
        <v>954</v>
      </c>
      <c r="F795" s="935"/>
      <c r="G795" s="1013" t="s">
        <v>2504</v>
      </c>
      <c r="H795" s="929"/>
      <c r="I795" s="929" t="s">
        <v>551</v>
      </c>
      <c r="J795" s="929"/>
      <c r="K795" s="929"/>
      <c r="L795" s="929"/>
      <c r="M795" s="1013" t="s">
        <v>2633</v>
      </c>
      <c r="N795" s="1013" t="s">
        <v>2524</v>
      </c>
      <c r="O795" s="929" t="s">
        <v>77</v>
      </c>
      <c r="P795" s="927">
        <f t="shared" si="60"/>
        <v>43451</v>
      </c>
      <c r="Q795" s="927">
        <f t="shared" si="59"/>
        <v>43451</v>
      </c>
      <c r="R795" s="930" t="s">
        <v>2630</v>
      </c>
      <c r="S795" s="933" t="s">
        <v>2099</v>
      </c>
      <c r="T795" s="933"/>
      <c r="U795" s="926"/>
    </row>
    <row r="796" spans="1:21">
      <c r="E796" s="1531"/>
      <c r="G796" s="1176"/>
      <c r="T796" s="1703"/>
    </row>
    <row r="797" spans="1:21">
      <c r="G797" s="1176"/>
      <c r="T797" s="1703"/>
    </row>
    <row r="798" spans="1:21">
      <c r="G798" s="1176"/>
      <c r="T798" s="1703"/>
    </row>
    <row r="799" spans="1:21">
      <c r="G799" s="1176"/>
      <c r="T799" s="1703"/>
    </row>
    <row r="800" spans="1:21">
      <c r="G800" s="1176"/>
      <c r="T800" s="1703"/>
    </row>
    <row r="801" spans="7:20">
      <c r="G801" s="1176"/>
      <c r="T801" s="1703"/>
    </row>
    <row r="802" spans="7:20">
      <c r="G802" s="1176"/>
      <c r="T802" s="1703"/>
    </row>
    <row r="803" spans="7:20">
      <c r="G803" s="1176"/>
      <c r="T803" s="1703"/>
    </row>
    <row r="804" spans="7:20">
      <c r="G804" s="1176"/>
      <c r="T804" s="1703"/>
    </row>
    <row r="805" spans="7:20">
      <c r="G805" s="1176"/>
      <c r="T805" s="1703"/>
    </row>
    <row r="806" spans="7:20">
      <c r="G806" s="1176"/>
      <c r="T806" s="1703"/>
    </row>
    <row r="807" spans="7:20">
      <c r="G807" s="1176"/>
      <c r="T807" s="1703"/>
    </row>
    <row r="808" spans="7:20">
      <c r="G808" s="1176"/>
      <c r="T808" s="1703"/>
    </row>
    <row r="809" spans="7:20">
      <c r="G809" s="1176"/>
      <c r="T809" s="1703"/>
    </row>
    <row r="810" spans="7:20">
      <c r="G810" s="1176"/>
      <c r="T810" s="1703"/>
    </row>
    <row r="811" spans="7:20">
      <c r="G811" s="1176"/>
      <c r="T811" s="1703"/>
    </row>
    <row r="812" spans="7:20">
      <c r="G812" s="1176"/>
      <c r="T812" s="1703"/>
    </row>
    <row r="813" spans="7:20">
      <c r="G813" s="1176"/>
      <c r="T813" s="1703"/>
    </row>
    <row r="814" spans="7:20">
      <c r="G814" s="1176"/>
      <c r="T814" s="1703"/>
    </row>
    <row r="815" spans="7:20">
      <c r="G815" s="1176"/>
      <c r="T815" s="1703"/>
    </row>
    <row r="816" spans="7:20">
      <c r="G816" s="1176"/>
      <c r="T816" s="1703"/>
    </row>
    <row r="817" spans="7:20">
      <c r="G817" s="1176"/>
      <c r="T817" s="1703"/>
    </row>
    <row r="818" spans="7:20">
      <c r="G818" s="1176"/>
      <c r="T818" s="1703"/>
    </row>
    <row r="819" spans="7:20">
      <c r="G819" s="1176"/>
      <c r="T819" s="1703"/>
    </row>
    <row r="820" spans="7:20">
      <c r="G820" s="1176"/>
      <c r="T820" s="1703"/>
    </row>
    <row r="821" spans="7:20">
      <c r="G821" s="1176"/>
      <c r="T821" s="1703"/>
    </row>
    <row r="822" spans="7:20">
      <c r="G822" s="1176"/>
      <c r="T822" s="1703"/>
    </row>
    <row r="823" spans="7:20">
      <c r="G823" s="1176"/>
      <c r="T823" s="1703"/>
    </row>
    <row r="824" spans="7:20">
      <c r="G824" s="1176"/>
      <c r="T824" s="1703"/>
    </row>
    <row r="825" spans="7:20">
      <c r="G825" s="1176"/>
      <c r="T825" s="1703"/>
    </row>
    <row r="826" spans="7:20">
      <c r="G826" s="1176"/>
      <c r="T826" s="1703"/>
    </row>
    <row r="827" spans="7:20">
      <c r="G827" s="1176"/>
      <c r="T827" s="1703"/>
    </row>
    <row r="828" spans="7:20">
      <c r="G828" s="1176"/>
      <c r="T828" s="1703"/>
    </row>
    <row r="829" spans="7:20">
      <c r="G829" s="1176"/>
      <c r="T829" s="1703"/>
    </row>
    <row r="830" spans="7:20">
      <c r="G830" s="1176"/>
      <c r="T830" s="1703"/>
    </row>
    <row r="831" spans="7:20">
      <c r="G831" s="1176"/>
      <c r="T831" s="1703"/>
    </row>
    <row r="832" spans="7:20">
      <c r="G832" s="1176"/>
      <c r="T832" s="1703"/>
    </row>
    <row r="833" spans="7:20">
      <c r="G833" s="1176"/>
      <c r="T833" s="1703"/>
    </row>
    <row r="834" spans="7:20">
      <c r="G834" s="1176"/>
      <c r="T834" s="1703"/>
    </row>
    <row r="835" spans="7:20">
      <c r="G835" s="1176"/>
      <c r="T835" s="1703"/>
    </row>
    <row r="836" spans="7:20">
      <c r="G836" s="1176"/>
      <c r="T836" s="1703"/>
    </row>
    <row r="837" spans="7:20">
      <c r="G837" s="1176"/>
      <c r="T837" s="1703"/>
    </row>
    <row r="838" spans="7:20">
      <c r="G838" s="1176"/>
      <c r="T838" s="1703"/>
    </row>
    <row r="839" spans="7:20">
      <c r="G839" s="1176"/>
      <c r="T839" s="1703"/>
    </row>
    <row r="840" spans="7:20">
      <c r="G840" s="1176"/>
      <c r="T840" s="1703"/>
    </row>
    <row r="841" spans="7:20">
      <c r="G841" s="1176"/>
      <c r="T841" s="1703"/>
    </row>
    <row r="842" spans="7:20">
      <c r="G842" s="1176"/>
      <c r="T842" s="1703"/>
    </row>
    <row r="843" spans="7:20">
      <c r="G843" s="1176"/>
      <c r="T843" s="1703"/>
    </row>
    <row r="844" spans="7:20">
      <c r="G844" s="1176"/>
      <c r="T844" s="1703"/>
    </row>
    <row r="845" spans="7:20">
      <c r="G845" s="1176"/>
      <c r="T845" s="1703"/>
    </row>
    <row r="846" spans="7:20">
      <c r="G846" s="1176"/>
      <c r="T846" s="1703"/>
    </row>
    <row r="847" spans="7:20">
      <c r="G847" s="1176"/>
      <c r="T847" s="1703"/>
    </row>
    <row r="848" spans="7:20">
      <c r="G848" s="1176"/>
      <c r="T848" s="1703"/>
    </row>
    <row r="849" spans="7:20">
      <c r="G849" s="1176"/>
      <c r="T849" s="1703"/>
    </row>
    <row r="850" spans="7:20">
      <c r="G850" s="1176"/>
      <c r="T850" s="1703"/>
    </row>
    <row r="851" spans="7:20">
      <c r="G851" s="1176"/>
      <c r="T851" s="1703"/>
    </row>
    <row r="852" spans="7:20">
      <c r="G852" s="1176"/>
      <c r="T852" s="1703"/>
    </row>
    <row r="853" spans="7:20">
      <c r="G853" s="1176"/>
      <c r="T853" s="1703"/>
    </row>
    <row r="854" spans="7:20">
      <c r="G854" s="1176"/>
      <c r="T854" s="1703"/>
    </row>
    <row r="855" spans="7:20">
      <c r="G855" s="1176"/>
      <c r="T855" s="1703"/>
    </row>
    <row r="856" spans="7:20">
      <c r="G856" s="1176"/>
      <c r="T856" s="1703"/>
    </row>
    <row r="857" spans="7:20">
      <c r="G857" s="1176"/>
      <c r="T857" s="1703"/>
    </row>
    <row r="858" spans="7:20">
      <c r="G858" s="1176"/>
      <c r="T858" s="1703"/>
    </row>
    <row r="859" spans="7:20">
      <c r="G859" s="1176"/>
      <c r="T859" s="1703"/>
    </row>
    <row r="860" spans="7:20">
      <c r="G860" s="1176"/>
      <c r="T860" s="1703"/>
    </row>
    <row r="861" spans="7:20">
      <c r="G861" s="1176"/>
      <c r="T861" s="1703"/>
    </row>
    <row r="862" spans="7:20">
      <c r="G862" s="1176"/>
      <c r="T862" s="1703"/>
    </row>
    <row r="863" spans="7:20">
      <c r="G863" s="1176"/>
      <c r="T863" s="938"/>
    </row>
    <row r="864" spans="7:20">
      <c r="G864" s="1176"/>
      <c r="T864" s="938"/>
    </row>
    <row r="865" spans="7:20">
      <c r="G865" s="1176"/>
      <c r="T865" s="938"/>
    </row>
    <row r="866" spans="7:20">
      <c r="G866" s="1176"/>
      <c r="T866" s="938"/>
    </row>
    <row r="867" spans="7:20">
      <c r="G867" s="1176"/>
      <c r="T867" s="938"/>
    </row>
    <row r="868" spans="7:20">
      <c r="G868" s="1176"/>
      <c r="T868" s="938"/>
    </row>
    <row r="869" spans="7:20">
      <c r="G869" s="1176"/>
      <c r="T869" s="938"/>
    </row>
    <row r="870" spans="7:20">
      <c r="G870" s="1176"/>
      <c r="T870" s="938"/>
    </row>
    <row r="871" spans="7:20">
      <c r="G871" s="1176"/>
      <c r="T871" s="938"/>
    </row>
    <row r="872" spans="7:20">
      <c r="G872" s="1176"/>
      <c r="T872" s="938"/>
    </row>
    <row r="873" spans="7:20">
      <c r="G873" s="1176"/>
      <c r="T873" s="938"/>
    </row>
    <row r="874" spans="7:20">
      <c r="G874" s="1176"/>
      <c r="T874" s="938"/>
    </row>
    <row r="875" spans="7:20">
      <c r="G875" s="1176"/>
      <c r="T875" s="938"/>
    </row>
    <row r="876" spans="7:20">
      <c r="G876" s="1176"/>
      <c r="T876" s="938"/>
    </row>
    <row r="877" spans="7:20">
      <c r="G877" s="1176"/>
      <c r="T877" s="938"/>
    </row>
    <row r="878" spans="7:20">
      <c r="G878" s="1176"/>
      <c r="T878" s="938"/>
    </row>
    <row r="879" spans="7:20">
      <c r="G879" s="1176"/>
      <c r="T879" s="938"/>
    </row>
    <row r="880" spans="7:20">
      <c r="G880" s="1176"/>
      <c r="T880" s="938"/>
    </row>
    <row r="881" spans="7:20">
      <c r="G881" s="1176"/>
      <c r="T881" s="938"/>
    </row>
    <row r="882" spans="7:20">
      <c r="G882" s="1176"/>
      <c r="T882" s="938"/>
    </row>
    <row r="883" spans="7:20">
      <c r="G883" s="1176"/>
      <c r="T883" s="938"/>
    </row>
    <row r="884" spans="7:20">
      <c r="G884" s="1176"/>
      <c r="T884" s="938"/>
    </row>
    <row r="885" spans="7:20">
      <c r="G885" s="1176"/>
      <c r="T885" s="938"/>
    </row>
    <row r="886" spans="7:20">
      <c r="G886" s="1176"/>
      <c r="T886" s="938"/>
    </row>
    <row r="887" spans="7:20">
      <c r="G887" s="1176"/>
      <c r="T887" s="938"/>
    </row>
    <row r="888" spans="7:20">
      <c r="G888" s="1176"/>
    </row>
    <row r="889" spans="7:20">
      <c r="G889" s="1176"/>
    </row>
    <row r="890" spans="7:20">
      <c r="G890" s="1176"/>
    </row>
    <row r="891" spans="7:20">
      <c r="G891" s="1176"/>
    </row>
    <row r="892" spans="7:20">
      <c r="G892" s="1176"/>
    </row>
    <row r="893" spans="7:20">
      <c r="G893" s="1176"/>
    </row>
    <row r="894" spans="7:20">
      <c r="G894" s="1176"/>
    </row>
    <row r="895" spans="7:20">
      <c r="G895" s="1176"/>
    </row>
    <row r="896" spans="7:20">
      <c r="G896" s="1176"/>
    </row>
    <row r="897" spans="7:7">
      <c r="G897" s="1176"/>
    </row>
    <row r="898" spans="7:7">
      <c r="G898" s="1176"/>
    </row>
    <row r="899" spans="7:7">
      <c r="G899" s="1176"/>
    </row>
    <row r="900" spans="7:7">
      <c r="G900" s="1176"/>
    </row>
    <row r="901" spans="7:7">
      <c r="G901" s="1176"/>
    </row>
    <row r="902" spans="7:7">
      <c r="G902" s="1176"/>
    </row>
    <row r="903" spans="7:7">
      <c r="G903" s="1176"/>
    </row>
    <row r="904" spans="7:7">
      <c r="G904" s="1176"/>
    </row>
    <row r="905" spans="7:7">
      <c r="G905" s="1176"/>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29"/>
    <col min="21" max="21" width="27.42578125" customWidth="1"/>
    <col min="22" max="22" width="11.42578125" style="1029"/>
    <col min="24" max="24" width="24" customWidth="1"/>
  </cols>
  <sheetData>
    <row r="1" spans="1:24" ht="15.75" thickBot="1"/>
    <row r="2" spans="1:24" ht="15.75" thickBot="1">
      <c r="A2" s="905"/>
      <c r="B2" s="906"/>
      <c r="C2" s="908" t="s">
        <v>2722</v>
      </c>
      <c r="D2" s="906"/>
      <c r="E2" s="907"/>
      <c r="I2" s="905" t="s">
        <v>2723</v>
      </c>
      <c r="J2" s="906"/>
      <c r="K2" s="907"/>
      <c r="O2" s="905" t="s">
        <v>7</v>
      </c>
      <c r="P2" s="906"/>
      <c r="Q2" s="907"/>
      <c r="T2" s="1275" t="s">
        <v>3637</v>
      </c>
      <c r="U2" s="1276"/>
      <c r="W2" s="1275" t="s">
        <v>3638</v>
      </c>
      <c r="X2" s="1276"/>
    </row>
    <row r="4" spans="1:24">
      <c r="A4" s="1564">
        <f>OBRA!R636</f>
        <v>98067.87</v>
      </c>
      <c r="C4" s="107">
        <f>100*A4/116</f>
        <v>84541.267241379304</v>
      </c>
      <c r="E4">
        <v>84541.27</v>
      </c>
      <c r="I4" s="895"/>
      <c r="O4" s="279">
        <f>OBRA!AR400</f>
        <v>392737.05000000005</v>
      </c>
      <c r="T4" t="s">
        <v>3639</v>
      </c>
      <c r="W4" t="s">
        <v>3639</v>
      </c>
    </row>
    <row r="5" spans="1:24">
      <c r="A5" s="1564">
        <f>OBRA!R637</f>
        <v>160513.82999999999</v>
      </c>
      <c r="C5" s="107">
        <f t="shared" ref="C5:C41" si="0">100*A5/116</f>
        <v>138373.99137931032</v>
      </c>
      <c r="E5">
        <v>138373.99</v>
      </c>
      <c r="I5" s="578"/>
      <c r="K5">
        <v>230583.34</v>
      </c>
      <c r="O5" s="279">
        <f>OBRA!AR401</f>
        <v>43579.32</v>
      </c>
      <c r="Q5">
        <v>43579.32</v>
      </c>
    </row>
    <row r="6" spans="1:24">
      <c r="A6" s="1564">
        <f>OBRA!R638</f>
        <v>236056.39</v>
      </c>
      <c r="C6" s="107">
        <f t="shared" si="0"/>
        <v>203496.88793103449</v>
      </c>
      <c r="E6">
        <v>203496.89</v>
      </c>
      <c r="I6" s="578"/>
      <c r="K6">
        <v>104942</v>
      </c>
      <c r="O6" s="279">
        <f>OBRA!AR403</f>
        <v>20988.400000000001</v>
      </c>
      <c r="Q6">
        <v>20988.400000000001</v>
      </c>
      <c r="T6">
        <v>389879</v>
      </c>
      <c r="U6" t="s">
        <v>3646</v>
      </c>
      <c r="W6">
        <v>389885</v>
      </c>
      <c r="X6" t="s">
        <v>3640</v>
      </c>
    </row>
    <row r="7" spans="1:24">
      <c r="A7" s="1564">
        <f>OBRA!R639</f>
        <v>2031883.8</v>
      </c>
      <c r="C7" s="107">
        <f t="shared" si="0"/>
        <v>1751623.9655172413</v>
      </c>
      <c r="E7">
        <v>1751623.97</v>
      </c>
      <c r="I7" s="578"/>
      <c r="K7">
        <v>132810.69</v>
      </c>
      <c r="O7" s="279">
        <f>OBRA!AR404</f>
        <v>52536.350000000006</v>
      </c>
      <c r="Q7">
        <v>52536.35</v>
      </c>
      <c r="T7">
        <v>389864</v>
      </c>
      <c r="U7" t="s">
        <v>3647</v>
      </c>
      <c r="W7">
        <v>389914</v>
      </c>
      <c r="X7" t="s">
        <v>3641</v>
      </c>
    </row>
    <row r="8" spans="1:24">
      <c r="A8" s="1564">
        <f>OBRA!R640</f>
        <v>793754.52</v>
      </c>
      <c r="C8" s="107">
        <f t="shared" si="0"/>
        <v>684271.13793103443</v>
      </c>
      <c r="E8">
        <v>684271.14</v>
      </c>
      <c r="I8" s="895"/>
      <c r="O8" s="279"/>
      <c r="T8">
        <v>389876</v>
      </c>
      <c r="U8" t="s">
        <v>3648</v>
      </c>
      <c r="W8">
        <v>389915</v>
      </c>
      <c r="X8" t="s">
        <v>3642</v>
      </c>
    </row>
    <row r="9" spans="1:24">
      <c r="A9" s="1564">
        <f>OBRA!R641</f>
        <v>579637.71</v>
      </c>
      <c r="C9" s="107">
        <f t="shared" si="0"/>
        <v>499687.68103448278</v>
      </c>
      <c r="E9">
        <v>499687.67999999999</v>
      </c>
      <c r="I9" s="895"/>
      <c r="O9" s="279"/>
      <c r="W9">
        <v>389916</v>
      </c>
      <c r="X9" t="s">
        <v>3643</v>
      </c>
    </row>
    <row r="10" spans="1:24">
      <c r="A10" s="1564">
        <f>OBRA!R642</f>
        <v>627108.43000000005</v>
      </c>
      <c r="C10" s="107">
        <f t="shared" si="0"/>
        <v>540610.71551724139</v>
      </c>
      <c r="I10" s="895"/>
      <c r="O10" s="279"/>
      <c r="W10">
        <v>389917</v>
      </c>
      <c r="X10" t="s">
        <v>1414</v>
      </c>
    </row>
    <row r="11" spans="1:24">
      <c r="A11" s="1564">
        <f>OBRA!R643</f>
        <v>168470.35</v>
      </c>
      <c r="C11" s="107">
        <f t="shared" si="0"/>
        <v>145233.06034482759</v>
      </c>
      <c r="I11" s="895"/>
      <c r="O11" s="279"/>
      <c r="W11">
        <v>389918</v>
      </c>
      <c r="X11" t="s">
        <v>3644</v>
      </c>
    </row>
    <row r="12" spans="1:24">
      <c r="A12" s="1564">
        <f>OBRA!R644</f>
        <v>809084.8</v>
      </c>
      <c r="C12" s="107">
        <f t="shared" si="0"/>
        <v>697486.89655172417</v>
      </c>
      <c r="I12" s="895"/>
      <c r="O12" s="279"/>
    </row>
    <row r="13" spans="1:24">
      <c r="A13" s="1564">
        <f>OBRA!R645</f>
        <v>1697255.04</v>
      </c>
      <c r="C13" s="107">
        <f t="shared" si="0"/>
        <v>1463150.8965517241</v>
      </c>
      <c r="I13" s="174"/>
      <c r="N13" s="729"/>
      <c r="O13" s="279"/>
    </row>
    <row r="14" spans="1:24">
      <c r="A14" s="1564">
        <f>OBRA!R646</f>
        <v>1343062.53</v>
      </c>
      <c r="C14" s="107">
        <f t="shared" si="0"/>
        <v>1157812.5258620689</v>
      </c>
      <c r="I14" s="895"/>
      <c r="O14" s="279"/>
    </row>
    <row r="15" spans="1:24">
      <c r="A15" s="594"/>
      <c r="C15" s="107">
        <f t="shared" si="0"/>
        <v>0</v>
      </c>
      <c r="I15" s="895"/>
      <c r="O15" s="279"/>
    </row>
    <row r="16" spans="1:24">
      <c r="A16" s="174"/>
      <c r="C16" s="107">
        <f t="shared" si="0"/>
        <v>0</v>
      </c>
      <c r="I16" s="895"/>
      <c r="O16" s="279"/>
    </row>
    <row r="17" spans="1:15">
      <c r="A17" s="174"/>
      <c r="C17" s="107">
        <f t="shared" si="0"/>
        <v>0</v>
      </c>
      <c r="I17" s="895"/>
      <c r="O17" s="279"/>
    </row>
    <row r="18" spans="1:15">
      <c r="A18" s="174"/>
      <c r="C18" s="107">
        <f t="shared" si="0"/>
        <v>0</v>
      </c>
      <c r="I18" s="895"/>
      <c r="O18" s="279"/>
    </row>
    <row r="19" spans="1:15">
      <c r="A19" s="174"/>
      <c r="C19" s="107">
        <f t="shared" si="0"/>
        <v>0</v>
      </c>
      <c r="I19" s="895"/>
      <c r="O19" s="279"/>
    </row>
    <row r="20" spans="1:15">
      <c r="A20" s="594"/>
      <c r="C20" s="107">
        <f t="shared" si="0"/>
        <v>0</v>
      </c>
      <c r="I20" s="895"/>
      <c r="O20" s="279"/>
    </row>
    <row r="21" spans="1:15">
      <c r="A21" s="174"/>
      <c r="C21" s="107">
        <f t="shared" si="0"/>
        <v>0</v>
      </c>
      <c r="I21" s="895"/>
      <c r="O21" s="279"/>
    </row>
    <row r="22" spans="1:15">
      <c r="A22" s="174"/>
      <c r="C22" s="107">
        <f t="shared" si="0"/>
        <v>0</v>
      </c>
      <c r="I22" s="895"/>
      <c r="O22" s="279"/>
    </row>
    <row r="23" spans="1:15">
      <c r="A23" s="174"/>
      <c r="C23" s="107">
        <f t="shared" si="0"/>
        <v>0</v>
      </c>
      <c r="I23" s="895"/>
      <c r="O23" s="279"/>
    </row>
    <row r="24" spans="1:15">
      <c r="A24" s="174"/>
      <c r="C24" s="107">
        <f t="shared" si="0"/>
        <v>0</v>
      </c>
      <c r="I24" s="895"/>
      <c r="O24" s="279"/>
    </row>
    <row r="25" spans="1:15">
      <c r="A25" s="174"/>
      <c r="C25" s="107">
        <f t="shared" si="0"/>
        <v>0</v>
      </c>
      <c r="I25" s="895"/>
      <c r="O25" s="279"/>
    </row>
    <row r="26" spans="1:15">
      <c r="A26" s="174"/>
      <c r="C26" s="107">
        <f t="shared" si="0"/>
        <v>0</v>
      </c>
      <c r="I26" s="895"/>
      <c r="O26" s="279"/>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94"/>
      <c r="C33" s="107">
        <f t="shared" si="0"/>
        <v>0</v>
      </c>
    </row>
    <row r="34" spans="1:3">
      <c r="A34" s="174"/>
      <c r="C34" s="107">
        <f t="shared" si="0"/>
        <v>0</v>
      </c>
    </row>
    <row r="35" spans="1:3">
      <c r="A35" s="594"/>
      <c r="C35" s="107">
        <f t="shared" si="0"/>
        <v>0</v>
      </c>
    </row>
    <row r="36" spans="1:3">
      <c r="A36" s="594"/>
      <c r="C36" s="107">
        <f t="shared" si="0"/>
        <v>0</v>
      </c>
    </row>
    <row r="37" spans="1:3">
      <c r="A37" s="629"/>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080" t="s">
        <v>3434</v>
      </c>
      <c r="B1" s="2080"/>
      <c r="C1" s="2080"/>
      <c r="D1" s="2080"/>
      <c r="E1" s="2080"/>
      <c r="F1" s="2080"/>
      <c r="G1" s="2080"/>
      <c r="H1" s="2080"/>
      <c r="I1" s="2080"/>
      <c r="J1" s="2080"/>
      <c r="K1" s="2080"/>
      <c r="L1" s="2080"/>
      <c r="M1" s="2080"/>
      <c r="N1" s="2080"/>
      <c r="O1" s="2080"/>
      <c r="P1" s="2080"/>
      <c r="Q1" s="2080"/>
      <c r="R1" s="2080"/>
      <c r="S1" s="2080"/>
      <c r="T1" s="2080"/>
      <c r="U1" s="2080"/>
      <c r="V1" s="2080"/>
      <c r="W1" s="2080"/>
    </row>
    <row r="2" spans="1:23" ht="42.75" customHeight="1">
      <c r="A2" s="1209" t="s">
        <v>19</v>
      </c>
      <c r="B2" s="1209" t="s">
        <v>3384</v>
      </c>
      <c r="C2" s="1209" t="s">
        <v>3387</v>
      </c>
      <c r="D2" s="1209" t="s">
        <v>1425</v>
      </c>
      <c r="E2" s="1209" t="s">
        <v>1412</v>
      </c>
      <c r="F2" s="1209" t="s">
        <v>2206</v>
      </c>
      <c r="G2" s="1209" t="s">
        <v>3385</v>
      </c>
      <c r="H2" s="1209" t="s">
        <v>3386</v>
      </c>
      <c r="I2" s="1209" t="s">
        <v>4159</v>
      </c>
      <c r="J2" s="1209" t="s">
        <v>4160</v>
      </c>
      <c r="K2" s="1211" t="s">
        <v>3436</v>
      </c>
      <c r="L2" s="1211" t="s">
        <v>3437</v>
      </c>
      <c r="M2" s="1211" t="s">
        <v>24</v>
      </c>
      <c r="N2" s="1209" t="s">
        <v>3435</v>
      </c>
      <c r="O2" s="1210" t="s">
        <v>60</v>
      </c>
      <c r="P2" s="1210" t="s">
        <v>1425</v>
      </c>
      <c r="Q2" s="1210" t="s">
        <v>2205</v>
      </c>
      <c r="R2" s="1210" t="s">
        <v>1421</v>
      </c>
      <c r="S2" s="1210" t="s">
        <v>1422</v>
      </c>
      <c r="T2" s="1210" t="s">
        <v>2301</v>
      </c>
      <c r="U2" s="1210" t="s">
        <v>63</v>
      </c>
      <c r="V2" s="1210"/>
      <c r="W2" s="1210"/>
    </row>
    <row r="3" spans="1:23" ht="24.75" customHeight="1">
      <c r="A3" s="946"/>
      <c r="B3" s="946"/>
      <c r="C3" s="946"/>
      <c r="D3" s="946"/>
      <c r="E3" s="946"/>
      <c r="F3" s="946"/>
      <c r="G3" s="946"/>
      <c r="H3" s="946"/>
      <c r="I3" s="946"/>
      <c r="J3" s="946"/>
      <c r="K3" s="946"/>
      <c r="L3" s="946"/>
      <c r="M3" s="946"/>
      <c r="N3" s="946"/>
      <c r="O3" s="946"/>
      <c r="P3" s="946"/>
      <c r="Q3" s="946"/>
      <c r="R3" s="946"/>
      <c r="S3" s="946"/>
      <c r="T3" s="946"/>
      <c r="U3" s="946"/>
      <c r="V3" s="946"/>
      <c r="W3" s="946"/>
    </row>
    <row r="4" spans="1:23" ht="63.75">
      <c r="A4" s="1">
        <v>2020</v>
      </c>
      <c r="B4" s="1">
        <v>1</v>
      </c>
      <c r="C4" s="1203" t="s">
        <v>2733</v>
      </c>
      <c r="D4" s="1206" t="str">
        <f>OBRA!P441</f>
        <v>CONSTRUCCIÓN DE EMPEDRADO ZAMPEADO EN VIALIDAD AV. DEL TRABAJO DE KM 0+000.00 AL KM 0+215.00 (ENTRE VICENTE GUERRERO Y ALLENDE), EN LA LOCALIDAD DE SAN CRISTÓBAL ZAPOTITLÁN DEL MUNICIPIO DE JOCOTEPEC, JALISCO.</v>
      </c>
      <c r="E4" s="1462"/>
      <c r="F4" s="1207" t="s">
        <v>3388</v>
      </c>
      <c r="G4" s="1204" t="s">
        <v>1976</v>
      </c>
      <c r="H4" s="929" t="s">
        <v>3419</v>
      </c>
      <c r="I4" s="929">
        <f>GRAL!AL443</f>
        <v>20.223068999999999</v>
      </c>
      <c r="J4" s="929">
        <f>GRAL!AM443</f>
        <v>103.360921</v>
      </c>
      <c r="K4" s="1212">
        <v>1720</v>
      </c>
      <c r="L4" s="1212">
        <v>430</v>
      </c>
      <c r="M4" s="1213">
        <v>410787.6</v>
      </c>
      <c r="N4" s="1566" t="s">
        <v>4190</v>
      </c>
      <c r="O4" s="926"/>
      <c r="P4" s="926"/>
      <c r="Q4" s="926"/>
      <c r="R4" s="926"/>
      <c r="S4" s="926"/>
      <c r="T4" s="926"/>
      <c r="U4" s="926"/>
      <c r="V4" s="926"/>
      <c r="W4" s="926"/>
    </row>
    <row r="5" spans="1:23" ht="65.25" customHeight="1">
      <c r="A5" s="1">
        <v>2020</v>
      </c>
      <c r="B5" s="1">
        <v>2</v>
      </c>
      <c r="C5" s="1203" t="s">
        <v>3324</v>
      </c>
      <c r="D5" s="1205" t="str">
        <f>OBRA!P443</f>
        <v>CONSTRUCCIÓN DE EMPEDRADO ZAMPEADO, EN LA AGENCIA DE EL SAUZ</v>
      </c>
      <c r="E5" s="1442"/>
      <c r="F5" s="1207" t="s">
        <v>3389</v>
      </c>
      <c r="G5" s="1204" t="s">
        <v>2503</v>
      </c>
      <c r="H5" s="929" t="s">
        <v>3420</v>
      </c>
      <c r="I5" s="929">
        <v>20.184629000000001</v>
      </c>
      <c r="J5" s="929">
        <v>103.378776</v>
      </c>
      <c r="K5" s="1212">
        <v>390</v>
      </c>
      <c r="L5" s="1212">
        <v>156</v>
      </c>
      <c r="M5" s="1213">
        <v>97940.7</v>
      </c>
      <c r="N5" s="1566" t="s">
        <v>4019</v>
      </c>
      <c r="O5" s="926"/>
      <c r="P5" s="926"/>
      <c r="Q5" s="926"/>
      <c r="R5" s="926"/>
      <c r="S5" s="926"/>
      <c r="T5" s="926"/>
      <c r="U5" s="926"/>
      <c r="V5" s="926"/>
      <c r="W5" s="926"/>
    </row>
    <row r="6" spans="1:23" ht="71.25" customHeight="1">
      <c r="A6" s="1">
        <v>2020</v>
      </c>
      <c r="B6" s="1">
        <v>3</v>
      </c>
      <c r="C6" s="1203" t="s">
        <v>3324</v>
      </c>
      <c r="D6" s="1205" t="str">
        <f>OBRA!P443</f>
        <v>CONSTRUCCIÓN DE EMPEDRADO ZAMPEADO, EN LA AGENCIA DE EL SAUZ</v>
      </c>
      <c r="E6" s="1442"/>
      <c r="F6" s="1207" t="s">
        <v>3390</v>
      </c>
      <c r="G6" s="1204" t="s">
        <v>2503</v>
      </c>
      <c r="H6" s="929" t="s">
        <v>2563</v>
      </c>
      <c r="I6" s="929">
        <v>20.185365999999998</v>
      </c>
      <c r="J6" s="929">
        <v>103.378225</v>
      </c>
      <c r="K6" s="1212">
        <v>416.5</v>
      </c>
      <c r="L6" s="1212">
        <v>119</v>
      </c>
      <c r="M6" s="1213">
        <v>100692.45</v>
      </c>
      <c r="N6" s="1566" t="s">
        <v>4019</v>
      </c>
      <c r="O6" s="926"/>
      <c r="P6" s="926"/>
      <c r="Q6" s="926"/>
      <c r="R6" s="926"/>
      <c r="S6" s="926"/>
      <c r="T6" s="926"/>
      <c r="U6" s="926"/>
      <c r="V6" s="926"/>
      <c r="W6" s="926"/>
    </row>
    <row r="7" spans="1:23" ht="68.25" customHeight="1">
      <c r="A7" s="1">
        <v>2020</v>
      </c>
      <c r="B7" s="1">
        <v>4</v>
      </c>
      <c r="C7" s="1203" t="s">
        <v>3324</v>
      </c>
      <c r="D7" s="1205" t="str">
        <f>OBRA!P443</f>
        <v>CONSTRUCCIÓN DE EMPEDRADO ZAMPEADO, EN LA AGENCIA DE EL SAUZ</v>
      </c>
      <c r="E7" s="1442"/>
      <c r="F7" s="1207" t="s">
        <v>3391</v>
      </c>
      <c r="G7" s="1204" t="s">
        <v>2503</v>
      </c>
      <c r="H7" s="929" t="s">
        <v>2563</v>
      </c>
      <c r="I7" s="929">
        <v>20.185628999999999</v>
      </c>
      <c r="J7" s="929">
        <v>103.378713</v>
      </c>
      <c r="K7" s="1212">
        <v>421.59999999999997</v>
      </c>
      <c r="L7" s="1212">
        <v>124</v>
      </c>
      <c r="M7" s="1213">
        <v>102215.93</v>
      </c>
      <c r="N7" s="1566" t="s">
        <v>4019</v>
      </c>
      <c r="O7" s="926"/>
      <c r="P7" s="926"/>
      <c r="Q7" s="926"/>
      <c r="R7" s="926"/>
      <c r="S7" s="926"/>
      <c r="T7" s="926"/>
      <c r="U7" s="926"/>
      <c r="V7" s="926"/>
      <c r="W7" s="926"/>
    </row>
    <row r="8" spans="1:23" ht="72.75" customHeight="1">
      <c r="A8" s="1">
        <v>2020</v>
      </c>
      <c r="B8" s="1">
        <v>5</v>
      </c>
      <c r="C8" s="1203" t="s">
        <v>3324</v>
      </c>
      <c r="D8" s="1205" t="str">
        <f>OBRA!P443</f>
        <v>CONSTRUCCIÓN DE EMPEDRADO ZAMPEADO, EN LA AGENCIA DE EL SAUZ</v>
      </c>
      <c r="E8" s="1442"/>
      <c r="F8" s="1207" t="s">
        <v>3392</v>
      </c>
      <c r="G8" s="1204" t="s">
        <v>2503</v>
      </c>
      <c r="H8" s="929" t="s">
        <v>2563</v>
      </c>
      <c r="I8" s="929">
        <v>20.185063</v>
      </c>
      <c r="J8" s="929">
        <v>103.377555</v>
      </c>
      <c r="K8" s="1212">
        <v>1004.25</v>
      </c>
      <c r="L8" s="1212">
        <v>309</v>
      </c>
      <c r="M8" s="1213">
        <v>244595.9</v>
      </c>
      <c r="N8" s="1566" t="s">
        <v>4019</v>
      </c>
      <c r="O8" s="926"/>
      <c r="P8" s="926"/>
      <c r="Q8" s="926"/>
      <c r="R8" s="926"/>
      <c r="S8" s="926"/>
      <c r="T8" s="926"/>
      <c r="U8" s="926"/>
      <c r="V8" s="926"/>
      <c r="W8" s="926"/>
    </row>
    <row r="9" spans="1:23" ht="71.25" customHeight="1">
      <c r="A9" s="1">
        <v>2020</v>
      </c>
      <c r="B9" s="1">
        <v>6</v>
      </c>
      <c r="C9" s="1203" t="s">
        <v>3324</v>
      </c>
      <c r="D9" s="1205" t="str">
        <f>OBRA!P443</f>
        <v>CONSTRUCCIÓN DE EMPEDRADO ZAMPEADO, EN LA AGENCIA DE EL SAUZ</v>
      </c>
      <c r="E9" s="1442"/>
      <c r="F9" s="1207" t="s">
        <v>3393</v>
      </c>
      <c r="G9" s="1204" t="s">
        <v>2503</v>
      </c>
      <c r="H9" s="929" t="s">
        <v>3422</v>
      </c>
      <c r="I9" s="929">
        <v>20.185288</v>
      </c>
      <c r="J9" s="929">
        <v>103.379211</v>
      </c>
      <c r="K9" s="1212">
        <v>458.5</v>
      </c>
      <c r="L9" s="1212">
        <v>183.4</v>
      </c>
      <c r="M9" s="1213">
        <v>115143.11</v>
      </c>
      <c r="N9" s="1566" t="s">
        <v>4019</v>
      </c>
      <c r="O9" s="926"/>
      <c r="P9" s="926"/>
      <c r="Q9" s="926"/>
      <c r="R9" s="926"/>
      <c r="S9" s="926"/>
      <c r="T9" s="926"/>
      <c r="U9" s="926"/>
      <c r="V9" s="926"/>
      <c r="W9" s="926"/>
    </row>
    <row r="10" spans="1:23" ht="66.75" customHeight="1">
      <c r="A10" s="1">
        <v>2020</v>
      </c>
      <c r="B10" s="1">
        <v>7</v>
      </c>
      <c r="C10" s="1203" t="s">
        <v>3324</v>
      </c>
      <c r="D10" s="1205" t="str">
        <f>OBRA!P443</f>
        <v>CONSTRUCCIÓN DE EMPEDRADO ZAMPEADO, EN LA AGENCIA DE EL SAUZ</v>
      </c>
      <c r="E10" s="1442"/>
      <c r="F10" s="1207" t="s">
        <v>3394</v>
      </c>
      <c r="G10" s="1204" t="s">
        <v>2503</v>
      </c>
      <c r="H10" s="929" t="s">
        <v>3425</v>
      </c>
      <c r="I10" s="929">
        <v>20.184408000000001</v>
      </c>
      <c r="J10" s="929">
        <v>103.378445</v>
      </c>
      <c r="K10" s="1212">
        <v>490.20000000000005</v>
      </c>
      <c r="L10" s="1212">
        <v>163.4</v>
      </c>
      <c r="M10" s="1213">
        <v>120424.17</v>
      </c>
      <c r="N10" s="1566" t="s">
        <v>4019</v>
      </c>
      <c r="O10" s="926"/>
      <c r="P10" s="926"/>
      <c r="Q10" s="926"/>
      <c r="R10" s="926"/>
      <c r="S10" s="926"/>
      <c r="T10" s="926"/>
      <c r="U10" s="926"/>
      <c r="V10" s="926"/>
      <c r="W10" s="926"/>
    </row>
    <row r="11" spans="1:23" ht="83.25" customHeight="1">
      <c r="A11" s="1">
        <v>2020</v>
      </c>
      <c r="B11" s="1">
        <v>8</v>
      </c>
      <c r="C11" s="1203" t="s">
        <v>3238</v>
      </c>
      <c r="D11" s="1206" t="str">
        <f>OBRA!P445</f>
        <v>CONSTRUCCIÓN DE EMPEDRADO ZAMPEADO EN VIALIDAD ANDADOR PEATONAL ENTRE SAN LUCIANO Y SAN LUCIANO DE ABAJO DE KM 0+000.00 AL KM 0+746.00, EN LA LOCALIDAD DE SAN LUCIANO DEL MUNICIPIO DE JOCOTEPEC, JALISCO.</v>
      </c>
      <c r="E11" s="1462"/>
      <c r="F11" s="1207" t="s">
        <v>3395</v>
      </c>
      <c r="G11" s="1204" t="s">
        <v>2613</v>
      </c>
      <c r="H11" s="929" t="s">
        <v>3423</v>
      </c>
      <c r="I11" s="929">
        <f>GRAL!AL446</f>
        <v>20.315778000000002</v>
      </c>
      <c r="J11" s="929">
        <f>GRAL!AM446</f>
        <v>103.420536</v>
      </c>
      <c r="K11" s="1212">
        <v>1492</v>
      </c>
      <c r="L11" s="1212">
        <v>1492</v>
      </c>
      <c r="M11" s="1213">
        <v>448092.36</v>
      </c>
      <c r="N11" s="1566" t="s">
        <v>4191</v>
      </c>
      <c r="O11" s="926"/>
      <c r="P11" s="926"/>
      <c r="Q11" s="926"/>
      <c r="R11" s="926"/>
      <c r="S11" s="926"/>
      <c r="T11" s="926"/>
      <c r="U11" s="926"/>
      <c r="V11" s="926"/>
      <c r="W11" s="926"/>
    </row>
    <row r="12" spans="1:23" ht="78" customHeight="1">
      <c r="A12" s="1">
        <v>2020</v>
      </c>
      <c r="B12" s="1">
        <v>9</v>
      </c>
      <c r="C12" s="1203" t="s">
        <v>2730</v>
      </c>
      <c r="D12" s="1206" t="str">
        <f>OBRA!P434</f>
        <v>CONSTRUCCIÓN DE EMPEDRADO ZAMPEADO EN VIALIDAD CALLE JUAREZ DE KM 0+000.00 AL KM 0+126.10, EN LA LOCALIDAD DE LAS TROJES DEL MUNICIPIO DE JOCOTEPEC, JALISCO</v>
      </c>
      <c r="E12" s="1462"/>
      <c r="F12" s="1207" t="s">
        <v>3396</v>
      </c>
      <c r="G12" s="1204" t="s">
        <v>2614</v>
      </c>
      <c r="H12" s="929" t="s">
        <v>2618</v>
      </c>
      <c r="I12" s="929">
        <f>GRAL!AL435</f>
        <v>20.336055000000002</v>
      </c>
      <c r="J12" s="929">
        <f>GRAL!AM435</f>
        <v>103.327597</v>
      </c>
      <c r="K12" s="1212">
        <v>807.04</v>
      </c>
      <c r="L12" s="1212">
        <v>252.2</v>
      </c>
      <c r="M12" s="1213">
        <v>196881.44</v>
      </c>
      <c r="N12" s="1566" t="s">
        <v>4187</v>
      </c>
      <c r="O12" s="926"/>
      <c r="P12" s="926"/>
      <c r="Q12" s="926"/>
      <c r="R12" s="926"/>
      <c r="S12" s="926"/>
      <c r="T12" s="926"/>
      <c r="U12" s="926"/>
      <c r="V12" s="926"/>
      <c r="W12" s="926"/>
    </row>
    <row r="13" spans="1:23" ht="63.75" customHeight="1">
      <c r="A13" s="1">
        <v>2020</v>
      </c>
      <c r="B13" s="1">
        <v>10</v>
      </c>
      <c r="C13" s="1203" t="s">
        <v>2731</v>
      </c>
      <c r="D13" s="1206" t="str">
        <f>OBRA!P436</f>
        <v>CONSTRUCCIÓN DE EMPEDRADO ZAMPEADO, EN LA LOCALIDAD DE HUEJOTITAN DEL MUNICIPIO DE JOCOTEPEC, JALISCO.</v>
      </c>
      <c r="E13" s="1462"/>
      <c r="F13" s="1207" t="s">
        <v>3397</v>
      </c>
      <c r="G13" s="1204" t="s">
        <v>2506</v>
      </c>
      <c r="H13" s="929" t="s">
        <v>2682</v>
      </c>
      <c r="I13" s="929">
        <v>20.352122000000001</v>
      </c>
      <c r="J13" s="929">
        <v>103.48630300000001</v>
      </c>
      <c r="K13" s="1212">
        <v>1590</v>
      </c>
      <c r="L13" s="1212">
        <v>397.5</v>
      </c>
      <c r="M13" s="1213">
        <v>379739.7</v>
      </c>
      <c r="N13" s="1566" t="s">
        <v>4188</v>
      </c>
      <c r="O13" s="926"/>
      <c r="P13" s="926"/>
      <c r="Q13" s="926"/>
      <c r="R13" s="926"/>
      <c r="S13" s="926"/>
      <c r="T13" s="926"/>
      <c r="U13" s="926"/>
      <c r="V13" s="926"/>
      <c r="W13" s="926"/>
    </row>
    <row r="14" spans="1:23" ht="66.75" customHeight="1">
      <c r="A14" s="1">
        <v>2020</v>
      </c>
      <c r="B14" s="1">
        <v>11</v>
      </c>
      <c r="C14" s="1203" t="s">
        <v>2731</v>
      </c>
      <c r="D14" s="1206" t="str">
        <f>OBRA!P436</f>
        <v>CONSTRUCCIÓN DE EMPEDRADO ZAMPEADO, EN LA LOCALIDAD DE HUEJOTITAN DEL MUNICIPIO DE JOCOTEPEC, JALISCO.</v>
      </c>
      <c r="E14" s="1462"/>
      <c r="F14" s="1207" t="s">
        <v>3398</v>
      </c>
      <c r="G14" s="1204" t="s">
        <v>2506</v>
      </c>
      <c r="H14" s="929" t="s">
        <v>2618</v>
      </c>
      <c r="I14" s="929">
        <v>20.356207999999999</v>
      </c>
      <c r="J14" s="929">
        <v>103.487058</v>
      </c>
      <c r="K14" s="1212">
        <v>1240</v>
      </c>
      <c r="L14" s="1212">
        <v>310</v>
      </c>
      <c r="M14" s="1213">
        <v>296149.2</v>
      </c>
      <c r="N14" s="1566" t="s">
        <v>4188</v>
      </c>
      <c r="O14" s="926"/>
      <c r="P14" s="926"/>
      <c r="Q14" s="926"/>
      <c r="R14" s="926"/>
      <c r="S14" s="926"/>
      <c r="T14" s="926"/>
      <c r="U14" s="926"/>
      <c r="V14" s="926"/>
      <c r="W14" s="926"/>
    </row>
    <row r="15" spans="1:23" ht="51" customHeight="1">
      <c r="A15" s="1">
        <v>2020</v>
      </c>
      <c r="B15" s="1">
        <v>12</v>
      </c>
      <c r="C15" s="1203" t="s">
        <v>2731</v>
      </c>
      <c r="D15" s="1206" t="str">
        <f>OBRA!P436</f>
        <v>CONSTRUCCIÓN DE EMPEDRADO ZAMPEADO, EN LA LOCALIDAD DE HUEJOTITAN DEL MUNICIPIO DE JOCOTEPEC, JALISCO.</v>
      </c>
      <c r="E15" s="1462"/>
      <c r="F15" s="1207" t="s">
        <v>3399</v>
      </c>
      <c r="G15" s="1204" t="s">
        <v>2506</v>
      </c>
      <c r="H15" s="929" t="s">
        <v>3424</v>
      </c>
      <c r="I15" s="929">
        <v>20.356750000000002</v>
      </c>
      <c r="J15" s="929">
        <v>103.486921</v>
      </c>
      <c r="K15" s="1212">
        <v>1720</v>
      </c>
      <c r="L15" s="1212">
        <v>344</v>
      </c>
      <c r="M15" s="1213">
        <v>403735.6</v>
      </c>
      <c r="N15" s="1566" t="s">
        <v>4188</v>
      </c>
      <c r="O15" s="926"/>
      <c r="P15" s="926"/>
      <c r="Q15" s="926"/>
      <c r="R15" s="926"/>
      <c r="S15" s="926"/>
      <c r="T15" s="926"/>
      <c r="U15" s="926"/>
      <c r="V15" s="926"/>
      <c r="W15" s="926"/>
    </row>
    <row r="16" spans="1:23" ht="79.5" customHeight="1">
      <c r="A16" s="1">
        <v>2020</v>
      </c>
      <c r="B16" s="1">
        <v>13</v>
      </c>
      <c r="C16" s="1203" t="s">
        <v>2732</v>
      </c>
      <c r="D16" s="1206" t="str">
        <f>OBRA!P438</f>
        <v>CONSTRUCCIÓN DE EMPEDRADO ZAMPEADO EN VIALIDAD FRANCISCO I MADERO DEL KM 0+000 AL 0+173.50 ENTRE BENITO JUAREZ Y CERRADA, EN LA LOCALIDAD DE POTRERILLOS DEL MUNICIPIO DE JOCOTEPEC, JALISCO.</v>
      </c>
      <c r="E16" s="1462"/>
      <c r="F16" s="1207" t="s">
        <v>3400</v>
      </c>
      <c r="G16" s="1204" t="s">
        <v>2515</v>
      </c>
      <c r="H16" s="929" t="s">
        <v>2521</v>
      </c>
      <c r="I16" s="929">
        <v>20.33841</v>
      </c>
      <c r="J16" s="929">
        <v>103.38097399999999</v>
      </c>
      <c r="K16" s="1212">
        <v>812</v>
      </c>
      <c r="L16" s="1212">
        <v>203</v>
      </c>
      <c r="M16" s="1213">
        <v>193929.96</v>
      </c>
      <c r="N16" s="1566" t="s">
        <v>4189</v>
      </c>
      <c r="O16" s="926"/>
      <c r="P16" s="926"/>
      <c r="Q16" s="926"/>
      <c r="R16" s="926"/>
      <c r="S16" s="926"/>
      <c r="T16" s="926"/>
      <c r="U16" s="926"/>
      <c r="V16" s="926"/>
      <c r="W16" s="926"/>
    </row>
    <row r="17" spans="1:23" ht="79.5" customHeight="1">
      <c r="A17" s="1">
        <v>2020</v>
      </c>
      <c r="B17" s="1">
        <v>14</v>
      </c>
      <c r="C17" s="1203" t="s">
        <v>2732</v>
      </c>
      <c r="D17" s="1206" t="str">
        <f>OBRA!P438</f>
        <v>CONSTRUCCIÓN DE EMPEDRADO ZAMPEADO EN VIALIDAD FRANCISCO I MADERO DEL KM 0+000 AL 0+173.50 ENTRE BENITO JUAREZ Y CERRADA, EN LA LOCALIDAD DE POTRERILLOS DEL MUNICIPIO DE JOCOTEPEC, JALISCO.</v>
      </c>
      <c r="E17" s="1462"/>
      <c r="F17" s="1207" t="s">
        <v>3401</v>
      </c>
      <c r="G17" s="1204" t="s">
        <v>2515</v>
      </c>
      <c r="H17" s="929" t="s">
        <v>3425</v>
      </c>
      <c r="I17" s="929">
        <v>20.338349999999998</v>
      </c>
      <c r="J17" s="929">
        <f>GRAL!AM439</f>
        <v>103.381462</v>
      </c>
      <c r="K17" s="1212">
        <v>1388</v>
      </c>
      <c r="L17" s="1212">
        <v>347</v>
      </c>
      <c r="M17" s="1213">
        <v>331496.03999999998</v>
      </c>
      <c r="N17" s="1566" t="s">
        <v>4189</v>
      </c>
      <c r="O17" s="926"/>
      <c r="P17" s="926"/>
      <c r="Q17" s="926"/>
      <c r="R17" s="926"/>
      <c r="S17" s="926"/>
      <c r="T17" s="926"/>
      <c r="U17" s="926"/>
      <c r="V17" s="926"/>
      <c r="W17" s="926"/>
    </row>
    <row r="18" spans="1:23" ht="95.25" customHeight="1">
      <c r="A18" s="1">
        <v>2020</v>
      </c>
      <c r="B18" s="1">
        <v>15</v>
      </c>
      <c r="C18" s="1203" t="s">
        <v>3240</v>
      </c>
      <c r="D18" s="1206" t="str">
        <f>OBRA!P447</f>
        <v>CONSTRUCCIÓN DE EMPEDRADO ZAMPEADO, EN FRACC. "EL CARRIZAL", EN LA CABECERA MUNICIPAL DE JOCOTEPEC JALISCO.</v>
      </c>
      <c r="E18" s="1462"/>
      <c r="F18" s="1207" t="s">
        <v>3402</v>
      </c>
      <c r="G18" s="1204" t="s">
        <v>1975</v>
      </c>
      <c r="H18" s="929" t="s">
        <v>2548</v>
      </c>
      <c r="I18" s="929">
        <v>20.291376</v>
      </c>
      <c r="J18" s="929">
        <v>103.440166</v>
      </c>
      <c r="K18" s="1212">
        <v>1155</v>
      </c>
      <c r="L18" s="1212">
        <v>330</v>
      </c>
      <c r="M18" s="1213">
        <v>279231.15000000002</v>
      </c>
      <c r="N18" s="1566" t="s">
        <v>5404</v>
      </c>
      <c r="O18" s="926"/>
      <c r="P18" s="926"/>
      <c r="Q18" s="926"/>
      <c r="R18" s="926"/>
      <c r="S18" s="926"/>
      <c r="T18" s="926"/>
      <c r="U18" s="926"/>
      <c r="V18" s="926"/>
      <c r="W18" s="926"/>
    </row>
    <row r="19" spans="1:23" ht="51">
      <c r="A19" s="1">
        <v>2020</v>
      </c>
      <c r="B19" s="1">
        <v>16</v>
      </c>
      <c r="C19" s="1203" t="s">
        <v>3240</v>
      </c>
      <c r="D19" s="1206" t="str">
        <f>OBRA!P447</f>
        <v>CONSTRUCCIÓN DE EMPEDRADO ZAMPEADO, EN FRACC. "EL CARRIZAL", EN LA CABECERA MUNICIPAL DE JOCOTEPEC JALISCO.</v>
      </c>
      <c r="E19" s="1462"/>
      <c r="F19" s="1207" t="s">
        <v>3403</v>
      </c>
      <c r="G19" s="1204" t="s">
        <v>1975</v>
      </c>
      <c r="H19" s="929" t="s">
        <v>3426</v>
      </c>
      <c r="I19" s="929">
        <v>20.291602999999999</v>
      </c>
      <c r="J19" s="929">
        <v>103.44114999999999</v>
      </c>
      <c r="K19" s="1212">
        <v>364</v>
      </c>
      <c r="L19" s="1212">
        <v>104</v>
      </c>
      <c r="M19" s="1213">
        <v>88000.12</v>
      </c>
      <c r="N19" s="1566" t="s">
        <v>5404</v>
      </c>
      <c r="O19" s="926"/>
      <c r="P19" s="926"/>
      <c r="Q19" s="926"/>
      <c r="R19" s="926"/>
      <c r="S19" s="926"/>
      <c r="T19" s="926"/>
      <c r="U19" s="926"/>
      <c r="V19" s="926"/>
      <c r="W19" s="926"/>
    </row>
    <row r="20" spans="1:23" ht="70.5" customHeight="1">
      <c r="A20" s="1">
        <v>2020</v>
      </c>
      <c r="B20" s="1">
        <v>17</v>
      </c>
      <c r="C20" s="1203" t="s">
        <v>3240</v>
      </c>
      <c r="D20" s="1206" t="str">
        <f>OBRA!P447</f>
        <v>CONSTRUCCIÓN DE EMPEDRADO ZAMPEADO, EN FRACC. "EL CARRIZAL", EN LA CABECERA MUNICIPAL DE JOCOTEPEC JALISCO.</v>
      </c>
      <c r="E20" s="1462"/>
      <c r="F20" s="1207" t="s">
        <v>3404</v>
      </c>
      <c r="G20" s="1204" t="s">
        <v>1975</v>
      </c>
      <c r="H20" s="929" t="s">
        <v>3427</v>
      </c>
      <c r="I20" s="929">
        <v>20.291602999999999</v>
      </c>
      <c r="J20" s="929">
        <v>103.44069500000001</v>
      </c>
      <c r="K20" s="929">
        <v>20.291602999999999</v>
      </c>
      <c r="L20" s="1212">
        <v>102</v>
      </c>
      <c r="M20" s="1213">
        <v>86307.81</v>
      </c>
      <c r="N20" s="1566" t="s">
        <v>5404</v>
      </c>
      <c r="O20" s="926"/>
      <c r="P20" s="926"/>
      <c r="Q20" s="926"/>
      <c r="R20" s="926"/>
      <c r="S20" s="926"/>
      <c r="T20" s="926"/>
      <c r="U20" s="926"/>
      <c r="V20" s="926"/>
      <c r="W20" s="926"/>
    </row>
    <row r="21" spans="1:23" ht="74.25" customHeight="1">
      <c r="A21" s="1">
        <v>2020</v>
      </c>
      <c r="B21" s="1">
        <v>18</v>
      </c>
      <c r="C21" s="1203" t="s">
        <v>3240</v>
      </c>
      <c r="D21" s="1206" t="str">
        <f>OBRA!P447</f>
        <v>CONSTRUCCIÓN DE EMPEDRADO ZAMPEADO, EN FRACC. "EL CARRIZAL", EN LA CABECERA MUNICIPAL DE JOCOTEPEC JALISCO.</v>
      </c>
      <c r="E21" s="1462"/>
      <c r="F21" s="1207" t="s">
        <v>3405</v>
      </c>
      <c r="G21" s="1204" t="s">
        <v>1975</v>
      </c>
      <c r="H21" s="929" t="s">
        <v>3427</v>
      </c>
      <c r="I21" s="929">
        <v>20.292460999999999</v>
      </c>
      <c r="J21" s="929">
        <v>103.440551</v>
      </c>
      <c r="K21" s="1212">
        <v>399</v>
      </c>
      <c r="L21" s="1212">
        <v>114</v>
      </c>
      <c r="M21" s="1213">
        <v>96461.67</v>
      </c>
      <c r="N21" s="1566" t="s">
        <v>5404</v>
      </c>
      <c r="O21" s="926"/>
      <c r="P21" s="926"/>
      <c r="Q21" s="926"/>
      <c r="R21" s="926"/>
      <c r="S21" s="926"/>
      <c r="T21" s="926"/>
      <c r="U21" s="926"/>
      <c r="V21" s="926"/>
      <c r="W21" s="926"/>
    </row>
    <row r="22" spans="1:23" ht="68.25" customHeight="1">
      <c r="A22" s="1">
        <v>2020</v>
      </c>
      <c r="B22" s="1">
        <v>19</v>
      </c>
      <c r="C22" s="1203" t="s">
        <v>3240</v>
      </c>
      <c r="D22" s="1206" t="str">
        <f>OBRA!P447</f>
        <v>CONSTRUCCIÓN DE EMPEDRADO ZAMPEADO, EN FRACC. "EL CARRIZAL", EN LA CABECERA MUNICIPAL DE JOCOTEPEC JALISCO.</v>
      </c>
      <c r="E22" s="1462"/>
      <c r="F22" s="1207" t="s">
        <v>3406</v>
      </c>
      <c r="G22" s="1204" t="s">
        <v>1975</v>
      </c>
      <c r="H22" s="929" t="s">
        <v>3428</v>
      </c>
      <c r="I22" s="929">
        <v>20.291197</v>
      </c>
      <c r="J22" s="929">
        <v>103.440383</v>
      </c>
      <c r="K22" s="1212">
        <v>441</v>
      </c>
      <c r="L22" s="1212">
        <v>126</v>
      </c>
      <c r="M22" s="1213">
        <v>106615.53</v>
      </c>
      <c r="N22" s="1566" t="s">
        <v>5404</v>
      </c>
      <c r="O22" s="926"/>
      <c r="P22" s="926"/>
      <c r="Q22" s="926"/>
      <c r="R22" s="926"/>
      <c r="S22" s="926"/>
      <c r="T22" s="926"/>
      <c r="U22" s="926"/>
      <c r="V22" s="926"/>
      <c r="W22" s="926"/>
    </row>
    <row r="23" spans="1:23" ht="61.5" customHeight="1">
      <c r="A23" s="1">
        <v>2020</v>
      </c>
      <c r="B23" s="1">
        <v>20</v>
      </c>
      <c r="C23" s="1203" t="s">
        <v>3240</v>
      </c>
      <c r="D23" s="1206" t="str">
        <f>OBRA!P447</f>
        <v>CONSTRUCCIÓN DE EMPEDRADO ZAMPEADO, EN FRACC. "EL CARRIZAL", EN LA CABECERA MUNICIPAL DE JOCOTEPEC JALISCO.</v>
      </c>
      <c r="E23" s="1462"/>
      <c r="F23" s="1207" t="s">
        <v>3407</v>
      </c>
      <c r="G23" s="1204" t="s">
        <v>1975</v>
      </c>
      <c r="H23" s="929" t="s">
        <v>3428</v>
      </c>
      <c r="I23" s="929">
        <v>20.291730000000001</v>
      </c>
      <c r="J23" s="929">
        <v>103.44028400000001</v>
      </c>
      <c r="K23" s="1212">
        <v>357</v>
      </c>
      <c r="L23" s="1212">
        <v>102</v>
      </c>
      <c r="M23" s="1213">
        <v>86307.81</v>
      </c>
      <c r="N23" s="1566" t="s">
        <v>5404</v>
      </c>
      <c r="O23" s="926"/>
      <c r="P23" s="926"/>
      <c r="Q23" s="926"/>
      <c r="R23" s="926"/>
      <c r="S23" s="926"/>
      <c r="T23" s="926"/>
      <c r="U23" s="926"/>
      <c r="V23" s="926"/>
      <c r="W23" s="926"/>
    </row>
    <row r="24" spans="1:23" ht="74.25" customHeight="1">
      <c r="A24" s="1">
        <v>2020</v>
      </c>
      <c r="B24" s="1">
        <v>21</v>
      </c>
      <c r="C24" s="1203" t="s">
        <v>3240</v>
      </c>
      <c r="D24" s="1206" t="str">
        <f>OBRA!P447</f>
        <v>CONSTRUCCIÓN DE EMPEDRADO ZAMPEADO, EN FRACC. "EL CARRIZAL", EN LA CABECERA MUNICIPAL DE JOCOTEPEC JALISCO.</v>
      </c>
      <c r="E24" s="1462"/>
      <c r="F24" s="1207" t="s">
        <v>3408</v>
      </c>
      <c r="G24" s="1204" t="s">
        <v>1975</v>
      </c>
      <c r="H24" s="929" t="s">
        <v>3428</v>
      </c>
      <c r="I24" s="929">
        <v>20.292584999999999</v>
      </c>
      <c r="J24" s="929">
        <v>103.440146</v>
      </c>
      <c r="K24" s="1212">
        <v>427</v>
      </c>
      <c r="L24" s="1212">
        <v>122</v>
      </c>
      <c r="M24" s="1213">
        <v>103230.91</v>
      </c>
      <c r="N24" s="1566" t="s">
        <v>5404</v>
      </c>
      <c r="O24" s="926"/>
      <c r="P24" s="926"/>
      <c r="Q24" s="926"/>
      <c r="R24" s="926"/>
      <c r="S24" s="926"/>
      <c r="T24" s="926"/>
      <c r="U24" s="926"/>
      <c r="V24" s="926"/>
      <c r="W24" s="926"/>
    </row>
    <row r="25" spans="1:23" ht="51">
      <c r="A25" s="1">
        <v>2020</v>
      </c>
      <c r="B25" s="1">
        <v>22</v>
      </c>
      <c r="C25" s="1203" t="s">
        <v>3242</v>
      </c>
      <c r="D25" s="1206" t="str">
        <f>OBRA!P449</f>
        <v>CONSTRUCCIÓN DE EMPEDRADO ZAMPEADO EN VIALIDAD CALLE HIDALGO SUR DE KM 0+000.00 AL KM 0+170.00 (DE DONATO GUERRA A EMPEDRADO EXISTENTE), EN LA CEBECERA MUNICIPAL DE JOCOTEPEC, JALISCO.</v>
      </c>
      <c r="E25" s="1462"/>
      <c r="F25" s="1207" t="s">
        <v>3409</v>
      </c>
      <c r="G25" s="1204" t="s">
        <v>1975</v>
      </c>
      <c r="H25" s="929" t="s">
        <v>3422</v>
      </c>
      <c r="I25" s="929">
        <f>GRAL!AL450</f>
        <v>20.279517999999999</v>
      </c>
      <c r="J25" s="1526">
        <f>GRAL!AM450</f>
        <v>103.43153</v>
      </c>
      <c r="K25" s="1212">
        <v>1557.6419999999998</v>
      </c>
      <c r="L25" s="1212">
        <v>340</v>
      </c>
      <c r="M25" s="1213">
        <v>367959.98</v>
      </c>
      <c r="N25" s="1566" t="s">
        <v>4024</v>
      </c>
      <c r="O25" s="926"/>
      <c r="P25" s="926"/>
      <c r="Q25" s="926"/>
      <c r="R25" s="926"/>
      <c r="S25" s="926"/>
      <c r="T25" s="926"/>
      <c r="U25" s="926"/>
      <c r="V25" s="926"/>
      <c r="W25" s="926"/>
    </row>
    <row r="26" spans="1:23" ht="102" customHeight="1">
      <c r="A26" s="1">
        <v>2020</v>
      </c>
      <c r="B26" s="1">
        <v>23</v>
      </c>
      <c r="C26" s="1203" t="s">
        <v>3244</v>
      </c>
      <c r="D26" s="1206" t="str">
        <f>OBRA!P452</f>
        <v>CONSTRUCCIÓN DE EMPEDRADO ZAMPEADO EN FRACC. "LAS PALMAS", EN LA CABECERA MUNICIPAL DE JOCOTEPEC, JALISCO.</v>
      </c>
      <c r="E26" s="1462"/>
      <c r="F26" s="1207" t="s">
        <v>3410</v>
      </c>
      <c r="G26" s="1204" t="s">
        <v>1975</v>
      </c>
      <c r="H26" s="929" t="s">
        <v>3429</v>
      </c>
      <c r="I26" s="929">
        <v>20.279789000000001</v>
      </c>
      <c r="J26" s="1526">
        <v>103.44596</v>
      </c>
      <c r="K26" s="1212">
        <v>1233.7175400000001</v>
      </c>
      <c r="L26" s="1212">
        <v>316.2</v>
      </c>
      <c r="M26" s="1213">
        <v>295285.95</v>
      </c>
      <c r="N26" s="1566" t="s">
        <v>4192</v>
      </c>
      <c r="O26" s="926"/>
      <c r="P26" s="926"/>
      <c r="Q26" s="926"/>
      <c r="R26" s="926"/>
      <c r="S26" s="926"/>
      <c r="T26" s="926"/>
      <c r="U26" s="926"/>
      <c r="V26" s="926"/>
      <c r="W26" s="926"/>
    </row>
    <row r="27" spans="1:23" ht="105" customHeight="1">
      <c r="A27" s="1">
        <v>2020</v>
      </c>
      <c r="B27" s="1">
        <v>24</v>
      </c>
      <c r="C27" s="1203" t="s">
        <v>3244</v>
      </c>
      <c r="D27" s="1206" t="str">
        <f>OBRA!P452</f>
        <v>CONSTRUCCIÓN DE EMPEDRADO ZAMPEADO EN FRACC. "LAS PALMAS", EN LA CABECERA MUNICIPAL DE JOCOTEPEC, JALISCO.</v>
      </c>
      <c r="E27" s="1462"/>
      <c r="F27" s="1207" t="s">
        <v>3411</v>
      </c>
      <c r="G27" s="1204" t="s">
        <v>1975</v>
      </c>
      <c r="H27" s="929" t="s">
        <v>3421</v>
      </c>
      <c r="I27" s="929">
        <v>20.280190999999999</v>
      </c>
      <c r="J27" s="929">
        <v>103.445891</v>
      </c>
      <c r="K27" s="1212">
        <v>862.99199999999996</v>
      </c>
      <c r="L27" s="1212">
        <v>221.28</v>
      </c>
      <c r="M27" s="1213">
        <v>206562</v>
      </c>
      <c r="N27" s="1566" t="s">
        <v>4192</v>
      </c>
      <c r="O27" s="926"/>
      <c r="P27" s="926"/>
      <c r="Q27" s="926"/>
      <c r="R27" s="926"/>
      <c r="S27" s="926"/>
      <c r="T27" s="926"/>
      <c r="U27" s="926"/>
      <c r="V27" s="926"/>
      <c r="W27" s="926"/>
    </row>
    <row r="28" spans="1:23" ht="105" customHeight="1">
      <c r="A28" s="1">
        <v>2020</v>
      </c>
      <c r="B28" s="1">
        <v>25</v>
      </c>
      <c r="C28" s="1203" t="s">
        <v>3244</v>
      </c>
      <c r="D28" s="1206" t="str">
        <f>OBRA!P452</f>
        <v>CONSTRUCCIÓN DE EMPEDRADO ZAMPEADO EN FRACC. "LAS PALMAS", EN LA CABECERA MUNICIPAL DE JOCOTEPEC, JALISCO.</v>
      </c>
      <c r="E28" s="1462"/>
      <c r="F28" s="1207" t="s">
        <v>3412</v>
      </c>
      <c r="G28" s="1204" t="s">
        <v>1975</v>
      </c>
      <c r="H28" s="929" t="s">
        <v>3430</v>
      </c>
      <c r="I28" s="929">
        <v>20.280235000000001</v>
      </c>
      <c r="J28" s="929">
        <v>103.446359</v>
      </c>
      <c r="K28" s="1212">
        <v>863.43456000000003</v>
      </c>
      <c r="L28" s="1212">
        <v>221.28</v>
      </c>
      <c r="M28" s="1213">
        <v>206658.63</v>
      </c>
      <c r="N28" s="1566" t="s">
        <v>4192</v>
      </c>
      <c r="O28" s="926"/>
      <c r="P28" s="926"/>
      <c r="Q28" s="926"/>
      <c r="R28" s="926"/>
      <c r="S28" s="926"/>
      <c r="T28" s="926"/>
      <c r="U28" s="926"/>
      <c r="V28" s="926"/>
      <c r="W28" s="926"/>
    </row>
    <row r="29" spans="1:23" ht="105" customHeight="1">
      <c r="A29" s="1">
        <v>2020</v>
      </c>
      <c r="B29" s="1">
        <v>26</v>
      </c>
      <c r="C29" s="1203" t="s">
        <v>3244</v>
      </c>
      <c r="D29" s="1206" t="str">
        <f>OBRA!P452</f>
        <v>CONSTRUCCIÓN DE EMPEDRADO ZAMPEADO EN FRACC. "LAS PALMAS", EN LA CABECERA MUNICIPAL DE JOCOTEPEC, JALISCO.</v>
      </c>
      <c r="E29" s="1462"/>
      <c r="F29" s="1207" t="s">
        <v>3413</v>
      </c>
      <c r="G29" s="1204" t="s">
        <v>1975</v>
      </c>
      <c r="H29" s="929" t="s">
        <v>3431</v>
      </c>
      <c r="I29" s="1526">
        <v>20.280069999999998</v>
      </c>
      <c r="J29" s="1526">
        <v>103.44523100000001</v>
      </c>
      <c r="K29" s="1212">
        <v>616.35599999999999</v>
      </c>
      <c r="L29" s="1212">
        <v>158.04</v>
      </c>
      <c r="M29" s="1213">
        <v>147528.29</v>
      </c>
      <c r="N29" s="1566" t="s">
        <v>4192</v>
      </c>
      <c r="O29" s="926"/>
      <c r="P29" s="926"/>
      <c r="Q29" s="926"/>
      <c r="R29" s="926"/>
      <c r="S29" s="926"/>
      <c r="T29" s="926"/>
      <c r="U29" s="926"/>
      <c r="V29" s="926"/>
      <c r="W29" s="926"/>
    </row>
    <row r="30" spans="1:23" ht="51">
      <c r="A30" s="1">
        <v>2020</v>
      </c>
      <c r="B30" s="1">
        <v>27</v>
      </c>
      <c r="C30" s="1203" t="s">
        <v>3247</v>
      </c>
      <c r="D30" s="1206" t="str">
        <f>OBRA!P453</f>
        <v>CONSTRUCCIÓN DE EMPEDRADO ZAMPEADO EN C. INVIERNO, C. LAZARO CARDENAS, C. GONZALEZ ORTEGA Y CHAPULTEPEC EN CABECERA MUNICIPAL DE JOCOTEPEC, JALISCO.</v>
      </c>
      <c r="E30" s="1462"/>
      <c r="F30" s="1207" t="s">
        <v>3414</v>
      </c>
      <c r="G30" s="1204" t="s">
        <v>1975</v>
      </c>
      <c r="H30" s="929" t="s">
        <v>2697</v>
      </c>
      <c r="I30" s="1526">
        <v>20.292809999999999</v>
      </c>
      <c r="J30" s="1526">
        <v>103.43651199999999</v>
      </c>
      <c r="K30" s="1212">
        <v>456</v>
      </c>
      <c r="L30" s="1212">
        <v>114</v>
      </c>
      <c r="M30" s="1213">
        <v>108906.48</v>
      </c>
      <c r="N30" s="1566" t="s">
        <v>4025</v>
      </c>
      <c r="O30" s="926"/>
      <c r="P30" s="926"/>
      <c r="Q30" s="926"/>
      <c r="R30" s="926"/>
      <c r="S30" s="926"/>
      <c r="T30" s="926"/>
      <c r="U30" s="926"/>
      <c r="V30" s="926"/>
      <c r="W30" s="926"/>
    </row>
    <row r="31" spans="1:23" ht="51">
      <c r="A31" s="1">
        <v>2020</v>
      </c>
      <c r="B31" s="1">
        <v>28</v>
      </c>
      <c r="C31" s="1203" t="s">
        <v>3247</v>
      </c>
      <c r="D31" s="1206" t="str">
        <f>OBRA!P453</f>
        <v>CONSTRUCCIÓN DE EMPEDRADO ZAMPEADO EN C. INVIERNO, C. LAZARO CARDENAS, C. GONZALEZ ORTEGA Y CHAPULTEPEC EN CABECERA MUNICIPAL DE JOCOTEPEC, JALISCO.</v>
      </c>
      <c r="E31" s="1462"/>
      <c r="F31" s="1207" t="s">
        <v>3415</v>
      </c>
      <c r="G31" s="1204" t="s">
        <v>1975</v>
      </c>
      <c r="H31" s="929" t="s">
        <v>3432</v>
      </c>
      <c r="I31" s="1526">
        <v>20.292225999999999</v>
      </c>
      <c r="J31" s="1526">
        <v>103.436307</v>
      </c>
      <c r="K31" s="1212">
        <v>792.9215999999999</v>
      </c>
      <c r="L31" s="1212">
        <v>198.23</v>
      </c>
      <c r="M31" s="1213">
        <v>189373.43</v>
      </c>
      <c r="N31" s="1566" t="s">
        <v>4025</v>
      </c>
      <c r="O31" s="926"/>
      <c r="P31" s="926"/>
      <c r="Q31" s="926"/>
      <c r="R31" s="926"/>
      <c r="S31" s="926"/>
      <c r="T31" s="926"/>
      <c r="U31" s="926"/>
      <c r="V31" s="926"/>
      <c r="W31" s="926"/>
    </row>
    <row r="32" spans="1:23" ht="51">
      <c r="A32" s="1">
        <v>2020</v>
      </c>
      <c r="B32" s="1">
        <v>29</v>
      </c>
      <c r="C32" s="1203" t="s">
        <v>3247</v>
      </c>
      <c r="D32" s="1206" t="str">
        <f>OBRA!P453</f>
        <v>CONSTRUCCIÓN DE EMPEDRADO ZAMPEADO EN C. INVIERNO, C. LAZARO CARDENAS, C. GONZALEZ ORTEGA Y CHAPULTEPEC EN CABECERA MUNICIPAL DE JOCOTEPEC, JALISCO.</v>
      </c>
      <c r="E32" s="1462"/>
      <c r="F32" s="1207" t="s">
        <v>3416</v>
      </c>
      <c r="G32" s="1204" t="s">
        <v>1975</v>
      </c>
      <c r="H32" s="929" t="s">
        <v>3433</v>
      </c>
      <c r="I32" s="1526">
        <v>20.281518999999999</v>
      </c>
      <c r="J32" s="1526">
        <v>103.42460800000001</v>
      </c>
      <c r="K32" s="1212">
        <v>480.8</v>
      </c>
      <c r="L32" s="1212">
        <v>120.2</v>
      </c>
      <c r="M32" s="1213">
        <v>114829.46</v>
      </c>
      <c r="N32" s="1566" t="s">
        <v>4025</v>
      </c>
      <c r="O32" s="926"/>
      <c r="P32" s="926"/>
      <c r="Q32" s="926"/>
      <c r="R32" s="926"/>
      <c r="S32" s="926"/>
      <c r="T32" s="926"/>
      <c r="U32" s="926"/>
      <c r="V32" s="926"/>
      <c r="W32" s="926"/>
    </row>
    <row r="33" spans="1:23" ht="51">
      <c r="A33" s="1">
        <v>2020</v>
      </c>
      <c r="B33" s="1">
        <v>30</v>
      </c>
      <c r="C33" s="1203" t="s">
        <v>3244</v>
      </c>
      <c r="D33" s="1206" t="str">
        <f>OBRA!P452</f>
        <v>CONSTRUCCIÓN DE EMPEDRADO ZAMPEADO EN FRACC. "LAS PALMAS", EN LA CABECERA MUNICIPAL DE JOCOTEPEC, JALISCO.</v>
      </c>
      <c r="E33" s="1462"/>
      <c r="F33" s="1207" t="s">
        <v>3417</v>
      </c>
      <c r="G33" s="1204" t="s">
        <v>2512</v>
      </c>
      <c r="H33" s="929" t="s">
        <v>3143</v>
      </c>
      <c r="I33" s="929">
        <v>20.277873</v>
      </c>
      <c r="J33" s="929">
        <v>103.435236</v>
      </c>
      <c r="K33" s="1212">
        <v>740.62400000000002</v>
      </c>
      <c r="L33" s="1212">
        <v>214</v>
      </c>
      <c r="M33" s="1213">
        <v>179248.44</v>
      </c>
      <c r="N33" s="1566" t="s">
        <v>4025</v>
      </c>
      <c r="O33" s="926"/>
      <c r="P33" s="926"/>
      <c r="Q33" s="926"/>
      <c r="R33" s="926"/>
      <c r="S33" s="926"/>
      <c r="T33" s="926"/>
      <c r="U33" s="926"/>
      <c r="V33" s="926"/>
      <c r="W33" s="926"/>
    </row>
    <row r="34" spans="1:23" ht="51">
      <c r="A34" s="1">
        <v>2020</v>
      </c>
      <c r="B34" s="1">
        <v>31</v>
      </c>
      <c r="C34" s="1203" t="s">
        <v>3247</v>
      </c>
      <c r="D34" s="1206" t="str">
        <f>OBRA!P453</f>
        <v>CONSTRUCCIÓN DE EMPEDRADO ZAMPEADO EN C. INVIERNO, C. LAZARO CARDENAS, C. GONZALEZ ORTEGA Y CHAPULTEPEC EN CABECERA MUNICIPAL DE JOCOTEPEC, JALISCO.</v>
      </c>
      <c r="E34" s="1462"/>
      <c r="F34" s="1207" t="s">
        <v>3418</v>
      </c>
      <c r="G34" s="1204" t="s">
        <v>1975</v>
      </c>
      <c r="H34" s="929" t="s">
        <v>3143</v>
      </c>
      <c r="I34" s="929">
        <v>20.279264999999999</v>
      </c>
      <c r="J34" s="929">
        <v>103.446291</v>
      </c>
      <c r="K34" s="1212">
        <v>3798.15</v>
      </c>
      <c r="L34" s="1212">
        <v>600</v>
      </c>
      <c r="M34" s="1213">
        <v>878450.09</v>
      </c>
      <c r="N34" s="1566" t="s">
        <v>4025</v>
      </c>
      <c r="O34" s="926"/>
      <c r="P34" s="926"/>
      <c r="Q34" s="926"/>
      <c r="R34" s="926"/>
      <c r="S34" s="926"/>
      <c r="T34" s="926"/>
      <c r="U34" s="926"/>
      <c r="V34" s="926"/>
      <c r="W34" s="926"/>
    </row>
    <row r="35" spans="1:23" ht="74.25" customHeight="1">
      <c r="A35" s="1">
        <v>2021</v>
      </c>
      <c r="B35" s="1">
        <v>1</v>
      </c>
      <c r="C35" s="1203" t="s">
        <v>4048</v>
      </c>
      <c r="D35" s="1206" t="s">
        <v>4055</v>
      </c>
      <c r="E35" s="1462"/>
      <c r="F35" s="1207" t="s">
        <v>4061</v>
      </c>
      <c r="G35" s="1204" t="s">
        <v>2538</v>
      </c>
      <c r="H35" s="929" t="s">
        <v>4073</v>
      </c>
      <c r="I35" s="929">
        <v>20.289552</v>
      </c>
      <c r="J35" s="929">
        <v>103.412727</v>
      </c>
      <c r="K35" s="1">
        <v>231</v>
      </c>
      <c r="L35" s="1">
        <v>21</v>
      </c>
      <c r="M35" s="1213">
        <v>80674.649999999994</v>
      </c>
      <c r="N35" s="1566" t="s">
        <v>4458</v>
      </c>
      <c r="O35" s="926"/>
      <c r="P35" s="926"/>
      <c r="Q35" s="926"/>
      <c r="R35" s="926"/>
      <c r="S35" s="926"/>
      <c r="T35" s="926"/>
      <c r="U35" s="926"/>
      <c r="V35" s="926"/>
      <c r="W35" s="926"/>
    </row>
    <row r="36" spans="1:23" ht="61.5" customHeight="1">
      <c r="A36" s="1">
        <v>2021</v>
      </c>
      <c r="B36" s="1">
        <f t="shared" ref="B36:B46" si="0">+B35+1</f>
        <v>2</v>
      </c>
      <c r="C36" s="1203" t="s">
        <v>4049</v>
      </c>
      <c r="D36" s="1460" t="s">
        <v>4078</v>
      </c>
      <c r="E36" s="1462"/>
      <c r="F36" s="1207" t="s">
        <v>4062</v>
      </c>
      <c r="G36" s="1204" t="s">
        <v>2512</v>
      </c>
      <c r="H36" s="929" t="s">
        <v>4074</v>
      </c>
      <c r="I36" s="1526">
        <v>20.27825</v>
      </c>
      <c r="J36" s="929">
        <v>103.434836</v>
      </c>
      <c r="K36" s="1">
        <v>805.55</v>
      </c>
      <c r="L36" s="1">
        <v>173</v>
      </c>
      <c r="M36" s="1213">
        <v>294677.68</v>
      </c>
      <c r="N36" s="1566" t="s">
        <v>4459</v>
      </c>
      <c r="O36" s="926"/>
      <c r="P36" s="926"/>
      <c r="Q36" s="926"/>
      <c r="R36" s="926"/>
      <c r="S36" s="926"/>
      <c r="T36" s="926"/>
      <c r="U36" s="926"/>
      <c r="V36" s="926"/>
      <c r="W36" s="926"/>
    </row>
    <row r="37" spans="1:23" ht="74.25" customHeight="1">
      <c r="A37" s="1">
        <v>2021</v>
      </c>
      <c r="B37" s="1">
        <f t="shared" si="0"/>
        <v>3</v>
      </c>
      <c r="C37" s="1203" t="s">
        <v>4049</v>
      </c>
      <c r="D37" s="1460" t="s">
        <v>4078</v>
      </c>
      <c r="E37" s="1462"/>
      <c r="F37" s="1207" t="s">
        <v>4063</v>
      </c>
      <c r="G37" s="1204" t="s">
        <v>2512</v>
      </c>
      <c r="H37" s="929" t="s">
        <v>4075</v>
      </c>
      <c r="I37" s="929">
        <v>20.278542999999999</v>
      </c>
      <c r="J37" s="929" t="s">
        <v>5403</v>
      </c>
      <c r="K37" s="1">
        <v>1130.32</v>
      </c>
      <c r="L37" s="1">
        <v>166</v>
      </c>
      <c r="M37" s="1213">
        <v>403213.08</v>
      </c>
      <c r="N37" s="1566" t="s">
        <v>4460</v>
      </c>
      <c r="O37" s="926"/>
      <c r="P37" s="926"/>
      <c r="Q37" s="926"/>
      <c r="R37" s="926"/>
      <c r="S37" s="926"/>
      <c r="T37" s="926"/>
      <c r="U37" s="926"/>
      <c r="V37" s="926"/>
      <c r="W37" s="926"/>
    </row>
    <row r="38" spans="1:23" ht="75.75" customHeight="1">
      <c r="A38" s="1">
        <v>2021</v>
      </c>
      <c r="B38" s="1">
        <f t="shared" si="0"/>
        <v>4</v>
      </c>
      <c r="C38" s="1203" t="s">
        <v>4049</v>
      </c>
      <c r="D38" s="1460" t="s">
        <v>4078</v>
      </c>
      <c r="E38" s="1462"/>
      <c r="F38" s="1207" t="s">
        <v>4064</v>
      </c>
      <c r="G38" s="1204" t="s">
        <v>2512</v>
      </c>
      <c r="H38" s="929" t="s">
        <v>3143</v>
      </c>
      <c r="I38" s="929">
        <v>20.278074</v>
      </c>
      <c r="J38" s="929">
        <v>103.436172</v>
      </c>
      <c r="K38" s="1">
        <v>736.37</v>
      </c>
      <c r="L38" s="1">
        <v>151.12</v>
      </c>
      <c r="M38" s="1213">
        <v>268430.62</v>
      </c>
      <c r="N38" s="1566" t="s">
        <v>4461</v>
      </c>
      <c r="O38" s="926"/>
      <c r="P38" s="926"/>
      <c r="Q38" s="926"/>
      <c r="R38" s="926"/>
      <c r="S38" s="926"/>
      <c r="T38" s="926"/>
      <c r="U38" s="926"/>
      <c r="V38" s="926"/>
      <c r="W38" s="926"/>
    </row>
    <row r="39" spans="1:23" ht="72" customHeight="1">
      <c r="A39" s="1">
        <v>2021</v>
      </c>
      <c r="B39" s="1">
        <f t="shared" si="0"/>
        <v>5</v>
      </c>
      <c r="C39" s="1203" t="s">
        <v>4050</v>
      </c>
      <c r="D39" s="1460" t="s">
        <v>4079</v>
      </c>
      <c r="E39" s="1462"/>
      <c r="F39" s="1207" t="s">
        <v>4065</v>
      </c>
      <c r="G39" s="1204" t="s">
        <v>2524</v>
      </c>
      <c r="H39" s="929" t="s">
        <v>3425</v>
      </c>
      <c r="I39" s="1526">
        <v>20.288530000000002</v>
      </c>
      <c r="J39" s="929">
        <v>103.341916</v>
      </c>
      <c r="K39" s="1">
        <v>545.85</v>
      </c>
      <c r="L39" s="1">
        <v>168</v>
      </c>
      <c r="M39" s="1213">
        <v>206469.58</v>
      </c>
      <c r="N39" s="1566" t="s">
        <v>4462</v>
      </c>
      <c r="O39" s="926"/>
      <c r="P39" s="926"/>
      <c r="Q39" s="926"/>
      <c r="R39" s="926"/>
      <c r="S39" s="926"/>
      <c r="T39" s="926"/>
      <c r="U39" s="926"/>
      <c r="V39" s="926"/>
      <c r="W39" s="926"/>
    </row>
    <row r="40" spans="1:23" ht="61.5" customHeight="1">
      <c r="A40" s="1">
        <v>2021</v>
      </c>
      <c r="B40" s="1">
        <f t="shared" si="0"/>
        <v>6</v>
      </c>
      <c r="C40" s="1203" t="s">
        <v>4050</v>
      </c>
      <c r="D40" s="1460" t="s">
        <v>4079</v>
      </c>
      <c r="E40" s="1462"/>
      <c r="F40" s="1207" t="s">
        <v>4066</v>
      </c>
      <c r="G40" s="1204" t="s">
        <v>2524</v>
      </c>
      <c r="H40" s="929" t="s">
        <v>2714</v>
      </c>
      <c r="I40" s="1526">
        <v>20.297000000000001</v>
      </c>
      <c r="J40" s="929">
        <v>103.35051199999999</v>
      </c>
      <c r="K40" s="1">
        <v>494.4</v>
      </c>
      <c r="L40" s="1">
        <v>155</v>
      </c>
      <c r="M40" s="1213">
        <v>182930.35</v>
      </c>
      <c r="N40" s="1566" t="s">
        <v>4463</v>
      </c>
      <c r="O40" s="926"/>
      <c r="P40" s="926"/>
      <c r="Q40" s="926"/>
      <c r="R40" s="926"/>
      <c r="S40" s="926"/>
      <c r="T40" s="926"/>
      <c r="U40" s="926"/>
      <c r="V40" s="926"/>
      <c r="W40" s="926"/>
    </row>
    <row r="41" spans="1:23" ht="63.75" customHeight="1">
      <c r="A41" s="1">
        <v>2021</v>
      </c>
      <c r="B41" s="1">
        <f t="shared" si="0"/>
        <v>7</v>
      </c>
      <c r="C41" s="1203" t="s">
        <v>4050</v>
      </c>
      <c r="D41" s="1460" t="s">
        <v>4079</v>
      </c>
      <c r="E41" s="1462"/>
      <c r="F41" s="1207" t="s">
        <v>4067</v>
      </c>
      <c r="G41" s="1204" t="s">
        <v>2524</v>
      </c>
      <c r="H41" s="929" t="s">
        <v>2703</v>
      </c>
      <c r="I41" s="929">
        <v>20.285381000000001</v>
      </c>
      <c r="J41" s="929">
        <v>103.336187</v>
      </c>
      <c r="K41" s="1">
        <v>497.78</v>
      </c>
      <c r="L41" s="1">
        <v>0</v>
      </c>
      <c r="M41" s="1213">
        <v>163301.75</v>
      </c>
      <c r="N41" s="1566" t="s">
        <v>4464</v>
      </c>
      <c r="O41" s="926"/>
      <c r="P41" s="926"/>
      <c r="Q41" s="926"/>
      <c r="R41" s="926"/>
      <c r="S41" s="926"/>
      <c r="T41" s="926"/>
      <c r="U41" s="926"/>
      <c r="V41" s="926"/>
      <c r="W41" s="926"/>
    </row>
    <row r="42" spans="1:23" ht="65.25" customHeight="1">
      <c r="A42" s="1">
        <v>2021</v>
      </c>
      <c r="B42" s="1">
        <f t="shared" si="0"/>
        <v>8</v>
      </c>
      <c r="C42" s="1203" t="s">
        <v>4050</v>
      </c>
      <c r="D42" s="1460" t="s">
        <v>4079</v>
      </c>
      <c r="E42" s="1462"/>
      <c r="F42" s="1207" t="s">
        <v>4068</v>
      </c>
      <c r="G42" s="1204" t="s">
        <v>2524</v>
      </c>
      <c r="H42" s="929" t="s">
        <v>2588</v>
      </c>
      <c r="I42" s="929">
        <v>20.287168000000001</v>
      </c>
      <c r="J42" s="929">
        <v>103.333978</v>
      </c>
      <c r="K42" s="1">
        <v>740.6</v>
      </c>
      <c r="L42" s="1">
        <v>269</v>
      </c>
      <c r="M42" s="1213">
        <v>278950.71000000002</v>
      </c>
      <c r="N42" s="1566" t="s">
        <v>4465</v>
      </c>
      <c r="O42" s="926"/>
      <c r="P42" s="926"/>
      <c r="Q42" s="926"/>
      <c r="R42" s="926"/>
      <c r="S42" s="926"/>
      <c r="T42" s="926"/>
      <c r="U42" s="926"/>
      <c r="V42" s="926"/>
      <c r="W42" s="926"/>
    </row>
    <row r="43" spans="1:23" ht="60" customHeight="1">
      <c r="A43" s="1">
        <v>2021</v>
      </c>
      <c r="B43" s="1">
        <f t="shared" si="0"/>
        <v>9</v>
      </c>
      <c r="C43" s="1203" t="s">
        <v>4051</v>
      </c>
      <c r="D43" s="1460" t="s">
        <v>4080</v>
      </c>
      <c r="E43" s="1462"/>
      <c r="F43" s="1207" t="s">
        <v>4069</v>
      </c>
      <c r="G43" s="1204" t="s">
        <v>2577</v>
      </c>
      <c r="H43" s="929" t="s">
        <v>2488</v>
      </c>
      <c r="I43" s="929">
        <v>20.287768</v>
      </c>
      <c r="J43" s="929">
        <v>103.415183</v>
      </c>
      <c r="K43" s="1">
        <v>2042.44</v>
      </c>
      <c r="L43" s="1">
        <v>0</v>
      </c>
      <c r="M43" s="1213">
        <v>688458.32</v>
      </c>
      <c r="N43" s="1566" t="s">
        <v>4466</v>
      </c>
      <c r="O43" s="926"/>
      <c r="P43" s="926"/>
      <c r="Q43" s="926"/>
      <c r="R43" s="926"/>
      <c r="S43" s="926"/>
      <c r="T43" s="926"/>
      <c r="U43" s="926"/>
      <c r="V43" s="926"/>
      <c r="W43" s="926"/>
    </row>
    <row r="44" spans="1:23" ht="71.25" customHeight="1">
      <c r="A44" s="1">
        <v>2021</v>
      </c>
      <c r="B44" s="1">
        <f t="shared" si="0"/>
        <v>10</v>
      </c>
      <c r="C44" s="1203" t="s">
        <v>4051</v>
      </c>
      <c r="D44" s="1460" t="s">
        <v>4080</v>
      </c>
      <c r="E44" s="1462"/>
      <c r="F44" s="1207" t="s">
        <v>4070</v>
      </c>
      <c r="G44" s="1204" t="s">
        <v>2577</v>
      </c>
      <c r="H44" s="929" t="s">
        <v>4710</v>
      </c>
      <c r="I44" s="929">
        <v>20.288646</v>
      </c>
      <c r="J44" s="929">
        <v>103.41398</v>
      </c>
      <c r="K44" s="1458">
        <v>3523.2000000000007</v>
      </c>
      <c r="L44" s="1458">
        <v>769</v>
      </c>
      <c r="M44" s="1213">
        <v>1276719.52</v>
      </c>
      <c r="N44" s="1566" t="s">
        <v>4467</v>
      </c>
      <c r="O44" s="926"/>
      <c r="P44" s="926"/>
      <c r="Q44" s="926"/>
      <c r="R44" s="926"/>
      <c r="S44" s="926"/>
      <c r="T44" s="926"/>
      <c r="U44" s="926"/>
      <c r="V44" s="926"/>
      <c r="W44" s="926"/>
    </row>
    <row r="45" spans="1:23" ht="74.25" customHeight="1">
      <c r="A45" s="1">
        <v>2021</v>
      </c>
      <c r="B45" s="1">
        <f t="shared" si="0"/>
        <v>11</v>
      </c>
      <c r="C45" s="1203" t="s">
        <v>4052</v>
      </c>
      <c r="D45" s="1461" t="s">
        <v>4077</v>
      </c>
      <c r="E45" s="1462"/>
      <c r="F45" s="1207" t="s">
        <v>4071</v>
      </c>
      <c r="G45" s="1204" t="s">
        <v>2663</v>
      </c>
      <c r="H45" s="929" t="s">
        <v>4076</v>
      </c>
      <c r="I45" s="929">
        <f>GRAL!AL507</f>
        <v>20.290621999999999</v>
      </c>
      <c r="J45" s="929">
        <f>GRAL!AM507</f>
        <v>103.41037799999999</v>
      </c>
      <c r="K45" s="1459">
        <v>1782.99</v>
      </c>
      <c r="L45" s="1459">
        <v>440</v>
      </c>
      <c r="M45" s="1213">
        <v>643795.13</v>
      </c>
      <c r="N45" s="1566" t="s">
        <v>4468</v>
      </c>
      <c r="O45" s="926"/>
      <c r="P45" s="926"/>
      <c r="Q45" s="926"/>
      <c r="R45" s="926"/>
      <c r="S45" s="926"/>
      <c r="T45" s="926"/>
      <c r="U45" s="926"/>
      <c r="V45" s="926"/>
      <c r="W45" s="926"/>
    </row>
    <row r="46" spans="1:23" ht="64.5" customHeight="1">
      <c r="A46" s="1">
        <v>2021</v>
      </c>
      <c r="B46" s="1">
        <f t="shared" si="0"/>
        <v>12</v>
      </c>
      <c r="C46" s="1203" t="s">
        <v>4053</v>
      </c>
      <c r="D46" s="1461" t="s">
        <v>4059</v>
      </c>
      <c r="E46" s="1462"/>
      <c r="F46" s="1207" t="s">
        <v>4072</v>
      </c>
      <c r="G46" s="1204" t="s">
        <v>2515</v>
      </c>
      <c r="H46" s="929" t="s">
        <v>3146</v>
      </c>
      <c r="I46" s="929">
        <f>GRAL!AL508</f>
        <v>20.286681999999999</v>
      </c>
      <c r="J46" s="929">
        <f>GRAL!AM508</f>
        <v>103.423992</v>
      </c>
      <c r="K46" s="1">
        <v>1361.3</v>
      </c>
      <c r="L46" s="1">
        <v>400</v>
      </c>
      <c r="M46" s="1213">
        <v>512378.61</v>
      </c>
      <c r="N46" s="1566" t="s">
        <v>4469</v>
      </c>
      <c r="O46" s="926"/>
      <c r="P46" s="926"/>
      <c r="Q46" s="926"/>
      <c r="R46" s="926"/>
      <c r="S46" s="926"/>
      <c r="T46" s="926"/>
      <c r="U46" s="926"/>
      <c r="V46" s="926"/>
      <c r="W46" s="926"/>
    </row>
    <row r="47" spans="1:23" hidden="1">
      <c r="A47" s="1"/>
      <c r="B47" s="1"/>
      <c r="C47" s="1203"/>
      <c r="D47" s="1206"/>
      <c r="E47" s="1206"/>
      <c r="F47" s="1207"/>
      <c r="G47" s="1204"/>
      <c r="H47" s="929"/>
      <c r="I47" s="929"/>
      <c r="J47" s="929"/>
      <c r="K47" s="1212"/>
      <c r="L47" s="1212"/>
      <c r="M47" s="1213"/>
      <c r="N47" s="934"/>
      <c r="O47" s="926"/>
      <c r="P47" s="926"/>
      <c r="Q47" s="926"/>
      <c r="R47" s="926"/>
      <c r="S47" s="926"/>
      <c r="T47" s="926"/>
      <c r="U47" s="926"/>
      <c r="V47" s="926"/>
      <c r="W47" s="926"/>
    </row>
    <row r="48" spans="1:23" hidden="1">
      <c r="A48" s="1"/>
      <c r="B48" s="1"/>
      <c r="C48" s="1203"/>
      <c r="D48" s="1206"/>
      <c r="E48" s="1206"/>
      <c r="F48" s="1207"/>
      <c r="G48" s="1204"/>
      <c r="H48" s="929"/>
      <c r="I48" s="929"/>
      <c r="J48" s="929"/>
      <c r="K48" s="1212"/>
      <c r="L48" s="1212"/>
      <c r="M48" s="1213"/>
      <c r="N48" s="934"/>
      <c r="O48" s="926"/>
      <c r="P48" s="926"/>
      <c r="Q48" s="926"/>
      <c r="R48" s="926"/>
      <c r="S48" s="926"/>
      <c r="T48" s="926"/>
      <c r="U48" s="926"/>
      <c r="V48" s="926"/>
      <c r="W48" s="926"/>
    </row>
    <row r="49" spans="1:23" hidden="1">
      <c r="A49" s="1"/>
      <c r="B49" s="1"/>
      <c r="C49" s="1203"/>
      <c r="D49" s="1206"/>
      <c r="E49" s="1206"/>
      <c r="F49" s="1207"/>
      <c r="G49" s="1204"/>
      <c r="H49" s="929"/>
      <c r="I49" s="929"/>
      <c r="J49" s="929"/>
      <c r="K49" s="1212"/>
      <c r="L49" s="1212"/>
      <c r="M49" s="1213"/>
      <c r="N49" s="934"/>
      <c r="O49" s="926"/>
      <c r="P49" s="926"/>
      <c r="Q49" s="926"/>
      <c r="R49" s="926"/>
      <c r="S49" s="926"/>
      <c r="T49" s="926"/>
      <c r="U49" s="926"/>
      <c r="V49" s="926"/>
      <c r="W49" s="926"/>
    </row>
    <row r="50" spans="1:23" hidden="1">
      <c r="A50" s="1"/>
      <c r="B50" s="1"/>
      <c r="C50" s="1203"/>
      <c r="D50" s="1206"/>
      <c r="E50" s="1206"/>
      <c r="F50" s="1207"/>
      <c r="G50" s="1204"/>
      <c r="H50" s="929"/>
      <c r="I50" s="929"/>
      <c r="J50" s="929"/>
      <c r="K50" s="1212"/>
      <c r="L50" s="1212"/>
      <c r="M50" s="1213"/>
      <c r="N50" s="934"/>
      <c r="O50" s="926"/>
      <c r="P50" s="926"/>
      <c r="Q50" s="926"/>
      <c r="R50" s="926"/>
      <c r="S50" s="926"/>
      <c r="T50" s="926"/>
      <c r="U50" s="926"/>
      <c r="V50" s="926"/>
      <c r="W50" s="926"/>
    </row>
    <row r="51" spans="1:23" hidden="1">
      <c r="A51" s="1"/>
      <c r="B51" s="1"/>
      <c r="C51" s="1203"/>
      <c r="D51" s="1206"/>
      <c r="E51" s="1206"/>
      <c r="F51" s="1207"/>
      <c r="G51" s="1204"/>
      <c r="H51" s="929"/>
      <c r="I51" s="929"/>
      <c r="J51" s="929"/>
      <c r="K51" s="1212"/>
      <c r="L51" s="1212"/>
      <c r="M51" s="1213"/>
      <c r="N51" s="934"/>
      <c r="O51" s="926"/>
      <c r="P51" s="926"/>
      <c r="Q51" s="926"/>
      <c r="R51" s="926"/>
      <c r="S51" s="926"/>
      <c r="T51" s="926"/>
      <c r="U51" s="926"/>
      <c r="V51" s="926"/>
      <c r="W51" s="926"/>
    </row>
    <row r="52" spans="1:23" hidden="1">
      <c r="A52" s="1"/>
      <c r="B52" s="1"/>
      <c r="C52" s="1203"/>
      <c r="D52" s="1206"/>
      <c r="E52" s="1206"/>
      <c r="F52" s="1207"/>
      <c r="G52" s="1204"/>
      <c r="H52" s="929"/>
      <c r="I52" s="929"/>
      <c r="J52" s="929"/>
      <c r="K52" s="1212"/>
      <c r="L52" s="1212"/>
      <c r="M52" s="1213"/>
      <c r="N52" s="934"/>
      <c r="O52" s="926"/>
      <c r="P52" s="926"/>
      <c r="Q52" s="926"/>
      <c r="R52" s="926"/>
      <c r="S52" s="926"/>
      <c r="T52" s="926"/>
      <c r="U52" s="926"/>
      <c r="V52" s="926"/>
      <c r="W52" s="926"/>
    </row>
    <row r="53" spans="1:23" hidden="1">
      <c r="A53" s="1"/>
      <c r="B53" s="1"/>
      <c r="C53" s="1203"/>
      <c r="D53" s="1206"/>
      <c r="E53" s="1206"/>
      <c r="F53" s="1207"/>
      <c r="G53" s="1204"/>
      <c r="H53" s="929"/>
      <c r="I53" s="929"/>
      <c r="J53" s="929"/>
      <c r="K53" s="1212"/>
      <c r="L53" s="1212"/>
      <c r="M53" s="1213"/>
      <c r="N53" s="934"/>
      <c r="O53" s="926"/>
      <c r="P53" s="926"/>
      <c r="Q53" s="926"/>
      <c r="R53" s="926"/>
      <c r="S53" s="926"/>
      <c r="T53" s="926"/>
      <c r="U53" s="926"/>
      <c r="V53" s="926"/>
      <c r="W53" s="926"/>
    </row>
    <row r="54" spans="1:23" hidden="1">
      <c r="A54" s="1"/>
      <c r="B54" s="1"/>
      <c r="C54" s="1203"/>
      <c r="D54" s="1206"/>
      <c r="E54" s="1206"/>
      <c r="F54" s="1207"/>
      <c r="G54" s="1204"/>
      <c r="H54" s="929"/>
      <c r="I54" s="929"/>
      <c r="J54" s="929"/>
      <c r="K54" s="1212"/>
      <c r="L54" s="1212"/>
      <c r="M54" s="1213"/>
      <c r="N54" s="934"/>
      <c r="O54" s="926"/>
      <c r="P54" s="926"/>
      <c r="Q54" s="926"/>
      <c r="R54" s="926"/>
      <c r="S54" s="926"/>
      <c r="T54" s="926"/>
      <c r="U54" s="926"/>
      <c r="V54" s="926"/>
      <c r="W54" s="926"/>
    </row>
    <row r="55" spans="1:23" hidden="1">
      <c r="A55" s="1"/>
      <c r="B55" s="1"/>
      <c r="C55" s="1203"/>
      <c r="D55" s="1206"/>
      <c r="E55" s="1206"/>
      <c r="F55" s="1207"/>
      <c r="G55" s="1204"/>
      <c r="H55" s="929"/>
      <c r="I55" s="929"/>
      <c r="J55" s="929"/>
      <c r="K55" s="1212"/>
      <c r="L55" s="1212"/>
      <c r="M55" s="1213"/>
      <c r="N55" s="934"/>
      <c r="O55" s="926"/>
      <c r="P55" s="926"/>
      <c r="Q55" s="926"/>
      <c r="R55" s="926"/>
      <c r="S55" s="926"/>
      <c r="T55" s="926"/>
      <c r="U55" s="926"/>
      <c r="V55" s="926"/>
      <c r="W55" s="926"/>
    </row>
    <row r="56" spans="1:23" hidden="1">
      <c r="A56" s="1"/>
      <c r="B56" s="1"/>
      <c r="C56" s="1203"/>
      <c r="D56" s="1206"/>
      <c r="E56" s="1206"/>
      <c r="F56" s="1207"/>
      <c r="G56" s="1204"/>
      <c r="H56" s="929"/>
      <c r="I56" s="929"/>
      <c r="J56" s="929"/>
      <c r="K56" s="1212"/>
      <c r="L56" s="1212"/>
      <c r="M56" s="1213"/>
      <c r="N56" s="934"/>
      <c r="O56" s="926"/>
      <c r="P56" s="926"/>
      <c r="Q56" s="926"/>
      <c r="R56" s="926"/>
      <c r="S56" s="926"/>
      <c r="T56" s="926"/>
      <c r="U56" s="926"/>
      <c r="V56" s="926"/>
      <c r="W56" s="926"/>
    </row>
    <row r="57" spans="1:23" hidden="1">
      <c r="A57" s="1"/>
      <c r="B57" s="1"/>
      <c r="C57" s="1203"/>
      <c r="D57" s="1206"/>
      <c r="E57" s="1206"/>
      <c r="F57" s="1207"/>
      <c r="G57" s="1204"/>
      <c r="H57" s="929"/>
      <c r="I57" s="929"/>
      <c r="J57" s="929"/>
      <c r="K57" s="1212"/>
      <c r="L57" s="1212"/>
      <c r="M57" s="1213"/>
      <c r="N57" s="934"/>
      <c r="O57" s="926"/>
      <c r="P57" s="926"/>
      <c r="Q57" s="926"/>
      <c r="R57" s="926"/>
      <c r="S57" s="926"/>
      <c r="T57" s="926"/>
      <c r="U57" s="926"/>
      <c r="V57" s="926"/>
      <c r="W57" s="926"/>
    </row>
    <row r="58" spans="1:23" hidden="1">
      <c r="A58" s="1"/>
      <c r="B58" s="1"/>
      <c r="C58" s="1203"/>
      <c r="D58" s="1206"/>
      <c r="E58" s="1206"/>
      <c r="F58" s="1207"/>
      <c r="G58" s="1204"/>
      <c r="H58" s="929"/>
      <c r="I58" s="929"/>
      <c r="J58" s="929"/>
      <c r="K58" s="1212"/>
      <c r="L58" s="1212"/>
      <c r="M58" s="1213"/>
      <c r="N58" s="934"/>
      <c r="O58" s="926"/>
      <c r="P58" s="926"/>
      <c r="Q58" s="926"/>
      <c r="R58" s="926"/>
      <c r="S58" s="926"/>
      <c r="T58" s="926"/>
      <c r="U58" s="926"/>
      <c r="V58" s="926"/>
      <c r="W58" s="926"/>
    </row>
    <row r="59" spans="1:23" hidden="1">
      <c r="A59" s="1"/>
      <c r="B59" s="1"/>
      <c r="C59" s="1203"/>
      <c r="D59" s="1206"/>
      <c r="E59" s="1206"/>
      <c r="F59" s="1207"/>
      <c r="G59" s="1204"/>
      <c r="H59" s="929"/>
      <c r="I59" s="929"/>
      <c r="J59" s="929"/>
      <c r="K59" s="1212"/>
      <c r="L59" s="1212"/>
      <c r="M59" s="1213"/>
      <c r="N59" s="934"/>
      <c r="O59" s="926"/>
      <c r="P59" s="926"/>
      <c r="Q59" s="926"/>
      <c r="R59" s="926"/>
      <c r="S59" s="926"/>
      <c r="T59" s="926"/>
      <c r="U59" s="926"/>
      <c r="V59" s="926"/>
      <c r="W59" s="926"/>
    </row>
    <row r="60" spans="1:23" hidden="1">
      <c r="A60" s="1"/>
      <c r="B60" s="1"/>
      <c r="C60" s="1203"/>
      <c r="D60" s="1206"/>
      <c r="E60" s="1206"/>
      <c r="F60" s="1207"/>
      <c r="G60" s="1204"/>
      <c r="H60" s="929"/>
      <c r="I60" s="929"/>
      <c r="J60" s="929"/>
      <c r="K60" s="1212"/>
      <c r="L60" s="1212"/>
      <c r="M60" s="1213"/>
      <c r="N60" s="934"/>
      <c r="O60" s="926"/>
      <c r="P60" s="926"/>
      <c r="Q60" s="926"/>
      <c r="R60" s="926"/>
      <c r="S60" s="926"/>
      <c r="T60" s="926"/>
      <c r="U60" s="926"/>
      <c r="V60" s="926"/>
      <c r="W60" s="926"/>
    </row>
    <row r="61" spans="1:23" hidden="1">
      <c r="A61" s="567"/>
      <c r="B61" s="567"/>
      <c r="C61" s="567"/>
      <c r="D61" s="567"/>
      <c r="E61" s="567"/>
      <c r="F61" s="567"/>
      <c r="G61" s="567"/>
      <c r="H61" s="1208"/>
      <c r="I61" s="1208"/>
      <c r="J61" s="1208"/>
      <c r="K61" s="1208"/>
      <c r="L61" s="1208"/>
      <c r="M61" s="1208"/>
      <c r="N61" s="934"/>
      <c r="O61" s="567"/>
      <c r="P61" s="567"/>
      <c r="Q61" s="567"/>
      <c r="R61" s="567"/>
      <c r="S61" s="567"/>
      <c r="T61" s="567"/>
      <c r="U61" s="567"/>
      <c r="V61" s="567"/>
      <c r="W61" s="567"/>
    </row>
    <row r="62" spans="1:23">
      <c r="M62" s="72">
        <f>SUM(M35:M46)</f>
        <v>5000000</v>
      </c>
    </row>
    <row r="64" spans="1:23">
      <c r="K64" s="178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38"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082" t="s">
        <v>5514</v>
      </c>
      <c r="C1" s="2082"/>
      <c r="D1" s="2082"/>
      <c r="E1" s="2082"/>
      <c r="F1" s="2082"/>
      <c r="G1" s="2082"/>
      <c r="H1" s="2082"/>
      <c r="I1" s="2082"/>
      <c r="J1" s="2082"/>
      <c r="K1" s="2082"/>
      <c r="L1" s="2082"/>
      <c r="M1" s="2082"/>
      <c r="N1" s="2082"/>
      <c r="O1" s="2082"/>
      <c r="P1" s="2082"/>
      <c r="Q1" s="2082"/>
      <c r="R1" s="2082"/>
    </row>
    <row r="2" spans="1:18" ht="19.5" customHeight="1" thickBot="1">
      <c r="A2"/>
      <c r="B2" s="10"/>
      <c r="C2" s="10"/>
      <c r="D2" s="10"/>
      <c r="E2" s="1674"/>
      <c r="F2" s="9"/>
      <c r="G2" s="9"/>
      <c r="H2" s="918"/>
      <c r="I2" s="918"/>
      <c r="J2" s="918"/>
      <c r="K2" s="918"/>
      <c r="L2" s="919"/>
      <c r="M2" s="9"/>
      <c r="N2" s="9"/>
      <c r="O2" s="9"/>
      <c r="P2" s="9"/>
      <c r="Q2" s="9"/>
      <c r="R2" s="9"/>
    </row>
    <row r="3" spans="1:18" ht="74.25" customHeight="1" thickTop="1" thickBot="1">
      <c r="B3" s="1672" t="s">
        <v>19</v>
      </c>
      <c r="C3" s="1673" t="s">
        <v>5641</v>
      </c>
      <c r="D3" s="1673" t="s">
        <v>16</v>
      </c>
      <c r="E3" s="490" t="s">
        <v>20</v>
      </c>
      <c r="F3" s="41" t="s">
        <v>21</v>
      </c>
      <c r="G3" s="42" t="s">
        <v>22</v>
      </c>
      <c r="H3" s="43" t="s">
        <v>23</v>
      </c>
      <c r="I3" s="43"/>
      <c r="J3" s="43" t="s">
        <v>2475</v>
      </c>
      <c r="K3" s="43" t="s">
        <v>4381</v>
      </c>
      <c r="L3" s="43" t="s">
        <v>24</v>
      </c>
      <c r="M3" s="43" t="s">
        <v>25</v>
      </c>
      <c r="N3" s="43" t="s">
        <v>26</v>
      </c>
      <c r="O3" s="44" t="s">
        <v>27</v>
      </c>
      <c r="P3" s="364" t="s">
        <v>28</v>
      </c>
      <c r="Q3" s="364" t="s">
        <v>5437</v>
      </c>
      <c r="R3" s="48" t="s">
        <v>5431</v>
      </c>
    </row>
    <row r="4" spans="1:18" s="729" customFormat="1" ht="20.25" customHeight="1" thickTop="1">
      <c r="A4" s="1438"/>
      <c r="B4" s="732"/>
      <c r="C4" s="723"/>
      <c r="D4" s="723"/>
      <c r="E4" s="711"/>
      <c r="F4" s="715"/>
      <c r="G4" s="734"/>
      <c r="H4" s="725"/>
      <c r="I4" s="725"/>
      <c r="J4" s="725"/>
      <c r="K4" s="725"/>
      <c r="L4" s="725"/>
      <c r="M4" s="725"/>
      <c r="N4" s="725"/>
      <c r="O4" s="711"/>
      <c r="P4" s="722"/>
      <c r="Q4" s="722"/>
      <c r="R4" s="735"/>
    </row>
    <row r="5" spans="1:18" ht="68.25" hidden="1" customHeight="1">
      <c r="B5" s="1676">
        <v>2018</v>
      </c>
      <c r="C5" s="1678">
        <v>2018</v>
      </c>
      <c r="D5" s="1677"/>
      <c r="E5" s="170" t="s">
        <v>867</v>
      </c>
      <c r="F5" s="178" t="s">
        <v>6185</v>
      </c>
      <c r="G5" s="172"/>
      <c r="H5" s="173" t="s">
        <v>6186</v>
      </c>
      <c r="I5" s="173" t="s">
        <v>6252</v>
      </c>
      <c r="J5" s="173" t="s">
        <v>6187</v>
      </c>
      <c r="K5" s="173" t="s">
        <v>1975</v>
      </c>
      <c r="L5" s="174">
        <v>2940000</v>
      </c>
      <c r="M5" s="175">
        <v>43172</v>
      </c>
      <c r="N5" s="176">
        <v>43172</v>
      </c>
      <c r="O5" s="177">
        <v>43373</v>
      </c>
      <c r="P5" s="1675" t="s">
        <v>3553</v>
      </c>
      <c r="Q5" s="252"/>
      <c r="R5" s="105" t="s">
        <v>1406</v>
      </c>
    </row>
    <row r="6" spans="1:18" ht="68.25" hidden="1" customHeight="1">
      <c r="B6" s="1676">
        <v>2019</v>
      </c>
      <c r="C6" s="1678">
        <v>2019</v>
      </c>
      <c r="D6" s="1677"/>
      <c r="E6" s="170"/>
      <c r="F6" s="178" t="s">
        <v>6188</v>
      </c>
      <c r="G6" s="172" t="s">
        <v>79</v>
      </c>
      <c r="H6" s="173" t="s">
        <v>6189</v>
      </c>
      <c r="I6" s="173" t="s">
        <v>4759</v>
      </c>
      <c r="J6" s="173" t="s">
        <v>6190</v>
      </c>
      <c r="K6" s="173" t="s">
        <v>4823</v>
      </c>
      <c r="L6" s="174">
        <v>1938150.24</v>
      </c>
      <c r="M6" s="175">
        <v>43767</v>
      </c>
      <c r="N6" s="176">
        <v>43767</v>
      </c>
      <c r="O6" s="177">
        <v>43814</v>
      </c>
      <c r="P6" s="1675" t="s">
        <v>6191</v>
      </c>
      <c r="Q6" s="252"/>
      <c r="R6" s="105" t="s">
        <v>1406</v>
      </c>
    </row>
    <row r="7" spans="1:18" ht="68.25" hidden="1" customHeight="1">
      <c r="B7" s="1676">
        <v>2019</v>
      </c>
      <c r="C7" s="1678">
        <v>2019</v>
      </c>
      <c r="D7" s="1677"/>
      <c r="E7" s="170"/>
      <c r="F7" s="178" t="s">
        <v>6192</v>
      </c>
      <c r="G7" s="172" t="s">
        <v>79</v>
      </c>
      <c r="H7" s="173" t="s">
        <v>6193</v>
      </c>
      <c r="I7" s="173" t="s">
        <v>2537</v>
      </c>
      <c r="J7" s="173" t="s">
        <v>2537</v>
      </c>
      <c r="K7" s="173" t="s">
        <v>4409</v>
      </c>
      <c r="L7" s="174">
        <v>1732888.4</v>
      </c>
      <c r="M7" s="175">
        <v>43699</v>
      </c>
      <c r="N7" s="176">
        <v>43699</v>
      </c>
      <c r="O7" s="177">
        <v>43728</v>
      </c>
      <c r="P7" s="1675" t="s">
        <v>6194</v>
      </c>
      <c r="Q7" s="252"/>
      <c r="R7" s="105" t="s">
        <v>1406</v>
      </c>
    </row>
    <row r="8" spans="1:18" ht="68.25" hidden="1" customHeight="1">
      <c r="B8" s="1676">
        <v>2019</v>
      </c>
      <c r="C8" s="1678">
        <v>2019</v>
      </c>
      <c r="D8" s="1677"/>
      <c r="E8" s="170"/>
      <c r="F8" s="178" t="s">
        <v>6195</v>
      </c>
      <c r="G8" s="172" t="s">
        <v>79</v>
      </c>
      <c r="H8" s="173" t="s">
        <v>6196</v>
      </c>
      <c r="I8" s="173" t="s">
        <v>6265</v>
      </c>
      <c r="J8" s="173" t="s">
        <v>6197</v>
      </c>
      <c r="K8" s="173" t="s">
        <v>3623</v>
      </c>
      <c r="L8" s="174">
        <v>1946367.87</v>
      </c>
      <c r="M8" s="175">
        <v>43728</v>
      </c>
      <c r="N8" s="176">
        <v>43728</v>
      </c>
      <c r="O8" s="177">
        <v>43812</v>
      </c>
      <c r="P8" s="1675" t="s">
        <v>6198</v>
      </c>
      <c r="Q8" s="252"/>
      <c r="R8" s="105" t="s">
        <v>1406</v>
      </c>
    </row>
    <row r="9" spans="1:18" ht="68.25" hidden="1" customHeight="1">
      <c r="B9" s="1676">
        <v>2019</v>
      </c>
      <c r="C9" s="1678">
        <v>2019</v>
      </c>
      <c r="D9" s="1677"/>
      <c r="E9" s="170" t="s">
        <v>64</v>
      </c>
      <c r="F9" s="178" t="s">
        <v>6200</v>
      </c>
      <c r="G9" s="172" t="s">
        <v>5435</v>
      </c>
      <c r="H9" s="173" t="s">
        <v>6199</v>
      </c>
      <c r="I9" s="173" t="s">
        <v>6265</v>
      </c>
      <c r="J9" s="173" t="s">
        <v>6201</v>
      </c>
      <c r="K9" s="173" t="s">
        <v>1975</v>
      </c>
      <c r="L9" s="174">
        <v>2493662.81</v>
      </c>
      <c r="M9" s="175">
        <v>43819</v>
      </c>
      <c r="N9" s="176">
        <v>43819</v>
      </c>
      <c r="O9" s="177">
        <v>43828</v>
      </c>
      <c r="P9" s="1675" t="s">
        <v>6198</v>
      </c>
      <c r="Q9" s="252"/>
      <c r="R9" s="105" t="s">
        <v>1406</v>
      </c>
    </row>
    <row r="10" spans="1:18" ht="68.25" hidden="1" customHeight="1">
      <c r="B10" s="1676">
        <v>2019</v>
      </c>
      <c r="C10" s="1678">
        <v>2019</v>
      </c>
      <c r="D10" s="1677"/>
      <c r="E10" s="170"/>
      <c r="F10" s="178" t="s">
        <v>6202</v>
      </c>
      <c r="G10" s="172" t="s">
        <v>79</v>
      </c>
      <c r="H10" s="173" t="s">
        <v>6203</v>
      </c>
      <c r="I10" s="173" t="s">
        <v>4759</v>
      </c>
      <c r="J10" s="173" t="s">
        <v>6216</v>
      </c>
      <c r="K10" s="173" t="s">
        <v>2577</v>
      </c>
      <c r="L10" s="174">
        <v>1937200.15</v>
      </c>
      <c r="M10" s="175">
        <v>43762</v>
      </c>
      <c r="N10" s="176">
        <v>43762</v>
      </c>
      <c r="O10" s="177">
        <v>43814</v>
      </c>
      <c r="P10" s="1675" t="s">
        <v>6205</v>
      </c>
      <c r="Q10" s="252"/>
      <c r="R10" s="105" t="s">
        <v>1406</v>
      </c>
    </row>
    <row r="11" spans="1:18" ht="68.25" hidden="1" customHeight="1">
      <c r="B11" s="1676">
        <v>2020</v>
      </c>
      <c r="C11" s="1678">
        <v>2021</v>
      </c>
      <c r="D11" s="1677"/>
      <c r="E11" s="170" t="s">
        <v>867</v>
      </c>
      <c r="F11" s="178" t="s">
        <v>6206</v>
      </c>
      <c r="G11" s="172" t="s">
        <v>5435</v>
      </c>
      <c r="H11" s="173" t="s">
        <v>6207</v>
      </c>
      <c r="I11" s="173" t="s">
        <v>6266</v>
      </c>
      <c r="J11" s="173" t="s">
        <v>4746</v>
      </c>
      <c r="K11" s="173" t="s">
        <v>2538</v>
      </c>
      <c r="L11" s="174">
        <v>10000000</v>
      </c>
      <c r="M11" s="175">
        <v>44054</v>
      </c>
      <c r="N11" s="176">
        <v>44784</v>
      </c>
      <c r="O11" s="177">
        <v>44286</v>
      </c>
      <c r="P11" s="1675" t="s">
        <v>6208</v>
      </c>
      <c r="Q11" s="252"/>
      <c r="R11" s="105" t="s">
        <v>1406</v>
      </c>
    </row>
    <row r="12" spans="1:18" ht="68.25" hidden="1" customHeight="1">
      <c r="B12" s="1676">
        <v>2020</v>
      </c>
      <c r="C12" s="1678">
        <v>2021</v>
      </c>
      <c r="D12" s="1677"/>
      <c r="E12" s="170" t="s">
        <v>867</v>
      </c>
      <c r="F12" s="178" t="s">
        <v>6209</v>
      </c>
      <c r="G12" s="172" t="s">
        <v>5435</v>
      </c>
      <c r="H12" s="173" t="s">
        <v>6210</v>
      </c>
      <c r="I12" s="173" t="s">
        <v>6241</v>
      </c>
      <c r="J12" s="173" t="s">
        <v>5318</v>
      </c>
      <c r="K12" s="173" t="s">
        <v>1975</v>
      </c>
      <c r="L12" s="174">
        <v>10000000</v>
      </c>
      <c r="M12" s="175">
        <v>44054</v>
      </c>
      <c r="N12" s="176">
        <v>44054</v>
      </c>
      <c r="O12" s="177">
        <v>44285</v>
      </c>
      <c r="P12" s="1675" t="s">
        <v>6208</v>
      </c>
      <c r="Q12" s="252"/>
      <c r="R12" s="105" t="s">
        <v>1406</v>
      </c>
    </row>
    <row r="13" spans="1:18" ht="68.25" hidden="1" customHeight="1">
      <c r="B13" s="1676">
        <v>2020</v>
      </c>
      <c r="C13" s="1678">
        <v>2020</v>
      </c>
      <c r="D13" s="1677"/>
      <c r="E13" s="170"/>
      <c r="F13" s="178" t="s">
        <v>6211</v>
      </c>
      <c r="G13" s="172" t="s">
        <v>5435</v>
      </c>
      <c r="H13" s="173" t="s">
        <v>6212</v>
      </c>
      <c r="I13" s="173" t="s">
        <v>4759</v>
      </c>
      <c r="J13" s="173" t="s">
        <v>6190</v>
      </c>
      <c r="K13" s="173" t="s">
        <v>4823</v>
      </c>
      <c r="L13" s="174">
        <v>2108955.1</v>
      </c>
      <c r="M13" s="175">
        <v>44112</v>
      </c>
      <c r="N13" s="176">
        <v>44112</v>
      </c>
      <c r="O13" s="177">
        <v>44171</v>
      </c>
      <c r="P13" s="1675" t="s">
        <v>6213</v>
      </c>
      <c r="Q13" s="252"/>
      <c r="R13" s="105" t="s">
        <v>1406</v>
      </c>
    </row>
    <row r="14" spans="1:18" ht="68.25" hidden="1" customHeight="1">
      <c r="B14" s="1676">
        <v>2020</v>
      </c>
      <c r="C14" s="1678">
        <v>2020</v>
      </c>
      <c r="D14" s="1677"/>
      <c r="E14" s="170"/>
      <c r="F14" s="178" t="s">
        <v>6214</v>
      </c>
      <c r="G14" s="172" t="s">
        <v>5435</v>
      </c>
      <c r="H14" s="173" t="s">
        <v>6215</v>
      </c>
      <c r="I14" s="173" t="s">
        <v>4759</v>
      </c>
      <c r="J14" s="173" t="s">
        <v>6204</v>
      </c>
      <c r="K14" s="173" t="s">
        <v>2577</v>
      </c>
      <c r="L14" s="174">
        <v>4391953.5</v>
      </c>
      <c r="M14" s="175">
        <v>44112</v>
      </c>
      <c r="N14" s="176">
        <v>44112</v>
      </c>
      <c r="O14" s="177">
        <v>44156</v>
      </c>
      <c r="P14" s="1675" t="s">
        <v>6217</v>
      </c>
      <c r="Q14" s="252"/>
      <c r="R14" s="105" t="s">
        <v>1406</v>
      </c>
    </row>
    <row r="15" spans="1:18" ht="68.25" hidden="1" customHeight="1">
      <c r="B15" s="1676">
        <v>2020</v>
      </c>
      <c r="C15" s="1678">
        <v>2020</v>
      </c>
      <c r="D15" s="1677"/>
      <c r="E15" s="170"/>
      <c r="F15" s="178" t="s">
        <v>6218</v>
      </c>
      <c r="G15" s="172" t="s">
        <v>5435</v>
      </c>
      <c r="H15" s="173" t="s">
        <v>6219</v>
      </c>
      <c r="I15" s="173" t="s">
        <v>4756</v>
      </c>
      <c r="J15" s="173" t="s">
        <v>6220</v>
      </c>
      <c r="K15" s="173" t="s">
        <v>4409</v>
      </c>
      <c r="L15" s="174">
        <v>5000000</v>
      </c>
      <c r="M15" s="175">
        <v>44869</v>
      </c>
      <c r="N15" s="176">
        <v>44869</v>
      </c>
      <c r="O15" s="177">
        <v>44196</v>
      </c>
      <c r="P15" s="1675" t="s">
        <v>6221</v>
      </c>
      <c r="Q15" s="252"/>
      <c r="R15" s="105" t="s">
        <v>1406</v>
      </c>
    </row>
    <row r="16" spans="1:18" ht="68.25" hidden="1" customHeight="1">
      <c r="B16" s="1676">
        <v>2021</v>
      </c>
      <c r="C16" s="1678">
        <v>2021</v>
      </c>
      <c r="D16" s="1677"/>
      <c r="E16" s="170" t="s">
        <v>64</v>
      </c>
      <c r="F16" s="178" t="s">
        <v>6222</v>
      </c>
      <c r="G16" s="172" t="s">
        <v>5425</v>
      </c>
      <c r="H16" s="173" t="s">
        <v>6223</v>
      </c>
      <c r="I16" s="173" t="s">
        <v>2537</v>
      </c>
      <c r="J16" s="173" t="s">
        <v>2537</v>
      </c>
      <c r="K16" s="173" t="s">
        <v>4823</v>
      </c>
      <c r="L16" s="174">
        <v>2565012.7999999998</v>
      </c>
      <c r="M16" s="175">
        <v>44217</v>
      </c>
      <c r="N16" s="176">
        <v>44217</v>
      </c>
      <c r="O16" s="177">
        <v>44336</v>
      </c>
      <c r="P16" s="1675" t="s">
        <v>6224</v>
      </c>
      <c r="Q16" s="252"/>
      <c r="R16" s="105" t="s">
        <v>1406</v>
      </c>
    </row>
    <row r="17" spans="2:18" ht="68.25" hidden="1" customHeight="1">
      <c r="B17" s="1676">
        <v>2021</v>
      </c>
      <c r="C17" s="1678">
        <v>2021</v>
      </c>
      <c r="D17" s="1677"/>
      <c r="E17" s="170" t="s">
        <v>64</v>
      </c>
      <c r="F17" s="178" t="s">
        <v>6225</v>
      </c>
      <c r="G17" s="172" t="s">
        <v>5425</v>
      </c>
      <c r="H17" s="173" t="s">
        <v>6226</v>
      </c>
      <c r="I17" s="173" t="s">
        <v>2537</v>
      </c>
      <c r="J17" s="173" t="s">
        <v>2537</v>
      </c>
      <c r="K17" s="173" t="s">
        <v>4823</v>
      </c>
      <c r="L17" s="174">
        <v>3136819.35</v>
      </c>
      <c r="M17" s="175">
        <v>44226</v>
      </c>
      <c r="N17" s="176">
        <v>44226</v>
      </c>
      <c r="O17" s="177">
        <v>44345</v>
      </c>
      <c r="P17" s="1675" t="s">
        <v>6227</v>
      </c>
      <c r="Q17" s="252"/>
      <c r="R17" s="105" t="s">
        <v>1406</v>
      </c>
    </row>
    <row r="18" spans="2:18" ht="68.25" hidden="1" customHeight="1">
      <c r="B18" s="1676">
        <v>2021</v>
      </c>
      <c r="C18" s="1678">
        <v>2021</v>
      </c>
      <c r="D18" s="1677"/>
      <c r="E18" s="170" t="s">
        <v>64</v>
      </c>
      <c r="F18" s="178" t="s">
        <v>6228</v>
      </c>
      <c r="G18" s="172" t="s">
        <v>5435</v>
      </c>
      <c r="H18" s="173" t="s">
        <v>6229</v>
      </c>
      <c r="I18" s="173" t="s">
        <v>2537</v>
      </c>
      <c r="J18" s="173" t="s">
        <v>2537</v>
      </c>
      <c r="K18" s="173" t="s">
        <v>4823</v>
      </c>
      <c r="L18" s="174">
        <v>4691797.99</v>
      </c>
      <c r="M18" s="175">
        <v>44252</v>
      </c>
      <c r="N18" s="176">
        <v>44252</v>
      </c>
      <c r="O18" s="177">
        <v>44341</v>
      </c>
      <c r="P18" s="1675" t="s">
        <v>4444</v>
      </c>
      <c r="Q18" s="252"/>
      <c r="R18" s="105" t="s">
        <v>1406</v>
      </c>
    </row>
    <row r="19" spans="2:18" ht="68.25" hidden="1" customHeight="1">
      <c r="B19" s="1676">
        <v>2021</v>
      </c>
      <c r="C19" s="1678">
        <v>2021</v>
      </c>
      <c r="D19" s="1677"/>
      <c r="E19" s="170" t="s">
        <v>867</v>
      </c>
      <c r="F19" s="178" t="s">
        <v>6230</v>
      </c>
      <c r="G19" s="172" t="s">
        <v>5435</v>
      </c>
      <c r="H19" s="173" t="s">
        <v>6231</v>
      </c>
      <c r="I19" s="173" t="s">
        <v>4756</v>
      </c>
      <c r="J19" s="173" t="s">
        <v>2556</v>
      </c>
      <c r="K19" s="173" t="s">
        <v>1975</v>
      </c>
      <c r="L19" s="174">
        <v>5000000</v>
      </c>
      <c r="M19" s="175">
        <v>44251</v>
      </c>
      <c r="N19" s="176">
        <v>44251</v>
      </c>
      <c r="O19" s="177">
        <v>44439</v>
      </c>
      <c r="P19" s="1675" t="s">
        <v>6208</v>
      </c>
      <c r="Q19" s="252"/>
      <c r="R19" s="105" t="s">
        <v>1406</v>
      </c>
    </row>
    <row r="20" spans="2:18" ht="68.25" hidden="1" customHeight="1">
      <c r="B20" s="1676">
        <v>2021</v>
      </c>
      <c r="C20" s="1678">
        <v>2021</v>
      </c>
      <c r="D20" s="1677"/>
      <c r="E20" s="170" t="s">
        <v>867</v>
      </c>
      <c r="F20" s="178" t="s">
        <v>6232</v>
      </c>
      <c r="G20" s="172" t="s">
        <v>5435</v>
      </c>
      <c r="H20" s="173" t="s">
        <v>6233</v>
      </c>
      <c r="I20" s="173" t="s">
        <v>6267</v>
      </c>
      <c r="J20" s="173" t="s">
        <v>3419</v>
      </c>
      <c r="K20" s="173" t="s">
        <v>3623</v>
      </c>
      <c r="L20" s="174">
        <v>4000000</v>
      </c>
      <c r="M20" s="175">
        <v>44251</v>
      </c>
      <c r="N20" s="176">
        <v>44251</v>
      </c>
      <c r="O20" s="177">
        <v>44439</v>
      </c>
      <c r="P20" s="1675" t="s">
        <v>6208</v>
      </c>
      <c r="Q20" s="252"/>
      <c r="R20" s="105" t="s">
        <v>1406</v>
      </c>
    </row>
    <row r="21" spans="2:18" ht="68.25" hidden="1" customHeight="1">
      <c r="B21" s="1676">
        <v>2022</v>
      </c>
      <c r="C21" s="1678">
        <v>2022</v>
      </c>
      <c r="D21" s="1677">
        <v>45170</v>
      </c>
      <c r="E21" s="170"/>
      <c r="F21" s="178" t="s">
        <v>4438</v>
      </c>
      <c r="G21" s="172" t="s">
        <v>5425</v>
      </c>
      <c r="H21" s="173" t="s">
        <v>5420</v>
      </c>
      <c r="I21" s="173" t="s">
        <v>5416</v>
      </c>
      <c r="J21" s="173" t="s">
        <v>2496</v>
      </c>
      <c r="K21" s="173" t="s">
        <v>1975</v>
      </c>
      <c r="L21" s="174">
        <v>11570083.17</v>
      </c>
      <c r="M21" s="175"/>
      <c r="N21" s="176">
        <v>44652</v>
      </c>
      <c r="O21" s="177">
        <v>44756</v>
      </c>
      <c r="P21" s="1675" t="s">
        <v>5463</v>
      </c>
      <c r="Q21" s="252"/>
      <c r="R21" s="105" t="s">
        <v>1406</v>
      </c>
    </row>
    <row r="22" spans="2:18" ht="75" hidden="1" customHeight="1">
      <c r="B22" s="1676">
        <v>2022</v>
      </c>
      <c r="C22" s="1678">
        <v>2022</v>
      </c>
      <c r="D22" s="1677">
        <v>45170</v>
      </c>
      <c r="E22" s="170"/>
      <c r="F22" s="178" t="s">
        <v>4439</v>
      </c>
      <c r="G22" s="172" t="s">
        <v>5425</v>
      </c>
      <c r="H22" s="173" t="s">
        <v>5421</v>
      </c>
      <c r="I22" s="173" t="s">
        <v>5416</v>
      </c>
      <c r="J22" s="173" t="s">
        <v>2496</v>
      </c>
      <c r="K22" s="173" t="s">
        <v>1975</v>
      </c>
      <c r="L22" s="174">
        <v>10558908.779999999</v>
      </c>
      <c r="M22" s="175"/>
      <c r="N22" s="176">
        <v>44652</v>
      </c>
      <c r="O22" s="177">
        <v>44756</v>
      </c>
      <c r="P22" s="1675" t="s">
        <v>5464</v>
      </c>
      <c r="Q22" s="252"/>
      <c r="R22" s="105" t="s">
        <v>1406</v>
      </c>
    </row>
    <row r="23" spans="2:18" ht="75" hidden="1" customHeight="1">
      <c r="B23" s="1676">
        <v>2022</v>
      </c>
      <c r="C23" s="1678">
        <v>2022</v>
      </c>
      <c r="D23" s="1677">
        <v>45170</v>
      </c>
      <c r="E23" s="170"/>
      <c r="F23" s="178" t="s">
        <v>5460</v>
      </c>
      <c r="G23" s="172" t="s">
        <v>79</v>
      </c>
      <c r="H23" s="173" t="s">
        <v>5461</v>
      </c>
      <c r="I23" s="173" t="s">
        <v>5416</v>
      </c>
      <c r="J23" s="173" t="s">
        <v>2496</v>
      </c>
      <c r="K23" s="173" t="s">
        <v>1975</v>
      </c>
      <c r="L23" s="174">
        <v>1968754.16</v>
      </c>
      <c r="M23" s="175"/>
      <c r="N23" s="176">
        <v>44642</v>
      </c>
      <c r="O23" s="177">
        <v>44701</v>
      </c>
      <c r="P23" s="252" t="s">
        <v>5462</v>
      </c>
      <c r="Q23" s="252"/>
      <c r="R23" s="105" t="s">
        <v>1406</v>
      </c>
    </row>
    <row r="24" spans="2:18" ht="75" hidden="1" customHeight="1">
      <c r="B24" s="1676">
        <v>2022</v>
      </c>
      <c r="C24" s="1678">
        <v>2022</v>
      </c>
      <c r="D24" s="1677">
        <v>45170</v>
      </c>
      <c r="E24" s="170"/>
      <c r="F24" s="178" t="s">
        <v>5472</v>
      </c>
      <c r="G24" s="172" t="s">
        <v>5435</v>
      </c>
      <c r="H24" s="173" t="s">
        <v>5471</v>
      </c>
      <c r="I24" s="173" t="s">
        <v>5416</v>
      </c>
      <c r="J24" s="173" t="s">
        <v>2496</v>
      </c>
      <c r="K24" s="173" t="s">
        <v>1975</v>
      </c>
      <c r="L24" s="174">
        <v>5187836.45</v>
      </c>
      <c r="M24" s="175"/>
      <c r="N24" s="176">
        <v>44841</v>
      </c>
      <c r="O24" s="177">
        <v>44910</v>
      </c>
      <c r="P24" s="252" t="s">
        <v>5462</v>
      </c>
      <c r="Q24" s="252"/>
      <c r="R24" s="105" t="s">
        <v>1406</v>
      </c>
    </row>
    <row r="25" spans="2:18" ht="78.75" hidden="1" customHeight="1">
      <c r="B25" s="1676">
        <v>2022</v>
      </c>
      <c r="C25" s="1678">
        <v>2022</v>
      </c>
      <c r="D25" s="1677">
        <v>45170</v>
      </c>
      <c r="E25" s="170"/>
      <c r="F25" s="178" t="s">
        <v>5468</v>
      </c>
      <c r="G25" s="172" t="s">
        <v>5435</v>
      </c>
      <c r="H25" s="173" t="s">
        <v>5469</v>
      </c>
      <c r="I25" s="173" t="s">
        <v>6268</v>
      </c>
      <c r="J25" s="173" t="s">
        <v>5330</v>
      </c>
      <c r="K25" s="173" t="s">
        <v>2575</v>
      </c>
      <c r="L25" s="174">
        <v>10974507.92</v>
      </c>
      <c r="M25" s="175"/>
      <c r="N25" s="176">
        <v>44691</v>
      </c>
      <c r="O25" s="177">
        <v>44780</v>
      </c>
      <c r="P25" s="1189" t="s">
        <v>5470</v>
      </c>
      <c r="Q25" s="252"/>
      <c r="R25" s="105" t="s">
        <v>1406</v>
      </c>
    </row>
    <row r="26" spans="2:18" ht="78.75" hidden="1" customHeight="1">
      <c r="B26" s="1676">
        <v>2020</v>
      </c>
      <c r="C26" s="1678">
        <v>2022</v>
      </c>
      <c r="D26" s="1677">
        <v>45170</v>
      </c>
      <c r="E26" s="170"/>
      <c r="F26" s="178" t="s">
        <v>5495</v>
      </c>
      <c r="G26" s="172" t="s">
        <v>5425</v>
      </c>
      <c r="H26" s="173" t="s">
        <v>5496</v>
      </c>
      <c r="I26" s="173" t="s">
        <v>6268</v>
      </c>
      <c r="J26" s="173" t="s">
        <v>5330</v>
      </c>
      <c r="K26" s="173" t="s">
        <v>2575</v>
      </c>
      <c r="L26" s="174">
        <v>16316936.48</v>
      </c>
      <c r="M26" s="175"/>
      <c r="N26" s="176">
        <v>44226</v>
      </c>
      <c r="O26" s="177">
        <v>44345</v>
      </c>
      <c r="P26" s="1189" t="s">
        <v>5497</v>
      </c>
      <c r="Q26" s="252"/>
      <c r="R26" s="105" t="s">
        <v>1406</v>
      </c>
    </row>
    <row r="27" spans="2:18" ht="78.75" hidden="1" customHeight="1">
      <c r="B27" s="1676">
        <v>2021</v>
      </c>
      <c r="C27" s="1678">
        <v>2022</v>
      </c>
      <c r="D27" s="1677">
        <v>45170</v>
      </c>
      <c r="E27" s="170"/>
      <c r="F27" s="178" t="s">
        <v>5498</v>
      </c>
      <c r="G27" s="172" t="s">
        <v>5435</v>
      </c>
      <c r="H27" s="173" t="s">
        <v>5499</v>
      </c>
      <c r="I27" s="173" t="s">
        <v>6268</v>
      </c>
      <c r="J27" s="173" t="s">
        <v>5330</v>
      </c>
      <c r="K27" s="173" t="s">
        <v>2575</v>
      </c>
      <c r="L27" s="174">
        <v>5433339.2699999996</v>
      </c>
      <c r="M27" s="175"/>
      <c r="N27" s="176">
        <v>44490</v>
      </c>
      <c r="O27" s="177">
        <v>44549</v>
      </c>
      <c r="P27" s="1189" t="s">
        <v>5500</v>
      </c>
      <c r="Q27" s="252"/>
      <c r="R27" s="105" t="s">
        <v>1406</v>
      </c>
    </row>
    <row r="28" spans="2:18" ht="78.75" hidden="1" customHeight="1">
      <c r="B28" s="1676">
        <v>2021</v>
      </c>
      <c r="C28" s="1678">
        <v>2022</v>
      </c>
      <c r="D28" s="1677">
        <v>45170</v>
      </c>
      <c r="E28" s="170"/>
      <c r="F28" s="178" t="s">
        <v>5492</v>
      </c>
      <c r="G28" s="172" t="s">
        <v>5435</v>
      </c>
      <c r="H28" s="173" t="s">
        <v>5493</v>
      </c>
      <c r="I28" s="173" t="s">
        <v>6268</v>
      </c>
      <c r="J28" s="173" t="s">
        <v>5330</v>
      </c>
      <c r="K28" s="173" t="s">
        <v>2575</v>
      </c>
      <c r="L28" s="174">
        <v>9297941.1699999999</v>
      </c>
      <c r="M28" s="175"/>
      <c r="N28" s="176">
        <v>44488</v>
      </c>
      <c r="O28" s="177">
        <v>44547</v>
      </c>
      <c r="P28" s="1189" t="s">
        <v>5494</v>
      </c>
      <c r="Q28" s="252"/>
      <c r="R28" s="105" t="s">
        <v>1406</v>
      </c>
    </row>
    <row r="29" spans="2:18" ht="78.75" hidden="1" customHeight="1">
      <c r="B29" s="1676">
        <v>2021</v>
      </c>
      <c r="C29" s="1678">
        <v>2022</v>
      </c>
      <c r="D29" s="1677">
        <v>45170</v>
      </c>
      <c r="E29" s="170"/>
      <c r="F29" s="178" t="s">
        <v>5510</v>
      </c>
      <c r="G29" s="172" t="s">
        <v>5425</v>
      </c>
      <c r="H29" s="3" t="s">
        <v>5511</v>
      </c>
      <c r="I29" s="3" t="s">
        <v>6268</v>
      </c>
      <c r="J29" s="3" t="s">
        <v>5330</v>
      </c>
      <c r="K29" s="173" t="s">
        <v>2575</v>
      </c>
      <c r="L29" s="174">
        <v>11060111.4</v>
      </c>
      <c r="M29" s="175"/>
      <c r="N29" s="176">
        <v>44302</v>
      </c>
      <c r="O29" s="177">
        <v>44421</v>
      </c>
      <c r="P29" s="1189" t="s">
        <v>5512</v>
      </c>
      <c r="Q29" s="252"/>
      <c r="R29" s="105" t="s">
        <v>1406</v>
      </c>
    </row>
    <row r="30" spans="2:18" ht="78.75" hidden="1" customHeight="1">
      <c r="B30" s="1676">
        <v>2021</v>
      </c>
      <c r="C30" s="1678">
        <v>2022</v>
      </c>
      <c r="D30" s="1677">
        <v>45170</v>
      </c>
      <c r="E30" s="170"/>
      <c r="F30" s="178" t="s">
        <v>5507</v>
      </c>
      <c r="G30" s="172" t="s">
        <v>5425</v>
      </c>
      <c r="H30" s="173" t="s">
        <v>5508</v>
      </c>
      <c r="I30" s="173" t="s">
        <v>6268</v>
      </c>
      <c r="J30" s="173" t="s">
        <v>5330</v>
      </c>
      <c r="K30" s="173" t="s">
        <v>2575</v>
      </c>
      <c r="L30" s="174">
        <v>10663760.539999999</v>
      </c>
      <c r="M30" s="175"/>
      <c r="N30" s="176">
        <v>44302</v>
      </c>
      <c r="O30" s="177">
        <v>44421</v>
      </c>
      <c r="P30" s="1189" t="s">
        <v>5509</v>
      </c>
      <c r="Q30" s="252"/>
      <c r="R30" s="105" t="s">
        <v>1406</v>
      </c>
    </row>
    <row r="31" spans="2:18" ht="78.75" hidden="1" customHeight="1">
      <c r="B31" s="1676">
        <v>2021</v>
      </c>
      <c r="C31" s="1678">
        <v>2022</v>
      </c>
      <c r="D31" s="1677">
        <v>45170</v>
      </c>
      <c r="E31" s="170"/>
      <c r="F31" s="178" t="s">
        <v>5504</v>
      </c>
      <c r="G31" s="172" t="s">
        <v>5425</v>
      </c>
      <c r="H31" s="173" t="s">
        <v>5505</v>
      </c>
      <c r="I31" s="173" t="s">
        <v>6268</v>
      </c>
      <c r="J31" s="173" t="s">
        <v>5330</v>
      </c>
      <c r="K31" s="173" t="s">
        <v>2575</v>
      </c>
      <c r="L31" s="174">
        <v>12021285.439999999</v>
      </c>
      <c r="M31" s="175"/>
      <c r="N31" s="176">
        <v>44302</v>
      </c>
      <c r="O31" s="177">
        <v>44421</v>
      </c>
      <c r="P31" s="1189" t="s">
        <v>5506</v>
      </c>
      <c r="Q31" s="252"/>
      <c r="R31" s="105" t="s">
        <v>1406</v>
      </c>
    </row>
    <row r="32" spans="2:18" ht="78.75" hidden="1" customHeight="1">
      <c r="B32" s="1676">
        <v>2021</v>
      </c>
      <c r="C32" s="1678">
        <v>2022</v>
      </c>
      <c r="D32" s="1677">
        <v>45170</v>
      </c>
      <c r="E32" s="170"/>
      <c r="F32" s="178" t="s">
        <v>5501</v>
      </c>
      <c r="G32" s="172" t="s">
        <v>5425</v>
      </c>
      <c r="H32" s="173" t="s">
        <v>5502</v>
      </c>
      <c r="I32" s="173" t="s">
        <v>6268</v>
      </c>
      <c r="J32" s="173" t="s">
        <v>5330</v>
      </c>
      <c r="K32" s="173" t="s">
        <v>2575</v>
      </c>
      <c r="L32" s="174">
        <v>11491864.08</v>
      </c>
      <c r="M32" s="175"/>
      <c r="N32" s="176">
        <v>44302</v>
      </c>
      <c r="O32" s="177">
        <v>44421</v>
      </c>
      <c r="P32" s="1189" t="s">
        <v>5503</v>
      </c>
      <c r="Q32" s="252"/>
      <c r="R32" s="105" t="s">
        <v>1406</v>
      </c>
    </row>
    <row r="33" spans="2:18" ht="103.5" hidden="1" customHeight="1">
      <c r="B33" s="1676">
        <v>2022</v>
      </c>
      <c r="C33" s="1678">
        <v>2022</v>
      </c>
      <c r="D33" s="1677">
        <v>45170</v>
      </c>
      <c r="E33" s="170"/>
      <c r="F33" s="178" t="s">
        <v>5465</v>
      </c>
      <c r="G33" s="172" t="s">
        <v>5435</v>
      </c>
      <c r="H33" s="173" t="s">
        <v>5466</v>
      </c>
      <c r="I33" s="173" t="s">
        <v>6268</v>
      </c>
      <c r="J33" s="173" t="s">
        <v>5330</v>
      </c>
      <c r="K33" s="173" t="s">
        <v>2575</v>
      </c>
      <c r="L33" s="174">
        <v>2975907.18</v>
      </c>
      <c r="M33" s="175"/>
      <c r="N33" s="176">
        <v>44915</v>
      </c>
      <c r="O33" s="177">
        <v>44926</v>
      </c>
      <c r="P33" s="116" t="s">
        <v>5467</v>
      </c>
      <c r="Q33" s="252"/>
      <c r="R33" s="105" t="s">
        <v>1406</v>
      </c>
    </row>
    <row r="34" spans="2:18" ht="67.5" hidden="1" customHeight="1">
      <c r="B34" s="1676">
        <v>2020</v>
      </c>
      <c r="C34" s="1678">
        <v>2022</v>
      </c>
      <c r="D34" s="1677">
        <v>44805</v>
      </c>
      <c r="E34" s="170"/>
      <c r="F34" s="178" t="s">
        <v>5473</v>
      </c>
      <c r="G34" s="172" t="s">
        <v>5425</v>
      </c>
      <c r="H34" s="173" t="s">
        <v>5474</v>
      </c>
      <c r="I34" s="173" t="s">
        <v>2537</v>
      </c>
      <c r="J34" s="173" t="s">
        <v>2537</v>
      </c>
      <c r="K34" s="173" t="s">
        <v>4386</v>
      </c>
      <c r="L34" s="174">
        <v>2565012.7999999998</v>
      </c>
      <c r="M34" s="175"/>
      <c r="N34" s="176">
        <v>44217</v>
      </c>
      <c r="O34" s="177">
        <v>44336</v>
      </c>
      <c r="P34" s="1675" t="s">
        <v>5475</v>
      </c>
      <c r="Q34" s="252"/>
      <c r="R34" s="105" t="s">
        <v>1406</v>
      </c>
    </row>
    <row r="35" spans="2:18" ht="67.5" hidden="1" customHeight="1">
      <c r="B35" s="1676">
        <v>2020</v>
      </c>
      <c r="C35" s="1678">
        <v>2022</v>
      </c>
      <c r="D35" s="1677">
        <v>44805</v>
      </c>
      <c r="E35" s="170"/>
      <c r="F35" s="178" t="s">
        <v>5476</v>
      </c>
      <c r="G35" s="172" t="s">
        <v>5425</v>
      </c>
      <c r="H35" s="173" t="s">
        <v>5477</v>
      </c>
      <c r="I35" s="173" t="s">
        <v>2537</v>
      </c>
      <c r="J35" s="173" t="s">
        <v>2537</v>
      </c>
      <c r="K35" s="173" t="s">
        <v>4386</v>
      </c>
      <c r="L35" s="174">
        <v>3136819.35</v>
      </c>
      <c r="M35" s="175"/>
      <c r="N35" s="176">
        <v>44216</v>
      </c>
      <c r="O35" s="177">
        <v>44345</v>
      </c>
      <c r="P35" s="1675" t="s">
        <v>5478</v>
      </c>
      <c r="Q35" s="252"/>
      <c r="R35" s="105" t="s">
        <v>1406</v>
      </c>
    </row>
    <row r="36" spans="2:18" ht="83.25" hidden="1" customHeight="1">
      <c r="B36" s="1676">
        <v>2022</v>
      </c>
      <c r="C36" s="1678"/>
      <c r="D36" s="1677">
        <v>45170</v>
      </c>
      <c r="E36" s="170"/>
      <c r="F36" s="178" t="s">
        <v>5449</v>
      </c>
      <c r="G36" s="172" t="s">
        <v>5435</v>
      </c>
      <c r="H36" s="173" t="s">
        <v>5450</v>
      </c>
      <c r="I36" s="173" t="s">
        <v>4759</v>
      </c>
      <c r="J36" s="173" t="s">
        <v>5439</v>
      </c>
      <c r="K36" s="173" t="s">
        <v>2577</v>
      </c>
      <c r="L36" s="174">
        <v>7894555.1299999999</v>
      </c>
      <c r="M36" s="175"/>
      <c r="N36" s="176">
        <v>44723</v>
      </c>
      <c r="O36" s="177">
        <v>44822</v>
      </c>
      <c r="P36" s="1675" t="s">
        <v>5451</v>
      </c>
      <c r="Q36" s="252"/>
      <c r="R36" s="105" t="s">
        <v>1405</v>
      </c>
    </row>
    <row r="37" spans="2:18" ht="99.75" hidden="1" customHeight="1">
      <c r="B37" s="1676">
        <v>2022</v>
      </c>
      <c r="C37" s="1678">
        <v>2023</v>
      </c>
      <c r="D37" s="1678"/>
      <c r="E37" s="170" t="s">
        <v>3108</v>
      </c>
      <c r="F37" s="178" t="s">
        <v>5443</v>
      </c>
      <c r="G37" s="172" t="s">
        <v>4032</v>
      </c>
      <c r="H37" s="173" t="s">
        <v>5442</v>
      </c>
      <c r="I37" s="173" t="s">
        <v>2560</v>
      </c>
      <c r="J37" s="173" t="s">
        <v>4724</v>
      </c>
      <c r="K37" s="173" t="s">
        <v>4386</v>
      </c>
      <c r="L37" s="174">
        <v>4000000</v>
      </c>
      <c r="M37" s="175"/>
      <c r="N37" s="176">
        <v>44784</v>
      </c>
      <c r="O37" s="177">
        <v>44926</v>
      </c>
      <c r="P37" s="1675"/>
      <c r="Q37" s="252"/>
      <c r="R37" s="105" t="s">
        <v>1406</v>
      </c>
    </row>
    <row r="38" spans="2:18" ht="103.5" hidden="1" customHeight="1">
      <c r="B38" s="1676">
        <v>2022</v>
      </c>
      <c r="C38" s="1678">
        <v>2023</v>
      </c>
      <c r="D38" s="1677">
        <v>45170</v>
      </c>
      <c r="E38" s="170" t="s">
        <v>3108</v>
      </c>
      <c r="F38" s="178" t="s">
        <v>5445</v>
      </c>
      <c r="G38" s="172" t="s">
        <v>4032</v>
      </c>
      <c r="H38" s="173" t="s">
        <v>5444</v>
      </c>
      <c r="I38" s="173" t="s">
        <v>4745</v>
      </c>
      <c r="J38" s="173" t="s">
        <v>2654</v>
      </c>
      <c r="K38" s="173" t="s">
        <v>1975</v>
      </c>
      <c r="L38" s="174">
        <v>4000000</v>
      </c>
      <c r="M38" s="175"/>
      <c r="N38" s="176">
        <v>44784</v>
      </c>
      <c r="O38" s="177">
        <v>44926</v>
      </c>
      <c r="P38" s="1675"/>
      <c r="Q38" s="252"/>
      <c r="R38" s="105" t="s">
        <v>1406</v>
      </c>
    </row>
    <row r="39" spans="2:18" ht="81" hidden="1" customHeight="1">
      <c r="B39" s="1676">
        <v>2022</v>
      </c>
      <c r="C39" s="1678"/>
      <c r="D39" s="1677">
        <v>45170</v>
      </c>
      <c r="E39" s="170"/>
      <c r="F39" s="178" t="s">
        <v>5446</v>
      </c>
      <c r="G39" s="172" t="s">
        <v>5435</v>
      </c>
      <c r="H39" s="173" t="s">
        <v>5447</v>
      </c>
      <c r="I39" s="173" t="s">
        <v>4759</v>
      </c>
      <c r="J39" s="173" t="s">
        <v>5439</v>
      </c>
      <c r="K39" s="173" t="s">
        <v>2577</v>
      </c>
      <c r="L39" s="174">
        <v>7083722.9199999999</v>
      </c>
      <c r="M39" s="175"/>
      <c r="N39" s="176">
        <v>44915</v>
      </c>
      <c r="O39" s="177">
        <v>44926</v>
      </c>
      <c r="P39" s="1675" t="s">
        <v>5448</v>
      </c>
      <c r="Q39" s="252"/>
      <c r="R39" s="105" t="s">
        <v>1405</v>
      </c>
    </row>
    <row r="40" spans="2:18" ht="67.5" hidden="1" customHeight="1">
      <c r="B40" s="1676">
        <v>2022</v>
      </c>
      <c r="C40" s="1678">
        <v>2022</v>
      </c>
      <c r="D40" s="1678"/>
      <c r="E40" s="170" t="s">
        <v>5515</v>
      </c>
      <c r="F40" s="178" t="s">
        <v>5452</v>
      </c>
      <c r="G40" s="172" t="s">
        <v>5435</v>
      </c>
      <c r="H40" s="173" t="s">
        <v>5453</v>
      </c>
      <c r="I40" s="173" t="s">
        <v>4759</v>
      </c>
      <c r="J40" s="1191" t="s">
        <v>5454</v>
      </c>
      <c r="K40" s="1191" t="s">
        <v>3623</v>
      </c>
      <c r="L40" s="174">
        <v>2970236.09</v>
      </c>
      <c r="M40" s="175"/>
      <c r="N40" s="176">
        <v>44833</v>
      </c>
      <c r="O40" s="177">
        <v>44922</v>
      </c>
      <c r="P40" s="1675" t="s">
        <v>5455</v>
      </c>
      <c r="Q40" s="252"/>
      <c r="R40" s="105" t="s">
        <v>1406</v>
      </c>
    </row>
    <row r="41" spans="2:18" ht="87.75" hidden="1" customHeight="1">
      <c r="B41" s="1676">
        <v>2022</v>
      </c>
      <c r="C41" s="1678">
        <v>2023</v>
      </c>
      <c r="D41" s="1678"/>
      <c r="E41" s="170" t="s">
        <v>5515</v>
      </c>
      <c r="F41" s="178" t="s">
        <v>5456</v>
      </c>
      <c r="G41" s="172" t="s">
        <v>5425</v>
      </c>
      <c r="H41" s="173" t="s">
        <v>5457</v>
      </c>
      <c r="I41" s="173" t="s">
        <v>4759</v>
      </c>
      <c r="J41" s="173" t="s">
        <v>5458</v>
      </c>
      <c r="K41" s="173" t="s">
        <v>4386</v>
      </c>
      <c r="L41" s="174">
        <v>2104000</v>
      </c>
      <c r="M41" s="175"/>
      <c r="N41" s="176">
        <v>44741</v>
      </c>
      <c r="O41" s="177">
        <v>44865</v>
      </c>
      <c r="P41" s="1675" t="s">
        <v>5459</v>
      </c>
      <c r="Q41" s="252"/>
      <c r="R41" s="105" t="s">
        <v>1406</v>
      </c>
    </row>
    <row r="42" spans="2:18" ht="81" customHeight="1">
      <c r="B42" s="1676">
        <v>2023</v>
      </c>
      <c r="C42" s="1678"/>
      <c r="D42" s="1677">
        <v>45170</v>
      </c>
      <c r="E42" s="170" t="s">
        <v>5515</v>
      </c>
      <c r="F42" s="178" t="s">
        <v>5424</v>
      </c>
      <c r="G42" s="172" t="s">
        <v>5425</v>
      </c>
      <c r="H42" s="173" t="s">
        <v>5422</v>
      </c>
      <c r="I42" s="173" t="s">
        <v>4759</v>
      </c>
      <c r="J42" s="173" t="s">
        <v>5423</v>
      </c>
      <c r="K42" s="173" t="s">
        <v>1975</v>
      </c>
      <c r="L42" s="174">
        <v>7100796.75</v>
      </c>
      <c r="M42" s="175"/>
      <c r="N42" s="176">
        <v>45014</v>
      </c>
      <c r="O42" s="177">
        <v>45133</v>
      </c>
      <c r="P42" s="1675" t="s">
        <v>5426</v>
      </c>
      <c r="Q42" s="1675"/>
      <c r="R42" s="105" t="s">
        <v>1405</v>
      </c>
    </row>
    <row r="43" spans="2:18" ht="81" customHeight="1">
      <c r="B43" s="1676">
        <v>2023</v>
      </c>
      <c r="C43" s="1678"/>
      <c r="D43" s="1677">
        <v>45170</v>
      </c>
      <c r="E43" s="170" t="s">
        <v>5515</v>
      </c>
      <c r="F43" s="178" t="s">
        <v>5427</v>
      </c>
      <c r="G43" s="172" t="s">
        <v>5425</v>
      </c>
      <c r="H43" s="173" t="s">
        <v>5422</v>
      </c>
      <c r="I43" s="173" t="s">
        <v>4759</v>
      </c>
      <c r="J43" s="173" t="s">
        <v>5423</v>
      </c>
      <c r="K43" s="173" t="s">
        <v>1975</v>
      </c>
      <c r="L43" s="174">
        <v>4766220.6100000003</v>
      </c>
      <c r="M43" s="175"/>
      <c r="N43" s="176">
        <v>45014</v>
      </c>
      <c r="O43" s="177">
        <v>45133</v>
      </c>
      <c r="P43" s="1675" t="s">
        <v>5428</v>
      </c>
      <c r="Q43" s="1675"/>
      <c r="R43" s="105" t="s">
        <v>1405</v>
      </c>
    </row>
    <row r="44" spans="2:18" ht="66" hidden="1" customHeight="1">
      <c r="B44" s="1676">
        <v>2023</v>
      </c>
      <c r="C44" s="1678"/>
      <c r="D44" s="1678"/>
      <c r="E44" s="170" t="s">
        <v>867</v>
      </c>
      <c r="F44" s="178" t="s">
        <v>5429</v>
      </c>
      <c r="G44" s="172"/>
      <c r="H44" s="1191" t="s">
        <v>5430</v>
      </c>
      <c r="I44" s="1191" t="s">
        <v>4752</v>
      </c>
      <c r="J44" s="173" t="s">
        <v>2636</v>
      </c>
      <c r="K44" s="173" t="s">
        <v>2524</v>
      </c>
      <c r="L44" s="174">
        <v>5000000</v>
      </c>
      <c r="M44" s="175"/>
      <c r="N44" s="176">
        <v>45085</v>
      </c>
      <c r="O44" s="177">
        <v>45291</v>
      </c>
      <c r="P44" s="1675"/>
      <c r="Q44" s="252"/>
      <c r="R44" s="105" t="s">
        <v>5432</v>
      </c>
    </row>
    <row r="45" spans="2:18" ht="63" hidden="1" customHeight="1">
      <c r="B45" s="1676">
        <v>2023</v>
      </c>
      <c r="C45" s="1678"/>
      <c r="D45" s="1678"/>
      <c r="E45" s="170"/>
      <c r="F45" s="178" t="s">
        <v>5434</v>
      </c>
      <c r="G45" s="172" t="s">
        <v>5435</v>
      </c>
      <c r="H45" s="173" t="s">
        <v>5433</v>
      </c>
      <c r="I45" s="173" t="s">
        <v>6267</v>
      </c>
      <c r="J45" s="173" t="s">
        <v>5436</v>
      </c>
      <c r="K45" s="173" t="s">
        <v>4410</v>
      </c>
      <c r="L45" s="174">
        <v>8964901.75</v>
      </c>
      <c r="M45" s="175"/>
      <c r="N45" s="176">
        <v>45010</v>
      </c>
      <c r="O45" s="177">
        <v>45099</v>
      </c>
      <c r="P45" s="1675"/>
      <c r="Q45" s="252"/>
      <c r="R45" s="105" t="s">
        <v>5432</v>
      </c>
    </row>
    <row r="46" spans="2:18" ht="78.75" hidden="1" customHeight="1">
      <c r="B46" s="1676">
        <v>2023</v>
      </c>
      <c r="C46" s="1678"/>
      <c r="D46" s="1677">
        <v>45170</v>
      </c>
      <c r="E46" s="170"/>
      <c r="F46" s="178" t="s">
        <v>5440</v>
      </c>
      <c r="G46" s="172" t="s">
        <v>5435</v>
      </c>
      <c r="H46" s="173" t="s">
        <v>5441</v>
      </c>
      <c r="I46" s="173" t="s">
        <v>6268</v>
      </c>
      <c r="J46" s="173" t="s">
        <v>5438</v>
      </c>
      <c r="K46" s="173" t="s">
        <v>2575</v>
      </c>
      <c r="L46" s="174">
        <v>7589100.9800000004</v>
      </c>
      <c r="M46" s="175"/>
      <c r="N46" s="176">
        <v>45055</v>
      </c>
      <c r="O46" s="177">
        <v>45055</v>
      </c>
      <c r="P46" s="116"/>
      <c r="Q46" s="252"/>
      <c r="R46" s="105" t="s">
        <v>5432</v>
      </c>
    </row>
    <row r="47" spans="2:18" ht="131.25" hidden="1" customHeight="1">
      <c r="B47" s="1676">
        <v>2023</v>
      </c>
      <c r="C47" s="1678"/>
      <c r="D47" s="1677">
        <v>45170</v>
      </c>
      <c r="E47" s="920"/>
      <c r="F47" s="178" t="s">
        <v>5981</v>
      </c>
      <c r="G47" s="172" t="s">
        <v>5435</v>
      </c>
      <c r="H47" s="173" t="s">
        <v>5982</v>
      </c>
      <c r="I47" s="173" t="s">
        <v>4756</v>
      </c>
      <c r="J47" s="173" t="s">
        <v>5479</v>
      </c>
      <c r="K47" s="173" t="s">
        <v>2577</v>
      </c>
      <c r="L47" s="594">
        <v>11896947.699999999</v>
      </c>
      <c r="M47" s="590">
        <v>45139</v>
      </c>
      <c r="N47" s="176">
        <v>45139</v>
      </c>
      <c r="O47" s="177">
        <v>45228</v>
      </c>
      <c r="P47" s="1675" t="s">
        <v>5983</v>
      </c>
      <c r="Q47" s="252"/>
      <c r="R47" s="105" t="s">
        <v>1405</v>
      </c>
    </row>
    <row r="48" spans="2:18" ht="109.5" hidden="1" customHeight="1">
      <c r="B48" s="1676">
        <v>2023</v>
      </c>
      <c r="C48" s="1678"/>
      <c r="D48" s="1677">
        <v>45170</v>
      </c>
      <c r="E48" s="920"/>
      <c r="F48" s="178" t="s">
        <v>5985</v>
      </c>
      <c r="G48" s="172" t="s">
        <v>5435</v>
      </c>
      <c r="H48" s="173" t="s">
        <v>5984</v>
      </c>
      <c r="I48" s="173" t="s">
        <v>4756</v>
      </c>
      <c r="J48" s="173" t="s">
        <v>5479</v>
      </c>
      <c r="K48" s="173" t="s">
        <v>2577</v>
      </c>
      <c r="L48" s="594">
        <v>11650052.449999999</v>
      </c>
      <c r="M48" s="590">
        <v>45141</v>
      </c>
      <c r="N48" s="176">
        <v>45141</v>
      </c>
      <c r="O48" s="177">
        <v>45230</v>
      </c>
      <c r="P48" s="1675" t="s">
        <v>4444</v>
      </c>
      <c r="Q48" s="252"/>
      <c r="R48" s="105" t="s">
        <v>1405</v>
      </c>
    </row>
    <row r="49" spans="2:18" ht="34.5" hidden="1" customHeight="1">
      <c r="B49" s="1676">
        <v>2023</v>
      </c>
      <c r="C49" s="1678"/>
      <c r="D49" s="1678"/>
      <c r="E49" s="170" t="s">
        <v>247</v>
      </c>
      <c r="F49" s="178" t="s">
        <v>6002</v>
      </c>
      <c r="G49" s="172" t="s">
        <v>5425</v>
      </c>
      <c r="H49" s="173" t="s">
        <v>5635</v>
      </c>
      <c r="I49" s="173" t="s">
        <v>4751</v>
      </c>
      <c r="J49" s="173" t="s">
        <v>6003</v>
      </c>
      <c r="K49" s="173" t="s">
        <v>1975</v>
      </c>
      <c r="L49" s="594">
        <v>7394088</v>
      </c>
      <c r="M49" s="175"/>
      <c r="N49" s="682"/>
      <c r="O49" s="1689"/>
      <c r="P49" s="1675"/>
      <c r="Q49" s="252"/>
      <c r="R49" s="105" t="s">
        <v>5432</v>
      </c>
    </row>
    <row r="50" spans="2:18" ht="34.5" hidden="1" customHeight="1">
      <c r="B50" s="1676">
        <v>2023</v>
      </c>
      <c r="C50" s="1678"/>
      <c r="D50" s="1678"/>
      <c r="E50" s="170" t="s">
        <v>247</v>
      </c>
      <c r="F50" s="178" t="s">
        <v>6004</v>
      </c>
      <c r="G50" s="172" t="s">
        <v>5425</v>
      </c>
      <c r="H50" s="173" t="s">
        <v>6005</v>
      </c>
      <c r="I50" s="173" t="s">
        <v>4751</v>
      </c>
      <c r="J50" s="173" t="s">
        <v>6006</v>
      </c>
      <c r="K50" s="173" t="s">
        <v>2524</v>
      </c>
      <c r="L50" s="1669">
        <v>5763435</v>
      </c>
      <c r="M50" s="175"/>
      <c r="N50" s="682"/>
      <c r="O50" s="1689"/>
      <c r="P50" s="1675"/>
      <c r="Q50" s="252"/>
      <c r="R50" s="105" t="s">
        <v>5432</v>
      </c>
    </row>
    <row r="51" spans="2:18" ht="99" hidden="1" customHeight="1">
      <c r="B51" s="1676">
        <v>2023</v>
      </c>
      <c r="C51" s="1678"/>
      <c r="D51" s="1678"/>
      <c r="E51" s="170" t="s">
        <v>247</v>
      </c>
      <c r="F51" s="178" t="s">
        <v>5986</v>
      </c>
      <c r="G51" s="172" t="s">
        <v>5435</v>
      </c>
      <c r="H51" s="173" t="s">
        <v>5987</v>
      </c>
      <c r="I51" s="173" t="s">
        <v>4756</v>
      </c>
      <c r="J51" s="173" t="s">
        <v>5636</v>
      </c>
      <c r="K51" s="173" t="s">
        <v>1975</v>
      </c>
      <c r="L51" s="594">
        <v>3704426.6</v>
      </c>
      <c r="M51" s="590">
        <v>45153</v>
      </c>
      <c r="N51" s="176">
        <v>45153</v>
      </c>
      <c r="O51" s="177">
        <v>45277</v>
      </c>
      <c r="P51" s="1675" t="s">
        <v>5988</v>
      </c>
      <c r="Q51" s="252"/>
      <c r="R51" s="105" t="s">
        <v>1405</v>
      </c>
    </row>
    <row r="52" spans="2:18" ht="94.5" hidden="1" customHeight="1">
      <c r="B52" s="1676">
        <v>2023</v>
      </c>
      <c r="C52" s="1678"/>
      <c r="D52" s="1678"/>
      <c r="E52" s="170" t="s">
        <v>247</v>
      </c>
      <c r="F52" s="178" t="s">
        <v>5962</v>
      </c>
      <c r="G52" s="172" t="s">
        <v>5435</v>
      </c>
      <c r="H52" s="173" t="s">
        <v>5963</v>
      </c>
      <c r="I52" s="173" t="s">
        <v>4756</v>
      </c>
      <c r="J52" s="173" t="s">
        <v>5637</v>
      </c>
      <c r="K52" s="173" t="s">
        <v>1975</v>
      </c>
      <c r="L52" s="594">
        <v>9083516.9600000009</v>
      </c>
      <c r="M52" s="590">
        <v>45112</v>
      </c>
      <c r="N52" s="176">
        <v>45166</v>
      </c>
      <c r="O52" s="177">
        <v>45260</v>
      </c>
      <c r="P52" s="1675" t="s">
        <v>5964</v>
      </c>
      <c r="Q52" s="252"/>
      <c r="R52" s="105" t="s">
        <v>1405</v>
      </c>
    </row>
    <row r="53" spans="2:18" ht="94.5" hidden="1" customHeight="1">
      <c r="B53" s="1676">
        <v>2023</v>
      </c>
      <c r="C53" s="1678"/>
      <c r="D53" s="1678"/>
      <c r="E53" s="170" t="s">
        <v>247</v>
      </c>
      <c r="F53" s="178" t="s">
        <v>5996</v>
      </c>
      <c r="G53" s="172" t="s">
        <v>5435</v>
      </c>
      <c r="H53" s="173" t="s">
        <v>5997</v>
      </c>
      <c r="I53" s="173" t="s">
        <v>4756</v>
      </c>
      <c r="J53" s="173" t="s">
        <v>4770</v>
      </c>
      <c r="K53" s="173" t="s">
        <v>2524</v>
      </c>
      <c r="L53" s="594">
        <v>6362056.4400000004</v>
      </c>
      <c r="M53" s="590">
        <v>45092</v>
      </c>
      <c r="N53" s="176">
        <v>45092</v>
      </c>
      <c r="O53" s="177">
        <v>45209</v>
      </c>
      <c r="P53" s="1675" t="s">
        <v>5988</v>
      </c>
      <c r="Q53" s="252"/>
      <c r="R53" s="105" t="s">
        <v>5432</v>
      </c>
    </row>
    <row r="54" spans="2:18" ht="48" hidden="1" customHeight="1">
      <c r="B54" s="1676">
        <v>2023</v>
      </c>
      <c r="C54" s="1678"/>
      <c r="D54" s="1678"/>
      <c r="E54" s="920"/>
      <c r="F54" s="178" t="s">
        <v>5639</v>
      </c>
      <c r="G54" s="172" t="s">
        <v>5425</v>
      </c>
      <c r="H54" s="173" t="s">
        <v>5638</v>
      </c>
      <c r="I54" s="173" t="s">
        <v>6269</v>
      </c>
      <c r="J54" s="173" t="s">
        <v>3419</v>
      </c>
      <c r="K54" s="173" t="s">
        <v>3623</v>
      </c>
      <c r="L54" s="594">
        <v>20833765.649999999</v>
      </c>
      <c r="M54" s="590"/>
      <c r="N54" s="176">
        <v>45122</v>
      </c>
      <c r="O54" s="177">
        <v>45275</v>
      </c>
      <c r="P54" s="1675" t="s">
        <v>5640</v>
      </c>
      <c r="Q54" s="252"/>
      <c r="R54" s="105" t="s">
        <v>1405</v>
      </c>
    </row>
    <row r="55" spans="2:18" ht="69.75" hidden="1" customHeight="1">
      <c r="B55" s="1676">
        <v>2023</v>
      </c>
      <c r="C55" s="1678"/>
      <c r="D55" s="1678"/>
      <c r="E55" s="170" t="s">
        <v>5965</v>
      </c>
      <c r="F55" s="178" t="s">
        <v>5966</v>
      </c>
      <c r="G55" s="172" t="s">
        <v>5425</v>
      </c>
      <c r="H55" s="173" t="s">
        <v>5967</v>
      </c>
      <c r="I55" s="173" t="s">
        <v>4759</v>
      </c>
      <c r="J55" s="173" t="s">
        <v>5968</v>
      </c>
      <c r="K55" s="173" t="s">
        <v>3623</v>
      </c>
      <c r="L55" s="174">
        <v>3941792.2</v>
      </c>
      <c r="M55" s="175">
        <v>45150</v>
      </c>
      <c r="N55" s="176">
        <v>45150</v>
      </c>
      <c r="O55" s="177">
        <v>45269</v>
      </c>
      <c r="P55" s="1675" t="s">
        <v>5969</v>
      </c>
      <c r="Q55" s="252"/>
      <c r="R55" s="105" t="s">
        <v>1405</v>
      </c>
    </row>
    <row r="56" spans="2:18" ht="64.5" hidden="1" customHeight="1">
      <c r="B56" s="1676">
        <v>2023</v>
      </c>
      <c r="C56" s="1678"/>
      <c r="D56" s="1678"/>
      <c r="E56" s="170" t="s">
        <v>5965</v>
      </c>
      <c r="F56" s="178" t="s">
        <v>5970</v>
      </c>
      <c r="G56" s="172" t="s">
        <v>5425</v>
      </c>
      <c r="H56" s="173" t="s">
        <v>5971</v>
      </c>
      <c r="I56" s="173" t="s">
        <v>4759</v>
      </c>
      <c r="J56" s="173" t="s">
        <v>5968</v>
      </c>
      <c r="K56" s="173" t="s">
        <v>3623</v>
      </c>
      <c r="L56" s="174">
        <v>7371248.8700000001</v>
      </c>
      <c r="M56" s="175">
        <v>45150</v>
      </c>
      <c r="N56" s="176">
        <v>45150</v>
      </c>
      <c r="O56" s="177">
        <v>45269</v>
      </c>
      <c r="P56" s="1675" t="s">
        <v>5972</v>
      </c>
      <c r="Q56" s="252"/>
      <c r="R56" s="105" t="s">
        <v>1405</v>
      </c>
    </row>
    <row r="57" spans="2:18" ht="63" customHeight="1">
      <c r="B57" s="1676">
        <v>2023</v>
      </c>
      <c r="C57" s="1678"/>
      <c r="D57" s="1678"/>
      <c r="E57" s="170" t="s">
        <v>5965</v>
      </c>
      <c r="F57" s="178" t="s">
        <v>5973</v>
      </c>
      <c r="G57" s="172" t="s">
        <v>5425</v>
      </c>
      <c r="H57" s="173" t="s">
        <v>5974</v>
      </c>
      <c r="I57" s="173" t="s">
        <v>4759</v>
      </c>
      <c r="J57" s="173" t="s">
        <v>5975</v>
      </c>
      <c r="K57" s="173" t="s">
        <v>1975</v>
      </c>
      <c r="L57" s="174">
        <v>9163641.6500000004</v>
      </c>
      <c r="M57" s="175">
        <v>45150</v>
      </c>
      <c r="N57" s="176">
        <v>45150</v>
      </c>
      <c r="O57" s="177">
        <v>45289</v>
      </c>
      <c r="P57" s="1675" t="s">
        <v>5976</v>
      </c>
      <c r="Q57" s="252"/>
      <c r="R57" s="105" t="s">
        <v>1405</v>
      </c>
    </row>
    <row r="58" spans="2:18" ht="51" hidden="1" customHeight="1">
      <c r="B58" s="1676">
        <v>2023</v>
      </c>
      <c r="C58" s="1678"/>
      <c r="D58" s="1678"/>
      <c r="E58" s="170"/>
      <c r="F58" s="178" t="s">
        <v>5977</v>
      </c>
      <c r="G58" s="172" t="s">
        <v>5425</v>
      </c>
      <c r="H58" s="173" t="s">
        <v>5978</v>
      </c>
      <c r="I58" s="173" t="s">
        <v>6267</v>
      </c>
      <c r="J58" s="173" t="s">
        <v>5979</v>
      </c>
      <c r="K58" s="173" t="s">
        <v>3623</v>
      </c>
      <c r="L58" s="174">
        <v>3720358.28</v>
      </c>
      <c r="M58" s="175">
        <v>45122</v>
      </c>
      <c r="N58" s="176">
        <v>45122</v>
      </c>
      <c r="O58" s="177">
        <v>45216</v>
      </c>
      <c r="P58" s="1675" t="s">
        <v>5980</v>
      </c>
      <c r="Q58" s="252"/>
      <c r="R58" s="105" t="s">
        <v>1406</v>
      </c>
    </row>
    <row r="59" spans="2:18" ht="60.75" hidden="1" customHeight="1">
      <c r="B59" s="1676">
        <v>2023</v>
      </c>
      <c r="C59" s="1678"/>
      <c r="D59" s="1678"/>
      <c r="E59" s="170" t="s">
        <v>5965</v>
      </c>
      <c r="F59" s="178" t="s">
        <v>5989</v>
      </c>
      <c r="G59" s="172" t="s">
        <v>5435</v>
      </c>
      <c r="H59" s="173" t="s">
        <v>5990</v>
      </c>
      <c r="I59" s="173" t="s">
        <v>4759</v>
      </c>
      <c r="J59" s="173" t="s">
        <v>5991</v>
      </c>
      <c r="K59" s="173" t="s">
        <v>3623</v>
      </c>
      <c r="L59" s="174">
        <v>11972589.91</v>
      </c>
      <c r="M59" s="175">
        <v>45135</v>
      </c>
      <c r="N59" s="176">
        <v>45135</v>
      </c>
      <c r="O59" s="177">
        <v>47416</v>
      </c>
      <c r="P59" s="1675" t="s">
        <v>5992</v>
      </c>
      <c r="Q59" s="252"/>
      <c r="R59" s="105" t="s">
        <v>1405</v>
      </c>
    </row>
    <row r="60" spans="2:18" ht="61.5" hidden="1" customHeight="1">
      <c r="B60" s="1676">
        <v>2023</v>
      </c>
      <c r="C60" s="1678"/>
      <c r="D60" s="1678"/>
      <c r="E60" s="170" t="s">
        <v>5965</v>
      </c>
      <c r="F60" s="178" t="s">
        <v>5993</v>
      </c>
      <c r="G60" s="172" t="s">
        <v>5435</v>
      </c>
      <c r="H60" s="173" t="s">
        <v>5994</v>
      </c>
      <c r="I60" s="173" t="s">
        <v>4759</v>
      </c>
      <c r="J60" s="173" t="s">
        <v>5454</v>
      </c>
      <c r="K60" s="173" t="s">
        <v>3623</v>
      </c>
      <c r="L60" s="174">
        <v>5386041.4100000001</v>
      </c>
      <c r="M60" s="175">
        <v>45136</v>
      </c>
      <c r="N60" s="176">
        <v>45136</v>
      </c>
      <c r="O60" s="177">
        <v>45225</v>
      </c>
      <c r="P60" s="1675" t="s">
        <v>5995</v>
      </c>
      <c r="Q60" s="252"/>
      <c r="R60" s="105" t="s">
        <v>1405</v>
      </c>
    </row>
    <row r="61" spans="2:18" ht="61.5" customHeight="1">
      <c r="B61" s="1676">
        <v>2023</v>
      </c>
      <c r="C61" s="1678"/>
      <c r="D61" s="1678"/>
      <c r="E61" s="170" t="s">
        <v>5965</v>
      </c>
      <c r="F61" s="178" t="s">
        <v>5998</v>
      </c>
      <c r="G61" s="172" t="s">
        <v>5435</v>
      </c>
      <c r="H61" s="173" t="s">
        <v>5999</v>
      </c>
      <c r="I61" s="173" t="s">
        <v>4759</v>
      </c>
      <c r="J61" s="173" t="s">
        <v>6000</v>
      </c>
      <c r="K61" s="173" t="s">
        <v>1975</v>
      </c>
      <c r="L61" s="174">
        <v>7985746.0800000001</v>
      </c>
      <c r="M61" s="175">
        <v>45184</v>
      </c>
      <c r="N61" s="176">
        <v>45184</v>
      </c>
      <c r="O61" s="177">
        <v>45258</v>
      </c>
      <c r="P61" s="1675" t="s">
        <v>6001</v>
      </c>
      <c r="Q61" s="252"/>
      <c r="R61" s="105" t="s">
        <v>1405</v>
      </c>
    </row>
    <row r="62" spans="2:18" ht="34.5" hidden="1" customHeight="1">
      <c r="B62" s="1676">
        <v>2023</v>
      </c>
      <c r="C62" s="1678"/>
      <c r="D62" s="1678"/>
      <c r="E62" s="170"/>
      <c r="F62" s="178"/>
      <c r="G62" s="172"/>
      <c r="H62" s="173"/>
      <c r="I62" s="173"/>
      <c r="J62" s="173"/>
      <c r="K62" s="173"/>
      <c r="L62" s="174"/>
      <c r="M62" s="175"/>
      <c r="N62" s="176"/>
      <c r="O62" s="177"/>
      <c r="P62" s="1675"/>
      <c r="Q62" s="252"/>
      <c r="R62" s="105"/>
    </row>
    <row r="63" spans="2:18" ht="34.5" hidden="1" customHeight="1">
      <c r="B63" s="1676">
        <v>2023</v>
      </c>
      <c r="C63" s="1678"/>
      <c r="D63" s="1678"/>
      <c r="E63" s="170"/>
      <c r="F63" s="178"/>
      <c r="G63" s="172"/>
      <c r="H63" s="173"/>
      <c r="I63" s="173"/>
      <c r="J63" s="173"/>
      <c r="K63" s="173"/>
      <c r="L63" s="174"/>
      <c r="M63" s="175"/>
      <c r="N63" s="176"/>
      <c r="O63" s="177"/>
      <c r="P63" s="1675"/>
      <c r="Q63" s="252"/>
      <c r="R63" s="105"/>
    </row>
    <row r="64" spans="2:18" ht="34.5" hidden="1" customHeight="1">
      <c r="B64" s="1676">
        <v>2023</v>
      </c>
      <c r="C64" s="1678"/>
      <c r="D64" s="1678"/>
      <c r="E64" s="170"/>
      <c r="F64" s="178"/>
      <c r="G64" s="172"/>
      <c r="H64" s="173"/>
      <c r="I64" s="173"/>
      <c r="J64" s="173"/>
      <c r="K64" s="173"/>
      <c r="L64" s="174"/>
      <c r="M64" s="175"/>
      <c r="N64" s="176"/>
      <c r="O64" s="177"/>
      <c r="P64" s="1675"/>
      <c r="Q64" s="252"/>
      <c r="R64" s="105"/>
    </row>
    <row r="65" spans="2:18" ht="34.5" hidden="1" customHeight="1">
      <c r="B65" s="1676">
        <v>2023</v>
      </c>
      <c r="C65" s="1678"/>
      <c r="D65" s="1678"/>
      <c r="E65" s="170"/>
      <c r="F65" s="178"/>
      <c r="G65" s="172"/>
      <c r="H65" s="173"/>
      <c r="I65" s="173"/>
      <c r="J65" s="173"/>
      <c r="K65" s="173"/>
      <c r="L65" s="174"/>
      <c r="M65" s="175"/>
      <c r="N65" s="176"/>
      <c r="O65" s="177"/>
      <c r="P65" s="1675"/>
      <c r="Q65" s="252"/>
      <c r="R65" s="105"/>
    </row>
    <row r="66" spans="2:18" ht="34.5" hidden="1" customHeight="1">
      <c r="B66" s="1676">
        <v>2023</v>
      </c>
      <c r="C66" s="1678"/>
      <c r="D66" s="1678"/>
      <c r="E66" s="170"/>
      <c r="F66" s="178"/>
      <c r="G66" s="172"/>
      <c r="H66" s="173"/>
      <c r="I66" s="173"/>
      <c r="J66" s="173"/>
      <c r="K66" s="173"/>
      <c r="L66" s="174"/>
      <c r="M66" s="175"/>
      <c r="N66" s="176"/>
      <c r="O66" s="177"/>
      <c r="P66" s="1675"/>
      <c r="Q66" s="252"/>
      <c r="R66" s="105"/>
    </row>
    <row r="67" spans="2:18" ht="34.5" hidden="1" customHeight="1">
      <c r="B67" s="1676">
        <v>2023</v>
      </c>
      <c r="C67" s="1678"/>
      <c r="D67" s="1678"/>
      <c r="E67" s="170"/>
      <c r="F67" s="178"/>
      <c r="G67" s="172"/>
      <c r="H67" s="173"/>
      <c r="I67" s="173"/>
      <c r="J67" s="173"/>
      <c r="K67" s="173"/>
      <c r="L67" s="174"/>
      <c r="M67" s="175"/>
      <c r="N67" s="176"/>
      <c r="O67" s="177"/>
      <c r="P67" s="1675"/>
      <c r="Q67" s="252"/>
      <c r="R67" s="105"/>
    </row>
    <row r="68" spans="2:18" ht="34.5" hidden="1" customHeight="1">
      <c r="B68" s="1676">
        <v>2023</v>
      </c>
      <c r="C68" s="1678"/>
      <c r="D68" s="1678"/>
      <c r="E68" s="170"/>
      <c r="F68" s="178"/>
      <c r="G68" s="172"/>
      <c r="H68" s="173"/>
      <c r="I68" s="173"/>
      <c r="J68" s="173"/>
      <c r="K68" s="173"/>
      <c r="L68" s="174"/>
      <c r="M68" s="175"/>
      <c r="N68" s="176"/>
      <c r="O68" s="177"/>
      <c r="P68" s="1675"/>
      <c r="Q68" s="252"/>
      <c r="R68" s="105"/>
    </row>
    <row r="69" spans="2:18" ht="34.5" hidden="1" customHeight="1">
      <c r="B69" s="1676">
        <v>2023</v>
      </c>
      <c r="C69" s="1678"/>
      <c r="D69" s="1678"/>
      <c r="E69" s="170"/>
      <c r="F69" s="178"/>
      <c r="G69" s="172"/>
      <c r="H69" s="173"/>
      <c r="I69" s="173"/>
      <c r="J69" s="173"/>
      <c r="K69" s="173"/>
      <c r="L69" s="174"/>
      <c r="M69" s="175"/>
      <c r="N69" s="176"/>
      <c r="O69" s="177"/>
      <c r="P69" s="1675"/>
      <c r="Q69" s="252"/>
      <c r="R69" s="105"/>
    </row>
    <row r="70" spans="2:18" ht="34.5" hidden="1" customHeight="1">
      <c r="B70" s="1676">
        <v>2023</v>
      </c>
      <c r="C70" s="1678"/>
      <c r="D70" s="1678"/>
      <c r="E70" s="170"/>
      <c r="F70" s="178"/>
      <c r="G70" s="172"/>
      <c r="H70" s="173"/>
      <c r="I70" s="173"/>
      <c r="J70" s="173"/>
      <c r="K70" s="173"/>
      <c r="L70" s="174"/>
      <c r="M70" s="175"/>
      <c r="N70" s="176"/>
      <c r="O70" s="177"/>
      <c r="P70" s="1675"/>
      <c r="Q70" s="252"/>
      <c r="R70" s="105"/>
    </row>
    <row r="71" spans="2:18" ht="34.5" hidden="1" customHeight="1">
      <c r="B71" s="1676">
        <v>2023</v>
      </c>
      <c r="C71" s="1678"/>
      <c r="D71" s="1678"/>
      <c r="E71" s="170"/>
      <c r="F71" s="178"/>
      <c r="G71" s="172"/>
      <c r="H71" s="173"/>
      <c r="I71" s="173"/>
      <c r="J71" s="173"/>
      <c r="K71" s="173"/>
      <c r="L71" s="174"/>
      <c r="M71" s="175"/>
      <c r="N71" s="176"/>
      <c r="O71" s="177"/>
      <c r="P71" s="1675"/>
      <c r="Q71" s="252"/>
      <c r="R71" s="105"/>
    </row>
    <row r="72" spans="2:18" ht="34.5" hidden="1" customHeight="1">
      <c r="B72" s="1676">
        <v>2023</v>
      </c>
      <c r="C72" s="1678"/>
      <c r="D72" s="1678"/>
      <c r="E72" s="170"/>
      <c r="F72" s="178"/>
      <c r="G72" s="172"/>
      <c r="H72" s="173"/>
      <c r="I72" s="173"/>
      <c r="J72" s="173"/>
      <c r="K72" s="173"/>
      <c r="L72" s="174"/>
      <c r="M72" s="175"/>
      <c r="N72" s="176"/>
      <c r="O72" s="177"/>
      <c r="P72" s="1675"/>
      <c r="Q72" s="252"/>
      <c r="R72" s="105"/>
    </row>
    <row r="73" spans="2:18" ht="34.5" hidden="1" customHeight="1">
      <c r="B73" s="1676">
        <v>2023</v>
      </c>
      <c r="C73" s="1678"/>
      <c r="D73" s="1678"/>
      <c r="E73" s="170"/>
      <c r="F73" s="178"/>
      <c r="G73" s="172"/>
      <c r="H73" s="173"/>
      <c r="I73" s="173"/>
      <c r="J73" s="173"/>
      <c r="K73" s="173"/>
      <c r="L73" s="174"/>
      <c r="M73" s="175"/>
      <c r="N73" s="176"/>
      <c r="O73" s="177"/>
      <c r="P73" s="1675"/>
      <c r="Q73" s="252"/>
      <c r="R73" s="105"/>
    </row>
    <row r="74" spans="2:18" ht="34.5" hidden="1" customHeight="1">
      <c r="B74" s="1676">
        <v>2023</v>
      </c>
      <c r="C74" s="1678"/>
      <c r="D74" s="1678"/>
      <c r="E74" s="170"/>
      <c r="F74" s="178"/>
      <c r="G74" s="172"/>
      <c r="H74" s="173"/>
      <c r="I74" s="173"/>
      <c r="J74" s="173"/>
      <c r="K74" s="173"/>
      <c r="L74" s="174"/>
      <c r="M74" s="175"/>
      <c r="N74" s="176"/>
      <c r="O74" s="177"/>
      <c r="P74" s="1675"/>
      <c r="Q74" s="252"/>
      <c r="R74" s="105"/>
    </row>
    <row r="75" spans="2:18" ht="34.5" hidden="1" customHeight="1">
      <c r="B75" s="1676">
        <v>2023</v>
      </c>
      <c r="C75" s="1678"/>
      <c r="D75" s="1678"/>
      <c r="E75" s="170"/>
      <c r="F75" s="178"/>
      <c r="G75" s="172"/>
      <c r="H75" s="173"/>
      <c r="I75" s="173"/>
      <c r="J75" s="173"/>
      <c r="K75" s="173"/>
      <c r="L75" s="174"/>
      <c r="M75" s="175"/>
      <c r="N75" s="176"/>
      <c r="O75" s="177"/>
      <c r="P75" s="1675"/>
      <c r="Q75" s="252"/>
      <c r="R75" s="105"/>
    </row>
    <row r="76" spans="2:18" ht="34.5" hidden="1" customHeight="1">
      <c r="B76" s="1676">
        <v>2023</v>
      </c>
      <c r="C76" s="1678"/>
      <c r="D76" s="1678"/>
      <c r="E76" s="170"/>
      <c r="F76" s="178"/>
      <c r="G76" s="172"/>
      <c r="H76" s="173"/>
      <c r="I76" s="173"/>
      <c r="J76" s="173"/>
      <c r="K76" s="173"/>
      <c r="L76" s="174"/>
      <c r="M76" s="175"/>
      <c r="N76" s="176"/>
      <c r="O76" s="177"/>
      <c r="P76" s="1675"/>
      <c r="Q76" s="252"/>
      <c r="R76" s="105"/>
    </row>
    <row r="77" spans="2:18" ht="34.5" hidden="1" customHeight="1">
      <c r="B77" s="1676">
        <v>2023</v>
      </c>
      <c r="C77" s="1678"/>
      <c r="D77" s="1678"/>
      <c r="E77" s="170"/>
      <c r="F77" s="178"/>
      <c r="G77" s="172"/>
      <c r="H77" s="173"/>
      <c r="I77" s="173"/>
      <c r="J77" s="173"/>
      <c r="K77" s="173"/>
      <c r="L77" s="174"/>
      <c r="M77" s="175"/>
      <c r="N77" s="176"/>
      <c r="O77" s="177"/>
      <c r="P77" s="1675"/>
      <c r="Q77" s="252"/>
      <c r="R77" s="105"/>
    </row>
    <row r="78" spans="2:18" ht="34.5" hidden="1" customHeight="1">
      <c r="B78" s="1676">
        <v>2023</v>
      </c>
      <c r="C78" s="1678"/>
      <c r="D78" s="1678"/>
      <c r="E78" s="170"/>
      <c r="F78" s="178"/>
      <c r="G78" s="172"/>
      <c r="H78" s="173"/>
      <c r="I78" s="173"/>
      <c r="J78" s="173"/>
      <c r="K78" s="173"/>
      <c r="L78" s="174"/>
      <c r="M78" s="175"/>
      <c r="N78" s="176"/>
      <c r="O78" s="177"/>
      <c r="P78" s="1675"/>
      <c r="Q78" s="252"/>
      <c r="R78" s="105"/>
    </row>
    <row r="79" spans="2:18" ht="34.5" hidden="1" customHeight="1">
      <c r="B79" s="1676">
        <v>2023</v>
      </c>
      <c r="C79" s="1678"/>
      <c r="D79" s="1678"/>
      <c r="E79" s="170"/>
      <c r="F79" s="178"/>
      <c r="G79" s="172"/>
      <c r="H79" s="173"/>
      <c r="I79" s="173"/>
      <c r="J79" s="173"/>
      <c r="K79" s="173"/>
      <c r="L79" s="174"/>
      <c r="M79" s="175"/>
      <c r="N79" s="176"/>
      <c r="O79" s="177"/>
      <c r="P79" s="1675"/>
      <c r="Q79" s="252"/>
      <c r="R79" s="105"/>
    </row>
    <row r="80" spans="2:18" ht="34.5" hidden="1" customHeight="1">
      <c r="B80" s="1676">
        <v>2023</v>
      </c>
      <c r="C80" s="1678"/>
      <c r="D80" s="1678"/>
      <c r="E80" s="170"/>
      <c r="F80" s="178"/>
      <c r="G80" s="172"/>
      <c r="H80" s="173"/>
      <c r="I80" s="173"/>
      <c r="J80" s="173"/>
      <c r="K80" s="173"/>
      <c r="L80" s="174"/>
      <c r="M80" s="175"/>
      <c r="N80" s="176"/>
      <c r="O80" s="177"/>
      <c r="P80" s="1675"/>
      <c r="Q80" s="252"/>
      <c r="R80" s="105"/>
    </row>
    <row r="81" spans="1:18" ht="34.5" hidden="1" customHeight="1">
      <c r="B81" s="1676">
        <v>2023</v>
      </c>
      <c r="C81" s="1678"/>
      <c r="D81" s="1678"/>
      <c r="E81" s="170"/>
      <c r="F81" s="178"/>
      <c r="G81" s="172"/>
      <c r="H81" s="173"/>
      <c r="I81" s="173"/>
      <c r="J81" s="173"/>
      <c r="K81" s="173"/>
      <c r="L81" s="174"/>
      <c r="M81" s="175"/>
      <c r="N81" s="176"/>
      <c r="O81" s="177"/>
      <c r="P81" s="1675"/>
      <c r="Q81" s="252"/>
      <c r="R81" s="105"/>
    </row>
    <row r="82" spans="1:18" ht="34.5" hidden="1" customHeight="1">
      <c r="B82" s="1676">
        <v>2023</v>
      </c>
      <c r="C82" s="1678"/>
      <c r="D82" s="1678"/>
      <c r="E82" s="170"/>
      <c r="F82" s="178"/>
      <c r="G82" s="172"/>
      <c r="H82" s="173"/>
      <c r="I82" s="173"/>
      <c r="J82" s="173"/>
      <c r="K82" s="173"/>
      <c r="L82" s="174"/>
      <c r="M82" s="175"/>
      <c r="N82" s="176"/>
      <c r="O82" s="177"/>
      <c r="P82" s="1675"/>
      <c r="Q82" s="252"/>
      <c r="R82" s="105"/>
    </row>
    <row r="83" spans="1:18" ht="34.5" hidden="1" customHeight="1">
      <c r="B83" s="1676">
        <v>2023</v>
      </c>
      <c r="C83" s="1679"/>
      <c r="D83" s="1679"/>
      <c r="E83" s="18"/>
      <c r="F83" s="33"/>
      <c r="G83" s="2"/>
      <c r="H83" s="3"/>
      <c r="I83" s="3"/>
      <c r="J83" s="3"/>
      <c r="K83" s="3"/>
      <c r="L83" s="4"/>
      <c r="M83" s="6"/>
      <c r="N83" s="5"/>
      <c r="O83" s="11"/>
      <c r="P83" s="56"/>
      <c r="Q83" s="52"/>
      <c r="R83" s="105"/>
    </row>
    <row r="84" spans="1:18" ht="18.75">
      <c r="B84" s="159"/>
      <c r="C84" s="159"/>
      <c r="D84" s="159"/>
      <c r="F84" s="141"/>
      <c r="H84" s="588"/>
      <c r="I84" s="588"/>
      <c r="J84" s="588"/>
      <c r="K84" s="588"/>
      <c r="L84" s="538"/>
    </row>
    <row r="86" spans="1:18" s="993" customFormat="1" ht="33" customHeight="1">
      <c r="A86" s="1439"/>
      <c r="F86" s="996" t="s">
        <v>1401</v>
      </c>
      <c r="H86" s="2081">
        <v>44741</v>
      </c>
      <c r="I86" s="2081"/>
      <c r="J86" s="2081"/>
      <c r="K86" s="2081"/>
      <c r="L86" s="2081"/>
      <c r="N86" s="993" t="s">
        <v>524</v>
      </c>
    </row>
    <row r="87" spans="1:18" ht="15.75">
      <c r="L87" s="1792">
        <f>L21+L22+L23+L24</f>
        <v>29285582.559999999</v>
      </c>
    </row>
    <row r="88" spans="1:18">
      <c r="L88" s="505"/>
    </row>
    <row r="89" spans="1:18" ht="35.25" customHeight="1">
      <c r="E89" s="1267" t="s">
        <v>3767</v>
      </c>
      <c r="F89" s="746"/>
      <c r="G89" s="746"/>
      <c r="H89" s="746"/>
      <c r="I89" s="746"/>
      <c r="J89" s="746"/>
      <c r="K89" s="746"/>
      <c r="L89" s="1943"/>
      <c r="M89" s="1942"/>
      <c r="N89" s="1942"/>
    </row>
    <row r="90" spans="1:18" ht="21">
      <c r="E90" s="1267" t="s">
        <v>3627</v>
      </c>
      <c r="L90" s="505"/>
    </row>
    <row r="92" spans="1:18">
      <c r="L92" s="107"/>
    </row>
    <row r="94" spans="1:18">
      <c r="J94" t="s">
        <v>5642</v>
      </c>
      <c r="L94" s="505">
        <f>L5+L22+L23+L24+L25+L26+L27+L28+L29+L30+L31+L32+L33+L34+L35+L40</f>
        <v>119563221.11000001</v>
      </c>
      <c r="Q94" s="505">
        <f>L94+28799726.37</f>
        <v>148362947.48000002</v>
      </c>
    </row>
    <row r="95" spans="1:18">
      <c r="J95" t="s">
        <v>5643</v>
      </c>
      <c r="L95" s="505">
        <f>L36+L37+L38+L39+L41+L42+L43+L44+L45+L46+L47+L51+L52+L53+L54</f>
        <v>110384011.49000001</v>
      </c>
      <c r="Q95" s="505">
        <f>L95+13991374.48</f>
        <v>124375385.97000001</v>
      </c>
    </row>
    <row r="97" spans="12:18">
      <c r="L97" s="107"/>
      <c r="N97" s="536"/>
      <c r="O97" s="107"/>
      <c r="P97" s="107"/>
      <c r="Q97" s="107"/>
      <c r="R97" s="107"/>
    </row>
    <row r="101" spans="12:18" ht="15.75">
      <c r="L101" s="882"/>
    </row>
    <row r="112" spans="12:18" ht="23.25">
      <c r="L112" s="1937"/>
      <c r="M112" s="1937"/>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3963</v>
      </c>
      <c r="B5">
        <v>1</v>
      </c>
    </row>
    <row r="6" spans="1:17">
      <c r="A6" t="s">
        <v>3964</v>
      </c>
      <c r="B6">
        <v>2</v>
      </c>
      <c r="Q6" t="s">
        <v>1248</v>
      </c>
    </row>
    <row r="7" spans="1:17">
      <c r="A7" t="s">
        <v>3965</v>
      </c>
      <c r="B7">
        <v>3</v>
      </c>
    </row>
    <row r="8" spans="1:17">
      <c r="A8" t="s">
        <v>3966</v>
      </c>
      <c r="B8">
        <v>4</v>
      </c>
    </row>
    <row r="9" spans="1:17">
      <c r="A9" t="s">
        <v>45</v>
      </c>
      <c r="B9">
        <v>5</v>
      </c>
    </row>
    <row r="10" spans="1:17">
      <c r="A10" t="s">
        <v>3967</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2024-10-17T17:11:34Z</cp:lastPrinted>
  <dcterms:created xsi:type="dcterms:W3CDTF">2014-02-06T17:49:32Z</dcterms:created>
  <dcterms:modified xsi:type="dcterms:W3CDTF">2024-12-05T19:36:47Z</dcterms:modified>
  <cp:category/>
  <cp:contentStatus/>
</cp:coreProperties>
</file>